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8910" tabRatio="906" firstSheet="23" activeTab="32"/>
  </bookViews>
  <sheets>
    <sheet name="RAMESHWARAM-22-23" sheetId="1" r:id="rId1"/>
    <sheet name="RM-MARCH-22" sheetId="2" r:id="rId2"/>
    <sheet name="APR-22" sheetId="3" r:id="rId3"/>
    <sheet name="MAY-22" sheetId="4" r:id="rId4"/>
    <sheet name="JUNE-22" sheetId="5" r:id="rId5"/>
    <sheet name="JULY-22" sheetId="6" r:id="rId6"/>
    <sheet name="AUG-22" sheetId="7" r:id="rId7"/>
    <sheet name="SEP-22" sheetId="8" r:id="rId8"/>
    <sheet name="OCT-22" sheetId="9" r:id="rId9"/>
    <sheet name="APR TO OCT-22" sheetId="10" r:id="rId10"/>
    <sheet name="NOV-22" sheetId="11" r:id="rId11"/>
    <sheet name="DEC-22" sheetId="12" r:id="rId12"/>
    <sheet name="JAN-23" sheetId="13" r:id="rId13"/>
    <sheet name="FEB-23" sheetId="15" r:id="rId14"/>
    <sheet name="MAR-23" sheetId="16" r:id="rId15"/>
    <sheet name="RM-DISCOUNT &amp; POINT REDEEM" sheetId="14" r:id="rId16"/>
    <sheet name="RM-APR-23" sheetId="17" r:id="rId17"/>
    <sheet name="RM-MAY-23" sheetId="18" r:id="rId18"/>
    <sheet name="RM-JUN-23" sheetId="19" r:id="rId19"/>
    <sheet name="JULY-23" sheetId="20" r:id="rId20"/>
    <sheet name="AUG-23" sheetId="22" r:id="rId21"/>
    <sheet name="SEP-23" sheetId="23" r:id="rId22"/>
    <sheet name="OCT-23" sheetId="24" r:id="rId23"/>
    <sheet name="NOV-23" sheetId="25" r:id="rId24"/>
    <sheet name="DEC-23" sheetId="26" r:id="rId25"/>
    <sheet name="JAN-24" sheetId="27" r:id="rId26"/>
    <sheet name="feb-24" sheetId="28" r:id="rId27"/>
    <sheet name="MARCH-24" sheetId="29" r:id="rId28"/>
    <sheet name="APRIL-24" sheetId="30" r:id="rId29"/>
    <sheet name="MAY-24" sheetId="31" r:id="rId30"/>
    <sheet name="JUN-24" sheetId="32" r:id="rId31"/>
    <sheet name="JULY-24" sheetId="33" r:id="rId32"/>
    <sheet name="AUG-24" sheetId="34" r:id="rId33"/>
    <sheet name="SEP-24" sheetId="35" r:id="rId34"/>
  </sheets>
  <definedNames>
    <definedName name="_xlnm._FilterDatabase" localSheetId="32" hidden="1">'AUG-24'!$A$4:$L$649</definedName>
    <definedName name="_xlnm._FilterDatabase" localSheetId="31" hidden="1">'JULY-24'!$A$4:$L$653</definedName>
    <definedName name="_xlnm.Print_Area" localSheetId="3">'MAY-22'!$A$1:$J$374</definedName>
  </definedNames>
  <calcPr calcId="162913"/>
</workbook>
</file>

<file path=xl/calcChain.xml><?xml version="1.0" encoding="utf-8"?>
<calcChain xmlns="http://schemas.openxmlformats.org/spreadsheetml/2006/main">
  <c r="F640" i="34" l="1"/>
  <c r="F643" i="34"/>
  <c r="A5" i="34"/>
  <c r="H656" i="35" l="1"/>
  <c r="E656" i="35"/>
  <c r="G655" i="35"/>
  <c r="F655" i="35"/>
  <c r="A655" i="35"/>
  <c r="F654" i="35"/>
  <c r="G654" i="35" s="1"/>
  <c r="A654" i="35"/>
  <c r="F653" i="35"/>
  <c r="G653" i="35" s="1"/>
  <c r="A653" i="35"/>
  <c r="F652" i="35"/>
  <c r="G652" i="35" s="1"/>
  <c r="A652" i="35"/>
  <c r="F651" i="35"/>
  <c r="G651" i="35" s="1"/>
  <c r="A651" i="35"/>
  <c r="F650" i="35"/>
  <c r="G650" i="35" s="1"/>
  <c r="A650" i="35"/>
  <c r="G649" i="35"/>
  <c r="F649" i="35"/>
  <c r="A649" i="35"/>
  <c r="F648" i="35"/>
  <c r="G648" i="35" s="1"/>
  <c r="A648" i="35"/>
  <c r="F647" i="35"/>
  <c r="G647" i="35" s="1"/>
  <c r="A647" i="35"/>
  <c r="F646" i="35"/>
  <c r="G646" i="35" s="1"/>
  <c r="A646" i="35"/>
  <c r="F645" i="35"/>
  <c r="G645" i="35" s="1"/>
  <c r="A645" i="35"/>
  <c r="F644" i="35"/>
  <c r="G644" i="35" s="1"/>
  <c r="A644" i="35"/>
  <c r="F643" i="35"/>
  <c r="G643" i="35" s="1"/>
  <c r="A643" i="35"/>
  <c r="F642" i="35"/>
  <c r="G642" i="35" s="1"/>
  <c r="A642" i="35"/>
  <c r="G641" i="35"/>
  <c r="F641" i="35"/>
  <c r="A641" i="35"/>
  <c r="F640" i="35"/>
  <c r="G640" i="35" s="1"/>
  <c r="A640" i="35"/>
  <c r="F639" i="35"/>
  <c r="G639" i="35" s="1"/>
  <c r="A639" i="35"/>
  <c r="F638" i="35"/>
  <c r="G638" i="35" s="1"/>
  <c r="A638" i="35"/>
  <c r="F637" i="35"/>
  <c r="G637" i="35" s="1"/>
  <c r="A637" i="35"/>
  <c r="F636" i="35"/>
  <c r="G636" i="35" s="1"/>
  <c r="A636" i="35"/>
  <c r="F635" i="35"/>
  <c r="G635" i="35" s="1"/>
  <c r="A635" i="35"/>
  <c r="F634" i="35"/>
  <c r="G634" i="35" s="1"/>
  <c r="A634" i="35"/>
  <c r="G633" i="35"/>
  <c r="F633" i="35"/>
  <c r="A633" i="35"/>
  <c r="F632" i="35"/>
  <c r="G632" i="35" s="1"/>
  <c r="A632" i="35"/>
  <c r="F631" i="35"/>
  <c r="G631" i="35" s="1"/>
  <c r="A631" i="35"/>
  <c r="F630" i="35"/>
  <c r="G630" i="35" s="1"/>
  <c r="A630" i="35"/>
  <c r="F629" i="35"/>
  <c r="G629" i="35" s="1"/>
  <c r="A629" i="35"/>
  <c r="F628" i="35"/>
  <c r="G628" i="35" s="1"/>
  <c r="A628" i="35"/>
  <c r="F627" i="35"/>
  <c r="G627" i="35" s="1"/>
  <c r="A627" i="35"/>
  <c r="F626" i="35"/>
  <c r="G626" i="35" s="1"/>
  <c r="A626" i="35"/>
  <c r="G625" i="35"/>
  <c r="F625" i="35"/>
  <c r="A625" i="35"/>
  <c r="F624" i="35"/>
  <c r="G624" i="35" s="1"/>
  <c r="A624" i="35"/>
  <c r="F623" i="35"/>
  <c r="G623" i="35" s="1"/>
  <c r="A623" i="35"/>
  <c r="F622" i="35"/>
  <c r="G622" i="35" s="1"/>
  <c r="A622" i="35"/>
  <c r="F621" i="35"/>
  <c r="G621" i="35" s="1"/>
  <c r="A621" i="35"/>
  <c r="F620" i="35"/>
  <c r="G620" i="35" s="1"/>
  <c r="A620" i="35"/>
  <c r="F619" i="35"/>
  <c r="G619" i="35" s="1"/>
  <c r="A619" i="35"/>
  <c r="F618" i="35"/>
  <c r="G618" i="35" s="1"/>
  <c r="A618" i="35"/>
  <c r="G617" i="35"/>
  <c r="F617" i="35"/>
  <c r="A617" i="35"/>
  <c r="F616" i="35"/>
  <c r="G616" i="35" s="1"/>
  <c r="A616" i="35"/>
  <c r="F615" i="35"/>
  <c r="G615" i="35" s="1"/>
  <c r="A615" i="35"/>
  <c r="F614" i="35"/>
  <c r="G614" i="35" s="1"/>
  <c r="A614" i="35"/>
  <c r="F613" i="35"/>
  <c r="G613" i="35" s="1"/>
  <c r="A613" i="35"/>
  <c r="F612" i="35"/>
  <c r="G612" i="35" s="1"/>
  <c r="A612" i="35"/>
  <c r="F611" i="35"/>
  <c r="G611" i="35" s="1"/>
  <c r="A611" i="35"/>
  <c r="F610" i="35"/>
  <c r="G610" i="35" s="1"/>
  <c r="A610" i="35"/>
  <c r="G609" i="35"/>
  <c r="F609" i="35"/>
  <c r="A609" i="35"/>
  <c r="F608" i="35"/>
  <c r="G608" i="35" s="1"/>
  <c r="A608" i="35"/>
  <c r="F607" i="35"/>
  <c r="G607" i="35" s="1"/>
  <c r="A607" i="35"/>
  <c r="F606" i="35"/>
  <c r="G606" i="35" s="1"/>
  <c r="A606" i="35"/>
  <c r="F605" i="35"/>
  <c r="G605" i="35" s="1"/>
  <c r="A605" i="35"/>
  <c r="F604" i="35"/>
  <c r="G604" i="35" s="1"/>
  <c r="A604" i="35"/>
  <c r="F603" i="35"/>
  <c r="G603" i="35" s="1"/>
  <c r="A603" i="35"/>
  <c r="F602" i="35"/>
  <c r="G602" i="35" s="1"/>
  <c r="A602" i="35"/>
  <c r="G601" i="35"/>
  <c r="F601" i="35"/>
  <c r="A601" i="35"/>
  <c r="F600" i="35"/>
  <c r="G600" i="35" s="1"/>
  <c r="A600" i="35"/>
  <c r="F599" i="35"/>
  <c r="G599" i="35" s="1"/>
  <c r="A599" i="35"/>
  <c r="F598" i="35"/>
  <c r="G598" i="35" s="1"/>
  <c r="A598" i="35"/>
  <c r="F597" i="35"/>
  <c r="G597" i="35" s="1"/>
  <c r="A597" i="35"/>
  <c r="F596" i="35"/>
  <c r="G596" i="35" s="1"/>
  <c r="A596" i="35"/>
  <c r="F595" i="35"/>
  <c r="G595" i="35" s="1"/>
  <c r="A595" i="35"/>
  <c r="F594" i="35"/>
  <c r="G594" i="35" s="1"/>
  <c r="A594" i="35"/>
  <c r="G593" i="35"/>
  <c r="F593" i="35"/>
  <c r="A593" i="35"/>
  <c r="F592" i="35"/>
  <c r="G592" i="35" s="1"/>
  <c r="A592" i="35"/>
  <c r="F591" i="35"/>
  <c r="G591" i="35" s="1"/>
  <c r="A591" i="35"/>
  <c r="F590" i="35"/>
  <c r="G590" i="35" s="1"/>
  <c r="A590" i="35"/>
  <c r="F589" i="35"/>
  <c r="G589" i="35" s="1"/>
  <c r="A589" i="35"/>
  <c r="F588" i="35"/>
  <c r="G588" i="35" s="1"/>
  <c r="A588" i="35"/>
  <c r="F587" i="35"/>
  <c r="G587" i="35" s="1"/>
  <c r="A587" i="35"/>
  <c r="F586" i="35"/>
  <c r="G586" i="35" s="1"/>
  <c r="A586" i="35"/>
  <c r="G585" i="35"/>
  <c r="F585" i="35"/>
  <c r="A585" i="35"/>
  <c r="F584" i="35"/>
  <c r="G584" i="35" s="1"/>
  <c r="A584" i="35"/>
  <c r="F583" i="35"/>
  <c r="G583" i="35" s="1"/>
  <c r="A583" i="35"/>
  <c r="F582" i="35"/>
  <c r="G582" i="35" s="1"/>
  <c r="A582" i="35"/>
  <c r="F581" i="35"/>
  <c r="G581" i="35" s="1"/>
  <c r="A581" i="35"/>
  <c r="F580" i="35"/>
  <c r="G580" i="35" s="1"/>
  <c r="A580" i="35"/>
  <c r="F579" i="35"/>
  <c r="G579" i="35" s="1"/>
  <c r="A579" i="35"/>
  <c r="F578" i="35"/>
  <c r="G578" i="35" s="1"/>
  <c r="A578" i="35"/>
  <c r="G577" i="35"/>
  <c r="F577" i="35"/>
  <c r="A577" i="35"/>
  <c r="F576" i="35"/>
  <c r="G576" i="35" s="1"/>
  <c r="A576" i="35"/>
  <c r="F575" i="35"/>
  <c r="G575" i="35" s="1"/>
  <c r="A575" i="35"/>
  <c r="F574" i="35"/>
  <c r="G574" i="35" s="1"/>
  <c r="A574" i="35"/>
  <c r="F573" i="35"/>
  <c r="G573" i="35" s="1"/>
  <c r="A573" i="35"/>
  <c r="F572" i="35"/>
  <c r="G572" i="35" s="1"/>
  <c r="A572" i="35"/>
  <c r="F571" i="35"/>
  <c r="G571" i="35" s="1"/>
  <c r="A571" i="35"/>
  <c r="F570" i="35"/>
  <c r="G570" i="35" s="1"/>
  <c r="A570" i="35"/>
  <c r="G569" i="35"/>
  <c r="F569" i="35"/>
  <c r="A569" i="35"/>
  <c r="F568" i="35"/>
  <c r="G568" i="35" s="1"/>
  <c r="A568" i="35"/>
  <c r="F567" i="35"/>
  <c r="G567" i="35" s="1"/>
  <c r="A567" i="35"/>
  <c r="F566" i="35"/>
  <c r="G566" i="35" s="1"/>
  <c r="A566" i="35"/>
  <c r="F565" i="35"/>
  <c r="G565" i="35" s="1"/>
  <c r="A565" i="35"/>
  <c r="F564" i="35"/>
  <c r="G564" i="35" s="1"/>
  <c r="A564" i="35"/>
  <c r="F563" i="35"/>
  <c r="G563" i="35" s="1"/>
  <c r="A563" i="35"/>
  <c r="F562" i="35"/>
  <c r="G562" i="35" s="1"/>
  <c r="A562" i="35"/>
  <c r="G561" i="35"/>
  <c r="F561" i="35"/>
  <c r="A561" i="35"/>
  <c r="F560" i="35"/>
  <c r="G560" i="35" s="1"/>
  <c r="A560" i="35"/>
  <c r="F559" i="35"/>
  <c r="G559" i="35" s="1"/>
  <c r="A559" i="35"/>
  <c r="F558" i="35"/>
  <c r="G558" i="35" s="1"/>
  <c r="A558" i="35"/>
  <c r="F557" i="35"/>
  <c r="G557" i="35" s="1"/>
  <c r="A557" i="35"/>
  <c r="F556" i="35"/>
  <c r="G556" i="35" s="1"/>
  <c r="A556" i="35"/>
  <c r="F555" i="35"/>
  <c r="G555" i="35" s="1"/>
  <c r="A555" i="35"/>
  <c r="F554" i="35"/>
  <c r="G554" i="35" s="1"/>
  <c r="A554" i="35"/>
  <c r="G553" i="35"/>
  <c r="F553" i="35"/>
  <c r="A553" i="35"/>
  <c r="F552" i="35"/>
  <c r="G552" i="35" s="1"/>
  <c r="A552" i="35"/>
  <c r="F551" i="35"/>
  <c r="G551" i="35" s="1"/>
  <c r="A551" i="35"/>
  <c r="F550" i="35"/>
  <c r="G550" i="35" s="1"/>
  <c r="A550" i="35"/>
  <c r="F549" i="35"/>
  <c r="G549" i="35" s="1"/>
  <c r="A549" i="35"/>
  <c r="F548" i="35"/>
  <c r="G548" i="35" s="1"/>
  <c r="A548" i="35"/>
  <c r="F547" i="35"/>
  <c r="G547" i="35" s="1"/>
  <c r="A547" i="35"/>
  <c r="F546" i="35"/>
  <c r="G546" i="35" s="1"/>
  <c r="A546" i="35"/>
  <c r="G545" i="35"/>
  <c r="F545" i="35"/>
  <c r="A545" i="35"/>
  <c r="F544" i="35"/>
  <c r="G544" i="35" s="1"/>
  <c r="A544" i="35"/>
  <c r="F543" i="35"/>
  <c r="G543" i="35" s="1"/>
  <c r="A543" i="35"/>
  <c r="F542" i="35"/>
  <c r="G542" i="35" s="1"/>
  <c r="A542" i="35"/>
  <c r="F541" i="35"/>
  <c r="G541" i="35" s="1"/>
  <c r="A541" i="35"/>
  <c r="F540" i="35"/>
  <c r="G540" i="35" s="1"/>
  <c r="A540" i="35"/>
  <c r="F539" i="35"/>
  <c r="G539" i="35" s="1"/>
  <c r="A539" i="35"/>
  <c r="F538" i="35"/>
  <c r="G538" i="35" s="1"/>
  <c r="A538" i="35"/>
  <c r="G537" i="35"/>
  <c r="F537" i="35"/>
  <c r="A537" i="35"/>
  <c r="F536" i="35"/>
  <c r="G536" i="35" s="1"/>
  <c r="A536" i="35"/>
  <c r="F535" i="35"/>
  <c r="G535" i="35" s="1"/>
  <c r="A535" i="35"/>
  <c r="F534" i="35"/>
  <c r="G534" i="35" s="1"/>
  <c r="A534" i="35"/>
  <c r="F533" i="35"/>
  <c r="G533" i="35" s="1"/>
  <c r="A533" i="35"/>
  <c r="F532" i="35"/>
  <c r="G532" i="35" s="1"/>
  <c r="A532" i="35"/>
  <c r="F531" i="35"/>
  <c r="G531" i="35" s="1"/>
  <c r="A531" i="35"/>
  <c r="F530" i="35"/>
  <c r="G530" i="35" s="1"/>
  <c r="A530" i="35"/>
  <c r="G529" i="35"/>
  <c r="F529" i="35"/>
  <c r="A529" i="35"/>
  <c r="F528" i="35"/>
  <c r="G528" i="35" s="1"/>
  <c r="A528" i="35"/>
  <c r="F527" i="35"/>
  <c r="G527" i="35" s="1"/>
  <c r="A527" i="35"/>
  <c r="F526" i="35"/>
  <c r="G526" i="35" s="1"/>
  <c r="A526" i="35"/>
  <c r="F525" i="35"/>
  <c r="G525" i="35" s="1"/>
  <c r="A525" i="35"/>
  <c r="F524" i="35"/>
  <c r="G524" i="35" s="1"/>
  <c r="A524" i="35"/>
  <c r="F523" i="35"/>
  <c r="G523" i="35" s="1"/>
  <c r="A523" i="35"/>
  <c r="F522" i="35"/>
  <c r="G522" i="35" s="1"/>
  <c r="A522" i="35"/>
  <c r="G521" i="35"/>
  <c r="F521" i="35"/>
  <c r="A521" i="35"/>
  <c r="F520" i="35"/>
  <c r="G520" i="35" s="1"/>
  <c r="A520" i="35"/>
  <c r="F519" i="35"/>
  <c r="G519" i="35" s="1"/>
  <c r="A519" i="35"/>
  <c r="F518" i="35"/>
  <c r="G518" i="35" s="1"/>
  <c r="A518" i="35"/>
  <c r="F517" i="35"/>
  <c r="G517" i="35" s="1"/>
  <c r="A517" i="35"/>
  <c r="F516" i="35"/>
  <c r="G516" i="35" s="1"/>
  <c r="A516" i="35"/>
  <c r="F515" i="35"/>
  <c r="G515" i="35" s="1"/>
  <c r="A515" i="35"/>
  <c r="F514" i="35"/>
  <c r="G514" i="35" s="1"/>
  <c r="A514" i="35"/>
  <c r="G513" i="35"/>
  <c r="F513" i="35"/>
  <c r="A513" i="35"/>
  <c r="F512" i="35"/>
  <c r="G512" i="35" s="1"/>
  <c r="A512" i="35"/>
  <c r="F511" i="35"/>
  <c r="G511" i="35" s="1"/>
  <c r="A511" i="35"/>
  <c r="F510" i="35"/>
  <c r="G510" i="35" s="1"/>
  <c r="A510" i="35"/>
  <c r="F509" i="35"/>
  <c r="G509" i="35" s="1"/>
  <c r="A509" i="35"/>
  <c r="F508" i="35"/>
  <c r="G508" i="35" s="1"/>
  <c r="A508" i="35"/>
  <c r="F507" i="35"/>
  <c r="G507" i="35" s="1"/>
  <c r="A507" i="35"/>
  <c r="F506" i="35"/>
  <c r="G506" i="35" s="1"/>
  <c r="A506" i="35"/>
  <c r="G505" i="35"/>
  <c r="F505" i="35"/>
  <c r="A505" i="35"/>
  <c r="F504" i="35"/>
  <c r="G504" i="35" s="1"/>
  <c r="A504" i="35"/>
  <c r="F503" i="35"/>
  <c r="G503" i="35" s="1"/>
  <c r="A503" i="35"/>
  <c r="F502" i="35"/>
  <c r="G502" i="35" s="1"/>
  <c r="A502" i="35"/>
  <c r="F501" i="35"/>
  <c r="G501" i="35" s="1"/>
  <c r="A501" i="35"/>
  <c r="F500" i="35"/>
  <c r="G500" i="35" s="1"/>
  <c r="A500" i="35"/>
  <c r="F499" i="35"/>
  <c r="G499" i="35" s="1"/>
  <c r="A499" i="35"/>
  <c r="F498" i="35"/>
  <c r="G498" i="35" s="1"/>
  <c r="A498" i="35"/>
  <c r="G497" i="35"/>
  <c r="F497" i="35"/>
  <c r="A497" i="35"/>
  <c r="F496" i="35"/>
  <c r="G496" i="35" s="1"/>
  <c r="A496" i="35"/>
  <c r="F495" i="35"/>
  <c r="G495" i="35" s="1"/>
  <c r="A495" i="35"/>
  <c r="F494" i="35"/>
  <c r="G494" i="35" s="1"/>
  <c r="A494" i="35"/>
  <c r="F493" i="35"/>
  <c r="G493" i="35" s="1"/>
  <c r="A493" i="35"/>
  <c r="F492" i="35"/>
  <c r="G492" i="35" s="1"/>
  <c r="A492" i="35"/>
  <c r="F491" i="35"/>
  <c r="G491" i="35" s="1"/>
  <c r="A491" i="35"/>
  <c r="F490" i="35"/>
  <c r="G490" i="35" s="1"/>
  <c r="A490" i="35"/>
  <c r="G489" i="35"/>
  <c r="F489" i="35"/>
  <c r="A489" i="35"/>
  <c r="F488" i="35"/>
  <c r="G488" i="35" s="1"/>
  <c r="A488" i="35"/>
  <c r="F487" i="35"/>
  <c r="G487" i="35" s="1"/>
  <c r="A487" i="35"/>
  <c r="F486" i="35"/>
  <c r="G486" i="35" s="1"/>
  <c r="A486" i="35"/>
  <c r="F485" i="35"/>
  <c r="G485" i="35" s="1"/>
  <c r="A485" i="35"/>
  <c r="F484" i="35"/>
  <c r="G484" i="35" s="1"/>
  <c r="A484" i="35"/>
  <c r="F483" i="35"/>
  <c r="G483" i="35" s="1"/>
  <c r="A483" i="35"/>
  <c r="F482" i="35"/>
  <c r="G482" i="35" s="1"/>
  <c r="A482" i="35"/>
  <c r="G481" i="35"/>
  <c r="F481" i="35"/>
  <c r="A481" i="35"/>
  <c r="F480" i="35"/>
  <c r="G480" i="35" s="1"/>
  <c r="A480" i="35"/>
  <c r="F479" i="35"/>
  <c r="G479" i="35" s="1"/>
  <c r="A479" i="35"/>
  <c r="F478" i="35"/>
  <c r="G478" i="35" s="1"/>
  <c r="A478" i="35"/>
  <c r="F477" i="35"/>
  <c r="G477" i="35" s="1"/>
  <c r="A477" i="35"/>
  <c r="F476" i="35"/>
  <c r="G476" i="35" s="1"/>
  <c r="A476" i="35"/>
  <c r="F475" i="35"/>
  <c r="G475" i="35" s="1"/>
  <c r="A475" i="35"/>
  <c r="F474" i="35"/>
  <c r="G474" i="35" s="1"/>
  <c r="A474" i="35"/>
  <c r="G473" i="35"/>
  <c r="F473" i="35"/>
  <c r="A473" i="35"/>
  <c r="F472" i="35"/>
  <c r="G472" i="35" s="1"/>
  <c r="A472" i="35"/>
  <c r="F471" i="35"/>
  <c r="G471" i="35" s="1"/>
  <c r="A471" i="35"/>
  <c r="F470" i="35"/>
  <c r="G470" i="35" s="1"/>
  <c r="A470" i="35"/>
  <c r="F469" i="35"/>
  <c r="G469" i="35" s="1"/>
  <c r="A469" i="35"/>
  <c r="F468" i="35"/>
  <c r="G468" i="35" s="1"/>
  <c r="A468" i="35"/>
  <c r="F467" i="35"/>
  <c r="G467" i="35" s="1"/>
  <c r="A467" i="35"/>
  <c r="F466" i="35"/>
  <c r="G466" i="35" s="1"/>
  <c r="A466" i="35"/>
  <c r="G465" i="35"/>
  <c r="F465" i="35"/>
  <c r="A465" i="35"/>
  <c r="F464" i="35"/>
  <c r="G464" i="35" s="1"/>
  <c r="A464" i="35"/>
  <c r="F463" i="35"/>
  <c r="G463" i="35" s="1"/>
  <c r="A463" i="35"/>
  <c r="F462" i="35"/>
  <c r="G462" i="35" s="1"/>
  <c r="A462" i="35"/>
  <c r="F461" i="35"/>
  <c r="G461" i="35" s="1"/>
  <c r="A461" i="35"/>
  <c r="F460" i="35"/>
  <c r="G460" i="35" s="1"/>
  <c r="A460" i="35"/>
  <c r="F459" i="35"/>
  <c r="G459" i="35" s="1"/>
  <c r="A459" i="35"/>
  <c r="F458" i="35"/>
  <c r="G458" i="35" s="1"/>
  <c r="A458" i="35"/>
  <c r="G457" i="35"/>
  <c r="F457" i="35"/>
  <c r="A457" i="35"/>
  <c r="F456" i="35"/>
  <c r="G456" i="35" s="1"/>
  <c r="A456" i="35"/>
  <c r="F455" i="35"/>
  <c r="G455" i="35" s="1"/>
  <c r="A455" i="35"/>
  <c r="F454" i="35"/>
  <c r="G454" i="35" s="1"/>
  <c r="A454" i="35"/>
  <c r="F453" i="35"/>
  <c r="G453" i="35" s="1"/>
  <c r="A453" i="35"/>
  <c r="F452" i="35"/>
  <c r="G452" i="35" s="1"/>
  <c r="A452" i="35"/>
  <c r="F451" i="35"/>
  <c r="G451" i="35" s="1"/>
  <c r="A451" i="35"/>
  <c r="F450" i="35"/>
  <c r="G450" i="35" s="1"/>
  <c r="A450" i="35"/>
  <c r="G449" i="35"/>
  <c r="F449" i="35"/>
  <c r="A449" i="35"/>
  <c r="F448" i="35"/>
  <c r="G448" i="35" s="1"/>
  <c r="A448" i="35"/>
  <c r="F447" i="35"/>
  <c r="G447" i="35" s="1"/>
  <c r="A447" i="35"/>
  <c r="F446" i="35"/>
  <c r="G446" i="35" s="1"/>
  <c r="A446" i="35"/>
  <c r="F445" i="35"/>
  <c r="G445" i="35" s="1"/>
  <c r="A445" i="35"/>
  <c r="F444" i="35"/>
  <c r="G444" i="35" s="1"/>
  <c r="A444" i="35"/>
  <c r="F443" i="35"/>
  <c r="G443" i="35" s="1"/>
  <c r="A443" i="35"/>
  <c r="F442" i="35"/>
  <c r="G442" i="35" s="1"/>
  <c r="A442" i="35"/>
  <c r="G441" i="35"/>
  <c r="F441" i="35"/>
  <c r="A441" i="35"/>
  <c r="F440" i="35"/>
  <c r="G440" i="35" s="1"/>
  <c r="A440" i="35"/>
  <c r="F439" i="35"/>
  <c r="G439" i="35" s="1"/>
  <c r="A439" i="35"/>
  <c r="F438" i="35"/>
  <c r="G438" i="35" s="1"/>
  <c r="A438" i="35"/>
  <c r="F437" i="35"/>
  <c r="G437" i="35" s="1"/>
  <c r="A437" i="35"/>
  <c r="F436" i="35"/>
  <c r="G436" i="35" s="1"/>
  <c r="A436" i="35"/>
  <c r="F435" i="35"/>
  <c r="G435" i="35" s="1"/>
  <c r="A435" i="35"/>
  <c r="F434" i="35"/>
  <c r="G434" i="35" s="1"/>
  <c r="A434" i="35"/>
  <c r="G433" i="35"/>
  <c r="F433" i="35"/>
  <c r="A433" i="35"/>
  <c r="F432" i="35"/>
  <c r="G432" i="35" s="1"/>
  <c r="A432" i="35"/>
  <c r="F431" i="35"/>
  <c r="G431" i="35" s="1"/>
  <c r="A431" i="35"/>
  <c r="F430" i="35"/>
  <c r="G430" i="35" s="1"/>
  <c r="A430" i="35"/>
  <c r="F429" i="35"/>
  <c r="G429" i="35" s="1"/>
  <c r="A429" i="35"/>
  <c r="F428" i="35"/>
  <c r="G428" i="35" s="1"/>
  <c r="A428" i="35"/>
  <c r="F427" i="35"/>
  <c r="G427" i="35" s="1"/>
  <c r="A427" i="35"/>
  <c r="F426" i="35"/>
  <c r="G426" i="35" s="1"/>
  <c r="A426" i="35"/>
  <c r="G425" i="35"/>
  <c r="F425" i="35"/>
  <c r="A425" i="35"/>
  <c r="F424" i="35"/>
  <c r="G424" i="35" s="1"/>
  <c r="A424" i="35"/>
  <c r="F423" i="35"/>
  <c r="G423" i="35" s="1"/>
  <c r="A423" i="35"/>
  <c r="F422" i="35"/>
  <c r="G422" i="35" s="1"/>
  <c r="A422" i="35"/>
  <c r="F421" i="35"/>
  <c r="G421" i="35" s="1"/>
  <c r="A421" i="35"/>
  <c r="F420" i="35"/>
  <c r="G420" i="35" s="1"/>
  <c r="A420" i="35"/>
  <c r="F419" i="35"/>
  <c r="G419" i="35" s="1"/>
  <c r="A419" i="35"/>
  <c r="F418" i="35"/>
  <c r="G418" i="35" s="1"/>
  <c r="A418" i="35"/>
  <c r="G417" i="35"/>
  <c r="F417" i="35"/>
  <c r="A417" i="35"/>
  <c r="F416" i="35"/>
  <c r="G416" i="35" s="1"/>
  <c r="A416" i="35"/>
  <c r="F415" i="35"/>
  <c r="G415" i="35" s="1"/>
  <c r="A415" i="35"/>
  <c r="F414" i="35"/>
  <c r="G414" i="35" s="1"/>
  <c r="A414" i="35"/>
  <c r="F413" i="35"/>
  <c r="G413" i="35" s="1"/>
  <c r="A413" i="35"/>
  <c r="F412" i="35"/>
  <c r="G412" i="35" s="1"/>
  <c r="A412" i="35"/>
  <c r="F411" i="35"/>
  <c r="G411" i="35" s="1"/>
  <c r="A411" i="35"/>
  <c r="F410" i="35"/>
  <c r="G410" i="35" s="1"/>
  <c r="A410" i="35"/>
  <c r="G409" i="35"/>
  <c r="F409" i="35"/>
  <c r="A409" i="35"/>
  <c r="F408" i="35"/>
  <c r="G408" i="35" s="1"/>
  <c r="A408" i="35"/>
  <c r="F407" i="35"/>
  <c r="G407" i="35" s="1"/>
  <c r="A407" i="35"/>
  <c r="F406" i="35"/>
  <c r="G406" i="35" s="1"/>
  <c r="A406" i="35"/>
  <c r="F405" i="35"/>
  <c r="G405" i="35" s="1"/>
  <c r="A405" i="35"/>
  <c r="F404" i="35"/>
  <c r="G404" i="35" s="1"/>
  <c r="A404" i="35"/>
  <c r="F403" i="35"/>
  <c r="G403" i="35" s="1"/>
  <c r="A403" i="35"/>
  <c r="F402" i="35"/>
  <c r="G402" i="35" s="1"/>
  <c r="A402" i="35"/>
  <c r="G401" i="35"/>
  <c r="F401" i="35"/>
  <c r="A401" i="35"/>
  <c r="F400" i="35"/>
  <c r="G400" i="35" s="1"/>
  <c r="A400" i="35"/>
  <c r="F399" i="35"/>
  <c r="G399" i="35" s="1"/>
  <c r="A399" i="35"/>
  <c r="F398" i="35"/>
  <c r="G398" i="35" s="1"/>
  <c r="A398" i="35"/>
  <c r="F397" i="35"/>
  <c r="G397" i="35" s="1"/>
  <c r="A397" i="35"/>
  <c r="F396" i="35"/>
  <c r="G396" i="35" s="1"/>
  <c r="A396" i="35"/>
  <c r="F395" i="35"/>
  <c r="G395" i="35" s="1"/>
  <c r="A395" i="35"/>
  <c r="F394" i="35"/>
  <c r="G394" i="35" s="1"/>
  <c r="A394" i="35"/>
  <c r="G393" i="35"/>
  <c r="F393" i="35"/>
  <c r="A393" i="35"/>
  <c r="F392" i="35"/>
  <c r="G392" i="35" s="1"/>
  <c r="A392" i="35"/>
  <c r="F391" i="35"/>
  <c r="G391" i="35" s="1"/>
  <c r="A391" i="35"/>
  <c r="F390" i="35"/>
  <c r="G390" i="35" s="1"/>
  <c r="A390" i="35"/>
  <c r="F389" i="35"/>
  <c r="G389" i="35" s="1"/>
  <c r="A389" i="35"/>
  <c r="F388" i="35"/>
  <c r="G388" i="35" s="1"/>
  <c r="A388" i="35"/>
  <c r="F387" i="35"/>
  <c r="G387" i="35" s="1"/>
  <c r="A387" i="35"/>
  <c r="F386" i="35"/>
  <c r="G386" i="35" s="1"/>
  <c r="A386" i="35"/>
  <c r="G385" i="35"/>
  <c r="F385" i="35"/>
  <c r="A385" i="35"/>
  <c r="F384" i="35"/>
  <c r="G384" i="35" s="1"/>
  <c r="A384" i="35"/>
  <c r="F383" i="35"/>
  <c r="G383" i="35" s="1"/>
  <c r="A383" i="35"/>
  <c r="F382" i="35"/>
  <c r="G382" i="35" s="1"/>
  <c r="A382" i="35"/>
  <c r="F381" i="35"/>
  <c r="G381" i="35" s="1"/>
  <c r="A381" i="35"/>
  <c r="F380" i="35"/>
  <c r="G380" i="35" s="1"/>
  <c r="A380" i="35"/>
  <c r="F379" i="35"/>
  <c r="G379" i="35" s="1"/>
  <c r="A379" i="35"/>
  <c r="F378" i="35"/>
  <c r="G378" i="35" s="1"/>
  <c r="A378" i="35"/>
  <c r="G377" i="35"/>
  <c r="F377" i="35"/>
  <c r="A377" i="35"/>
  <c r="F376" i="35"/>
  <c r="G376" i="35" s="1"/>
  <c r="A376" i="35"/>
  <c r="F375" i="35"/>
  <c r="G375" i="35" s="1"/>
  <c r="A375" i="35"/>
  <c r="F374" i="35"/>
  <c r="G374" i="35" s="1"/>
  <c r="A374" i="35"/>
  <c r="F373" i="35"/>
  <c r="G373" i="35" s="1"/>
  <c r="A373" i="35"/>
  <c r="F372" i="35"/>
  <c r="G372" i="35" s="1"/>
  <c r="A372" i="35"/>
  <c r="F371" i="35"/>
  <c r="G371" i="35" s="1"/>
  <c r="A371" i="35"/>
  <c r="F370" i="35"/>
  <c r="G370" i="35" s="1"/>
  <c r="A370" i="35"/>
  <c r="G369" i="35"/>
  <c r="F369" i="35"/>
  <c r="A369" i="35"/>
  <c r="F368" i="35"/>
  <c r="G368" i="35" s="1"/>
  <c r="A368" i="35"/>
  <c r="F367" i="35"/>
  <c r="G367" i="35" s="1"/>
  <c r="A367" i="35"/>
  <c r="F366" i="35"/>
  <c r="G366" i="35" s="1"/>
  <c r="A366" i="35"/>
  <c r="F365" i="35"/>
  <c r="G365" i="35" s="1"/>
  <c r="A365" i="35"/>
  <c r="F364" i="35"/>
  <c r="G364" i="35" s="1"/>
  <c r="A364" i="35"/>
  <c r="F363" i="35"/>
  <c r="G363" i="35" s="1"/>
  <c r="A363" i="35"/>
  <c r="F362" i="35"/>
  <c r="G362" i="35" s="1"/>
  <c r="A362" i="35"/>
  <c r="G361" i="35"/>
  <c r="F361" i="35"/>
  <c r="A361" i="35"/>
  <c r="F360" i="35"/>
  <c r="G360" i="35" s="1"/>
  <c r="A360" i="35"/>
  <c r="F359" i="35"/>
  <c r="G359" i="35" s="1"/>
  <c r="A359" i="35"/>
  <c r="F358" i="35"/>
  <c r="G358" i="35" s="1"/>
  <c r="A358" i="35"/>
  <c r="F357" i="35"/>
  <c r="G357" i="35" s="1"/>
  <c r="A357" i="35"/>
  <c r="F356" i="35"/>
  <c r="G356" i="35" s="1"/>
  <c r="A356" i="35"/>
  <c r="F355" i="35"/>
  <c r="G355" i="35" s="1"/>
  <c r="A355" i="35"/>
  <c r="F354" i="35"/>
  <c r="G354" i="35" s="1"/>
  <c r="A354" i="35"/>
  <c r="G353" i="35"/>
  <c r="F353" i="35"/>
  <c r="A353" i="35"/>
  <c r="F352" i="35"/>
  <c r="G352" i="35" s="1"/>
  <c r="A352" i="35"/>
  <c r="F351" i="35"/>
  <c r="G351" i="35" s="1"/>
  <c r="A351" i="35"/>
  <c r="F350" i="35"/>
  <c r="G350" i="35" s="1"/>
  <c r="A350" i="35"/>
  <c r="F349" i="35"/>
  <c r="G349" i="35" s="1"/>
  <c r="A349" i="35"/>
  <c r="F348" i="35"/>
  <c r="G348" i="35" s="1"/>
  <c r="A348" i="35"/>
  <c r="F347" i="35"/>
  <c r="G347" i="35" s="1"/>
  <c r="A347" i="35"/>
  <c r="F346" i="35"/>
  <c r="G346" i="35" s="1"/>
  <c r="A346" i="35"/>
  <c r="G345" i="35"/>
  <c r="F345" i="35"/>
  <c r="A345" i="35"/>
  <c r="F344" i="35"/>
  <c r="G344" i="35" s="1"/>
  <c r="A344" i="35"/>
  <c r="F343" i="35"/>
  <c r="G343" i="35" s="1"/>
  <c r="A343" i="35"/>
  <c r="F342" i="35"/>
  <c r="G342" i="35" s="1"/>
  <c r="A342" i="35"/>
  <c r="F341" i="35"/>
  <c r="G341" i="35" s="1"/>
  <c r="A341" i="35"/>
  <c r="F340" i="35"/>
  <c r="G340" i="35" s="1"/>
  <c r="A340" i="35"/>
  <c r="F339" i="35"/>
  <c r="G339" i="35" s="1"/>
  <c r="A339" i="35"/>
  <c r="F338" i="35"/>
  <c r="G338" i="35" s="1"/>
  <c r="A338" i="35"/>
  <c r="G337" i="35"/>
  <c r="F337" i="35"/>
  <c r="A337" i="35"/>
  <c r="F336" i="35"/>
  <c r="G336" i="35" s="1"/>
  <c r="A336" i="35"/>
  <c r="F335" i="35"/>
  <c r="G335" i="35" s="1"/>
  <c r="A335" i="35"/>
  <c r="F334" i="35"/>
  <c r="G334" i="35" s="1"/>
  <c r="A334" i="35"/>
  <c r="F333" i="35"/>
  <c r="G333" i="35" s="1"/>
  <c r="A333" i="35"/>
  <c r="F332" i="35"/>
  <c r="G332" i="35" s="1"/>
  <c r="A332" i="35"/>
  <c r="F331" i="35"/>
  <c r="G331" i="35" s="1"/>
  <c r="A331" i="35"/>
  <c r="F330" i="35"/>
  <c r="G330" i="35" s="1"/>
  <c r="A330" i="35"/>
  <c r="G329" i="35"/>
  <c r="F329" i="35"/>
  <c r="A329" i="35"/>
  <c r="F328" i="35"/>
  <c r="G328" i="35" s="1"/>
  <c r="A328" i="35"/>
  <c r="F327" i="35"/>
  <c r="G327" i="35" s="1"/>
  <c r="A327" i="35"/>
  <c r="F326" i="35"/>
  <c r="G326" i="35" s="1"/>
  <c r="A326" i="35"/>
  <c r="F325" i="35"/>
  <c r="G325" i="35" s="1"/>
  <c r="A325" i="35"/>
  <c r="F324" i="35"/>
  <c r="G324" i="35" s="1"/>
  <c r="A324" i="35"/>
  <c r="F323" i="35"/>
  <c r="G323" i="35" s="1"/>
  <c r="A323" i="35"/>
  <c r="F322" i="35"/>
  <c r="G322" i="35" s="1"/>
  <c r="A322" i="35"/>
  <c r="G321" i="35"/>
  <c r="F321" i="35"/>
  <c r="A321" i="35"/>
  <c r="F320" i="35"/>
  <c r="G320" i="35" s="1"/>
  <c r="A320" i="35"/>
  <c r="F319" i="35"/>
  <c r="G319" i="35" s="1"/>
  <c r="A319" i="35"/>
  <c r="F318" i="35"/>
  <c r="G318" i="35" s="1"/>
  <c r="A318" i="35"/>
  <c r="F317" i="35"/>
  <c r="G317" i="35" s="1"/>
  <c r="A317" i="35"/>
  <c r="F316" i="35"/>
  <c r="G316" i="35" s="1"/>
  <c r="A316" i="35"/>
  <c r="F315" i="35"/>
  <c r="G315" i="35" s="1"/>
  <c r="A315" i="35"/>
  <c r="F314" i="35"/>
  <c r="G314" i="35" s="1"/>
  <c r="A314" i="35"/>
  <c r="G313" i="35"/>
  <c r="F313" i="35"/>
  <c r="A313" i="35"/>
  <c r="F312" i="35"/>
  <c r="G312" i="35" s="1"/>
  <c r="A312" i="35"/>
  <c r="F311" i="35"/>
  <c r="G311" i="35" s="1"/>
  <c r="A311" i="35"/>
  <c r="F310" i="35"/>
  <c r="G310" i="35" s="1"/>
  <c r="A310" i="35"/>
  <c r="F309" i="35"/>
  <c r="G309" i="35" s="1"/>
  <c r="A309" i="35"/>
  <c r="F308" i="35"/>
  <c r="G308" i="35" s="1"/>
  <c r="A308" i="35"/>
  <c r="F307" i="35"/>
  <c r="G307" i="35" s="1"/>
  <c r="A307" i="35"/>
  <c r="F306" i="35"/>
  <c r="G306" i="35" s="1"/>
  <c r="A306" i="35"/>
  <c r="G305" i="35"/>
  <c r="F305" i="35"/>
  <c r="A305" i="35"/>
  <c r="F304" i="35"/>
  <c r="G304" i="35" s="1"/>
  <c r="A304" i="35"/>
  <c r="F303" i="35"/>
  <c r="G303" i="35" s="1"/>
  <c r="A303" i="35"/>
  <c r="F302" i="35"/>
  <c r="G302" i="35" s="1"/>
  <c r="A302" i="35"/>
  <c r="F301" i="35"/>
  <c r="G301" i="35" s="1"/>
  <c r="A301" i="35"/>
  <c r="F300" i="35"/>
  <c r="G300" i="35" s="1"/>
  <c r="A300" i="35"/>
  <c r="F299" i="35"/>
  <c r="G299" i="35" s="1"/>
  <c r="A299" i="35"/>
  <c r="F298" i="35"/>
  <c r="G298" i="35" s="1"/>
  <c r="A298" i="35"/>
  <c r="G297" i="35"/>
  <c r="F297" i="35"/>
  <c r="A297" i="35"/>
  <c r="F296" i="35"/>
  <c r="G296" i="35" s="1"/>
  <c r="A296" i="35"/>
  <c r="F295" i="35"/>
  <c r="G295" i="35" s="1"/>
  <c r="A295" i="35"/>
  <c r="F294" i="35"/>
  <c r="G294" i="35" s="1"/>
  <c r="A294" i="35"/>
  <c r="F293" i="35"/>
  <c r="G293" i="35" s="1"/>
  <c r="A293" i="35"/>
  <c r="F292" i="35"/>
  <c r="G292" i="35" s="1"/>
  <c r="A292" i="35"/>
  <c r="F291" i="35"/>
  <c r="G291" i="35" s="1"/>
  <c r="A291" i="35"/>
  <c r="F290" i="35"/>
  <c r="G290" i="35" s="1"/>
  <c r="A290" i="35"/>
  <c r="G289" i="35"/>
  <c r="F289" i="35"/>
  <c r="A289" i="35"/>
  <c r="F288" i="35"/>
  <c r="G288" i="35" s="1"/>
  <c r="A288" i="35"/>
  <c r="F287" i="35"/>
  <c r="G287" i="35" s="1"/>
  <c r="A287" i="35"/>
  <c r="F286" i="35"/>
  <c r="G286" i="35" s="1"/>
  <c r="A286" i="35"/>
  <c r="F285" i="35"/>
  <c r="G285" i="35" s="1"/>
  <c r="A285" i="35"/>
  <c r="F284" i="35"/>
  <c r="G284" i="35" s="1"/>
  <c r="A284" i="35"/>
  <c r="F283" i="35"/>
  <c r="G283" i="35" s="1"/>
  <c r="A283" i="35"/>
  <c r="F282" i="35"/>
  <c r="G282" i="35" s="1"/>
  <c r="A282" i="35"/>
  <c r="G281" i="35"/>
  <c r="F281" i="35"/>
  <c r="A281" i="35"/>
  <c r="F280" i="35"/>
  <c r="G280" i="35" s="1"/>
  <c r="A280" i="35"/>
  <c r="F279" i="35"/>
  <c r="G279" i="35" s="1"/>
  <c r="A279" i="35"/>
  <c r="F278" i="35"/>
  <c r="G278" i="35" s="1"/>
  <c r="A278" i="35"/>
  <c r="F277" i="35"/>
  <c r="G277" i="35" s="1"/>
  <c r="A277" i="35"/>
  <c r="F276" i="35"/>
  <c r="G276" i="35" s="1"/>
  <c r="A276" i="35"/>
  <c r="F275" i="35"/>
  <c r="G275" i="35" s="1"/>
  <c r="A275" i="35"/>
  <c r="F274" i="35"/>
  <c r="G274" i="35" s="1"/>
  <c r="A274" i="35"/>
  <c r="G273" i="35"/>
  <c r="F273" i="35"/>
  <c r="A273" i="35"/>
  <c r="F272" i="35"/>
  <c r="G272" i="35" s="1"/>
  <c r="A272" i="35"/>
  <c r="F271" i="35"/>
  <c r="G271" i="35" s="1"/>
  <c r="A271" i="35"/>
  <c r="F270" i="35"/>
  <c r="G270" i="35" s="1"/>
  <c r="A270" i="35"/>
  <c r="F269" i="35"/>
  <c r="G269" i="35" s="1"/>
  <c r="A269" i="35"/>
  <c r="F268" i="35"/>
  <c r="G268" i="35" s="1"/>
  <c r="A268" i="35"/>
  <c r="F267" i="35"/>
  <c r="G267" i="35" s="1"/>
  <c r="A267" i="35"/>
  <c r="F266" i="35"/>
  <c r="G266" i="35" s="1"/>
  <c r="A266" i="35"/>
  <c r="G265" i="35"/>
  <c r="F265" i="35"/>
  <c r="A265" i="35"/>
  <c r="F264" i="35"/>
  <c r="G264" i="35" s="1"/>
  <c r="A264" i="35"/>
  <c r="F263" i="35"/>
  <c r="G263" i="35" s="1"/>
  <c r="A263" i="35"/>
  <c r="F262" i="35"/>
  <c r="G262" i="35" s="1"/>
  <c r="A262" i="35"/>
  <c r="F261" i="35"/>
  <c r="G261" i="35" s="1"/>
  <c r="A261" i="35"/>
  <c r="F260" i="35"/>
  <c r="G260" i="35" s="1"/>
  <c r="A260" i="35"/>
  <c r="F259" i="35"/>
  <c r="G259" i="35" s="1"/>
  <c r="A259" i="35"/>
  <c r="F258" i="35"/>
  <c r="G258" i="35" s="1"/>
  <c r="A258" i="35"/>
  <c r="G257" i="35"/>
  <c r="F257" i="35"/>
  <c r="A257" i="35"/>
  <c r="F256" i="35"/>
  <c r="G256" i="35" s="1"/>
  <c r="A256" i="35"/>
  <c r="F255" i="35"/>
  <c r="G255" i="35" s="1"/>
  <c r="A255" i="35"/>
  <c r="F254" i="35"/>
  <c r="G254" i="35" s="1"/>
  <c r="A254" i="35"/>
  <c r="F253" i="35"/>
  <c r="G253" i="35" s="1"/>
  <c r="A253" i="35"/>
  <c r="F252" i="35"/>
  <c r="G252" i="35" s="1"/>
  <c r="A252" i="35"/>
  <c r="F251" i="35"/>
  <c r="G251" i="35" s="1"/>
  <c r="A251" i="35"/>
  <c r="F250" i="35"/>
  <c r="G250" i="35" s="1"/>
  <c r="A250" i="35"/>
  <c r="G249" i="35"/>
  <c r="F249" i="35"/>
  <c r="A249" i="35"/>
  <c r="F248" i="35"/>
  <c r="G248" i="35" s="1"/>
  <c r="A248" i="35"/>
  <c r="F247" i="35"/>
  <c r="G247" i="35" s="1"/>
  <c r="A247" i="35"/>
  <c r="F246" i="35"/>
  <c r="G246" i="35" s="1"/>
  <c r="A246" i="35"/>
  <c r="F245" i="35"/>
  <c r="G245" i="35" s="1"/>
  <c r="A245" i="35"/>
  <c r="F244" i="35"/>
  <c r="G244" i="35" s="1"/>
  <c r="A244" i="35"/>
  <c r="F243" i="35"/>
  <c r="G243" i="35" s="1"/>
  <c r="A243" i="35"/>
  <c r="F242" i="35"/>
  <c r="G242" i="35" s="1"/>
  <c r="A242" i="35"/>
  <c r="G241" i="35"/>
  <c r="F241" i="35"/>
  <c r="A241" i="35"/>
  <c r="F240" i="35"/>
  <c r="G240" i="35" s="1"/>
  <c r="A240" i="35"/>
  <c r="F239" i="35"/>
  <c r="G239" i="35" s="1"/>
  <c r="A239" i="35"/>
  <c r="F238" i="35"/>
  <c r="G238" i="35" s="1"/>
  <c r="A238" i="35"/>
  <c r="F237" i="35"/>
  <c r="G237" i="35" s="1"/>
  <c r="A237" i="35"/>
  <c r="F236" i="35"/>
  <c r="G236" i="35" s="1"/>
  <c r="A236" i="35"/>
  <c r="F235" i="35"/>
  <c r="G235" i="35" s="1"/>
  <c r="A235" i="35"/>
  <c r="F234" i="35"/>
  <c r="G234" i="35" s="1"/>
  <c r="A234" i="35"/>
  <c r="G233" i="35"/>
  <c r="F233" i="35"/>
  <c r="A233" i="35"/>
  <c r="F232" i="35"/>
  <c r="G232" i="35" s="1"/>
  <c r="A232" i="35"/>
  <c r="F231" i="35"/>
  <c r="G231" i="35" s="1"/>
  <c r="A231" i="35"/>
  <c r="F230" i="35"/>
  <c r="G230" i="35" s="1"/>
  <c r="A230" i="35"/>
  <c r="F229" i="35"/>
  <c r="G229" i="35" s="1"/>
  <c r="A229" i="35"/>
  <c r="F228" i="35"/>
  <c r="G228" i="35" s="1"/>
  <c r="A228" i="35"/>
  <c r="F227" i="35"/>
  <c r="G227" i="35" s="1"/>
  <c r="A227" i="35"/>
  <c r="F226" i="35"/>
  <c r="G226" i="35" s="1"/>
  <c r="A226" i="35"/>
  <c r="G225" i="35"/>
  <c r="F225" i="35"/>
  <c r="A225" i="35"/>
  <c r="F224" i="35"/>
  <c r="G224" i="35" s="1"/>
  <c r="A224" i="35"/>
  <c r="F223" i="35"/>
  <c r="G223" i="35" s="1"/>
  <c r="A223" i="35"/>
  <c r="F222" i="35"/>
  <c r="G222" i="35" s="1"/>
  <c r="A222" i="35"/>
  <c r="F221" i="35"/>
  <c r="G221" i="35" s="1"/>
  <c r="A221" i="35"/>
  <c r="F220" i="35"/>
  <c r="G220" i="35" s="1"/>
  <c r="A220" i="35"/>
  <c r="F219" i="35"/>
  <c r="G219" i="35" s="1"/>
  <c r="A219" i="35"/>
  <c r="F218" i="35"/>
  <c r="G218" i="35" s="1"/>
  <c r="A218" i="35"/>
  <c r="G217" i="35"/>
  <c r="F217" i="35"/>
  <c r="A217" i="35"/>
  <c r="F216" i="35"/>
  <c r="G216" i="35" s="1"/>
  <c r="A216" i="35"/>
  <c r="F215" i="35"/>
  <c r="G215" i="35" s="1"/>
  <c r="A215" i="35"/>
  <c r="F214" i="35"/>
  <c r="G214" i="35" s="1"/>
  <c r="A214" i="35"/>
  <c r="F213" i="35"/>
  <c r="G213" i="35" s="1"/>
  <c r="A213" i="35"/>
  <c r="F212" i="35"/>
  <c r="G212" i="35" s="1"/>
  <c r="A212" i="35"/>
  <c r="F211" i="35"/>
  <c r="G211" i="35" s="1"/>
  <c r="A211" i="35"/>
  <c r="F210" i="35"/>
  <c r="G210" i="35" s="1"/>
  <c r="A210" i="35"/>
  <c r="G209" i="35"/>
  <c r="F209" i="35"/>
  <c r="A209" i="35"/>
  <c r="F208" i="35"/>
  <c r="G208" i="35" s="1"/>
  <c r="A208" i="35"/>
  <c r="F207" i="35"/>
  <c r="G207" i="35" s="1"/>
  <c r="A207" i="35"/>
  <c r="F206" i="35"/>
  <c r="G206" i="35" s="1"/>
  <c r="A206" i="35"/>
  <c r="F205" i="35"/>
  <c r="G205" i="35" s="1"/>
  <c r="A205" i="35"/>
  <c r="F204" i="35"/>
  <c r="G204" i="35" s="1"/>
  <c r="A204" i="35"/>
  <c r="F203" i="35"/>
  <c r="G203" i="35" s="1"/>
  <c r="A203" i="35"/>
  <c r="F202" i="35"/>
  <c r="G202" i="35" s="1"/>
  <c r="A202" i="35"/>
  <c r="G201" i="35"/>
  <c r="F201" i="35"/>
  <c r="A201" i="35"/>
  <c r="F200" i="35"/>
  <c r="G200" i="35" s="1"/>
  <c r="A200" i="35"/>
  <c r="F199" i="35"/>
  <c r="G199" i="35" s="1"/>
  <c r="A199" i="35"/>
  <c r="F198" i="35"/>
  <c r="G198" i="35" s="1"/>
  <c r="A198" i="35"/>
  <c r="F197" i="35"/>
  <c r="G197" i="35" s="1"/>
  <c r="A197" i="35"/>
  <c r="F196" i="35"/>
  <c r="G196" i="35" s="1"/>
  <c r="A196" i="35"/>
  <c r="F195" i="35"/>
  <c r="G195" i="35" s="1"/>
  <c r="A195" i="35"/>
  <c r="F194" i="35"/>
  <c r="G194" i="35" s="1"/>
  <c r="A194" i="35"/>
  <c r="G193" i="35"/>
  <c r="F193" i="35"/>
  <c r="A193" i="35"/>
  <c r="F192" i="35"/>
  <c r="G192" i="35" s="1"/>
  <c r="A192" i="35"/>
  <c r="F191" i="35"/>
  <c r="G191" i="35" s="1"/>
  <c r="A191" i="35"/>
  <c r="F190" i="35"/>
  <c r="G190" i="35" s="1"/>
  <c r="A190" i="35"/>
  <c r="F189" i="35"/>
  <c r="G189" i="35" s="1"/>
  <c r="A189" i="35"/>
  <c r="F188" i="35"/>
  <c r="G188" i="35" s="1"/>
  <c r="A188" i="35"/>
  <c r="F187" i="35"/>
  <c r="G187" i="35" s="1"/>
  <c r="A187" i="35"/>
  <c r="F186" i="35"/>
  <c r="G186" i="35" s="1"/>
  <c r="A186" i="35"/>
  <c r="G185" i="35"/>
  <c r="F185" i="35"/>
  <c r="A185" i="35"/>
  <c r="F184" i="35"/>
  <c r="G184" i="35" s="1"/>
  <c r="A184" i="35"/>
  <c r="F183" i="35"/>
  <c r="G183" i="35" s="1"/>
  <c r="A183" i="35"/>
  <c r="F182" i="35"/>
  <c r="G182" i="35" s="1"/>
  <c r="A182" i="35"/>
  <c r="F181" i="35"/>
  <c r="G181" i="35" s="1"/>
  <c r="A181" i="35"/>
  <c r="F180" i="35"/>
  <c r="G180" i="35" s="1"/>
  <c r="A180" i="35"/>
  <c r="F179" i="35"/>
  <c r="G179" i="35" s="1"/>
  <c r="A179" i="35"/>
  <c r="F178" i="35"/>
  <c r="G178" i="35" s="1"/>
  <c r="A178" i="35"/>
  <c r="G177" i="35"/>
  <c r="F177" i="35"/>
  <c r="A177" i="35"/>
  <c r="F176" i="35"/>
  <c r="G176" i="35" s="1"/>
  <c r="A176" i="35"/>
  <c r="F175" i="35"/>
  <c r="G175" i="35" s="1"/>
  <c r="A175" i="35"/>
  <c r="F174" i="35"/>
  <c r="G174" i="35" s="1"/>
  <c r="A174" i="35"/>
  <c r="F173" i="35"/>
  <c r="G173" i="35" s="1"/>
  <c r="A173" i="35"/>
  <c r="F172" i="35"/>
  <c r="G172" i="35" s="1"/>
  <c r="A172" i="35"/>
  <c r="F171" i="35"/>
  <c r="G171" i="35" s="1"/>
  <c r="A171" i="35"/>
  <c r="F170" i="35"/>
  <c r="G170" i="35" s="1"/>
  <c r="A170" i="35"/>
  <c r="G169" i="35"/>
  <c r="F169" i="35"/>
  <c r="A169" i="35"/>
  <c r="F168" i="35"/>
  <c r="G168" i="35" s="1"/>
  <c r="A168" i="35"/>
  <c r="F167" i="35"/>
  <c r="G167" i="35" s="1"/>
  <c r="A167" i="35"/>
  <c r="F166" i="35"/>
  <c r="G166" i="35" s="1"/>
  <c r="A166" i="35"/>
  <c r="F165" i="35"/>
  <c r="G165" i="35" s="1"/>
  <c r="A165" i="35"/>
  <c r="F164" i="35"/>
  <c r="G164" i="35" s="1"/>
  <c r="A164" i="35"/>
  <c r="F163" i="35"/>
  <c r="G163" i="35" s="1"/>
  <c r="A163" i="35"/>
  <c r="F162" i="35"/>
  <c r="G162" i="35" s="1"/>
  <c r="A162" i="35"/>
  <c r="G161" i="35"/>
  <c r="F161" i="35"/>
  <c r="A161" i="35"/>
  <c r="F160" i="35"/>
  <c r="G160" i="35" s="1"/>
  <c r="A160" i="35"/>
  <c r="F159" i="35"/>
  <c r="G159" i="35" s="1"/>
  <c r="A159" i="35"/>
  <c r="F158" i="35"/>
  <c r="G158" i="35" s="1"/>
  <c r="A158" i="35"/>
  <c r="F157" i="35"/>
  <c r="G157" i="35" s="1"/>
  <c r="A157" i="35"/>
  <c r="F156" i="35"/>
  <c r="G156" i="35" s="1"/>
  <c r="A156" i="35"/>
  <c r="F155" i="35"/>
  <c r="G155" i="35" s="1"/>
  <c r="A155" i="35"/>
  <c r="F154" i="35"/>
  <c r="G154" i="35" s="1"/>
  <c r="A154" i="35"/>
  <c r="G153" i="35"/>
  <c r="F153" i="35"/>
  <c r="A153" i="35"/>
  <c r="F152" i="35"/>
  <c r="G152" i="35" s="1"/>
  <c r="A152" i="35"/>
  <c r="F151" i="35"/>
  <c r="G151" i="35" s="1"/>
  <c r="A151" i="35"/>
  <c r="F150" i="35"/>
  <c r="G150" i="35" s="1"/>
  <c r="A150" i="35"/>
  <c r="F149" i="35"/>
  <c r="G149" i="35" s="1"/>
  <c r="A149" i="35"/>
  <c r="F148" i="35"/>
  <c r="G148" i="35" s="1"/>
  <c r="A148" i="35"/>
  <c r="F147" i="35"/>
  <c r="G147" i="35" s="1"/>
  <c r="A147" i="35"/>
  <c r="F146" i="35"/>
  <c r="G146" i="35" s="1"/>
  <c r="A146" i="35"/>
  <c r="G145" i="35"/>
  <c r="F145" i="35"/>
  <c r="A145" i="35"/>
  <c r="F144" i="35"/>
  <c r="G144" i="35" s="1"/>
  <c r="A144" i="35"/>
  <c r="F143" i="35"/>
  <c r="G143" i="35" s="1"/>
  <c r="A143" i="35"/>
  <c r="F142" i="35"/>
  <c r="G142" i="35" s="1"/>
  <c r="A142" i="35"/>
  <c r="F141" i="35"/>
  <c r="G141" i="35" s="1"/>
  <c r="A141" i="35"/>
  <c r="F140" i="35"/>
  <c r="G140" i="35" s="1"/>
  <c r="A140" i="35"/>
  <c r="F139" i="35"/>
  <c r="G139" i="35" s="1"/>
  <c r="A139" i="35"/>
  <c r="F138" i="35"/>
  <c r="G138" i="35" s="1"/>
  <c r="A138" i="35"/>
  <c r="G137" i="35"/>
  <c r="F137" i="35"/>
  <c r="A137" i="35"/>
  <c r="F136" i="35"/>
  <c r="G136" i="35" s="1"/>
  <c r="A136" i="35"/>
  <c r="F135" i="35"/>
  <c r="G135" i="35" s="1"/>
  <c r="A135" i="35"/>
  <c r="F134" i="35"/>
  <c r="G134" i="35" s="1"/>
  <c r="A134" i="35"/>
  <c r="F133" i="35"/>
  <c r="G133" i="35" s="1"/>
  <c r="A133" i="35"/>
  <c r="F132" i="35"/>
  <c r="G132" i="35" s="1"/>
  <c r="A132" i="35"/>
  <c r="F131" i="35"/>
  <c r="G131" i="35" s="1"/>
  <c r="A131" i="35"/>
  <c r="F130" i="35"/>
  <c r="G130" i="35" s="1"/>
  <c r="A130" i="35"/>
  <c r="G129" i="35"/>
  <c r="F129" i="35"/>
  <c r="A129" i="35"/>
  <c r="F128" i="35"/>
  <c r="G128" i="35" s="1"/>
  <c r="A128" i="35"/>
  <c r="F127" i="35"/>
  <c r="G127" i="35" s="1"/>
  <c r="A127" i="35"/>
  <c r="F126" i="35"/>
  <c r="G126" i="35" s="1"/>
  <c r="A126" i="35"/>
  <c r="F125" i="35"/>
  <c r="G125" i="35" s="1"/>
  <c r="A125" i="35"/>
  <c r="F124" i="35"/>
  <c r="G124" i="35" s="1"/>
  <c r="A124" i="35"/>
  <c r="F123" i="35"/>
  <c r="G123" i="35" s="1"/>
  <c r="A123" i="35"/>
  <c r="F122" i="35"/>
  <c r="G122" i="35" s="1"/>
  <c r="A122" i="35"/>
  <c r="G121" i="35"/>
  <c r="F121" i="35"/>
  <c r="A121" i="35"/>
  <c r="F120" i="35"/>
  <c r="G120" i="35" s="1"/>
  <c r="A120" i="35"/>
  <c r="F119" i="35"/>
  <c r="G119" i="35" s="1"/>
  <c r="A119" i="35"/>
  <c r="F118" i="35"/>
  <c r="G118" i="35" s="1"/>
  <c r="A118" i="35"/>
  <c r="F117" i="35"/>
  <c r="G117" i="35" s="1"/>
  <c r="A117" i="35"/>
  <c r="F116" i="35"/>
  <c r="G116" i="35" s="1"/>
  <c r="A116" i="35"/>
  <c r="F115" i="35"/>
  <c r="G115" i="35" s="1"/>
  <c r="A115" i="35"/>
  <c r="F114" i="35"/>
  <c r="G114" i="35" s="1"/>
  <c r="A114" i="35"/>
  <c r="G113" i="35"/>
  <c r="F113" i="35"/>
  <c r="A113" i="35"/>
  <c r="F112" i="35"/>
  <c r="G112" i="35" s="1"/>
  <c r="A112" i="35"/>
  <c r="F111" i="35"/>
  <c r="G111" i="35" s="1"/>
  <c r="A111" i="35"/>
  <c r="F110" i="35"/>
  <c r="G110" i="35" s="1"/>
  <c r="A110" i="35"/>
  <c r="F109" i="35"/>
  <c r="G109" i="35" s="1"/>
  <c r="A109" i="35"/>
  <c r="F108" i="35"/>
  <c r="G108" i="35" s="1"/>
  <c r="A108" i="35"/>
  <c r="F107" i="35"/>
  <c r="G107" i="35" s="1"/>
  <c r="A107" i="35"/>
  <c r="F106" i="35"/>
  <c r="G106" i="35" s="1"/>
  <c r="A106" i="35"/>
  <c r="G105" i="35"/>
  <c r="F105" i="35"/>
  <c r="A105" i="35"/>
  <c r="F104" i="35"/>
  <c r="G104" i="35" s="1"/>
  <c r="A104" i="35"/>
  <c r="F103" i="35"/>
  <c r="G103" i="35" s="1"/>
  <c r="A103" i="35"/>
  <c r="F102" i="35"/>
  <c r="G102" i="35" s="1"/>
  <c r="A102" i="35"/>
  <c r="F101" i="35"/>
  <c r="G101" i="35" s="1"/>
  <c r="A101" i="35"/>
  <c r="F100" i="35"/>
  <c r="G100" i="35" s="1"/>
  <c r="A100" i="35"/>
  <c r="F99" i="35"/>
  <c r="G99" i="35" s="1"/>
  <c r="A99" i="35"/>
  <c r="F98" i="35"/>
  <c r="G98" i="35" s="1"/>
  <c r="A98" i="35"/>
  <c r="G97" i="35"/>
  <c r="F97" i="35"/>
  <c r="A97" i="35"/>
  <c r="F96" i="35"/>
  <c r="G96" i="35" s="1"/>
  <c r="A96" i="35"/>
  <c r="F95" i="35"/>
  <c r="G95" i="35" s="1"/>
  <c r="A95" i="35"/>
  <c r="F94" i="35"/>
  <c r="G94" i="35" s="1"/>
  <c r="A94" i="35"/>
  <c r="F93" i="35"/>
  <c r="G93" i="35" s="1"/>
  <c r="A93" i="35"/>
  <c r="F92" i="35"/>
  <c r="G92" i="35" s="1"/>
  <c r="A92" i="35"/>
  <c r="F91" i="35"/>
  <c r="G91" i="35" s="1"/>
  <c r="A91" i="35"/>
  <c r="F90" i="35"/>
  <c r="G90" i="35" s="1"/>
  <c r="A90" i="35"/>
  <c r="G89" i="35"/>
  <c r="F89" i="35"/>
  <c r="A89" i="35"/>
  <c r="F88" i="35"/>
  <c r="G88" i="35" s="1"/>
  <c r="A88" i="35"/>
  <c r="F87" i="35"/>
  <c r="G87" i="35" s="1"/>
  <c r="A87" i="35"/>
  <c r="F86" i="35"/>
  <c r="G86" i="35" s="1"/>
  <c r="A86" i="35"/>
  <c r="F85" i="35"/>
  <c r="G85" i="35" s="1"/>
  <c r="A85" i="35"/>
  <c r="F84" i="35"/>
  <c r="G84" i="35" s="1"/>
  <c r="A84" i="35"/>
  <c r="F83" i="35"/>
  <c r="G83" i="35" s="1"/>
  <c r="A83" i="35"/>
  <c r="F82" i="35"/>
  <c r="G82" i="35" s="1"/>
  <c r="A82" i="35"/>
  <c r="G81" i="35"/>
  <c r="F81" i="35"/>
  <c r="A81" i="35"/>
  <c r="F80" i="35"/>
  <c r="G80" i="35" s="1"/>
  <c r="A80" i="35"/>
  <c r="F79" i="35"/>
  <c r="G79" i="35" s="1"/>
  <c r="A79" i="35"/>
  <c r="F78" i="35"/>
  <c r="G78" i="35" s="1"/>
  <c r="A78" i="35"/>
  <c r="F77" i="35"/>
  <c r="G77" i="35" s="1"/>
  <c r="A77" i="35"/>
  <c r="F76" i="35"/>
  <c r="G76" i="35" s="1"/>
  <c r="A76" i="35"/>
  <c r="F75" i="35"/>
  <c r="G75" i="35" s="1"/>
  <c r="A75" i="35"/>
  <c r="F74" i="35"/>
  <c r="G74" i="35" s="1"/>
  <c r="A74" i="35"/>
  <c r="G73" i="35"/>
  <c r="F73" i="35"/>
  <c r="A73" i="35"/>
  <c r="F72" i="35"/>
  <c r="G72" i="35" s="1"/>
  <c r="A72" i="35"/>
  <c r="F71" i="35"/>
  <c r="G71" i="35" s="1"/>
  <c r="A71" i="35"/>
  <c r="F70" i="35"/>
  <c r="G70" i="35" s="1"/>
  <c r="A70" i="35"/>
  <c r="F69" i="35"/>
  <c r="G69" i="35" s="1"/>
  <c r="A69" i="35"/>
  <c r="F68" i="35"/>
  <c r="G68" i="35" s="1"/>
  <c r="A68" i="35"/>
  <c r="F67" i="35"/>
  <c r="G67" i="35" s="1"/>
  <c r="A67" i="35"/>
  <c r="F66" i="35"/>
  <c r="G66" i="35" s="1"/>
  <c r="A66" i="35"/>
  <c r="G65" i="35"/>
  <c r="F65" i="35"/>
  <c r="A65" i="35"/>
  <c r="F64" i="35"/>
  <c r="G64" i="35" s="1"/>
  <c r="A64" i="35"/>
  <c r="F63" i="35"/>
  <c r="G63" i="35" s="1"/>
  <c r="A63" i="35"/>
  <c r="F62" i="35"/>
  <c r="G62" i="35" s="1"/>
  <c r="A62" i="35"/>
  <c r="F61" i="35"/>
  <c r="G61" i="35" s="1"/>
  <c r="A61" i="35"/>
  <c r="F60" i="35"/>
  <c r="G60" i="35" s="1"/>
  <c r="A60" i="35"/>
  <c r="F59" i="35"/>
  <c r="G59" i="35" s="1"/>
  <c r="A59" i="35"/>
  <c r="F58" i="35"/>
  <c r="G58" i="35" s="1"/>
  <c r="A58" i="35"/>
  <c r="G57" i="35"/>
  <c r="F57" i="35"/>
  <c r="A57" i="35"/>
  <c r="F56" i="35"/>
  <c r="G56" i="35" s="1"/>
  <c r="A56" i="35"/>
  <c r="F55" i="35"/>
  <c r="G55" i="35" s="1"/>
  <c r="A55" i="35"/>
  <c r="F54" i="35"/>
  <c r="G54" i="35" s="1"/>
  <c r="A54" i="35"/>
  <c r="F53" i="35"/>
  <c r="G53" i="35" s="1"/>
  <c r="A53" i="35"/>
  <c r="F52" i="35"/>
  <c r="G52" i="35" s="1"/>
  <c r="A52" i="35"/>
  <c r="F51" i="35"/>
  <c r="G51" i="35" s="1"/>
  <c r="A51" i="35"/>
  <c r="F50" i="35"/>
  <c r="G50" i="35" s="1"/>
  <c r="A50" i="35"/>
  <c r="F49" i="35"/>
  <c r="G49" i="35" s="1"/>
  <c r="A49" i="35"/>
  <c r="F48" i="35"/>
  <c r="G48" i="35" s="1"/>
  <c r="A48" i="35"/>
  <c r="F47" i="35"/>
  <c r="G47" i="35" s="1"/>
  <c r="A47" i="35"/>
  <c r="F46" i="35"/>
  <c r="G46" i="35" s="1"/>
  <c r="A46" i="35"/>
  <c r="G45" i="35"/>
  <c r="F45" i="35"/>
  <c r="A45" i="35"/>
  <c r="F44" i="35"/>
  <c r="G44" i="35" s="1"/>
  <c r="A44" i="35"/>
  <c r="F43" i="35"/>
  <c r="G43" i="35" s="1"/>
  <c r="A43" i="35"/>
  <c r="F42" i="35"/>
  <c r="G42" i="35" s="1"/>
  <c r="A42" i="35"/>
  <c r="F41" i="35"/>
  <c r="G41" i="35" s="1"/>
  <c r="A41" i="35"/>
  <c r="F40" i="35"/>
  <c r="G40" i="35" s="1"/>
  <c r="A40" i="35"/>
  <c r="F39" i="35"/>
  <c r="G39" i="35" s="1"/>
  <c r="A39" i="35"/>
  <c r="F38" i="35"/>
  <c r="G38" i="35" s="1"/>
  <c r="A38" i="35"/>
  <c r="F37" i="35"/>
  <c r="G37" i="35" s="1"/>
  <c r="A37" i="35"/>
  <c r="F36" i="35"/>
  <c r="G36" i="35" s="1"/>
  <c r="A36" i="35"/>
  <c r="F35" i="35"/>
  <c r="G35" i="35" s="1"/>
  <c r="A35" i="35"/>
  <c r="L34" i="35"/>
  <c r="J34" i="35"/>
  <c r="F34" i="35"/>
  <c r="G34" i="35" s="1"/>
  <c r="A34" i="35"/>
  <c r="F33" i="35"/>
  <c r="G33" i="35" s="1"/>
  <c r="A33" i="35"/>
  <c r="F32" i="35"/>
  <c r="G32" i="35" s="1"/>
  <c r="A32" i="35"/>
  <c r="F31" i="35"/>
  <c r="G31" i="35" s="1"/>
  <c r="A31" i="35"/>
  <c r="F30" i="35"/>
  <c r="G30" i="35" s="1"/>
  <c r="A30" i="35"/>
  <c r="F29" i="35"/>
  <c r="G29" i="35" s="1"/>
  <c r="A29" i="35"/>
  <c r="G28" i="35"/>
  <c r="F28" i="35"/>
  <c r="A28" i="35"/>
  <c r="F27" i="35"/>
  <c r="G27" i="35" s="1"/>
  <c r="A27" i="35"/>
  <c r="F26" i="35"/>
  <c r="G26" i="35" s="1"/>
  <c r="A26" i="35"/>
  <c r="F25" i="35"/>
  <c r="G25" i="35" s="1"/>
  <c r="A25" i="35"/>
  <c r="F24" i="35"/>
  <c r="G24" i="35" s="1"/>
  <c r="A24" i="35"/>
  <c r="F23" i="35"/>
  <c r="G23" i="35" s="1"/>
  <c r="A23" i="35"/>
  <c r="F22" i="35"/>
  <c r="G22" i="35" s="1"/>
  <c r="A22" i="35"/>
  <c r="F21" i="35"/>
  <c r="G21" i="35" s="1"/>
  <c r="A21" i="35"/>
  <c r="F20" i="35"/>
  <c r="G20" i="35" s="1"/>
  <c r="A20" i="35"/>
  <c r="F19" i="35"/>
  <c r="G19" i="35" s="1"/>
  <c r="A19" i="35"/>
  <c r="F18" i="35"/>
  <c r="G18" i="35" s="1"/>
  <c r="A18" i="35"/>
  <c r="F17" i="35"/>
  <c r="G17" i="35" s="1"/>
  <c r="A17" i="35"/>
  <c r="G16" i="35"/>
  <c r="F16" i="35"/>
  <c r="A16" i="35"/>
  <c r="F15" i="35"/>
  <c r="G15" i="35" s="1"/>
  <c r="A15" i="35"/>
  <c r="F14" i="35"/>
  <c r="G14" i="35" s="1"/>
  <c r="A14" i="35"/>
  <c r="F13" i="35"/>
  <c r="G13" i="35" s="1"/>
  <c r="A13" i="35"/>
  <c r="F12" i="35"/>
  <c r="G12" i="35" s="1"/>
  <c r="A12" i="35"/>
  <c r="F11" i="35"/>
  <c r="G11" i="35" s="1"/>
  <c r="A11" i="35"/>
  <c r="F10" i="35"/>
  <c r="G10" i="35" s="1"/>
  <c r="A10" i="35"/>
  <c r="F9" i="35"/>
  <c r="G9" i="35" s="1"/>
  <c r="A9" i="35"/>
  <c r="F8" i="35"/>
  <c r="G8" i="35" s="1"/>
  <c r="A8" i="35"/>
  <c r="F7" i="35"/>
  <c r="G7" i="35" s="1"/>
  <c r="A7" i="35"/>
  <c r="F6" i="35"/>
  <c r="G6" i="35" s="1"/>
  <c r="A6" i="35"/>
  <c r="F5" i="35"/>
  <c r="G5" i="35" s="1"/>
  <c r="A5" i="35"/>
  <c r="K37" i="35" l="1"/>
  <c r="F285" i="34"/>
  <c r="G285" i="34" s="1"/>
  <c r="A285" i="34"/>
  <c r="A251" i="34"/>
  <c r="F251" i="34"/>
  <c r="G251" i="34" s="1"/>
  <c r="E652" i="33"/>
  <c r="H648" i="34" l="1"/>
  <c r="E648" i="34"/>
  <c r="F647" i="34"/>
  <c r="G647" i="34" s="1"/>
  <c r="A647" i="34"/>
  <c r="F646" i="34"/>
  <c r="G646" i="34" s="1"/>
  <c r="A646" i="34"/>
  <c r="F645" i="34"/>
  <c r="G645" i="34" s="1"/>
  <c r="A645" i="34"/>
  <c r="F644" i="34"/>
  <c r="G644" i="34" s="1"/>
  <c r="A644" i="34"/>
  <c r="G643" i="34"/>
  <c r="A643" i="34"/>
  <c r="F642" i="34"/>
  <c r="G642" i="34" s="1"/>
  <c r="A642" i="34"/>
  <c r="F641" i="34"/>
  <c r="G641" i="34" s="1"/>
  <c r="A641" i="34"/>
  <c r="G640" i="34"/>
  <c r="A640" i="34"/>
  <c r="F639" i="34"/>
  <c r="G639" i="34" s="1"/>
  <c r="A639" i="34"/>
  <c r="F638" i="34"/>
  <c r="G638" i="34" s="1"/>
  <c r="A638" i="34"/>
  <c r="F637" i="34"/>
  <c r="G637" i="34" s="1"/>
  <c r="A637" i="34"/>
  <c r="F636" i="34"/>
  <c r="G636" i="34" s="1"/>
  <c r="A636" i="34"/>
  <c r="F635" i="34"/>
  <c r="G635" i="34" s="1"/>
  <c r="A635" i="34"/>
  <c r="F634" i="34"/>
  <c r="G634" i="34" s="1"/>
  <c r="A634" i="34"/>
  <c r="F633" i="34"/>
  <c r="G633" i="34" s="1"/>
  <c r="A633" i="34"/>
  <c r="F632" i="34"/>
  <c r="G632" i="34" s="1"/>
  <c r="A632" i="34"/>
  <c r="F631" i="34"/>
  <c r="G631" i="34" s="1"/>
  <c r="A631" i="34"/>
  <c r="F630" i="34"/>
  <c r="G630" i="34" s="1"/>
  <c r="A630" i="34"/>
  <c r="F629" i="34"/>
  <c r="G629" i="34" s="1"/>
  <c r="A629" i="34"/>
  <c r="F628" i="34"/>
  <c r="G628" i="34" s="1"/>
  <c r="A628" i="34"/>
  <c r="F627" i="34"/>
  <c r="G627" i="34" s="1"/>
  <c r="A627" i="34"/>
  <c r="F626" i="34"/>
  <c r="G626" i="34" s="1"/>
  <c r="A626" i="34"/>
  <c r="F625" i="34"/>
  <c r="G625" i="34" s="1"/>
  <c r="A625" i="34"/>
  <c r="F624" i="34"/>
  <c r="G624" i="34" s="1"/>
  <c r="A624" i="34"/>
  <c r="F623" i="34"/>
  <c r="G623" i="34" s="1"/>
  <c r="A623" i="34"/>
  <c r="F622" i="34"/>
  <c r="G622" i="34" s="1"/>
  <c r="A622" i="34"/>
  <c r="F621" i="34"/>
  <c r="G621" i="34" s="1"/>
  <c r="A621" i="34"/>
  <c r="F620" i="34"/>
  <c r="G620" i="34" s="1"/>
  <c r="A620" i="34"/>
  <c r="F619" i="34"/>
  <c r="G619" i="34" s="1"/>
  <c r="A619" i="34"/>
  <c r="F618" i="34"/>
  <c r="G618" i="34" s="1"/>
  <c r="A618" i="34"/>
  <c r="F617" i="34"/>
  <c r="G617" i="34" s="1"/>
  <c r="A617" i="34"/>
  <c r="F616" i="34"/>
  <c r="G616" i="34" s="1"/>
  <c r="A616" i="34"/>
  <c r="F615" i="34"/>
  <c r="G615" i="34" s="1"/>
  <c r="A615" i="34"/>
  <c r="F614" i="34"/>
  <c r="G614" i="34" s="1"/>
  <c r="A614" i="34"/>
  <c r="F613" i="34"/>
  <c r="G613" i="34" s="1"/>
  <c r="A613" i="34"/>
  <c r="F612" i="34"/>
  <c r="G612" i="34" s="1"/>
  <c r="A612" i="34"/>
  <c r="F611" i="34"/>
  <c r="G611" i="34" s="1"/>
  <c r="A611" i="34"/>
  <c r="F610" i="34"/>
  <c r="G610" i="34" s="1"/>
  <c r="A610" i="34"/>
  <c r="F609" i="34"/>
  <c r="G609" i="34" s="1"/>
  <c r="A609" i="34"/>
  <c r="F608" i="34"/>
  <c r="G608" i="34" s="1"/>
  <c r="A608" i="34"/>
  <c r="F607" i="34"/>
  <c r="G607" i="34" s="1"/>
  <c r="A607" i="34"/>
  <c r="F606" i="34"/>
  <c r="G606" i="34" s="1"/>
  <c r="A606" i="34"/>
  <c r="F605" i="34"/>
  <c r="G605" i="34" s="1"/>
  <c r="A605" i="34"/>
  <c r="F604" i="34"/>
  <c r="G604" i="34" s="1"/>
  <c r="A604" i="34"/>
  <c r="F603" i="34"/>
  <c r="G603" i="34" s="1"/>
  <c r="A603" i="34"/>
  <c r="F602" i="34"/>
  <c r="G602" i="34" s="1"/>
  <c r="A602" i="34"/>
  <c r="F601" i="34"/>
  <c r="G601" i="34" s="1"/>
  <c r="A601" i="34"/>
  <c r="F600" i="34"/>
  <c r="G600" i="34" s="1"/>
  <c r="A600" i="34"/>
  <c r="F599" i="34"/>
  <c r="G599" i="34" s="1"/>
  <c r="A599" i="34"/>
  <c r="F598" i="34"/>
  <c r="G598" i="34" s="1"/>
  <c r="A598" i="34"/>
  <c r="F597" i="34"/>
  <c r="G597" i="34" s="1"/>
  <c r="A597" i="34"/>
  <c r="F596" i="34"/>
  <c r="G596" i="34" s="1"/>
  <c r="A596" i="34"/>
  <c r="F595" i="34"/>
  <c r="G595" i="34" s="1"/>
  <c r="A595" i="34"/>
  <c r="F594" i="34"/>
  <c r="G594" i="34" s="1"/>
  <c r="A594" i="34"/>
  <c r="F593" i="34"/>
  <c r="G593" i="34" s="1"/>
  <c r="A593" i="34"/>
  <c r="F592" i="34"/>
  <c r="G592" i="34" s="1"/>
  <c r="A592" i="34"/>
  <c r="F591" i="34"/>
  <c r="G591" i="34" s="1"/>
  <c r="A591" i="34"/>
  <c r="F590" i="34"/>
  <c r="G590" i="34" s="1"/>
  <c r="A590" i="34"/>
  <c r="F589" i="34"/>
  <c r="G589" i="34" s="1"/>
  <c r="A589" i="34"/>
  <c r="F588" i="34"/>
  <c r="G588" i="34" s="1"/>
  <c r="A588" i="34"/>
  <c r="F587" i="34"/>
  <c r="G587" i="34" s="1"/>
  <c r="A587" i="34"/>
  <c r="F586" i="34"/>
  <c r="G586" i="34" s="1"/>
  <c r="A586" i="34"/>
  <c r="F585" i="34"/>
  <c r="G585" i="34" s="1"/>
  <c r="A585" i="34"/>
  <c r="F584" i="34"/>
  <c r="G584" i="34" s="1"/>
  <c r="A584" i="34"/>
  <c r="F583" i="34"/>
  <c r="G583" i="34" s="1"/>
  <c r="A583" i="34"/>
  <c r="F582" i="34"/>
  <c r="G582" i="34" s="1"/>
  <c r="A582" i="34"/>
  <c r="F581" i="34"/>
  <c r="G581" i="34" s="1"/>
  <c r="A581" i="34"/>
  <c r="F580" i="34"/>
  <c r="G580" i="34" s="1"/>
  <c r="A580" i="34"/>
  <c r="F579" i="34"/>
  <c r="G579" i="34" s="1"/>
  <c r="A579" i="34"/>
  <c r="F578" i="34"/>
  <c r="G578" i="34" s="1"/>
  <c r="A578" i="34"/>
  <c r="F577" i="34"/>
  <c r="G577" i="34" s="1"/>
  <c r="A577" i="34"/>
  <c r="F576" i="34"/>
  <c r="G576" i="34" s="1"/>
  <c r="A576" i="34"/>
  <c r="F575" i="34"/>
  <c r="G575" i="34" s="1"/>
  <c r="A575" i="34"/>
  <c r="F574" i="34"/>
  <c r="G574" i="34" s="1"/>
  <c r="A574" i="34"/>
  <c r="F573" i="34"/>
  <c r="G573" i="34" s="1"/>
  <c r="A573" i="34"/>
  <c r="F572" i="34"/>
  <c r="G572" i="34" s="1"/>
  <c r="A572" i="34"/>
  <c r="F571" i="34"/>
  <c r="G571" i="34" s="1"/>
  <c r="A571" i="34"/>
  <c r="F570" i="34"/>
  <c r="G570" i="34" s="1"/>
  <c r="A570" i="34"/>
  <c r="F569" i="34"/>
  <c r="G569" i="34" s="1"/>
  <c r="A569" i="34"/>
  <c r="F568" i="34"/>
  <c r="G568" i="34" s="1"/>
  <c r="A568" i="34"/>
  <c r="F567" i="34"/>
  <c r="G567" i="34" s="1"/>
  <c r="A567" i="34"/>
  <c r="F566" i="34"/>
  <c r="G566" i="34" s="1"/>
  <c r="A566" i="34"/>
  <c r="F565" i="34"/>
  <c r="G565" i="34" s="1"/>
  <c r="A565" i="34"/>
  <c r="F564" i="34"/>
  <c r="G564" i="34" s="1"/>
  <c r="A564" i="34"/>
  <c r="F563" i="34"/>
  <c r="G563" i="34" s="1"/>
  <c r="A563" i="34"/>
  <c r="F562" i="34"/>
  <c r="G562" i="34" s="1"/>
  <c r="A562" i="34"/>
  <c r="F561" i="34"/>
  <c r="G561" i="34" s="1"/>
  <c r="A561" i="34"/>
  <c r="F560" i="34"/>
  <c r="G560" i="34" s="1"/>
  <c r="A560" i="34"/>
  <c r="F559" i="34"/>
  <c r="G559" i="34" s="1"/>
  <c r="A559" i="34"/>
  <c r="F558" i="34"/>
  <c r="G558" i="34" s="1"/>
  <c r="A558" i="34"/>
  <c r="F557" i="34"/>
  <c r="G557" i="34" s="1"/>
  <c r="A557" i="34"/>
  <c r="F556" i="34"/>
  <c r="G556" i="34" s="1"/>
  <c r="A556" i="34"/>
  <c r="F555" i="34"/>
  <c r="G555" i="34" s="1"/>
  <c r="A555" i="34"/>
  <c r="F554" i="34"/>
  <c r="G554" i="34" s="1"/>
  <c r="A554" i="34"/>
  <c r="F553" i="34"/>
  <c r="G553" i="34" s="1"/>
  <c r="A553" i="34"/>
  <c r="F552" i="34"/>
  <c r="G552" i="34" s="1"/>
  <c r="A552" i="34"/>
  <c r="F551" i="34"/>
  <c r="G551" i="34" s="1"/>
  <c r="A551" i="34"/>
  <c r="F550" i="34"/>
  <c r="G550" i="34" s="1"/>
  <c r="A550" i="34"/>
  <c r="F549" i="34"/>
  <c r="G549" i="34" s="1"/>
  <c r="A549" i="34"/>
  <c r="F548" i="34"/>
  <c r="G548" i="34" s="1"/>
  <c r="A548" i="34"/>
  <c r="F547" i="34"/>
  <c r="G547" i="34" s="1"/>
  <c r="A547" i="34"/>
  <c r="F546" i="34"/>
  <c r="G546" i="34" s="1"/>
  <c r="A546" i="34"/>
  <c r="F545" i="34"/>
  <c r="G545" i="34" s="1"/>
  <c r="A545" i="34"/>
  <c r="F544" i="34"/>
  <c r="G544" i="34" s="1"/>
  <c r="A544" i="34"/>
  <c r="F543" i="34"/>
  <c r="G543" i="34" s="1"/>
  <c r="A543" i="34"/>
  <c r="F542" i="34"/>
  <c r="G542" i="34" s="1"/>
  <c r="A542" i="34"/>
  <c r="F541" i="34"/>
  <c r="G541" i="34" s="1"/>
  <c r="A541" i="34"/>
  <c r="F540" i="34"/>
  <c r="G540" i="34" s="1"/>
  <c r="A540" i="34"/>
  <c r="F539" i="34"/>
  <c r="G539" i="34" s="1"/>
  <c r="A539" i="34"/>
  <c r="F538" i="34"/>
  <c r="G538" i="34" s="1"/>
  <c r="A538" i="34"/>
  <c r="F537" i="34"/>
  <c r="G537" i="34" s="1"/>
  <c r="A537" i="34"/>
  <c r="F536" i="34"/>
  <c r="G536" i="34" s="1"/>
  <c r="A536" i="34"/>
  <c r="F535" i="34"/>
  <c r="G535" i="34" s="1"/>
  <c r="A535" i="34"/>
  <c r="F534" i="34"/>
  <c r="G534" i="34" s="1"/>
  <c r="A534" i="34"/>
  <c r="F533" i="34"/>
  <c r="G533" i="34" s="1"/>
  <c r="A533" i="34"/>
  <c r="F532" i="34"/>
  <c r="G532" i="34" s="1"/>
  <c r="A532" i="34"/>
  <c r="F531" i="34"/>
  <c r="G531" i="34" s="1"/>
  <c r="A531" i="34"/>
  <c r="F530" i="34"/>
  <c r="G530" i="34" s="1"/>
  <c r="A530" i="34"/>
  <c r="F529" i="34"/>
  <c r="G529" i="34" s="1"/>
  <c r="A529" i="34"/>
  <c r="F528" i="34"/>
  <c r="G528" i="34" s="1"/>
  <c r="A528" i="34"/>
  <c r="F527" i="34"/>
  <c r="G527" i="34" s="1"/>
  <c r="A527" i="34"/>
  <c r="F526" i="34"/>
  <c r="G526" i="34" s="1"/>
  <c r="A526" i="34"/>
  <c r="F525" i="34"/>
  <c r="G525" i="34" s="1"/>
  <c r="A525" i="34"/>
  <c r="F524" i="34"/>
  <c r="G524" i="34" s="1"/>
  <c r="A524" i="34"/>
  <c r="F523" i="34"/>
  <c r="G523" i="34" s="1"/>
  <c r="A523" i="34"/>
  <c r="F522" i="34"/>
  <c r="G522" i="34" s="1"/>
  <c r="A522" i="34"/>
  <c r="F521" i="34"/>
  <c r="G521" i="34" s="1"/>
  <c r="A521" i="34"/>
  <c r="F520" i="34"/>
  <c r="G520" i="34" s="1"/>
  <c r="A520" i="34"/>
  <c r="F519" i="34"/>
  <c r="G519" i="34" s="1"/>
  <c r="A519" i="34"/>
  <c r="F518" i="34"/>
  <c r="G518" i="34" s="1"/>
  <c r="A518" i="34"/>
  <c r="F517" i="34"/>
  <c r="G517" i="34" s="1"/>
  <c r="A517" i="34"/>
  <c r="F516" i="34"/>
  <c r="G516" i="34" s="1"/>
  <c r="A516" i="34"/>
  <c r="F515" i="34"/>
  <c r="G515" i="34" s="1"/>
  <c r="A515" i="34"/>
  <c r="F514" i="34"/>
  <c r="G514" i="34" s="1"/>
  <c r="A514" i="34"/>
  <c r="F513" i="34"/>
  <c r="G513" i="34" s="1"/>
  <c r="A513" i="34"/>
  <c r="F512" i="34"/>
  <c r="G512" i="34" s="1"/>
  <c r="A512" i="34"/>
  <c r="F511" i="34"/>
  <c r="G511" i="34" s="1"/>
  <c r="A511" i="34"/>
  <c r="F510" i="34"/>
  <c r="G510" i="34" s="1"/>
  <c r="A510" i="34"/>
  <c r="F509" i="34"/>
  <c r="G509" i="34" s="1"/>
  <c r="A509" i="34"/>
  <c r="F508" i="34"/>
  <c r="G508" i="34" s="1"/>
  <c r="A508" i="34"/>
  <c r="F507" i="34"/>
  <c r="G507" i="34" s="1"/>
  <c r="A507" i="34"/>
  <c r="F506" i="34"/>
  <c r="G506" i="34" s="1"/>
  <c r="A506" i="34"/>
  <c r="F505" i="34"/>
  <c r="G505" i="34" s="1"/>
  <c r="A505" i="34"/>
  <c r="F504" i="34"/>
  <c r="G504" i="34" s="1"/>
  <c r="A504" i="34"/>
  <c r="F503" i="34"/>
  <c r="G503" i="34" s="1"/>
  <c r="A503" i="34"/>
  <c r="F502" i="34"/>
  <c r="G502" i="34" s="1"/>
  <c r="A502" i="34"/>
  <c r="F501" i="34"/>
  <c r="G501" i="34" s="1"/>
  <c r="A501" i="34"/>
  <c r="F500" i="34"/>
  <c r="G500" i="34" s="1"/>
  <c r="A500" i="34"/>
  <c r="F499" i="34"/>
  <c r="G499" i="34" s="1"/>
  <c r="A499" i="34"/>
  <c r="F498" i="34"/>
  <c r="G498" i="34" s="1"/>
  <c r="A498" i="34"/>
  <c r="F497" i="34"/>
  <c r="G497" i="34" s="1"/>
  <c r="A497" i="34"/>
  <c r="F496" i="34"/>
  <c r="G496" i="34" s="1"/>
  <c r="A496" i="34"/>
  <c r="F495" i="34"/>
  <c r="G495" i="34" s="1"/>
  <c r="A495" i="34"/>
  <c r="F494" i="34"/>
  <c r="G494" i="34" s="1"/>
  <c r="A494" i="34"/>
  <c r="F493" i="34"/>
  <c r="G493" i="34" s="1"/>
  <c r="A493" i="34"/>
  <c r="F492" i="34"/>
  <c r="G492" i="34" s="1"/>
  <c r="A492" i="34"/>
  <c r="F491" i="34"/>
  <c r="G491" i="34" s="1"/>
  <c r="A491" i="34"/>
  <c r="F490" i="34"/>
  <c r="G490" i="34" s="1"/>
  <c r="A490" i="34"/>
  <c r="F489" i="34"/>
  <c r="G489" i="34" s="1"/>
  <c r="A489" i="34"/>
  <c r="F488" i="34"/>
  <c r="G488" i="34" s="1"/>
  <c r="A488" i="34"/>
  <c r="F487" i="34"/>
  <c r="G487" i="34" s="1"/>
  <c r="A487" i="34"/>
  <c r="F486" i="34"/>
  <c r="G486" i="34" s="1"/>
  <c r="A486" i="34"/>
  <c r="F485" i="34"/>
  <c r="G485" i="34" s="1"/>
  <c r="A485" i="34"/>
  <c r="F484" i="34"/>
  <c r="G484" i="34" s="1"/>
  <c r="A484" i="34"/>
  <c r="F483" i="34"/>
  <c r="G483" i="34" s="1"/>
  <c r="A483" i="34"/>
  <c r="F482" i="34"/>
  <c r="G482" i="34" s="1"/>
  <c r="A482" i="34"/>
  <c r="F481" i="34"/>
  <c r="G481" i="34" s="1"/>
  <c r="A481" i="34"/>
  <c r="F480" i="34"/>
  <c r="G480" i="34" s="1"/>
  <c r="A480" i="34"/>
  <c r="F479" i="34"/>
  <c r="G479" i="34" s="1"/>
  <c r="A479" i="34"/>
  <c r="F478" i="34"/>
  <c r="G478" i="34" s="1"/>
  <c r="A478" i="34"/>
  <c r="F477" i="34"/>
  <c r="G477" i="34" s="1"/>
  <c r="A477" i="34"/>
  <c r="F476" i="34"/>
  <c r="G476" i="34" s="1"/>
  <c r="A476" i="34"/>
  <c r="F475" i="34"/>
  <c r="G475" i="34" s="1"/>
  <c r="A475" i="34"/>
  <c r="F474" i="34"/>
  <c r="G474" i="34" s="1"/>
  <c r="A474" i="34"/>
  <c r="F473" i="34"/>
  <c r="G473" i="34" s="1"/>
  <c r="A473" i="34"/>
  <c r="F472" i="34"/>
  <c r="G472" i="34" s="1"/>
  <c r="A472" i="34"/>
  <c r="F471" i="34"/>
  <c r="G471" i="34" s="1"/>
  <c r="A471" i="34"/>
  <c r="F470" i="34"/>
  <c r="G470" i="34" s="1"/>
  <c r="A470" i="34"/>
  <c r="F469" i="34"/>
  <c r="G469" i="34" s="1"/>
  <c r="A469" i="34"/>
  <c r="F468" i="34"/>
  <c r="G468" i="34" s="1"/>
  <c r="A468" i="34"/>
  <c r="F467" i="34"/>
  <c r="G467" i="34" s="1"/>
  <c r="A467" i="34"/>
  <c r="F466" i="34"/>
  <c r="G466" i="34" s="1"/>
  <c r="A466" i="34"/>
  <c r="F465" i="34"/>
  <c r="G465" i="34" s="1"/>
  <c r="A465" i="34"/>
  <c r="F464" i="34"/>
  <c r="G464" i="34" s="1"/>
  <c r="A464" i="34"/>
  <c r="F463" i="34"/>
  <c r="G463" i="34" s="1"/>
  <c r="A463" i="34"/>
  <c r="F462" i="34"/>
  <c r="G462" i="34" s="1"/>
  <c r="A462" i="34"/>
  <c r="F461" i="34"/>
  <c r="G461" i="34" s="1"/>
  <c r="A461" i="34"/>
  <c r="F460" i="34"/>
  <c r="G460" i="34" s="1"/>
  <c r="A460" i="34"/>
  <c r="F459" i="34"/>
  <c r="G459" i="34" s="1"/>
  <c r="A459" i="34"/>
  <c r="F458" i="34"/>
  <c r="G458" i="34" s="1"/>
  <c r="A458" i="34"/>
  <c r="F457" i="34"/>
  <c r="G457" i="34" s="1"/>
  <c r="A457" i="34"/>
  <c r="F456" i="34"/>
  <c r="G456" i="34" s="1"/>
  <c r="A456" i="34"/>
  <c r="F455" i="34"/>
  <c r="G455" i="34" s="1"/>
  <c r="A455" i="34"/>
  <c r="F454" i="34"/>
  <c r="G454" i="34" s="1"/>
  <c r="A454" i="34"/>
  <c r="F453" i="34"/>
  <c r="G453" i="34" s="1"/>
  <c r="A453" i="34"/>
  <c r="F452" i="34"/>
  <c r="G452" i="34" s="1"/>
  <c r="A452" i="34"/>
  <c r="F451" i="34"/>
  <c r="G451" i="34" s="1"/>
  <c r="A451" i="34"/>
  <c r="F450" i="34"/>
  <c r="G450" i="34" s="1"/>
  <c r="A450" i="34"/>
  <c r="F449" i="34"/>
  <c r="G449" i="34" s="1"/>
  <c r="A449" i="34"/>
  <c r="F448" i="34"/>
  <c r="G448" i="34" s="1"/>
  <c r="A448" i="34"/>
  <c r="F447" i="34"/>
  <c r="G447" i="34" s="1"/>
  <c r="A447" i="34"/>
  <c r="F446" i="34"/>
  <c r="G446" i="34" s="1"/>
  <c r="A446" i="34"/>
  <c r="F445" i="34"/>
  <c r="G445" i="34" s="1"/>
  <c r="A445" i="34"/>
  <c r="F444" i="34"/>
  <c r="G444" i="34" s="1"/>
  <c r="A444" i="34"/>
  <c r="F443" i="34"/>
  <c r="G443" i="34" s="1"/>
  <c r="A443" i="34"/>
  <c r="F442" i="34"/>
  <c r="G442" i="34" s="1"/>
  <c r="A442" i="34"/>
  <c r="F441" i="34"/>
  <c r="G441" i="34" s="1"/>
  <c r="A441" i="34"/>
  <c r="F440" i="34"/>
  <c r="G440" i="34" s="1"/>
  <c r="A440" i="34"/>
  <c r="F439" i="34"/>
  <c r="G439" i="34" s="1"/>
  <c r="A439" i="34"/>
  <c r="F438" i="34"/>
  <c r="G438" i="34" s="1"/>
  <c r="A438" i="34"/>
  <c r="F437" i="34"/>
  <c r="G437" i="34" s="1"/>
  <c r="A437" i="34"/>
  <c r="F436" i="34"/>
  <c r="G436" i="34" s="1"/>
  <c r="A436" i="34"/>
  <c r="F435" i="34"/>
  <c r="G435" i="34" s="1"/>
  <c r="A435" i="34"/>
  <c r="F434" i="34"/>
  <c r="G434" i="34" s="1"/>
  <c r="A434" i="34"/>
  <c r="F433" i="34"/>
  <c r="G433" i="34" s="1"/>
  <c r="A433" i="34"/>
  <c r="F432" i="34"/>
  <c r="G432" i="34" s="1"/>
  <c r="A432" i="34"/>
  <c r="F431" i="34"/>
  <c r="G431" i="34" s="1"/>
  <c r="A431" i="34"/>
  <c r="F430" i="34"/>
  <c r="G430" i="34" s="1"/>
  <c r="A430" i="34"/>
  <c r="F429" i="34"/>
  <c r="G429" i="34" s="1"/>
  <c r="A429" i="34"/>
  <c r="F428" i="34"/>
  <c r="G428" i="34" s="1"/>
  <c r="A428" i="34"/>
  <c r="F427" i="34"/>
  <c r="G427" i="34" s="1"/>
  <c r="A427" i="34"/>
  <c r="F426" i="34"/>
  <c r="G426" i="34" s="1"/>
  <c r="A426" i="34"/>
  <c r="F425" i="34"/>
  <c r="G425" i="34" s="1"/>
  <c r="A425" i="34"/>
  <c r="F424" i="34"/>
  <c r="G424" i="34" s="1"/>
  <c r="A424" i="34"/>
  <c r="F423" i="34"/>
  <c r="G423" i="34" s="1"/>
  <c r="A423" i="34"/>
  <c r="F422" i="34"/>
  <c r="G422" i="34" s="1"/>
  <c r="A422" i="34"/>
  <c r="F421" i="34"/>
  <c r="G421" i="34" s="1"/>
  <c r="A421" i="34"/>
  <c r="F420" i="34"/>
  <c r="G420" i="34" s="1"/>
  <c r="A420" i="34"/>
  <c r="F419" i="34"/>
  <c r="G419" i="34" s="1"/>
  <c r="A419" i="34"/>
  <c r="F418" i="34"/>
  <c r="G418" i="34" s="1"/>
  <c r="A418" i="34"/>
  <c r="F417" i="34"/>
  <c r="G417" i="34" s="1"/>
  <c r="A417" i="34"/>
  <c r="F416" i="34"/>
  <c r="G416" i="34" s="1"/>
  <c r="A416" i="34"/>
  <c r="F415" i="34"/>
  <c r="G415" i="34" s="1"/>
  <c r="A415" i="34"/>
  <c r="F414" i="34"/>
  <c r="G414" i="34" s="1"/>
  <c r="A414" i="34"/>
  <c r="F413" i="34"/>
  <c r="G413" i="34" s="1"/>
  <c r="A413" i="34"/>
  <c r="F412" i="34"/>
  <c r="G412" i="34" s="1"/>
  <c r="A412" i="34"/>
  <c r="F411" i="34"/>
  <c r="G411" i="34" s="1"/>
  <c r="A411" i="34"/>
  <c r="F410" i="34"/>
  <c r="G410" i="34" s="1"/>
  <c r="A410" i="34"/>
  <c r="F409" i="34"/>
  <c r="G409" i="34" s="1"/>
  <c r="A409" i="34"/>
  <c r="F408" i="34"/>
  <c r="G408" i="34" s="1"/>
  <c r="A408" i="34"/>
  <c r="F407" i="34"/>
  <c r="G407" i="34" s="1"/>
  <c r="A407" i="34"/>
  <c r="F406" i="34"/>
  <c r="G406" i="34" s="1"/>
  <c r="A406" i="34"/>
  <c r="F405" i="34"/>
  <c r="G405" i="34" s="1"/>
  <c r="A405" i="34"/>
  <c r="F404" i="34"/>
  <c r="G404" i="34" s="1"/>
  <c r="A404" i="34"/>
  <c r="F403" i="34"/>
  <c r="G403" i="34" s="1"/>
  <c r="A403" i="34"/>
  <c r="F402" i="34"/>
  <c r="G402" i="34" s="1"/>
  <c r="A402" i="34"/>
  <c r="F401" i="34"/>
  <c r="G401" i="34" s="1"/>
  <c r="A401" i="34"/>
  <c r="F400" i="34"/>
  <c r="G400" i="34" s="1"/>
  <c r="A400" i="34"/>
  <c r="F399" i="34"/>
  <c r="G399" i="34" s="1"/>
  <c r="A399" i="34"/>
  <c r="F398" i="34"/>
  <c r="G398" i="34" s="1"/>
  <c r="A398" i="34"/>
  <c r="F397" i="34"/>
  <c r="G397" i="34" s="1"/>
  <c r="A397" i="34"/>
  <c r="F396" i="34"/>
  <c r="G396" i="34" s="1"/>
  <c r="A396" i="34"/>
  <c r="F395" i="34"/>
  <c r="G395" i="34" s="1"/>
  <c r="A395" i="34"/>
  <c r="F394" i="34"/>
  <c r="G394" i="34" s="1"/>
  <c r="A394" i="34"/>
  <c r="F393" i="34"/>
  <c r="G393" i="34" s="1"/>
  <c r="A393" i="34"/>
  <c r="F392" i="34"/>
  <c r="G392" i="34" s="1"/>
  <c r="A392" i="34"/>
  <c r="F391" i="34"/>
  <c r="G391" i="34" s="1"/>
  <c r="A391" i="34"/>
  <c r="F390" i="34"/>
  <c r="G390" i="34" s="1"/>
  <c r="A390" i="34"/>
  <c r="F389" i="34"/>
  <c r="G389" i="34" s="1"/>
  <c r="A389" i="34"/>
  <c r="F388" i="34"/>
  <c r="G388" i="34" s="1"/>
  <c r="A388" i="34"/>
  <c r="F387" i="34"/>
  <c r="G387" i="34" s="1"/>
  <c r="A387" i="34"/>
  <c r="F386" i="34"/>
  <c r="G386" i="34" s="1"/>
  <c r="A386" i="34"/>
  <c r="F385" i="34"/>
  <c r="G385" i="34" s="1"/>
  <c r="A385" i="34"/>
  <c r="F384" i="34"/>
  <c r="G384" i="34" s="1"/>
  <c r="A384" i="34"/>
  <c r="F383" i="34"/>
  <c r="G383" i="34" s="1"/>
  <c r="A383" i="34"/>
  <c r="F382" i="34"/>
  <c r="G382" i="34" s="1"/>
  <c r="A382" i="34"/>
  <c r="F381" i="34"/>
  <c r="G381" i="34" s="1"/>
  <c r="A381" i="34"/>
  <c r="F380" i="34"/>
  <c r="G380" i="34" s="1"/>
  <c r="A380" i="34"/>
  <c r="F379" i="34"/>
  <c r="G379" i="34" s="1"/>
  <c r="A379" i="34"/>
  <c r="F378" i="34"/>
  <c r="G378" i="34" s="1"/>
  <c r="A378" i="34"/>
  <c r="F377" i="34"/>
  <c r="G377" i="34" s="1"/>
  <c r="A377" i="34"/>
  <c r="F376" i="34"/>
  <c r="G376" i="34" s="1"/>
  <c r="A376" i="34"/>
  <c r="F375" i="34"/>
  <c r="G375" i="34" s="1"/>
  <c r="A375" i="34"/>
  <c r="F374" i="34"/>
  <c r="G374" i="34" s="1"/>
  <c r="A374" i="34"/>
  <c r="F373" i="34"/>
  <c r="G373" i="34" s="1"/>
  <c r="A373" i="34"/>
  <c r="F372" i="34"/>
  <c r="G372" i="34" s="1"/>
  <c r="A372" i="34"/>
  <c r="F371" i="34"/>
  <c r="G371" i="34" s="1"/>
  <c r="A371" i="34"/>
  <c r="F370" i="34"/>
  <c r="G370" i="34" s="1"/>
  <c r="A370" i="34"/>
  <c r="F369" i="34"/>
  <c r="G369" i="34" s="1"/>
  <c r="A369" i="34"/>
  <c r="F368" i="34"/>
  <c r="G368" i="34" s="1"/>
  <c r="A368" i="34"/>
  <c r="F367" i="34"/>
  <c r="G367" i="34" s="1"/>
  <c r="A367" i="34"/>
  <c r="F366" i="34"/>
  <c r="G366" i="34" s="1"/>
  <c r="A366" i="34"/>
  <c r="F365" i="34"/>
  <c r="G365" i="34" s="1"/>
  <c r="A365" i="34"/>
  <c r="F364" i="34"/>
  <c r="G364" i="34" s="1"/>
  <c r="A364" i="34"/>
  <c r="F363" i="34"/>
  <c r="G363" i="34" s="1"/>
  <c r="A363" i="34"/>
  <c r="F362" i="34"/>
  <c r="G362" i="34" s="1"/>
  <c r="A362" i="34"/>
  <c r="F361" i="34"/>
  <c r="G361" i="34" s="1"/>
  <c r="A361" i="34"/>
  <c r="F360" i="34"/>
  <c r="G360" i="34" s="1"/>
  <c r="A360" i="34"/>
  <c r="F359" i="34"/>
  <c r="G359" i="34" s="1"/>
  <c r="A359" i="34"/>
  <c r="F358" i="34"/>
  <c r="G358" i="34" s="1"/>
  <c r="A358" i="34"/>
  <c r="F357" i="34"/>
  <c r="G357" i="34" s="1"/>
  <c r="A357" i="34"/>
  <c r="F356" i="34"/>
  <c r="G356" i="34" s="1"/>
  <c r="A356" i="34"/>
  <c r="F355" i="34"/>
  <c r="G355" i="34" s="1"/>
  <c r="A355" i="34"/>
  <c r="F354" i="34"/>
  <c r="G354" i="34" s="1"/>
  <c r="A354" i="34"/>
  <c r="F353" i="34"/>
  <c r="G353" i="34" s="1"/>
  <c r="A353" i="34"/>
  <c r="F352" i="34"/>
  <c r="G352" i="34" s="1"/>
  <c r="A352" i="34"/>
  <c r="F351" i="34"/>
  <c r="G351" i="34" s="1"/>
  <c r="A351" i="34"/>
  <c r="F350" i="34"/>
  <c r="G350" i="34" s="1"/>
  <c r="A350" i="34"/>
  <c r="F349" i="34"/>
  <c r="G349" i="34" s="1"/>
  <c r="A349" i="34"/>
  <c r="F348" i="34"/>
  <c r="G348" i="34" s="1"/>
  <c r="A348" i="34"/>
  <c r="F347" i="34"/>
  <c r="G347" i="34" s="1"/>
  <c r="A347" i="34"/>
  <c r="F346" i="34"/>
  <c r="G346" i="34" s="1"/>
  <c r="A346" i="34"/>
  <c r="F345" i="34"/>
  <c r="G345" i="34" s="1"/>
  <c r="A345" i="34"/>
  <c r="F344" i="34"/>
  <c r="G344" i="34" s="1"/>
  <c r="A344" i="34"/>
  <c r="F343" i="34"/>
  <c r="G343" i="34" s="1"/>
  <c r="A343" i="34"/>
  <c r="F342" i="34"/>
  <c r="G342" i="34" s="1"/>
  <c r="A342" i="34"/>
  <c r="F341" i="34"/>
  <c r="G341" i="34" s="1"/>
  <c r="A341" i="34"/>
  <c r="F340" i="34"/>
  <c r="G340" i="34" s="1"/>
  <c r="A340" i="34"/>
  <c r="F339" i="34"/>
  <c r="G339" i="34" s="1"/>
  <c r="A339" i="34"/>
  <c r="F338" i="34"/>
  <c r="G338" i="34" s="1"/>
  <c r="A338" i="34"/>
  <c r="F337" i="34"/>
  <c r="G337" i="34" s="1"/>
  <c r="A337" i="34"/>
  <c r="F336" i="34"/>
  <c r="G336" i="34" s="1"/>
  <c r="A336" i="34"/>
  <c r="F335" i="34"/>
  <c r="G335" i="34" s="1"/>
  <c r="A335" i="34"/>
  <c r="F334" i="34"/>
  <c r="G334" i="34" s="1"/>
  <c r="A334" i="34"/>
  <c r="F333" i="34"/>
  <c r="G333" i="34" s="1"/>
  <c r="A333" i="34"/>
  <c r="F332" i="34"/>
  <c r="G332" i="34" s="1"/>
  <c r="A332" i="34"/>
  <c r="F331" i="34"/>
  <c r="G331" i="34" s="1"/>
  <c r="A331" i="34"/>
  <c r="F330" i="34"/>
  <c r="G330" i="34" s="1"/>
  <c r="A330" i="34"/>
  <c r="F329" i="34"/>
  <c r="G329" i="34" s="1"/>
  <c r="A329" i="34"/>
  <c r="F328" i="34"/>
  <c r="G328" i="34" s="1"/>
  <c r="A328" i="34"/>
  <c r="F327" i="34"/>
  <c r="G327" i="34" s="1"/>
  <c r="A327" i="34"/>
  <c r="F326" i="34"/>
  <c r="G326" i="34" s="1"/>
  <c r="A326" i="34"/>
  <c r="F325" i="34"/>
  <c r="G325" i="34" s="1"/>
  <c r="A325" i="34"/>
  <c r="F324" i="34"/>
  <c r="G324" i="34" s="1"/>
  <c r="A324" i="34"/>
  <c r="F323" i="34"/>
  <c r="G323" i="34" s="1"/>
  <c r="A323" i="34"/>
  <c r="F322" i="34"/>
  <c r="G322" i="34" s="1"/>
  <c r="A322" i="34"/>
  <c r="F321" i="34"/>
  <c r="G321" i="34" s="1"/>
  <c r="A321" i="34"/>
  <c r="F320" i="34"/>
  <c r="G320" i="34" s="1"/>
  <c r="A320" i="34"/>
  <c r="F319" i="34"/>
  <c r="G319" i="34" s="1"/>
  <c r="A319" i="34"/>
  <c r="F318" i="34"/>
  <c r="G318" i="34" s="1"/>
  <c r="A318" i="34"/>
  <c r="F317" i="34"/>
  <c r="G317" i="34" s="1"/>
  <c r="A317" i="34"/>
  <c r="F316" i="34"/>
  <c r="G316" i="34" s="1"/>
  <c r="A316" i="34"/>
  <c r="F315" i="34"/>
  <c r="G315" i="34" s="1"/>
  <c r="A315" i="34"/>
  <c r="F314" i="34"/>
  <c r="G314" i="34" s="1"/>
  <c r="A314" i="34"/>
  <c r="F313" i="34"/>
  <c r="G313" i="34" s="1"/>
  <c r="A313" i="34"/>
  <c r="F312" i="34"/>
  <c r="G312" i="34" s="1"/>
  <c r="A312" i="34"/>
  <c r="F311" i="34"/>
  <c r="G311" i="34" s="1"/>
  <c r="A311" i="34"/>
  <c r="F310" i="34"/>
  <c r="G310" i="34" s="1"/>
  <c r="A310" i="34"/>
  <c r="F309" i="34"/>
  <c r="G309" i="34" s="1"/>
  <c r="A309" i="34"/>
  <c r="F308" i="34"/>
  <c r="G308" i="34" s="1"/>
  <c r="A308" i="34"/>
  <c r="F307" i="34"/>
  <c r="G307" i="34" s="1"/>
  <c r="A307" i="34"/>
  <c r="F306" i="34"/>
  <c r="G306" i="34" s="1"/>
  <c r="A306" i="34"/>
  <c r="F305" i="34"/>
  <c r="G305" i="34" s="1"/>
  <c r="A305" i="34"/>
  <c r="F304" i="34"/>
  <c r="G304" i="34" s="1"/>
  <c r="A304" i="34"/>
  <c r="F303" i="34"/>
  <c r="G303" i="34" s="1"/>
  <c r="A303" i="34"/>
  <c r="F302" i="34"/>
  <c r="G302" i="34" s="1"/>
  <c r="A302" i="34"/>
  <c r="F301" i="34"/>
  <c r="G301" i="34" s="1"/>
  <c r="A301" i="34"/>
  <c r="F300" i="34"/>
  <c r="G300" i="34" s="1"/>
  <c r="A300" i="34"/>
  <c r="F299" i="34"/>
  <c r="G299" i="34" s="1"/>
  <c r="A299" i="34"/>
  <c r="F298" i="34"/>
  <c r="G298" i="34" s="1"/>
  <c r="A298" i="34"/>
  <c r="F297" i="34"/>
  <c r="G297" i="34" s="1"/>
  <c r="A297" i="34"/>
  <c r="F296" i="34"/>
  <c r="G296" i="34" s="1"/>
  <c r="A296" i="34"/>
  <c r="F295" i="34"/>
  <c r="G295" i="34" s="1"/>
  <c r="A295" i="34"/>
  <c r="F294" i="34"/>
  <c r="G294" i="34" s="1"/>
  <c r="A294" i="34"/>
  <c r="F293" i="34"/>
  <c r="G293" i="34" s="1"/>
  <c r="A293" i="34"/>
  <c r="F292" i="34"/>
  <c r="G292" i="34" s="1"/>
  <c r="A292" i="34"/>
  <c r="F291" i="34"/>
  <c r="G291" i="34" s="1"/>
  <c r="A291" i="34"/>
  <c r="F290" i="34"/>
  <c r="G290" i="34" s="1"/>
  <c r="A290" i="34"/>
  <c r="F289" i="34"/>
  <c r="G289" i="34" s="1"/>
  <c r="A289" i="34"/>
  <c r="F288" i="34"/>
  <c r="G288" i="34" s="1"/>
  <c r="A288" i="34"/>
  <c r="F287" i="34"/>
  <c r="G287" i="34" s="1"/>
  <c r="A287" i="34"/>
  <c r="F286" i="34"/>
  <c r="G286" i="34" s="1"/>
  <c r="A286" i="34"/>
  <c r="F284" i="34"/>
  <c r="G284" i="34" s="1"/>
  <c r="A284" i="34"/>
  <c r="F283" i="34"/>
  <c r="G283" i="34" s="1"/>
  <c r="A283" i="34"/>
  <c r="F282" i="34"/>
  <c r="G282" i="34" s="1"/>
  <c r="A282" i="34"/>
  <c r="F281" i="34"/>
  <c r="G281" i="34" s="1"/>
  <c r="A281" i="34"/>
  <c r="F280" i="34"/>
  <c r="G280" i="34" s="1"/>
  <c r="A280" i="34"/>
  <c r="F279" i="34"/>
  <c r="G279" i="34" s="1"/>
  <c r="A279" i="34"/>
  <c r="F278" i="34"/>
  <c r="G278" i="34" s="1"/>
  <c r="A278" i="34"/>
  <c r="F277" i="34"/>
  <c r="G277" i="34" s="1"/>
  <c r="A277" i="34"/>
  <c r="F276" i="34"/>
  <c r="G276" i="34" s="1"/>
  <c r="A276" i="34"/>
  <c r="F275" i="34"/>
  <c r="G275" i="34" s="1"/>
  <c r="A275" i="34"/>
  <c r="F274" i="34"/>
  <c r="G274" i="34" s="1"/>
  <c r="A274" i="34"/>
  <c r="F273" i="34"/>
  <c r="G273" i="34" s="1"/>
  <c r="A273" i="34"/>
  <c r="F272" i="34"/>
  <c r="G272" i="34" s="1"/>
  <c r="A272" i="34"/>
  <c r="F271" i="34"/>
  <c r="G271" i="34" s="1"/>
  <c r="A271" i="34"/>
  <c r="F270" i="34"/>
  <c r="G270" i="34" s="1"/>
  <c r="A270" i="34"/>
  <c r="F269" i="34"/>
  <c r="G269" i="34" s="1"/>
  <c r="A269" i="34"/>
  <c r="F268" i="34"/>
  <c r="G268" i="34" s="1"/>
  <c r="A268" i="34"/>
  <c r="F267" i="34"/>
  <c r="G267" i="34" s="1"/>
  <c r="A267" i="34"/>
  <c r="F266" i="34"/>
  <c r="G266" i="34" s="1"/>
  <c r="A266" i="34"/>
  <c r="F265" i="34"/>
  <c r="G265" i="34" s="1"/>
  <c r="A265" i="34"/>
  <c r="F264" i="34"/>
  <c r="G264" i="34" s="1"/>
  <c r="A264" i="34"/>
  <c r="F263" i="34"/>
  <c r="G263" i="34" s="1"/>
  <c r="A263" i="34"/>
  <c r="F262" i="34"/>
  <c r="G262" i="34" s="1"/>
  <c r="A262" i="34"/>
  <c r="F261" i="34"/>
  <c r="G261" i="34" s="1"/>
  <c r="A261" i="34"/>
  <c r="F260" i="34"/>
  <c r="G260" i="34" s="1"/>
  <c r="A260" i="34"/>
  <c r="F259" i="34"/>
  <c r="G259" i="34" s="1"/>
  <c r="A259" i="34"/>
  <c r="F258" i="34"/>
  <c r="G258" i="34" s="1"/>
  <c r="A258" i="34"/>
  <c r="F257" i="34"/>
  <c r="G257" i="34" s="1"/>
  <c r="A257" i="34"/>
  <c r="F256" i="34"/>
  <c r="G256" i="34" s="1"/>
  <c r="A256" i="34"/>
  <c r="F255" i="34"/>
  <c r="G255" i="34" s="1"/>
  <c r="A255" i="34"/>
  <c r="F254" i="34"/>
  <c r="G254" i="34" s="1"/>
  <c r="A254" i="34"/>
  <c r="F253" i="34"/>
  <c r="G253" i="34" s="1"/>
  <c r="A253" i="34"/>
  <c r="F252" i="34"/>
  <c r="G252" i="34" s="1"/>
  <c r="A252" i="34"/>
  <c r="F250" i="34"/>
  <c r="G250" i="34" s="1"/>
  <c r="A250" i="34"/>
  <c r="F249" i="34"/>
  <c r="G249" i="34" s="1"/>
  <c r="A249" i="34"/>
  <c r="F248" i="34"/>
  <c r="G248" i="34" s="1"/>
  <c r="A248" i="34"/>
  <c r="F247" i="34"/>
  <c r="G247" i="34" s="1"/>
  <c r="A247" i="34"/>
  <c r="F246" i="34"/>
  <c r="G246" i="34" s="1"/>
  <c r="A246" i="34"/>
  <c r="F245" i="34"/>
  <c r="G245" i="34" s="1"/>
  <c r="A245" i="34"/>
  <c r="F244" i="34"/>
  <c r="G244" i="34" s="1"/>
  <c r="A244" i="34"/>
  <c r="F243" i="34"/>
  <c r="G243" i="34" s="1"/>
  <c r="A243" i="34"/>
  <c r="F242" i="34"/>
  <c r="G242" i="34" s="1"/>
  <c r="A242" i="34"/>
  <c r="F241" i="34"/>
  <c r="G241" i="34" s="1"/>
  <c r="A241" i="34"/>
  <c r="F240" i="34"/>
  <c r="G240" i="34" s="1"/>
  <c r="A240" i="34"/>
  <c r="F239" i="34"/>
  <c r="G239" i="34" s="1"/>
  <c r="A239" i="34"/>
  <c r="F238" i="34"/>
  <c r="G238" i="34" s="1"/>
  <c r="A238" i="34"/>
  <c r="F237" i="34"/>
  <c r="G237" i="34" s="1"/>
  <c r="A237" i="34"/>
  <c r="F236" i="34"/>
  <c r="G236" i="34" s="1"/>
  <c r="A236" i="34"/>
  <c r="F235" i="34"/>
  <c r="G235" i="34" s="1"/>
  <c r="A235" i="34"/>
  <c r="F234" i="34"/>
  <c r="G234" i="34" s="1"/>
  <c r="A234" i="34"/>
  <c r="F233" i="34"/>
  <c r="G233" i="34" s="1"/>
  <c r="A233" i="34"/>
  <c r="F232" i="34"/>
  <c r="G232" i="34" s="1"/>
  <c r="A232" i="34"/>
  <c r="F231" i="34"/>
  <c r="G231" i="34" s="1"/>
  <c r="A231" i="34"/>
  <c r="F230" i="34"/>
  <c r="G230" i="34" s="1"/>
  <c r="A230" i="34"/>
  <c r="F229" i="34"/>
  <c r="G229" i="34" s="1"/>
  <c r="A229" i="34"/>
  <c r="F228" i="34"/>
  <c r="G228" i="34" s="1"/>
  <c r="A228" i="34"/>
  <c r="F227" i="34"/>
  <c r="G227" i="34" s="1"/>
  <c r="A227" i="34"/>
  <c r="F226" i="34"/>
  <c r="G226" i="34" s="1"/>
  <c r="A226" i="34"/>
  <c r="F225" i="34"/>
  <c r="G225" i="34" s="1"/>
  <c r="A225" i="34"/>
  <c r="F224" i="34"/>
  <c r="G224" i="34" s="1"/>
  <c r="A224" i="34"/>
  <c r="F223" i="34"/>
  <c r="G223" i="34" s="1"/>
  <c r="A223" i="34"/>
  <c r="F222" i="34"/>
  <c r="G222" i="34" s="1"/>
  <c r="A222" i="34"/>
  <c r="F221" i="34"/>
  <c r="G221" i="34" s="1"/>
  <c r="A221" i="34"/>
  <c r="F220" i="34"/>
  <c r="G220" i="34" s="1"/>
  <c r="A220" i="34"/>
  <c r="F219" i="34"/>
  <c r="G219" i="34" s="1"/>
  <c r="A219" i="34"/>
  <c r="F218" i="34"/>
  <c r="G218" i="34" s="1"/>
  <c r="A218" i="34"/>
  <c r="F217" i="34"/>
  <c r="G217" i="34" s="1"/>
  <c r="A217" i="34"/>
  <c r="F216" i="34"/>
  <c r="G216" i="34" s="1"/>
  <c r="A216" i="34"/>
  <c r="F215" i="34"/>
  <c r="G215" i="34" s="1"/>
  <c r="A215" i="34"/>
  <c r="F214" i="34"/>
  <c r="G214" i="34" s="1"/>
  <c r="A214" i="34"/>
  <c r="F213" i="34"/>
  <c r="G213" i="34" s="1"/>
  <c r="A213" i="34"/>
  <c r="F212" i="34"/>
  <c r="G212" i="34" s="1"/>
  <c r="A212" i="34"/>
  <c r="F211" i="34"/>
  <c r="G211" i="34" s="1"/>
  <c r="A211" i="34"/>
  <c r="F210" i="34"/>
  <c r="G210" i="34" s="1"/>
  <c r="A210" i="34"/>
  <c r="F209" i="34"/>
  <c r="G209" i="34" s="1"/>
  <c r="A209" i="34"/>
  <c r="F208" i="34"/>
  <c r="G208" i="34" s="1"/>
  <c r="A208" i="34"/>
  <c r="F207" i="34"/>
  <c r="G207" i="34" s="1"/>
  <c r="A207" i="34"/>
  <c r="F206" i="34"/>
  <c r="G206" i="34" s="1"/>
  <c r="A206" i="34"/>
  <c r="F205" i="34"/>
  <c r="G205" i="34" s="1"/>
  <c r="A205" i="34"/>
  <c r="F204" i="34"/>
  <c r="G204" i="34" s="1"/>
  <c r="A204" i="34"/>
  <c r="F203" i="34"/>
  <c r="G203" i="34" s="1"/>
  <c r="A203" i="34"/>
  <c r="F202" i="34"/>
  <c r="G202" i="34" s="1"/>
  <c r="A202" i="34"/>
  <c r="F201" i="34"/>
  <c r="G201" i="34" s="1"/>
  <c r="A201" i="34"/>
  <c r="F200" i="34"/>
  <c r="G200" i="34" s="1"/>
  <c r="A200" i="34"/>
  <c r="F199" i="34"/>
  <c r="G199" i="34" s="1"/>
  <c r="A199" i="34"/>
  <c r="F198" i="34"/>
  <c r="G198" i="34" s="1"/>
  <c r="A198" i="34"/>
  <c r="F197" i="34"/>
  <c r="G197" i="34" s="1"/>
  <c r="A197" i="34"/>
  <c r="F196" i="34"/>
  <c r="G196" i="34" s="1"/>
  <c r="A196" i="34"/>
  <c r="F195" i="34"/>
  <c r="G195" i="34" s="1"/>
  <c r="A195" i="34"/>
  <c r="F194" i="34"/>
  <c r="G194" i="34" s="1"/>
  <c r="A194" i="34"/>
  <c r="F193" i="34"/>
  <c r="G193" i="34" s="1"/>
  <c r="A193" i="34"/>
  <c r="F192" i="34"/>
  <c r="G192" i="34" s="1"/>
  <c r="A192" i="34"/>
  <c r="F191" i="34"/>
  <c r="G191" i="34" s="1"/>
  <c r="A191" i="34"/>
  <c r="F190" i="34"/>
  <c r="G190" i="34" s="1"/>
  <c r="A190" i="34"/>
  <c r="F189" i="34"/>
  <c r="G189" i="34" s="1"/>
  <c r="A189" i="34"/>
  <c r="F188" i="34"/>
  <c r="G188" i="34" s="1"/>
  <c r="A188" i="34"/>
  <c r="F187" i="34"/>
  <c r="G187" i="34" s="1"/>
  <c r="A187" i="34"/>
  <c r="F186" i="34"/>
  <c r="G186" i="34" s="1"/>
  <c r="A186" i="34"/>
  <c r="F185" i="34"/>
  <c r="G185" i="34" s="1"/>
  <c r="A185" i="34"/>
  <c r="F184" i="34"/>
  <c r="G184" i="34" s="1"/>
  <c r="A184" i="34"/>
  <c r="F183" i="34"/>
  <c r="G183" i="34" s="1"/>
  <c r="A183" i="34"/>
  <c r="F182" i="34"/>
  <c r="G182" i="34" s="1"/>
  <c r="A182" i="34"/>
  <c r="F181" i="34"/>
  <c r="G181" i="34" s="1"/>
  <c r="A181" i="34"/>
  <c r="F180" i="34"/>
  <c r="G180" i="34" s="1"/>
  <c r="A180" i="34"/>
  <c r="F179" i="34"/>
  <c r="G179" i="34" s="1"/>
  <c r="A179" i="34"/>
  <c r="F178" i="34"/>
  <c r="G178" i="34" s="1"/>
  <c r="A178" i="34"/>
  <c r="F177" i="34"/>
  <c r="G177" i="34" s="1"/>
  <c r="A177" i="34"/>
  <c r="F176" i="34"/>
  <c r="G176" i="34" s="1"/>
  <c r="A176" i="34"/>
  <c r="F175" i="34"/>
  <c r="G175" i="34" s="1"/>
  <c r="A175" i="34"/>
  <c r="F174" i="34"/>
  <c r="G174" i="34" s="1"/>
  <c r="A174" i="34"/>
  <c r="F173" i="34"/>
  <c r="G173" i="34" s="1"/>
  <c r="A173" i="34"/>
  <c r="F172" i="34"/>
  <c r="G172" i="34" s="1"/>
  <c r="A172" i="34"/>
  <c r="F171" i="34"/>
  <c r="G171" i="34" s="1"/>
  <c r="A171" i="34"/>
  <c r="F170" i="34"/>
  <c r="G170" i="34" s="1"/>
  <c r="A170" i="34"/>
  <c r="F169" i="34"/>
  <c r="G169" i="34" s="1"/>
  <c r="A169" i="34"/>
  <c r="F168" i="34"/>
  <c r="G168" i="34" s="1"/>
  <c r="A168" i="34"/>
  <c r="F167" i="34"/>
  <c r="G167" i="34" s="1"/>
  <c r="A167" i="34"/>
  <c r="F166" i="34"/>
  <c r="G166" i="34" s="1"/>
  <c r="A166" i="34"/>
  <c r="F165" i="34"/>
  <c r="G165" i="34" s="1"/>
  <c r="A165" i="34"/>
  <c r="F164" i="34"/>
  <c r="G164" i="34" s="1"/>
  <c r="A164" i="34"/>
  <c r="F163" i="34"/>
  <c r="G163" i="34" s="1"/>
  <c r="A163" i="34"/>
  <c r="F162" i="34"/>
  <c r="G162" i="34" s="1"/>
  <c r="A162" i="34"/>
  <c r="F161" i="34"/>
  <c r="G161" i="34" s="1"/>
  <c r="A161" i="34"/>
  <c r="F160" i="34"/>
  <c r="G160" i="34" s="1"/>
  <c r="A160" i="34"/>
  <c r="F159" i="34"/>
  <c r="G159" i="34" s="1"/>
  <c r="A159" i="34"/>
  <c r="F158" i="34"/>
  <c r="G158" i="34" s="1"/>
  <c r="A158" i="34"/>
  <c r="F157" i="34"/>
  <c r="G157" i="34" s="1"/>
  <c r="A157" i="34"/>
  <c r="F156" i="34"/>
  <c r="G156" i="34" s="1"/>
  <c r="A156" i="34"/>
  <c r="F155" i="34"/>
  <c r="G155" i="34" s="1"/>
  <c r="A155" i="34"/>
  <c r="F154" i="34"/>
  <c r="G154" i="34" s="1"/>
  <c r="A154" i="34"/>
  <c r="F153" i="34"/>
  <c r="G153" i="34" s="1"/>
  <c r="A153" i="34"/>
  <c r="F152" i="34"/>
  <c r="G152" i="34" s="1"/>
  <c r="A152" i="34"/>
  <c r="F151" i="34"/>
  <c r="G151" i="34" s="1"/>
  <c r="A151" i="34"/>
  <c r="F150" i="34"/>
  <c r="G150" i="34" s="1"/>
  <c r="A150" i="34"/>
  <c r="F149" i="34"/>
  <c r="G149" i="34" s="1"/>
  <c r="A149" i="34"/>
  <c r="F148" i="34"/>
  <c r="G148" i="34" s="1"/>
  <c r="A148" i="34"/>
  <c r="F147" i="34"/>
  <c r="G147" i="34" s="1"/>
  <c r="A147" i="34"/>
  <c r="F146" i="34"/>
  <c r="G146" i="34" s="1"/>
  <c r="A146" i="34"/>
  <c r="F145" i="34"/>
  <c r="G145" i="34" s="1"/>
  <c r="A145" i="34"/>
  <c r="F144" i="34"/>
  <c r="G144" i="34" s="1"/>
  <c r="A144" i="34"/>
  <c r="F143" i="34"/>
  <c r="G143" i="34" s="1"/>
  <c r="A143" i="34"/>
  <c r="F142" i="34"/>
  <c r="G142" i="34" s="1"/>
  <c r="A142" i="34"/>
  <c r="F141" i="34"/>
  <c r="G141" i="34" s="1"/>
  <c r="A141" i="34"/>
  <c r="F140" i="34"/>
  <c r="G140" i="34" s="1"/>
  <c r="A140" i="34"/>
  <c r="F139" i="34"/>
  <c r="G139" i="34" s="1"/>
  <c r="A139" i="34"/>
  <c r="F138" i="34"/>
  <c r="G138" i="34" s="1"/>
  <c r="A138" i="34"/>
  <c r="F137" i="34"/>
  <c r="G137" i="34" s="1"/>
  <c r="A137" i="34"/>
  <c r="F136" i="34"/>
  <c r="G136" i="34" s="1"/>
  <c r="A136" i="34"/>
  <c r="F135" i="34"/>
  <c r="G135" i="34" s="1"/>
  <c r="A135" i="34"/>
  <c r="F134" i="34"/>
  <c r="G134" i="34" s="1"/>
  <c r="A134" i="34"/>
  <c r="F133" i="34"/>
  <c r="G133" i="34" s="1"/>
  <c r="A133" i="34"/>
  <c r="F132" i="34"/>
  <c r="G132" i="34" s="1"/>
  <c r="A132" i="34"/>
  <c r="F131" i="34"/>
  <c r="G131" i="34" s="1"/>
  <c r="A131" i="34"/>
  <c r="F130" i="34"/>
  <c r="G130" i="34" s="1"/>
  <c r="A130" i="34"/>
  <c r="F129" i="34"/>
  <c r="G129" i="34" s="1"/>
  <c r="A129" i="34"/>
  <c r="F128" i="34"/>
  <c r="G128" i="34" s="1"/>
  <c r="A128" i="34"/>
  <c r="F127" i="34"/>
  <c r="G127" i="34" s="1"/>
  <c r="A127" i="34"/>
  <c r="F126" i="34"/>
  <c r="G126" i="34" s="1"/>
  <c r="A126" i="34"/>
  <c r="F125" i="34"/>
  <c r="G125" i="34" s="1"/>
  <c r="A125" i="34"/>
  <c r="F124" i="34"/>
  <c r="G124" i="34" s="1"/>
  <c r="A124" i="34"/>
  <c r="F123" i="34"/>
  <c r="G123" i="34" s="1"/>
  <c r="A123" i="34"/>
  <c r="F122" i="34"/>
  <c r="G122" i="34" s="1"/>
  <c r="A122" i="34"/>
  <c r="F121" i="34"/>
  <c r="G121" i="34" s="1"/>
  <c r="A121" i="34"/>
  <c r="F120" i="34"/>
  <c r="G120" i="34" s="1"/>
  <c r="A120" i="34"/>
  <c r="F119" i="34"/>
  <c r="G119" i="34" s="1"/>
  <c r="A119" i="34"/>
  <c r="F118" i="34"/>
  <c r="G118" i="34" s="1"/>
  <c r="A118" i="34"/>
  <c r="F117" i="34"/>
  <c r="G117" i="34" s="1"/>
  <c r="A117" i="34"/>
  <c r="F116" i="34"/>
  <c r="G116" i="34" s="1"/>
  <c r="A116" i="34"/>
  <c r="F115" i="34"/>
  <c r="G115" i="34" s="1"/>
  <c r="A115" i="34"/>
  <c r="F114" i="34"/>
  <c r="G114" i="34" s="1"/>
  <c r="A114" i="34"/>
  <c r="F113" i="34"/>
  <c r="G113" i="34" s="1"/>
  <c r="A113" i="34"/>
  <c r="F112" i="34"/>
  <c r="G112" i="34" s="1"/>
  <c r="A112" i="34"/>
  <c r="F111" i="34"/>
  <c r="G111" i="34" s="1"/>
  <c r="A111" i="34"/>
  <c r="F110" i="34"/>
  <c r="G110" i="34" s="1"/>
  <c r="A110" i="34"/>
  <c r="F109" i="34"/>
  <c r="G109" i="34" s="1"/>
  <c r="A109" i="34"/>
  <c r="F108" i="34"/>
  <c r="G108" i="34" s="1"/>
  <c r="A108" i="34"/>
  <c r="F107" i="34"/>
  <c r="G107" i="34" s="1"/>
  <c r="A107" i="34"/>
  <c r="F106" i="34"/>
  <c r="G106" i="34" s="1"/>
  <c r="A106" i="34"/>
  <c r="F105" i="34"/>
  <c r="G105" i="34" s="1"/>
  <c r="A105" i="34"/>
  <c r="F104" i="34"/>
  <c r="G104" i="34" s="1"/>
  <c r="A104" i="34"/>
  <c r="F103" i="34"/>
  <c r="G103" i="34" s="1"/>
  <c r="A103" i="34"/>
  <c r="F102" i="34"/>
  <c r="G102" i="34" s="1"/>
  <c r="A102" i="34"/>
  <c r="F101" i="34"/>
  <c r="G101" i="34" s="1"/>
  <c r="A101" i="34"/>
  <c r="F100" i="34"/>
  <c r="G100" i="34" s="1"/>
  <c r="A100" i="34"/>
  <c r="F99" i="34"/>
  <c r="G99" i="34" s="1"/>
  <c r="A99" i="34"/>
  <c r="F98" i="34"/>
  <c r="G98" i="34" s="1"/>
  <c r="A98" i="34"/>
  <c r="F97" i="34"/>
  <c r="G97" i="34" s="1"/>
  <c r="A97" i="34"/>
  <c r="F96" i="34"/>
  <c r="G96" i="34" s="1"/>
  <c r="A96" i="34"/>
  <c r="F95" i="34"/>
  <c r="G95" i="34" s="1"/>
  <c r="A95" i="34"/>
  <c r="F94" i="34"/>
  <c r="G94" i="34" s="1"/>
  <c r="A94" i="34"/>
  <c r="F93" i="34"/>
  <c r="G93" i="34" s="1"/>
  <c r="A93" i="34"/>
  <c r="F92" i="34"/>
  <c r="G92" i="34" s="1"/>
  <c r="A92" i="34"/>
  <c r="F91" i="34"/>
  <c r="G91" i="34" s="1"/>
  <c r="A91" i="34"/>
  <c r="F90" i="34"/>
  <c r="G90" i="34" s="1"/>
  <c r="A90" i="34"/>
  <c r="F89" i="34"/>
  <c r="G89" i="34" s="1"/>
  <c r="A89" i="34"/>
  <c r="F88" i="34"/>
  <c r="G88" i="34" s="1"/>
  <c r="A88" i="34"/>
  <c r="F87" i="34"/>
  <c r="G87" i="34" s="1"/>
  <c r="A87" i="34"/>
  <c r="F86" i="34"/>
  <c r="G86" i="34" s="1"/>
  <c r="A86" i="34"/>
  <c r="F85" i="34"/>
  <c r="G85" i="34" s="1"/>
  <c r="A85" i="34"/>
  <c r="F84" i="34"/>
  <c r="G84" i="34" s="1"/>
  <c r="A84" i="34"/>
  <c r="F83" i="34"/>
  <c r="G83" i="34" s="1"/>
  <c r="A83" i="34"/>
  <c r="F82" i="34"/>
  <c r="G82" i="34" s="1"/>
  <c r="A82" i="34"/>
  <c r="F81" i="34"/>
  <c r="G81" i="34" s="1"/>
  <c r="A81" i="34"/>
  <c r="F80" i="34"/>
  <c r="G80" i="34" s="1"/>
  <c r="A80" i="34"/>
  <c r="F79" i="34"/>
  <c r="G79" i="34" s="1"/>
  <c r="A79" i="34"/>
  <c r="F78" i="34"/>
  <c r="G78" i="34" s="1"/>
  <c r="A78" i="34"/>
  <c r="F77" i="34"/>
  <c r="G77" i="34" s="1"/>
  <c r="A77" i="34"/>
  <c r="F76" i="34"/>
  <c r="G76" i="34" s="1"/>
  <c r="A76" i="34"/>
  <c r="F75" i="34"/>
  <c r="G75" i="34" s="1"/>
  <c r="A75" i="34"/>
  <c r="F74" i="34"/>
  <c r="G74" i="34" s="1"/>
  <c r="A74" i="34"/>
  <c r="F73" i="34"/>
  <c r="G73" i="34" s="1"/>
  <c r="A73" i="34"/>
  <c r="F72" i="34"/>
  <c r="G72" i="34" s="1"/>
  <c r="A72" i="34"/>
  <c r="F71" i="34"/>
  <c r="G71" i="34" s="1"/>
  <c r="A71" i="34"/>
  <c r="F70" i="34"/>
  <c r="G70" i="34" s="1"/>
  <c r="A70" i="34"/>
  <c r="F69" i="34"/>
  <c r="G69" i="34" s="1"/>
  <c r="A69" i="34"/>
  <c r="F68" i="34"/>
  <c r="G68" i="34" s="1"/>
  <c r="A68" i="34"/>
  <c r="F67" i="34"/>
  <c r="G67" i="34" s="1"/>
  <c r="A67" i="34"/>
  <c r="F66" i="34"/>
  <c r="G66" i="34" s="1"/>
  <c r="A66" i="34"/>
  <c r="F65" i="34"/>
  <c r="G65" i="34" s="1"/>
  <c r="A65" i="34"/>
  <c r="F64" i="34"/>
  <c r="G64" i="34" s="1"/>
  <c r="A64" i="34"/>
  <c r="F63" i="34"/>
  <c r="G63" i="34" s="1"/>
  <c r="A63" i="34"/>
  <c r="F62" i="34"/>
  <c r="G62" i="34" s="1"/>
  <c r="A62" i="34"/>
  <c r="F61" i="34"/>
  <c r="G61" i="34" s="1"/>
  <c r="A61" i="34"/>
  <c r="F60" i="34"/>
  <c r="G60" i="34" s="1"/>
  <c r="A60" i="34"/>
  <c r="F59" i="34"/>
  <c r="G59" i="34" s="1"/>
  <c r="A59" i="34"/>
  <c r="F58" i="34"/>
  <c r="G58" i="34" s="1"/>
  <c r="A58" i="34"/>
  <c r="F57" i="34"/>
  <c r="G57" i="34" s="1"/>
  <c r="A57" i="34"/>
  <c r="F56" i="34"/>
  <c r="G56" i="34" s="1"/>
  <c r="A56" i="34"/>
  <c r="F55" i="34"/>
  <c r="G55" i="34" s="1"/>
  <c r="A55" i="34"/>
  <c r="F54" i="34"/>
  <c r="G54" i="34" s="1"/>
  <c r="A54" i="34"/>
  <c r="F53" i="34"/>
  <c r="G53" i="34" s="1"/>
  <c r="A53" i="34"/>
  <c r="F52" i="34"/>
  <c r="G52" i="34" s="1"/>
  <c r="A52" i="34"/>
  <c r="F51" i="34"/>
  <c r="G51" i="34" s="1"/>
  <c r="A51" i="34"/>
  <c r="F50" i="34"/>
  <c r="G50" i="34" s="1"/>
  <c r="A50" i="34"/>
  <c r="F49" i="34"/>
  <c r="G49" i="34" s="1"/>
  <c r="A49" i="34"/>
  <c r="F48" i="34"/>
  <c r="G48" i="34" s="1"/>
  <c r="A48" i="34"/>
  <c r="F47" i="34"/>
  <c r="G47" i="34" s="1"/>
  <c r="A47" i="34"/>
  <c r="F46" i="34"/>
  <c r="G46" i="34" s="1"/>
  <c r="A46" i="34"/>
  <c r="F45" i="34"/>
  <c r="G45" i="34" s="1"/>
  <c r="A45" i="34"/>
  <c r="F44" i="34"/>
  <c r="G44" i="34" s="1"/>
  <c r="A44" i="34"/>
  <c r="F43" i="34"/>
  <c r="G43" i="34" s="1"/>
  <c r="A43" i="34"/>
  <c r="F42" i="34"/>
  <c r="G42" i="34" s="1"/>
  <c r="A42" i="34"/>
  <c r="F41" i="34"/>
  <c r="G41" i="34" s="1"/>
  <c r="A41" i="34"/>
  <c r="F40" i="34"/>
  <c r="G40" i="34" s="1"/>
  <c r="A40" i="34"/>
  <c r="F39" i="34"/>
  <c r="G39" i="34" s="1"/>
  <c r="A39" i="34"/>
  <c r="F38" i="34"/>
  <c r="G38" i="34" s="1"/>
  <c r="A38" i="34"/>
  <c r="F37" i="34"/>
  <c r="G37" i="34" s="1"/>
  <c r="A37" i="34"/>
  <c r="F36" i="34"/>
  <c r="G36" i="34" s="1"/>
  <c r="A36" i="34"/>
  <c r="F35" i="34"/>
  <c r="G35" i="34" s="1"/>
  <c r="A35" i="34"/>
  <c r="L34" i="34"/>
  <c r="J34" i="34"/>
  <c r="F34" i="34"/>
  <c r="G34" i="34" s="1"/>
  <c r="A34" i="34"/>
  <c r="F33" i="34"/>
  <c r="G33" i="34" s="1"/>
  <c r="A33" i="34"/>
  <c r="F32" i="34"/>
  <c r="G32" i="34" s="1"/>
  <c r="A32" i="34"/>
  <c r="F31" i="34"/>
  <c r="G31" i="34" s="1"/>
  <c r="A31" i="34"/>
  <c r="F30" i="34"/>
  <c r="G30" i="34" s="1"/>
  <c r="A30" i="34"/>
  <c r="F29" i="34"/>
  <c r="G29" i="34" s="1"/>
  <c r="A29" i="34"/>
  <c r="F28" i="34"/>
  <c r="G28" i="34" s="1"/>
  <c r="A28" i="34"/>
  <c r="F27" i="34"/>
  <c r="G27" i="34" s="1"/>
  <c r="A27" i="34"/>
  <c r="F26" i="34"/>
  <c r="G26" i="34" s="1"/>
  <c r="A26" i="34"/>
  <c r="F25" i="34"/>
  <c r="G25" i="34" s="1"/>
  <c r="A25" i="34"/>
  <c r="F24" i="34"/>
  <c r="G24" i="34" s="1"/>
  <c r="A24" i="34"/>
  <c r="F23" i="34"/>
  <c r="G23" i="34" s="1"/>
  <c r="A23" i="34"/>
  <c r="F22" i="34"/>
  <c r="G22" i="34" s="1"/>
  <c r="A22" i="34"/>
  <c r="F21" i="34"/>
  <c r="G21" i="34" s="1"/>
  <c r="A21" i="34"/>
  <c r="F20" i="34"/>
  <c r="G20" i="34" s="1"/>
  <c r="A20" i="34"/>
  <c r="F19" i="34"/>
  <c r="G19" i="34" s="1"/>
  <c r="A19" i="34"/>
  <c r="F18" i="34"/>
  <c r="G18" i="34" s="1"/>
  <c r="A18" i="34"/>
  <c r="F17" i="34"/>
  <c r="G17" i="34" s="1"/>
  <c r="A17" i="34"/>
  <c r="F16" i="34"/>
  <c r="G16" i="34" s="1"/>
  <c r="A16" i="34"/>
  <c r="F15" i="34"/>
  <c r="G15" i="34" s="1"/>
  <c r="A15" i="34"/>
  <c r="F14" i="34"/>
  <c r="G14" i="34" s="1"/>
  <c r="A14" i="34"/>
  <c r="F13" i="34"/>
  <c r="G13" i="34" s="1"/>
  <c r="A13" i="34"/>
  <c r="F12" i="34"/>
  <c r="G12" i="34" s="1"/>
  <c r="A12" i="34"/>
  <c r="F11" i="34"/>
  <c r="G11" i="34" s="1"/>
  <c r="A11" i="34"/>
  <c r="F10" i="34"/>
  <c r="G10" i="34" s="1"/>
  <c r="A10" i="34"/>
  <c r="F9" i="34"/>
  <c r="G9" i="34" s="1"/>
  <c r="A9" i="34"/>
  <c r="F8" i="34"/>
  <c r="G8" i="34" s="1"/>
  <c r="A8" i="34"/>
  <c r="F7" i="34"/>
  <c r="G7" i="34" s="1"/>
  <c r="A7" i="34"/>
  <c r="F6" i="34"/>
  <c r="G6" i="34" s="1"/>
  <c r="A6" i="34"/>
  <c r="F5" i="34"/>
  <c r="G5" i="34" s="1"/>
  <c r="A620" i="33"/>
  <c r="F265" i="33"/>
  <c r="G265" i="33" s="1"/>
  <c r="F266" i="33"/>
  <c r="G266" i="33" s="1"/>
  <c r="A265" i="33"/>
  <c r="A266" i="33"/>
  <c r="F264" i="33"/>
  <c r="G264" i="33" s="1"/>
  <c r="F267" i="33"/>
  <c r="G267" i="33" s="1"/>
  <c r="F268" i="33"/>
  <c r="G268" i="33" s="1"/>
  <c r="F269" i="33"/>
  <c r="G269" i="33" s="1"/>
  <c r="F270" i="33"/>
  <c r="G270" i="33" s="1"/>
  <c r="F271" i="33"/>
  <c r="G271" i="33" s="1"/>
  <c r="F272" i="33"/>
  <c r="G272" i="33" s="1"/>
  <c r="F273" i="33"/>
  <c r="G273" i="33" s="1"/>
  <c r="F274" i="33"/>
  <c r="G274" i="33" s="1"/>
  <c r="A264" i="33"/>
  <c r="A267" i="33"/>
  <c r="A268" i="33"/>
  <c r="A269" i="33"/>
  <c r="A270" i="33"/>
  <c r="A271" i="33"/>
  <c r="A272" i="33"/>
  <c r="A273" i="33"/>
  <c r="A274" i="33"/>
  <c r="H652" i="33"/>
  <c r="J34" i="33"/>
  <c r="L34" i="33"/>
  <c r="E326" i="32"/>
  <c r="K37" i="34" l="1"/>
  <c r="F135" i="33"/>
  <c r="F98" i="33" l="1"/>
  <c r="G98" i="33" s="1"/>
  <c r="F99" i="33"/>
  <c r="G99" i="33" s="1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A158" i="33"/>
  <c r="A159" i="33"/>
  <c r="A160" i="33"/>
  <c r="A161" i="33"/>
  <c r="A162" i="33"/>
  <c r="A163" i="33"/>
  <c r="A164" i="33"/>
  <c r="A165" i="33"/>
  <c r="A166" i="33"/>
  <c r="A167" i="33"/>
  <c r="A168" i="33"/>
  <c r="A169" i="33"/>
  <c r="A170" i="33"/>
  <c r="A171" i="33"/>
  <c r="A172" i="33"/>
  <c r="A173" i="33"/>
  <c r="A174" i="33"/>
  <c r="A175" i="33"/>
  <c r="A176" i="33"/>
  <c r="A177" i="33"/>
  <c r="A178" i="33"/>
  <c r="A179" i="33"/>
  <c r="A180" i="33"/>
  <c r="A181" i="33"/>
  <c r="A182" i="33"/>
  <c r="A183" i="33"/>
  <c r="A184" i="33"/>
  <c r="A185" i="33"/>
  <c r="A186" i="33"/>
  <c r="A187" i="33"/>
  <c r="A188" i="33"/>
  <c r="A189" i="33"/>
  <c r="A190" i="33"/>
  <c r="A191" i="33"/>
  <c r="A192" i="33"/>
  <c r="A193" i="33"/>
  <c r="A194" i="33"/>
  <c r="A195" i="33"/>
  <c r="A196" i="33"/>
  <c r="A197" i="33"/>
  <c r="A198" i="33"/>
  <c r="A199" i="33"/>
  <c r="A200" i="33"/>
  <c r="A201" i="33"/>
  <c r="A202" i="33"/>
  <c r="A203" i="33"/>
  <c r="A204" i="33"/>
  <c r="A205" i="33"/>
  <c r="A206" i="33"/>
  <c r="A207" i="33"/>
  <c r="A208" i="33"/>
  <c r="A209" i="33"/>
  <c r="A210" i="33"/>
  <c r="A211" i="33"/>
  <c r="A212" i="33"/>
  <c r="A213" i="33"/>
  <c r="A214" i="33"/>
  <c r="A215" i="33"/>
  <c r="A216" i="33"/>
  <c r="A217" i="33"/>
  <c r="A218" i="33"/>
  <c r="A219" i="33"/>
  <c r="A220" i="33"/>
  <c r="A221" i="33"/>
  <c r="A222" i="33"/>
  <c r="A223" i="33"/>
  <c r="A224" i="33"/>
  <c r="A225" i="33"/>
  <c r="A226" i="33"/>
  <c r="A227" i="33"/>
  <c r="A228" i="33"/>
  <c r="A229" i="33"/>
  <c r="A230" i="33"/>
  <c r="A231" i="33"/>
  <c r="A232" i="33"/>
  <c r="A233" i="33"/>
  <c r="A234" i="33"/>
  <c r="A235" i="33"/>
  <c r="A236" i="33"/>
  <c r="A237" i="33"/>
  <c r="A238" i="33"/>
  <c r="A239" i="33"/>
  <c r="A240" i="33"/>
  <c r="A241" i="33"/>
  <c r="A242" i="33"/>
  <c r="A243" i="33"/>
  <c r="A244" i="33"/>
  <c r="A245" i="33"/>
  <c r="A246" i="33"/>
  <c r="A247" i="33"/>
  <c r="A248" i="33"/>
  <c r="A249" i="33"/>
  <c r="A250" i="33"/>
  <c r="A251" i="33"/>
  <c r="A252" i="33"/>
  <c r="A253" i="33"/>
  <c r="A254" i="33"/>
  <c r="A255" i="33"/>
  <c r="A256" i="33"/>
  <c r="A257" i="33"/>
  <c r="A258" i="33"/>
  <c r="A259" i="33"/>
  <c r="A260" i="33"/>
  <c r="A261" i="33"/>
  <c r="A262" i="33"/>
  <c r="A263" i="33"/>
  <c r="A275" i="33"/>
  <c r="A276" i="33"/>
  <c r="A277" i="33"/>
  <c r="A278" i="33"/>
  <c r="A279" i="33"/>
  <c r="A280" i="33"/>
  <c r="A281" i="33"/>
  <c r="A282" i="33"/>
  <c r="A283" i="33"/>
  <c r="A284" i="33"/>
  <c r="A285" i="33"/>
  <c r="A286" i="33"/>
  <c r="A287" i="33"/>
  <c r="A288" i="33"/>
  <c r="A289" i="33"/>
  <c r="A290" i="33"/>
  <c r="A291" i="33"/>
  <c r="A292" i="33"/>
  <c r="A293" i="33"/>
  <c r="A294" i="33"/>
  <c r="A295" i="33"/>
  <c r="A296" i="33"/>
  <c r="A297" i="33"/>
  <c r="A298" i="33"/>
  <c r="A299" i="33"/>
  <c r="A300" i="33"/>
  <c r="A301" i="33"/>
  <c r="A302" i="33"/>
  <c r="A303" i="33"/>
  <c r="A304" i="33"/>
  <c r="A305" i="33"/>
  <c r="A306" i="33"/>
  <c r="A307" i="33"/>
  <c r="A308" i="33"/>
  <c r="A309" i="33"/>
  <c r="A310" i="33"/>
  <c r="A311" i="33"/>
  <c r="A312" i="33"/>
  <c r="A313" i="33"/>
  <c r="A314" i="33"/>
  <c r="A315" i="33"/>
  <c r="A316" i="33"/>
  <c r="A317" i="33"/>
  <c r="A318" i="33"/>
  <c r="A319" i="33"/>
  <c r="A320" i="33"/>
  <c r="A321" i="33"/>
  <c r="A322" i="33"/>
  <c r="A323" i="33"/>
  <c r="A324" i="33"/>
  <c r="A325" i="33"/>
  <c r="A326" i="33"/>
  <c r="A327" i="33"/>
  <c r="A328" i="33"/>
  <c r="A329" i="33"/>
  <c r="A330" i="33"/>
  <c r="A331" i="33"/>
  <c r="A332" i="33"/>
  <c r="A333" i="33"/>
  <c r="A334" i="33"/>
  <c r="A335" i="33"/>
  <c r="A336" i="33"/>
  <c r="A337" i="33"/>
  <c r="A338" i="33"/>
  <c r="A339" i="33"/>
  <c r="A340" i="33"/>
  <c r="A341" i="33"/>
  <c r="A342" i="33"/>
  <c r="A343" i="33"/>
  <c r="A344" i="33"/>
  <c r="A345" i="33"/>
  <c r="A346" i="33"/>
  <c r="A347" i="33"/>
  <c r="A348" i="33"/>
  <c r="A349" i="33"/>
  <c r="A350" i="33"/>
  <c r="A351" i="33"/>
  <c r="A352" i="33"/>
  <c r="A353" i="33"/>
  <c r="A354" i="33"/>
  <c r="A355" i="33"/>
  <c r="A356" i="33"/>
  <c r="A357" i="33"/>
  <c r="A358" i="33"/>
  <c r="A359" i="33"/>
  <c r="A360" i="33"/>
  <c r="A361" i="33"/>
  <c r="A362" i="33"/>
  <c r="A363" i="33"/>
  <c r="A364" i="33"/>
  <c r="A365" i="33"/>
  <c r="A366" i="33"/>
  <c r="A367" i="33"/>
  <c r="A368" i="33"/>
  <c r="A369" i="33"/>
  <c r="A370" i="33"/>
  <c r="A371" i="33"/>
  <c r="A372" i="33"/>
  <c r="A373" i="33"/>
  <c r="A374" i="33"/>
  <c r="A375" i="33"/>
  <c r="A376" i="33"/>
  <c r="A377" i="33"/>
  <c r="A378" i="33"/>
  <c r="A379" i="33"/>
  <c r="A380" i="33"/>
  <c r="A381" i="33"/>
  <c r="A382" i="33"/>
  <c r="A383" i="33"/>
  <c r="A384" i="33"/>
  <c r="A385" i="33"/>
  <c r="A386" i="33"/>
  <c r="A387" i="33"/>
  <c r="A388" i="33"/>
  <c r="A389" i="33"/>
  <c r="A390" i="33"/>
  <c r="A391" i="33"/>
  <c r="A392" i="33"/>
  <c r="A393" i="33"/>
  <c r="A394" i="33"/>
  <c r="A395" i="33"/>
  <c r="A396" i="33"/>
  <c r="A397" i="33"/>
  <c r="A398" i="33"/>
  <c r="A399" i="33"/>
  <c r="A400" i="33"/>
  <c r="A401" i="33"/>
  <c r="A402" i="33"/>
  <c r="A403" i="33"/>
  <c r="A404" i="33"/>
  <c r="A405" i="33"/>
  <c r="A406" i="33"/>
  <c r="A407" i="33"/>
  <c r="A408" i="33"/>
  <c r="A409" i="33"/>
  <c r="A410" i="33"/>
  <c r="A411" i="33"/>
  <c r="A412" i="33"/>
  <c r="A413" i="33"/>
  <c r="A414" i="33"/>
  <c r="A415" i="33"/>
  <c r="A416" i="33"/>
  <c r="A417" i="33"/>
  <c r="A418" i="33"/>
  <c r="A419" i="33"/>
  <c r="A420" i="33"/>
  <c r="A421" i="33"/>
  <c r="A422" i="33"/>
  <c r="A423" i="33"/>
  <c r="A424" i="33"/>
  <c r="A425" i="33"/>
  <c r="A426" i="33"/>
  <c r="A427" i="33"/>
  <c r="A428" i="33"/>
  <c r="A429" i="33"/>
  <c r="A430" i="33"/>
  <c r="A431" i="33"/>
  <c r="A432" i="33"/>
  <c r="A433" i="33"/>
  <c r="A434" i="33"/>
  <c r="A435" i="33"/>
  <c r="A436" i="33"/>
  <c r="A437" i="33"/>
  <c r="A438" i="33"/>
  <c r="A439" i="33"/>
  <c r="A440" i="33"/>
  <c r="A441" i="33"/>
  <c r="A442" i="33"/>
  <c r="A443" i="33"/>
  <c r="A444" i="33"/>
  <c r="A445" i="33"/>
  <c r="A446" i="33"/>
  <c r="A447" i="33"/>
  <c r="A448" i="33"/>
  <c r="A449" i="33"/>
  <c r="A450" i="33"/>
  <c r="A451" i="33"/>
  <c r="A452" i="33"/>
  <c r="A453" i="33"/>
  <c r="A454" i="33"/>
  <c r="A455" i="33"/>
  <c r="A456" i="33"/>
  <c r="A457" i="33"/>
  <c r="A458" i="33"/>
  <c r="A459" i="33"/>
  <c r="A460" i="33"/>
  <c r="A461" i="33"/>
  <c r="A462" i="33"/>
  <c r="A463" i="33"/>
  <c r="A464" i="33"/>
  <c r="A465" i="33"/>
  <c r="A466" i="33"/>
  <c r="A467" i="33"/>
  <c r="A468" i="33"/>
  <c r="A469" i="33"/>
  <c r="A470" i="33"/>
  <c r="A471" i="33"/>
  <c r="A472" i="33"/>
  <c r="A473" i="33"/>
  <c r="A474" i="33"/>
  <c r="A475" i="33"/>
  <c r="A476" i="33"/>
  <c r="A477" i="33"/>
  <c r="A478" i="33"/>
  <c r="A479" i="33"/>
  <c r="A480" i="33"/>
  <c r="A481" i="33"/>
  <c r="A482" i="33"/>
  <c r="A483" i="33"/>
  <c r="A484" i="33"/>
  <c r="A485" i="33"/>
  <c r="A486" i="33"/>
  <c r="A487" i="33"/>
  <c r="A488" i="33"/>
  <c r="A489" i="33"/>
  <c r="A490" i="33"/>
  <c r="A491" i="33"/>
  <c r="A492" i="33"/>
  <c r="A493" i="33"/>
  <c r="A494" i="33"/>
  <c r="A495" i="33"/>
  <c r="A496" i="33"/>
  <c r="A497" i="33"/>
  <c r="A498" i="33"/>
  <c r="A499" i="33"/>
  <c r="A500" i="33"/>
  <c r="A501" i="33"/>
  <c r="A502" i="33"/>
  <c r="A503" i="33"/>
  <c r="A504" i="33"/>
  <c r="A505" i="33"/>
  <c r="A506" i="33"/>
  <c r="A507" i="33"/>
  <c r="A508" i="33"/>
  <c r="A509" i="33"/>
  <c r="A510" i="33"/>
  <c r="A511" i="33"/>
  <c r="A512" i="33"/>
  <c r="A513" i="33"/>
  <c r="A514" i="33"/>
  <c r="A515" i="33"/>
  <c r="A516" i="33"/>
  <c r="A517" i="33"/>
  <c r="A518" i="33"/>
  <c r="A519" i="33"/>
  <c r="A520" i="33"/>
  <c r="A521" i="33"/>
  <c r="A522" i="33"/>
  <c r="A523" i="33"/>
  <c r="A524" i="33"/>
  <c r="A525" i="33"/>
  <c r="A526" i="33"/>
  <c r="A527" i="33"/>
  <c r="A528" i="33"/>
  <c r="A529" i="33"/>
  <c r="A530" i="33"/>
  <c r="A531" i="33"/>
  <c r="A532" i="33"/>
  <c r="A533" i="33"/>
  <c r="A534" i="33"/>
  <c r="A535" i="33"/>
  <c r="A536" i="33"/>
  <c r="A537" i="33"/>
  <c r="A538" i="33"/>
  <c r="A539" i="33"/>
  <c r="A540" i="33"/>
  <c r="A541" i="33"/>
  <c r="A542" i="33"/>
  <c r="A543" i="33"/>
  <c r="A544" i="33"/>
  <c r="A545" i="33"/>
  <c r="A546" i="33"/>
  <c r="A547" i="33"/>
  <c r="A548" i="33"/>
  <c r="A549" i="33"/>
  <c r="A550" i="33"/>
  <c r="A551" i="33"/>
  <c r="A552" i="33"/>
  <c r="A553" i="33"/>
  <c r="A554" i="33"/>
  <c r="A555" i="33"/>
  <c r="A556" i="33"/>
  <c r="A557" i="33"/>
  <c r="A558" i="33"/>
  <c r="A559" i="33"/>
  <c r="A560" i="33"/>
  <c r="A561" i="33"/>
  <c r="A562" i="33"/>
  <c r="A563" i="33"/>
  <c r="A564" i="33"/>
  <c r="A565" i="33"/>
  <c r="A566" i="33"/>
  <c r="A567" i="33"/>
  <c r="A568" i="33"/>
  <c r="A569" i="33"/>
  <c r="A570" i="33"/>
  <c r="A571" i="33"/>
  <c r="A572" i="33"/>
  <c r="A573" i="33"/>
  <c r="A574" i="33"/>
  <c r="A575" i="33"/>
  <c r="A576" i="33"/>
  <c r="A577" i="33"/>
  <c r="A578" i="33"/>
  <c r="A579" i="33"/>
  <c r="A580" i="33"/>
  <c r="A581" i="33"/>
  <c r="A582" i="33"/>
  <c r="A583" i="33"/>
  <c r="A584" i="33"/>
  <c r="A585" i="33"/>
  <c r="A586" i="33"/>
  <c r="A587" i="33"/>
  <c r="A588" i="33"/>
  <c r="A589" i="33"/>
  <c r="A590" i="33"/>
  <c r="A591" i="33"/>
  <c r="A592" i="33"/>
  <c r="A593" i="33"/>
  <c r="A594" i="33"/>
  <c r="A595" i="33"/>
  <c r="A596" i="33"/>
  <c r="A597" i="33"/>
  <c r="A598" i="33"/>
  <c r="A599" i="33"/>
  <c r="A600" i="33"/>
  <c r="A601" i="33"/>
  <c r="A602" i="33"/>
  <c r="A603" i="33"/>
  <c r="A604" i="33"/>
  <c r="A605" i="33"/>
  <c r="A606" i="33"/>
  <c r="A607" i="33"/>
  <c r="A608" i="33"/>
  <c r="A609" i="33"/>
  <c r="A610" i="33"/>
  <c r="A611" i="33"/>
  <c r="A612" i="33"/>
  <c r="A613" i="33"/>
  <c r="A614" i="33"/>
  <c r="A615" i="33"/>
  <c r="A616" i="33"/>
  <c r="A617" i="33"/>
  <c r="A618" i="33"/>
  <c r="A619" i="33"/>
  <c r="A621" i="33"/>
  <c r="A622" i="33"/>
  <c r="A623" i="33"/>
  <c r="A624" i="33"/>
  <c r="A625" i="33"/>
  <c r="A626" i="33"/>
  <c r="A627" i="33"/>
  <c r="A628" i="33"/>
  <c r="A629" i="33"/>
  <c r="A630" i="33"/>
  <c r="A631" i="33"/>
  <c r="A632" i="33"/>
  <c r="A633" i="33"/>
  <c r="A634" i="33"/>
  <c r="A635" i="33"/>
  <c r="A636" i="33"/>
  <c r="A637" i="33"/>
  <c r="A638" i="33"/>
  <c r="A639" i="33"/>
  <c r="A640" i="33"/>
  <c r="A641" i="33"/>
  <c r="A642" i="33"/>
  <c r="A643" i="33"/>
  <c r="A644" i="33"/>
  <c r="A645" i="33"/>
  <c r="A646" i="33"/>
  <c r="A647" i="33"/>
  <c r="A648" i="33"/>
  <c r="A649" i="33"/>
  <c r="A650" i="33"/>
  <c r="A651" i="33"/>
  <c r="A5" i="33"/>
  <c r="A89" i="33"/>
  <c r="A88" i="33"/>
  <c r="A87" i="33"/>
  <c r="A86" i="33"/>
  <c r="A85" i="33"/>
  <c r="A84" i="33"/>
  <c r="A83" i="33"/>
  <c r="A82" i="33"/>
  <c r="A81" i="33"/>
  <c r="A80" i="33"/>
  <c r="A79" i="33"/>
  <c r="A78" i="33"/>
  <c r="A77" i="33"/>
  <c r="A76" i="33"/>
  <c r="A75" i="33"/>
  <c r="A74" i="33"/>
  <c r="A73" i="33"/>
  <c r="A72" i="33"/>
  <c r="A71" i="33"/>
  <c r="A70" i="33"/>
  <c r="A69" i="33"/>
  <c r="A68" i="33"/>
  <c r="A67" i="33"/>
  <c r="A66" i="33"/>
  <c r="A65" i="33"/>
  <c r="A64" i="33"/>
  <c r="A63" i="33"/>
  <c r="A62" i="33"/>
  <c r="A61" i="33"/>
  <c r="A60" i="33"/>
  <c r="A59" i="33"/>
  <c r="A58" i="33"/>
  <c r="A57" i="33"/>
  <c r="A56" i="33"/>
  <c r="A55" i="33"/>
  <c r="A54" i="33"/>
  <c r="A53" i="33"/>
  <c r="A52" i="33"/>
  <c r="A51" i="33"/>
  <c r="A50" i="33"/>
  <c r="A49" i="33"/>
  <c r="A48" i="33"/>
  <c r="A47" i="33"/>
  <c r="A46" i="33"/>
  <c r="A45" i="33"/>
  <c r="A44" i="33"/>
  <c r="A43" i="33"/>
  <c r="A42" i="33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302" i="31"/>
  <c r="A303" i="31"/>
  <c r="A304" i="31"/>
  <c r="A305" i="31"/>
  <c r="A306" i="31"/>
  <c r="A307" i="31"/>
  <c r="A308" i="31"/>
  <c r="A309" i="31"/>
  <c r="A310" i="31"/>
  <c r="A311" i="31"/>
  <c r="A312" i="31"/>
  <c r="A313" i="31"/>
  <c r="A314" i="31"/>
  <c r="A315" i="31"/>
  <c r="A316" i="31"/>
  <c r="A317" i="31"/>
  <c r="A318" i="31"/>
  <c r="A319" i="31"/>
  <c r="A320" i="31"/>
  <c r="A321" i="31"/>
  <c r="A322" i="31"/>
  <c r="A323" i="31"/>
  <c r="A324" i="31"/>
  <c r="A325" i="31"/>
  <c r="A326" i="31"/>
  <c r="A327" i="31"/>
  <c r="A328" i="31"/>
  <c r="A329" i="31"/>
  <c r="A330" i="31"/>
  <c r="A331" i="31"/>
  <c r="A332" i="31"/>
  <c r="A333" i="31"/>
  <c r="A334" i="31"/>
  <c r="A335" i="31"/>
  <c r="A336" i="31"/>
  <c r="A337" i="31"/>
  <c r="A338" i="31"/>
  <c r="A339" i="31"/>
  <c r="A340" i="31"/>
  <c r="A341" i="31"/>
  <c r="A342" i="31"/>
  <c r="A343" i="31"/>
  <c r="A344" i="31"/>
  <c r="A345" i="31"/>
  <c r="A346" i="31"/>
  <c r="A347" i="31"/>
  <c r="A348" i="31"/>
  <c r="A349" i="31"/>
  <c r="A350" i="31"/>
  <c r="A351" i="31"/>
  <c r="A352" i="31"/>
  <c r="A353" i="31"/>
  <c r="A354" i="31"/>
  <c r="A355" i="31"/>
  <c r="A356" i="31"/>
  <c r="A357" i="31"/>
  <c r="A358" i="31"/>
  <c r="A359" i="31"/>
  <c r="A360" i="31"/>
  <c r="A361" i="31"/>
  <c r="A362" i="31"/>
  <c r="A363" i="31"/>
  <c r="A364" i="31"/>
  <c r="A365" i="31"/>
  <c r="A366" i="31"/>
  <c r="A367" i="31"/>
  <c r="A368" i="31"/>
  <c r="A369" i="31"/>
  <c r="A370" i="31"/>
  <c r="A371" i="31"/>
  <c r="A372" i="31"/>
  <c r="A373" i="31"/>
  <c r="A374" i="31"/>
  <c r="A375" i="31"/>
  <c r="A376" i="31"/>
  <c r="A377" i="31"/>
  <c r="A378" i="31"/>
  <c r="A379" i="31"/>
  <c r="A380" i="31"/>
  <c r="A381" i="31"/>
  <c r="A382" i="31"/>
  <c r="A383" i="31"/>
  <c r="A384" i="31"/>
  <c r="A385" i="31"/>
  <c r="A386" i="31"/>
  <c r="A387" i="31"/>
  <c r="A388" i="31"/>
  <c r="A389" i="31"/>
  <c r="A390" i="31"/>
  <c r="A391" i="31"/>
  <c r="A392" i="31"/>
  <c r="A393" i="31"/>
  <c r="A394" i="31"/>
  <c r="A395" i="31"/>
  <c r="A396" i="31"/>
  <c r="A397" i="31"/>
  <c r="A398" i="31"/>
  <c r="A399" i="31"/>
  <c r="A400" i="31"/>
  <c r="A401" i="31"/>
  <c r="A402" i="31"/>
  <c r="A403" i="31"/>
  <c r="A404" i="31"/>
  <c r="A405" i="31"/>
  <c r="A406" i="31"/>
  <c r="A407" i="31"/>
  <c r="A408" i="31"/>
  <c r="A409" i="31"/>
  <c r="A410" i="31"/>
  <c r="A411" i="31"/>
  <c r="A412" i="31"/>
  <c r="A413" i="31"/>
  <c r="A414" i="31"/>
  <c r="A415" i="31"/>
  <c r="A416" i="31"/>
  <c r="A417" i="31"/>
  <c r="A418" i="31"/>
  <c r="A419" i="31"/>
  <c r="A420" i="31"/>
  <c r="A421" i="31"/>
  <c r="A422" i="31"/>
  <c r="A423" i="31"/>
  <c r="A424" i="31"/>
  <c r="A425" i="31"/>
  <c r="A426" i="31"/>
  <c r="A427" i="31"/>
  <c r="A428" i="31"/>
  <c r="A429" i="31"/>
  <c r="A430" i="31"/>
  <c r="A431" i="31"/>
  <c r="A432" i="31"/>
  <c r="A433" i="31"/>
  <c r="A434" i="31"/>
  <c r="A435" i="31"/>
  <c r="A436" i="31"/>
  <c r="A437" i="31"/>
  <c r="A438" i="31"/>
  <c r="A439" i="31"/>
  <c r="A440" i="31"/>
  <c r="A441" i="31"/>
  <c r="A442" i="31"/>
  <c r="A443" i="31"/>
  <c r="A444" i="31"/>
  <c r="A445" i="31"/>
  <c r="A446" i="31"/>
  <c r="A447" i="31"/>
  <c r="A448" i="31"/>
  <c r="A449" i="31"/>
  <c r="A450" i="31"/>
  <c r="A451" i="31"/>
  <c r="A452" i="31"/>
  <c r="A453" i="31"/>
  <c r="A454" i="31"/>
  <c r="A455" i="31"/>
  <c r="A456" i="31"/>
  <c r="A457" i="31"/>
  <c r="A458" i="31"/>
  <c r="A459" i="31"/>
  <c r="A460" i="31"/>
  <c r="A461" i="31"/>
  <c r="A462" i="31"/>
  <c r="A463" i="31"/>
  <c r="A464" i="31"/>
  <c r="A465" i="31"/>
  <c r="A466" i="31"/>
  <c r="A467" i="31"/>
  <c r="A468" i="31"/>
  <c r="A469" i="31"/>
  <c r="A470" i="31"/>
  <c r="A471" i="31"/>
  <c r="A472" i="31"/>
  <c r="A473" i="31"/>
  <c r="A474" i="31"/>
  <c r="A475" i="31"/>
  <c r="A476" i="31"/>
  <c r="A477" i="31"/>
  <c r="A478" i="31"/>
  <c r="A479" i="31"/>
  <c r="A480" i="31"/>
  <c r="A481" i="31"/>
  <c r="A482" i="31"/>
  <c r="A483" i="31"/>
  <c r="A484" i="31"/>
  <c r="A485" i="31"/>
  <c r="A486" i="31"/>
  <c r="A487" i="31"/>
  <c r="A488" i="31"/>
  <c r="A489" i="31"/>
  <c r="A490" i="31"/>
  <c r="A491" i="31"/>
  <c r="A492" i="31"/>
  <c r="A493" i="31"/>
  <c r="A494" i="31"/>
  <c r="A495" i="31"/>
  <c r="A496" i="31"/>
  <c r="A497" i="31"/>
  <c r="A498" i="31"/>
  <c r="A499" i="31"/>
  <c r="A500" i="31"/>
  <c r="A501" i="31"/>
  <c r="A502" i="31"/>
  <c r="A503" i="31"/>
  <c r="A504" i="31"/>
  <c r="A505" i="31"/>
  <c r="A506" i="31"/>
  <c r="A507" i="31"/>
  <c r="A508" i="31"/>
  <c r="A509" i="31"/>
  <c r="A510" i="31"/>
  <c r="A511" i="31"/>
  <c r="A512" i="31"/>
  <c r="A513" i="31"/>
  <c r="A514" i="31"/>
  <c r="A515" i="31"/>
  <c r="A516" i="31"/>
  <c r="A517" i="31"/>
  <c r="A518" i="31"/>
  <c r="A519" i="31"/>
  <c r="A520" i="31"/>
  <c r="A521" i="31"/>
  <c r="A522" i="31"/>
  <c r="A523" i="31"/>
  <c r="A524" i="31"/>
  <c r="A525" i="31"/>
  <c r="A526" i="31"/>
  <c r="A527" i="31"/>
  <c r="A528" i="31"/>
  <c r="A529" i="31"/>
  <c r="A530" i="31"/>
  <c r="A531" i="31"/>
  <c r="A532" i="31"/>
  <c r="A533" i="31"/>
  <c r="A534" i="31"/>
  <c r="A535" i="31"/>
  <c r="A536" i="31"/>
  <c r="A537" i="31"/>
  <c r="A538" i="31"/>
  <c r="A539" i="31"/>
  <c r="A540" i="31"/>
  <c r="A541" i="31"/>
  <c r="A542" i="31"/>
  <c r="A543" i="31"/>
  <c r="A544" i="31"/>
  <c r="A545" i="31"/>
  <c r="A546" i="31"/>
  <c r="A547" i="31"/>
  <c r="A548" i="31"/>
  <c r="A549" i="31"/>
  <c r="A550" i="31"/>
  <c r="A551" i="31"/>
  <c r="A552" i="31"/>
  <c r="A553" i="31"/>
  <c r="A554" i="31"/>
  <c r="A555" i="31"/>
  <c r="A556" i="31"/>
  <c r="A557" i="31"/>
  <c r="A558" i="31"/>
  <c r="A559" i="31"/>
  <c r="A560" i="31"/>
  <c r="A561" i="31"/>
  <c r="A562" i="31"/>
  <c r="A563" i="31"/>
  <c r="A564" i="31"/>
  <c r="A565" i="31"/>
  <c r="A566" i="31"/>
  <c r="A567" i="31"/>
  <c r="A568" i="31"/>
  <c r="A569" i="31"/>
  <c r="A570" i="31"/>
  <c r="A571" i="31"/>
  <c r="A572" i="31"/>
  <c r="A573" i="31"/>
  <c r="A574" i="31"/>
  <c r="A575" i="31"/>
  <c r="A576" i="31"/>
  <c r="A577" i="31"/>
  <c r="A578" i="31"/>
  <c r="A579" i="31"/>
  <c r="A580" i="31"/>
  <c r="A581" i="31"/>
  <c r="A582" i="31"/>
  <c r="A583" i="31"/>
  <c r="A584" i="31"/>
  <c r="A585" i="31"/>
  <c r="A586" i="31"/>
  <c r="A587" i="31"/>
  <c r="A588" i="31"/>
  <c r="A589" i="31"/>
  <c r="A590" i="31"/>
  <c r="A591" i="31"/>
  <c r="A592" i="31"/>
  <c r="A593" i="31"/>
  <c r="A594" i="31"/>
  <c r="A595" i="31"/>
  <c r="A596" i="31"/>
  <c r="A597" i="31"/>
  <c r="A598" i="31"/>
  <c r="A599" i="31"/>
  <c r="A600" i="31"/>
  <c r="A601" i="31"/>
  <c r="A602" i="31"/>
  <c r="A603" i="31"/>
  <c r="A604" i="31"/>
  <c r="A605" i="31"/>
  <c r="A606" i="31"/>
  <c r="A607" i="31"/>
  <c r="A608" i="31"/>
  <c r="A609" i="31"/>
  <c r="A610" i="31"/>
  <c r="A611" i="31"/>
  <c r="A612" i="31"/>
  <c r="A613" i="31"/>
  <c r="A614" i="31"/>
  <c r="A615" i="31"/>
  <c r="A616" i="31"/>
  <c r="A617" i="31"/>
  <c r="A618" i="31"/>
  <c r="A619" i="31"/>
  <c r="A620" i="31"/>
  <c r="A621" i="31"/>
  <c r="A622" i="31"/>
  <c r="A623" i="31"/>
  <c r="A624" i="31"/>
  <c r="A625" i="31"/>
  <c r="A626" i="31"/>
  <c r="A627" i="31"/>
  <c r="A628" i="31"/>
  <c r="A629" i="31"/>
  <c r="A630" i="31"/>
  <c r="A631" i="31"/>
  <c r="A632" i="31"/>
  <c r="A633" i="31"/>
  <c r="A634" i="31"/>
  <c r="A635" i="31"/>
  <c r="A636" i="31"/>
  <c r="A637" i="31"/>
  <c r="A638" i="31"/>
  <c r="A639" i="31"/>
  <c r="A640" i="31"/>
  <c r="A641" i="31"/>
  <c r="A642" i="31"/>
  <c r="A643" i="31"/>
  <c r="A644" i="31"/>
  <c r="A6" i="31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6" i="32"/>
  <c r="L35" i="32"/>
  <c r="K38" i="31"/>
  <c r="J35" i="31"/>
  <c r="M38" i="31" s="1"/>
  <c r="F651" i="33" l="1"/>
  <c r="G651" i="33" s="1"/>
  <c r="F650" i="33"/>
  <c r="G650" i="33" s="1"/>
  <c r="F649" i="33"/>
  <c r="G649" i="33" s="1"/>
  <c r="F648" i="33"/>
  <c r="G648" i="33" s="1"/>
  <c r="F647" i="33"/>
  <c r="G647" i="33" s="1"/>
  <c r="F646" i="33"/>
  <c r="G646" i="33" s="1"/>
  <c r="F645" i="33"/>
  <c r="G645" i="33" s="1"/>
  <c r="F644" i="33"/>
  <c r="G644" i="33" s="1"/>
  <c r="F643" i="33"/>
  <c r="G643" i="33" s="1"/>
  <c r="F642" i="33"/>
  <c r="G642" i="33" s="1"/>
  <c r="F641" i="33"/>
  <c r="G641" i="33" s="1"/>
  <c r="F640" i="33"/>
  <c r="G640" i="33" s="1"/>
  <c r="F639" i="33"/>
  <c r="G639" i="33" s="1"/>
  <c r="F638" i="33"/>
  <c r="G638" i="33" s="1"/>
  <c r="F637" i="33"/>
  <c r="G637" i="33" s="1"/>
  <c r="F636" i="33"/>
  <c r="G636" i="33" s="1"/>
  <c r="F635" i="33"/>
  <c r="G635" i="33" s="1"/>
  <c r="F634" i="33"/>
  <c r="G634" i="33" s="1"/>
  <c r="F633" i="33"/>
  <c r="G633" i="33" s="1"/>
  <c r="F632" i="33"/>
  <c r="G632" i="33" s="1"/>
  <c r="F631" i="33"/>
  <c r="G631" i="33" s="1"/>
  <c r="F630" i="33"/>
  <c r="G630" i="33" s="1"/>
  <c r="F629" i="33"/>
  <c r="G629" i="33" s="1"/>
  <c r="F628" i="33"/>
  <c r="G628" i="33" s="1"/>
  <c r="F627" i="33"/>
  <c r="G627" i="33" s="1"/>
  <c r="F626" i="33"/>
  <c r="G626" i="33" s="1"/>
  <c r="F625" i="33"/>
  <c r="G625" i="33" s="1"/>
  <c r="F624" i="33"/>
  <c r="G624" i="33" s="1"/>
  <c r="F623" i="33"/>
  <c r="G623" i="33" s="1"/>
  <c r="F622" i="33"/>
  <c r="G622" i="33" s="1"/>
  <c r="F621" i="33"/>
  <c r="G621" i="33" s="1"/>
  <c r="F620" i="33"/>
  <c r="G620" i="33" s="1"/>
  <c r="F619" i="33"/>
  <c r="G619" i="33" s="1"/>
  <c r="F618" i="33"/>
  <c r="G618" i="33" s="1"/>
  <c r="F617" i="33"/>
  <c r="G617" i="33" s="1"/>
  <c r="F616" i="33"/>
  <c r="G616" i="33" s="1"/>
  <c r="F615" i="33"/>
  <c r="G615" i="33" s="1"/>
  <c r="F614" i="33"/>
  <c r="G614" i="33" s="1"/>
  <c r="F613" i="33"/>
  <c r="G613" i="33" s="1"/>
  <c r="F612" i="33"/>
  <c r="G612" i="33" s="1"/>
  <c r="F611" i="33"/>
  <c r="G611" i="33" s="1"/>
  <c r="F610" i="33"/>
  <c r="G610" i="33" s="1"/>
  <c r="F609" i="33"/>
  <c r="G609" i="33" s="1"/>
  <c r="F608" i="33"/>
  <c r="G608" i="33" s="1"/>
  <c r="F607" i="33"/>
  <c r="G607" i="33" s="1"/>
  <c r="F606" i="33"/>
  <c r="G606" i="33" s="1"/>
  <c r="F605" i="33"/>
  <c r="G605" i="33" s="1"/>
  <c r="F604" i="33"/>
  <c r="G604" i="33" s="1"/>
  <c r="F603" i="33"/>
  <c r="G603" i="33" s="1"/>
  <c r="F602" i="33"/>
  <c r="G602" i="33" s="1"/>
  <c r="F601" i="33"/>
  <c r="G601" i="33" s="1"/>
  <c r="F600" i="33"/>
  <c r="G600" i="33" s="1"/>
  <c r="F599" i="33"/>
  <c r="G599" i="33" s="1"/>
  <c r="F598" i="33"/>
  <c r="G598" i="33" s="1"/>
  <c r="F597" i="33"/>
  <c r="G597" i="33" s="1"/>
  <c r="F596" i="33"/>
  <c r="G596" i="33" s="1"/>
  <c r="F595" i="33"/>
  <c r="G595" i="33" s="1"/>
  <c r="F594" i="33"/>
  <c r="G594" i="33" s="1"/>
  <c r="F593" i="33"/>
  <c r="G593" i="33" s="1"/>
  <c r="F592" i="33"/>
  <c r="G592" i="33" s="1"/>
  <c r="F591" i="33"/>
  <c r="G591" i="33" s="1"/>
  <c r="F590" i="33"/>
  <c r="G590" i="33" s="1"/>
  <c r="F589" i="33"/>
  <c r="G589" i="33" s="1"/>
  <c r="F588" i="33"/>
  <c r="G588" i="33" s="1"/>
  <c r="F587" i="33"/>
  <c r="G587" i="33" s="1"/>
  <c r="F586" i="33"/>
  <c r="G586" i="33" s="1"/>
  <c r="F585" i="33"/>
  <c r="G585" i="33" s="1"/>
  <c r="F584" i="33"/>
  <c r="G584" i="33" s="1"/>
  <c r="F583" i="33"/>
  <c r="G583" i="33" s="1"/>
  <c r="F582" i="33"/>
  <c r="G582" i="33" s="1"/>
  <c r="F581" i="33"/>
  <c r="G581" i="33" s="1"/>
  <c r="F580" i="33"/>
  <c r="G580" i="33" s="1"/>
  <c r="F579" i="33"/>
  <c r="G579" i="33" s="1"/>
  <c r="F578" i="33"/>
  <c r="G578" i="33" s="1"/>
  <c r="F577" i="33"/>
  <c r="G577" i="33" s="1"/>
  <c r="F576" i="33"/>
  <c r="G576" i="33" s="1"/>
  <c r="F575" i="33"/>
  <c r="G575" i="33" s="1"/>
  <c r="F574" i="33"/>
  <c r="G574" i="33" s="1"/>
  <c r="F573" i="33"/>
  <c r="G573" i="33" s="1"/>
  <c r="F572" i="33"/>
  <c r="G572" i="33" s="1"/>
  <c r="F571" i="33"/>
  <c r="G571" i="33" s="1"/>
  <c r="F570" i="33"/>
  <c r="G570" i="33" s="1"/>
  <c r="F569" i="33"/>
  <c r="G569" i="33" s="1"/>
  <c r="F568" i="33"/>
  <c r="G568" i="33" s="1"/>
  <c r="F567" i="33"/>
  <c r="G567" i="33" s="1"/>
  <c r="F566" i="33"/>
  <c r="G566" i="33" s="1"/>
  <c r="F565" i="33"/>
  <c r="G565" i="33" s="1"/>
  <c r="F564" i="33"/>
  <c r="G564" i="33" s="1"/>
  <c r="F563" i="33"/>
  <c r="G563" i="33" s="1"/>
  <c r="F562" i="33"/>
  <c r="G562" i="33" s="1"/>
  <c r="F561" i="33"/>
  <c r="G561" i="33" s="1"/>
  <c r="F560" i="33"/>
  <c r="G560" i="33" s="1"/>
  <c r="F559" i="33"/>
  <c r="G559" i="33" s="1"/>
  <c r="F558" i="33"/>
  <c r="G558" i="33" s="1"/>
  <c r="F557" i="33"/>
  <c r="G557" i="33" s="1"/>
  <c r="F556" i="33"/>
  <c r="G556" i="33" s="1"/>
  <c r="F555" i="33"/>
  <c r="G555" i="33" s="1"/>
  <c r="F554" i="33"/>
  <c r="G554" i="33" s="1"/>
  <c r="F553" i="33"/>
  <c r="G553" i="33" s="1"/>
  <c r="F552" i="33"/>
  <c r="G552" i="33" s="1"/>
  <c r="F551" i="33"/>
  <c r="G551" i="33" s="1"/>
  <c r="F550" i="33"/>
  <c r="G550" i="33" s="1"/>
  <c r="F549" i="33"/>
  <c r="G549" i="33" s="1"/>
  <c r="F548" i="33"/>
  <c r="G548" i="33" s="1"/>
  <c r="F547" i="33"/>
  <c r="G547" i="33" s="1"/>
  <c r="F546" i="33"/>
  <c r="G546" i="33" s="1"/>
  <c r="F545" i="33"/>
  <c r="G545" i="33" s="1"/>
  <c r="F544" i="33"/>
  <c r="G544" i="33" s="1"/>
  <c r="F543" i="33"/>
  <c r="G543" i="33" s="1"/>
  <c r="F542" i="33"/>
  <c r="G542" i="33" s="1"/>
  <c r="F541" i="33"/>
  <c r="G541" i="33" s="1"/>
  <c r="F540" i="33"/>
  <c r="G540" i="33" s="1"/>
  <c r="F539" i="33"/>
  <c r="G539" i="33" s="1"/>
  <c r="F538" i="33"/>
  <c r="G538" i="33" s="1"/>
  <c r="F537" i="33"/>
  <c r="G537" i="33" s="1"/>
  <c r="F536" i="33"/>
  <c r="G536" i="33" s="1"/>
  <c r="F535" i="33"/>
  <c r="G535" i="33" s="1"/>
  <c r="F534" i="33"/>
  <c r="G534" i="33" s="1"/>
  <c r="F533" i="33"/>
  <c r="G533" i="33" s="1"/>
  <c r="F532" i="33"/>
  <c r="G532" i="33" s="1"/>
  <c r="F531" i="33"/>
  <c r="G531" i="33" s="1"/>
  <c r="F530" i="33"/>
  <c r="G530" i="33" s="1"/>
  <c r="F529" i="33"/>
  <c r="G529" i="33" s="1"/>
  <c r="F528" i="33"/>
  <c r="G528" i="33" s="1"/>
  <c r="F527" i="33"/>
  <c r="G527" i="33" s="1"/>
  <c r="F526" i="33"/>
  <c r="G526" i="33" s="1"/>
  <c r="F525" i="33"/>
  <c r="G525" i="33" s="1"/>
  <c r="F524" i="33"/>
  <c r="G524" i="33" s="1"/>
  <c r="F523" i="33"/>
  <c r="G523" i="33" s="1"/>
  <c r="F522" i="33"/>
  <c r="G522" i="33" s="1"/>
  <c r="F521" i="33"/>
  <c r="G521" i="33" s="1"/>
  <c r="F520" i="33"/>
  <c r="G520" i="33" s="1"/>
  <c r="F519" i="33"/>
  <c r="G519" i="33" s="1"/>
  <c r="F518" i="33"/>
  <c r="G518" i="33" s="1"/>
  <c r="F517" i="33"/>
  <c r="G517" i="33" s="1"/>
  <c r="F516" i="33"/>
  <c r="G516" i="33" s="1"/>
  <c r="F515" i="33"/>
  <c r="G515" i="33" s="1"/>
  <c r="F514" i="33"/>
  <c r="G514" i="33" s="1"/>
  <c r="F513" i="33"/>
  <c r="G513" i="33" s="1"/>
  <c r="F512" i="33"/>
  <c r="G512" i="33" s="1"/>
  <c r="F511" i="33"/>
  <c r="G511" i="33" s="1"/>
  <c r="F510" i="33"/>
  <c r="G510" i="33" s="1"/>
  <c r="F509" i="33"/>
  <c r="G509" i="33" s="1"/>
  <c r="F508" i="33"/>
  <c r="G508" i="33" s="1"/>
  <c r="F507" i="33"/>
  <c r="G507" i="33" s="1"/>
  <c r="F506" i="33"/>
  <c r="G506" i="33" s="1"/>
  <c r="F505" i="33"/>
  <c r="G505" i="33" s="1"/>
  <c r="F504" i="33"/>
  <c r="G504" i="33" s="1"/>
  <c r="F503" i="33"/>
  <c r="G503" i="33" s="1"/>
  <c r="F502" i="33"/>
  <c r="G502" i="33" s="1"/>
  <c r="F501" i="33"/>
  <c r="G501" i="33" s="1"/>
  <c r="F500" i="33"/>
  <c r="G500" i="33" s="1"/>
  <c r="F499" i="33"/>
  <c r="G499" i="33" s="1"/>
  <c r="F498" i="33"/>
  <c r="G498" i="33" s="1"/>
  <c r="F497" i="33"/>
  <c r="G497" i="33" s="1"/>
  <c r="F496" i="33"/>
  <c r="G496" i="33" s="1"/>
  <c r="F495" i="33"/>
  <c r="G495" i="33" s="1"/>
  <c r="F494" i="33"/>
  <c r="G494" i="33" s="1"/>
  <c r="F493" i="33"/>
  <c r="G493" i="33" s="1"/>
  <c r="F492" i="33"/>
  <c r="G492" i="33" s="1"/>
  <c r="F491" i="33"/>
  <c r="G491" i="33" s="1"/>
  <c r="F490" i="33"/>
  <c r="G490" i="33" s="1"/>
  <c r="F489" i="33"/>
  <c r="G489" i="33" s="1"/>
  <c r="F488" i="33"/>
  <c r="G488" i="33" s="1"/>
  <c r="F487" i="33"/>
  <c r="G487" i="33" s="1"/>
  <c r="F486" i="33"/>
  <c r="G486" i="33" s="1"/>
  <c r="F485" i="33"/>
  <c r="G485" i="33" s="1"/>
  <c r="F484" i="33"/>
  <c r="G484" i="33" s="1"/>
  <c r="F483" i="33"/>
  <c r="G483" i="33" s="1"/>
  <c r="F482" i="33"/>
  <c r="G482" i="33" s="1"/>
  <c r="F481" i="33"/>
  <c r="G481" i="33" s="1"/>
  <c r="F480" i="33"/>
  <c r="G480" i="33" s="1"/>
  <c r="F479" i="33"/>
  <c r="G479" i="33" s="1"/>
  <c r="F478" i="33"/>
  <c r="G478" i="33" s="1"/>
  <c r="F477" i="33"/>
  <c r="G477" i="33" s="1"/>
  <c r="F476" i="33"/>
  <c r="G476" i="33" s="1"/>
  <c r="F475" i="33"/>
  <c r="G475" i="33" s="1"/>
  <c r="F474" i="33"/>
  <c r="G474" i="33" s="1"/>
  <c r="F473" i="33"/>
  <c r="G473" i="33" s="1"/>
  <c r="F472" i="33"/>
  <c r="G472" i="33" s="1"/>
  <c r="F471" i="33"/>
  <c r="G471" i="33" s="1"/>
  <c r="F470" i="33"/>
  <c r="G470" i="33" s="1"/>
  <c r="F469" i="33"/>
  <c r="G469" i="33" s="1"/>
  <c r="F468" i="33"/>
  <c r="G468" i="33" s="1"/>
  <c r="F467" i="33"/>
  <c r="G467" i="33" s="1"/>
  <c r="F466" i="33"/>
  <c r="G466" i="33" s="1"/>
  <c r="F465" i="33"/>
  <c r="G465" i="33" s="1"/>
  <c r="F464" i="33"/>
  <c r="G464" i="33" s="1"/>
  <c r="F463" i="33"/>
  <c r="G463" i="33" s="1"/>
  <c r="F462" i="33"/>
  <c r="G462" i="33" s="1"/>
  <c r="F461" i="33"/>
  <c r="G461" i="33" s="1"/>
  <c r="F460" i="33"/>
  <c r="G460" i="33" s="1"/>
  <c r="F459" i="33"/>
  <c r="G459" i="33" s="1"/>
  <c r="F458" i="33"/>
  <c r="G458" i="33" s="1"/>
  <c r="F457" i="33"/>
  <c r="G457" i="33" s="1"/>
  <c r="F456" i="33"/>
  <c r="G456" i="33" s="1"/>
  <c r="F455" i="33"/>
  <c r="G455" i="33" s="1"/>
  <c r="F454" i="33"/>
  <c r="G454" i="33" s="1"/>
  <c r="F453" i="33"/>
  <c r="G453" i="33" s="1"/>
  <c r="F452" i="33"/>
  <c r="G452" i="33" s="1"/>
  <c r="F451" i="33"/>
  <c r="G451" i="33" s="1"/>
  <c r="F450" i="33"/>
  <c r="G450" i="33" s="1"/>
  <c r="F449" i="33"/>
  <c r="G449" i="33" s="1"/>
  <c r="F448" i="33"/>
  <c r="G448" i="33" s="1"/>
  <c r="F447" i="33"/>
  <c r="G447" i="33" s="1"/>
  <c r="F446" i="33"/>
  <c r="G446" i="33" s="1"/>
  <c r="F445" i="33"/>
  <c r="G445" i="33" s="1"/>
  <c r="F444" i="33"/>
  <c r="G444" i="33" s="1"/>
  <c r="F443" i="33"/>
  <c r="G443" i="33" s="1"/>
  <c r="F442" i="33"/>
  <c r="G442" i="33" s="1"/>
  <c r="F441" i="33"/>
  <c r="G441" i="33" s="1"/>
  <c r="F440" i="33"/>
  <c r="G440" i="33" s="1"/>
  <c r="F439" i="33"/>
  <c r="G439" i="33" s="1"/>
  <c r="F438" i="33"/>
  <c r="G438" i="33" s="1"/>
  <c r="F437" i="33"/>
  <c r="G437" i="33" s="1"/>
  <c r="F436" i="33"/>
  <c r="G436" i="33" s="1"/>
  <c r="F435" i="33"/>
  <c r="G435" i="33" s="1"/>
  <c r="F434" i="33"/>
  <c r="G434" i="33" s="1"/>
  <c r="F433" i="33"/>
  <c r="G433" i="33" s="1"/>
  <c r="F432" i="33"/>
  <c r="G432" i="33" s="1"/>
  <c r="F431" i="33"/>
  <c r="G431" i="33" s="1"/>
  <c r="F430" i="33"/>
  <c r="G430" i="33" s="1"/>
  <c r="F429" i="33"/>
  <c r="G429" i="33" s="1"/>
  <c r="F428" i="33"/>
  <c r="G428" i="33" s="1"/>
  <c r="F427" i="33"/>
  <c r="G427" i="33" s="1"/>
  <c r="F426" i="33"/>
  <c r="G426" i="33" s="1"/>
  <c r="F425" i="33"/>
  <c r="G425" i="33" s="1"/>
  <c r="F424" i="33"/>
  <c r="G424" i="33" s="1"/>
  <c r="F423" i="33"/>
  <c r="G423" i="33" s="1"/>
  <c r="F422" i="33"/>
  <c r="G422" i="33" s="1"/>
  <c r="F421" i="33"/>
  <c r="G421" i="33" s="1"/>
  <c r="F420" i="33"/>
  <c r="G420" i="33" s="1"/>
  <c r="F419" i="33"/>
  <c r="G419" i="33" s="1"/>
  <c r="F418" i="33"/>
  <c r="G418" i="33" s="1"/>
  <c r="F417" i="33"/>
  <c r="G417" i="33" s="1"/>
  <c r="F416" i="33"/>
  <c r="G416" i="33" s="1"/>
  <c r="F415" i="33"/>
  <c r="G415" i="33" s="1"/>
  <c r="F414" i="33"/>
  <c r="G414" i="33" s="1"/>
  <c r="F413" i="33"/>
  <c r="G413" i="33" s="1"/>
  <c r="F412" i="33"/>
  <c r="G412" i="33" s="1"/>
  <c r="F411" i="33"/>
  <c r="F410" i="33"/>
  <c r="G410" i="33" s="1"/>
  <c r="F409" i="33"/>
  <c r="G409" i="33" s="1"/>
  <c r="F408" i="33"/>
  <c r="G408" i="33" s="1"/>
  <c r="F407" i="33"/>
  <c r="G407" i="33" s="1"/>
  <c r="F406" i="33"/>
  <c r="G406" i="33" s="1"/>
  <c r="F405" i="33"/>
  <c r="G405" i="33" s="1"/>
  <c r="F404" i="33"/>
  <c r="G404" i="33" s="1"/>
  <c r="F403" i="33"/>
  <c r="G403" i="33" s="1"/>
  <c r="F402" i="33"/>
  <c r="G402" i="33" s="1"/>
  <c r="F401" i="33"/>
  <c r="G401" i="33" s="1"/>
  <c r="F400" i="33"/>
  <c r="G400" i="33" s="1"/>
  <c r="F399" i="33"/>
  <c r="G399" i="33" s="1"/>
  <c r="F398" i="33"/>
  <c r="G398" i="33" s="1"/>
  <c r="F397" i="33"/>
  <c r="G397" i="33" s="1"/>
  <c r="F396" i="33"/>
  <c r="G396" i="33" s="1"/>
  <c r="F395" i="33"/>
  <c r="G395" i="33" s="1"/>
  <c r="F394" i="33"/>
  <c r="G394" i="33" s="1"/>
  <c r="F393" i="33"/>
  <c r="G393" i="33" s="1"/>
  <c r="F392" i="33"/>
  <c r="G392" i="33" s="1"/>
  <c r="F391" i="33"/>
  <c r="G391" i="33" s="1"/>
  <c r="F390" i="33"/>
  <c r="G390" i="33" s="1"/>
  <c r="F389" i="33"/>
  <c r="G389" i="33" s="1"/>
  <c r="F388" i="33"/>
  <c r="G388" i="33" s="1"/>
  <c r="F387" i="33"/>
  <c r="G387" i="33" s="1"/>
  <c r="F386" i="33"/>
  <c r="G386" i="33" s="1"/>
  <c r="F385" i="33"/>
  <c r="G385" i="33" s="1"/>
  <c r="F384" i="33"/>
  <c r="G384" i="33" s="1"/>
  <c r="F383" i="33"/>
  <c r="G383" i="33" s="1"/>
  <c r="F382" i="33"/>
  <c r="G382" i="33" s="1"/>
  <c r="F381" i="33"/>
  <c r="G381" i="33" s="1"/>
  <c r="F380" i="33"/>
  <c r="G380" i="33" s="1"/>
  <c r="F379" i="33"/>
  <c r="G379" i="33" s="1"/>
  <c r="F378" i="33"/>
  <c r="G378" i="33" s="1"/>
  <c r="F377" i="33"/>
  <c r="G377" i="33" s="1"/>
  <c r="F376" i="33"/>
  <c r="G376" i="33" s="1"/>
  <c r="F375" i="33"/>
  <c r="G375" i="33" s="1"/>
  <c r="F374" i="33"/>
  <c r="G374" i="33" s="1"/>
  <c r="F373" i="33"/>
  <c r="G373" i="33" s="1"/>
  <c r="F372" i="33"/>
  <c r="G372" i="33" s="1"/>
  <c r="F371" i="33"/>
  <c r="G371" i="33" s="1"/>
  <c r="F370" i="33"/>
  <c r="G370" i="33" s="1"/>
  <c r="F369" i="33"/>
  <c r="G369" i="33" s="1"/>
  <c r="F368" i="33"/>
  <c r="G368" i="33" s="1"/>
  <c r="F367" i="33"/>
  <c r="G367" i="33" s="1"/>
  <c r="F366" i="33"/>
  <c r="G366" i="33" s="1"/>
  <c r="F365" i="33"/>
  <c r="G365" i="33" s="1"/>
  <c r="F364" i="33"/>
  <c r="G364" i="33" s="1"/>
  <c r="F363" i="33"/>
  <c r="G363" i="33" s="1"/>
  <c r="F362" i="33"/>
  <c r="G362" i="33" s="1"/>
  <c r="F361" i="33"/>
  <c r="G361" i="33" s="1"/>
  <c r="F360" i="33"/>
  <c r="G360" i="33" s="1"/>
  <c r="F359" i="33"/>
  <c r="G359" i="33" s="1"/>
  <c r="F358" i="33"/>
  <c r="G358" i="33" s="1"/>
  <c r="F357" i="33"/>
  <c r="G357" i="33" s="1"/>
  <c r="F356" i="33"/>
  <c r="G356" i="33" s="1"/>
  <c r="F355" i="33"/>
  <c r="G355" i="33" s="1"/>
  <c r="F354" i="33"/>
  <c r="G354" i="33" s="1"/>
  <c r="F353" i="33"/>
  <c r="G353" i="33" s="1"/>
  <c r="F352" i="33"/>
  <c r="G352" i="33" s="1"/>
  <c r="F351" i="33"/>
  <c r="G351" i="33" s="1"/>
  <c r="F350" i="33"/>
  <c r="G350" i="33" s="1"/>
  <c r="F349" i="33"/>
  <c r="G349" i="33" s="1"/>
  <c r="F348" i="33"/>
  <c r="G348" i="33" s="1"/>
  <c r="F347" i="33"/>
  <c r="G347" i="33" s="1"/>
  <c r="F346" i="33"/>
  <c r="G346" i="33" s="1"/>
  <c r="F345" i="33"/>
  <c r="G345" i="33" s="1"/>
  <c r="F344" i="33"/>
  <c r="G344" i="33" s="1"/>
  <c r="F343" i="33"/>
  <c r="G343" i="33" s="1"/>
  <c r="F342" i="33"/>
  <c r="G342" i="33" s="1"/>
  <c r="F341" i="33"/>
  <c r="G341" i="33" s="1"/>
  <c r="F340" i="33"/>
  <c r="G340" i="33" s="1"/>
  <c r="F339" i="33"/>
  <c r="G339" i="33" s="1"/>
  <c r="F338" i="33"/>
  <c r="G338" i="33" s="1"/>
  <c r="F337" i="33"/>
  <c r="G337" i="33" s="1"/>
  <c r="F336" i="33"/>
  <c r="G336" i="33" s="1"/>
  <c r="F335" i="33"/>
  <c r="G335" i="33" s="1"/>
  <c r="F334" i="33"/>
  <c r="G334" i="33" s="1"/>
  <c r="F333" i="33"/>
  <c r="G333" i="33" s="1"/>
  <c r="F332" i="33"/>
  <c r="G332" i="33" s="1"/>
  <c r="F331" i="33"/>
  <c r="G331" i="33" s="1"/>
  <c r="F330" i="33"/>
  <c r="G330" i="33" s="1"/>
  <c r="F329" i="33"/>
  <c r="G329" i="33" s="1"/>
  <c r="F328" i="33"/>
  <c r="G328" i="33" s="1"/>
  <c r="F327" i="33"/>
  <c r="G327" i="33" s="1"/>
  <c r="F326" i="33"/>
  <c r="G326" i="33" s="1"/>
  <c r="F325" i="33"/>
  <c r="G325" i="33" s="1"/>
  <c r="F324" i="33"/>
  <c r="G324" i="33" s="1"/>
  <c r="F323" i="33"/>
  <c r="G323" i="33" s="1"/>
  <c r="F322" i="33"/>
  <c r="G322" i="33" s="1"/>
  <c r="F321" i="33"/>
  <c r="G321" i="33" s="1"/>
  <c r="F320" i="33"/>
  <c r="G320" i="33" s="1"/>
  <c r="F319" i="33"/>
  <c r="G319" i="33" s="1"/>
  <c r="F318" i="33"/>
  <c r="G318" i="33" s="1"/>
  <c r="F317" i="33"/>
  <c r="G317" i="33" s="1"/>
  <c r="F316" i="33"/>
  <c r="G316" i="33" s="1"/>
  <c r="F315" i="33"/>
  <c r="G315" i="33" s="1"/>
  <c r="F314" i="33"/>
  <c r="G314" i="33" s="1"/>
  <c r="F313" i="33"/>
  <c r="G313" i="33" s="1"/>
  <c r="F312" i="33"/>
  <c r="G312" i="33" s="1"/>
  <c r="F311" i="33"/>
  <c r="G311" i="33" s="1"/>
  <c r="F310" i="33"/>
  <c r="G310" i="33" s="1"/>
  <c r="F309" i="33"/>
  <c r="G309" i="33" s="1"/>
  <c r="F308" i="33"/>
  <c r="G308" i="33" s="1"/>
  <c r="F307" i="33"/>
  <c r="G307" i="33" s="1"/>
  <c r="F306" i="33"/>
  <c r="G306" i="33" s="1"/>
  <c r="F305" i="33"/>
  <c r="G305" i="33" s="1"/>
  <c r="F304" i="33"/>
  <c r="G304" i="33" s="1"/>
  <c r="F303" i="33"/>
  <c r="G303" i="33" s="1"/>
  <c r="F302" i="33"/>
  <c r="G302" i="33" s="1"/>
  <c r="F301" i="33"/>
  <c r="G301" i="33" s="1"/>
  <c r="F300" i="33"/>
  <c r="G300" i="33" s="1"/>
  <c r="F299" i="33"/>
  <c r="G299" i="33" s="1"/>
  <c r="F298" i="33"/>
  <c r="G298" i="33" s="1"/>
  <c r="F297" i="33"/>
  <c r="G297" i="33" s="1"/>
  <c r="F296" i="33"/>
  <c r="G296" i="33" s="1"/>
  <c r="F295" i="33"/>
  <c r="G295" i="33" s="1"/>
  <c r="F294" i="33"/>
  <c r="G294" i="33" s="1"/>
  <c r="F293" i="33"/>
  <c r="G293" i="33" s="1"/>
  <c r="F292" i="33"/>
  <c r="G292" i="33" s="1"/>
  <c r="F291" i="33"/>
  <c r="G291" i="33" s="1"/>
  <c r="F290" i="33"/>
  <c r="G290" i="33" s="1"/>
  <c r="F289" i="33"/>
  <c r="G289" i="33" s="1"/>
  <c r="F288" i="33"/>
  <c r="G288" i="33" s="1"/>
  <c r="F287" i="33"/>
  <c r="G287" i="33" s="1"/>
  <c r="F286" i="33"/>
  <c r="G286" i="33" s="1"/>
  <c r="F285" i="33"/>
  <c r="G285" i="33" s="1"/>
  <c r="F284" i="33"/>
  <c r="G284" i="33" s="1"/>
  <c r="F283" i="33"/>
  <c r="G283" i="33" s="1"/>
  <c r="F282" i="33"/>
  <c r="G282" i="33" s="1"/>
  <c r="F281" i="33"/>
  <c r="G281" i="33" s="1"/>
  <c r="F280" i="33"/>
  <c r="G280" i="33" s="1"/>
  <c r="F279" i="33"/>
  <c r="G279" i="33" s="1"/>
  <c r="F278" i="33"/>
  <c r="G278" i="33" s="1"/>
  <c r="F277" i="33"/>
  <c r="G277" i="33" s="1"/>
  <c r="F276" i="33"/>
  <c r="G276" i="33" s="1"/>
  <c r="F275" i="33"/>
  <c r="G275" i="33" s="1"/>
  <c r="F263" i="33"/>
  <c r="G263" i="33" s="1"/>
  <c r="F262" i="33"/>
  <c r="G262" i="33" s="1"/>
  <c r="F261" i="33"/>
  <c r="G261" i="33" s="1"/>
  <c r="F260" i="33"/>
  <c r="G260" i="33" s="1"/>
  <c r="F259" i="33"/>
  <c r="G259" i="33" s="1"/>
  <c r="F258" i="33"/>
  <c r="G258" i="33" s="1"/>
  <c r="F257" i="33"/>
  <c r="G257" i="33" s="1"/>
  <c r="F256" i="33"/>
  <c r="G256" i="33" s="1"/>
  <c r="F255" i="33"/>
  <c r="G255" i="33" s="1"/>
  <c r="F254" i="33"/>
  <c r="G254" i="33" s="1"/>
  <c r="F253" i="33"/>
  <c r="G253" i="33" s="1"/>
  <c r="F252" i="33"/>
  <c r="G252" i="33" s="1"/>
  <c r="F251" i="33"/>
  <c r="G251" i="33" s="1"/>
  <c r="F250" i="33"/>
  <c r="G250" i="33" s="1"/>
  <c r="F249" i="33"/>
  <c r="G249" i="33" s="1"/>
  <c r="F248" i="33"/>
  <c r="G248" i="33" s="1"/>
  <c r="F247" i="33"/>
  <c r="G247" i="33" s="1"/>
  <c r="F246" i="33"/>
  <c r="G246" i="33" s="1"/>
  <c r="F245" i="33"/>
  <c r="G245" i="33" s="1"/>
  <c r="F244" i="33"/>
  <c r="G244" i="33" s="1"/>
  <c r="F243" i="33"/>
  <c r="G243" i="33" s="1"/>
  <c r="F242" i="33"/>
  <c r="G242" i="33" s="1"/>
  <c r="F241" i="33"/>
  <c r="G241" i="33" s="1"/>
  <c r="F240" i="33"/>
  <c r="G240" i="33" s="1"/>
  <c r="F239" i="33"/>
  <c r="G239" i="33" s="1"/>
  <c r="F238" i="33"/>
  <c r="G238" i="33" s="1"/>
  <c r="F237" i="33"/>
  <c r="G237" i="33" s="1"/>
  <c r="F236" i="33"/>
  <c r="G236" i="33" s="1"/>
  <c r="F235" i="33"/>
  <c r="G235" i="33" s="1"/>
  <c r="F234" i="33"/>
  <c r="G234" i="33" s="1"/>
  <c r="F233" i="33"/>
  <c r="G233" i="33" s="1"/>
  <c r="F232" i="33"/>
  <c r="G232" i="33" s="1"/>
  <c r="F231" i="33"/>
  <c r="G231" i="33" s="1"/>
  <c r="F230" i="33"/>
  <c r="G230" i="33" s="1"/>
  <c r="F229" i="33"/>
  <c r="G229" i="33" s="1"/>
  <c r="F228" i="33"/>
  <c r="G228" i="33" s="1"/>
  <c r="F227" i="33"/>
  <c r="G227" i="33" s="1"/>
  <c r="F226" i="33"/>
  <c r="G226" i="33" s="1"/>
  <c r="F225" i="33"/>
  <c r="G225" i="33" s="1"/>
  <c r="F224" i="33"/>
  <c r="G224" i="33" s="1"/>
  <c r="F223" i="33"/>
  <c r="G223" i="33" s="1"/>
  <c r="F222" i="33"/>
  <c r="G222" i="33" s="1"/>
  <c r="F221" i="33"/>
  <c r="G221" i="33" s="1"/>
  <c r="F220" i="33"/>
  <c r="G220" i="33" s="1"/>
  <c r="F219" i="33"/>
  <c r="G219" i="33" s="1"/>
  <c r="F218" i="33"/>
  <c r="G218" i="33" s="1"/>
  <c r="F217" i="33"/>
  <c r="G217" i="33" s="1"/>
  <c r="F216" i="33"/>
  <c r="G216" i="33" s="1"/>
  <c r="F215" i="33"/>
  <c r="G215" i="33" s="1"/>
  <c r="F214" i="33"/>
  <c r="G214" i="33" s="1"/>
  <c r="F213" i="33"/>
  <c r="G213" i="33" s="1"/>
  <c r="F212" i="33"/>
  <c r="G212" i="33" s="1"/>
  <c r="F211" i="33"/>
  <c r="G211" i="33" s="1"/>
  <c r="F210" i="33"/>
  <c r="G210" i="33" s="1"/>
  <c r="F209" i="33"/>
  <c r="G209" i="33" s="1"/>
  <c r="F208" i="33"/>
  <c r="G208" i="33" s="1"/>
  <c r="F207" i="33"/>
  <c r="G207" i="33" s="1"/>
  <c r="F206" i="33"/>
  <c r="G206" i="33" s="1"/>
  <c r="F205" i="33"/>
  <c r="G205" i="33" s="1"/>
  <c r="F204" i="33"/>
  <c r="G204" i="33" s="1"/>
  <c r="F203" i="33"/>
  <c r="G203" i="33" s="1"/>
  <c r="F202" i="33"/>
  <c r="G202" i="33" s="1"/>
  <c r="F201" i="33"/>
  <c r="G201" i="33" s="1"/>
  <c r="F200" i="33"/>
  <c r="G200" i="33" s="1"/>
  <c r="F199" i="33"/>
  <c r="G199" i="33" s="1"/>
  <c r="F198" i="33"/>
  <c r="G198" i="33" s="1"/>
  <c r="F197" i="33"/>
  <c r="G197" i="33" s="1"/>
  <c r="F196" i="33"/>
  <c r="G196" i="33" s="1"/>
  <c r="F195" i="33"/>
  <c r="G195" i="33" s="1"/>
  <c r="F194" i="33"/>
  <c r="G194" i="33" s="1"/>
  <c r="F193" i="33"/>
  <c r="G193" i="33" s="1"/>
  <c r="F192" i="33"/>
  <c r="G192" i="33" s="1"/>
  <c r="F191" i="33"/>
  <c r="G191" i="33" s="1"/>
  <c r="F190" i="33"/>
  <c r="G190" i="33" s="1"/>
  <c r="F189" i="33"/>
  <c r="G189" i="33" s="1"/>
  <c r="F188" i="33"/>
  <c r="G188" i="33" s="1"/>
  <c r="F187" i="33"/>
  <c r="G187" i="33" s="1"/>
  <c r="F186" i="33"/>
  <c r="G186" i="33" s="1"/>
  <c r="F185" i="33"/>
  <c r="G185" i="33" s="1"/>
  <c r="F184" i="33"/>
  <c r="G184" i="33" s="1"/>
  <c r="F183" i="33"/>
  <c r="G183" i="33" s="1"/>
  <c r="F182" i="33"/>
  <c r="G182" i="33" s="1"/>
  <c r="F181" i="33"/>
  <c r="G181" i="33" s="1"/>
  <c r="F180" i="33"/>
  <c r="G180" i="33" s="1"/>
  <c r="F179" i="33"/>
  <c r="G179" i="33" s="1"/>
  <c r="F178" i="33"/>
  <c r="G178" i="33" s="1"/>
  <c r="F177" i="33"/>
  <c r="G177" i="33" s="1"/>
  <c r="F176" i="33"/>
  <c r="G176" i="33" s="1"/>
  <c r="F175" i="33"/>
  <c r="G175" i="33" s="1"/>
  <c r="F174" i="33"/>
  <c r="G174" i="33" s="1"/>
  <c r="F173" i="33"/>
  <c r="G173" i="33" s="1"/>
  <c r="F172" i="33"/>
  <c r="G172" i="33" s="1"/>
  <c r="F171" i="33"/>
  <c r="G171" i="33" s="1"/>
  <c r="F170" i="33"/>
  <c r="G170" i="33" s="1"/>
  <c r="F169" i="33"/>
  <c r="G169" i="33" s="1"/>
  <c r="F168" i="33"/>
  <c r="G168" i="33" s="1"/>
  <c r="F167" i="33"/>
  <c r="G167" i="33" s="1"/>
  <c r="F166" i="33"/>
  <c r="G166" i="33" s="1"/>
  <c r="F165" i="33"/>
  <c r="G165" i="33" s="1"/>
  <c r="F164" i="33"/>
  <c r="G164" i="33" s="1"/>
  <c r="F163" i="33"/>
  <c r="G163" i="33" s="1"/>
  <c r="F162" i="33"/>
  <c r="G162" i="33" s="1"/>
  <c r="F161" i="33"/>
  <c r="G161" i="33" s="1"/>
  <c r="F160" i="33"/>
  <c r="G160" i="33" s="1"/>
  <c r="F159" i="33"/>
  <c r="G159" i="33" s="1"/>
  <c r="F158" i="33"/>
  <c r="G158" i="33" s="1"/>
  <c r="F157" i="33"/>
  <c r="G157" i="33" s="1"/>
  <c r="F156" i="33"/>
  <c r="G156" i="33" s="1"/>
  <c r="F155" i="33"/>
  <c r="G155" i="33" s="1"/>
  <c r="F154" i="33"/>
  <c r="G154" i="33" s="1"/>
  <c r="F153" i="33"/>
  <c r="G153" i="33" s="1"/>
  <c r="F152" i="33"/>
  <c r="G152" i="33" s="1"/>
  <c r="F151" i="33"/>
  <c r="G151" i="33" s="1"/>
  <c r="F150" i="33"/>
  <c r="G150" i="33" s="1"/>
  <c r="F149" i="33"/>
  <c r="G149" i="33" s="1"/>
  <c r="F148" i="33"/>
  <c r="G148" i="33" s="1"/>
  <c r="F147" i="33"/>
  <c r="G147" i="33" s="1"/>
  <c r="F146" i="33"/>
  <c r="G146" i="33" s="1"/>
  <c r="F145" i="33"/>
  <c r="G145" i="33" s="1"/>
  <c r="F144" i="33"/>
  <c r="G144" i="33" s="1"/>
  <c r="F143" i="33"/>
  <c r="G143" i="33" s="1"/>
  <c r="F142" i="33"/>
  <c r="G142" i="33" s="1"/>
  <c r="F141" i="33"/>
  <c r="G141" i="33" s="1"/>
  <c r="F140" i="33"/>
  <c r="G140" i="33" s="1"/>
  <c r="F139" i="33"/>
  <c r="G139" i="33" s="1"/>
  <c r="F138" i="33"/>
  <c r="G138" i="33" s="1"/>
  <c r="F137" i="33"/>
  <c r="G137" i="33" s="1"/>
  <c r="F136" i="33"/>
  <c r="G136" i="33" s="1"/>
  <c r="G135" i="33"/>
  <c r="F134" i="33"/>
  <c r="G134" i="33" s="1"/>
  <c r="F133" i="33"/>
  <c r="G133" i="33" s="1"/>
  <c r="F132" i="33"/>
  <c r="G132" i="33" s="1"/>
  <c r="F131" i="33"/>
  <c r="G131" i="33" s="1"/>
  <c r="F130" i="33"/>
  <c r="G130" i="33" s="1"/>
  <c r="F129" i="33"/>
  <c r="G129" i="33" s="1"/>
  <c r="F128" i="33"/>
  <c r="G128" i="33" s="1"/>
  <c r="F127" i="33"/>
  <c r="G127" i="33" s="1"/>
  <c r="F126" i="33"/>
  <c r="G126" i="33" s="1"/>
  <c r="F125" i="33"/>
  <c r="G125" i="33" s="1"/>
  <c r="F124" i="33"/>
  <c r="G124" i="33" s="1"/>
  <c r="F123" i="33"/>
  <c r="G123" i="33" s="1"/>
  <c r="F122" i="33"/>
  <c r="G122" i="33" s="1"/>
  <c r="F121" i="33"/>
  <c r="G121" i="33" s="1"/>
  <c r="F120" i="33"/>
  <c r="G120" i="33" s="1"/>
  <c r="F119" i="33"/>
  <c r="G119" i="33" s="1"/>
  <c r="F118" i="33"/>
  <c r="G118" i="33" s="1"/>
  <c r="F117" i="33"/>
  <c r="G117" i="33" s="1"/>
  <c r="F116" i="33"/>
  <c r="G116" i="33" s="1"/>
  <c r="F115" i="33"/>
  <c r="G115" i="33" s="1"/>
  <c r="F114" i="33"/>
  <c r="G114" i="33" s="1"/>
  <c r="F113" i="33"/>
  <c r="G113" i="33" s="1"/>
  <c r="F112" i="33"/>
  <c r="G112" i="33" s="1"/>
  <c r="F111" i="33"/>
  <c r="G111" i="33" s="1"/>
  <c r="F110" i="33"/>
  <c r="G110" i="33" s="1"/>
  <c r="F109" i="33"/>
  <c r="G109" i="33" s="1"/>
  <c r="F108" i="33"/>
  <c r="G108" i="33" s="1"/>
  <c r="F107" i="33"/>
  <c r="G107" i="33" s="1"/>
  <c r="F106" i="33"/>
  <c r="G106" i="33" s="1"/>
  <c r="F105" i="33"/>
  <c r="G105" i="33" s="1"/>
  <c r="F104" i="33"/>
  <c r="G104" i="33" s="1"/>
  <c r="F103" i="33"/>
  <c r="G103" i="33" s="1"/>
  <c r="F102" i="33"/>
  <c r="G102" i="33" s="1"/>
  <c r="F101" i="33"/>
  <c r="G101" i="33" s="1"/>
  <c r="F100" i="33"/>
  <c r="G100" i="33" s="1"/>
  <c r="F97" i="33"/>
  <c r="G97" i="33" s="1"/>
  <c r="F96" i="33"/>
  <c r="G96" i="33" s="1"/>
  <c r="F95" i="33"/>
  <c r="G95" i="33" s="1"/>
  <c r="F94" i="33"/>
  <c r="G94" i="33" s="1"/>
  <c r="F93" i="33"/>
  <c r="G93" i="33" s="1"/>
  <c r="F92" i="33"/>
  <c r="G92" i="33" s="1"/>
  <c r="F91" i="33"/>
  <c r="G91" i="33" s="1"/>
  <c r="F90" i="33"/>
  <c r="G90" i="33" s="1"/>
  <c r="F89" i="33"/>
  <c r="G89" i="33" s="1"/>
  <c r="F88" i="33"/>
  <c r="G88" i="33" s="1"/>
  <c r="F87" i="33"/>
  <c r="G87" i="33" s="1"/>
  <c r="F86" i="33"/>
  <c r="G86" i="33" s="1"/>
  <c r="F85" i="33"/>
  <c r="G85" i="33" s="1"/>
  <c r="F84" i="33"/>
  <c r="G84" i="33" s="1"/>
  <c r="F83" i="33"/>
  <c r="G83" i="33" s="1"/>
  <c r="F82" i="33"/>
  <c r="G82" i="33" s="1"/>
  <c r="F81" i="33"/>
  <c r="G81" i="33" s="1"/>
  <c r="F80" i="33"/>
  <c r="G80" i="33" s="1"/>
  <c r="F79" i="33"/>
  <c r="G79" i="33" s="1"/>
  <c r="F78" i="33"/>
  <c r="G78" i="33" s="1"/>
  <c r="F77" i="33"/>
  <c r="G77" i="33" s="1"/>
  <c r="F76" i="33"/>
  <c r="G76" i="33" s="1"/>
  <c r="F75" i="33"/>
  <c r="G75" i="33" s="1"/>
  <c r="F74" i="33"/>
  <c r="G74" i="33" s="1"/>
  <c r="F73" i="33"/>
  <c r="G73" i="33" s="1"/>
  <c r="F72" i="33"/>
  <c r="G72" i="33" s="1"/>
  <c r="F71" i="33"/>
  <c r="G71" i="33" s="1"/>
  <c r="F70" i="33"/>
  <c r="G70" i="33" s="1"/>
  <c r="F69" i="33"/>
  <c r="G69" i="33" s="1"/>
  <c r="F68" i="33"/>
  <c r="G68" i="33" s="1"/>
  <c r="F67" i="33"/>
  <c r="G67" i="33" s="1"/>
  <c r="F66" i="33"/>
  <c r="G66" i="33" s="1"/>
  <c r="F65" i="33"/>
  <c r="G65" i="33" s="1"/>
  <c r="F64" i="33"/>
  <c r="G64" i="33" s="1"/>
  <c r="F63" i="33"/>
  <c r="G63" i="33" s="1"/>
  <c r="F62" i="33"/>
  <c r="G62" i="33" s="1"/>
  <c r="F61" i="33"/>
  <c r="G61" i="33" s="1"/>
  <c r="F60" i="33"/>
  <c r="G60" i="33" s="1"/>
  <c r="F59" i="33"/>
  <c r="G59" i="33" s="1"/>
  <c r="F58" i="33"/>
  <c r="G58" i="33" s="1"/>
  <c r="F57" i="33"/>
  <c r="G57" i="33" s="1"/>
  <c r="F56" i="33"/>
  <c r="G56" i="33" s="1"/>
  <c r="F55" i="33"/>
  <c r="G55" i="33" s="1"/>
  <c r="F54" i="33"/>
  <c r="G54" i="33" s="1"/>
  <c r="F53" i="33"/>
  <c r="G53" i="33" s="1"/>
  <c r="F52" i="33"/>
  <c r="G52" i="33" s="1"/>
  <c r="F51" i="33"/>
  <c r="G51" i="33" s="1"/>
  <c r="F50" i="33"/>
  <c r="G50" i="33" s="1"/>
  <c r="F49" i="33"/>
  <c r="G49" i="33" s="1"/>
  <c r="F48" i="33"/>
  <c r="G48" i="33" s="1"/>
  <c r="F47" i="33"/>
  <c r="G47" i="33" s="1"/>
  <c r="F46" i="33"/>
  <c r="G46" i="33" s="1"/>
  <c r="F45" i="33"/>
  <c r="G45" i="33" s="1"/>
  <c r="F44" i="33"/>
  <c r="G44" i="33" s="1"/>
  <c r="F43" i="33"/>
  <c r="G43" i="33" s="1"/>
  <c r="F42" i="33"/>
  <c r="G42" i="33" s="1"/>
  <c r="F41" i="33"/>
  <c r="G41" i="33" s="1"/>
  <c r="F40" i="33"/>
  <c r="G40" i="33" s="1"/>
  <c r="F39" i="33"/>
  <c r="G39" i="33" s="1"/>
  <c r="F38" i="33"/>
  <c r="G38" i="33" s="1"/>
  <c r="F37" i="33"/>
  <c r="G37" i="33" s="1"/>
  <c r="F36" i="33"/>
  <c r="G36" i="33" s="1"/>
  <c r="F35" i="33"/>
  <c r="G35" i="33" s="1"/>
  <c r="K37" i="33"/>
  <c r="F34" i="33"/>
  <c r="G34" i="33" s="1"/>
  <c r="F33" i="33"/>
  <c r="G33" i="33" s="1"/>
  <c r="F32" i="33"/>
  <c r="G32" i="33" s="1"/>
  <c r="F31" i="33"/>
  <c r="G31" i="33" s="1"/>
  <c r="F30" i="33"/>
  <c r="G30" i="33" s="1"/>
  <c r="F29" i="33"/>
  <c r="G29" i="33" s="1"/>
  <c r="F28" i="33"/>
  <c r="G28" i="33" s="1"/>
  <c r="F27" i="33"/>
  <c r="G27" i="33" s="1"/>
  <c r="F26" i="33"/>
  <c r="G26" i="33" s="1"/>
  <c r="F25" i="33"/>
  <c r="G25" i="33" s="1"/>
  <c r="F24" i="33"/>
  <c r="G24" i="33" s="1"/>
  <c r="F23" i="33"/>
  <c r="G23" i="33" s="1"/>
  <c r="F22" i="33"/>
  <c r="G22" i="33" s="1"/>
  <c r="F21" i="33"/>
  <c r="G21" i="33" s="1"/>
  <c r="F20" i="33"/>
  <c r="G20" i="33" s="1"/>
  <c r="F19" i="33"/>
  <c r="G19" i="33" s="1"/>
  <c r="F18" i="33"/>
  <c r="G18" i="33" s="1"/>
  <c r="F17" i="33"/>
  <c r="G17" i="33" s="1"/>
  <c r="F16" i="33"/>
  <c r="G16" i="33" s="1"/>
  <c r="F15" i="33"/>
  <c r="G15" i="33" s="1"/>
  <c r="F14" i="33"/>
  <c r="G14" i="33" s="1"/>
  <c r="F13" i="33"/>
  <c r="G13" i="33" s="1"/>
  <c r="F12" i="33"/>
  <c r="G12" i="33" s="1"/>
  <c r="F11" i="33"/>
  <c r="G11" i="33" s="1"/>
  <c r="F10" i="33"/>
  <c r="G10" i="33" s="1"/>
  <c r="F9" i="33"/>
  <c r="G9" i="33" s="1"/>
  <c r="F8" i="33"/>
  <c r="G8" i="33" s="1"/>
  <c r="F7" i="33"/>
  <c r="G7" i="33" s="1"/>
  <c r="F6" i="33"/>
  <c r="G6" i="33" s="1"/>
  <c r="F5" i="33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6" i="32"/>
  <c r="J35" i="32"/>
  <c r="G411" i="33" l="1"/>
  <c r="K38" i="32"/>
  <c r="G5" i="33"/>
  <c r="K41" i="30"/>
  <c r="E645" i="31"/>
  <c r="F645" i="31"/>
  <c r="D645" i="31"/>
  <c r="G715" i="30"/>
  <c r="M27" i="14"/>
  <c r="O24" i="14"/>
  <c r="I51" i="14"/>
  <c r="H51" i="14"/>
  <c r="G51" i="14"/>
  <c r="F51" i="14"/>
  <c r="E51" i="14"/>
  <c r="D51" i="14"/>
  <c r="C51" i="14"/>
  <c r="E91" i="14"/>
  <c r="D91" i="14"/>
  <c r="C715" i="30" l="1"/>
  <c r="F282" i="30"/>
  <c r="J41" i="30" l="1"/>
  <c r="F473" i="30" l="1"/>
  <c r="F472" i="30"/>
  <c r="F388" i="30"/>
  <c r="F375" i="30"/>
  <c r="F372" i="30"/>
  <c r="F371" i="30"/>
  <c r="F370" i="30"/>
  <c r="F369" i="30"/>
  <c r="F368" i="30"/>
  <c r="F367" i="30"/>
  <c r="F366" i="30"/>
  <c r="F365" i="30"/>
  <c r="F364" i="30"/>
  <c r="F363" i="30"/>
  <c r="F362" i="30"/>
  <c r="F352" i="30"/>
  <c r="F331" i="30"/>
  <c r="F310" i="30"/>
  <c r="F286" i="30"/>
  <c r="F38" i="30"/>
  <c r="F658" i="30" l="1"/>
  <c r="F657" i="30"/>
  <c r="F656" i="30"/>
  <c r="F655" i="30"/>
  <c r="F654" i="30"/>
  <c r="F653" i="30"/>
  <c r="F652" i="30"/>
  <c r="F651" i="30"/>
  <c r="F650" i="30"/>
  <c r="F649" i="30"/>
  <c r="F648" i="30"/>
  <c r="F647" i="30"/>
  <c r="F646" i="30"/>
  <c r="F645" i="30"/>
  <c r="F644" i="30"/>
  <c r="F643" i="30"/>
  <c r="F642" i="30"/>
  <c r="F641" i="30"/>
  <c r="F640" i="30"/>
  <c r="F639" i="30"/>
  <c r="F638" i="30"/>
  <c r="F637" i="30"/>
  <c r="F636" i="30"/>
  <c r="F635" i="30"/>
  <c r="F634" i="30"/>
  <c r="F633" i="30"/>
  <c r="F632" i="30"/>
  <c r="F631" i="30"/>
  <c r="F630" i="30"/>
  <c r="F629" i="30"/>
  <c r="F628" i="30"/>
  <c r="F627" i="30"/>
  <c r="F626" i="30"/>
  <c r="F625" i="30"/>
  <c r="F624" i="30"/>
  <c r="F623" i="30"/>
  <c r="F622" i="30"/>
  <c r="F621" i="30"/>
  <c r="F620" i="30"/>
  <c r="F619" i="30"/>
  <c r="F618" i="30"/>
  <c r="F617" i="30"/>
  <c r="F616" i="30"/>
  <c r="F615" i="30"/>
  <c r="D715" i="30"/>
  <c r="E715" i="30"/>
  <c r="F716" i="30" s="1"/>
  <c r="E217" i="29"/>
  <c r="C217" i="29"/>
  <c r="C219" i="29" s="1"/>
  <c r="G217" i="29"/>
  <c r="H326" i="32" l="1"/>
  <c r="G325" i="32"/>
  <c r="G324" i="32"/>
  <c r="G323" i="32"/>
  <c r="G322" i="32"/>
  <c r="G321" i="32"/>
  <c r="G320" i="32"/>
  <c r="G319" i="32"/>
  <c r="G318" i="32"/>
  <c r="G317" i="32"/>
  <c r="G316" i="32"/>
  <c r="G315" i="32"/>
  <c r="G314" i="32"/>
  <c r="G313" i="32"/>
  <c r="G312" i="32"/>
  <c r="G311" i="32"/>
  <c r="G310" i="32"/>
  <c r="G309" i="32"/>
  <c r="G308" i="32"/>
  <c r="G307" i="32"/>
  <c r="G306" i="32"/>
  <c r="G305" i="32"/>
  <c r="G304" i="32"/>
  <c r="G303" i="32"/>
  <c r="G302" i="32"/>
  <c r="G301" i="32"/>
  <c r="G300" i="32"/>
  <c r="G299" i="32"/>
  <c r="G298" i="32"/>
  <c r="G297" i="32"/>
  <c r="G296" i="32"/>
  <c r="G295" i="32"/>
  <c r="G294" i="32"/>
  <c r="G293" i="32"/>
  <c r="G292" i="32"/>
  <c r="G291" i="32"/>
  <c r="G290" i="32"/>
  <c r="G289" i="32"/>
  <c r="G288" i="32"/>
  <c r="G287" i="32"/>
  <c r="G286" i="32"/>
  <c r="G285" i="32"/>
  <c r="G284" i="32"/>
  <c r="G283" i="32"/>
  <c r="G282" i="32"/>
  <c r="G281" i="32"/>
  <c r="G280" i="32"/>
  <c r="G279" i="32"/>
  <c r="G278" i="32"/>
  <c r="G277" i="32"/>
  <c r="G276" i="32"/>
  <c r="G275" i="32"/>
  <c r="G274" i="32"/>
  <c r="G273" i="32"/>
  <c r="G272" i="32"/>
  <c r="G271" i="32"/>
  <c r="G270" i="32"/>
  <c r="G269" i="32"/>
  <c r="G268" i="32"/>
  <c r="G267" i="32"/>
  <c r="G266" i="32"/>
  <c r="G265" i="32"/>
  <c r="G264" i="32"/>
  <c r="G263" i="32"/>
  <c r="G262" i="32"/>
  <c r="G261" i="32"/>
  <c r="G260" i="32"/>
  <c r="G259" i="32"/>
  <c r="G258" i="32"/>
  <c r="G257" i="32"/>
  <c r="G256" i="32"/>
  <c r="G255" i="32"/>
  <c r="G254" i="32"/>
  <c r="G253" i="32"/>
  <c r="G252" i="32"/>
  <c r="G251" i="32"/>
  <c r="G250" i="32"/>
  <c r="G249" i="32"/>
  <c r="G248" i="32"/>
  <c r="G247" i="32"/>
  <c r="G246" i="32"/>
  <c r="G245" i="32"/>
  <c r="G244" i="32"/>
  <c r="G243" i="32"/>
  <c r="G242" i="32"/>
  <c r="G241" i="32"/>
  <c r="G240" i="32"/>
  <c r="G239" i="32"/>
  <c r="G238" i="32"/>
  <c r="G237" i="32"/>
  <c r="G236" i="32"/>
  <c r="G235" i="32"/>
  <c r="G234" i="32"/>
  <c r="G233" i="32"/>
  <c r="G232" i="32"/>
  <c r="G231" i="32"/>
  <c r="G230" i="32"/>
  <c r="G229" i="32"/>
  <c r="G228" i="32"/>
  <c r="G227" i="32"/>
  <c r="G226" i="32"/>
  <c r="G225" i="32"/>
  <c r="G224" i="32"/>
  <c r="G223" i="32"/>
  <c r="G222" i="32"/>
  <c r="G221" i="32"/>
  <c r="G220" i="32"/>
  <c r="G219" i="32"/>
  <c r="G218" i="32"/>
  <c r="G217" i="32"/>
  <c r="G216" i="32"/>
  <c r="G215" i="32"/>
  <c r="G214" i="32"/>
  <c r="G213" i="32"/>
  <c r="G212" i="32"/>
  <c r="G211" i="32"/>
  <c r="G210" i="32"/>
  <c r="G209" i="32"/>
  <c r="G208" i="32"/>
  <c r="G207" i="32"/>
  <c r="G206" i="32"/>
  <c r="G205" i="32"/>
  <c r="G204" i="32"/>
  <c r="G203" i="32"/>
  <c r="G202" i="32"/>
  <c r="G201" i="32"/>
  <c r="G200" i="32"/>
  <c r="G199" i="32"/>
  <c r="G198" i="32"/>
  <c r="G197" i="32"/>
  <c r="G196" i="32"/>
  <c r="G195" i="32"/>
  <c r="G194" i="32"/>
  <c r="G193" i="32"/>
  <c r="G192" i="32"/>
  <c r="G191" i="32"/>
  <c r="G190" i="32"/>
  <c r="G189" i="32"/>
  <c r="G188" i="32"/>
  <c r="G187" i="32"/>
  <c r="G186" i="32"/>
  <c r="G185" i="32"/>
  <c r="G184" i="32"/>
  <c r="G183" i="32"/>
  <c r="G182" i="32"/>
  <c r="G181" i="32"/>
  <c r="G180" i="32"/>
  <c r="G179" i="32"/>
  <c r="G178" i="32"/>
  <c r="G177" i="32"/>
  <c r="G176" i="32"/>
  <c r="G175" i="32"/>
  <c r="G174" i="32"/>
  <c r="G173" i="32"/>
  <c r="G172" i="32"/>
  <c r="G171" i="32"/>
  <c r="G170" i="32"/>
  <c r="G169" i="32"/>
  <c r="G168" i="32"/>
  <c r="G167" i="32"/>
  <c r="G166" i="32"/>
  <c r="G165" i="32"/>
  <c r="G164" i="32"/>
  <c r="G163" i="32"/>
  <c r="G162" i="32"/>
  <c r="G161" i="32"/>
  <c r="G160" i="32"/>
  <c r="G159" i="32"/>
  <c r="G158" i="32"/>
  <c r="G157" i="32"/>
  <c r="G156" i="32"/>
  <c r="G155" i="32"/>
  <c r="G154" i="32"/>
  <c r="G153" i="32"/>
  <c r="G152" i="32"/>
  <c r="G151" i="32"/>
  <c r="G150" i="32"/>
  <c r="G149" i="32"/>
  <c r="G148" i="32"/>
  <c r="G147" i="32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623" i="31"/>
  <c r="G624" i="31"/>
  <c r="G625" i="31"/>
  <c r="G626" i="31"/>
  <c r="G627" i="31"/>
  <c r="G628" i="31"/>
  <c r="G629" i="31"/>
  <c r="G630" i="31"/>
  <c r="G631" i="31"/>
  <c r="G632" i="31"/>
  <c r="G633" i="31"/>
  <c r="G634" i="31"/>
  <c r="G635" i="31"/>
  <c r="G636" i="31"/>
  <c r="G637" i="31"/>
  <c r="G638" i="31"/>
  <c r="G639" i="31"/>
  <c r="G640" i="31"/>
  <c r="G641" i="31"/>
  <c r="G642" i="31"/>
  <c r="G643" i="31"/>
  <c r="G644" i="31"/>
  <c r="G475" i="31"/>
  <c r="G476" i="31"/>
  <c r="G477" i="31"/>
  <c r="G478" i="31"/>
  <c r="G479" i="31"/>
  <c r="G480" i="31"/>
  <c r="G481" i="31"/>
  <c r="G482" i="31"/>
  <c r="G483" i="31"/>
  <c r="G484" i="31"/>
  <c r="G485" i="31"/>
  <c r="G486" i="31"/>
  <c r="G487" i="31"/>
  <c r="G488" i="31"/>
  <c r="G489" i="31"/>
  <c r="G490" i="31"/>
  <c r="G491" i="31"/>
  <c r="G492" i="31"/>
  <c r="G493" i="31"/>
  <c r="G494" i="31"/>
  <c r="G495" i="31"/>
  <c r="G496" i="31"/>
  <c r="G497" i="31"/>
  <c r="G498" i="31"/>
  <c r="G499" i="31"/>
  <c r="G500" i="31"/>
  <c r="G501" i="31"/>
  <c r="G502" i="31"/>
  <c r="G503" i="31"/>
  <c r="G504" i="31"/>
  <c r="G505" i="31"/>
  <c r="G506" i="31"/>
  <c r="G507" i="31"/>
  <c r="G508" i="31"/>
  <c r="G509" i="31"/>
  <c r="G510" i="31"/>
  <c r="G511" i="31"/>
  <c r="G512" i="31"/>
  <c r="G513" i="31"/>
  <c r="G514" i="31"/>
  <c r="G515" i="31"/>
  <c r="G516" i="31"/>
  <c r="G517" i="31"/>
  <c r="G518" i="31"/>
  <c r="G519" i="31"/>
  <c r="G520" i="31"/>
  <c r="G521" i="31"/>
  <c r="G522" i="31"/>
  <c r="G523" i="31"/>
  <c r="G359" i="31"/>
  <c r="G360" i="31"/>
  <c r="G361" i="31"/>
  <c r="G362" i="31"/>
  <c r="G363" i="31"/>
  <c r="G364" i="31"/>
  <c r="G365" i="31"/>
  <c r="G366" i="31"/>
  <c r="G367" i="31"/>
  <c r="G368" i="31"/>
  <c r="G369" i="31"/>
  <c r="G370" i="31"/>
  <c r="G371" i="31"/>
  <c r="G372" i="31"/>
  <c r="G373" i="31"/>
  <c r="G374" i="31"/>
  <c r="G375" i="31"/>
  <c r="G376" i="31"/>
  <c r="G377" i="31"/>
  <c r="G378" i="31"/>
  <c r="G379" i="31"/>
  <c r="G380" i="31"/>
  <c r="G381" i="31"/>
  <c r="G382" i="31"/>
  <c r="G383" i="31"/>
  <c r="G384" i="31"/>
  <c r="G385" i="31"/>
  <c r="G386" i="31"/>
  <c r="G387" i="31"/>
  <c r="G388" i="31"/>
  <c r="G389" i="31"/>
  <c r="G390" i="31"/>
  <c r="G391" i="31"/>
  <c r="G392" i="31"/>
  <c r="G393" i="31"/>
  <c r="G394" i="31"/>
  <c r="G395" i="31"/>
  <c r="G396" i="31"/>
  <c r="G397" i="31"/>
  <c r="G398" i="31"/>
  <c r="G399" i="31"/>
  <c r="G400" i="31"/>
  <c r="G401" i="31"/>
  <c r="G402" i="31"/>
  <c r="G403" i="31"/>
  <c r="G404" i="31"/>
  <c r="G405" i="31"/>
  <c r="G406" i="31"/>
  <c r="G407" i="31"/>
  <c r="G408" i="31"/>
  <c r="G409" i="31"/>
  <c r="G410" i="31"/>
  <c r="G411" i="31"/>
  <c r="G412" i="31"/>
  <c r="G413" i="31"/>
  <c r="G414" i="31"/>
  <c r="G415" i="31"/>
  <c r="G416" i="31"/>
  <c r="G417" i="31"/>
  <c r="G418" i="31"/>
  <c r="G419" i="31"/>
  <c r="G420" i="31"/>
  <c r="G421" i="31"/>
  <c r="G422" i="31"/>
  <c r="G423" i="31"/>
  <c r="G424" i="31"/>
  <c r="G425" i="31"/>
  <c r="G426" i="31"/>
  <c r="G427" i="31"/>
  <c r="G428" i="31"/>
  <c r="G429" i="31"/>
  <c r="G430" i="31"/>
  <c r="G431" i="31"/>
  <c r="G432" i="31"/>
  <c r="G433" i="31"/>
  <c r="G434" i="31"/>
  <c r="G435" i="31"/>
  <c r="G436" i="31"/>
  <c r="G437" i="31"/>
  <c r="G438" i="31"/>
  <c r="G439" i="31"/>
  <c r="G440" i="31"/>
  <c r="G441" i="31"/>
  <c r="G442" i="31"/>
  <c r="G443" i="31"/>
  <c r="G444" i="31"/>
  <c r="G445" i="31"/>
  <c r="G446" i="31"/>
  <c r="G447" i="31"/>
  <c r="G448" i="31"/>
  <c r="G449" i="31"/>
  <c r="G450" i="31"/>
  <c r="G451" i="31"/>
  <c r="G452" i="31"/>
  <c r="G453" i="31"/>
  <c r="G454" i="31"/>
  <c r="G455" i="31"/>
  <c r="G456" i="31"/>
  <c r="G457" i="31"/>
  <c r="G458" i="31"/>
  <c r="G459" i="31"/>
  <c r="G460" i="31"/>
  <c r="G461" i="31"/>
  <c r="G462" i="31"/>
  <c r="G463" i="31"/>
  <c r="G464" i="31"/>
  <c r="G465" i="31"/>
  <c r="G466" i="31"/>
  <c r="G467" i="31"/>
  <c r="G468" i="31"/>
  <c r="G469" i="31"/>
  <c r="G470" i="31"/>
  <c r="G471" i="31"/>
  <c r="G472" i="31"/>
  <c r="G473" i="31"/>
  <c r="G474" i="31"/>
  <c r="G584" i="31"/>
  <c r="G309" i="31" l="1"/>
  <c r="G310" i="31"/>
  <c r="G311" i="31"/>
  <c r="G312" i="31"/>
  <c r="G313" i="31"/>
  <c r="G314" i="31"/>
  <c r="G315" i="31"/>
  <c r="G316" i="31"/>
  <c r="G317" i="31"/>
  <c r="G318" i="31"/>
  <c r="G319" i="31"/>
  <c r="G320" i="31"/>
  <c r="G321" i="31"/>
  <c r="G322" i="31"/>
  <c r="G323" i="31"/>
  <c r="G324" i="31"/>
  <c r="G325" i="31"/>
  <c r="G326" i="31"/>
  <c r="G327" i="31"/>
  <c r="G328" i="31"/>
  <c r="G329" i="31"/>
  <c r="G330" i="31"/>
  <c r="G331" i="31"/>
  <c r="G332" i="31"/>
  <c r="G333" i="31"/>
  <c r="G334" i="31"/>
  <c r="G335" i="31"/>
  <c r="G336" i="31"/>
  <c r="G337" i="31"/>
  <c r="G338" i="31"/>
  <c r="G339" i="31"/>
  <c r="G340" i="31"/>
  <c r="G341" i="31"/>
  <c r="G342" i="31"/>
  <c r="G343" i="31"/>
  <c r="G344" i="31"/>
  <c r="G345" i="31"/>
  <c r="G346" i="31"/>
  <c r="G347" i="31"/>
  <c r="G348" i="31"/>
  <c r="G349" i="31"/>
  <c r="G350" i="31"/>
  <c r="G351" i="31"/>
  <c r="G352" i="31"/>
  <c r="G353" i="31"/>
  <c r="G354" i="31"/>
  <c r="G355" i="31"/>
  <c r="G356" i="31"/>
  <c r="G357" i="31"/>
  <c r="G358" i="31"/>
  <c r="G524" i="31"/>
  <c r="G525" i="31"/>
  <c r="G526" i="31"/>
  <c r="G527" i="31"/>
  <c r="G528" i="31"/>
  <c r="G529" i="31"/>
  <c r="G530" i="31"/>
  <c r="G531" i="31"/>
  <c r="G532" i="31"/>
  <c r="G533" i="31"/>
  <c r="G534" i="31"/>
  <c r="G535" i="31"/>
  <c r="G536" i="31"/>
  <c r="G537" i="31"/>
  <c r="G538" i="31"/>
  <c r="G539" i="31"/>
  <c r="G540" i="31"/>
  <c r="G541" i="31"/>
  <c r="G542" i="31"/>
  <c r="G543" i="31"/>
  <c r="G163" i="31" l="1"/>
  <c r="G103" i="31"/>
  <c r="G102" i="31"/>
  <c r="H645" i="31" l="1"/>
  <c r="G622" i="31"/>
  <c r="G621" i="31"/>
  <c r="G620" i="31"/>
  <c r="G619" i="31"/>
  <c r="G618" i="31"/>
  <c r="G617" i="31"/>
  <c r="G616" i="31"/>
  <c r="G615" i="31"/>
  <c r="G614" i="31"/>
  <c r="G613" i="31"/>
  <c r="G612" i="31"/>
  <c r="G611" i="31"/>
  <c r="G610" i="31"/>
  <c r="G609" i="31"/>
  <c r="G608" i="31"/>
  <c r="G607" i="31"/>
  <c r="G606" i="31"/>
  <c r="G605" i="31"/>
  <c r="G604" i="31"/>
  <c r="G603" i="31"/>
  <c r="G602" i="31"/>
  <c r="G601" i="31"/>
  <c r="G600" i="31"/>
  <c r="G599" i="31"/>
  <c r="G598" i="31"/>
  <c r="G597" i="31"/>
  <c r="G596" i="31"/>
  <c r="G595" i="31"/>
  <c r="G594" i="31"/>
  <c r="G593" i="31"/>
  <c r="G592" i="31"/>
  <c r="G591" i="31"/>
  <c r="G590" i="31"/>
  <c r="G589" i="31"/>
  <c r="G588" i="31"/>
  <c r="G587" i="31"/>
  <c r="G586" i="31"/>
  <c r="G585" i="31"/>
  <c r="G583" i="31"/>
  <c r="G582" i="31"/>
  <c r="G581" i="31"/>
  <c r="G580" i="31"/>
  <c r="G579" i="31"/>
  <c r="G578" i="31"/>
  <c r="G577" i="31"/>
  <c r="G576" i="31"/>
  <c r="G575" i="31"/>
  <c r="G574" i="31"/>
  <c r="G573" i="31"/>
  <c r="G572" i="31"/>
  <c r="G571" i="31"/>
  <c r="G570" i="31"/>
  <c r="G569" i="31"/>
  <c r="G568" i="31"/>
  <c r="G567" i="31"/>
  <c r="G566" i="31"/>
  <c r="G565" i="31"/>
  <c r="G564" i="31"/>
  <c r="G563" i="31"/>
  <c r="G562" i="31"/>
  <c r="G561" i="31"/>
  <c r="G560" i="31"/>
  <c r="G559" i="31"/>
  <c r="G558" i="31"/>
  <c r="G557" i="31"/>
  <c r="G556" i="31"/>
  <c r="G555" i="31"/>
  <c r="G554" i="31"/>
  <c r="G553" i="31"/>
  <c r="G552" i="31"/>
  <c r="G551" i="31"/>
  <c r="G550" i="31"/>
  <c r="G549" i="31"/>
  <c r="G548" i="31"/>
  <c r="G547" i="31"/>
  <c r="G546" i="31"/>
  <c r="G545" i="31"/>
  <c r="G544" i="31"/>
  <c r="G308" i="31"/>
  <c r="G307" i="31"/>
  <c r="G306" i="31"/>
  <c r="G305" i="31"/>
  <c r="G304" i="31"/>
  <c r="G303" i="31"/>
  <c r="G302" i="31"/>
  <c r="G301" i="31"/>
  <c r="G300" i="31"/>
  <c r="G299" i="31"/>
  <c r="G298" i="31"/>
  <c r="G297" i="31"/>
  <c r="G296" i="31"/>
  <c r="G295" i="31"/>
  <c r="G294" i="31"/>
  <c r="G293" i="31"/>
  <c r="G292" i="31"/>
  <c r="G291" i="31"/>
  <c r="G290" i="31"/>
  <c r="G289" i="31"/>
  <c r="G288" i="31"/>
  <c r="G287" i="31"/>
  <c r="G286" i="31"/>
  <c r="G285" i="31"/>
  <c r="G284" i="31"/>
  <c r="G283" i="31"/>
  <c r="G282" i="31"/>
  <c r="G281" i="31"/>
  <c r="G280" i="31"/>
  <c r="G279" i="31"/>
  <c r="G278" i="31"/>
  <c r="G277" i="31"/>
  <c r="G276" i="31"/>
  <c r="G275" i="31"/>
  <c r="G274" i="31"/>
  <c r="G273" i="31"/>
  <c r="G272" i="31"/>
  <c r="G271" i="31"/>
  <c r="G270" i="31"/>
  <c r="G269" i="31"/>
  <c r="G268" i="31"/>
  <c r="G267" i="31"/>
  <c r="G266" i="31"/>
  <c r="G265" i="31"/>
  <c r="G264" i="31"/>
  <c r="G263" i="31"/>
  <c r="G262" i="31"/>
  <c r="G261" i="31"/>
  <c r="G260" i="31"/>
  <c r="G259" i="31"/>
  <c r="G258" i="31"/>
  <c r="G257" i="31"/>
  <c r="G256" i="31"/>
  <c r="G255" i="31"/>
  <c r="G254" i="31"/>
  <c r="G253" i="31"/>
  <c r="G252" i="31"/>
  <c r="G251" i="31"/>
  <c r="G250" i="31"/>
  <c r="G249" i="31"/>
  <c r="G248" i="31"/>
  <c r="G247" i="31"/>
  <c r="G246" i="31"/>
  <c r="G245" i="31"/>
  <c r="G244" i="31"/>
  <c r="G243" i="31"/>
  <c r="G242" i="31"/>
  <c r="G241" i="31"/>
  <c r="G240" i="31"/>
  <c r="G239" i="31"/>
  <c r="G238" i="31"/>
  <c r="G237" i="31"/>
  <c r="G236" i="31"/>
  <c r="G235" i="31"/>
  <c r="G234" i="31"/>
  <c r="G233" i="31"/>
  <c r="G232" i="31"/>
  <c r="G231" i="31"/>
  <c r="G230" i="31"/>
  <c r="G229" i="31"/>
  <c r="G228" i="31"/>
  <c r="G227" i="31"/>
  <c r="G226" i="31"/>
  <c r="G225" i="31"/>
  <c r="G224" i="31"/>
  <c r="G223" i="31"/>
  <c r="G222" i="31"/>
  <c r="G221" i="31"/>
  <c r="G220" i="31"/>
  <c r="G219" i="31"/>
  <c r="G218" i="31"/>
  <c r="G217" i="31"/>
  <c r="G216" i="31"/>
  <c r="G215" i="31"/>
  <c r="G214" i="31"/>
  <c r="G213" i="31"/>
  <c r="G212" i="31"/>
  <c r="G211" i="31"/>
  <c r="G210" i="31"/>
  <c r="G209" i="31"/>
  <c r="G208" i="31"/>
  <c r="G207" i="31"/>
  <c r="G206" i="31"/>
  <c r="G205" i="31"/>
  <c r="G204" i="31"/>
  <c r="G203" i="31"/>
  <c r="G202" i="31"/>
  <c r="G201" i="31"/>
  <c r="G200" i="31"/>
  <c r="G199" i="31"/>
  <c r="G198" i="31"/>
  <c r="G197" i="31"/>
  <c r="G196" i="31"/>
  <c r="G195" i="31"/>
  <c r="G194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2" i="31"/>
  <c r="G161" i="31"/>
  <c r="G160" i="31"/>
  <c r="G159" i="31"/>
  <c r="G158" i="31"/>
  <c r="G157" i="31"/>
  <c r="G156" i="31"/>
  <c r="G155" i="31"/>
  <c r="G154" i="31"/>
  <c r="G153" i="31"/>
  <c r="G152" i="31"/>
  <c r="G151" i="31"/>
  <c r="G150" i="31"/>
  <c r="G149" i="31"/>
  <c r="G148" i="31"/>
  <c r="G147" i="31"/>
  <c r="G146" i="31"/>
  <c r="G145" i="31"/>
  <c r="G144" i="31"/>
  <c r="G143" i="31"/>
  <c r="G142" i="31"/>
  <c r="G141" i="31"/>
  <c r="G140" i="31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19" i="31"/>
  <c r="G118" i="31"/>
  <c r="G117" i="31"/>
  <c r="G116" i="31"/>
  <c r="G115" i="31"/>
  <c r="G114" i="31"/>
  <c r="G113" i="31"/>
  <c r="G112" i="31"/>
  <c r="G111" i="31"/>
  <c r="G110" i="31"/>
  <c r="G109" i="31"/>
  <c r="G108" i="31"/>
  <c r="G107" i="31"/>
  <c r="G106" i="31"/>
  <c r="G105" i="31"/>
  <c r="G104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F670" i="30"/>
  <c r="F685" i="30"/>
  <c r="F659" i="30"/>
  <c r="F660" i="30"/>
  <c r="F661" i="30"/>
  <c r="F662" i="30"/>
  <c r="F663" i="30"/>
  <c r="F664" i="30"/>
  <c r="F665" i="30"/>
  <c r="F666" i="30"/>
  <c r="F667" i="30"/>
  <c r="F668" i="30"/>
  <c r="F669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6" i="30"/>
  <c r="F687" i="30"/>
  <c r="F688" i="30"/>
  <c r="F689" i="30"/>
  <c r="F690" i="30"/>
  <c r="F691" i="30"/>
  <c r="F692" i="30"/>
  <c r="F693" i="30"/>
  <c r="F694" i="30"/>
  <c r="F695" i="30"/>
  <c r="F696" i="30"/>
  <c r="F697" i="30"/>
  <c r="F698" i="30"/>
  <c r="F699" i="30"/>
  <c r="F700" i="30"/>
  <c r="F701" i="30"/>
  <c r="F702" i="30"/>
  <c r="F703" i="30"/>
  <c r="F704" i="30"/>
  <c r="F705" i="30"/>
  <c r="F706" i="30"/>
  <c r="F707" i="30"/>
  <c r="F708" i="30"/>
  <c r="F709" i="30"/>
  <c r="F710" i="30"/>
  <c r="F711" i="30"/>
  <c r="F712" i="30"/>
  <c r="F713" i="30"/>
  <c r="F714" i="30"/>
  <c r="D646" i="31" l="1"/>
  <c r="D5" i="32" s="1"/>
  <c r="G646" i="31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511" i="30"/>
  <c r="F512" i="30"/>
  <c r="F513" i="30"/>
  <c r="F514" i="30"/>
  <c r="F515" i="30"/>
  <c r="F516" i="30"/>
  <c r="F517" i="30"/>
  <c r="F5" i="32" l="1"/>
  <c r="F326" i="32" s="1"/>
  <c r="G327" i="32" s="1"/>
  <c r="D326" i="32"/>
  <c r="D327" i="32" s="1"/>
  <c r="D4" i="33" s="1"/>
  <c r="F378" i="30"/>
  <c r="F379" i="30"/>
  <c r="F380" i="30"/>
  <c r="F381" i="30"/>
  <c r="F382" i="30"/>
  <c r="F383" i="30"/>
  <c r="F384" i="30"/>
  <c r="F385" i="30"/>
  <c r="F386" i="30"/>
  <c r="F387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4" i="33" l="1"/>
  <c r="F652" i="33" s="1"/>
  <c r="G653" i="33" s="1"/>
  <c r="D652" i="33"/>
  <c r="D653" i="33" s="1"/>
  <c r="D4" i="34" s="1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3" i="30"/>
  <c r="F354" i="30"/>
  <c r="F355" i="30"/>
  <c r="F356" i="30"/>
  <c r="F357" i="30"/>
  <c r="F358" i="30"/>
  <c r="F359" i="30"/>
  <c r="F360" i="30"/>
  <c r="F361" i="30"/>
  <c r="F373" i="30"/>
  <c r="F374" i="30"/>
  <c r="F376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3" i="30"/>
  <c r="F284" i="30"/>
  <c r="F285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D648" i="34" l="1"/>
  <c r="D649" i="34" s="1"/>
  <c r="D4" i="35" s="1"/>
  <c r="F4" i="34"/>
  <c r="F648" i="34" s="1"/>
  <c r="G649" i="34" s="1"/>
  <c r="F7" i="30"/>
  <c r="C716" i="30"/>
  <c r="F510" i="30"/>
  <c r="F509" i="30"/>
  <c r="F508" i="30"/>
  <c r="F507" i="30"/>
  <c r="F377" i="30"/>
  <c r="F316" i="30"/>
  <c r="F315" i="30"/>
  <c r="F314" i="30"/>
  <c r="F313" i="30"/>
  <c r="F312" i="30"/>
  <c r="F311" i="30"/>
  <c r="F309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F146" i="30"/>
  <c r="F145" i="30"/>
  <c r="F144" i="30"/>
  <c r="F143" i="30"/>
  <c r="F142" i="30"/>
  <c r="F141" i="30"/>
  <c r="F140" i="30"/>
  <c r="F139" i="30"/>
  <c r="F138" i="30"/>
  <c r="F137" i="30"/>
  <c r="F136" i="30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9" i="30"/>
  <c r="F118" i="30"/>
  <c r="F117" i="30"/>
  <c r="F116" i="30"/>
  <c r="F115" i="30"/>
  <c r="F114" i="30"/>
  <c r="F113" i="30"/>
  <c r="F112" i="30"/>
  <c r="F111" i="30"/>
  <c r="F110" i="30"/>
  <c r="F109" i="30"/>
  <c r="F108" i="30"/>
  <c r="F107" i="30"/>
  <c r="F106" i="30"/>
  <c r="F105" i="30"/>
  <c r="F104" i="30"/>
  <c r="F103" i="30"/>
  <c r="F102" i="30"/>
  <c r="F101" i="30"/>
  <c r="F100" i="30"/>
  <c r="F99" i="30"/>
  <c r="F98" i="30"/>
  <c r="F97" i="30"/>
  <c r="F96" i="30"/>
  <c r="F95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7" i="30"/>
  <c r="F36" i="30"/>
  <c r="F35" i="30"/>
  <c r="F34" i="30"/>
  <c r="F33" i="30"/>
  <c r="F32" i="30"/>
  <c r="F31" i="30"/>
  <c r="F30" i="30"/>
  <c r="F29" i="30"/>
  <c r="F28" i="30"/>
  <c r="F27" i="30"/>
  <c r="F26" i="30"/>
  <c r="F25" i="30"/>
  <c r="F24" i="30"/>
  <c r="F23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F6" i="30"/>
  <c r="F928" i="28"/>
  <c r="E928" i="28"/>
  <c r="F216" i="29"/>
  <c r="F215" i="29"/>
  <c r="F214" i="29"/>
  <c r="F213" i="29"/>
  <c r="F212" i="29"/>
  <c r="F211" i="29"/>
  <c r="F210" i="29"/>
  <c r="F209" i="29"/>
  <c r="F208" i="29"/>
  <c r="F207" i="29"/>
  <c r="F206" i="29"/>
  <c r="F205" i="29"/>
  <c r="F204" i="29"/>
  <c r="F203" i="29"/>
  <c r="F202" i="29"/>
  <c r="F201" i="29"/>
  <c r="F200" i="29"/>
  <c r="F199" i="29"/>
  <c r="F198" i="29"/>
  <c r="F197" i="29"/>
  <c r="F196" i="29"/>
  <c r="F195" i="29"/>
  <c r="F194" i="29"/>
  <c r="F193" i="29"/>
  <c r="F192" i="29"/>
  <c r="F191" i="29"/>
  <c r="F190" i="29"/>
  <c r="F189" i="29"/>
  <c r="F188" i="29"/>
  <c r="F187" i="29"/>
  <c r="F186" i="29"/>
  <c r="F185" i="29"/>
  <c r="F184" i="29"/>
  <c r="F183" i="29"/>
  <c r="F182" i="29"/>
  <c r="F181" i="29"/>
  <c r="F180" i="29"/>
  <c r="F179" i="29"/>
  <c r="F178" i="29"/>
  <c r="F177" i="29"/>
  <c r="F176" i="29"/>
  <c r="F175" i="29"/>
  <c r="F174" i="29"/>
  <c r="F173" i="29"/>
  <c r="F172" i="29"/>
  <c r="F171" i="29"/>
  <c r="F170" i="29"/>
  <c r="F169" i="29"/>
  <c r="F168" i="29"/>
  <c r="F167" i="29"/>
  <c r="F166" i="29"/>
  <c r="F165" i="29"/>
  <c r="F164" i="29"/>
  <c r="F163" i="29"/>
  <c r="F162" i="29"/>
  <c r="F161" i="29"/>
  <c r="F160" i="29"/>
  <c r="F159" i="29"/>
  <c r="F158" i="29"/>
  <c r="F157" i="29"/>
  <c r="F156" i="29"/>
  <c r="F155" i="29"/>
  <c r="F154" i="29"/>
  <c r="F153" i="29"/>
  <c r="F152" i="29"/>
  <c r="F151" i="29"/>
  <c r="F150" i="29"/>
  <c r="F149" i="29"/>
  <c r="F148" i="29"/>
  <c r="F147" i="29"/>
  <c r="F146" i="29"/>
  <c r="F145" i="29"/>
  <c r="F144" i="29"/>
  <c r="F143" i="29"/>
  <c r="F142" i="29"/>
  <c r="F141" i="29"/>
  <c r="F140" i="29"/>
  <c r="F139" i="29"/>
  <c r="F138" i="29"/>
  <c r="F137" i="29"/>
  <c r="F136" i="29"/>
  <c r="F135" i="29"/>
  <c r="F134" i="29"/>
  <c r="F133" i="29"/>
  <c r="F132" i="29"/>
  <c r="F131" i="29"/>
  <c r="F130" i="29"/>
  <c r="F129" i="29"/>
  <c r="F128" i="29"/>
  <c r="F127" i="29"/>
  <c r="F126" i="29"/>
  <c r="F125" i="29"/>
  <c r="F124" i="29"/>
  <c r="F123" i="29"/>
  <c r="F122" i="29"/>
  <c r="F121" i="29"/>
  <c r="F120" i="29"/>
  <c r="F119" i="29"/>
  <c r="F118" i="29"/>
  <c r="F117" i="29"/>
  <c r="F116" i="29"/>
  <c r="F115" i="29"/>
  <c r="F114" i="29"/>
  <c r="F113" i="29"/>
  <c r="F112" i="29"/>
  <c r="F111" i="29"/>
  <c r="F110" i="29"/>
  <c r="F109" i="29"/>
  <c r="F108" i="29"/>
  <c r="F107" i="29"/>
  <c r="F106" i="29"/>
  <c r="F105" i="29"/>
  <c r="F104" i="29"/>
  <c r="F103" i="29"/>
  <c r="F102" i="29"/>
  <c r="F101" i="29"/>
  <c r="F100" i="29"/>
  <c r="F99" i="29"/>
  <c r="F98" i="29"/>
  <c r="F97" i="29"/>
  <c r="F96" i="29"/>
  <c r="F95" i="29"/>
  <c r="F94" i="29"/>
  <c r="F93" i="29"/>
  <c r="F92" i="29"/>
  <c r="F91" i="29"/>
  <c r="F90" i="29"/>
  <c r="F89" i="29"/>
  <c r="F88" i="29"/>
  <c r="F87" i="29"/>
  <c r="F86" i="29"/>
  <c r="F85" i="29"/>
  <c r="F84" i="29"/>
  <c r="F83" i="29"/>
  <c r="F82" i="29"/>
  <c r="F81" i="29"/>
  <c r="F80" i="29"/>
  <c r="F79" i="29"/>
  <c r="F78" i="29"/>
  <c r="F77" i="29"/>
  <c r="F76" i="29"/>
  <c r="F75" i="29"/>
  <c r="F74" i="29"/>
  <c r="F73" i="29"/>
  <c r="F72" i="29"/>
  <c r="F71" i="29"/>
  <c r="F70" i="29"/>
  <c r="F69" i="29"/>
  <c r="F68" i="29"/>
  <c r="F67" i="29"/>
  <c r="F66" i="29"/>
  <c r="F65" i="29"/>
  <c r="F64" i="29"/>
  <c r="F63" i="29"/>
  <c r="F62" i="29"/>
  <c r="F61" i="29"/>
  <c r="F60" i="29"/>
  <c r="F59" i="29"/>
  <c r="F58" i="29"/>
  <c r="F57" i="29"/>
  <c r="F56" i="29"/>
  <c r="F55" i="29"/>
  <c r="F54" i="29"/>
  <c r="F53" i="29"/>
  <c r="F52" i="29"/>
  <c r="F51" i="29"/>
  <c r="F50" i="29"/>
  <c r="F49" i="29"/>
  <c r="F48" i="29"/>
  <c r="F47" i="29"/>
  <c r="F46" i="29"/>
  <c r="F45" i="29"/>
  <c r="F44" i="29"/>
  <c r="F43" i="29"/>
  <c r="F42" i="29"/>
  <c r="F41" i="29"/>
  <c r="F40" i="29"/>
  <c r="F39" i="29"/>
  <c r="F38" i="29"/>
  <c r="F37" i="29"/>
  <c r="F36" i="29"/>
  <c r="F35" i="29"/>
  <c r="F34" i="29"/>
  <c r="F33" i="29"/>
  <c r="F32" i="29"/>
  <c r="F31" i="29"/>
  <c r="F30" i="29"/>
  <c r="F29" i="29"/>
  <c r="F28" i="29"/>
  <c r="F27" i="29"/>
  <c r="F26" i="29"/>
  <c r="F25" i="29"/>
  <c r="F24" i="29"/>
  <c r="F23" i="29"/>
  <c r="F22" i="29"/>
  <c r="F21" i="29"/>
  <c r="F20" i="29"/>
  <c r="F19" i="29"/>
  <c r="F18" i="29"/>
  <c r="F17" i="29"/>
  <c r="F16" i="29"/>
  <c r="F15" i="29"/>
  <c r="F14" i="29"/>
  <c r="F13" i="29"/>
  <c r="F12" i="29"/>
  <c r="F11" i="29"/>
  <c r="F10" i="29"/>
  <c r="F9" i="29"/>
  <c r="F8" i="29"/>
  <c r="F7" i="29"/>
  <c r="F6" i="29"/>
  <c r="D217" i="29"/>
  <c r="D928" i="28"/>
  <c r="G927" i="28"/>
  <c r="G926" i="28"/>
  <c r="G925" i="28"/>
  <c r="G924" i="28"/>
  <c r="G923" i="28"/>
  <c r="G922" i="28"/>
  <c r="G921" i="28"/>
  <c r="G920" i="28"/>
  <c r="G919" i="28"/>
  <c r="G918" i="28"/>
  <c r="G917" i="28"/>
  <c r="G916" i="28"/>
  <c r="G915" i="28"/>
  <c r="G914" i="28"/>
  <c r="G913" i="28"/>
  <c r="G912" i="28"/>
  <c r="G911" i="28"/>
  <c r="G910" i="28"/>
  <c r="G909" i="28"/>
  <c r="G908" i="28"/>
  <c r="G907" i="28"/>
  <c r="G906" i="28"/>
  <c r="G905" i="28"/>
  <c r="G904" i="28"/>
  <c r="G903" i="28"/>
  <c r="G902" i="28"/>
  <c r="G901" i="28"/>
  <c r="G900" i="28"/>
  <c r="G899" i="28"/>
  <c r="G898" i="28"/>
  <c r="G897" i="28"/>
  <c r="G896" i="28"/>
  <c r="G895" i="28"/>
  <c r="G894" i="28"/>
  <c r="G893" i="28"/>
  <c r="G892" i="28"/>
  <c r="G891" i="28"/>
  <c r="G890" i="28"/>
  <c r="G889" i="28"/>
  <c r="G888" i="28"/>
  <c r="G887" i="28"/>
  <c r="G886" i="28"/>
  <c r="G885" i="28"/>
  <c r="G884" i="28"/>
  <c r="G883" i="28"/>
  <c r="G882" i="28"/>
  <c r="G881" i="28"/>
  <c r="G880" i="28"/>
  <c r="G879" i="28"/>
  <c r="G878" i="28"/>
  <c r="G877" i="28"/>
  <c r="G876" i="28"/>
  <c r="G875" i="28"/>
  <c r="G874" i="28"/>
  <c r="G873" i="28"/>
  <c r="G872" i="28"/>
  <c r="G871" i="28"/>
  <c r="G870" i="28"/>
  <c r="G869" i="28"/>
  <c r="G868" i="28"/>
  <c r="G867" i="28"/>
  <c r="G866" i="28"/>
  <c r="G865" i="28"/>
  <c r="G864" i="28"/>
  <c r="G863" i="28"/>
  <c r="G862" i="28"/>
  <c r="G861" i="28"/>
  <c r="G860" i="28"/>
  <c r="G859" i="28"/>
  <c r="G858" i="28"/>
  <c r="G857" i="28"/>
  <c r="G856" i="28"/>
  <c r="G855" i="28"/>
  <c r="G854" i="28"/>
  <c r="G853" i="28"/>
  <c r="G852" i="28"/>
  <c r="G851" i="28"/>
  <c r="G850" i="28"/>
  <c r="G849" i="28"/>
  <c r="G848" i="28"/>
  <c r="G847" i="28"/>
  <c r="G846" i="28"/>
  <c r="G845" i="28"/>
  <c r="G844" i="28"/>
  <c r="G843" i="28"/>
  <c r="G842" i="28"/>
  <c r="G841" i="28"/>
  <c r="G840" i="28"/>
  <c r="G839" i="28"/>
  <c r="G838" i="28"/>
  <c r="G837" i="28"/>
  <c r="G836" i="28"/>
  <c r="G835" i="28"/>
  <c r="G834" i="28"/>
  <c r="G833" i="28"/>
  <c r="G832" i="28"/>
  <c r="G831" i="28"/>
  <c r="G830" i="28"/>
  <c r="G829" i="28"/>
  <c r="G828" i="28"/>
  <c r="G827" i="28"/>
  <c r="G826" i="28"/>
  <c r="G825" i="28"/>
  <c r="G824" i="28"/>
  <c r="G823" i="28"/>
  <c r="G822" i="28"/>
  <c r="G821" i="28"/>
  <c r="G820" i="28"/>
  <c r="G819" i="28"/>
  <c r="G818" i="28"/>
  <c r="G817" i="28"/>
  <c r="G816" i="28"/>
  <c r="G815" i="28"/>
  <c r="G814" i="28"/>
  <c r="G813" i="28"/>
  <c r="G812" i="28"/>
  <c r="G811" i="28"/>
  <c r="G810" i="28"/>
  <c r="G809" i="28"/>
  <c r="G808" i="28"/>
  <c r="G807" i="28"/>
  <c r="G806" i="28"/>
  <c r="G805" i="28"/>
  <c r="G804" i="28"/>
  <c r="G803" i="28"/>
  <c r="G802" i="28"/>
  <c r="G801" i="28"/>
  <c r="G800" i="28"/>
  <c r="G799" i="28"/>
  <c r="G798" i="28"/>
  <c r="G797" i="28"/>
  <c r="G796" i="28"/>
  <c r="G795" i="28"/>
  <c r="G794" i="28"/>
  <c r="G793" i="28"/>
  <c r="G792" i="28"/>
  <c r="G791" i="28"/>
  <c r="G790" i="28"/>
  <c r="G789" i="28"/>
  <c r="G788" i="28"/>
  <c r="G787" i="28"/>
  <c r="G786" i="28"/>
  <c r="G785" i="28"/>
  <c r="G784" i="28"/>
  <c r="G783" i="28"/>
  <c r="G782" i="28"/>
  <c r="G781" i="28"/>
  <c r="G780" i="28"/>
  <c r="G779" i="28"/>
  <c r="G778" i="28"/>
  <c r="G777" i="28"/>
  <c r="G776" i="28"/>
  <c r="G775" i="28"/>
  <c r="G774" i="28"/>
  <c r="G773" i="28"/>
  <c r="G772" i="28"/>
  <c r="G771" i="28"/>
  <c r="G770" i="28"/>
  <c r="G769" i="28"/>
  <c r="G768" i="28"/>
  <c r="G767" i="28"/>
  <c r="G766" i="28"/>
  <c r="G765" i="28"/>
  <c r="G764" i="28"/>
  <c r="G763" i="28"/>
  <c r="G762" i="28"/>
  <c r="G761" i="28"/>
  <c r="G760" i="28"/>
  <c r="G759" i="28"/>
  <c r="G758" i="28"/>
  <c r="G757" i="28"/>
  <c r="G756" i="28"/>
  <c r="G755" i="28"/>
  <c r="G754" i="28"/>
  <c r="G753" i="28"/>
  <c r="G752" i="28"/>
  <c r="G751" i="28"/>
  <c r="G750" i="28"/>
  <c r="G749" i="28"/>
  <c r="G748" i="28"/>
  <c r="G747" i="28"/>
  <c r="G746" i="28"/>
  <c r="G745" i="28"/>
  <c r="G744" i="28"/>
  <c r="G743" i="28"/>
  <c r="G742" i="28"/>
  <c r="G741" i="28"/>
  <c r="G740" i="28"/>
  <c r="G739" i="28"/>
  <c r="G738" i="28"/>
  <c r="G737" i="28"/>
  <c r="G736" i="28"/>
  <c r="G735" i="28"/>
  <c r="G734" i="28"/>
  <c r="G733" i="28"/>
  <c r="G732" i="28"/>
  <c r="G731" i="28"/>
  <c r="G730" i="28"/>
  <c r="G729" i="28"/>
  <c r="G728" i="28"/>
  <c r="G727" i="28"/>
  <c r="G726" i="28"/>
  <c r="G725" i="28"/>
  <c r="G724" i="28"/>
  <c r="G723" i="28"/>
  <c r="G722" i="28"/>
  <c r="G721" i="28"/>
  <c r="G720" i="28"/>
  <c r="G719" i="28"/>
  <c r="G718" i="28"/>
  <c r="G717" i="28"/>
  <c r="G716" i="28"/>
  <c r="G715" i="28"/>
  <c r="G714" i="28"/>
  <c r="G713" i="28"/>
  <c r="G712" i="28"/>
  <c r="G711" i="28"/>
  <c r="G710" i="28"/>
  <c r="G709" i="28"/>
  <c r="G708" i="28"/>
  <c r="G707" i="28"/>
  <c r="G706" i="28"/>
  <c r="G705" i="28"/>
  <c r="G704" i="28"/>
  <c r="G703" i="28"/>
  <c r="G702" i="28"/>
  <c r="G701" i="28"/>
  <c r="G700" i="28"/>
  <c r="G699" i="28"/>
  <c r="G698" i="28"/>
  <c r="G697" i="28"/>
  <c r="G696" i="28"/>
  <c r="G695" i="28"/>
  <c r="G694" i="28"/>
  <c r="G693" i="28"/>
  <c r="G692" i="28"/>
  <c r="G691" i="28"/>
  <c r="G690" i="28"/>
  <c r="G689" i="28"/>
  <c r="G688" i="28"/>
  <c r="G687" i="28"/>
  <c r="G686" i="28"/>
  <c r="G685" i="28"/>
  <c r="G684" i="28"/>
  <c r="G683" i="28"/>
  <c r="G682" i="28"/>
  <c r="G681" i="28"/>
  <c r="G680" i="28"/>
  <c r="G679" i="28"/>
  <c r="G678" i="28"/>
  <c r="G677" i="28"/>
  <c r="G676" i="28"/>
  <c r="G675" i="28"/>
  <c r="G674" i="28"/>
  <c r="G673" i="28"/>
  <c r="G672" i="28"/>
  <c r="G671" i="28"/>
  <c r="G670" i="28"/>
  <c r="G669" i="28"/>
  <c r="G668" i="28"/>
  <c r="G667" i="28"/>
  <c r="G666" i="28"/>
  <c r="G665" i="28"/>
  <c r="G664" i="28"/>
  <c r="G663" i="28"/>
  <c r="G662" i="28"/>
  <c r="G661" i="28"/>
  <c r="G660" i="28"/>
  <c r="G659" i="28"/>
  <c r="G658" i="28"/>
  <c r="G657" i="28"/>
  <c r="G656" i="28"/>
  <c r="G655" i="28"/>
  <c r="G654" i="28"/>
  <c r="G653" i="28"/>
  <c r="G652" i="28"/>
  <c r="G651" i="28"/>
  <c r="G650" i="28"/>
  <c r="G649" i="28"/>
  <c r="G648" i="28"/>
  <c r="G647" i="28"/>
  <c r="G646" i="28"/>
  <c r="G645" i="28"/>
  <c r="G644" i="28"/>
  <c r="G643" i="28"/>
  <c r="G642" i="28"/>
  <c r="G641" i="28"/>
  <c r="G640" i="28"/>
  <c r="G639" i="28"/>
  <c r="G638" i="28"/>
  <c r="G637" i="28"/>
  <c r="G636" i="28"/>
  <c r="G635" i="28"/>
  <c r="G634" i="28"/>
  <c r="G633" i="28"/>
  <c r="G632" i="28"/>
  <c r="G631" i="28"/>
  <c r="G630" i="28"/>
  <c r="G629" i="28"/>
  <c r="G628" i="28"/>
  <c r="G627" i="28"/>
  <c r="G626" i="28"/>
  <c r="G625" i="28"/>
  <c r="G624" i="28"/>
  <c r="G623" i="28"/>
  <c r="G622" i="28"/>
  <c r="G621" i="28"/>
  <c r="G620" i="28"/>
  <c r="G619" i="28"/>
  <c r="G618" i="28"/>
  <c r="G617" i="28"/>
  <c r="G616" i="28"/>
  <c r="G615" i="28"/>
  <c r="G614" i="28"/>
  <c r="G613" i="28"/>
  <c r="G612" i="28"/>
  <c r="G611" i="28"/>
  <c r="G610" i="28"/>
  <c r="G609" i="28"/>
  <c r="G608" i="28"/>
  <c r="G607" i="28"/>
  <c r="G606" i="28"/>
  <c r="G605" i="28"/>
  <c r="G604" i="28"/>
  <c r="G603" i="28"/>
  <c r="G602" i="28"/>
  <c r="G601" i="28"/>
  <c r="G600" i="28"/>
  <c r="G599" i="28"/>
  <c r="G598" i="28"/>
  <c r="G597" i="28"/>
  <c r="G596" i="28"/>
  <c r="G595" i="28"/>
  <c r="G594" i="28"/>
  <c r="G593" i="28"/>
  <c r="G592" i="28"/>
  <c r="G591" i="28"/>
  <c r="G590" i="28"/>
  <c r="G589" i="28"/>
  <c r="G588" i="28"/>
  <c r="G587" i="28"/>
  <c r="G586" i="28"/>
  <c r="G585" i="28"/>
  <c r="G584" i="28"/>
  <c r="G583" i="28"/>
  <c r="G582" i="28"/>
  <c r="G581" i="28"/>
  <c r="G580" i="28"/>
  <c r="G579" i="28"/>
  <c r="G578" i="28"/>
  <c r="G577" i="28"/>
  <c r="G576" i="28"/>
  <c r="G575" i="28"/>
  <c r="G574" i="28"/>
  <c r="G573" i="28"/>
  <c r="G572" i="28"/>
  <c r="G571" i="28"/>
  <c r="G570" i="28"/>
  <c r="G569" i="28"/>
  <c r="G568" i="28"/>
  <c r="G567" i="28"/>
  <c r="G566" i="28"/>
  <c r="G565" i="28"/>
  <c r="G564" i="28"/>
  <c r="G563" i="28"/>
  <c r="G562" i="28"/>
  <c r="G561" i="28"/>
  <c r="G560" i="28"/>
  <c r="G559" i="28"/>
  <c r="G558" i="28"/>
  <c r="G557" i="28"/>
  <c r="G556" i="28"/>
  <c r="G555" i="28"/>
  <c r="G554" i="28"/>
  <c r="G553" i="28"/>
  <c r="G552" i="28"/>
  <c r="G551" i="28"/>
  <c r="G550" i="28"/>
  <c r="G549" i="28"/>
  <c r="G548" i="28"/>
  <c r="G547" i="28"/>
  <c r="G546" i="28"/>
  <c r="G545" i="28"/>
  <c r="G544" i="28"/>
  <c r="G543" i="28"/>
  <c r="G542" i="28"/>
  <c r="G541" i="28"/>
  <c r="G540" i="28"/>
  <c r="G539" i="28"/>
  <c r="G538" i="28"/>
  <c r="G537" i="28"/>
  <c r="G536" i="28"/>
  <c r="G535" i="28"/>
  <c r="G534" i="28"/>
  <c r="G533" i="28"/>
  <c r="G532" i="28"/>
  <c r="G531" i="28"/>
  <c r="G530" i="28"/>
  <c r="G529" i="28"/>
  <c r="G528" i="28"/>
  <c r="G527" i="28"/>
  <c r="G526" i="28"/>
  <c r="G525" i="28"/>
  <c r="G524" i="28"/>
  <c r="G523" i="28"/>
  <c r="G522" i="28"/>
  <c r="G521" i="28"/>
  <c r="G520" i="28"/>
  <c r="G519" i="28"/>
  <c r="G518" i="28"/>
  <c r="G517" i="28"/>
  <c r="G516" i="28"/>
  <c r="G515" i="28"/>
  <c r="G514" i="28"/>
  <c r="G513" i="28"/>
  <c r="G512" i="28"/>
  <c r="G511" i="28"/>
  <c r="G510" i="28"/>
  <c r="G509" i="28"/>
  <c r="G508" i="28"/>
  <c r="G507" i="28"/>
  <c r="G506" i="28"/>
  <c r="G505" i="28"/>
  <c r="G504" i="28"/>
  <c r="G503" i="28"/>
  <c r="G502" i="28"/>
  <c r="G501" i="28"/>
  <c r="G500" i="28"/>
  <c r="G499" i="28"/>
  <c r="G498" i="28"/>
  <c r="G497" i="28"/>
  <c r="G496" i="28"/>
  <c r="G495" i="28"/>
  <c r="G494" i="28"/>
  <c r="G493" i="28"/>
  <c r="G492" i="28"/>
  <c r="G491" i="28"/>
  <c r="G490" i="28"/>
  <c r="G489" i="28"/>
  <c r="G488" i="28"/>
  <c r="G487" i="28"/>
  <c r="G486" i="28"/>
  <c r="G485" i="28"/>
  <c r="G484" i="28"/>
  <c r="G483" i="28"/>
  <c r="G482" i="28"/>
  <c r="G481" i="28"/>
  <c r="G480" i="28"/>
  <c r="G479" i="28"/>
  <c r="G478" i="28"/>
  <c r="G477" i="28"/>
  <c r="G476" i="28"/>
  <c r="G475" i="28"/>
  <c r="G474" i="28"/>
  <c r="G473" i="28"/>
  <c r="G472" i="28"/>
  <c r="G471" i="28"/>
  <c r="G470" i="28"/>
  <c r="G469" i="28"/>
  <c r="G468" i="28"/>
  <c r="G467" i="28"/>
  <c r="G466" i="28"/>
  <c r="G465" i="28"/>
  <c r="G464" i="28"/>
  <c r="G463" i="28"/>
  <c r="G462" i="28"/>
  <c r="G461" i="28"/>
  <c r="G460" i="28"/>
  <c r="G459" i="28"/>
  <c r="G458" i="28"/>
  <c r="G457" i="28"/>
  <c r="G456" i="28"/>
  <c r="G455" i="28"/>
  <c r="G454" i="28"/>
  <c r="G453" i="28"/>
  <c r="G452" i="28"/>
  <c r="G451" i="28"/>
  <c r="G450" i="28"/>
  <c r="G449" i="28"/>
  <c r="G448" i="28"/>
  <c r="G447" i="28"/>
  <c r="G446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295" i="28"/>
  <c r="G296" i="28"/>
  <c r="G297" i="28"/>
  <c r="G298" i="28"/>
  <c r="G299" i="28"/>
  <c r="G300" i="28"/>
  <c r="G301" i="28"/>
  <c r="G302" i="28"/>
  <c r="G303" i="28"/>
  <c r="G304" i="28"/>
  <c r="G305" i="28"/>
  <c r="G306" i="28"/>
  <c r="G307" i="28"/>
  <c r="G308" i="28"/>
  <c r="G309" i="28"/>
  <c r="G310" i="28"/>
  <c r="G311" i="28"/>
  <c r="G312" i="28"/>
  <c r="G313" i="28"/>
  <c r="G314" i="28"/>
  <c r="G315" i="28"/>
  <c r="G316" i="28"/>
  <c r="G317" i="28"/>
  <c r="G318" i="28"/>
  <c r="G319" i="28"/>
  <c r="G320" i="28"/>
  <c r="G321" i="28"/>
  <c r="G322" i="28"/>
  <c r="G323" i="28"/>
  <c r="G324" i="28"/>
  <c r="G325" i="28"/>
  <c r="G326" i="28"/>
  <c r="G327" i="28"/>
  <c r="G328" i="28"/>
  <c r="G329" i="28"/>
  <c r="G330" i="28"/>
  <c r="G331" i="28"/>
  <c r="G332" i="28"/>
  <c r="G333" i="28"/>
  <c r="G334" i="28"/>
  <c r="G335" i="28"/>
  <c r="G336" i="28"/>
  <c r="G337" i="28"/>
  <c r="G338" i="28"/>
  <c r="G339" i="28"/>
  <c r="G340" i="28"/>
  <c r="G341" i="28"/>
  <c r="G342" i="28"/>
  <c r="G343" i="28"/>
  <c r="G344" i="28"/>
  <c r="G345" i="28"/>
  <c r="G346" i="28"/>
  <c r="G347" i="28"/>
  <c r="G348" i="28"/>
  <c r="G349" i="28"/>
  <c r="G350" i="28"/>
  <c r="G351" i="28"/>
  <c r="G352" i="28"/>
  <c r="G353" i="28"/>
  <c r="G354" i="28"/>
  <c r="G355" i="28"/>
  <c r="G356" i="28"/>
  <c r="G357" i="28"/>
  <c r="G358" i="28"/>
  <c r="G359" i="28"/>
  <c r="G360" i="28"/>
  <c r="G361" i="28"/>
  <c r="G362" i="28"/>
  <c r="G363" i="28"/>
  <c r="G364" i="28"/>
  <c r="G365" i="28"/>
  <c r="G366" i="28"/>
  <c r="G367" i="28"/>
  <c r="G368" i="28"/>
  <c r="G369" i="28"/>
  <c r="G370" i="28"/>
  <c r="G371" i="28"/>
  <c r="G372" i="28"/>
  <c r="G373" i="28"/>
  <c r="G374" i="28"/>
  <c r="G375" i="28"/>
  <c r="G376" i="28"/>
  <c r="G377" i="28"/>
  <c r="G378" i="28"/>
  <c r="G379" i="28"/>
  <c r="G380" i="28"/>
  <c r="G381" i="28"/>
  <c r="G382" i="28"/>
  <c r="G383" i="28"/>
  <c r="G384" i="28"/>
  <c r="G385" i="28"/>
  <c r="G386" i="28"/>
  <c r="G387" i="28"/>
  <c r="G388" i="28"/>
  <c r="G389" i="28"/>
  <c r="G390" i="28"/>
  <c r="G391" i="28"/>
  <c r="G392" i="28"/>
  <c r="G393" i="28"/>
  <c r="G394" i="28"/>
  <c r="G395" i="28"/>
  <c r="G396" i="28"/>
  <c r="G397" i="28"/>
  <c r="G398" i="28"/>
  <c r="G399" i="28"/>
  <c r="G400" i="28"/>
  <c r="G401" i="28"/>
  <c r="G402" i="28"/>
  <c r="G403" i="28"/>
  <c r="G404" i="28"/>
  <c r="G405" i="28"/>
  <c r="G406" i="28"/>
  <c r="G407" i="28"/>
  <c r="G408" i="28"/>
  <c r="G409" i="28"/>
  <c r="G410" i="28"/>
  <c r="G411" i="28"/>
  <c r="G412" i="28"/>
  <c r="G413" i="28"/>
  <c r="G414" i="28"/>
  <c r="G415" i="28"/>
  <c r="G416" i="28"/>
  <c r="G417" i="28"/>
  <c r="G418" i="28"/>
  <c r="G419" i="28"/>
  <c r="G420" i="28"/>
  <c r="G421" i="28"/>
  <c r="G422" i="28"/>
  <c r="G423" i="28"/>
  <c r="G424" i="28"/>
  <c r="G425" i="28"/>
  <c r="G426" i="28"/>
  <c r="G427" i="28"/>
  <c r="G428" i="28"/>
  <c r="G429" i="28"/>
  <c r="G430" i="28"/>
  <c r="G431" i="28"/>
  <c r="G432" i="28"/>
  <c r="G433" i="28"/>
  <c r="G434" i="28"/>
  <c r="G435" i="28"/>
  <c r="G436" i="28"/>
  <c r="G437" i="28"/>
  <c r="G438" i="28"/>
  <c r="G439" i="28"/>
  <c r="G440" i="28"/>
  <c r="G441" i="28"/>
  <c r="G442" i="28"/>
  <c r="G443" i="28"/>
  <c r="G444" i="28"/>
  <c r="G445" i="28"/>
  <c r="H929" i="28"/>
  <c r="D656" i="35" l="1"/>
  <c r="D657" i="35" s="1"/>
  <c r="F4" i="35"/>
  <c r="F656" i="35" s="1"/>
  <c r="G657" i="35" s="1"/>
  <c r="D929" i="28"/>
  <c r="G929" i="28"/>
  <c r="F1041" i="26"/>
  <c r="H788" i="24"/>
  <c r="E891" i="27"/>
  <c r="H892" i="27"/>
  <c r="F891" i="27"/>
  <c r="D891" i="27"/>
  <c r="G890" i="27"/>
  <c r="G889" i="27"/>
  <c r="G888" i="27"/>
  <c r="G887" i="27"/>
  <c r="G886" i="27"/>
  <c r="G885" i="27"/>
  <c r="G884" i="27"/>
  <c r="G883" i="27"/>
  <c r="G882" i="27"/>
  <c r="G881" i="27"/>
  <c r="G880" i="27"/>
  <c r="G879" i="27"/>
  <c r="G878" i="27"/>
  <c r="G877" i="27"/>
  <c r="G876" i="27"/>
  <c r="G875" i="27"/>
  <c r="G874" i="27"/>
  <c r="G873" i="27"/>
  <c r="G872" i="27"/>
  <c r="G871" i="27"/>
  <c r="G870" i="27"/>
  <c r="G869" i="27"/>
  <c r="G868" i="27"/>
  <c r="G867" i="27"/>
  <c r="G866" i="27"/>
  <c r="G865" i="27"/>
  <c r="G864" i="27"/>
  <c r="G863" i="27"/>
  <c r="G862" i="27"/>
  <c r="G861" i="27"/>
  <c r="G860" i="27"/>
  <c r="G859" i="27"/>
  <c r="G858" i="27"/>
  <c r="G857" i="27"/>
  <c r="G856" i="27"/>
  <c r="G855" i="27"/>
  <c r="G854" i="27"/>
  <c r="G853" i="27"/>
  <c r="G852" i="27"/>
  <c r="G851" i="27"/>
  <c r="G850" i="27"/>
  <c r="G849" i="27"/>
  <c r="G848" i="27"/>
  <c r="G847" i="27"/>
  <c r="G846" i="27"/>
  <c r="G845" i="27"/>
  <c r="G844" i="27"/>
  <c r="G843" i="27"/>
  <c r="G842" i="27"/>
  <c r="G841" i="27"/>
  <c r="G840" i="27"/>
  <c r="G839" i="27"/>
  <c r="G838" i="27"/>
  <c r="G837" i="27"/>
  <c r="G836" i="27"/>
  <c r="G835" i="27"/>
  <c r="G834" i="27"/>
  <c r="G833" i="27"/>
  <c r="G832" i="27"/>
  <c r="G831" i="27"/>
  <c r="G830" i="27"/>
  <c r="G829" i="27"/>
  <c r="G828" i="27"/>
  <c r="G827" i="27"/>
  <c r="G826" i="27"/>
  <c r="G825" i="27"/>
  <c r="G824" i="27"/>
  <c r="G823" i="27"/>
  <c r="G822" i="27"/>
  <c r="G821" i="27"/>
  <c r="G820" i="27"/>
  <c r="G819" i="27"/>
  <c r="G818" i="27"/>
  <c r="G817" i="27"/>
  <c r="G816" i="27"/>
  <c r="G815" i="27"/>
  <c r="G814" i="27"/>
  <c r="G813" i="27"/>
  <c r="G812" i="27"/>
  <c r="G811" i="27"/>
  <c r="G810" i="27"/>
  <c r="G809" i="27"/>
  <c r="G808" i="27"/>
  <c r="G807" i="27"/>
  <c r="G806" i="27"/>
  <c r="G805" i="27"/>
  <c r="G804" i="27"/>
  <c r="G803" i="27"/>
  <c r="G802" i="27"/>
  <c r="G801" i="27"/>
  <c r="G800" i="27"/>
  <c r="G799" i="27"/>
  <c r="G798" i="27"/>
  <c r="G797" i="27"/>
  <c r="G796" i="27"/>
  <c r="G795" i="27"/>
  <c r="G794" i="27"/>
  <c r="G793" i="27"/>
  <c r="G792" i="27"/>
  <c r="G791" i="27"/>
  <c r="G790" i="27"/>
  <c r="G789" i="27"/>
  <c r="G788" i="27"/>
  <c r="G787" i="27"/>
  <c r="G786" i="27"/>
  <c r="G785" i="27"/>
  <c r="G784" i="27"/>
  <c r="G783" i="27"/>
  <c r="G782" i="27"/>
  <c r="G781" i="27"/>
  <c r="G780" i="27"/>
  <c r="G779" i="27"/>
  <c r="G778" i="27"/>
  <c r="G777" i="27"/>
  <c r="G776" i="27"/>
  <c r="G775" i="27"/>
  <c r="G774" i="27"/>
  <c r="G773" i="27"/>
  <c r="G772" i="27"/>
  <c r="G771" i="27"/>
  <c r="G770" i="27"/>
  <c r="G769" i="27"/>
  <c r="G768" i="27"/>
  <c r="G767" i="27"/>
  <c r="G766" i="27"/>
  <c r="G765" i="27"/>
  <c r="G764" i="27"/>
  <c r="G763" i="27"/>
  <c r="G762" i="27"/>
  <c r="G761" i="27"/>
  <c r="G760" i="27"/>
  <c r="G759" i="27"/>
  <c r="G758" i="27"/>
  <c r="G757" i="27"/>
  <c r="G756" i="27"/>
  <c r="G755" i="27"/>
  <c r="G754" i="27"/>
  <c r="G753" i="27"/>
  <c r="G752" i="27"/>
  <c r="G751" i="27"/>
  <c r="G750" i="27"/>
  <c r="G749" i="27"/>
  <c r="G748" i="27"/>
  <c r="G747" i="27"/>
  <c r="G746" i="27"/>
  <c r="G745" i="27"/>
  <c r="G744" i="27"/>
  <c r="G743" i="27"/>
  <c r="G742" i="27"/>
  <c r="G741" i="27"/>
  <c r="G740" i="27"/>
  <c r="G739" i="27"/>
  <c r="G738" i="27"/>
  <c r="G737" i="27"/>
  <c r="G736" i="27"/>
  <c r="G735" i="27"/>
  <c r="G734" i="27"/>
  <c r="G733" i="27"/>
  <c r="G732" i="27"/>
  <c r="G731" i="27"/>
  <c r="G730" i="27"/>
  <c r="G729" i="27"/>
  <c r="G728" i="27"/>
  <c r="G727" i="27"/>
  <c r="G726" i="27"/>
  <c r="G725" i="27"/>
  <c r="G724" i="27"/>
  <c r="G723" i="27"/>
  <c r="G722" i="27"/>
  <c r="G721" i="27"/>
  <c r="G720" i="27"/>
  <c r="G719" i="27"/>
  <c r="G718" i="27"/>
  <c r="G717" i="27"/>
  <c r="G716" i="27"/>
  <c r="G715" i="27"/>
  <c r="G714" i="27"/>
  <c r="G713" i="27"/>
  <c r="G712" i="27"/>
  <c r="G711" i="27"/>
  <c r="G710" i="27"/>
  <c r="G709" i="27"/>
  <c r="G708" i="27"/>
  <c r="G707" i="27"/>
  <c r="G706" i="27"/>
  <c r="G705" i="27"/>
  <c r="G704" i="27"/>
  <c r="G703" i="27"/>
  <c r="G702" i="27"/>
  <c r="G701" i="27"/>
  <c r="G700" i="27"/>
  <c r="G699" i="27"/>
  <c r="G698" i="27"/>
  <c r="G697" i="27"/>
  <c r="G696" i="27"/>
  <c r="G695" i="27"/>
  <c r="G694" i="27"/>
  <c r="G693" i="27"/>
  <c r="G692" i="27"/>
  <c r="G691" i="27"/>
  <c r="G690" i="27"/>
  <c r="G689" i="27"/>
  <c r="G688" i="27"/>
  <c r="G687" i="27"/>
  <c r="G686" i="27"/>
  <c r="G685" i="27"/>
  <c r="G684" i="27"/>
  <c r="G683" i="27"/>
  <c r="G682" i="27"/>
  <c r="G681" i="27"/>
  <c r="G680" i="27"/>
  <c r="G679" i="27"/>
  <c r="G678" i="27"/>
  <c r="G677" i="27"/>
  <c r="G676" i="27"/>
  <c r="G675" i="27"/>
  <c r="G674" i="27"/>
  <c r="G673" i="27"/>
  <c r="G672" i="27"/>
  <c r="G671" i="27"/>
  <c r="G670" i="27"/>
  <c r="G669" i="27"/>
  <c r="G668" i="27"/>
  <c r="G667" i="27"/>
  <c r="G666" i="27"/>
  <c r="G665" i="27"/>
  <c r="G664" i="27"/>
  <c r="G663" i="27"/>
  <c r="G662" i="27"/>
  <c r="G661" i="27"/>
  <c r="G660" i="27"/>
  <c r="G659" i="27"/>
  <c r="G658" i="27"/>
  <c r="G657" i="27"/>
  <c r="G656" i="27"/>
  <c r="G655" i="27"/>
  <c r="G654" i="27"/>
  <c r="G653" i="27"/>
  <c r="G652" i="27"/>
  <c r="G651" i="27"/>
  <c r="G650" i="27"/>
  <c r="G649" i="27"/>
  <c r="G648" i="27"/>
  <c r="G647" i="27"/>
  <c r="G646" i="27"/>
  <c r="G645" i="27"/>
  <c r="G644" i="27"/>
  <c r="G643" i="27"/>
  <c r="G642" i="27"/>
  <c r="G641" i="27"/>
  <c r="G640" i="27"/>
  <c r="G639" i="27"/>
  <c r="G638" i="27"/>
  <c r="G637" i="27"/>
  <c r="G636" i="27"/>
  <c r="G635" i="27"/>
  <c r="G634" i="27"/>
  <c r="G633" i="27"/>
  <c r="G632" i="27"/>
  <c r="G631" i="27"/>
  <c r="G630" i="27"/>
  <c r="G629" i="27"/>
  <c r="G628" i="27"/>
  <c r="G627" i="27"/>
  <c r="G626" i="27"/>
  <c r="G625" i="27"/>
  <c r="G624" i="27"/>
  <c r="G623" i="27"/>
  <c r="G622" i="27"/>
  <c r="G621" i="27"/>
  <c r="G620" i="27"/>
  <c r="G619" i="27"/>
  <c r="G618" i="27"/>
  <c r="G617" i="27"/>
  <c r="G616" i="27"/>
  <c r="G615" i="27"/>
  <c r="G614" i="27"/>
  <c r="G613" i="27"/>
  <c r="G612" i="27"/>
  <c r="G611" i="27"/>
  <c r="G610" i="27"/>
  <c r="G609" i="27"/>
  <c r="G608" i="27"/>
  <c r="G607" i="27"/>
  <c r="G606" i="27"/>
  <c r="G605" i="27"/>
  <c r="G604" i="27"/>
  <c r="G603" i="27"/>
  <c r="G602" i="27"/>
  <c r="G601" i="27"/>
  <c r="G600" i="27"/>
  <c r="G599" i="27"/>
  <c r="G598" i="27"/>
  <c r="G597" i="27"/>
  <c r="G596" i="27"/>
  <c r="G595" i="27"/>
  <c r="G594" i="27"/>
  <c r="G593" i="27"/>
  <c r="G592" i="27"/>
  <c r="G591" i="27"/>
  <c r="G590" i="27"/>
  <c r="G589" i="27"/>
  <c r="G588" i="27"/>
  <c r="G587" i="27"/>
  <c r="G586" i="27"/>
  <c r="G585" i="27"/>
  <c r="G584" i="27"/>
  <c r="G583" i="27"/>
  <c r="G582" i="27"/>
  <c r="G581" i="27"/>
  <c r="G580" i="27"/>
  <c r="G579" i="27"/>
  <c r="G578" i="27"/>
  <c r="G577" i="27"/>
  <c r="G576" i="27"/>
  <c r="G575" i="27"/>
  <c r="G574" i="27"/>
  <c r="G573" i="27"/>
  <c r="G572" i="27"/>
  <c r="G571" i="27"/>
  <c r="G570" i="27"/>
  <c r="G569" i="27"/>
  <c r="G568" i="27"/>
  <c r="G567" i="27"/>
  <c r="G566" i="27"/>
  <c r="G565" i="27"/>
  <c r="G564" i="27"/>
  <c r="G563" i="27"/>
  <c r="G562" i="27"/>
  <c r="G561" i="27"/>
  <c r="G560" i="27"/>
  <c r="G559" i="27"/>
  <c r="G558" i="27"/>
  <c r="G557" i="27"/>
  <c r="G556" i="27"/>
  <c r="G555" i="27"/>
  <c r="G554" i="27"/>
  <c r="G553" i="27"/>
  <c r="G552" i="27"/>
  <c r="G551" i="27"/>
  <c r="G550" i="27"/>
  <c r="G549" i="27"/>
  <c r="G548" i="27"/>
  <c r="G547" i="27"/>
  <c r="G546" i="27"/>
  <c r="G545" i="27"/>
  <c r="G544" i="27"/>
  <c r="G543" i="27"/>
  <c r="G542" i="27"/>
  <c r="G541" i="27"/>
  <c r="G540" i="27"/>
  <c r="G539" i="27"/>
  <c r="G538" i="27"/>
  <c r="G537" i="27"/>
  <c r="G536" i="27"/>
  <c r="G535" i="27"/>
  <c r="G534" i="27"/>
  <c r="G533" i="27"/>
  <c r="G532" i="27"/>
  <c r="G531" i="27"/>
  <c r="G530" i="27"/>
  <c r="G529" i="27"/>
  <c r="G528" i="27"/>
  <c r="G527" i="27"/>
  <c r="G526" i="27"/>
  <c r="G525" i="27"/>
  <c r="G524" i="27"/>
  <c r="G523" i="27"/>
  <c r="G522" i="27"/>
  <c r="G521" i="27"/>
  <c r="G520" i="27"/>
  <c r="G519" i="27"/>
  <c r="G518" i="27"/>
  <c r="G517" i="27"/>
  <c r="G516" i="27"/>
  <c r="G515" i="27"/>
  <c r="G514" i="27"/>
  <c r="G513" i="27"/>
  <c r="G512" i="27"/>
  <c r="G511" i="27"/>
  <c r="G510" i="27"/>
  <c r="G509" i="27"/>
  <c r="G508" i="27"/>
  <c r="G507" i="27"/>
  <c r="G506" i="27"/>
  <c r="G505" i="27"/>
  <c r="G504" i="27"/>
  <c r="G503" i="27"/>
  <c r="G502" i="27"/>
  <c r="G501" i="27"/>
  <c r="G500" i="27"/>
  <c r="G499" i="27"/>
  <c r="G498" i="27"/>
  <c r="G497" i="27"/>
  <c r="G496" i="27"/>
  <c r="G495" i="27"/>
  <c r="G494" i="27"/>
  <c r="G493" i="27"/>
  <c r="G492" i="27"/>
  <c r="G491" i="27"/>
  <c r="G490" i="27"/>
  <c r="G489" i="27"/>
  <c r="G488" i="27"/>
  <c r="G487" i="27"/>
  <c r="G486" i="27"/>
  <c r="G485" i="27"/>
  <c r="G484" i="27"/>
  <c r="G483" i="27"/>
  <c r="G482" i="27"/>
  <c r="G481" i="27"/>
  <c r="G480" i="27"/>
  <c r="G479" i="27"/>
  <c r="G478" i="27"/>
  <c r="G477" i="27"/>
  <c r="G476" i="27"/>
  <c r="G475" i="27"/>
  <c r="G474" i="27"/>
  <c r="G473" i="27"/>
  <c r="G472" i="27"/>
  <c r="G471" i="27"/>
  <c r="G470" i="27"/>
  <c r="G469" i="27"/>
  <c r="G468" i="27"/>
  <c r="G467" i="27"/>
  <c r="G466" i="27"/>
  <c r="G465" i="27"/>
  <c r="G464" i="27"/>
  <c r="G463" i="27"/>
  <c r="G462" i="27"/>
  <c r="G461" i="27"/>
  <c r="G460" i="27"/>
  <c r="G459" i="27"/>
  <c r="G458" i="27"/>
  <c r="G457" i="27"/>
  <c r="G456" i="27"/>
  <c r="G455" i="27"/>
  <c r="G454" i="27"/>
  <c r="G453" i="27"/>
  <c r="G452" i="27"/>
  <c r="G451" i="27"/>
  <c r="G450" i="27"/>
  <c r="G449" i="27"/>
  <c r="G448" i="27"/>
  <c r="G447" i="27"/>
  <c r="G446" i="27"/>
  <c r="G445" i="27"/>
  <c r="G444" i="27"/>
  <c r="G443" i="27"/>
  <c r="G442" i="27"/>
  <c r="G441" i="27"/>
  <c r="G440" i="27"/>
  <c r="G439" i="27"/>
  <c r="G438" i="27"/>
  <c r="G437" i="27"/>
  <c r="G436" i="27"/>
  <c r="G435" i="27"/>
  <c r="G434" i="27"/>
  <c r="G433" i="27"/>
  <c r="G432" i="27"/>
  <c r="G431" i="27"/>
  <c r="G430" i="27"/>
  <c r="G429" i="27"/>
  <c r="G428" i="27"/>
  <c r="G427" i="27"/>
  <c r="G426" i="27"/>
  <c r="G425" i="27"/>
  <c r="G424" i="27"/>
  <c r="G423" i="27"/>
  <c r="G422" i="27"/>
  <c r="G421" i="27"/>
  <c r="G420" i="27"/>
  <c r="G419" i="27"/>
  <c r="G418" i="27"/>
  <c r="G417" i="27"/>
  <c r="G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G403" i="27"/>
  <c r="G402" i="27"/>
  <c r="G401" i="27"/>
  <c r="G400" i="27"/>
  <c r="G399" i="27"/>
  <c r="G398" i="27"/>
  <c r="G397" i="27"/>
  <c r="G396" i="27"/>
  <c r="G395" i="27"/>
  <c r="G394" i="27"/>
  <c r="G393" i="27"/>
  <c r="G392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G379" i="27"/>
  <c r="G378" i="27"/>
  <c r="G377" i="27"/>
  <c r="G376" i="27"/>
  <c r="G375" i="27"/>
  <c r="G374" i="27"/>
  <c r="G373" i="27"/>
  <c r="G372" i="27"/>
  <c r="G371" i="27"/>
  <c r="G370" i="27"/>
  <c r="G369" i="27"/>
  <c r="G368" i="27"/>
  <c r="G367" i="27"/>
  <c r="G366" i="27"/>
  <c r="G365" i="27"/>
  <c r="G364" i="27"/>
  <c r="G363" i="27"/>
  <c r="G362" i="27"/>
  <c r="G361" i="27"/>
  <c r="G360" i="27"/>
  <c r="G359" i="27"/>
  <c r="G358" i="27"/>
  <c r="G357" i="27"/>
  <c r="G356" i="27"/>
  <c r="G355" i="27"/>
  <c r="G354" i="27"/>
  <c r="G353" i="27"/>
  <c r="G352" i="27"/>
  <c r="G351" i="27"/>
  <c r="G350" i="27"/>
  <c r="G349" i="27"/>
  <c r="G348" i="27"/>
  <c r="G347" i="27"/>
  <c r="G346" i="27"/>
  <c r="G345" i="27"/>
  <c r="G344" i="27"/>
  <c r="G343" i="27"/>
  <c r="G342" i="27"/>
  <c r="G341" i="27"/>
  <c r="G340" i="27"/>
  <c r="G339" i="27"/>
  <c r="G338" i="27"/>
  <c r="G337" i="27"/>
  <c r="G336" i="27"/>
  <c r="G335" i="27"/>
  <c r="G334" i="27"/>
  <c r="G333" i="27"/>
  <c r="G332" i="27"/>
  <c r="G331" i="27"/>
  <c r="G330" i="27"/>
  <c r="G329" i="27"/>
  <c r="G328" i="27"/>
  <c r="G327" i="27"/>
  <c r="G326" i="27"/>
  <c r="G325" i="27"/>
  <c r="G324" i="27"/>
  <c r="G323" i="27"/>
  <c r="G322" i="27"/>
  <c r="G321" i="27"/>
  <c r="G320" i="27"/>
  <c r="G319" i="27"/>
  <c r="G318" i="27"/>
  <c r="G317" i="27"/>
  <c r="G316" i="27"/>
  <c r="G315" i="27"/>
  <c r="G314" i="27"/>
  <c r="G313" i="27"/>
  <c r="G312" i="27"/>
  <c r="G311" i="27"/>
  <c r="G310" i="27"/>
  <c r="G309" i="27"/>
  <c r="G308" i="27"/>
  <c r="G307" i="27"/>
  <c r="G306" i="27"/>
  <c r="G305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G292" i="27"/>
  <c r="G291" i="27"/>
  <c r="G290" i="27"/>
  <c r="G289" i="27"/>
  <c r="G288" i="27"/>
  <c r="G287" i="27"/>
  <c r="G286" i="27"/>
  <c r="G285" i="27"/>
  <c r="G284" i="27"/>
  <c r="G283" i="27"/>
  <c r="G282" i="27"/>
  <c r="G281" i="27"/>
  <c r="G280" i="27"/>
  <c r="G279" i="27"/>
  <c r="G278" i="27"/>
  <c r="G277" i="27"/>
  <c r="G276" i="27"/>
  <c r="G275" i="27"/>
  <c r="G274" i="27"/>
  <c r="G273" i="27"/>
  <c r="G272" i="27"/>
  <c r="G271" i="27"/>
  <c r="G270" i="27"/>
  <c r="G269" i="27"/>
  <c r="G268" i="27"/>
  <c r="G267" i="27"/>
  <c r="G266" i="27"/>
  <c r="G265" i="27"/>
  <c r="G264" i="27"/>
  <c r="G263" i="27"/>
  <c r="G262" i="27"/>
  <c r="G261" i="27"/>
  <c r="G260" i="27"/>
  <c r="G259" i="27"/>
  <c r="G258" i="27"/>
  <c r="G257" i="27"/>
  <c r="G256" i="27"/>
  <c r="G255" i="27"/>
  <c r="G254" i="27"/>
  <c r="G253" i="27"/>
  <c r="G252" i="27"/>
  <c r="G251" i="27"/>
  <c r="G250" i="27"/>
  <c r="G249" i="27"/>
  <c r="G248" i="27"/>
  <c r="G247" i="27"/>
  <c r="G246" i="27"/>
  <c r="G245" i="27"/>
  <c r="G244" i="27"/>
  <c r="G243" i="27"/>
  <c r="G242" i="27"/>
  <c r="G241" i="27"/>
  <c r="G240" i="27"/>
  <c r="G239" i="27"/>
  <c r="G238" i="27"/>
  <c r="G237" i="27"/>
  <c r="G236" i="27"/>
  <c r="G235" i="27"/>
  <c r="G234" i="27"/>
  <c r="G233" i="27"/>
  <c r="G232" i="27"/>
  <c r="G231" i="27"/>
  <c r="G230" i="27"/>
  <c r="G229" i="27"/>
  <c r="G228" i="27"/>
  <c r="G227" i="27"/>
  <c r="G226" i="27"/>
  <c r="G225" i="27"/>
  <c r="G224" i="27"/>
  <c r="G223" i="27"/>
  <c r="G222" i="27"/>
  <c r="G221" i="27"/>
  <c r="G220" i="27"/>
  <c r="G219" i="27"/>
  <c r="G218" i="27"/>
  <c r="G217" i="27"/>
  <c r="G216" i="27"/>
  <c r="G215" i="27"/>
  <c r="G214" i="27"/>
  <c r="G213" i="27"/>
  <c r="G212" i="27"/>
  <c r="G211" i="27"/>
  <c r="G210" i="27"/>
  <c r="G209" i="27"/>
  <c r="G208" i="27"/>
  <c r="G207" i="27"/>
  <c r="G206" i="27"/>
  <c r="G205" i="27"/>
  <c r="G204" i="27"/>
  <c r="G203" i="27"/>
  <c r="G202" i="27"/>
  <c r="G201" i="27"/>
  <c r="G200" i="27"/>
  <c r="G199" i="27"/>
  <c r="G198" i="27"/>
  <c r="G197" i="27"/>
  <c r="G196" i="27"/>
  <c r="G195" i="27"/>
  <c r="G194" i="27"/>
  <c r="G193" i="27"/>
  <c r="G192" i="27"/>
  <c r="G191" i="27"/>
  <c r="G190" i="27"/>
  <c r="G189" i="27"/>
  <c r="G188" i="27"/>
  <c r="G187" i="27"/>
  <c r="G186" i="27"/>
  <c r="G185" i="27"/>
  <c r="G184" i="27"/>
  <c r="G183" i="27"/>
  <c r="G182" i="27"/>
  <c r="G181" i="27"/>
  <c r="G180" i="27"/>
  <c r="G179" i="27"/>
  <c r="G178" i="27"/>
  <c r="G177" i="27"/>
  <c r="G176" i="27"/>
  <c r="G175" i="27"/>
  <c r="G174" i="27"/>
  <c r="G173" i="27"/>
  <c r="G172" i="27"/>
  <c r="G171" i="27"/>
  <c r="G170" i="27"/>
  <c r="G169" i="27"/>
  <c r="G168" i="27"/>
  <c r="G167" i="27"/>
  <c r="G166" i="27"/>
  <c r="G165" i="27"/>
  <c r="G164" i="27"/>
  <c r="G163" i="27"/>
  <c r="G162" i="27"/>
  <c r="G161" i="27"/>
  <c r="G160" i="27"/>
  <c r="G159" i="27"/>
  <c r="G158" i="27"/>
  <c r="G157" i="27"/>
  <c r="G156" i="27"/>
  <c r="G155" i="27"/>
  <c r="G154" i="27"/>
  <c r="G153" i="27"/>
  <c r="G152" i="27"/>
  <c r="G151" i="27"/>
  <c r="G150" i="27"/>
  <c r="G149" i="27"/>
  <c r="G148" i="27"/>
  <c r="G147" i="27"/>
  <c r="G146" i="27"/>
  <c r="G145" i="27"/>
  <c r="G144" i="27"/>
  <c r="G143" i="27"/>
  <c r="G142" i="27"/>
  <c r="G141" i="27"/>
  <c r="G140" i="27"/>
  <c r="G139" i="27"/>
  <c r="G138" i="27"/>
  <c r="G137" i="27"/>
  <c r="G136" i="27"/>
  <c r="G135" i="27"/>
  <c r="G134" i="27"/>
  <c r="G133" i="27"/>
  <c r="G132" i="27"/>
  <c r="G131" i="27"/>
  <c r="G130" i="27"/>
  <c r="G129" i="27"/>
  <c r="G128" i="27"/>
  <c r="G127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6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8" i="27"/>
  <c r="G67" i="27"/>
  <c r="G66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F892" i="27" l="1"/>
  <c r="D892" i="27"/>
  <c r="E1041" i="26" l="1"/>
  <c r="D1041" i="26"/>
  <c r="G1040" i="26"/>
  <c r="G1039" i="26"/>
  <c r="G1038" i="26"/>
  <c r="G1037" i="26"/>
  <c r="G1036" i="26"/>
  <c r="G1035" i="26"/>
  <c r="G1034" i="26"/>
  <c r="G1033" i="26"/>
  <c r="G1032" i="26"/>
  <c r="G1031" i="26"/>
  <c r="G1030" i="26"/>
  <c r="G1029" i="26"/>
  <c r="G1028" i="26"/>
  <c r="G1027" i="26"/>
  <c r="G1026" i="26"/>
  <c r="G1025" i="26"/>
  <c r="G1024" i="26"/>
  <c r="G1023" i="26"/>
  <c r="G1022" i="26"/>
  <c r="G1021" i="26"/>
  <c r="G1020" i="26"/>
  <c r="G1019" i="26"/>
  <c r="G1018" i="26"/>
  <c r="G1017" i="26"/>
  <c r="G1016" i="26"/>
  <c r="G1015" i="26"/>
  <c r="G1014" i="26"/>
  <c r="G1013" i="26"/>
  <c r="G1012" i="26"/>
  <c r="G1011" i="26"/>
  <c r="G1010" i="26"/>
  <c r="G1009" i="26"/>
  <c r="G1008" i="26"/>
  <c r="G1007" i="26"/>
  <c r="G1006" i="26"/>
  <c r="G1005" i="26"/>
  <c r="G1004" i="26"/>
  <c r="G1003" i="26"/>
  <c r="G1002" i="26"/>
  <c r="G1001" i="26"/>
  <c r="G1000" i="26"/>
  <c r="G999" i="26"/>
  <c r="G998" i="26"/>
  <c r="G997" i="26"/>
  <c r="G996" i="26"/>
  <c r="G995" i="26"/>
  <c r="G994" i="26"/>
  <c r="G993" i="26"/>
  <c r="G992" i="26"/>
  <c r="G991" i="26"/>
  <c r="G990" i="26"/>
  <c r="G989" i="26"/>
  <c r="G988" i="26"/>
  <c r="G987" i="26"/>
  <c r="G986" i="26"/>
  <c r="G985" i="26"/>
  <c r="G984" i="26"/>
  <c r="G983" i="26"/>
  <c r="G982" i="26"/>
  <c r="G981" i="26"/>
  <c r="G980" i="26"/>
  <c r="G979" i="26"/>
  <c r="G978" i="26"/>
  <c r="G977" i="26"/>
  <c r="G976" i="26"/>
  <c r="G975" i="26"/>
  <c r="G974" i="26"/>
  <c r="G973" i="26"/>
  <c r="G972" i="26"/>
  <c r="G971" i="26"/>
  <c r="G970" i="26"/>
  <c r="G969" i="26"/>
  <c r="G968" i="26"/>
  <c r="G967" i="26"/>
  <c r="G966" i="26"/>
  <c r="G965" i="26"/>
  <c r="G964" i="26"/>
  <c r="G963" i="26"/>
  <c r="G962" i="26"/>
  <c r="G961" i="26"/>
  <c r="G960" i="26"/>
  <c r="G959" i="26"/>
  <c r="G958" i="26"/>
  <c r="G957" i="26"/>
  <c r="G956" i="26"/>
  <c r="G955" i="26"/>
  <c r="G954" i="26"/>
  <c r="G953" i="26"/>
  <c r="G952" i="26"/>
  <c r="G951" i="26"/>
  <c r="G950" i="26"/>
  <c r="G949" i="26"/>
  <c r="G948" i="26"/>
  <c r="G947" i="26"/>
  <c r="G946" i="26"/>
  <c r="G945" i="26"/>
  <c r="G944" i="26"/>
  <c r="G943" i="26"/>
  <c r="G942" i="26"/>
  <c r="G941" i="26"/>
  <c r="G940" i="26"/>
  <c r="G939" i="26"/>
  <c r="G938" i="26"/>
  <c r="G937" i="26"/>
  <c r="G936" i="26"/>
  <c r="G935" i="26"/>
  <c r="G934" i="26"/>
  <c r="G933" i="26"/>
  <c r="G932" i="26"/>
  <c r="G931" i="26"/>
  <c r="G930" i="26"/>
  <c r="G929" i="26"/>
  <c r="G928" i="26"/>
  <c r="G927" i="26"/>
  <c r="G926" i="26"/>
  <c r="G925" i="26"/>
  <c r="G924" i="26"/>
  <c r="G923" i="26"/>
  <c r="G922" i="26"/>
  <c r="G921" i="26"/>
  <c r="G920" i="26"/>
  <c r="G919" i="26"/>
  <c r="G918" i="26"/>
  <c r="G917" i="26"/>
  <c r="G916" i="26"/>
  <c r="G915" i="26"/>
  <c r="G914" i="26"/>
  <c r="G913" i="26"/>
  <c r="G912" i="26"/>
  <c r="G911" i="26"/>
  <c r="G910" i="26"/>
  <c r="G909" i="26"/>
  <c r="G908" i="26"/>
  <c r="G907" i="26"/>
  <c r="G906" i="26"/>
  <c r="G905" i="26"/>
  <c r="G904" i="26"/>
  <c r="G903" i="26"/>
  <c r="G902" i="26"/>
  <c r="G901" i="26"/>
  <c r="G900" i="26"/>
  <c r="G899" i="26"/>
  <c r="G898" i="26"/>
  <c r="G897" i="26"/>
  <c r="G896" i="26"/>
  <c r="G895" i="26"/>
  <c r="G894" i="26"/>
  <c r="G893" i="26"/>
  <c r="G892" i="26"/>
  <c r="G891" i="26"/>
  <c r="G890" i="26"/>
  <c r="G889" i="26"/>
  <c r="G888" i="26"/>
  <c r="G887" i="26"/>
  <c r="G886" i="26"/>
  <c r="G885" i="26"/>
  <c r="G884" i="26"/>
  <c r="G883" i="26"/>
  <c r="G882" i="26"/>
  <c r="G881" i="26"/>
  <c r="G880" i="26"/>
  <c r="G879" i="26"/>
  <c r="G878" i="26"/>
  <c r="G877" i="26"/>
  <c r="G876" i="26"/>
  <c r="G875" i="26"/>
  <c r="G874" i="26"/>
  <c r="G873" i="26"/>
  <c r="G872" i="26"/>
  <c r="G871" i="26"/>
  <c r="G870" i="26"/>
  <c r="G869" i="26"/>
  <c r="G868" i="26"/>
  <c r="G867" i="26"/>
  <c r="G866" i="26"/>
  <c r="G865" i="26"/>
  <c r="G864" i="26"/>
  <c r="G863" i="26"/>
  <c r="G862" i="26"/>
  <c r="G861" i="26"/>
  <c r="G860" i="26"/>
  <c r="G859" i="26"/>
  <c r="G858" i="26"/>
  <c r="G857" i="26"/>
  <c r="G856" i="26"/>
  <c r="G855" i="26"/>
  <c r="G854" i="26"/>
  <c r="G853" i="26"/>
  <c r="G852" i="26"/>
  <c r="G851" i="26"/>
  <c r="G850" i="26"/>
  <c r="G849" i="26"/>
  <c r="G848" i="26"/>
  <c r="G847" i="26"/>
  <c r="G846" i="26"/>
  <c r="G845" i="26"/>
  <c r="G844" i="26"/>
  <c r="G843" i="26"/>
  <c r="G842" i="26"/>
  <c r="G841" i="26"/>
  <c r="G840" i="26"/>
  <c r="G839" i="26"/>
  <c r="G838" i="26"/>
  <c r="G837" i="26"/>
  <c r="G836" i="26"/>
  <c r="G835" i="26"/>
  <c r="G834" i="26"/>
  <c r="G833" i="26"/>
  <c r="G832" i="26"/>
  <c r="G831" i="26"/>
  <c r="G830" i="26"/>
  <c r="G829" i="26"/>
  <c r="G828" i="26"/>
  <c r="G827" i="26"/>
  <c r="G826" i="26"/>
  <c r="G825" i="26"/>
  <c r="G824" i="26"/>
  <c r="G823" i="26"/>
  <c r="G822" i="26"/>
  <c r="G821" i="26"/>
  <c r="G820" i="26"/>
  <c r="G819" i="26"/>
  <c r="G818" i="26"/>
  <c r="G817" i="26"/>
  <c r="G816" i="26"/>
  <c r="G815" i="26"/>
  <c r="G814" i="26"/>
  <c r="G813" i="26"/>
  <c r="G812" i="26"/>
  <c r="G811" i="26"/>
  <c r="G810" i="26"/>
  <c r="G809" i="26"/>
  <c r="G808" i="26"/>
  <c r="G807" i="26"/>
  <c r="G806" i="26"/>
  <c r="G805" i="26"/>
  <c r="G804" i="26"/>
  <c r="G803" i="26"/>
  <c r="G802" i="26"/>
  <c r="G801" i="26"/>
  <c r="G800" i="26"/>
  <c r="G799" i="26"/>
  <c r="G798" i="26"/>
  <c r="G797" i="26"/>
  <c r="G796" i="26"/>
  <c r="G795" i="26"/>
  <c r="G794" i="26"/>
  <c r="G793" i="26"/>
  <c r="G792" i="26"/>
  <c r="G791" i="26"/>
  <c r="G790" i="26"/>
  <c r="G789" i="26"/>
  <c r="G788" i="26"/>
  <c r="G787" i="26"/>
  <c r="G786" i="26"/>
  <c r="G785" i="26"/>
  <c r="G784" i="26"/>
  <c r="G783" i="26"/>
  <c r="G782" i="26"/>
  <c r="G781" i="26"/>
  <c r="G780" i="26"/>
  <c r="G779" i="26"/>
  <c r="G778" i="26"/>
  <c r="G777" i="26"/>
  <c r="G776" i="26"/>
  <c r="G775" i="26"/>
  <c r="G774" i="26"/>
  <c r="G773" i="26"/>
  <c r="G772" i="26"/>
  <c r="G771" i="26"/>
  <c r="G770" i="26"/>
  <c r="G769" i="26"/>
  <c r="G768" i="26"/>
  <c r="G767" i="26"/>
  <c r="G766" i="26"/>
  <c r="G765" i="26"/>
  <c r="G764" i="26"/>
  <c r="G763" i="26"/>
  <c r="G762" i="26"/>
  <c r="G761" i="26"/>
  <c r="G760" i="26"/>
  <c r="G759" i="26"/>
  <c r="G758" i="26"/>
  <c r="G757" i="26"/>
  <c r="G756" i="26"/>
  <c r="G755" i="26"/>
  <c r="G754" i="26"/>
  <c r="G753" i="26"/>
  <c r="G752" i="26"/>
  <c r="G751" i="26"/>
  <c r="G750" i="26"/>
  <c r="G749" i="26"/>
  <c r="G748" i="26"/>
  <c r="G747" i="26"/>
  <c r="G746" i="26"/>
  <c r="G745" i="26"/>
  <c r="G744" i="26"/>
  <c r="G743" i="26"/>
  <c r="G742" i="26"/>
  <c r="G741" i="26"/>
  <c r="G740" i="26"/>
  <c r="G739" i="26"/>
  <c r="G738" i="26"/>
  <c r="G737" i="26"/>
  <c r="G736" i="26"/>
  <c r="G735" i="26"/>
  <c r="G734" i="26"/>
  <c r="G733" i="26"/>
  <c r="G732" i="26"/>
  <c r="G731" i="26"/>
  <c r="G730" i="26"/>
  <c r="G729" i="26"/>
  <c r="G728" i="26"/>
  <c r="G727" i="26"/>
  <c r="G726" i="26"/>
  <c r="G725" i="26"/>
  <c r="G724" i="26"/>
  <c r="G723" i="26"/>
  <c r="G722" i="26"/>
  <c r="G721" i="26"/>
  <c r="G720" i="26"/>
  <c r="G719" i="26"/>
  <c r="G718" i="26"/>
  <c r="G717" i="26"/>
  <c r="G716" i="26"/>
  <c r="G715" i="26"/>
  <c r="G714" i="26"/>
  <c r="G713" i="26"/>
  <c r="G712" i="26"/>
  <c r="G711" i="26"/>
  <c r="G710" i="26"/>
  <c r="G709" i="26"/>
  <c r="G708" i="26"/>
  <c r="G707" i="26"/>
  <c r="G706" i="26"/>
  <c r="G705" i="26"/>
  <c r="G704" i="26"/>
  <c r="G703" i="26"/>
  <c r="G702" i="26"/>
  <c r="G701" i="26"/>
  <c r="G700" i="26"/>
  <c r="G699" i="26"/>
  <c r="G698" i="26"/>
  <c r="G697" i="26"/>
  <c r="G696" i="26"/>
  <c r="G695" i="26"/>
  <c r="G694" i="26"/>
  <c r="G693" i="26"/>
  <c r="G692" i="26"/>
  <c r="G691" i="26"/>
  <c r="G690" i="26"/>
  <c r="G689" i="26"/>
  <c r="G688" i="26"/>
  <c r="G687" i="26"/>
  <c r="G686" i="26"/>
  <c r="G685" i="26"/>
  <c r="G684" i="26"/>
  <c r="G683" i="26"/>
  <c r="G682" i="26"/>
  <c r="G681" i="26"/>
  <c r="G680" i="26"/>
  <c r="G679" i="26"/>
  <c r="G678" i="26"/>
  <c r="G677" i="26"/>
  <c r="G676" i="26"/>
  <c r="G675" i="26"/>
  <c r="G674" i="26"/>
  <c r="G673" i="26"/>
  <c r="G672" i="26"/>
  <c r="G671" i="26"/>
  <c r="G670" i="26"/>
  <c r="G669" i="26"/>
  <c r="G668" i="26"/>
  <c r="G667" i="26"/>
  <c r="G666" i="26"/>
  <c r="G665" i="26"/>
  <c r="G664" i="26"/>
  <c r="G663" i="26"/>
  <c r="G662" i="26"/>
  <c r="G661" i="26"/>
  <c r="G660" i="26"/>
  <c r="G659" i="26"/>
  <c r="G658" i="26"/>
  <c r="G657" i="26"/>
  <c r="G656" i="26"/>
  <c r="G655" i="26"/>
  <c r="G654" i="26"/>
  <c r="G653" i="26"/>
  <c r="G652" i="26"/>
  <c r="G651" i="26"/>
  <c r="G650" i="26"/>
  <c r="G649" i="26"/>
  <c r="G648" i="26"/>
  <c r="G647" i="26"/>
  <c r="G646" i="26"/>
  <c r="G645" i="26"/>
  <c r="G644" i="26"/>
  <c r="G643" i="26"/>
  <c r="G642" i="26"/>
  <c r="G641" i="26"/>
  <c r="G640" i="26"/>
  <c r="G639" i="26"/>
  <c r="G638" i="26"/>
  <c r="G637" i="26"/>
  <c r="G636" i="26"/>
  <c r="G635" i="26"/>
  <c r="G634" i="26"/>
  <c r="G633" i="26"/>
  <c r="G632" i="26"/>
  <c r="G631" i="26"/>
  <c r="G630" i="26"/>
  <c r="G629" i="26"/>
  <c r="G628" i="26"/>
  <c r="G627" i="26"/>
  <c r="G626" i="26"/>
  <c r="G625" i="26"/>
  <c r="G624" i="26"/>
  <c r="G623" i="26"/>
  <c r="G622" i="26"/>
  <c r="G621" i="26"/>
  <c r="G620" i="26"/>
  <c r="G619" i="26"/>
  <c r="G618" i="26"/>
  <c r="G617" i="26"/>
  <c r="G616" i="26"/>
  <c r="G615" i="26"/>
  <c r="G614" i="26"/>
  <c r="G613" i="26"/>
  <c r="G612" i="26"/>
  <c r="G611" i="26"/>
  <c r="G610" i="26"/>
  <c r="G609" i="26"/>
  <c r="G608" i="26"/>
  <c r="G607" i="26"/>
  <c r="G606" i="26"/>
  <c r="G605" i="26"/>
  <c r="G604" i="26"/>
  <c r="G603" i="26"/>
  <c r="G602" i="26"/>
  <c r="G601" i="26"/>
  <c r="G600" i="26"/>
  <c r="G599" i="26"/>
  <c r="G598" i="26"/>
  <c r="G597" i="26"/>
  <c r="G596" i="26"/>
  <c r="G595" i="26"/>
  <c r="G594" i="26"/>
  <c r="G593" i="26"/>
  <c r="G592" i="26"/>
  <c r="G591" i="26"/>
  <c r="G590" i="26"/>
  <c r="G589" i="26"/>
  <c r="G588" i="26"/>
  <c r="G587" i="26"/>
  <c r="G586" i="26"/>
  <c r="G585" i="26"/>
  <c r="G584" i="26"/>
  <c r="G583" i="26"/>
  <c r="G582" i="26"/>
  <c r="G581" i="26"/>
  <c r="G580" i="26"/>
  <c r="G579" i="26"/>
  <c r="G578" i="26"/>
  <c r="G577" i="26"/>
  <c r="G576" i="26"/>
  <c r="G575" i="26"/>
  <c r="G574" i="26"/>
  <c r="G573" i="26"/>
  <c r="G572" i="26"/>
  <c r="G571" i="26"/>
  <c r="G570" i="26"/>
  <c r="G569" i="26"/>
  <c r="G568" i="26"/>
  <c r="G567" i="26"/>
  <c r="G566" i="26"/>
  <c r="G565" i="26"/>
  <c r="G564" i="26"/>
  <c r="G563" i="26"/>
  <c r="G562" i="26"/>
  <c r="G561" i="26"/>
  <c r="G560" i="26"/>
  <c r="G559" i="26"/>
  <c r="G558" i="26"/>
  <c r="G557" i="26"/>
  <c r="G556" i="26"/>
  <c r="G555" i="26"/>
  <c r="G554" i="26"/>
  <c r="G553" i="26"/>
  <c r="G552" i="26"/>
  <c r="G551" i="26"/>
  <c r="G550" i="26"/>
  <c r="G549" i="26"/>
  <c r="G548" i="26"/>
  <c r="G547" i="26"/>
  <c r="G546" i="26"/>
  <c r="G545" i="26"/>
  <c r="G544" i="26"/>
  <c r="G543" i="26"/>
  <c r="G542" i="26"/>
  <c r="G541" i="26"/>
  <c r="G540" i="26"/>
  <c r="G539" i="26"/>
  <c r="G538" i="26"/>
  <c r="G537" i="26"/>
  <c r="G536" i="26"/>
  <c r="G535" i="26"/>
  <c r="G534" i="26"/>
  <c r="G533" i="26"/>
  <c r="G532" i="26"/>
  <c r="G531" i="26"/>
  <c r="G530" i="26"/>
  <c r="G529" i="26"/>
  <c r="G528" i="26"/>
  <c r="G527" i="26"/>
  <c r="G526" i="26"/>
  <c r="G525" i="26"/>
  <c r="G524" i="26"/>
  <c r="G523" i="26"/>
  <c r="G522" i="26"/>
  <c r="G521" i="26"/>
  <c r="G520" i="26"/>
  <c r="G519" i="26"/>
  <c r="G518" i="26"/>
  <c r="G517" i="26"/>
  <c r="G516" i="26"/>
  <c r="G515" i="26"/>
  <c r="G514" i="26"/>
  <c r="G513" i="26"/>
  <c r="G512" i="26"/>
  <c r="G511" i="26"/>
  <c r="G510" i="26"/>
  <c r="G509" i="26"/>
  <c r="G508" i="26"/>
  <c r="G507" i="26"/>
  <c r="G506" i="26"/>
  <c r="G505" i="26"/>
  <c r="G504" i="26"/>
  <c r="G503" i="26"/>
  <c r="G502" i="26"/>
  <c r="G501" i="26"/>
  <c r="G500" i="26"/>
  <c r="G499" i="26"/>
  <c r="G498" i="26"/>
  <c r="G497" i="26"/>
  <c r="G496" i="26"/>
  <c r="G495" i="26"/>
  <c r="G494" i="26"/>
  <c r="G493" i="26"/>
  <c r="G492" i="26"/>
  <c r="G491" i="26"/>
  <c r="G490" i="26"/>
  <c r="G489" i="26"/>
  <c r="G488" i="26"/>
  <c r="G487" i="26"/>
  <c r="G486" i="26"/>
  <c r="G485" i="26"/>
  <c r="G484" i="26"/>
  <c r="G483" i="26"/>
  <c r="G482" i="26"/>
  <c r="G481" i="26"/>
  <c r="G480" i="26"/>
  <c r="G479" i="26"/>
  <c r="G478" i="26"/>
  <c r="G477" i="26"/>
  <c r="G476" i="26"/>
  <c r="G475" i="26"/>
  <c r="G474" i="26"/>
  <c r="G473" i="26"/>
  <c r="G472" i="26"/>
  <c r="G471" i="26"/>
  <c r="G470" i="26"/>
  <c r="G469" i="26"/>
  <c r="G468" i="26"/>
  <c r="G467" i="26"/>
  <c r="G466" i="26"/>
  <c r="G465" i="26"/>
  <c r="G464" i="26"/>
  <c r="G463" i="26"/>
  <c r="G462" i="26"/>
  <c r="G461" i="26"/>
  <c r="G460" i="26"/>
  <c r="G459" i="26"/>
  <c r="G458" i="26"/>
  <c r="G457" i="26"/>
  <c r="G456" i="26"/>
  <c r="G455" i="26"/>
  <c r="G454" i="26"/>
  <c r="G453" i="26"/>
  <c r="G452" i="26"/>
  <c r="G451" i="26"/>
  <c r="G450" i="26"/>
  <c r="G449" i="26"/>
  <c r="G448" i="26"/>
  <c r="G447" i="26"/>
  <c r="G446" i="26"/>
  <c r="G445" i="26"/>
  <c r="G444" i="26"/>
  <c r="G443" i="26"/>
  <c r="G442" i="26"/>
  <c r="G441" i="26"/>
  <c r="G440" i="26"/>
  <c r="G439" i="26"/>
  <c r="G438" i="26"/>
  <c r="G437" i="26"/>
  <c r="G436" i="26"/>
  <c r="G435" i="26"/>
  <c r="G434" i="26"/>
  <c r="G433" i="26"/>
  <c r="G432" i="26"/>
  <c r="G431" i="26"/>
  <c r="G430" i="26"/>
  <c r="G429" i="26"/>
  <c r="G428" i="26"/>
  <c r="G427" i="26"/>
  <c r="G426" i="26"/>
  <c r="G425" i="26"/>
  <c r="G424" i="26"/>
  <c r="G423" i="26"/>
  <c r="G422" i="26"/>
  <c r="G421" i="26"/>
  <c r="G420" i="26"/>
  <c r="G419" i="26"/>
  <c r="G418" i="26"/>
  <c r="G417" i="26"/>
  <c r="G416" i="26"/>
  <c r="G415" i="26"/>
  <c r="G414" i="26"/>
  <c r="G413" i="26"/>
  <c r="G412" i="26"/>
  <c r="G411" i="26"/>
  <c r="G410" i="26"/>
  <c r="G409" i="26"/>
  <c r="G408" i="26"/>
  <c r="G407" i="26"/>
  <c r="G406" i="26"/>
  <c r="G405" i="26"/>
  <c r="G404" i="26"/>
  <c r="G403" i="26"/>
  <c r="G402" i="26"/>
  <c r="G401" i="26"/>
  <c r="G400" i="26"/>
  <c r="G399" i="26"/>
  <c r="G398" i="26"/>
  <c r="G397" i="26"/>
  <c r="G396" i="26"/>
  <c r="G395" i="26"/>
  <c r="G394" i="26"/>
  <c r="G393" i="26"/>
  <c r="G392" i="26"/>
  <c r="G391" i="26"/>
  <c r="G390" i="26"/>
  <c r="G389" i="26"/>
  <c r="G388" i="26"/>
  <c r="G387" i="26"/>
  <c r="G386" i="26"/>
  <c r="G385" i="26"/>
  <c r="G384" i="26"/>
  <c r="G383" i="26"/>
  <c r="G382" i="26"/>
  <c r="G381" i="26"/>
  <c r="G380" i="26"/>
  <c r="G379" i="26"/>
  <c r="G378" i="26"/>
  <c r="G377" i="26"/>
  <c r="G376" i="26"/>
  <c r="G375" i="26"/>
  <c r="G374" i="26"/>
  <c r="G373" i="26"/>
  <c r="G372" i="26"/>
  <c r="G371" i="26"/>
  <c r="G370" i="26"/>
  <c r="G369" i="26"/>
  <c r="G368" i="26"/>
  <c r="G367" i="26"/>
  <c r="G366" i="26"/>
  <c r="G365" i="26"/>
  <c r="G364" i="26"/>
  <c r="G363" i="26"/>
  <c r="G362" i="26"/>
  <c r="G361" i="26"/>
  <c r="G360" i="26"/>
  <c r="G359" i="26"/>
  <c r="G358" i="26"/>
  <c r="G357" i="26"/>
  <c r="G356" i="26"/>
  <c r="G355" i="26"/>
  <c r="G354" i="26"/>
  <c r="G353" i="26"/>
  <c r="G352" i="26"/>
  <c r="G351" i="26"/>
  <c r="G350" i="26"/>
  <c r="G349" i="26"/>
  <c r="G348" i="26"/>
  <c r="G347" i="26"/>
  <c r="G346" i="26"/>
  <c r="G345" i="26"/>
  <c r="G344" i="26"/>
  <c r="G343" i="26"/>
  <c r="G342" i="26"/>
  <c r="G341" i="26"/>
  <c r="G340" i="26"/>
  <c r="G339" i="26"/>
  <c r="G338" i="26"/>
  <c r="G337" i="26"/>
  <c r="G336" i="26"/>
  <c r="G335" i="26"/>
  <c r="G334" i="26"/>
  <c r="G333" i="26"/>
  <c r="G332" i="26"/>
  <c r="G331" i="26"/>
  <c r="G330" i="26"/>
  <c r="G329" i="26"/>
  <c r="G328" i="26"/>
  <c r="G327" i="26"/>
  <c r="G326" i="26"/>
  <c r="G325" i="26"/>
  <c r="G324" i="26"/>
  <c r="G323" i="26"/>
  <c r="G322" i="26"/>
  <c r="G321" i="26"/>
  <c r="G320" i="26"/>
  <c r="G319" i="26"/>
  <c r="G318" i="26"/>
  <c r="G317" i="26"/>
  <c r="G316" i="26"/>
  <c r="G315" i="26"/>
  <c r="G314" i="26"/>
  <c r="G313" i="26"/>
  <c r="G312" i="26"/>
  <c r="G311" i="26"/>
  <c r="G310" i="26"/>
  <c r="G309" i="26"/>
  <c r="G308" i="26"/>
  <c r="G307" i="26"/>
  <c r="G306" i="26"/>
  <c r="G305" i="26"/>
  <c r="G304" i="26"/>
  <c r="G303" i="26"/>
  <c r="G302" i="26"/>
  <c r="G301" i="26"/>
  <c r="G300" i="26"/>
  <c r="G299" i="26"/>
  <c r="G298" i="26"/>
  <c r="G297" i="26"/>
  <c r="G296" i="26"/>
  <c r="G295" i="26"/>
  <c r="G294" i="26"/>
  <c r="G293" i="26"/>
  <c r="G292" i="26"/>
  <c r="G291" i="26"/>
  <c r="G290" i="26"/>
  <c r="G289" i="26"/>
  <c r="G288" i="26"/>
  <c r="G287" i="26"/>
  <c r="G286" i="26"/>
  <c r="G285" i="26"/>
  <c r="G284" i="26"/>
  <c r="G283" i="26"/>
  <c r="G282" i="26"/>
  <c r="G281" i="26"/>
  <c r="G280" i="26"/>
  <c r="G279" i="26"/>
  <c r="G278" i="26"/>
  <c r="G277" i="26"/>
  <c r="G276" i="26"/>
  <c r="G275" i="26"/>
  <c r="G274" i="26"/>
  <c r="G273" i="26"/>
  <c r="G272" i="26"/>
  <c r="G271" i="26"/>
  <c r="G270" i="26"/>
  <c r="G269" i="26"/>
  <c r="G268" i="26"/>
  <c r="G267" i="26"/>
  <c r="G266" i="26"/>
  <c r="G265" i="26"/>
  <c r="G264" i="26"/>
  <c r="G263" i="26"/>
  <c r="G262" i="26"/>
  <c r="G261" i="26"/>
  <c r="G260" i="26"/>
  <c r="G259" i="26"/>
  <c r="G258" i="26"/>
  <c r="G257" i="26"/>
  <c r="G256" i="26"/>
  <c r="G255" i="26"/>
  <c r="G254" i="26"/>
  <c r="G253" i="26"/>
  <c r="G252" i="26"/>
  <c r="G251" i="26"/>
  <c r="G250" i="26"/>
  <c r="G249" i="26"/>
  <c r="G248" i="26"/>
  <c r="G247" i="26"/>
  <c r="G246" i="26"/>
  <c r="G245" i="26"/>
  <c r="G244" i="26"/>
  <c r="G243" i="26"/>
  <c r="G242" i="26"/>
  <c r="G241" i="26"/>
  <c r="G240" i="26"/>
  <c r="G239" i="26"/>
  <c r="G238" i="26"/>
  <c r="G237" i="26"/>
  <c r="G236" i="26"/>
  <c r="G235" i="26"/>
  <c r="G234" i="26"/>
  <c r="G233" i="26"/>
  <c r="G232" i="26"/>
  <c r="G231" i="26"/>
  <c r="G230" i="26"/>
  <c r="G229" i="26"/>
  <c r="G228" i="26"/>
  <c r="G227" i="26"/>
  <c r="G226" i="26"/>
  <c r="G225" i="26"/>
  <c r="G224" i="26"/>
  <c r="G223" i="26"/>
  <c r="G222" i="26"/>
  <c r="G221" i="26"/>
  <c r="G220" i="26"/>
  <c r="G219" i="26"/>
  <c r="G218" i="26"/>
  <c r="G217" i="26"/>
  <c r="G216" i="26"/>
  <c r="G215" i="26"/>
  <c r="G214" i="26"/>
  <c r="G213" i="26"/>
  <c r="G212" i="26"/>
  <c r="G211" i="26"/>
  <c r="G210" i="26"/>
  <c r="G209" i="26"/>
  <c r="G208" i="26"/>
  <c r="G207" i="26"/>
  <c r="G206" i="26"/>
  <c r="G205" i="26"/>
  <c r="G204" i="26"/>
  <c r="G203" i="26"/>
  <c r="G202" i="26"/>
  <c r="G201" i="26"/>
  <c r="G200" i="26"/>
  <c r="G199" i="26"/>
  <c r="G198" i="26"/>
  <c r="G197" i="26"/>
  <c r="G196" i="26"/>
  <c r="G195" i="26"/>
  <c r="G194" i="26"/>
  <c r="G193" i="26"/>
  <c r="G192" i="26"/>
  <c r="G191" i="26"/>
  <c r="G190" i="26"/>
  <c r="G189" i="26"/>
  <c r="G188" i="26"/>
  <c r="G187" i="26"/>
  <c r="G186" i="26"/>
  <c r="G185" i="26"/>
  <c r="G184" i="26"/>
  <c r="G183" i="26"/>
  <c r="G182" i="26"/>
  <c r="G181" i="26"/>
  <c r="G180" i="26"/>
  <c r="G179" i="26"/>
  <c r="G178" i="26"/>
  <c r="G177" i="26"/>
  <c r="G176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G159" i="26"/>
  <c r="G158" i="26"/>
  <c r="G157" i="26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G68" i="26"/>
  <c r="G67" i="26"/>
  <c r="G66" i="26"/>
  <c r="G65" i="26"/>
  <c r="G64" i="26"/>
  <c r="G63" i="26"/>
  <c r="G62" i="26"/>
  <c r="G61" i="26"/>
  <c r="G60" i="26"/>
  <c r="G59" i="26"/>
  <c r="G58" i="26"/>
  <c r="G57" i="26"/>
  <c r="G56" i="26"/>
  <c r="G55" i="26"/>
  <c r="G54" i="26"/>
  <c r="G53" i="26"/>
  <c r="G52" i="26"/>
  <c r="G51" i="26"/>
  <c r="G50" i="26"/>
  <c r="G49" i="26"/>
  <c r="G48" i="26"/>
  <c r="G47" i="26"/>
  <c r="G46" i="26"/>
  <c r="G45" i="26"/>
  <c r="G44" i="26"/>
  <c r="G43" i="26"/>
  <c r="G42" i="26"/>
  <c r="G41" i="26"/>
  <c r="G40" i="26"/>
  <c r="G39" i="26"/>
  <c r="G38" i="26"/>
  <c r="G37" i="26"/>
  <c r="G36" i="26"/>
  <c r="G35" i="26"/>
  <c r="G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I33" i="14" l="1"/>
  <c r="H1042" i="26" l="1"/>
  <c r="D1042" i="26" l="1"/>
  <c r="F1042" i="26"/>
  <c r="F611" i="25"/>
  <c r="H610" i="25"/>
  <c r="H609" i="25"/>
  <c r="H608" i="25"/>
  <c r="H607" i="25"/>
  <c r="H606" i="25"/>
  <c r="H605" i="25"/>
  <c r="H604" i="25"/>
  <c r="H603" i="25"/>
  <c r="H602" i="25"/>
  <c r="H601" i="25"/>
  <c r="H600" i="25"/>
  <c r="H599" i="25"/>
  <c r="H598" i="25"/>
  <c r="H597" i="25"/>
  <c r="H596" i="25"/>
  <c r="H595" i="25"/>
  <c r="H594" i="25"/>
  <c r="H593" i="25"/>
  <c r="H592" i="25"/>
  <c r="H591" i="25"/>
  <c r="H590" i="25"/>
  <c r="H589" i="25"/>
  <c r="H588" i="25"/>
  <c r="H587" i="25"/>
  <c r="H586" i="25"/>
  <c r="H585" i="25"/>
  <c r="H584" i="25"/>
  <c r="H583" i="25"/>
  <c r="H582" i="25"/>
  <c r="H581" i="25"/>
  <c r="H580" i="25"/>
  <c r="H579" i="25"/>
  <c r="H578" i="25"/>
  <c r="H577" i="25"/>
  <c r="H576" i="25"/>
  <c r="H575" i="25" l="1"/>
  <c r="H574" i="25"/>
  <c r="H573" i="25"/>
  <c r="H572" i="25"/>
  <c r="H571" i="25"/>
  <c r="H570" i="25"/>
  <c r="H569" i="25"/>
  <c r="H568" i="25"/>
  <c r="H567" i="25"/>
  <c r="H566" i="25"/>
  <c r="H565" i="25"/>
  <c r="H564" i="25"/>
  <c r="H563" i="25"/>
  <c r="H562" i="25"/>
  <c r="H561" i="25"/>
  <c r="H560" i="25"/>
  <c r="H559" i="25"/>
  <c r="H558" i="25"/>
  <c r="H557" i="25"/>
  <c r="H556" i="25"/>
  <c r="H555" i="25"/>
  <c r="H554" i="25"/>
  <c r="H553" i="25"/>
  <c r="H552" i="25"/>
  <c r="H551" i="25"/>
  <c r="H550" i="25"/>
  <c r="H549" i="25"/>
  <c r="H548" i="25"/>
  <c r="H547" i="25"/>
  <c r="H546" i="25"/>
  <c r="H545" i="25"/>
  <c r="H544" i="25"/>
  <c r="H543" i="25"/>
  <c r="H542" i="25"/>
  <c r="H541" i="25"/>
  <c r="H540" i="25"/>
  <c r="H539" i="25"/>
  <c r="H538" i="25"/>
  <c r="H537" i="25"/>
  <c r="H536" i="25"/>
  <c r="H535" i="25"/>
  <c r="H534" i="25"/>
  <c r="H533" i="25"/>
  <c r="H532" i="25"/>
  <c r="H531" i="25"/>
  <c r="H530" i="25"/>
  <c r="H404" i="25"/>
  <c r="H356" i="25"/>
  <c r="H386" i="25"/>
  <c r="H385" i="25"/>
  <c r="H384" i="25"/>
  <c r="H383" i="25"/>
  <c r="H382" i="25"/>
  <c r="H381" i="25"/>
  <c r="H380" i="25"/>
  <c r="H529" i="25"/>
  <c r="H528" i="25"/>
  <c r="H527" i="25"/>
  <c r="H526" i="25"/>
  <c r="H525" i="25"/>
  <c r="H524" i="25"/>
  <c r="H523" i="25"/>
  <c r="H522" i="25"/>
  <c r="H521" i="25"/>
  <c r="H520" i="25"/>
  <c r="H519" i="25"/>
  <c r="H518" i="25"/>
  <c r="H517" i="25"/>
  <c r="H516" i="25"/>
  <c r="H515" i="25"/>
  <c r="H514" i="25"/>
  <c r="H513" i="25"/>
  <c r="H512" i="25"/>
  <c r="H511" i="25"/>
  <c r="H510" i="25"/>
  <c r="H509" i="25"/>
  <c r="H508" i="25"/>
  <c r="H507" i="25"/>
  <c r="H506" i="25"/>
  <c r="H505" i="25"/>
  <c r="H504" i="25"/>
  <c r="H503" i="25"/>
  <c r="H502" i="25"/>
  <c r="H501" i="25"/>
  <c r="H500" i="25"/>
  <c r="H499" i="25"/>
  <c r="H498" i="25"/>
  <c r="H497" i="25"/>
  <c r="H496" i="25"/>
  <c r="H495" i="25"/>
  <c r="H494" i="25"/>
  <c r="H493" i="25"/>
  <c r="H492" i="25"/>
  <c r="H491" i="25"/>
  <c r="H490" i="25" l="1"/>
  <c r="H489" i="25"/>
  <c r="H488" i="25"/>
  <c r="H487" i="25"/>
  <c r="H486" i="25"/>
  <c r="H485" i="25"/>
  <c r="H484" i="25"/>
  <c r="H483" i="25"/>
  <c r="H482" i="25"/>
  <c r="H481" i="25"/>
  <c r="H480" i="25"/>
  <c r="H479" i="25"/>
  <c r="H478" i="25"/>
  <c r="H477" i="25"/>
  <c r="H476" i="25"/>
  <c r="H475" i="25"/>
  <c r="H474" i="25"/>
  <c r="H473" i="25"/>
  <c r="H472" i="25"/>
  <c r="H471" i="25"/>
  <c r="H470" i="25"/>
  <c r="H469" i="25"/>
  <c r="H468" i="25"/>
  <c r="H467" i="25"/>
  <c r="H466" i="25"/>
  <c r="H465" i="25"/>
  <c r="H464" i="25"/>
  <c r="H463" i="25"/>
  <c r="H462" i="25"/>
  <c r="H461" i="25"/>
  <c r="H460" i="25"/>
  <c r="H459" i="25"/>
  <c r="H458" i="25"/>
  <c r="H457" i="25"/>
  <c r="H456" i="25"/>
  <c r="H455" i="25"/>
  <c r="H454" i="25"/>
  <c r="H453" i="25"/>
  <c r="H452" i="25"/>
  <c r="H451" i="25"/>
  <c r="H450" i="25"/>
  <c r="H449" i="25"/>
  <c r="H448" i="25"/>
  <c r="H447" i="25"/>
  <c r="H446" i="25"/>
  <c r="H445" i="25" l="1"/>
  <c r="H444" i="25"/>
  <c r="H443" i="25"/>
  <c r="H442" i="25"/>
  <c r="H441" i="25"/>
  <c r="H440" i="25"/>
  <c r="H439" i="25"/>
  <c r="H438" i="25"/>
  <c r="H437" i="25"/>
  <c r="H436" i="25"/>
  <c r="H435" i="25"/>
  <c r="H434" i="25"/>
  <c r="H433" i="25"/>
  <c r="H432" i="25"/>
  <c r="H431" i="25"/>
  <c r="H430" i="25"/>
  <c r="H429" i="25"/>
  <c r="H428" i="25"/>
  <c r="H427" i="25"/>
  <c r="H426" i="25"/>
  <c r="H425" i="25"/>
  <c r="H424" i="25"/>
  <c r="H423" i="25"/>
  <c r="H422" i="25"/>
  <c r="H421" i="25"/>
  <c r="H420" i="25"/>
  <c r="H419" i="25"/>
  <c r="H418" i="25"/>
  <c r="H417" i="25"/>
  <c r="H416" i="25"/>
  <c r="H415" i="25"/>
  <c r="H414" i="25"/>
  <c r="H413" i="25"/>
  <c r="H412" i="25"/>
  <c r="H411" i="25"/>
  <c r="H410" i="25"/>
  <c r="H409" i="25"/>
  <c r="H408" i="25"/>
  <c r="H407" i="25"/>
  <c r="H406" i="25"/>
  <c r="H405" i="25"/>
  <c r="H403" i="25"/>
  <c r="H402" i="25"/>
  <c r="H401" i="25"/>
  <c r="H400" i="25"/>
  <c r="H399" i="25"/>
  <c r="H398" i="25"/>
  <c r="H397" i="25"/>
  <c r="H396" i="25"/>
  <c r="H395" i="25"/>
  <c r="H394" i="25"/>
  <c r="H393" i="25"/>
  <c r="H392" i="25"/>
  <c r="H391" i="25"/>
  <c r="H390" i="25"/>
  <c r="H389" i="25"/>
  <c r="H388" i="25"/>
  <c r="H387" i="25"/>
  <c r="K379" i="25"/>
  <c r="N379" i="25"/>
  <c r="H379" i="25"/>
  <c r="H378" i="25"/>
  <c r="H377" i="25"/>
  <c r="H376" i="25"/>
  <c r="H375" i="25"/>
  <c r="H374" i="25"/>
  <c r="H373" i="25"/>
  <c r="H372" i="25"/>
  <c r="H371" i="25"/>
  <c r="H370" i="25"/>
  <c r="H369" i="25"/>
  <c r="H368" i="25"/>
  <c r="H367" i="25"/>
  <c r="H366" i="25"/>
  <c r="H365" i="25"/>
  <c r="H364" i="25"/>
  <c r="H363" i="25"/>
  <c r="H362" i="25"/>
  <c r="H361" i="25"/>
  <c r="H360" i="25"/>
  <c r="H359" i="25"/>
  <c r="H358" i="25"/>
  <c r="H357" i="25"/>
  <c r="H355" i="25"/>
  <c r="H354" i="25"/>
  <c r="H353" i="25"/>
  <c r="H352" i="25"/>
  <c r="H351" i="25"/>
  <c r="H350" i="25"/>
  <c r="H349" i="25"/>
  <c r="H348" i="25"/>
  <c r="H347" i="25"/>
  <c r="H346" i="25"/>
  <c r="H345" i="25"/>
  <c r="H344" i="25"/>
  <c r="H343" i="25"/>
  <c r="H342" i="25"/>
  <c r="H341" i="25"/>
  <c r="H340" i="25"/>
  <c r="H339" i="25"/>
  <c r="I611" i="25" l="1"/>
  <c r="H294" i="25"/>
  <c r="H293" i="25"/>
  <c r="H338" i="25"/>
  <c r="H337" i="25"/>
  <c r="H336" i="25"/>
  <c r="H335" i="25"/>
  <c r="H334" i="25"/>
  <c r="H333" i="25"/>
  <c r="H332" i="25"/>
  <c r="H331" i="25"/>
  <c r="H330" i="25"/>
  <c r="H329" i="25"/>
  <c r="H328" i="25"/>
  <c r="H327" i="25"/>
  <c r="H326" i="25"/>
  <c r="H325" i="25"/>
  <c r="H324" i="25"/>
  <c r="H323" i="25"/>
  <c r="H322" i="25"/>
  <c r="H321" i="25"/>
  <c r="H320" i="25"/>
  <c r="H319" i="25"/>
  <c r="H318" i="25"/>
  <c r="H317" i="25"/>
  <c r="H316" i="25"/>
  <c r="H315" i="25"/>
  <c r="H314" i="25"/>
  <c r="H313" i="25"/>
  <c r="H312" i="25"/>
  <c r="H311" i="25"/>
  <c r="H310" i="25"/>
  <c r="H309" i="25"/>
  <c r="H308" i="25"/>
  <c r="H307" i="25"/>
  <c r="H306" i="25"/>
  <c r="H305" i="25"/>
  <c r="H304" i="25"/>
  <c r="H303" i="25"/>
  <c r="H302" i="25"/>
  <c r="H301" i="25"/>
  <c r="H300" i="25"/>
  <c r="H299" i="25"/>
  <c r="H298" i="25"/>
  <c r="H297" i="25"/>
  <c r="H296" i="25"/>
  <c r="H295" i="25"/>
  <c r="H292" i="25"/>
  <c r="H291" i="25"/>
  <c r="H290" i="25"/>
  <c r="H289" i="25"/>
  <c r="H288" i="25"/>
  <c r="H287" i="25"/>
  <c r="H286" i="25"/>
  <c r="H285" i="25"/>
  <c r="H284" i="25"/>
  <c r="H283" i="25"/>
  <c r="H282" i="25"/>
  <c r="H281" i="25"/>
  <c r="H280" i="25"/>
  <c r="H279" i="25"/>
  <c r="H278" i="25"/>
  <c r="H277" i="25"/>
  <c r="H276" i="25"/>
  <c r="H275" i="25"/>
  <c r="H274" i="25"/>
  <c r="H273" i="25"/>
  <c r="H272" i="25"/>
  <c r="H271" i="25"/>
  <c r="H270" i="25"/>
  <c r="H269" i="25"/>
  <c r="H268" i="25"/>
  <c r="H267" i="25"/>
  <c r="H266" i="25"/>
  <c r="H265" i="25"/>
  <c r="H264" i="25"/>
  <c r="H263" i="25"/>
  <c r="H262" i="25"/>
  <c r="H261" i="25"/>
  <c r="H260" i="25"/>
  <c r="H259" i="25"/>
  <c r="H258" i="25"/>
  <c r="H257" i="25"/>
  <c r="H256" i="25"/>
  <c r="H255" i="25"/>
  <c r="H254" i="25"/>
  <c r="H253" i="25"/>
  <c r="H252" i="25"/>
  <c r="H251" i="25"/>
  <c r="H250" i="25"/>
  <c r="H249" i="25"/>
  <c r="H248" i="25"/>
  <c r="H247" i="25"/>
  <c r="H246" i="25"/>
  <c r="H245" i="25"/>
  <c r="H244" i="25"/>
  <c r="H243" i="25"/>
  <c r="H242" i="25"/>
  <c r="H241" i="25"/>
  <c r="H240" i="25"/>
  <c r="H239" i="25"/>
  <c r="H238" i="25"/>
  <c r="H237" i="25"/>
  <c r="H236" i="25"/>
  <c r="H235" i="25"/>
  <c r="H234" i="25"/>
  <c r="H233" i="25"/>
  <c r="H232" i="25"/>
  <c r="H231" i="25"/>
  <c r="H230" i="25"/>
  <c r="H229" i="25"/>
  <c r="H228" i="25"/>
  <c r="H227" i="25"/>
  <c r="H226" i="25"/>
  <c r="H225" i="25"/>
  <c r="H224" i="25"/>
  <c r="H223" i="25"/>
  <c r="H222" i="25"/>
  <c r="H221" i="25"/>
  <c r="H220" i="25"/>
  <c r="H219" i="25"/>
  <c r="H218" i="25"/>
  <c r="H217" i="25"/>
  <c r="H216" i="25"/>
  <c r="H215" i="25"/>
  <c r="H214" i="25"/>
  <c r="H213" i="25"/>
  <c r="H212" i="25"/>
  <c r="H211" i="25"/>
  <c r="K190" i="25" l="1"/>
  <c r="K210" i="25"/>
  <c r="N210" i="25"/>
  <c r="H210" i="25"/>
  <c r="H209" i="25"/>
  <c r="H208" i="25"/>
  <c r="H207" i="25"/>
  <c r="H206" i="25"/>
  <c r="H205" i="25"/>
  <c r="H204" i="25"/>
  <c r="H203" i="25"/>
  <c r="H202" i="25"/>
  <c r="H201" i="25"/>
  <c r="H200" i="25"/>
  <c r="H199" i="25"/>
  <c r="H198" i="25"/>
  <c r="H197" i="25"/>
  <c r="H196" i="25"/>
  <c r="H195" i="25"/>
  <c r="H194" i="25"/>
  <c r="H193" i="25"/>
  <c r="H192" i="25"/>
  <c r="H191" i="25"/>
  <c r="N190" i="25"/>
  <c r="H190" i="25"/>
  <c r="H189" i="25"/>
  <c r="H188" i="25"/>
  <c r="H187" i="25"/>
  <c r="H186" i="25"/>
  <c r="H185" i="25"/>
  <c r="H184" i="25"/>
  <c r="H183" i="25"/>
  <c r="H182" i="25"/>
  <c r="H181" i="25"/>
  <c r="H180" i="25"/>
  <c r="H179" i="25"/>
  <c r="H178" i="25"/>
  <c r="H177" i="25"/>
  <c r="H176" i="25"/>
  <c r="H175" i="25"/>
  <c r="H174" i="25"/>
  <c r="H173" i="25"/>
  <c r="H172" i="25"/>
  <c r="H171" i="25"/>
  <c r="H170" i="25"/>
  <c r="H169" i="25"/>
  <c r="H168" i="25"/>
  <c r="H167" i="25"/>
  <c r="K166" i="25" l="1"/>
  <c r="N166" i="25"/>
  <c r="H166" i="25"/>
  <c r="H165" i="25"/>
  <c r="H164" i="25"/>
  <c r="H163" i="25"/>
  <c r="H162" i="25"/>
  <c r="H161" i="25"/>
  <c r="H160" i="25"/>
  <c r="H159" i="25"/>
  <c r="H158" i="25"/>
  <c r="H157" i="25"/>
  <c r="H156" i="25"/>
  <c r="H155" i="25"/>
  <c r="H154" i="25"/>
  <c r="H153" i="25"/>
  <c r="H152" i="25"/>
  <c r="H151" i="25"/>
  <c r="H150" i="25"/>
  <c r="H149" i="25"/>
  <c r="H148" i="25"/>
  <c r="H147" i="25"/>
  <c r="H146" i="25"/>
  <c r="H145" i="25"/>
  <c r="H144" i="25"/>
  <c r="H143" i="25"/>
  <c r="H142" i="25"/>
  <c r="H141" i="25"/>
  <c r="H140" i="25"/>
  <c r="H139" i="25"/>
  <c r="H138" i="25"/>
  <c r="H137" i="25"/>
  <c r="H136" i="25"/>
  <c r="H135" i="25"/>
  <c r="H134" i="25"/>
  <c r="H133" i="25"/>
  <c r="H132" i="25"/>
  <c r="H131" i="25"/>
  <c r="H130" i="25"/>
  <c r="H129" i="25"/>
  <c r="H128" i="25"/>
  <c r="H127" i="25"/>
  <c r="H126" i="25"/>
  <c r="H125" i="25"/>
  <c r="H124" i="25"/>
  <c r="H123" i="25"/>
  <c r="H122" i="25"/>
  <c r="H121" i="25"/>
  <c r="H120" i="25"/>
  <c r="H119" i="25"/>
  <c r="H118" i="25"/>
  <c r="H117" i="25"/>
  <c r="H116" i="25"/>
  <c r="H115" i="25"/>
  <c r="H114" i="25"/>
  <c r="H113" i="25"/>
  <c r="H112" i="25"/>
  <c r="H111" i="25"/>
  <c r="H110" i="25"/>
  <c r="H109" i="25"/>
  <c r="H108" i="25"/>
  <c r="H107" i="25"/>
  <c r="H106" i="25"/>
  <c r="H105" i="25"/>
  <c r="H104" i="25"/>
  <c r="H103" i="25"/>
  <c r="H102" i="25"/>
  <c r="H101" i="25"/>
  <c r="H100" i="25"/>
  <c r="H99" i="25"/>
  <c r="H98" i="25"/>
  <c r="H97" i="25"/>
  <c r="H96" i="25"/>
  <c r="H95" i="25"/>
  <c r="H94" i="25"/>
  <c r="H93" i="25"/>
  <c r="H92" i="25"/>
  <c r="H91" i="25"/>
  <c r="H90" i="25"/>
  <c r="H89" i="25"/>
  <c r="H88" i="25"/>
  <c r="H87" i="25"/>
  <c r="H86" i="25"/>
  <c r="H85" i="25"/>
  <c r="H84" i="25"/>
  <c r="H83" i="25"/>
  <c r="H82" i="25"/>
  <c r="H81" i="25"/>
  <c r="H80" i="25"/>
  <c r="H79" i="25"/>
  <c r="H78" i="25"/>
  <c r="H77" i="25"/>
  <c r="H76" i="25"/>
  <c r="H75" i="25"/>
  <c r="H74" i="25"/>
  <c r="H73" i="25"/>
  <c r="H72" i="25"/>
  <c r="H71" i="25"/>
  <c r="H70" i="25"/>
  <c r="H69" i="25"/>
  <c r="H68" i="25"/>
  <c r="H67" i="25"/>
  <c r="H66" i="25"/>
  <c r="H795" i="24"/>
  <c r="H794" i="24"/>
  <c r="H798" i="24"/>
  <c r="F796" i="24"/>
  <c r="D796" i="24"/>
  <c r="N65" i="25"/>
  <c r="K65" i="25"/>
  <c r="H65" i="25"/>
  <c r="H64" i="25"/>
  <c r="H63" i="25"/>
  <c r="H62" i="25"/>
  <c r="H61" i="25"/>
  <c r="H60" i="25"/>
  <c r="H59" i="25"/>
  <c r="H58" i="25"/>
  <c r="H57" i="25"/>
  <c r="H56" i="25"/>
  <c r="H55" i="25"/>
  <c r="H54" i="25"/>
  <c r="H53" i="25"/>
  <c r="H52" i="25"/>
  <c r="H51" i="25"/>
  <c r="H50" i="25"/>
  <c r="H49" i="25"/>
  <c r="H48" i="25"/>
  <c r="H47" i="25"/>
  <c r="H46" i="25"/>
  <c r="H45" i="25"/>
  <c r="H44" i="25"/>
  <c r="H43" i="25"/>
  <c r="H42" i="25"/>
  <c r="H796" i="24" l="1"/>
  <c r="H41" i="25"/>
  <c r="H40" i="25"/>
  <c r="H39" i="25"/>
  <c r="H38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M787" i="24"/>
  <c r="J787" i="24"/>
  <c r="F788" i="24" l="1"/>
  <c r="E788" i="24"/>
  <c r="D788" i="24"/>
  <c r="G787" i="24"/>
  <c r="G786" i="24"/>
  <c r="G785" i="24"/>
  <c r="G784" i="24"/>
  <c r="G783" i="24"/>
  <c r="G782" i="24"/>
  <c r="G781" i="24" l="1"/>
  <c r="G780" i="24"/>
  <c r="G779" i="24"/>
  <c r="G778" i="24"/>
  <c r="G777" i="24"/>
  <c r="G776" i="24"/>
  <c r="G775" i="24"/>
  <c r="G774" i="24"/>
  <c r="G773" i="24"/>
  <c r="G772" i="24"/>
  <c r="G771" i="24"/>
  <c r="G770" i="24"/>
  <c r="G769" i="24"/>
  <c r="G768" i="24"/>
  <c r="G767" i="24"/>
  <c r="G766" i="24"/>
  <c r="G765" i="24"/>
  <c r="G764" i="24"/>
  <c r="G763" i="24"/>
  <c r="G762" i="24"/>
  <c r="G761" i="24"/>
  <c r="G760" i="24"/>
  <c r="G759" i="24"/>
  <c r="G758" i="24"/>
  <c r="G757" i="24"/>
  <c r="G756" i="24"/>
  <c r="G755" i="24"/>
  <c r="G754" i="24"/>
  <c r="G753" i="24"/>
  <c r="G752" i="24"/>
  <c r="G751" i="24"/>
  <c r="G750" i="24"/>
  <c r="G749" i="24"/>
  <c r="G748" i="24"/>
  <c r="G747" i="24"/>
  <c r="G746" i="24"/>
  <c r="G745" i="24"/>
  <c r="G744" i="24"/>
  <c r="G743" i="24"/>
  <c r="G742" i="24"/>
  <c r="G741" i="24"/>
  <c r="G740" i="24"/>
  <c r="G739" i="24"/>
  <c r="G738" i="24"/>
  <c r="G737" i="24"/>
  <c r="G736" i="24"/>
  <c r="G735" i="24"/>
  <c r="G734" i="24"/>
  <c r="G733" i="24"/>
  <c r="G732" i="24"/>
  <c r="G731" i="24"/>
  <c r="G730" i="24"/>
  <c r="G729" i="24"/>
  <c r="G728" i="24"/>
  <c r="G727" i="24"/>
  <c r="G726" i="24"/>
  <c r="G725" i="24"/>
  <c r="G724" i="24"/>
  <c r="G723" i="24"/>
  <c r="G722" i="24"/>
  <c r="G721" i="24"/>
  <c r="G720" i="24"/>
  <c r="G719" i="24"/>
  <c r="G718" i="24"/>
  <c r="G717" i="24"/>
  <c r="G716" i="24"/>
  <c r="G715" i="24"/>
  <c r="G714" i="24"/>
  <c r="G713" i="24"/>
  <c r="G712" i="24"/>
  <c r="G711" i="24"/>
  <c r="G710" i="24"/>
  <c r="G709" i="24"/>
  <c r="G708" i="24"/>
  <c r="G707" i="24"/>
  <c r="G706" i="24"/>
  <c r="G705" i="24"/>
  <c r="G704" i="24"/>
  <c r="G703" i="24"/>
  <c r="G702" i="24"/>
  <c r="G701" i="24"/>
  <c r="G700" i="24"/>
  <c r="G699" i="24"/>
  <c r="G698" i="24"/>
  <c r="G697" i="24"/>
  <c r="G696" i="24"/>
  <c r="G695" i="24"/>
  <c r="G694" i="24"/>
  <c r="G693" i="24"/>
  <c r="G692" i="24"/>
  <c r="G691" i="24"/>
  <c r="G690" i="24"/>
  <c r="G689" i="24"/>
  <c r="G688" i="24"/>
  <c r="G789" i="24" l="1"/>
  <c r="D789" i="24"/>
  <c r="O52" i="24" l="1"/>
  <c r="N52" i="24"/>
  <c r="M687" i="24" l="1"/>
  <c r="J687" i="24"/>
  <c r="G672" i="24"/>
  <c r="G671" i="24"/>
  <c r="G670" i="24"/>
  <c r="G669" i="24"/>
  <c r="G668" i="24"/>
  <c r="G667" i="24"/>
  <c r="G666" i="24"/>
  <c r="G665" i="24"/>
  <c r="G664" i="24"/>
  <c r="G663" i="24"/>
  <c r="G687" i="24"/>
  <c r="G686" i="24"/>
  <c r="G685" i="24"/>
  <c r="G684" i="24"/>
  <c r="G683" i="24"/>
  <c r="G682" i="24"/>
  <c r="G681" i="24"/>
  <c r="G680" i="24"/>
  <c r="G679" i="24"/>
  <c r="G678" i="24"/>
  <c r="G677" i="24"/>
  <c r="G676" i="24"/>
  <c r="G675" i="24"/>
  <c r="G674" i="24"/>
  <c r="G673" i="24"/>
  <c r="M662" i="24"/>
  <c r="J662" i="24"/>
  <c r="G662" i="24" l="1"/>
  <c r="G661" i="24"/>
  <c r="G660" i="24"/>
  <c r="G659" i="24"/>
  <c r="G658" i="24"/>
  <c r="G657" i="24"/>
  <c r="G656" i="24"/>
  <c r="G655" i="24"/>
  <c r="G654" i="24"/>
  <c r="G653" i="24"/>
  <c r="G652" i="24"/>
  <c r="G651" i="24"/>
  <c r="G650" i="24"/>
  <c r="G649" i="24"/>
  <c r="G648" i="24"/>
  <c r="G647" i="24"/>
  <c r="G646" i="24"/>
  <c r="G645" i="24"/>
  <c r="G644" i="24"/>
  <c r="G643" i="24"/>
  <c r="G642" i="24"/>
  <c r="J674" i="23"/>
  <c r="H672" i="23"/>
  <c r="E672" i="23"/>
  <c r="J671" i="23"/>
  <c r="J670" i="23"/>
  <c r="J672" i="23" l="1"/>
  <c r="M10" i="14" l="1"/>
  <c r="L10" i="14"/>
  <c r="G641" i="24" l="1"/>
  <c r="G640" i="24"/>
  <c r="G639" i="24"/>
  <c r="G638" i="24"/>
  <c r="G637" i="24"/>
  <c r="G636" i="24"/>
  <c r="G635" i="24"/>
  <c r="G634" i="24"/>
  <c r="G633" i="24"/>
  <c r="G632" i="24"/>
  <c r="G631" i="24"/>
  <c r="G630" i="24"/>
  <c r="G629" i="24"/>
  <c r="G628" i="24"/>
  <c r="G627" i="24"/>
  <c r="G626" i="24"/>
  <c r="G625" i="24"/>
  <c r="G624" i="24"/>
  <c r="G623" i="24"/>
  <c r="G622" i="24"/>
  <c r="G621" i="24"/>
  <c r="G620" i="24"/>
  <c r="G619" i="24"/>
  <c r="G618" i="24"/>
  <c r="G617" i="24"/>
  <c r="G616" i="24"/>
  <c r="G615" i="24"/>
  <c r="G614" i="24"/>
  <c r="G613" i="24"/>
  <c r="G612" i="24"/>
  <c r="G611" i="24"/>
  <c r="G610" i="24"/>
  <c r="G609" i="24"/>
  <c r="G608" i="24"/>
  <c r="G607" i="24"/>
  <c r="G606" i="24"/>
  <c r="G605" i="24"/>
  <c r="G604" i="24"/>
  <c r="G603" i="24"/>
  <c r="G602" i="24"/>
  <c r="G601" i="24"/>
  <c r="G600" i="24"/>
  <c r="G599" i="24"/>
  <c r="G598" i="24"/>
  <c r="G597" i="24"/>
  <c r="G596" i="24"/>
  <c r="G595" i="24"/>
  <c r="G594" i="24"/>
  <c r="G593" i="24"/>
  <c r="G592" i="24"/>
  <c r="G591" i="24"/>
  <c r="G590" i="24"/>
  <c r="G589" i="24"/>
  <c r="G588" i="24"/>
  <c r="G587" i="24"/>
  <c r="G586" i="24"/>
  <c r="G585" i="24"/>
  <c r="G584" i="24"/>
  <c r="G583" i="24"/>
  <c r="G582" i="24"/>
  <c r="G581" i="24"/>
  <c r="G580" i="24"/>
  <c r="G579" i="24"/>
  <c r="G578" i="24"/>
  <c r="G577" i="24"/>
  <c r="G576" i="24"/>
  <c r="G575" i="24"/>
  <c r="G574" i="24"/>
  <c r="G573" i="24"/>
  <c r="G572" i="24"/>
  <c r="G571" i="24"/>
  <c r="G570" i="24"/>
  <c r="G569" i="24"/>
  <c r="G568" i="24"/>
  <c r="G567" i="24"/>
  <c r="G566" i="24"/>
  <c r="G565" i="24"/>
  <c r="G564" i="24"/>
  <c r="G563" i="24"/>
  <c r="G562" i="24"/>
  <c r="G561" i="24"/>
  <c r="G560" i="24"/>
  <c r="G559" i="24"/>
  <c r="G558" i="24"/>
  <c r="G557" i="24"/>
  <c r="G556" i="24"/>
  <c r="G555" i="24"/>
  <c r="G554" i="24"/>
  <c r="G553" i="24"/>
  <c r="G552" i="24"/>
  <c r="G551" i="24"/>
  <c r="G550" i="24"/>
  <c r="G549" i="24"/>
  <c r="G548" i="24"/>
  <c r="G547" i="24"/>
  <c r="G546" i="24"/>
  <c r="G545" i="24"/>
  <c r="G544" i="24"/>
  <c r="G543" i="24"/>
  <c r="G542" i="24"/>
  <c r="G541" i="24"/>
  <c r="G540" i="24"/>
  <c r="G539" i="24"/>
  <c r="G538" i="24"/>
  <c r="G537" i="24"/>
  <c r="G536" i="24"/>
  <c r="G535" i="24"/>
  <c r="G534" i="24"/>
  <c r="G533" i="24"/>
  <c r="G532" i="24"/>
  <c r="G531" i="24"/>
  <c r="G530" i="24"/>
  <c r="G529" i="24"/>
  <c r="G528" i="24"/>
  <c r="G527" i="24"/>
  <c r="G526" i="24"/>
  <c r="G525" i="24"/>
  <c r="G524" i="24"/>
  <c r="G523" i="24"/>
  <c r="G522" i="24"/>
  <c r="G521" i="24"/>
  <c r="G520" i="24"/>
  <c r="G519" i="24"/>
  <c r="G518" i="24"/>
  <c r="G517" i="24"/>
  <c r="G516" i="24"/>
  <c r="G515" i="24"/>
  <c r="G514" i="24"/>
  <c r="G513" i="24"/>
  <c r="G512" i="24"/>
  <c r="G511" i="24"/>
  <c r="G510" i="24"/>
  <c r="G509" i="24"/>
  <c r="G508" i="24"/>
  <c r="G507" i="24"/>
  <c r="G506" i="24"/>
  <c r="G505" i="24"/>
  <c r="G504" i="24"/>
  <c r="G503" i="24"/>
  <c r="G502" i="24"/>
  <c r="G501" i="24"/>
  <c r="G500" i="24"/>
  <c r="G499" i="24"/>
  <c r="G498" i="24"/>
  <c r="G497" i="24"/>
  <c r="G496" i="24"/>
  <c r="G495" i="24"/>
  <c r="G494" i="24"/>
  <c r="G493" i="24"/>
  <c r="G492" i="24"/>
  <c r="G491" i="24"/>
  <c r="G490" i="24"/>
  <c r="G489" i="24"/>
  <c r="G488" i="24"/>
  <c r="G487" i="24"/>
  <c r="G486" i="24"/>
  <c r="G485" i="24"/>
  <c r="G484" i="24"/>
  <c r="G483" i="24"/>
  <c r="G482" i="24"/>
  <c r="G481" i="24"/>
  <c r="G480" i="24"/>
  <c r="G479" i="24"/>
  <c r="G478" i="24"/>
  <c r="G477" i="24"/>
  <c r="G476" i="24"/>
  <c r="G475" i="24"/>
  <c r="G474" i="24"/>
  <c r="G473" i="24"/>
  <c r="G472" i="24"/>
  <c r="G471" i="24"/>
  <c r="G470" i="24"/>
  <c r="G469" i="24"/>
  <c r="G468" i="24"/>
  <c r="G467" i="24"/>
  <c r="G466" i="24"/>
  <c r="G465" i="24"/>
  <c r="G464" i="24"/>
  <c r="G463" i="24"/>
  <c r="G462" i="24"/>
  <c r="G461" i="24"/>
  <c r="G460" i="24"/>
  <c r="G459" i="24"/>
  <c r="G458" i="24"/>
  <c r="G457" i="24"/>
  <c r="G456" i="24"/>
  <c r="G455" i="24"/>
  <c r="G454" i="24"/>
  <c r="G453" i="24"/>
  <c r="G452" i="24"/>
  <c r="G451" i="24"/>
  <c r="G450" i="24"/>
  <c r="G449" i="24"/>
  <c r="G448" i="24"/>
  <c r="G447" i="24"/>
  <c r="G446" i="24"/>
  <c r="G445" i="24"/>
  <c r="G444" i="24"/>
  <c r="G443" i="24"/>
  <c r="G442" i="24"/>
  <c r="G441" i="24"/>
  <c r="G440" i="24"/>
  <c r="G439" i="24"/>
  <c r="G438" i="24"/>
  <c r="G437" i="24"/>
  <c r="G436" i="24"/>
  <c r="G435" i="24"/>
  <c r="G434" i="24"/>
  <c r="G433" i="24"/>
  <c r="G432" i="24"/>
  <c r="G431" i="24"/>
  <c r="G430" i="24"/>
  <c r="G429" i="24"/>
  <c r="G428" i="24"/>
  <c r="G427" i="24"/>
  <c r="G426" i="24"/>
  <c r="G425" i="24"/>
  <c r="G424" i="24"/>
  <c r="G423" i="24"/>
  <c r="G422" i="24"/>
  <c r="G421" i="24"/>
  <c r="G420" i="24"/>
  <c r="G419" i="24"/>
  <c r="G418" i="24"/>
  <c r="G417" i="24"/>
  <c r="G416" i="24"/>
  <c r="G415" i="24"/>
  <c r="G414" i="24"/>
  <c r="G413" i="24"/>
  <c r="G412" i="24"/>
  <c r="G411" i="24"/>
  <c r="G410" i="24"/>
  <c r="G409" i="24"/>
  <c r="G408" i="24"/>
  <c r="G407" i="24"/>
  <c r="G406" i="24"/>
  <c r="G405" i="24"/>
  <c r="G404" i="24"/>
  <c r="G403" i="24"/>
  <c r="G402" i="24"/>
  <c r="G401" i="24"/>
  <c r="G400" i="24"/>
  <c r="G399" i="24"/>
  <c r="G398" i="24"/>
  <c r="G397" i="24"/>
  <c r="G396" i="24"/>
  <c r="G395" i="24"/>
  <c r="G394" i="24"/>
  <c r="G393" i="24"/>
  <c r="G392" i="24"/>
  <c r="G391" i="24"/>
  <c r="G390" i="24"/>
  <c r="G389" i="24"/>
  <c r="G388" i="24"/>
  <c r="G387" i="24"/>
  <c r="G386" i="24"/>
  <c r="G385" i="24"/>
  <c r="G384" i="24"/>
  <c r="G383" i="24"/>
  <c r="G382" i="24"/>
  <c r="G381" i="24"/>
  <c r="G380" i="24"/>
  <c r="G379" i="24"/>
  <c r="G378" i="24"/>
  <c r="G377" i="24"/>
  <c r="G376" i="24"/>
  <c r="G375" i="24"/>
  <c r="G374" i="24"/>
  <c r="G373" i="24"/>
  <c r="G372" i="24"/>
  <c r="G371" i="24"/>
  <c r="G370" i="24"/>
  <c r="G369" i="24"/>
  <c r="G368" i="24"/>
  <c r="G367" i="24"/>
  <c r="G366" i="24"/>
  <c r="G365" i="24"/>
  <c r="G364" i="24"/>
  <c r="G363" i="24"/>
  <c r="G362" i="24"/>
  <c r="G361" i="24"/>
  <c r="G360" i="24"/>
  <c r="G359" i="24"/>
  <c r="G358" i="24"/>
  <c r="G357" i="24"/>
  <c r="G356" i="24"/>
  <c r="G355" i="24"/>
  <c r="G354" i="24"/>
  <c r="G353" i="24"/>
  <c r="G352" i="24"/>
  <c r="G351" i="24"/>
  <c r="G350" i="24"/>
  <c r="G349" i="24"/>
  <c r="G348" i="24"/>
  <c r="G347" i="24"/>
  <c r="G346" i="24"/>
  <c r="G345" i="24"/>
  <c r="G344" i="24"/>
  <c r="G343" i="24"/>
  <c r="G342" i="24"/>
  <c r="G341" i="24"/>
  <c r="G340" i="24"/>
  <c r="G339" i="24"/>
  <c r="G338" i="24"/>
  <c r="G337" i="24"/>
  <c r="G336" i="24"/>
  <c r="G335" i="24"/>
  <c r="G334" i="24"/>
  <c r="G333" i="24"/>
  <c r="G332" i="24"/>
  <c r="G331" i="24"/>
  <c r="G330" i="24"/>
  <c r="G329" i="24"/>
  <c r="G328" i="24"/>
  <c r="G327" i="24"/>
  <c r="G326" i="24"/>
  <c r="G325" i="24"/>
  <c r="G324" i="24"/>
  <c r="G323" i="24"/>
  <c r="G322" i="24"/>
  <c r="G321" i="24"/>
  <c r="G320" i="24"/>
  <c r="G319" i="24"/>
  <c r="G318" i="24"/>
  <c r="G317" i="24"/>
  <c r="G316" i="24"/>
  <c r="G315" i="24"/>
  <c r="G314" i="24"/>
  <c r="G313" i="24"/>
  <c r="G312" i="24"/>
  <c r="G311" i="24"/>
  <c r="G310" i="24"/>
  <c r="G309" i="24"/>
  <c r="G308" i="24"/>
  <c r="G307" i="24"/>
  <c r="G306" i="24"/>
  <c r="G305" i="24"/>
  <c r="G304" i="24"/>
  <c r="G303" i="24"/>
  <c r="G302" i="24"/>
  <c r="G301" i="24"/>
  <c r="G300" i="24"/>
  <c r="G299" i="24"/>
  <c r="G298" i="24"/>
  <c r="G297" i="24"/>
  <c r="G296" i="24"/>
  <c r="G295" i="24"/>
  <c r="G294" i="24"/>
  <c r="G293" i="24"/>
  <c r="G292" i="24"/>
  <c r="G291" i="24"/>
  <c r="G290" i="24"/>
  <c r="G289" i="24"/>
  <c r="G288" i="24"/>
  <c r="G287" i="24"/>
  <c r="G286" i="24"/>
  <c r="G285" i="24"/>
  <c r="G284" i="24"/>
  <c r="G283" i="24"/>
  <c r="G282" i="24"/>
  <c r="G281" i="24"/>
  <c r="G280" i="24"/>
  <c r="G279" i="24"/>
  <c r="G278" i="24"/>
  <c r="G277" i="24"/>
  <c r="G276" i="24"/>
  <c r="G275" i="24"/>
  <c r="G274" i="24"/>
  <c r="G273" i="24"/>
  <c r="G272" i="24"/>
  <c r="G271" i="24"/>
  <c r="G270" i="24"/>
  <c r="G269" i="24"/>
  <c r="G268" i="24"/>
  <c r="G267" i="24"/>
  <c r="G266" i="24"/>
  <c r="G265" i="24"/>
  <c r="G264" i="24"/>
  <c r="G263" i="24"/>
  <c r="G262" i="24"/>
  <c r="G261" i="24"/>
  <c r="G260" i="24"/>
  <c r="G259" i="24"/>
  <c r="G258" i="24"/>
  <c r="G257" i="24"/>
  <c r="G256" i="24"/>
  <c r="G255" i="24"/>
  <c r="G254" i="24"/>
  <c r="G253" i="24"/>
  <c r="G252" i="24"/>
  <c r="G251" i="24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N663" i="23"/>
  <c r="K663" i="23"/>
  <c r="H652" i="23" l="1"/>
  <c r="H651" i="23"/>
  <c r="H650" i="23"/>
  <c r="H649" i="23"/>
  <c r="H546" i="23"/>
  <c r="G8" i="24"/>
  <c r="G7" i="24"/>
  <c r="G6" i="24"/>
  <c r="G5" i="24"/>
  <c r="G664" i="23"/>
  <c r="F664" i="23"/>
  <c r="D664" i="23"/>
  <c r="H663" i="23"/>
  <c r="H662" i="23"/>
  <c r="H661" i="23"/>
  <c r="H660" i="23"/>
  <c r="H659" i="23"/>
  <c r="H658" i="23"/>
  <c r="H657" i="23"/>
  <c r="H656" i="23"/>
  <c r="H655" i="23"/>
  <c r="H654" i="23"/>
  <c r="H653" i="23"/>
  <c r="H648" i="23"/>
  <c r="H647" i="23"/>
  <c r="H646" i="23"/>
  <c r="H645" i="23"/>
  <c r="H644" i="23"/>
  <c r="H643" i="23"/>
  <c r="H642" i="23"/>
  <c r="H641" i="23"/>
  <c r="H640" i="23"/>
  <c r="H639" i="23"/>
  <c r="H638" i="23"/>
  <c r="H637" i="23"/>
  <c r="H636" i="23"/>
  <c r="H635" i="23"/>
  <c r="H634" i="23"/>
  <c r="H633" i="23"/>
  <c r="H632" i="23"/>
  <c r="H631" i="23"/>
  <c r="H630" i="23"/>
  <c r="H629" i="23"/>
  <c r="H628" i="23"/>
  <c r="H627" i="23"/>
  <c r="H626" i="23"/>
  <c r="H625" i="23"/>
  <c r="H624" i="23"/>
  <c r="H623" i="23"/>
  <c r="H622" i="23"/>
  <c r="H621" i="23"/>
  <c r="H620" i="23"/>
  <c r="H619" i="23"/>
  <c r="H618" i="23"/>
  <c r="H617" i="23"/>
  <c r="H616" i="23"/>
  <c r="H615" i="23"/>
  <c r="H614" i="23"/>
  <c r="H613" i="23"/>
  <c r="H612" i="23"/>
  <c r="H611" i="23"/>
  <c r="H610" i="23"/>
  <c r="H609" i="23"/>
  <c r="H608" i="23"/>
  <c r="H607" i="23"/>
  <c r="H606" i="23"/>
  <c r="H605" i="23"/>
  <c r="H604" i="23"/>
  <c r="H603" i="23"/>
  <c r="H602" i="23"/>
  <c r="H601" i="23"/>
  <c r="H600" i="23"/>
  <c r="H599" i="23"/>
  <c r="H598" i="23"/>
  <c r="H597" i="23"/>
  <c r="H596" i="23"/>
  <c r="H595" i="23"/>
  <c r="H594" i="23"/>
  <c r="H593" i="23"/>
  <c r="H592" i="23"/>
  <c r="H591" i="23"/>
  <c r="H590" i="23"/>
  <c r="H589" i="23"/>
  <c r="H588" i="23"/>
  <c r="H587" i="23"/>
  <c r="H586" i="23"/>
  <c r="H585" i="23"/>
  <c r="H584" i="23"/>
  <c r="H583" i="23"/>
  <c r="H582" i="23"/>
  <c r="H581" i="23"/>
  <c r="H580" i="23"/>
  <c r="H579" i="23"/>
  <c r="H578" i="23"/>
  <c r="H577" i="23"/>
  <c r="H576" i="23"/>
  <c r="H575" i="23"/>
  <c r="H574" i="23"/>
  <c r="H573" i="23"/>
  <c r="H572" i="23"/>
  <c r="H571" i="23"/>
  <c r="H570" i="23"/>
  <c r="H569" i="23"/>
  <c r="H568" i="23"/>
  <c r="H567" i="23"/>
  <c r="H566" i="23"/>
  <c r="H565" i="23"/>
  <c r="H564" i="23"/>
  <c r="H563" i="23"/>
  <c r="H562" i="23"/>
  <c r="H561" i="23"/>
  <c r="H560" i="23"/>
  <c r="H559" i="23"/>
  <c r="H558" i="23"/>
  <c r="H557" i="23"/>
  <c r="H556" i="23"/>
  <c r="H555" i="23"/>
  <c r="H554" i="23"/>
  <c r="H553" i="23"/>
  <c r="H552" i="23"/>
  <c r="H551" i="23"/>
  <c r="H550" i="23"/>
  <c r="H549" i="23"/>
  <c r="H548" i="23"/>
  <c r="H547" i="23"/>
  <c r="H545" i="23"/>
  <c r="H544" i="23"/>
  <c r="H543" i="23"/>
  <c r="H542" i="23"/>
  <c r="H541" i="23"/>
  <c r="H540" i="23"/>
  <c r="H539" i="23"/>
  <c r="H538" i="23"/>
  <c r="H537" i="23"/>
  <c r="H536" i="23"/>
  <c r="H535" i="23"/>
  <c r="H534" i="23"/>
  <c r="H533" i="23"/>
  <c r="H532" i="23"/>
  <c r="H531" i="23"/>
  <c r="H530" i="23"/>
  <c r="H529" i="23"/>
  <c r="H528" i="23"/>
  <c r="H527" i="23"/>
  <c r="H526" i="23"/>
  <c r="H525" i="23"/>
  <c r="H524" i="23"/>
  <c r="H523" i="23"/>
  <c r="H522" i="23"/>
  <c r="H521" i="23"/>
  <c r="H520" i="23"/>
  <c r="H519" i="23"/>
  <c r="H518" i="23"/>
  <c r="H517" i="23"/>
  <c r="H516" i="23"/>
  <c r="H515" i="23"/>
  <c r="H514" i="23"/>
  <c r="H513" i="23"/>
  <c r="H512" i="23"/>
  <c r="H511" i="23"/>
  <c r="H510" i="23"/>
  <c r="H509" i="23"/>
  <c r="H508" i="23"/>
  <c r="H507" i="23"/>
  <c r="H506" i="23"/>
  <c r="H505" i="23"/>
  <c r="H504" i="23"/>
  <c r="H503" i="23"/>
  <c r="H502" i="23"/>
  <c r="H501" i="23"/>
  <c r="H500" i="23"/>
  <c r="H499" i="23"/>
  <c r="H498" i="23"/>
  <c r="H497" i="23"/>
  <c r="H496" i="23"/>
  <c r="H495" i="23"/>
  <c r="H494" i="23"/>
  <c r="H493" i="23"/>
  <c r="H492" i="23"/>
  <c r="H491" i="23"/>
  <c r="H490" i="23"/>
  <c r="H489" i="23"/>
  <c r="H488" i="23"/>
  <c r="H487" i="23"/>
  <c r="H486" i="23"/>
  <c r="H485" i="23"/>
  <c r="H484" i="23"/>
  <c r="H483" i="23"/>
  <c r="H482" i="23"/>
  <c r="H481" i="23"/>
  <c r="H480" i="23"/>
  <c r="H479" i="23"/>
  <c r="H478" i="23"/>
  <c r="H477" i="23"/>
  <c r="H476" i="23"/>
  <c r="H475" i="23"/>
  <c r="H474" i="23"/>
  <c r="H473" i="23"/>
  <c r="H472" i="23"/>
  <c r="H471" i="23"/>
  <c r="H470" i="23"/>
  <c r="H469" i="23"/>
  <c r="H468" i="23"/>
  <c r="H467" i="23"/>
  <c r="H466" i="23"/>
  <c r="H465" i="23"/>
  <c r="H464" i="23"/>
  <c r="H463" i="23"/>
  <c r="H462" i="23"/>
  <c r="H461" i="23"/>
  <c r="H460" i="23"/>
  <c r="H459" i="23"/>
  <c r="H458" i="23"/>
  <c r="H457" i="23"/>
  <c r="H456" i="23"/>
  <c r="H455" i="23"/>
  <c r="H454" i="23"/>
  <c r="H450" i="23"/>
  <c r="H451" i="23"/>
  <c r="H452" i="23"/>
  <c r="H453" i="23"/>
  <c r="H449" i="23"/>
  <c r="H448" i="23"/>
  <c r="H447" i="23"/>
  <c r="H446" i="23"/>
  <c r="H445" i="23"/>
  <c r="H444" i="23"/>
  <c r="H443" i="23"/>
  <c r="H442" i="23"/>
  <c r="H441" i="23"/>
  <c r="H440" i="23"/>
  <c r="H439" i="23"/>
  <c r="H438" i="23"/>
  <c r="H437" i="23"/>
  <c r="H436" i="23"/>
  <c r="H435" i="23"/>
  <c r="H434" i="23"/>
  <c r="H433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K414" i="23"/>
  <c r="N414" i="23"/>
  <c r="H414" i="23"/>
  <c r="H413" i="23"/>
  <c r="H412" i="23"/>
  <c r="H411" i="23"/>
  <c r="H410" i="23"/>
  <c r="H409" i="23"/>
  <c r="H408" i="23"/>
  <c r="H407" i="23"/>
  <c r="H406" i="23"/>
  <c r="H405" i="23"/>
  <c r="H404" i="23"/>
  <c r="H403" i="23"/>
  <c r="H402" i="23"/>
  <c r="H401" i="23"/>
  <c r="H400" i="23"/>
  <c r="H399" i="23"/>
  <c r="H398" i="23"/>
  <c r="H397" i="23"/>
  <c r="H396" i="23"/>
  <c r="H395" i="23"/>
  <c r="H394" i="23"/>
  <c r="H393" i="23"/>
  <c r="H392" i="23"/>
  <c r="H391" i="23"/>
  <c r="H390" i="23"/>
  <c r="H389" i="23"/>
  <c r="H388" i="23"/>
  <c r="H387" i="23"/>
  <c r="H386" i="23"/>
  <c r="H385" i="23"/>
  <c r="H384" i="23"/>
  <c r="H383" i="23"/>
  <c r="H382" i="23"/>
  <c r="H381" i="23"/>
  <c r="H380" i="23"/>
  <c r="H379" i="23"/>
  <c r="H378" i="23"/>
  <c r="H377" i="23"/>
  <c r="H376" i="23"/>
  <c r="H375" i="23"/>
  <c r="H374" i="23"/>
  <c r="H373" i="23"/>
  <c r="H372" i="23"/>
  <c r="H371" i="23"/>
  <c r="H370" i="23"/>
  <c r="H369" i="23"/>
  <c r="K368" i="23"/>
  <c r="N368" i="23"/>
  <c r="H368" i="23"/>
  <c r="H367" i="23"/>
  <c r="H366" i="23"/>
  <c r="H365" i="23"/>
  <c r="H364" i="23"/>
  <c r="H363" i="23"/>
  <c r="H362" i="23"/>
  <c r="H361" i="23"/>
  <c r="H360" i="23"/>
  <c r="H359" i="23"/>
  <c r="H358" i="23"/>
  <c r="H357" i="23"/>
  <c r="H356" i="23"/>
  <c r="H355" i="23"/>
  <c r="H354" i="23"/>
  <c r="H353" i="23"/>
  <c r="H352" i="23"/>
  <c r="H351" i="23"/>
  <c r="H350" i="23"/>
  <c r="H349" i="23"/>
  <c r="H348" i="23"/>
  <c r="H347" i="23"/>
  <c r="H346" i="23"/>
  <c r="H345" i="23"/>
  <c r="H344" i="23"/>
  <c r="H343" i="23"/>
  <c r="H342" i="23"/>
  <c r="H341" i="23"/>
  <c r="H340" i="23"/>
  <c r="H339" i="23"/>
  <c r="H338" i="23"/>
  <c r="H337" i="23"/>
  <c r="H336" i="23"/>
  <c r="H335" i="23"/>
  <c r="H334" i="23"/>
  <c r="H333" i="23"/>
  <c r="H332" i="23"/>
  <c r="H331" i="23"/>
  <c r="H330" i="23"/>
  <c r="H329" i="23"/>
  <c r="H328" i="23"/>
  <c r="H327" i="23"/>
  <c r="H326" i="23"/>
  <c r="K325" i="23"/>
  <c r="H316" i="23"/>
  <c r="N325" i="23"/>
  <c r="H315" i="23"/>
  <c r="H314" i="23"/>
  <c r="H325" i="23"/>
  <c r="H324" i="23"/>
  <c r="H323" i="23"/>
  <c r="H322" i="23"/>
  <c r="H321" i="23"/>
  <c r="H320" i="23"/>
  <c r="H319" i="23"/>
  <c r="H318" i="23"/>
  <c r="H317" i="23"/>
  <c r="H313" i="23"/>
  <c r="H312" i="23"/>
  <c r="H311" i="23"/>
  <c r="H310" i="23"/>
  <c r="K309" i="23"/>
  <c r="N309" i="23"/>
  <c r="H309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K275" i="23" l="1"/>
  <c r="N275" i="23"/>
  <c r="I664" i="23"/>
  <c r="H275" i="23"/>
  <c r="H274" i="23"/>
  <c r="H273" i="23"/>
  <c r="H272" i="23"/>
  <c r="H271" i="23"/>
  <c r="H270" i="23"/>
  <c r="H269" i="23"/>
  <c r="H268" i="23"/>
  <c r="H267" i="23"/>
  <c r="H266" i="23"/>
  <c r="H265" i="23"/>
  <c r="H264" i="23"/>
  <c r="H263" i="23"/>
  <c r="H262" i="23"/>
  <c r="H261" i="23"/>
  <c r="H260" i="23"/>
  <c r="H259" i="23"/>
  <c r="H258" i="23"/>
  <c r="H257" i="23"/>
  <c r="H256" i="23"/>
  <c r="H255" i="23"/>
  <c r="H254" i="23"/>
  <c r="H253" i="23"/>
  <c r="H252" i="23"/>
  <c r="H251" i="23"/>
  <c r="H250" i="23"/>
  <c r="H249" i="23"/>
  <c r="H248" i="23"/>
  <c r="H247" i="23"/>
  <c r="H246" i="23"/>
  <c r="K245" i="23"/>
  <c r="N245" i="23"/>
  <c r="H227" i="23"/>
  <c r="H245" i="23"/>
  <c r="H244" i="23"/>
  <c r="H243" i="23"/>
  <c r="H242" i="23"/>
  <c r="H241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8" i="23"/>
  <c r="H226" i="23"/>
  <c r="H225" i="23" l="1"/>
  <c r="H224" i="23"/>
  <c r="H223" i="23"/>
  <c r="H222" i="23"/>
  <c r="H221" i="23"/>
  <c r="H220" i="23"/>
  <c r="H219" i="23"/>
  <c r="H218" i="23"/>
  <c r="H217" i="23"/>
  <c r="H216" i="23"/>
  <c r="H215" i="23"/>
  <c r="H214" i="23"/>
  <c r="H213" i="23"/>
  <c r="H212" i="23"/>
  <c r="H211" i="23"/>
  <c r="H210" i="23"/>
  <c r="H209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N172" i="23"/>
  <c r="K172" i="23"/>
  <c r="H172" i="23" l="1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K125" i="23"/>
  <c r="N125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I988" i="22"/>
  <c r="G986" i="22"/>
  <c r="D986" i="22"/>
  <c r="I986" i="22" l="1"/>
  <c r="K97" i="23"/>
  <c r="N97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I985" i="22"/>
  <c r="I984" i="22"/>
  <c r="H665" i="23" l="1"/>
  <c r="P979" i="22"/>
  <c r="I979" i="22"/>
  <c r="G979" i="22"/>
  <c r="H980" i="22" s="1"/>
  <c r="F979" i="22"/>
  <c r="D979" i="22"/>
  <c r="D980" i="22" s="1"/>
  <c r="M978" i="22"/>
  <c r="J978" i="22"/>
  <c r="H978" i="22"/>
  <c r="H977" i="22"/>
  <c r="H976" i="22"/>
  <c r="H975" i="22"/>
  <c r="H974" i="22"/>
  <c r="H973" i="22"/>
  <c r="H972" i="22"/>
  <c r="H971" i="22"/>
  <c r="H970" i="22"/>
  <c r="H969" i="22"/>
  <c r="H968" i="22"/>
  <c r="H967" i="22"/>
  <c r="H966" i="22"/>
  <c r="H965" i="22"/>
  <c r="H964" i="22"/>
  <c r="H963" i="22"/>
  <c r="H962" i="22"/>
  <c r="H961" i="22"/>
  <c r="H960" i="22"/>
  <c r="H959" i="22"/>
  <c r="H958" i="22"/>
  <c r="H957" i="22"/>
  <c r="H956" i="22"/>
  <c r="H955" i="22"/>
  <c r="H954" i="22"/>
  <c r="H953" i="22"/>
  <c r="H952" i="22"/>
  <c r="H951" i="22"/>
  <c r="H950" i="22"/>
  <c r="H949" i="22"/>
  <c r="H948" i="22"/>
  <c r="H947" i="22"/>
  <c r="H946" i="22"/>
  <c r="H945" i="22"/>
  <c r="H944" i="22"/>
  <c r="H943" i="22"/>
  <c r="H942" i="22"/>
  <c r="H941" i="22"/>
  <c r="H940" i="22"/>
  <c r="H939" i="22"/>
  <c r="H938" i="22"/>
  <c r="H937" i="22"/>
  <c r="H936" i="22"/>
  <c r="H935" i="22"/>
  <c r="H934" i="22"/>
  <c r="H933" i="22"/>
  <c r="H932" i="22"/>
  <c r="H931" i="22"/>
  <c r="H930" i="22"/>
  <c r="H929" i="22"/>
  <c r="H928" i="22"/>
  <c r="H927" i="22"/>
  <c r="H926" i="22"/>
  <c r="H925" i="22"/>
  <c r="H924" i="22"/>
  <c r="H923" i="22"/>
  <c r="H922" i="22"/>
  <c r="H921" i="22"/>
  <c r="H920" i="22"/>
  <c r="H919" i="22"/>
  <c r="H918" i="22"/>
  <c r="H917" i="22"/>
  <c r="H916" i="22"/>
  <c r="H915" i="22"/>
  <c r="H914" i="22"/>
  <c r="H913" i="22"/>
  <c r="H912" i="22"/>
  <c r="H911" i="22"/>
  <c r="H910" i="22"/>
  <c r="M909" i="22"/>
  <c r="J909" i="22"/>
  <c r="H909" i="22"/>
  <c r="H908" i="22"/>
  <c r="H907" i="22"/>
  <c r="H906" i="22"/>
  <c r="H905" i="22"/>
  <c r="H904" i="22"/>
  <c r="H903" i="22"/>
  <c r="H902" i="22"/>
  <c r="H901" i="22"/>
  <c r="H900" i="22"/>
  <c r="H899" i="22"/>
  <c r="H898" i="22"/>
  <c r="H897" i="22"/>
  <c r="H896" i="22"/>
  <c r="H895" i="22"/>
  <c r="H894" i="22"/>
  <c r="H893" i="22"/>
  <c r="H892" i="22"/>
  <c r="H891" i="22"/>
  <c r="H890" i="22"/>
  <c r="H889" i="22"/>
  <c r="H888" i="22"/>
  <c r="H887" i="22"/>
  <c r="H886" i="22"/>
  <c r="H885" i="22"/>
  <c r="H884" i="22"/>
  <c r="H883" i="22"/>
  <c r="H882" i="22"/>
  <c r="H881" i="22"/>
  <c r="H880" i="22"/>
  <c r="H879" i="22"/>
  <c r="H878" i="22"/>
  <c r="H877" i="22"/>
  <c r="H876" i="22"/>
  <c r="H875" i="22"/>
  <c r="H874" i="22"/>
  <c r="M873" i="22"/>
  <c r="J873" i="22"/>
  <c r="H873" i="22"/>
  <c r="H872" i="22"/>
  <c r="H871" i="22"/>
  <c r="H870" i="22"/>
  <c r="H869" i="22"/>
  <c r="H868" i="22"/>
  <c r="H867" i="22"/>
  <c r="H866" i="22"/>
  <c r="H865" i="22"/>
  <c r="H864" i="22"/>
  <c r="H863" i="22"/>
  <c r="H862" i="22"/>
  <c r="H861" i="22"/>
  <c r="H860" i="22"/>
  <c r="H859" i="22"/>
  <c r="H858" i="22"/>
  <c r="H857" i="22"/>
  <c r="H856" i="22"/>
  <c r="H855" i="22"/>
  <c r="H854" i="22"/>
  <c r="H853" i="22"/>
  <c r="H852" i="22"/>
  <c r="H851" i="22"/>
  <c r="H850" i="22"/>
  <c r="H849" i="22"/>
  <c r="H848" i="22"/>
  <c r="H847" i="22"/>
  <c r="H846" i="22"/>
  <c r="H845" i="22"/>
  <c r="H844" i="22"/>
  <c r="H843" i="22"/>
  <c r="H842" i="22"/>
  <c r="H841" i="22"/>
  <c r="H840" i="22"/>
  <c r="H839" i="22"/>
  <c r="H838" i="22"/>
  <c r="M837" i="22"/>
  <c r="J837" i="22"/>
  <c r="H837" i="22"/>
  <c r="H836" i="22"/>
  <c r="H835" i="22"/>
  <c r="H834" i="22"/>
  <c r="H833" i="22"/>
  <c r="H832" i="22"/>
  <c r="H831" i="22"/>
  <c r="H830" i="22"/>
  <c r="H829" i="22"/>
  <c r="H828" i="22"/>
  <c r="H827" i="22"/>
  <c r="H826" i="22"/>
  <c r="H825" i="22"/>
  <c r="H824" i="22"/>
  <c r="H823" i="22"/>
  <c r="H822" i="22"/>
  <c r="H821" i="22"/>
  <c r="H820" i="22"/>
  <c r="H819" i="22"/>
  <c r="H818" i="22"/>
  <c r="H817" i="22"/>
  <c r="H816" i="22"/>
  <c r="H815" i="22"/>
  <c r="H814" i="22"/>
  <c r="H813" i="22"/>
  <c r="H812" i="22"/>
  <c r="H811" i="22"/>
  <c r="H810" i="22"/>
  <c r="H809" i="22"/>
  <c r="H808" i="22"/>
  <c r="H807" i="22"/>
  <c r="H806" i="22"/>
  <c r="H805" i="22"/>
  <c r="H804" i="22"/>
  <c r="H803" i="22"/>
  <c r="H802" i="22"/>
  <c r="H801" i="22"/>
  <c r="H800" i="22"/>
  <c r="H799" i="22"/>
  <c r="H798" i="22"/>
  <c r="H797" i="22"/>
  <c r="H796" i="22"/>
  <c r="H795" i="22"/>
  <c r="H794" i="22"/>
  <c r="H793" i="22"/>
  <c r="H792" i="22"/>
  <c r="H791" i="22"/>
  <c r="H790" i="22"/>
  <c r="H789" i="22"/>
  <c r="H788" i="22"/>
  <c r="H787" i="22"/>
  <c r="H786" i="22"/>
  <c r="H785" i="22"/>
  <c r="H784" i="22"/>
  <c r="H783" i="22"/>
  <c r="H782" i="22"/>
  <c r="H781" i="22"/>
  <c r="H780" i="22"/>
  <c r="H779" i="22"/>
  <c r="H778" i="22"/>
  <c r="H777" i="22"/>
  <c r="H776" i="22"/>
  <c r="H775" i="22"/>
  <c r="H774" i="22"/>
  <c r="H773" i="22"/>
  <c r="H772" i="22"/>
  <c r="H771" i="22"/>
  <c r="H770" i="22"/>
  <c r="H769" i="22"/>
  <c r="H768" i="22"/>
  <c r="H767" i="22"/>
  <c r="H766" i="22"/>
  <c r="H765" i="22"/>
  <c r="H764" i="22"/>
  <c r="H763" i="22"/>
  <c r="H762" i="22"/>
  <c r="H761" i="22"/>
  <c r="H760" i="22"/>
  <c r="H759" i="22"/>
  <c r="H758" i="22"/>
  <c r="H757" i="22"/>
  <c r="M756" i="22"/>
  <c r="J756" i="22"/>
  <c r="H756" i="22"/>
  <c r="H755" i="22"/>
  <c r="H754" i="22"/>
  <c r="H753" i="22"/>
  <c r="H752" i="22"/>
  <c r="H751" i="22"/>
  <c r="H750" i="22"/>
  <c r="H749" i="22"/>
  <c r="H748" i="22"/>
  <c r="H747" i="22"/>
  <c r="H746" i="22"/>
  <c r="H745" i="22"/>
  <c r="H744" i="22"/>
  <c r="H743" i="22"/>
  <c r="H742" i="22"/>
  <c r="H741" i="22"/>
  <c r="H740" i="22"/>
  <c r="H739" i="22"/>
  <c r="H738" i="22"/>
  <c r="H737" i="22"/>
  <c r="H736" i="22"/>
  <c r="H735" i="22"/>
  <c r="H734" i="22"/>
  <c r="H733" i="22"/>
  <c r="H732" i="22"/>
  <c r="H731" i="22"/>
  <c r="H730" i="22"/>
  <c r="H729" i="22"/>
  <c r="H728" i="22"/>
  <c r="H727" i="22"/>
  <c r="H726" i="22"/>
  <c r="H725" i="22"/>
  <c r="H724" i="22"/>
  <c r="H723" i="22"/>
  <c r="H722" i="22"/>
  <c r="H721" i="22"/>
  <c r="H720" i="22"/>
  <c r="H719" i="22"/>
  <c r="H718" i="22"/>
  <c r="H717" i="22"/>
  <c r="H716" i="22"/>
  <c r="H715" i="22"/>
  <c r="H714" i="22"/>
  <c r="H713" i="22"/>
  <c r="H712" i="22"/>
  <c r="H711" i="22"/>
  <c r="M710" i="22"/>
  <c r="J710" i="22"/>
  <c r="H710" i="22"/>
  <c r="H709" i="22"/>
  <c r="H708" i="22"/>
  <c r="H707" i="22"/>
  <c r="H706" i="22"/>
  <c r="H705" i="22"/>
  <c r="H704" i="22"/>
  <c r="H703" i="22"/>
  <c r="H702" i="22"/>
  <c r="H701" i="22"/>
  <c r="H700" i="22"/>
  <c r="H699" i="22"/>
  <c r="H698" i="22"/>
  <c r="H697" i="22"/>
  <c r="H696" i="22"/>
  <c r="H695" i="22"/>
  <c r="H694" i="22"/>
  <c r="H693" i="22"/>
  <c r="H692" i="22"/>
  <c r="H691" i="22"/>
  <c r="H690" i="22"/>
  <c r="H689" i="22"/>
  <c r="H688" i="22"/>
  <c r="H687" i="22"/>
  <c r="H686" i="22"/>
  <c r="H685" i="22"/>
  <c r="H684" i="22"/>
  <c r="H683" i="22"/>
  <c r="H682" i="22"/>
  <c r="H681" i="22"/>
  <c r="H680" i="22"/>
  <c r="M679" i="22"/>
  <c r="J679" i="22"/>
  <c r="H679" i="22"/>
  <c r="H678" i="22"/>
  <c r="H677" i="22"/>
  <c r="H676" i="22"/>
  <c r="H675" i="22"/>
  <c r="H674" i="22"/>
  <c r="H673" i="22"/>
  <c r="H672" i="22"/>
  <c r="H671" i="22"/>
  <c r="H670" i="22"/>
  <c r="H669" i="22"/>
  <c r="H668" i="22"/>
  <c r="H667" i="22"/>
  <c r="H666" i="22"/>
  <c r="H665" i="22"/>
  <c r="H664" i="22"/>
  <c r="H663" i="22"/>
  <c r="H662" i="22"/>
  <c r="H661" i="22"/>
  <c r="H660" i="22"/>
  <c r="H659" i="22"/>
  <c r="H658" i="22"/>
  <c r="H657" i="22"/>
  <c r="H656" i="22"/>
  <c r="H655" i="22"/>
  <c r="H654" i="22"/>
  <c r="H653" i="22"/>
  <c r="H652" i="22"/>
  <c r="H651" i="22"/>
  <c r="H650" i="22"/>
  <c r="H649" i="22"/>
  <c r="H648" i="22"/>
  <c r="H647" i="22"/>
  <c r="H646" i="22"/>
  <c r="H645" i="22"/>
  <c r="H644" i="22"/>
  <c r="H643" i="22"/>
  <c r="H642" i="22"/>
  <c r="H641" i="22"/>
  <c r="H640" i="22"/>
  <c r="H639" i="22"/>
  <c r="H638" i="22"/>
  <c r="H637" i="22"/>
  <c r="M636" i="22"/>
  <c r="J636" i="22"/>
  <c r="H636" i="22"/>
  <c r="H635" i="22"/>
  <c r="H634" i="22"/>
  <c r="H633" i="22"/>
  <c r="H632" i="22"/>
  <c r="H631" i="22"/>
  <c r="H630" i="22"/>
  <c r="H629" i="22"/>
  <c r="H628" i="22"/>
  <c r="H627" i="22"/>
  <c r="H626" i="22"/>
  <c r="H625" i="22"/>
  <c r="H624" i="22"/>
  <c r="H623" i="22"/>
  <c r="H622" i="22"/>
  <c r="H621" i="22"/>
  <c r="H620" i="22"/>
  <c r="H619" i="22"/>
  <c r="H618" i="22"/>
  <c r="H617" i="22"/>
  <c r="H616" i="22"/>
  <c r="H615" i="22"/>
  <c r="H614" i="22"/>
  <c r="H613" i="22"/>
  <c r="H612" i="22"/>
  <c r="H611" i="22"/>
  <c r="H610" i="22"/>
  <c r="H609" i="22"/>
  <c r="H608" i="22"/>
  <c r="H607" i="22"/>
  <c r="H606" i="22"/>
  <c r="H605" i="22"/>
  <c r="H604" i="22"/>
  <c r="H603" i="22"/>
  <c r="H602" i="22"/>
  <c r="H601" i="22"/>
  <c r="H600" i="22"/>
  <c r="H599" i="22"/>
  <c r="H598" i="22"/>
  <c r="H597" i="22"/>
  <c r="H596" i="22"/>
  <c r="H595" i="22"/>
  <c r="H594" i="22"/>
  <c r="H593" i="22"/>
  <c r="H592" i="22"/>
  <c r="H591" i="22"/>
  <c r="H590" i="22"/>
  <c r="M589" i="22"/>
  <c r="J589" i="22"/>
  <c r="H589" i="22"/>
  <c r="H588" i="22"/>
  <c r="H587" i="22"/>
  <c r="H586" i="22"/>
  <c r="H585" i="22"/>
  <c r="H584" i="22"/>
  <c r="H583" i="22"/>
  <c r="H582" i="22"/>
  <c r="H581" i="22"/>
  <c r="H580" i="22"/>
  <c r="H579" i="22"/>
  <c r="H578" i="22"/>
  <c r="H577" i="22"/>
  <c r="H576" i="22"/>
  <c r="H575" i="22"/>
  <c r="H574" i="22"/>
  <c r="H573" i="22"/>
  <c r="H572" i="22"/>
  <c r="H571" i="22"/>
  <c r="H570" i="22"/>
  <c r="H569" i="22"/>
  <c r="H568" i="22"/>
  <c r="H567" i="22"/>
  <c r="H566" i="22"/>
  <c r="H565" i="22"/>
  <c r="H564" i="22"/>
  <c r="M563" i="22"/>
  <c r="J563" i="22"/>
  <c r="H563" i="22"/>
  <c r="H562" i="22"/>
  <c r="H561" i="22"/>
  <c r="H560" i="22"/>
  <c r="H559" i="22"/>
  <c r="H558" i="22"/>
  <c r="H557" i="22"/>
  <c r="H556" i="22"/>
  <c r="H555" i="22"/>
  <c r="H554" i="22"/>
  <c r="H553" i="22"/>
  <c r="H552" i="22"/>
  <c r="H551" i="22"/>
  <c r="H550" i="22"/>
  <c r="H549" i="22"/>
  <c r="H548" i="22"/>
  <c r="H547" i="22"/>
  <c r="H546" i="22"/>
  <c r="H545" i="22"/>
  <c r="H544" i="22"/>
  <c r="H543" i="22"/>
  <c r="H542" i="22"/>
  <c r="H541" i="22"/>
  <c r="H540" i="22"/>
  <c r="H539" i="22"/>
  <c r="H538" i="22"/>
  <c r="H537" i="22"/>
  <c r="H536" i="22"/>
  <c r="H535" i="22"/>
  <c r="H534" i="22"/>
  <c r="H533" i="22"/>
  <c r="H532" i="22"/>
  <c r="H531" i="22"/>
  <c r="H530" i="22"/>
  <c r="H529" i="22"/>
  <c r="H528" i="22"/>
  <c r="H527" i="22"/>
  <c r="H526" i="22"/>
  <c r="H525" i="22"/>
  <c r="H524" i="22"/>
  <c r="H523" i="22"/>
  <c r="H522" i="22"/>
  <c r="H521" i="22"/>
  <c r="H520" i="22"/>
  <c r="H519" i="22"/>
  <c r="H518" i="22"/>
  <c r="H517" i="22"/>
  <c r="H516" i="22"/>
  <c r="H515" i="22"/>
  <c r="H514" i="22"/>
  <c r="H513" i="22"/>
  <c r="H512" i="22"/>
  <c r="H511" i="22"/>
  <c r="H510" i="22"/>
  <c r="H509" i="22"/>
  <c r="H508" i="22"/>
  <c r="H507" i="22"/>
  <c r="H506" i="22"/>
  <c r="H505" i="22"/>
  <c r="H504" i="22"/>
  <c r="H503" i="22"/>
  <c r="H502" i="22"/>
  <c r="H501" i="22"/>
  <c r="H500" i="22"/>
  <c r="H499" i="22"/>
  <c r="H498" i="22"/>
  <c r="H497" i="22"/>
  <c r="H496" i="22"/>
  <c r="H495" i="22"/>
  <c r="H494" i="22"/>
  <c r="H493" i="22"/>
  <c r="H492" i="22"/>
  <c r="H491" i="22"/>
  <c r="H490" i="22"/>
  <c r="H489" i="22"/>
  <c r="H488" i="22"/>
  <c r="H487" i="22"/>
  <c r="H486" i="22"/>
  <c r="H485" i="22"/>
  <c r="H484" i="22"/>
  <c r="H483" i="22"/>
  <c r="H482" i="22"/>
  <c r="H481" i="22"/>
  <c r="H480" i="22"/>
  <c r="H479" i="22"/>
  <c r="H478" i="22"/>
  <c r="H477" i="22"/>
  <c r="H476" i="22"/>
  <c r="M475" i="22"/>
  <c r="J475" i="22"/>
  <c r="H475" i="22"/>
  <c r="H474" i="22"/>
  <c r="H473" i="22"/>
  <c r="H472" i="22"/>
  <c r="H471" i="22"/>
  <c r="H470" i="22"/>
  <c r="H469" i="22"/>
  <c r="H468" i="22"/>
  <c r="H467" i="22"/>
  <c r="H466" i="22"/>
  <c r="H465" i="22"/>
  <c r="H464" i="22"/>
  <c r="H463" i="22"/>
  <c r="H462" i="22"/>
  <c r="H461" i="22"/>
  <c r="H460" i="22"/>
  <c r="H459" i="22"/>
  <c r="H458" i="22"/>
  <c r="H457" i="22"/>
  <c r="H456" i="22"/>
  <c r="H455" i="22"/>
  <c r="H454" i="22"/>
  <c r="H453" i="22"/>
  <c r="H452" i="22"/>
  <c r="H451" i="22"/>
  <c r="H450" i="22"/>
  <c r="H449" i="22"/>
  <c r="H448" i="22"/>
  <c r="H447" i="22"/>
  <c r="H446" i="22"/>
  <c r="H445" i="22"/>
  <c r="H444" i="22"/>
  <c r="H443" i="22"/>
  <c r="H442" i="22"/>
  <c r="H441" i="22"/>
  <c r="H440" i="22"/>
  <c r="H439" i="22"/>
  <c r="H438" i="22"/>
  <c r="H437" i="22"/>
  <c r="H436" i="22"/>
  <c r="H435" i="22"/>
  <c r="H434" i="22"/>
  <c r="M433" i="22"/>
  <c r="J433" i="22"/>
  <c r="H433" i="22"/>
  <c r="H432" i="22"/>
  <c r="H431" i="22"/>
  <c r="H430" i="22"/>
  <c r="H429" i="22"/>
  <c r="H428" i="22"/>
  <c r="H427" i="22"/>
  <c r="H426" i="22"/>
  <c r="H425" i="22"/>
  <c r="H424" i="22"/>
  <c r="H423" i="22"/>
  <c r="H422" i="22"/>
  <c r="H421" i="22"/>
  <c r="H420" i="22"/>
  <c r="H419" i="22"/>
  <c r="H418" i="22"/>
  <c r="H417" i="22"/>
  <c r="H416" i="22"/>
  <c r="H415" i="22"/>
  <c r="H414" i="22"/>
  <c r="H413" i="22"/>
  <c r="H412" i="22"/>
  <c r="H411" i="22"/>
  <c r="H410" i="22"/>
  <c r="H409" i="22"/>
  <c r="H408" i="22"/>
  <c r="H407" i="22"/>
  <c r="H406" i="22"/>
  <c r="H405" i="22"/>
  <c r="H404" i="22"/>
  <c r="H403" i="22"/>
  <c r="H402" i="22"/>
  <c r="H401" i="22"/>
  <c r="H400" i="22"/>
  <c r="H399" i="22"/>
  <c r="H398" i="22"/>
  <c r="H397" i="22"/>
  <c r="M396" i="22"/>
  <c r="J396" i="22"/>
  <c r="H396" i="22"/>
  <c r="H395" i="22"/>
  <c r="H394" i="22"/>
  <c r="H393" i="22"/>
  <c r="H392" i="22"/>
  <c r="H391" i="22"/>
  <c r="H390" i="22"/>
  <c r="H389" i="22"/>
  <c r="H388" i="22"/>
  <c r="H387" i="22"/>
  <c r="H386" i="22"/>
  <c r="H385" i="22"/>
  <c r="H384" i="22"/>
  <c r="H383" i="22"/>
  <c r="H382" i="22"/>
  <c r="H381" i="22"/>
  <c r="H380" i="22"/>
  <c r="H379" i="22"/>
  <c r="H378" i="22"/>
  <c r="H377" i="22"/>
  <c r="H376" i="22"/>
  <c r="H375" i="22"/>
  <c r="H374" i="22"/>
  <c r="H373" i="22"/>
  <c r="H372" i="22"/>
  <c r="H371" i="22"/>
  <c r="H370" i="22"/>
  <c r="H369" i="22"/>
  <c r="H368" i="22"/>
  <c r="H367" i="22"/>
  <c r="H366" i="22"/>
  <c r="H365" i="22"/>
  <c r="H364" i="22"/>
  <c r="H363" i="22"/>
  <c r="H362" i="22"/>
  <c r="H361" i="22"/>
  <c r="H360" i="22"/>
  <c r="H359" i="22"/>
  <c r="H358" i="22"/>
  <c r="H357" i="22"/>
  <c r="H356" i="22"/>
  <c r="H355" i="22"/>
  <c r="H354" i="22"/>
  <c r="H353" i="22"/>
  <c r="H352" i="22"/>
  <c r="H351" i="22"/>
  <c r="M350" i="22"/>
  <c r="J350" i="22"/>
  <c r="H350" i="22"/>
  <c r="H349" i="22"/>
  <c r="H348" i="22"/>
  <c r="H347" i="22"/>
  <c r="H346" i="22"/>
  <c r="H345" i="22"/>
  <c r="H344" i="22"/>
  <c r="H343" i="22"/>
  <c r="H342" i="22"/>
  <c r="H341" i="22"/>
  <c r="H340" i="22"/>
  <c r="H339" i="22"/>
  <c r="H338" i="22"/>
  <c r="H337" i="22"/>
  <c r="H336" i="22"/>
  <c r="H335" i="22"/>
  <c r="H334" i="22"/>
  <c r="H333" i="22"/>
  <c r="H332" i="22"/>
  <c r="H331" i="22"/>
  <c r="H330" i="22"/>
  <c r="H329" i="22"/>
  <c r="H328" i="22"/>
  <c r="H327" i="22"/>
  <c r="H326" i="22"/>
  <c r="H325" i="22"/>
  <c r="H324" i="22"/>
  <c r="H323" i="22"/>
  <c r="H322" i="22"/>
  <c r="H321" i="22"/>
  <c r="H320" i="22"/>
  <c r="H319" i="22"/>
  <c r="H318" i="22"/>
  <c r="H317" i="22"/>
  <c r="H316" i="22"/>
  <c r="H315" i="22"/>
  <c r="H314" i="22"/>
  <c r="H313" i="22"/>
  <c r="H312" i="22"/>
  <c r="H311" i="22"/>
  <c r="H310" i="22"/>
  <c r="H309" i="22"/>
  <c r="H308" i="22"/>
  <c r="H307" i="22"/>
  <c r="H306" i="22"/>
  <c r="P305" i="22"/>
  <c r="M305" i="22"/>
  <c r="J305" i="22"/>
  <c r="H305" i="22"/>
  <c r="H304" i="22"/>
  <c r="H303" i="22"/>
  <c r="H302" i="22"/>
  <c r="H301" i="22"/>
  <c r="H300" i="22"/>
  <c r="H299" i="22"/>
  <c r="H298" i="22"/>
  <c r="H297" i="22"/>
  <c r="H296" i="22"/>
  <c r="H295" i="22"/>
  <c r="H294" i="22"/>
  <c r="H293" i="22"/>
  <c r="H292" i="22"/>
  <c r="H291" i="22"/>
  <c r="H290" i="22"/>
  <c r="H289" i="22"/>
  <c r="H288" i="22"/>
  <c r="H287" i="22"/>
  <c r="H286" i="22"/>
  <c r="H285" i="22"/>
  <c r="H284" i="22"/>
  <c r="H283" i="22"/>
  <c r="H282" i="22"/>
  <c r="H281" i="22"/>
  <c r="H280" i="22"/>
  <c r="H279" i="22"/>
  <c r="H278" i="22"/>
  <c r="H277" i="22"/>
  <c r="H276" i="22"/>
  <c r="H275" i="22"/>
  <c r="H274" i="22"/>
  <c r="H273" i="22"/>
  <c r="H272" i="22"/>
  <c r="H271" i="22"/>
  <c r="H270" i="22"/>
  <c r="H269" i="22"/>
  <c r="H268" i="22"/>
  <c r="H267" i="22"/>
  <c r="H266" i="22"/>
  <c r="H265" i="22"/>
  <c r="H264" i="22"/>
  <c r="H263" i="22"/>
  <c r="H262" i="22"/>
  <c r="H261" i="22"/>
  <c r="H260" i="22"/>
  <c r="H259" i="22"/>
  <c r="H258" i="22"/>
  <c r="H257" i="22"/>
  <c r="H256" i="22"/>
  <c r="H255" i="22"/>
  <c r="H254" i="22"/>
  <c r="H253" i="22"/>
  <c r="H252" i="22"/>
  <c r="H251" i="22"/>
  <c r="H250" i="22"/>
  <c r="H249" i="22"/>
  <c r="H248" i="22"/>
  <c r="H247" i="22"/>
  <c r="H246" i="22"/>
  <c r="H245" i="22"/>
  <c r="H244" i="22"/>
  <c r="H243" i="22"/>
  <c r="H242" i="22"/>
  <c r="H241" i="22"/>
  <c r="H240" i="22"/>
  <c r="H239" i="22"/>
  <c r="H238" i="22"/>
  <c r="H237" i="22"/>
  <c r="H236" i="22"/>
  <c r="H235" i="22"/>
  <c r="H234" i="22"/>
  <c r="H233" i="22"/>
  <c r="H232" i="22"/>
  <c r="H231" i="22"/>
  <c r="H230" i="22"/>
  <c r="H229" i="22"/>
  <c r="H228" i="22"/>
  <c r="H227" i="22"/>
  <c r="H226" i="22"/>
  <c r="H225" i="22"/>
  <c r="H224" i="22"/>
  <c r="H223" i="22"/>
  <c r="H222" i="22"/>
  <c r="H221" i="22"/>
  <c r="H220" i="22"/>
  <c r="H219" i="22"/>
  <c r="H218" i="22"/>
  <c r="H217" i="22"/>
  <c r="H216" i="22"/>
  <c r="H215" i="22"/>
  <c r="H214" i="22"/>
  <c r="H213" i="22"/>
  <c r="H212" i="22"/>
  <c r="H211" i="22"/>
  <c r="H210" i="22"/>
  <c r="H209" i="22"/>
  <c r="H208" i="22"/>
  <c r="H207" i="22"/>
  <c r="H206" i="22"/>
  <c r="H205" i="22"/>
  <c r="P116" i="22"/>
  <c r="N73" i="23" l="1"/>
  <c r="K73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 l="1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I743" i="20" l="1"/>
  <c r="I741" i="20"/>
  <c r="D741" i="20"/>
  <c r="H669" i="20"/>
  <c r="F557" i="19" l="1"/>
  <c r="I740" i="20" l="1"/>
  <c r="I739" i="20"/>
  <c r="G741" i="20"/>
  <c r="R732" i="20"/>
  <c r="O732" i="20"/>
  <c r="D733" i="20"/>
  <c r="G733" i="20" l="1"/>
  <c r="F733" i="20"/>
  <c r="H732" i="20" l="1"/>
  <c r="H731" i="20"/>
  <c r="H730" i="20"/>
  <c r="H729" i="20"/>
  <c r="H728" i="20"/>
  <c r="H727" i="20"/>
  <c r="R726" i="20"/>
  <c r="O726" i="20"/>
  <c r="H682" i="20"/>
  <c r="H681" i="20"/>
  <c r="H680" i="20"/>
  <c r="H679" i="20"/>
  <c r="H678" i="20"/>
  <c r="H677" i="20"/>
  <c r="H676" i="20"/>
  <c r="H675" i="20"/>
  <c r="H674" i="20"/>
  <c r="H673" i="20"/>
  <c r="H672" i="20"/>
  <c r="H671" i="20"/>
  <c r="H670" i="20"/>
  <c r="H726" i="20"/>
  <c r="H725" i="20"/>
  <c r="H724" i="20"/>
  <c r="H723" i="20"/>
  <c r="H722" i="20"/>
  <c r="H721" i="20"/>
  <c r="H720" i="20"/>
  <c r="H719" i="20"/>
  <c r="H718" i="20"/>
  <c r="H717" i="20"/>
  <c r="H716" i="20"/>
  <c r="H715" i="20"/>
  <c r="H714" i="20"/>
  <c r="H713" i="20"/>
  <c r="H712" i="20"/>
  <c r="H711" i="20"/>
  <c r="H710" i="20"/>
  <c r="H709" i="20"/>
  <c r="H708" i="20"/>
  <c r="H707" i="20"/>
  <c r="H706" i="20"/>
  <c r="H705" i="20"/>
  <c r="H704" i="20"/>
  <c r="H703" i="20"/>
  <c r="H702" i="20"/>
  <c r="H701" i="20"/>
  <c r="H700" i="20"/>
  <c r="H699" i="20"/>
  <c r="H698" i="20"/>
  <c r="H697" i="20"/>
  <c r="H696" i="20"/>
  <c r="H695" i="20"/>
  <c r="H694" i="20"/>
  <c r="H693" i="20"/>
  <c r="H692" i="20"/>
  <c r="H691" i="20"/>
  <c r="H690" i="20"/>
  <c r="H689" i="20"/>
  <c r="H688" i="20"/>
  <c r="H687" i="20"/>
  <c r="H686" i="20"/>
  <c r="H685" i="20"/>
  <c r="H684" i="20"/>
  <c r="H683" i="20"/>
  <c r="O668" i="20" l="1"/>
  <c r="R668" i="20"/>
  <c r="H668" i="20"/>
  <c r="H667" i="20"/>
  <c r="H666" i="20"/>
  <c r="H665" i="20"/>
  <c r="H664" i="20"/>
  <c r="H663" i="20"/>
  <c r="H662" i="20"/>
  <c r="H661" i="20"/>
  <c r="H660" i="20"/>
  <c r="H659" i="20"/>
  <c r="H658" i="20"/>
  <c r="H657" i="20"/>
  <c r="H656" i="20"/>
  <c r="H655" i="20"/>
  <c r="H654" i="20"/>
  <c r="H653" i="20"/>
  <c r="H652" i="20"/>
  <c r="H651" i="20"/>
  <c r="H650" i="20"/>
  <c r="H649" i="20"/>
  <c r="H648" i="20"/>
  <c r="H647" i="20"/>
  <c r="H646" i="20"/>
  <c r="H645" i="20"/>
  <c r="H644" i="20"/>
  <c r="H643" i="20"/>
  <c r="H642" i="20"/>
  <c r="H641" i="20"/>
  <c r="H640" i="20"/>
  <c r="H639" i="20"/>
  <c r="H638" i="20"/>
  <c r="H637" i="20"/>
  <c r="R636" i="20" l="1"/>
  <c r="O636" i="20"/>
  <c r="H636" i="20"/>
  <c r="H635" i="20"/>
  <c r="H634" i="20"/>
  <c r="H633" i="20"/>
  <c r="H632" i="20"/>
  <c r="H631" i="20"/>
  <c r="H630" i="20"/>
  <c r="H629" i="20"/>
  <c r="H628" i="20"/>
  <c r="H627" i="20"/>
  <c r="H626" i="20"/>
  <c r="H625" i="20"/>
  <c r="H624" i="20"/>
  <c r="H623" i="20"/>
  <c r="H622" i="20"/>
  <c r="H621" i="20"/>
  <c r="H620" i="20"/>
  <c r="H619" i="20"/>
  <c r="H618" i="20"/>
  <c r="H617" i="20"/>
  <c r="H616" i="20"/>
  <c r="H615" i="20"/>
  <c r="H614" i="20"/>
  <c r="H613" i="20"/>
  <c r="H612" i="20"/>
  <c r="H611" i="20"/>
  <c r="H610" i="20"/>
  <c r="H609" i="20"/>
  <c r="H608" i="20"/>
  <c r="R607" i="20"/>
  <c r="O607" i="20"/>
  <c r="H590" i="20"/>
  <c r="H592" i="20"/>
  <c r="H588" i="20"/>
  <c r="H607" i="20"/>
  <c r="H606" i="20"/>
  <c r="H605" i="20"/>
  <c r="H604" i="20"/>
  <c r="H603" i="20"/>
  <c r="H602" i="20"/>
  <c r="H601" i="20"/>
  <c r="H600" i="20"/>
  <c r="H599" i="20"/>
  <c r="H598" i="20"/>
  <c r="H597" i="20"/>
  <c r="H596" i="20"/>
  <c r="H595" i="20"/>
  <c r="H594" i="20"/>
  <c r="H593" i="20"/>
  <c r="H591" i="20"/>
  <c r="H589" i="20"/>
  <c r="H587" i="20"/>
  <c r="H586" i="20"/>
  <c r="H585" i="20"/>
  <c r="H584" i="20"/>
  <c r="H583" i="20"/>
  <c r="H582" i="20"/>
  <c r="H581" i="20"/>
  <c r="H580" i="20"/>
  <c r="H579" i="20"/>
  <c r="H578" i="20"/>
  <c r="H577" i="20"/>
  <c r="H576" i="20"/>
  <c r="H575" i="20"/>
  <c r="H574" i="20"/>
  <c r="H573" i="20"/>
  <c r="H572" i="20"/>
  <c r="H571" i="20"/>
  <c r="H570" i="20"/>
  <c r="H569" i="20"/>
  <c r="H568" i="20"/>
  <c r="H567" i="20"/>
  <c r="H566" i="20"/>
  <c r="R565" i="20" l="1"/>
  <c r="O565" i="20"/>
  <c r="I733" i="20"/>
  <c r="H562" i="20"/>
  <c r="H565" i="20"/>
  <c r="H564" i="20"/>
  <c r="H563" i="20"/>
  <c r="H561" i="20"/>
  <c r="H560" i="20"/>
  <c r="H559" i="20"/>
  <c r="H558" i="20"/>
  <c r="H557" i="20"/>
  <c r="H556" i="20"/>
  <c r="H555" i="20"/>
  <c r="H554" i="20"/>
  <c r="H553" i="20"/>
  <c r="H552" i="20"/>
  <c r="H551" i="20"/>
  <c r="H550" i="20"/>
  <c r="H549" i="20"/>
  <c r="H548" i="20"/>
  <c r="H547" i="20"/>
  <c r="H546" i="20"/>
  <c r="H545" i="20"/>
  <c r="H734" i="20" l="1"/>
  <c r="R544" i="20" l="1"/>
  <c r="O544" i="20"/>
  <c r="H544" i="20"/>
  <c r="H543" i="20"/>
  <c r="H542" i="20"/>
  <c r="H541" i="20"/>
  <c r="H540" i="20"/>
  <c r="H539" i="20"/>
  <c r="H538" i="20"/>
  <c r="H537" i="20"/>
  <c r="H536" i="20"/>
  <c r="H535" i="20"/>
  <c r="H534" i="20"/>
  <c r="H533" i="20"/>
  <c r="H532" i="20"/>
  <c r="H531" i="20"/>
  <c r="H530" i="20"/>
  <c r="H529" i="20"/>
  <c r="H528" i="20"/>
  <c r="H527" i="20"/>
  <c r="H526" i="20"/>
  <c r="H525" i="20"/>
  <c r="H524" i="20"/>
  <c r="H523" i="20"/>
  <c r="H522" i="20"/>
  <c r="O521" i="20"/>
  <c r="R521" i="20"/>
  <c r="H521" i="20"/>
  <c r="H520" i="20"/>
  <c r="H519" i="20"/>
  <c r="H518" i="20"/>
  <c r="H517" i="20"/>
  <c r="H516" i="20"/>
  <c r="H515" i="20"/>
  <c r="H514" i="20"/>
  <c r="H513" i="20"/>
  <c r="H512" i="20"/>
  <c r="H511" i="20"/>
  <c r="H510" i="20"/>
  <c r="H509" i="20"/>
  <c r="H508" i="20"/>
  <c r="H507" i="20"/>
  <c r="H506" i="20"/>
  <c r="H505" i="20"/>
  <c r="H504" i="20"/>
  <c r="H503" i="20"/>
  <c r="H502" i="20"/>
  <c r="H501" i="20"/>
  <c r="H500" i="20"/>
  <c r="H499" i="20"/>
  <c r="H498" i="20"/>
  <c r="H497" i="20"/>
  <c r="H496" i="20"/>
  <c r="O495" i="20"/>
  <c r="H276" i="20"/>
  <c r="R495" i="20" l="1"/>
  <c r="H495" i="20"/>
  <c r="H494" i="20"/>
  <c r="H493" i="20"/>
  <c r="H492" i="20"/>
  <c r="H491" i="20"/>
  <c r="H490" i="20"/>
  <c r="H489" i="20"/>
  <c r="H488" i="20"/>
  <c r="H487" i="20"/>
  <c r="H486" i="20"/>
  <c r="H485" i="20"/>
  <c r="H484" i="20"/>
  <c r="H483" i="20"/>
  <c r="H482" i="20"/>
  <c r="H481" i="20"/>
  <c r="H480" i="20"/>
  <c r="H479" i="20"/>
  <c r="H478" i="20"/>
  <c r="H477" i="20"/>
  <c r="H476" i="20"/>
  <c r="H475" i="20"/>
  <c r="H474" i="20"/>
  <c r="H473" i="20"/>
  <c r="H472" i="20"/>
  <c r="H471" i="20"/>
  <c r="H470" i="20"/>
  <c r="O469" i="20" l="1"/>
  <c r="R469" i="20"/>
  <c r="H454" i="20"/>
  <c r="H469" i="20"/>
  <c r="H468" i="20"/>
  <c r="H467" i="20"/>
  <c r="H466" i="20"/>
  <c r="H465" i="20"/>
  <c r="H464" i="20"/>
  <c r="H463" i="20"/>
  <c r="H462" i="20"/>
  <c r="H461" i="20"/>
  <c r="H460" i="20"/>
  <c r="H459" i="20"/>
  <c r="H458" i="20"/>
  <c r="H457" i="20"/>
  <c r="H456" i="20"/>
  <c r="H455" i="20"/>
  <c r="H453" i="20"/>
  <c r="H452" i="20"/>
  <c r="H451" i="20"/>
  <c r="H450" i="20"/>
  <c r="H449" i="20"/>
  <c r="H448" i="20"/>
  <c r="H447" i="20"/>
  <c r="H446" i="20"/>
  <c r="H445" i="20"/>
  <c r="H444" i="20"/>
  <c r="H443" i="20"/>
  <c r="H442" i="20"/>
  <c r="H441" i="20"/>
  <c r="H440" i="20"/>
  <c r="H439" i="20"/>
  <c r="O437" i="20"/>
  <c r="H438" i="20"/>
  <c r="R437" i="20" l="1"/>
  <c r="H437" i="20"/>
  <c r="H436" i="20"/>
  <c r="H435" i="20"/>
  <c r="H434" i="20"/>
  <c r="H433" i="20"/>
  <c r="H432" i="20"/>
  <c r="H431" i="20"/>
  <c r="H430" i="20"/>
  <c r="H429" i="20"/>
  <c r="H428" i="20"/>
  <c r="H427" i="20"/>
  <c r="H426" i="20"/>
  <c r="H425" i="20"/>
  <c r="H424" i="20"/>
  <c r="H423" i="20"/>
  <c r="H422" i="20"/>
  <c r="H421" i="20"/>
  <c r="H420" i="20"/>
  <c r="H419" i="20"/>
  <c r="H418" i="20"/>
  <c r="H417" i="20"/>
  <c r="H416" i="20"/>
  <c r="H415" i="20"/>
  <c r="H414" i="20"/>
  <c r="H413" i="20"/>
  <c r="H412" i="20"/>
  <c r="H411" i="20"/>
  <c r="H410" i="20"/>
  <c r="H409" i="20"/>
  <c r="H408" i="20"/>
  <c r="H407" i="20"/>
  <c r="H406" i="20"/>
  <c r="H405" i="20"/>
  <c r="H404" i="20"/>
  <c r="H403" i="20"/>
  <c r="H402" i="20"/>
  <c r="H401" i="20"/>
  <c r="O400" i="20"/>
  <c r="R400" i="20"/>
  <c r="H383" i="20"/>
  <c r="H400" i="20"/>
  <c r="H399" i="20"/>
  <c r="H398" i="20"/>
  <c r="H397" i="20"/>
  <c r="H396" i="20"/>
  <c r="H395" i="20"/>
  <c r="H394" i="20"/>
  <c r="H393" i="20"/>
  <c r="H392" i="20"/>
  <c r="H391" i="20"/>
  <c r="H390" i="20"/>
  <c r="H389" i="20"/>
  <c r="H388" i="20"/>
  <c r="H387" i="20"/>
  <c r="H386" i="20"/>
  <c r="H385" i="20"/>
  <c r="H384" i="20"/>
  <c r="H382" i="20"/>
  <c r="H381" i="20"/>
  <c r="H380" i="20"/>
  <c r="H379" i="20"/>
  <c r="H378" i="20"/>
  <c r="H377" i="20"/>
  <c r="H376" i="20"/>
  <c r="H375" i="20"/>
  <c r="H374" i="20"/>
  <c r="H373" i="20"/>
  <c r="O372" i="20"/>
  <c r="R372" i="20"/>
  <c r="H372" i="20"/>
  <c r="H371" i="20"/>
  <c r="H370" i="20"/>
  <c r="H369" i="20"/>
  <c r="H368" i="20"/>
  <c r="H367" i="20"/>
  <c r="H366" i="20"/>
  <c r="H365" i="20"/>
  <c r="H364" i="20"/>
  <c r="H363" i="20"/>
  <c r="H362" i="20"/>
  <c r="H361" i="20"/>
  <c r="H360" i="20"/>
  <c r="H359" i="20"/>
  <c r="H358" i="20"/>
  <c r="H357" i="20"/>
  <c r="H356" i="20"/>
  <c r="H355" i="20"/>
  <c r="H354" i="20"/>
  <c r="H353" i="20"/>
  <c r="H352" i="20"/>
  <c r="H351" i="20"/>
  <c r="H350" i="20"/>
  <c r="H349" i="20"/>
  <c r="H348" i="20"/>
  <c r="H347" i="20"/>
  <c r="H346" i="20"/>
  <c r="H345" i="20"/>
  <c r="H344" i="20"/>
  <c r="H343" i="20"/>
  <c r="H342" i="20"/>
  <c r="H341" i="20"/>
  <c r="H340" i="20"/>
  <c r="H339" i="20"/>
  <c r="H338" i="20"/>
  <c r="O337" i="20"/>
  <c r="R337" i="20"/>
  <c r="H337" i="20"/>
  <c r="H336" i="20"/>
  <c r="H335" i="20"/>
  <c r="H334" i="20"/>
  <c r="H333" i="20"/>
  <c r="H332" i="20"/>
  <c r="H331" i="20"/>
  <c r="H330" i="20"/>
  <c r="H329" i="20"/>
  <c r="H328" i="20"/>
  <c r="H327" i="20"/>
  <c r="H326" i="20"/>
  <c r="H325" i="20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H308" i="20"/>
  <c r="H307" i="20"/>
  <c r="H306" i="20"/>
  <c r="H305" i="20"/>
  <c r="H304" i="20"/>
  <c r="H303" i="20"/>
  <c r="H302" i="20"/>
  <c r="H301" i="20"/>
  <c r="H300" i="20"/>
  <c r="H299" i="20"/>
  <c r="H298" i="20"/>
  <c r="H297" i="20"/>
  <c r="H296" i="20"/>
  <c r="R295" i="20"/>
  <c r="O295" i="20"/>
  <c r="H295" i="20"/>
  <c r="H294" i="20"/>
  <c r="H293" i="20"/>
  <c r="H292" i="20"/>
  <c r="H291" i="20"/>
  <c r="H290" i="20"/>
  <c r="H289" i="20"/>
  <c r="H288" i="20"/>
  <c r="H287" i="20"/>
  <c r="H286" i="20"/>
  <c r="H285" i="20"/>
  <c r="H284" i="20"/>
  <c r="H283" i="20"/>
  <c r="H282" i="20"/>
  <c r="H281" i="20"/>
  <c r="H280" i="20"/>
  <c r="H279" i="20"/>
  <c r="H278" i="20"/>
  <c r="H277" i="20"/>
  <c r="H275" i="20"/>
  <c r="H274" i="20"/>
  <c r="H273" i="20"/>
  <c r="H272" i="20"/>
  <c r="H271" i="20"/>
  <c r="H270" i="20"/>
  <c r="H269" i="20"/>
  <c r="H268" i="20"/>
  <c r="H267" i="20"/>
  <c r="H266" i="20"/>
  <c r="H265" i="20"/>
  <c r="H264" i="20"/>
  <c r="H263" i="20"/>
  <c r="H262" i="20"/>
  <c r="H261" i="20"/>
  <c r="R260" i="20"/>
  <c r="O260" i="20"/>
  <c r="H260" i="20" l="1"/>
  <c r="H259" i="20"/>
  <c r="H258" i="20"/>
  <c r="H257" i="20"/>
  <c r="H256" i="20"/>
  <c r="H255" i="20"/>
  <c r="H254" i="20"/>
  <c r="H253" i="20"/>
  <c r="H252" i="20"/>
  <c r="H251" i="20"/>
  <c r="J567" i="19" l="1"/>
  <c r="J565" i="19"/>
  <c r="H565" i="19"/>
  <c r="E565" i="19"/>
  <c r="N557" i="19" l="1"/>
  <c r="R250" i="20"/>
  <c r="O250" i="20"/>
  <c r="H250" i="20"/>
  <c r="H249" i="20"/>
  <c r="H248" i="20"/>
  <c r="H247" i="20"/>
  <c r="H246" i="20"/>
  <c r="H245" i="20"/>
  <c r="H244" i="20"/>
  <c r="H243" i="20"/>
  <c r="H242" i="20"/>
  <c r="H241" i="20"/>
  <c r="H240" i="20"/>
  <c r="H239" i="20"/>
  <c r="H238" i="20"/>
  <c r="H237" i="20"/>
  <c r="H236" i="20"/>
  <c r="H235" i="20"/>
  <c r="H234" i="20"/>
  <c r="H233" i="20"/>
  <c r="H232" i="20"/>
  <c r="H231" i="20"/>
  <c r="H230" i="20"/>
  <c r="H229" i="20"/>
  <c r="H228" i="20"/>
  <c r="H227" i="20"/>
  <c r="H226" i="20"/>
  <c r="H225" i="20"/>
  <c r="H224" i="20"/>
  <c r="H223" i="20"/>
  <c r="H222" i="20"/>
  <c r="H221" i="20"/>
  <c r="H220" i="20"/>
  <c r="H219" i="20"/>
  <c r="H218" i="20"/>
  <c r="H217" i="20"/>
  <c r="H216" i="20"/>
  <c r="H215" i="20"/>
  <c r="H214" i="20"/>
  <c r="H213" i="20"/>
  <c r="H212" i="20"/>
  <c r="H211" i="20"/>
  <c r="J564" i="19"/>
  <c r="J563" i="19"/>
  <c r="R210" i="20" l="1"/>
  <c r="O210" i="20"/>
  <c r="H210" i="20"/>
  <c r="H209" i="20"/>
  <c r="H208" i="20"/>
  <c r="H207" i="20"/>
  <c r="H206" i="20"/>
  <c r="H205" i="20"/>
  <c r="H204" i="20"/>
  <c r="H203" i="20"/>
  <c r="H202" i="20"/>
  <c r="H201" i="20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R178" i="20"/>
  <c r="O178" i="20"/>
  <c r="H178" i="20" l="1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R145" i="20" l="1"/>
  <c r="O145" i="20"/>
  <c r="H371" i="19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O106" i="20"/>
  <c r="R106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O70" i="20" l="1"/>
  <c r="R70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R54" i="20"/>
  <c r="O54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Q557" i="19"/>
  <c r="Q526" i="19"/>
  <c r="N526" i="19"/>
  <c r="G557" i="19"/>
  <c r="D557" i="19"/>
  <c r="H530" i="19"/>
  <c r="H529" i="19"/>
  <c r="H528" i="19"/>
  <c r="H527" i="19"/>
  <c r="H556" i="19"/>
  <c r="H555" i="19"/>
  <c r="H554" i="19"/>
  <c r="H553" i="19"/>
  <c r="H552" i="19"/>
  <c r="H551" i="19"/>
  <c r="H550" i="19"/>
  <c r="H549" i="19"/>
  <c r="H548" i="19"/>
  <c r="H547" i="19"/>
  <c r="H546" i="19"/>
  <c r="H545" i="19"/>
  <c r="H544" i="19"/>
  <c r="H543" i="19"/>
  <c r="H542" i="19"/>
  <c r="H541" i="19"/>
  <c r="H540" i="19"/>
  <c r="H539" i="19"/>
  <c r="H538" i="19"/>
  <c r="H537" i="19"/>
  <c r="H536" i="19"/>
  <c r="H535" i="19"/>
  <c r="H534" i="19"/>
  <c r="H533" i="19"/>
  <c r="H532" i="19"/>
  <c r="H531" i="19"/>
  <c r="Q507" i="19"/>
  <c r="N507" i="19"/>
  <c r="H526" i="19"/>
  <c r="H525" i="19"/>
  <c r="H524" i="19"/>
  <c r="H523" i="19"/>
  <c r="H522" i="19"/>
  <c r="H521" i="19"/>
  <c r="H520" i="19"/>
  <c r="H519" i="19"/>
  <c r="H518" i="19"/>
  <c r="H517" i="19"/>
  <c r="H516" i="19"/>
  <c r="H515" i="19"/>
  <c r="H514" i="19"/>
  <c r="H513" i="19"/>
  <c r="H512" i="19"/>
  <c r="H511" i="19"/>
  <c r="H510" i="19"/>
  <c r="H509" i="19"/>
  <c r="H508" i="19"/>
  <c r="Q472" i="19" l="1"/>
  <c r="N472" i="19"/>
  <c r="I557" i="19"/>
  <c r="H507" i="19"/>
  <c r="H506" i="19"/>
  <c r="H505" i="19"/>
  <c r="H504" i="19"/>
  <c r="H503" i="19"/>
  <c r="H502" i="19"/>
  <c r="H501" i="19"/>
  <c r="H500" i="19"/>
  <c r="H499" i="19"/>
  <c r="H498" i="19"/>
  <c r="H497" i="19"/>
  <c r="H496" i="19"/>
  <c r="H495" i="19"/>
  <c r="H494" i="19"/>
  <c r="H493" i="19"/>
  <c r="H492" i="19"/>
  <c r="H491" i="19"/>
  <c r="H490" i="19"/>
  <c r="H489" i="19"/>
  <c r="H488" i="19"/>
  <c r="H487" i="19"/>
  <c r="H486" i="19"/>
  <c r="H485" i="19"/>
  <c r="H484" i="19"/>
  <c r="H483" i="19"/>
  <c r="H482" i="19"/>
  <c r="H481" i="19"/>
  <c r="H480" i="19"/>
  <c r="H479" i="19"/>
  <c r="H478" i="19"/>
  <c r="H477" i="19"/>
  <c r="H476" i="19"/>
  <c r="H475" i="19"/>
  <c r="H474" i="19"/>
  <c r="H473" i="19"/>
  <c r="H558" i="19" l="1"/>
  <c r="D558" i="19"/>
  <c r="Q454" i="19"/>
  <c r="N454" i="19"/>
  <c r="H472" i="19"/>
  <c r="H471" i="19"/>
  <c r="H470" i="19"/>
  <c r="H469" i="19"/>
  <c r="H468" i="19"/>
  <c r="H467" i="19"/>
  <c r="H466" i="19"/>
  <c r="H465" i="19"/>
  <c r="H464" i="19"/>
  <c r="H463" i="19"/>
  <c r="H462" i="19"/>
  <c r="H461" i="19"/>
  <c r="H460" i="19"/>
  <c r="H459" i="19"/>
  <c r="H458" i="19"/>
  <c r="H457" i="19"/>
  <c r="H456" i="19"/>
  <c r="H455" i="19"/>
  <c r="Q429" i="19"/>
  <c r="N429" i="19"/>
  <c r="H454" i="19" l="1"/>
  <c r="H453" i="19"/>
  <c r="H452" i="19"/>
  <c r="H451" i="19"/>
  <c r="H450" i="19"/>
  <c r="H449" i="19"/>
  <c r="H448" i="19"/>
  <c r="H447" i="19"/>
  <c r="H446" i="19"/>
  <c r="H445" i="19"/>
  <c r="H444" i="19"/>
  <c r="H443" i="19"/>
  <c r="H442" i="19"/>
  <c r="H441" i="19"/>
  <c r="H440" i="19"/>
  <c r="H439" i="19"/>
  <c r="H438" i="19"/>
  <c r="H437" i="19"/>
  <c r="H436" i="19"/>
  <c r="H435" i="19"/>
  <c r="H434" i="19"/>
  <c r="H433" i="19"/>
  <c r="H432" i="19"/>
  <c r="H431" i="19"/>
  <c r="H430" i="19"/>
  <c r="Q373" i="19" l="1"/>
  <c r="N373" i="19"/>
  <c r="H429" i="19"/>
  <c r="H428" i="19"/>
  <c r="H427" i="19"/>
  <c r="H426" i="19"/>
  <c r="H425" i="19"/>
  <c r="H424" i="19"/>
  <c r="H423" i="19"/>
  <c r="H422" i="19"/>
  <c r="H421" i="19"/>
  <c r="H420" i="19"/>
  <c r="H419" i="19"/>
  <c r="H418" i="19"/>
  <c r="H417" i="19"/>
  <c r="H416" i="19"/>
  <c r="H415" i="19"/>
  <c r="H414" i="19"/>
  <c r="H413" i="19"/>
  <c r="H412" i="19"/>
  <c r="H411" i="19"/>
  <c r="H410" i="19"/>
  <c r="H409" i="19"/>
  <c r="H408" i="19"/>
  <c r="H407" i="19"/>
  <c r="H406" i="19"/>
  <c r="H405" i="19"/>
  <c r="H404" i="19"/>
  <c r="H403" i="19"/>
  <c r="H402" i="19"/>
  <c r="H401" i="19"/>
  <c r="H400" i="19"/>
  <c r="H399" i="19"/>
  <c r="H398" i="19"/>
  <c r="H397" i="19"/>
  <c r="H396" i="19"/>
  <c r="H395" i="19"/>
  <c r="H394" i="19"/>
  <c r="H393" i="19"/>
  <c r="H392" i="19"/>
  <c r="H391" i="19"/>
  <c r="H390" i="19"/>
  <c r="H389" i="19"/>
  <c r="H388" i="19"/>
  <c r="H387" i="19"/>
  <c r="H386" i="19"/>
  <c r="H385" i="19"/>
  <c r="H384" i="19"/>
  <c r="H383" i="19"/>
  <c r="H382" i="19"/>
  <c r="H381" i="19"/>
  <c r="H380" i="19"/>
  <c r="H379" i="19"/>
  <c r="H378" i="19"/>
  <c r="H377" i="19"/>
  <c r="H376" i="19"/>
  <c r="H375" i="19"/>
  <c r="H374" i="19"/>
  <c r="Q341" i="19"/>
  <c r="N341" i="19"/>
  <c r="H373" i="19"/>
  <c r="H372" i="19"/>
  <c r="H370" i="19"/>
  <c r="H369" i="19"/>
  <c r="H368" i="19"/>
  <c r="H367" i="19"/>
  <c r="H366" i="19"/>
  <c r="H365" i="19"/>
  <c r="H364" i="19"/>
  <c r="H363" i="19"/>
  <c r="H362" i="19"/>
  <c r="H361" i="19"/>
  <c r="H360" i="19"/>
  <c r="H359" i="19"/>
  <c r="H358" i="19"/>
  <c r="H357" i="19"/>
  <c r="H356" i="19"/>
  <c r="H355" i="19"/>
  <c r="H354" i="19"/>
  <c r="H353" i="19"/>
  <c r="H352" i="19"/>
  <c r="H351" i="19"/>
  <c r="H350" i="19"/>
  <c r="H349" i="19"/>
  <c r="H348" i="19"/>
  <c r="H347" i="19"/>
  <c r="H346" i="19"/>
  <c r="H345" i="19"/>
  <c r="H344" i="19"/>
  <c r="H343" i="19"/>
  <c r="H342" i="19"/>
  <c r="Q324" i="19"/>
  <c r="N324" i="19"/>
  <c r="H341" i="19" l="1"/>
  <c r="H340" i="19"/>
  <c r="H339" i="19"/>
  <c r="H338" i="19"/>
  <c r="H337" i="19"/>
  <c r="H336" i="19"/>
  <c r="H335" i="19"/>
  <c r="H334" i="19"/>
  <c r="H333" i="19"/>
  <c r="H332" i="19"/>
  <c r="H331" i="19"/>
  <c r="H330" i="19"/>
  <c r="H329" i="19"/>
  <c r="H328" i="19"/>
  <c r="H327" i="19"/>
  <c r="H326" i="19"/>
  <c r="H325" i="19"/>
  <c r="H314" i="19"/>
  <c r="Q313" i="19"/>
  <c r="N313" i="19"/>
  <c r="H324" i="19"/>
  <c r="H323" i="19"/>
  <c r="H322" i="19"/>
  <c r="H321" i="19"/>
  <c r="H320" i="19"/>
  <c r="H319" i="19"/>
  <c r="H318" i="19"/>
  <c r="H317" i="19"/>
  <c r="H316" i="19"/>
  <c r="H315" i="19"/>
  <c r="Q303" i="19" l="1"/>
  <c r="N303" i="19"/>
  <c r="H313" i="19"/>
  <c r="H312" i="19"/>
  <c r="H311" i="19"/>
  <c r="H310" i="19"/>
  <c r="H309" i="19"/>
  <c r="H308" i="19"/>
  <c r="H307" i="19"/>
  <c r="H306" i="19"/>
  <c r="H305" i="19"/>
  <c r="H304" i="19"/>
  <c r="Q291" i="19"/>
  <c r="N291" i="19"/>
  <c r="H303" i="19"/>
  <c r="H302" i="19"/>
  <c r="H301" i="19"/>
  <c r="H300" i="19"/>
  <c r="H299" i="19"/>
  <c r="H298" i="19"/>
  <c r="H297" i="19"/>
  <c r="H296" i="19"/>
  <c r="H295" i="19"/>
  <c r="H294" i="19"/>
  <c r="H293" i="19"/>
  <c r="H292" i="19"/>
  <c r="Q260" i="19"/>
  <c r="N260" i="19"/>
  <c r="H291" i="19"/>
  <c r="H290" i="19"/>
  <c r="H289" i="19"/>
  <c r="H288" i="19"/>
  <c r="H287" i="19"/>
  <c r="H286" i="19"/>
  <c r="H285" i="19"/>
  <c r="H284" i="19"/>
  <c r="H283" i="19"/>
  <c r="H282" i="19"/>
  <c r="H281" i="19"/>
  <c r="H280" i="19"/>
  <c r="H279" i="19"/>
  <c r="H278" i="19"/>
  <c r="H277" i="19"/>
  <c r="H276" i="19"/>
  <c r="H275" i="19"/>
  <c r="H274" i="19"/>
  <c r="H273" i="19"/>
  <c r="H272" i="19"/>
  <c r="H271" i="19"/>
  <c r="H270" i="19"/>
  <c r="H269" i="19"/>
  <c r="H268" i="19"/>
  <c r="H267" i="19"/>
  <c r="H266" i="19"/>
  <c r="H265" i="19"/>
  <c r="H264" i="19"/>
  <c r="H263" i="19"/>
  <c r="H262" i="19"/>
  <c r="H261" i="19"/>
  <c r="Q236" i="19" l="1"/>
  <c r="N236" i="19"/>
  <c r="H260" i="19" l="1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7" i="19"/>
  <c r="H246" i="19"/>
  <c r="H245" i="19"/>
  <c r="H244" i="19"/>
  <c r="H243" i="19"/>
  <c r="H242" i="19"/>
  <c r="H241" i="19"/>
  <c r="H240" i="19"/>
  <c r="H239" i="19"/>
  <c r="H238" i="19"/>
  <c r="H237" i="19"/>
  <c r="Q225" i="19"/>
  <c r="N225" i="19"/>
  <c r="H236" i="19"/>
  <c r="H235" i="19"/>
  <c r="H234" i="19"/>
  <c r="H233" i="19"/>
  <c r="H232" i="19"/>
  <c r="H231" i="19"/>
  <c r="H230" i="19"/>
  <c r="H229" i="19"/>
  <c r="H228" i="19"/>
  <c r="H227" i="19"/>
  <c r="H226" i="19"/>
  <c r="Q216" i="19"/>
  <c r="N216" i="19"/>
  <c r="H225" i="19"/>
  <c r="H224" i="19"/>
  <c r="H223" i="19"/>
  <c r="H222" i="19"/>
  <c r="H221" i="19"/>
  <c r="H220" i="19"/>
  <c r="H219" i="19"/>
  <c r="H218" i="19"/>
  <c r="H217" i="19"/>
  <c r="Q208" i="19" l="1"/>
  <c r="N208" i="19"/>
  <c r="H216" i="19"/>
  <c r="H215" i="19"/>
  <c r="H214" i="19"/>
  <c r="H213" i="19"/>
  <c r="H212" i="19"/>
  <c r="H211" i="19"/>
  <c r="H210" i="19"/>
  <c r="H209" i="19"/>
  <c r="Q190" i="19"/>
  <c r="N190" i="19"/>
  <c r="H208" i="19" l="1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97" i="19"/>
  <c r="Q160" i="19"/>
  <c r="N160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Q153" i="19"/>
  <c r="N153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Q141" i="19"/>
  <c r="N141" i="19"/>
  <c r="H124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3" i="19"/>
  <c r="H122" i="19"/>
  <c r="H121" i="19"/>
  <c r="H120" i="19"/>
  <c r="H119" i="19"/>
  <c r="H56" i="19"/>
  <c r="Q118" i="19" l="1"/>
  <c r="N118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6" i="19"/>
  <c r="H95" i="19"/>
  <c r="H94" i="19"/>
  <c r="N93" i="19"/>
  <c r="H66" i="19"/>
  <c r="Q93" i="19"/>
  <c r="H7" i="19"/>
  <c r="H93" i="19" l="1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5" i="19"/>
  <c r="H64" i="19"/>
  <c r="H63" i="19"/>
  <c r="H62" i="19"/>
  <c r="H61" i="19"/>
  <c r="H60" i="19"/>
  <c r="H59" i="19"/>
  <c r="H58" i="19"/>
  <c r="H57" i="19"/>
  <c r="H55" i="19"/>
  <c r="H54" i="19"/>
  <c r="H53" i="19"/>
  <c r="H52" i="19"/>
  <c r="Q51" i="19"/>
  <c r="N51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Q27" i="19"/>
  <c r="N27" i="19"/>
  <c r="K582" i="18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I593" i="18"/>
  <c r="I591" i="18"/>
  <c r="G591" i="18"/>
  <c r="D591" i="18"/>
  <c r="I590" i="18"/>
  <c r="I589" i="18"/>
  <c r="O582" i="18"/>
  <c r="H573" i="18"/>
  <c r="G583" i="18"/>
  <c r="F583" i="18"/>
  <c r="D583" i="18"/>
  <c r="H582" i="18" l="1"/>
  <c r="H581" i="18"/>
  <c r="H580" i="18"/>
  <c r="H579" i="18"/>
  <c r="H578" i="18"/>
  <c r="H577" i="18"/>
  <c r="H576" i="18"/>
  <c r="H575" i="18"/>
  <c r="H574" i="18"/>
  <c r="H572" i="18"/>
  <c r="H571" i="18"/>
  <c r="H570" i="18"/>
  <c r="H569" i="18"/>
  <c r="H568" i="18"/>
  <c r="H567" i="18"/>
  <c r="H566" i="18"/>
  <c r="O565" i="18"/>
  <c r="K565" i="18"/>
  <c r="H565" i="18"/>
  <c r="H564" i="18"/>
  <c r="H563" i="18"/>
  <c r="H562" i="18"/>
  <c r="H561" i="18"/>
  <c r="H560" i="18"/>
  <c r="H559" i="18"/>
  <c r="H558" i="18"/>
  <c r="H557" i="18"/>
  <c r="H556" i="18"/>
  <c r="H555" i="18"/>
  <c r="H554" i="18"/>
  <c r="H553" i="18"/>
  <c r="H552" i="18"/>
  <c r="H551" i="18"/>
  <c r="H550" i="18"/>
  <c r="K549" i="18"/>
  <c r="O549" i="18" l="1"/>
  <c r="H549" i="18" l="1"/>
  <c r="H548" i="18"/>
  <c r="H547" i="18"/>
  <c r="H546" i="18"/>
  <c r="H545" i="18"/>
  <c r="H544" i="18"/>
  <c r="H543" i="18"/>
  <c r="H542" i="18"/>
  <c r="H541" i="18"/>
  <c r="H540" i="18"/>
  <c r="H539" i="18"/>
  <c r="H538" i="18"/>
  <c r="H537" i="18"/>
  <c r="H536" i="18"/>
  <c r="H535" i="18"/>
  <c r="H534" i="18"/>
  <c r="H533" i="18"/>
  <c r="H532" i="18"/>
  <c r="H531" i="18"/>
  <c r="H530" i="18"/>
  <c r="H529" i="18"/>
  <c r="K528" i="18" l="1"/>
  <c r="O528" i="18"/>
  <c r="I583" i="18"/>
  <c r="H528" i="18"/>
  <c r="H527" i="18"/>
  <c r="H526" i="18"/>
  <c r="H525" i="18"/>
  <c r="H524" i="18"/>
  <c r="H523" i="18"/>
  <c r="H522" i="18"/>
  <c r="H521" i="18"/>
  <c r="H520" i="18"/>
  <c r="H519" i="18"/>
  <c r="H518" i="18"/>
  <c r="H517" i="18"/>
  <c r="H516" i="18"/>
  <c r="H515" i="18"/>
  <c r="H514" i="18"/>
  <c r="H513" i="18"/>
  <c r="H512" i="18"/>
  <c r="H511" i="18"/>
  <c r="H510" i="18"/>
  <c r="H509" i="18"/>
  <c r="H508" i="18"/>
  <c r="H507" i="18"/>
  <c r="H506" i="18"/>
  <c r="H505" i="18"/>
  <c r="H504" i="18"/>
  <c r="H503" i="18"/>
  <c r="H502" i="18"/>
  <c r="H501" i="18"/>
  <c r="H500" i="18"/>
  <c r="H499" i="18"/>
  <c r="H498" i="18"/>
  <c r="H497" i="18"/>
  <c r="H496" i="18"/>
  <c r="H495" i="18"/>
  <c r="H494" i="18"/>
  <c r="H493" i="18"/>
  <c r="H492" i="18"/>
  <c r="H491" i="18"/>
  <c r="O490" i="18"/>
  <c r="K490" i="18"/>
  <c r="H490" i="18"/>
  <c r="H489" i="18"/>
  <c r="H488" i="18"/>
  <c r="H487" i="18"/>
  <c r="H486" i="18"/>
  <c r="H485" i="18"/>
  <c r="H484" i="18"/>
  <c r="H483" i="18"/>
  <c r="H482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K761" i="17"/>
  <c r="Q435" i="18" l="1"/>
  <c r="K435" i="18"/>
  <c r="O435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K350" i="18"/>
  <c r="O350" i="18"/>
  <c r="H312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1" i="18"/>
  <c r="H310" i="18"/>
  <c r="H309" i="18"/>
  <c r="H308" i="18"/>
  <c r="H307" i="18"/>
  <c r="K306" i="18"/>
  <c r="O306" i="18"/>
  <c r="H584" i="18" l="1"/>
  <c r="D584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H292" i="18"/>
  <c r="O291" i="18"/>
  <c r="K291" i="18"/>
  <c r="H291" i="18"/>
  <c r="H290" i="18"/>
  <c r="H289" i="18"/>
  <c r="H288" i="18"/>
  <c r="H287" i="18"/>
  <c r="H286" i="18"/>
  <c r="H285" i="18"/>
  <c r="H284" i="18"/>
  <c r="H283" i="18"/>
  <c r="H282" i="18"/>
  <c r="H281" i="18"/>
  <c r="H280" i="18"/>
  <c r="H279" i="18"/>
  <c r="H278" i="18"/>
  <c r="H277" i="18"/>
  <c r="H276" i="18"/>
  <c r="H275" i="18"/>
  <c r="H274" i="18"/>
  <c r="H273" i="18"/>
  <c r="H272" i="18"/>
  <c r="H271" i="18"/>
  <c r="H270" i="18"/>
  <c r="H269" i="18"/>
  <c r="O268" i="18"/>
  <c r="K268" i="18"/>
  <c r="H268" i="18"/>
  <c r="H267" i="18"/>
  <c r="H266" i="18"/>
  <c r="H265" i="18"/>
  <c r="H264" i="18"/>
  <c r="H263" i="18"/>
  <c r="H262" i="18"/>
  <c r="H261" i="18"/>
  <c r="H260" i="18"/>
  <c r="H259" i="18"/>
  <c r="H258" i="18"/>
  <c r="H257" i="18"/>
  <c r="H256" i="18"/>
  <c r="H255" i="18"/>
  <c r="H254" i="18"/>
  <c r="H253" i="18"/>
  <c r="K252" i="18"/>
  <c r="O252" i="18"/>
  <c r="H252" i="18"/>
  <c r="H251" i="1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33" i="14"/>
  <c r="G33" i="14"/>
  <c r="F33" i="14"/>
  <c r="E33" i="14"/>
  <c r="D33" i="14"/>
  <c r="C33" i="14"/>
  <c r="K231" i="18" l="1"/>
  <c r="O231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K210" i="18"/>
  <c r="O210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K161" i="18"/>
  <c r="O161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K145" i="18"/>
  <c r="O145" i="18"/>
  <c r="H145" i="18"/>
  <c r="H144" i="18"/>
  <c r="H143" i="18"/>
  <c r="H142" i="18"/>
  <c r="H141" i="18"/>
  <c r="H140" i="18"/>
  <c r="H139" i="18"/>
  <c r="H138" i="18"/>
  <c r="H137" i="18"/>
  <c r="H136" i="18"/>
  <c r="H135" i="18"/>
  <c r="K134" i="18"/>
  <c r="O134" i="18"/>
  <c r="H134" i="18"/>
  <c r="H133" i="18"/>
  <c r="H132" i="18"/>
  <c r="H131" i="18"/>
  <c r="H130" i="18"/>
  <c r="H129" i="18"/>
  <c r="H128" i="18"/>
  <c r="H127" i="18"/>
  <c r="H126" i="18"/>
  <c r="H125" i="18"/>
  <c r="K124" i="18" l="1"/>
  <c r="O124" i="18"/>
  <c r="H112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1" i="18"/>
  <c r="O110" i="18"/>
  <c r="K110" i="18"/>
  <c r="H110" i="18" l="1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O83" i="18"/>
  <c r="K83" i="18"/>
  <c r="H83" i="18"/>
  <c r="H82" i="18"/>
  <c r="H81" i="18"/>
  <c r="H80" i="18"/>
  <c r="H79" i="18"/>
  <c r="H78" i="18"/>
  <c r="H77" i="18"/>
  <c r="H76" i="18"/>
  <c r="H75" i="18" l="1"/>
  <c r="H74" i="18"/>
  <c r="H73" i="18"/>
  <c r="H72" i="18"/>
  <c r="O71" i="18"/>
  <c r="K71" i="18"/>
  <c r="H70" i="18"/>
  <c r="H71" i="18"/>
  <c r="H69" i="18"/>
  <c r="H68" i="18"/>
  <c r="H67" i="18"/>
  <c r="H66" i="18"/>
  <c r="O65" i="18" l="1"/>
  <c r="K65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O50" i="18"/>
  <c r="K50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50" i="18" l="1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I760" i="17"/>
  <c r="I761" i="17"/>
  <c r="I764" i="17"/>
  <c r="I762" i="17"/>
  <c r="G762" i="17"/>
  <c r="D762" i="17"/>
  <c r="O755" i="17"/>
  <c r="K755" i="17"/>
  <c r="G755" i="17"/>
  <c r="F755" i="17"/>
  <c r="D755" i="17"/>
  <c r="H754" i="17"/>
  <c r="H753" i="17"/>
  <c r="O712" i="17" l="1"/>
  <c r="K712" i="17"/>
  <c r="H752" i="17"/>
  <c r="H751" i="17"/>
  <c r="H750" i="17"/>
  <c r="H749" i="17"/>
  <c r="H748" i="17"/>
  <c r="H747" i="17"/>
  <c r="H746" i="17"/>
  <c r="H745" i="17"/>
  <c r="H744" i="17"/>
  <c r="H743" i="17"/>
  <c r="H742" i="17"/>
  <c r="H741" i="17"/>
  <c r="H740" i="17"/>
  <c r="H739" i="17"/>
  <c r="H738" i="17"/>
  <c r="H737" i="17"/>
  <c r="H736" i="17"/>
  <c r="H735" i="17"/>
  <c r="H734" i="17"/>
  <c r="H733" i="17"/>
  <c r="H732" i="17"/>
  <c r="H731" i="17"/>
  <c r="H730" i="17"/>
  <c r="H729" i="17"/>
  <c r="H728" i="17"/>
  <c r="H727" i="17"/>
  <c r="H726" i="17"/>
  <c r="H725" i="17"/>
  <c r="H724" i="17"/>
  <c r="H723" i="17"/>
  <c r="H722" i="17"/>
  <c r="H721" i="17"/>
  <c r="H720" i="17"/>
  <c r="H719" i="17"/>
  <c r="H718" i="17"/>
  <c r="H717" i="17"/>
  <c r="H716" i="17"/>
  <c r="H715" i="17"/>
  <c r="H714" i="17"/>
  <c r="H713" i="17"/>
  <c r="H712" i="17"/>
  <c r="H711" i="17"/>
  <c r="H710" i="17"/>
  <c r="H709" i="17"/>
  <c r="H708" i="17"/>
  <c r="H707" i="17"/>
  <c r="H706" i="17"/>
  <c r="H705" i="17"/>
  <c r="H704" i="17"/>
  <c r="H703" i="17"/>
  <c r="H702" i="17"/>
  <c r="H701" i="17"/>
  <c r="H700" i="17"/>
  <c r="H699" i="17"/>
  <c r="H698" i="17"/>
  <c r="H697" i="17"/>
  <c r="H696" i="17"/>
  <c r="H695" i="17"/>
  <c r="H694" i="17"/>
  <c r="H693" i="17"/>
  <c r="H692" i="17"/>
  <c r="H691" i="17"/>
  <c r="H690" i="17"/>
  <c r="H689" i="17"/>
  <c r="H688" i="17"/>
  <c r="H687" i="17"/>
  <c r="H686" i="17"/>
  <c r="H685" i="17"/>
  <c r="H684" i="17"/>
  <c r="H683" i="17"/>
  <c r="H682" i="17"/>
  <c r="H681" i="17"/>
  <c r="H680" i="17"/>
  <c r="H679" i="17"/>
  <c r="H678" i="17"/>
  <c r="O677" i="17"/>
  <c r="K677" i="17"/>
  <c r="O652" i="17"/>
  <c r="K652" i="17"/>
  <c r="H676" i="17"/>
  <c r="H677" i="17"/>
  <c r="H675" i="17"/>
  <c r="H674" i="17"/>
  <c r="H673" i="17"/>
  <c r="H672" i="17"/>
  <c r="H671" i="17"/>
  <c r="H670" i="17"/>
  <c r="H669" i="17"/>
  <c r="H668" i="17"/>
  <c r="H667" i="17"/>
  <c r="H666" i="17"/>
  <c r="H665" i="17"/>
  <c r="H664" i="17"/>
  <c r="H663" i="17"/>
  <c r="H662" i="17"/>
  <c r="H661" i="17"/>
  <c r="H660" i="17"/>
  <c r="H659" i="17"/>
  <c r="H658" i="17"/>
  <c r="H657" i="17"/>
  <c r="H656" i="17"/>
  <c r="H655" i="17"/>
  <c r="H654" i="17"/>
  <c r="H653" i="17"/>
  <c r="O634" i="17"/>
  <c r="K634" i="17"/>
  <c r="H652" i="17"/>
  <c r="H651" i="17"/>
  <c r="H650" i="17"/>
  <c r="H649" i="17"/>
  <c r="H648" i="17"/>
  <c r="H647" i="17"/>
  <c r="H646" i="17"/>
  <c r="H645" i="17"/>
  <c r="H644" i="17"/>
  <c r="H643" i="17"/>
  <c r="H642" i="17"/>
  <c r="H641" i="17"/>
  <c r="H640" i="17"/>
  <c r="H639" i="17"/>
  <c r="H638" i="17"/>
  <c r="H637" i="17"/>
  <c r="H636" i="17"/>
  <c r="H635" i="17"/>
  <c r="O617" i="17"/>
  <c r="K617" i="17"/>
  <c r="H634" i="17"/>
  <c r="H633" i="17"/>
  <c r="H632" i="17"/>
  <c r="H631" i="17"/>
  <c r="H630" i="17"/>
  <c r="H629" i="17"/>
  <c r="H628" i="17"/>
  <c r="H627" i="17"/>
  <c r="H626" i="17"/>
  <c r="H625" i="17"/>
  <c r="H624" i="17"/>
  <c r="H623" i="17"/>
  <c r="H622" i="17"/>
  <c r="H621" i="17"/>
  <c r="H620" i="17"/>
  <c r="H619" i="17"/>
  <c r="H618" i="17"/>
  <c r="O595" i="17"/>
  <c r="K595" i="17"/>
  <c r="I755" i="17"/>
  <c r="H617" i="17" l="1"/>
  <c r="H616" i="17"/>
  <c r="H615" i="17"/>
  <c r="H614" i="17"/>
  <c r="H613" i="17"/>
  <c r="H612" i="17"/>
  <c r="H611" i="17"/>
  <c r="H610" i="17"/>
  <c r="H609" i="17"/>
  <c r="H608" i="17"/>
  <c r="H607" i="17"/>
  <c r="H606" i="17"/>
  <c r="H605" i="17"/>
  <c r="H604" i="17"/>
  <c r="H603" i="17"/>
  <c r="H602" i="17"/>
  <c r="H601" i="17"/>
  <c r="H600" i="17"/>
  <c r="H599" i="17"/>
  <c r="H598" i="17"/>
  <c r="H597" i="17"/>
  <c r="H596" i="17"/>
  <c r="H595" i="17"/>
  <c r="H594" i="17"/>
  <c r="H593" i="17"/>
  <c r="H592" i="17"/>
  <c r="H591" i="17"/>
  <c r="H590" i="17"/>
  <c r="H589" i="17"/>
  <c r="H588" i="17"/>
  <c r="H587" i="17"/>
  <c r="H586" i="17"/>
  <c r="O545" i="17"/>
  <c r="K545" i="17"/>
  <c r="H585" i="17"/>
  <c r="H584" i="17"/>
  <c r="H583" i="17"/>
  <c r="H582" i="17"/>
  <c r="H581" i="17"/>
  <c r="H580" i="17"/>
  <c r="H579" i="17"/>
  <c r="H578" i="17"/>
  <c r="H577" i="17"/>
  <c r="H576" i="17"/>
  <c r="H575" i="17"/>
  <c r="H574" i="17"/>
  <c r="H573" i="17"/>
  <c r="H572" i="17"/>
  <c r="H571" i="17"/>
  <c r="H570" i="17"/>
  <c r="H569" i="17"/>
  <c r="H568" i="17"/>
  <c r="H567" i="17"/>
  <c r="H566" i="17"/>
  <c r="H565" i="17"/>
  <c r="H564" i="17"/>
  <c r="H563" i="17"/>
  <c r="H562" i="17"/>
  <c r="H561" i="17"/>
  <c r="H560" i="17"/>
  <c r="H559" i="17"/>
  <c r="H558" i="17"/>
  <c r="H557" i="17"/>
  <c r="H556" i="17"/>
  <c r="H555" i="17"/>
  <c r="H554" i="17"/>
  <c r="H553" i="17"/>
  <c r="H552" i="17"/>
  <c r="H551" i="17"/>
  <c r="H550" i="17"/>
  <c r="H549" i="17"/>
  <c r="H548" i="17"/>
  <c r="H547" i="17"/>
  <c r="H546" i="17"/>
  <c r="H527" i="17"/>
  <c r="H526" i="17"/>
  <c r="H525" i="17"/>
  <c r="H524" i="17"/>
  <c r="H523" i="17"/>
  <c r="H522" i="17"/>
  <c r="H521" i="17"/>
  <c r="H520" i="17"/>
  <c r="H519" i="17"/>
  <c r="H518" i="17"/>
  <c r="H517" i="17"/>
  <c r="H516" i="17"/>
  <c r="H515" i="17"/>
  <c r="H545" i="17"/>
  <c r="H544" i="17"/>
  <c r="H543" i="17"/>
  <c r="H542" i="17"/>
  <c r="H541" i="17"/>
  <c r="H540" i="17"/>
  <c r="H539" i="17"/>
  <c r="H538" i="17"/>
  <c r="H537" i="17"/>
  <c r="H536" i="17"/>
  <c r="H535" i="17"/>
  <c r="H534" i="17"/>
  <c r="H533" i="17"/>
  <c r="H532" i="17"/>
  <c r="H531" i="17"/>
  <c r="H530" i="17"/>
  <c r="H529" i="17"/>
  <c r="H528" i="17"/>
  <c r="O514" i="17"/>
  <c r="K514" i="17"/>
  <c r="O496" i="17" l="1"/>
  <c r="K496" i="17"/>
  <c r="H514" i="17"/>
  <c r="H513" i="17"/>
  <c r="H512" i="17"/>
  <c r="H511" i="17"/>
  <c r="H510" i="17"/>
  <c r="H509" i="17"/>
  <c r="H508" i="17"/>
  <c r="H507" i="17"/>
  <c r="H506" i="17"/>
  <c r="H505" i="17"/>
  <c r="H504" i="17"/>
  <c r="H503" i="17"/>
  <c r="H502" i="17"/>
  <c r="H501" i="17"/>
  <c r="H500" i="17"/>
  <c r="H499" i="17"/>
  <c r="H498" i="17"/>
  <c r="H497" i="17"/>
  <c r="H496" i="17" l="1"/>
  <c r="H495" i="17"/>
  <c r="H494" i="17"/>
  <c r="H493" i="17"/>
  <c r="H492" i="17"/>
  <c r="H491" i="17"/>
  <c r="H490" i="17"/>
  <c r="H489" i="17"/>
  <c r="H488" i="17"/>
  <c r="H487" i="17"/>
  <c r="H486" i="17"/>
  <c r="H485" i="17"/>
  <c r="H484" i="17"/>
  <c r="H483" i="17"/>
  <c r="H482" i="17"/>
  <c r="H481" i="17"/>
  <c r="H480" i="17"/>
  <c r="H479" i="17"/>
  <c r="H478" i="17"/>
  <c r="H477" i="17"/>
  <c r="H476" i="17"/>
  <c r="H475" i="17"/>
  <c r="H474" i="17"/>
  <c r="H473" i="17"/>
  <c r="H472" i="17"/>
  <c r="H471" i="17"/>
  <c r="H470" i="17"/>
  <c r="H469" i="17"/>
  <c r="H468" i="17"/>
  <c r="H467" i="17"/>
  <c r="H466" i="17"/>
  <c r="H465" i="17"/>
  <c r="H464" i="17"/>
  <c r="H463" i="17"/>
  <c r="O462" i="17"/>
  <c r="K462" i="17"/>
  <c r="O446" i="17"/>
  <c r="K446" i="17"/>
  <c r="H462" i="17"/>
  <c r="H461" i="17"/>
  <c r="H460" i="17"/>
  <c r="H459" i="17"/>
  <c r="H458" i="17"/>
  <c r="H457" i="17"/>
  <c r="H456" i="17"/>
  <c r="H455" i="17"/>
  <c r="H454" i="17"/>
  <c r="H453" i="17"/>
  <c r="H452" i="17"/>
  <c r="H451" i="17"/>
  <c r="H450" i="17"/>
  <c r="H449" i="17"/>
  <c r="H448" i="17"/>
  <c r="H447" i="17"/>
  <c r="H446" i="17"/>
  <c r="H445" i="17"/>
  <c r="H444" i="17"/>
  <c r="H443" i="17"/>
  <c r="H442" i="17"/>
  <c r="H441" i="17"/>
  <c r="H440" i="17"/>
  <c r="H439" i="17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O414" i="17"/>
  <c r="K414" i="17"/>
  <c r="I537" i="16"/>
  <c r="O351" i="17"/>
  <c r="K351" i="17"/>
  <c r="H396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8" i="17"/>
  <c r="H357" i="17"/>
  <c r="H356" i="17"/>
  <c r="H355" i="17"/>
  <c r="H354" i="17"/>
  <c r="H353" i="17"/>
  <c r="H352" i="17"/>
  <c r="H756" i="17" l="1"/>
  <c r="D756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51" i="17"/>
  <c r="H350" i="17"/>
  <c r="H349" i="17"/>
  <c r="H348" i="17"/>
  <c r="H347" i="17"/>
  <c r="H346" i="17"/>
  <c r="H345" i="17"/>
  <c r="H344" i="17"/>
  <c r="H343" i="17"/>
  <c r="H342" i="17"/>
  <c r="H341" i="17"/>
  <c r="H340" i="17"/>
  <c r="H323" i="17"/>
  <c r="O323" i="17"/>
  <c r="K323" i="17"/>
  <c r="H322" i="17" l="1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O308" i="17"/>
  <c r="K308" i="17"/>
  <c r="H308" i="17"/>
  <c r="H307" i="17"/>
  <c r="H306" i="17"/>
  <c r="H305" i="17"/>
  <c r="H304" i="17"/>
  <c r="H303" i="17"/>
  <c r="H302" i="17"/>
  <c r="H301" i="17"/>
  <c r="H300" i="17"/>
  <c r="H299" i="17"/>
  <c r="H298" i="17"/>
  <c r="H297" i="17"/>
  <c r="H296" i="17"/>
  <c r="H295" i="17"/>
  <c r="H294" i="17"/>
  <c r="H293" i="17"/>
  <c r="H292" i="17"/>
  <c r="H291" i="17"/>
  <c r="H290" i="17"/>
  <c r="O289" i="17"/>
  <c r="K289" i="17"/>
  <c r="L4929" i="1"/>
  <c r="K4929" i="1"/>
  <c r="O202" i="17" l="1"/>
  <c r="K202" i="17"/>
  <c r="H289" i="17"/>
  <c r="H288" i="17"/>
  <c r="H287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74" i="17"/>
  <c r="H273" i="17"/>
  <c r="H272" i="17"/>
  <c r="H271" i="17"/>
  <c r="H270" i="17"/>
  <c r="H269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37" i="17"/>
  <c r="H236" i="17"/>
  <c r="H235" i="17"/>
  <c r="H234" i="17"/>
  <c r="H233" i="17"/>
  <c r="H232" i="17"/>
  <c r="H231" i="17"/>
  <c r="H230" i="17"/>
  <c r="H229" i="17"/>
  <c r="H228" i="17"/>
  <c r="H227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O146" i="17" l="1"/>
  <c r="K146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O111" i="17"/>
  <c r="K111" i="17"/>
  <c r="H129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O84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K538" i="16"/>
  <c r="D16" i="14"/>
  <c r="K84" i="17"/>
  <c r="O53" i="17"/>
  <c r="K53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G537" i="16" l="1"/>
  <c r="D537" i="16"/>
  <c r="F537" i="16"/>
  <c r="H536" i="16"/>
  <c r="H535" i="16"/>
  <c r="H534" i="16"/>
  <c r="H533" i="16"/>
  <c r="H532" i="16"/>
  <c r="H531" i="16"/>
  <c r="H530" i="16"/>
  <c r="H529" i="16"/>
  <c r="H528" i="16"/>
  <c r="H527" i="16"/>
  <c r="H526" i="16"/>
  <c r="H525" i="16"/>
  <c r="H524" i="16"/>
  <c r="H523" i="16"/>
  <c r="H522" i="16"/>
  <c r="H521" i="16"/>
  <c r="H520" i="16"/>
  <c r="H519" i="16"/>
  <c r="H518" i="16"/>
  <c r="H517" i="16" l="1"/>
  <c r="H516" i="16"/>
  <c r="H515" i="16"/>
  <c r="H514" i="16"/>
  <c r="H513" i="16"/>
  <c r="H512" i="16"/>
  <c r="H511" i="16"/>
  <c r="H510" i="16"/>
  <c r="H509" i="16"/>
  <c r="H508" i="16"/>
  <c r="H507" i="16"/>
  <c r="H506" i="16"/>
  <c r="H505" i="16"/>
  <c r="H504" i="16"/>
  <c r="H503" i="16"/>
  <c r="H502" i="16"/>
  <c r="H501" i="16"/>
  <c r="H500" i="16"/>
  <c r="H499" i="16"/>
  <c r="H498" i="16"/>
  <c r="H497" i="16"/>
  <c r="H496" i="16"/>
  <c r="H495" i="16"/>
  <c r="H494" i="16"/>
  <c r="H493" i="16"/>
  <c r="H492" i="16"/>
  <c r="H491" i="16"/>
  <c r="H490" i="16"/>
  <c r="H489" i="16"/>
  <c r="H488" i="16"/>
  <c r="H487" i="16"/>
  <c r="H486" i="16"/>
  <c r="H485" i="16"/>
  <c r="H484" i="16"/>
  <c r="H483" i="16"/>
  <c r="H482" i="16"/>
  <c r="H481" i="16"/>
  <c r="H480" i="16"/>
  <c r="H479" i="16"/>
  <c r="H478" i="16"/>
  <c r="H477" i="16"/>
  <c r="H476" i="16"/>
  <c r="H475" i="16"/>
  <c r="H474" i="16"/>
  <c r="H473" i="16"/>
  <c r="H472" i="16"/>
  <c r="H471" i="16"/>
  <c r="H470" i="16"/>
  <c r="H469" i="16"/>
  <c r="H468" i="16"/>
  <c r="H467" i="16"/>
  <c r="H466" i="16"/>
  <c r="H465" i="16"/>
  <c r="H464" i="16"/>
  <c r="H463" i="16"/>
  <c r="H462" i="16"/>
  <c r="H461" i="16"/>
  <c r="H460" i="16"/>
  <c r="H459" i="16"/>
  <c r="H458" i="16"/>
  <c r="H457" i="16"/>
  <c r="H456" i="16"/>
  <c r="H455" i="16"/>
  <c r="H454" i="16"/>
  <c r="H453" i="16"/>
  <c r="H452" i="16"/>
  <c r="H451" i="16"/>
  <c r="H450" i="16"/>
  <c r="H449" i="16"/>
  <c r="H448" i="16"/>
  <c r="H447" i="16"/>
  <c r="H446" i="16"/>
  <c r="H445" i="16"/>
  <c r="H444" i="16"/>
  <c r="H443" i="16"/>
  <c r="H442" i="16"/>
  <c r="H441" i="16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53" i="17" l="1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N4925" i="1"/>
  <c r="L4925" i="1"/>
  <c r="G4926" i="1"/>
  <c r="D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N4906" i="1"/>
  <c r="L4906" i="1"/>
  <c r="H4858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7" i="1"/>
  <c r="H4856" i="1"/>
  <c r="H4855" i="1"/>
  <c r="H4854" i="1"/>
  <c r="H4853" i="1"/>
  <c r="H4852" i="1"/>
  <c r="H4851" i="1"/>
  <c r="H4850" i="1"/>
  <c r="H4849" i="1"/>
  <c r="H4848" i="1"/>
  <c r="H4847" i="1"/>
  <c r="N4846" i="1"/>
  <c r="L4846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N4818" i="1"/>
  <c r="L4818" i="1"/>
  <c r="H4805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4" i="1"/>
  <c r="H4803" i="1"/>
  <c r="H4802" i="1"/>
  <c r="H4801" i="1"/>
  <c r="H4800" i="1"/>
  <c r="H4799" i="1"/>
  <c r="N4798" i="1" l="1"/>
  <c r="L4798" i="1"/>
  <c r="H4777" i="1"/>
  <c r="H4776" i="1"/>
  <c r="H4775" i="1"/>
  <c r="H4774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3" i="1"/>
  <c r="H4772" i="1"/>
  <c r="H4771" i="1"/>
  <c r="H4770" i="1"/>
  <c r="H4769" i="1"/>
  <c r="H4768" i="1"/>
  <c r="H4767" i="1"/>
  <c r="H4766" i="1"/>
  <c r="H4765" i="1"/>
  <c r="H4764" i="1"/>
  <c r="H4763" i="1"/>
  <c r="N4762" i="1"/>
  <c r="L4762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357" i="16"/>
  <c r="H356" i="16"/>
  <c r="H355" i="16"/>
  <c r="H354" i="16"/>
  <c r="H353" i="16"/>
  <c r="H352" i="16"/>
  <c r="H351" i="16"/>
  <c r="N4746" i="1"/>
  <c r="L4746" i="1"/>
  <c r="H4742" i="1"/>
  <c r="H4746" i="1"/>
  <c r="H4745" i="1"/>
  <c r="H4744" i="1"/>
  <c r="H4743" i="1"/>
  <c r="H4741" i="1"/>
  <c r="H4740" i="1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6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N4739" i="1"/>
  <c r="L4739" i="1"/>
  <c r="H4739" i="1"/>
  <c r="H4738" i="1"/>
  <c r="H4737" i="1"/>
  <c r="H4736" i="1"/>
  <c r="H4735" i="1"/>
  <c r="H4734" i="1"/>
  <c r="H4733" i="1"/>
  <c r="H4732" i="1"/>
  <c r="H4731" i="1"/>
  <c r="N4730" i="1"/>
  <c r="L4730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N4714" i="1"/>
  <c r="L4714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N4700" i="1"/>
  <c r="L4700" i="1"/>
  <c r="H4700" i="1" l="1"/>
  <c r="H4699" i="1"/>
  <c r="H4698" i="1" l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N4667" i="1"/>
  <c r="L4667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L4652" i="1"/>
  <c r="I4926" i="1"/>
  <c r="H4652" i="1"/>
  <c r="H4651" i="1"/>
  <c r="H4650" i="1"/>
  <c r="H4649" i="1"/>
  <c r="H4648" i="1"/>
  <c r="H4647" i="1"/>
  <c r="H4646" i="1"/>
  <c r="H4645" i="1"/>
  <c r="H4644" i="1"/>
  <c r="H4643" i="1"/>
  <c r="H4642" i="1"/>
  <c r="I629" i="15"/>
  <c r="G629" i="15"/>
  <c r="I628" i="15"/>
  <c r="I627" i="15"/>
  <c r="D629" i="15"/>
  <c r="I833" i="13"/>
  <c r="I831" i="13"/>
  <c r="G831" i="13"/>
  <c r="D831" i="13"/>
  <c r="H538" i="16" l="1"/>
  <c r="D538" i="16"/>
  <c r="N4641" i="1"/>
  <c r="L4641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927" i="1"/>
  <c r="N4617" i="1"/>
  <c r="L4617" i="1"/>
  <c r="D4927" i="1" l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548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N4464" i="1"/>
  <c r="L4464" i="1"/>
  <c r="N4440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L4440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N4416" i="1"/>
  <c r="L4416" i="1"/>
  <c r="H4416" i="1" l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G622" i="15"/>
  <c r="F622" i="15"/>
  <c r="D622" i="15"/>
  <c r="H621" i="15"/>
  <c r="H620" i="15"/>
  <c r="H619" i="15"/>
  <c r="H618" i="15"/>
  <c r="H617" i="15"/>
  <c r="H616" i="15"/>
  <c r="H615" i="15"/>
  <c r="H614" i="15"/>
  <c r="H613" i="15"/>
  <c r="H612" i="15"/>
  <c r="H611" i="15"/>
  <c r="H610" i="15"/>
  <c r="H609" i="15"/>
  <c r="H608" i="15"/>
  <c r="H607" i="15"/>
  <c r="H606" i="15"/>
  <c r="H605" i="15"/>
  <c r="H604" i="15"/>
  <c r="H603" i="15"/>
  <c r="H602" i="15"/>
  <c r="H601" i="15"/>
  <c r="H600" i="15"/>
  <c r="H599" i="15"/>
  <c r="H598" i="15"/>
  <c r="H597" i="15"/>
  <c r="H596" i="15"/>
  <c r="H595" i="15"/>
  <c r="H594" i="15"/>
  <c r="H593" i="15"/>
  <c r="H592" i="15"/>
  <c r="H591" i="15"/>
  <c r="H590" i="15"/>
  <c r="H589" i="15"/>
  <c r="H588" i="15"/>
  <c r="H587" i="15"/>
  <c r="H586" i="15"/>
  <c r="H585" i="15"/>
  <c r="H584" i="15"/>
  <c r="H583" i="15"/>
  <c r="H582" i="15"/>
  <c r="H581" i="15"/>
  <c r="H580" i="15"/>
  <c r="H579" i="15"/>
  <c r="H578" i="15"/>
  <c r="H577" i="15"/>
  <c r="H576" i="15"/>
  <c r="H575" i="15"/>
  <c r="H574" i="15"/>
  <c r="H573" i="15"/>
  <c r="H572" i="15"/>
  <c r="H571" i="15"/>
  <c r="H570" i="15"/>
  <c r="H569" i="15"/>
  <c r="H568" i="15"/>
  <c r="H567" i="15"/>
  <c r="H566" i="15"/>
  <c r="H565" i="15"/>
  <c r="H564" i="15"/>
  <c r="H563" i="15"/>
  <c r="H562" i="15"/>
  <c r="H561" i="15"/>
  <c r="H560" i="15"/>
  <c r="H559" i="15"/>
  <c r="H558" i="15"/>
  <c r="H557" i="15"/>
  <c r="H556" i="15"/>
  <c r="H555" i="15"/>
  <c r="H554" i="15"/>
  <c r="H553" i="15"/>
  <c r="H552" i="15"/>
  <c r="H551" i="15"/>
  <c r="H550" i="15"/>
  <c r="H549" i="15"/>
  <c r="H548" i="15"/>
  <c r="H547" i="15"/>
  <c r="H546" i="15"/>
  <c r="H545" i="15"/>
  <c r="H544" i="15"/>
  <c r="H543" i="15"/>
  <c r="H542" i="15"/>
  <c r="H541" i="15"/>
  <c r="H540" i="15"/>
  <c r="H539" i="15"/>
  <c r="H538" i="15"/>
  <c r="H537" i="15"/>
  <c r="H536" i="15"/>
  <c r="H535" i="15"/>
  <c r="H534" i="15"/>
  <c r="H533" i="15"/>
  <c r="H532" i="15"/>
  <c r="H531" i="15"/>
  <c r="H530" i="15"/>
  <c r="H529" i="15"/>
  <c r="H528" i="15"/>
  <c r="H527" i="15"/>
  <c r="H526" i="15"/>
  <c r="H525" i="15"/>
  <c r="H524" i="15"/>
  <c r="H523" i="15"/>
  <c r="H522" i="15"/>
  <c r="H521" i="15"/>
  <c r="H520" i="15"/>
  <c r="H519" i="15"/>
  <c r="H518" i="15"/>
  <c r="H517" i="15"/>
  <c r="H516" i="15"/>
  <c r="H515" i="15"/>
  <c r="H514" i="15"/>
  <c r="H513" i="15"/>
  <c r="H512" i="15"/>
  <c r="H511" i="15"/>
  <c r="H510" i="15"/>
  <c r="H509" i="15"/>
  <c r="H508" i="15"/>
  <c r="H507" i="15"/>
  <c r="H506" i="15"/>
  <c r="H505" i="15"/>
  <c r="H504" i="15"/>
  <c r="H503" i="15"/>
  <c r="H502" i="15"/>
  <c r="H501" i="15"/>
  <c r="H500" i="15"/>
  <c r="H499" i="15"/>
  <c r="H498" i="15"/>
  <c r="H497" i="15"/>
  <c r="H496" i="15"/>
  <c r="H495" i="15"/>
  <c r="H494" i="15"/>
  <c r="H493" i="15"/>
  <c r="H492" i="15"/>
  <c r="H491" i="15"/>
  <c r="H490" i="15"/>
  <c r="H489" i="15"/>
  <c r="H488" i="15"/>
  <c r="H487" i="15"/>
  <c r="H486" i="15"/>
  <c r="H485" i="15"/>
  <c r="H484" i="15"/>
  <c r="H483" i="15"/>
  <c r="H482" i="15"/>
  <c r="H481" i="15"/>
  <c r="H480" i="15"/>
  <c r="H479" i="15"/>
  <c r="H478" i="15"/>
  <c r="H477" i="15"/>
  <c r="H476" i="15"/>
  <c r="H475" i="15"/>
  <c r="H474" i="15"/>
  <c r="H473" i="15"/>
  <c r="H472" i="15"/>
  <c r="H471" i="15"/>
  <c r="H470" i="15"/>
  <c r="H469" i="15"/>
  <c r="H468" i="15"/>
  <c r="H467" i="15"/>
  <c r="H466" i="15"/>
  <c r="H465" i="15"/>
  <c r="H464" i="15"/>
  <c r="H463" i="15"/>
  <c r="H462" i="15"/>
  <c r="H461" i="15"/>
  <c r="H460" i="15"/>
  <c r="H459" i="15"/>
  <c r="H458" i="15"/>
  <c r="H457" i="15"/>
  <c r="L4394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N4362" i="1"/>
  <c r="L4362" i="1"/>
  <c r="H4358" i="1"/>
  <c r="H4362" i="1"/>
  <c r="H4361" i="1"/>
  <c r="H4360" i="1"/>
  <c r="H4359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N4340" i="1"/>
  <c r="L4340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N4276" i="1"/>
  <c r="L4276" i="1"/>
  <c r="H4276" i="1"/>
  <c r="H4275" i="1"/>
  <c r="H4274" i="1"/>
  <c r="H456" i="15"/>
  <c r="H455" i="15"/>
  <c r="H454" i="15"/>
  <c r="H453" i="15"/>
  <c r="H452" i="15"/>
  <c r="H451" i="15"/>
  <c r="H450" i="15"/>
  <c r="H449" i="15"/>
  <c r="H448" i="15"/>
  <c r="H447" i="15"/>
  <c r="H446" i="15"/>
  <c r="H445" i="15"/>
  <c r="H444" i="15"/>
  <c r="H443" i="15"/>
  <c r="H442" i="15"/>
  <c r="H441" i="15"/>
  <c r="H440" i="15"/>
  <c r="H439" i="15"/>
  <c r="H438" i="15"/>
  <c r="H437" i="15"/>
  <c r="H436" i="15"/>
  <c r="H435" i="15"/>
  <c r="H434" i="15"/>
  <c r="H433" i="15"/>
  <c r="H432" i="15"/>
  <c r="H431" i="15"/>
  <c r="H430" i="15"/>
  <c r="H429" i="15"/>
  <c r="H428" i="15"/>
  <c r="H427" i="15"/>
  <c r="H426" i="15"/>
  <c r="H425" i="15"/>
  <c r="H424" i="15"/>
  <c r="H423" i="15"/>
  <c r="H422" i="15"/>
  <c r="H421" i="15"/>
  <c r="H420" i="15"/>
  <c r="H419" i="15"/>
  <c r="H418" i="15"/>
  <c r="H417" i="15"/>
  <c r="H416" i="15"/>
  <c r="H415" i="15"/>
  <c r="H414" i="15"/>
  <c r="H413" i="15"/>
  <c r="H412" i="15"/>
  <c r="H411" i="15"/>
  <c r="H410" i="15"/>
  <c r="H409" i="15"/>
  <c r="H408" i="15"/>
  <c r="H407" i="15"/>
  <c r="H406" i="15"/>
  <c r="H405" i="15"/>
  <c r="H404" i="15"/>
  <c r="H403" i="15"/>
  <c r="H402" i="15"/>
  <c r="H401" i="15"/>
  <c r="H400" i="15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N4251" i="1"/>
  <c r="L4251" i="1"/>
  <c r="H4231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0" i="1"/>
  <c r="N4229" i="1"/>
  <c r="L4229" i="1"/>
  <c r="H4212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N4199" i="1"/>
  <c r="L4199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I622" i="15"/>
  <c r="H399" i="15"/>
  <c r="H398" i="15"/>
  <c r="H397" i="15"/>
  <c r="H396" i="15"/>
  <c r="H395" i="15"/>
  <c r="H394" i="15"/>
  <c r="H393" i="15"/>
  <c r="H392" i="15"/>
  <c r="H391" i="15"/>
  <c r="H390" i="15"/>
  <c r="H389" i="15"/>
  <c r="H388" i="15"/>
  <c r="H387" i="15"/>
  <c r="H386" i="15"/>
  <c r="H385" i="15"/>
  <c r="H384" i="15"/>
  <c r="H383" i="15"/>
  <c r="H382" i="15"/>
  <c r="H381" i="15"/>
  <c r="H380" i="15"/>
  <c r="H379" i="15"/>
  <c r="H378" i="15"/>
  <c r="H377" i="15"/>
  <c r="H376" i="15"/>
  <c r="H375" i="15"/>
  <c r="H374" i="15"/>
  <c r="H373" i="15"/>
  <c r="H372" i="15"/>
  <c r="H371" i="15"/>
  <c r="H370" i="15"/>
  <c r="H369" i="15"/>
  <c r="H368" i="15"/>
  <c r="H367" i="15"/>
  <c r="H366" i="15"/>
  <c r="H365" i="15"/>
  <c r="H364" i="15"/>
  <c r="H363" i="15"/>
  <c r="H362" i="15"/>
  <c r="H361" i="15"/>
  <c r="H360" i="15"/>
  <c r="H359" i="15"/>
  <c r="H358" i="15"/>
  <c r="H357" i="15"/>
  <c r="H356" i="15"/>
  <c r="H355" i="15"/>
  <c r="H354" i="15"/>
  <c r="H353" i="15"/>
  <c r="H352" i="15"/>
  <c r="H351" i="15"/>
  <c r="H350" i="15"/>
  <c r="H349" i="15"/>
  <c r="H348" i="15"/>
  <c r="H347" i="15"/>
  <c r="H346" i="15"/>
  <c r="H345" i="15"/>
  <c r="H344" i="15"/>
  <c r="H343" i="15"/>
  <c r="H342" i="15"/>
  <c r="H341" i="15"/>
  <c r="H340" i="15"/>
  <c r="H339" i="15"/>
  <c r="H338" i="15"/>
  <c r="H337" i="15"/>
  <c r="H336" i="15"/>
  <c r="H335" i="15"/>
  <c r="H334" i="15"/>
  <c r="H333" i="15"/>
  <c r="H332" i="15"/>
  <c r="H331" i="15"/>
  <c r="H330" i="15"/>
  <c r="H329" i="15"/>
  <c r="H328" i="15"/>
  <c r="H327" i="15"/>
  <c r="H326" i="15"/>
  <c r="H325" i="15"/>
  <c r="H324" i="15"/>
  <c r="H323" i="15"/>
  <c r="H322" i="15"/>
  <c r="H321" i="15"/>
  <c r="H320" i="15"/>
  <c r="H319" i="15"/>
  <c r="H318" i="15"/>
  <c r="H317" i="15"/>
  <c r="H316" i="15"/>
  <c r="H315" i="15"/>
  <c r="H314" i="15"/>
  <c r="H313" i="15"/>
  <c r="H312" i="15"/>
  <c r="H311" i="15"/>
  <c r="H310" i="15"/>
  <c r="H309" i="15"/>
  <c r="H308" i="15"/>
  <c r="H307" i="15"/>
  <c r="H306" i="15"/>
  <c r="H305" i="15"/>
  <c r="H304" i="15"/>
  <c r="H303" i="15"/>
  <c r="H302" i="15"/>
  <c r="H301" i="15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N4172" i="1"/>
  <c r="L4172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N4145" i="1"/>
  <c r="L4145" i="1"/>
  <c r="H4085" i="1"/>
  <c r="H4084" i="1"/>
  <c r="H4083" i="1"/>
  <c r="H4082" i="1"/>
  <c r="H4081" i="1"/>
  <c r="H4144" i="1"/>
  <c r="H4133" i="1"/>
  <c r="H623" i="15" l="1"/>
  <c r="D623" i="15"/>
  <c r="H4145" i="1"/>
  <c r="H4143" i="1"/>
  <c r="H4142" i="1"/>
  <c r="H4141" i="1"/>
  <c r="H4140" i="1"/>
  <c r="H4139" i="1"/>
  <c r="H4138" i="1"/>
  <c r="H4137" i="1"/>
  <c r="H4136" i="1"/>
  <c r="H4135" i="1"/>
  <c r="H4134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N4080" i="1"/>
  <c r="L4080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N4057" i="1"/>
  <c r="L4057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N4024" i="1"/>
  <c r="L4024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N3998" i="1"/>
  <c r="L3998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N3984" i="1"/>
  <c r="N3967" i="1"/>
  <c r="L3984" i="1"/>
  <c r="E16" i="14"/>
  <c r="H3979" i="1"/>
  <c r="H3978" i="1" l="1"/>
  <c r="H3984" i="1" l="1"/>
  <c r="H3983" i="1"/>
  <c r="H3982" i="1"/>
  <c r="H3981" i="1"/>
  <c r="H3980" i="1"/>
  <c r="H3977" i="1"/>
  <c r="H3976" i="1"/>
  <c r="H3975" i="1"/>
  <c r="H3974" i="1"/>
  <c r="H3973" i="1"/>
  <c r="H3972" i="1"/>
  <c r="H3971" i="1"/>
  <c r="H3970" i="1"/>
  <c r="H3969" i="1"/>
  <c r="H3968" i="1"/>
  <c r="L3967" i="1"/>
  <c r="H3967" i="1" l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N3950" i="1"/>
  <c r="L3950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N3938" i="1"/>
  <c r="L3938" i="1"/>
  <c r="H3938" i="1"/>
  <c r="H3937" i="1"/>
  <c r="H3936" i="1"/>
  <c r="H3935" i="1"/>
  <c r="H3934" i="1"/>
  <c r="H3933" i="1"/>
  <c r="H3932" i="1"/>
  <c r="H3931" i="1"/>
  <c r="H3930" i="1"/>
  <c r="H3929" i="1"/>
  <c r="H3928" i="1"/>
  <c r="N3927" i="1"/>
  <c r="L3927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N3908" i="1" l="1"/>
  <c r="L3908" i="1"/>
  <c r="H3883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N3882" i="1"/>
  <c r="L3882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K831" i="13"/>
  <c r="I830" i="13"/>
  <c r="N3857" i="1"/>
  <c r="L3857" i="1"/>
  <c r="H3832" i="1"/>
  <c r="H3831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0" i="1"/>
  <c r="H3829" i="1"/>
  <c r="H3828" i="1"/>
  <c r="N3827" i="1"/>
  <c r="L3827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M3698" i="1"/>
  <c r="L3814" i="1"/>
  <c r="N3814" i="1"/>
  <c r="L3800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G16" i="14"/>
  <c r="F16" i="14"/>
  <c r="C16" i="14"/>
  <c r="H16" i="14" l="1"/>
  <c r="I829" i="13"/>
  <c r="I824" i="13"/>
  <c r="G824" i="13"/>
  <c r="F824" i="13"/>
  <c r="D824" i="13"/>
  <c r="H823" i="13"/>
  <c r="H822" i="13"/>
  <c r="H821" i="13"/>
  <c r="H820" i="13"/>
  <c r="H819" i="13"/>
  <c r="H818" i="13"/>
  <c r="H817" i="13"/>
  <c r="H816" i="13"/>
  <c r="H815" i="13"/>
  <c r="H814" i="13"/>
  <c r="H813" i="13"/>
  <c r="H812" i="13"/>
  <c r="H811" i="13"/>
  <c r="H810" i="13"/>
  <c r="H809" i="13"/>
  <c r="H808" i="13"/>
  <c r="H807" i="13"/>
  <c r="H806" i="13"/>
  <c r="H805" i="13"/>
  <c r="H804" i="13"/>
  <c r="H803" i="13"/>
  <c r="H802" i="13"/>
  <c r="H801" i="13"/>
  <c r="H800" i="13"/>
  <c r="H799" i="13"/>
  <c r="H798" i="13"/>
  <c r="H797" i="13"/>
  <c r="H796" i="13"/>
  <c r="H795" i="13"/>
  <c r="H794" i="13"/>
  <c r="H793" i="13"/>
  <c r="H792" i="13"/>
  <c r="H791" i="13"/>
  <c r="H790" i="13"/>
  <c r="H789" i="13"/>
  <c r="H788" i="13"/>
  <c r="H787" i="13"/>
  <c r="H786" i="13"/>
  <c r="H785" i="13"/>
  <c r="H784" i="13"/>
  <c r="H783" i="13"/>
  <c r="H782" i="13"/>
  <c r="H781" i="13"/>
  <c r="H780" i="13"/>
  <c r="H779" i="13"/>
  <c r="H778" i="13"/>
  <c r="H777" i="13"/>
  <c r="H776" i="13"/>
  <c r="H775" i="13"/>
  <c r="H774" i="13"/>
  <c r="H773" i="13"/>
  <c r="H772" i="13"/>
  <c r="H771" i="13"/>
  <c r="H770" i="13"/>
  <c r="H769" i="13"/>
  <c r="H768" i="13"/>
  <c r="H767" i="13"/>
  <c r="H766" i="13"/>
  <c r="H765" i="13"/>
  <c r="H764" i="13"/>
  <c r="H763" i="13"/>
  <c r="H762" i="13"/>
  <c r="H761" i="13"/>
  <c r="H760" i="13"/>
  <c r="H759" i="13"/>
  <c r="H758" i="13"/>
  <c r="H757" i="13"/>
  <c r="H756" i="13"/>
  <c r="H755" i="13"/>
  <c r="H754" i="13"/>
  <c r="H753" i="13"/>
  <c r="H752" i="13"/>
  <c r="H751" i="13"/>
  <c r="H750" i="13"/>
  <c r="H749" i="13"/>
  <c r="H748" i="13"/>
  <c r="H747" i="13"/>
  <c r="H746" i="13"/>
  <c r="H745" i="13"/>
  <c r="H744" i="13"/>
  <c r="H743" i="13"/>
  <c r="H742" i="13"/>
  <c r="H741" i="13"/>
  <c r="H740" i="13"/>
  <c r="H739" i="13"/>
  <c r="H738" i="13"/>
  <c r="H737" i="13"/>
  <c r="H736" i="13"/>
  <c r="H735" i="13"/>
  <c r="H734" i="13"/>
  <c r="H733" i="13"/>
  <c r="H732" i="13"/>
  <c r="H731" i="13"/>
  <c r="H730" i="13"/>
  <c r="H729" i="13"/>
  <c r="H728" i="13"/>
  <c r="H727" i="13"/>
  <c r="H726" i="13"/>
  <c r="H725" i="13"/>
  <c r="H724" i="13"/>
  <c r="H723" i="13"/>
  <c r="H722" i="13"/>
  <c r="H721" i="13"/>
  <c r="H720" i="13"/>
  <c r="H719" i="13"/>
  <c r="H718" i="13"/>
  <c r="H717" i="13"/>
  <c r="H716" i="13"/>
  <c r="H715" i="13"/>
  <c r="H714" i="13"/>
  <c r="H713" i="13"/>
  <c r="H712" i="13"/>
  <c r="H711" i="13"/>
  <c r="H710" i="13"/>
  <c r="H709" i="13"/>
  <c r="H708" i="13"/>
  <c r="H707" i="13"/>
  <c r="H706" i="13"/>
  <c r="H705" i="13"/>
  <c r="H704" i="13"/>
  <c r="H703" i="13"/>
  <c r="H702" i="13"/>
  <c r="H701" i="13"/>
  <c r="H700" i="13"/>
  <c r="H699" i="13"/>
  <c r="H698" i="13"/>
  <c r="H697" i="13"/>
  <c r="H696" i="13"/>
  <c r="H695" i="13"/>
  <c r="H694" i="13"/>
  <c r="H693" i="13"/>
  <c r="H692" i="13"/>
  <c r="H691" i="13"/>
  <c r="H690" i="13"/>
  <c r="H689" i="13"/>
  <c r="H688" i="13"/>
  <c r="H687" i="13"/>
  <c r="H686" i="13"/>
  <c r="H685" i="13"/>
  <c r="H684" i="13"/>
  <c r="H683" i="13"/>
  <c r="H682" i="13"/>
  <c r="H681" i="13"/>
  <c r="H680" i="13"/>
  <c r="H679" i="13"/>
  <c r="H678" i="13"/>
  <c r="H677" i="13"/>
  <c r="H676" i="13"/>
  <c r="H675" i="13"/>
  <c r="H674" i="13"/>
  <c r="H673" i="13"/>
  <c r="H672" i="13"/>
  <c r="H671" i="13"/>
  <c r="H670" i="13"/>
  <c r="H669" i="13"/>
  <c r="H668" i="13"/>
  <c r="H667" i="13"/>
  <c r="H666" i="13"/>
  <c r="H665" i="13"/>
  <c r="H664" i="13"/>
  <c r="H663" i="13"/>
  <c r="H662" i="13"/>
  <c r="H661" i="13"/>
  <c r="H660" i="13"/>
  <c r="H659" i="13"/>
  <c r="H658" i="13"/>
  <c r="H657" i="13"/>
  <c r="H656" i="13"/>
  <c r="H655" i="13"/>
  <c r="H654" i="13"/>
  <c r="H653" i="13"/>
  <c r="H652" i="13"/>
  <c r="H651" i="13"/>
  <c r="H650" i="13"/>
  <c r="H649" i="13"/>
  <c r="H648" i="13"/>
  <c r="H647" i="13"/>
  <c r="H646" i="13"/>
  <c r="H645" i="13"/>
  <c r="H644" i="13"/>
  <c r="H643" i="13"/>
  <c r="H642" i="13"/>
  <c r="H641" i="13"/>
  <c r="H640" i="13"/>
  <c r="H639" i="13"/>
  <c r="H638" i="13"/>
  <c r="H637" i="13"/>
  <c r="H636" i="13"/>
  <c r="H635" i="13"/>
  <c r="H634" i="13"/>
  <c r="H633" i="13"/>
  <c r="H632" i="13"/>
  <c r="H631" i="13"/>
  <c r="H630" i="13"/>
  <c r="H629" i="13"/>
  <c r="H628" i="13"/>
  <c r="H627" i="13"/>
  <c r="H626" i="13"/>
  <c r="H625" i="13"/>
  <c r="H624" i="13"/>
  <c r="H623" i="13"/>
  <c r="H622" i="13"/>
  <c r="H621" i="13"/>
  <c r="H620" i="13"/>
  <c r="H619" i="13"/>
  <c r="H618" i="13"/>
  <c r="H617" i="13"/>
  <c r="H616" i="13"/>
  <c r="H615" i="13"/>
  <c r="H614" i="13"/>
  <c r="H613" i="13"/>
  <c r="H612" i="13"/>
  <c r="H611" i="13"/>
  <c r="H610" i="13"/>
  <c r="H609" i="13"/>
  <c r="H608" i="13"/>
  <c r="H607" i="13"/>
  <c r="H606" i="13"/>
  <c r="H605" i="13"/>
  <c r="H604" i="13"/>
  <c r="H603" i="13"/>
  <c r="H602" i="13"/>
  <c r="H601" i="13"/>
  <c r="H600" i="13"/>
  <c r="H599" i="13"/>
  <c r="H598" i="13"/>
  <c r="H597" i="13"/>
  <c r="H596" i="13"/>
  <c r="H595" i="13"/>
  <c r="H594" i="13"/>
  <c r="H593" i="13"/>
  <c r="H592" i="13"/>
  <c r="H591" i="13"/>
  <c r="H590" i="13"/>
  <c r="H589" i="13"/>
  <c r="H588" i="13"/>
  <c r="H587" i="13"/>
  <c r="H586" i="13"/>
  <c r="H585" i="13"/>
  <c r="H584" i="13"/>
  <c r="H583" i="13"/>
  <c r="H582" i="13"/>
  <c r="H581" i="13"/>
  <c r="H580" i="13"/>
  <c r="H579" i="13"/>
  <c r="H578" i="13"/>
  <c r="H577" i="13"/>
  <c r="H576" i="13"/>
  <c r="H575" i="13"/>
  <c r="H574" i="13"/>
  <c r="H573" i="13"/>
  <c r="H572" i="13"/>
  <c r="H571" i="13"/>
  <c r="H570" i="13"/>
  <c r="H569" i="13"/>
  <c r="H568" i="13"/>
  <c r="H567" i="13"/>
  <c r="H566" i="13"/>
  <c r="H565" i="13"/>
  <c r="H564" i="13"/>
  <c r="H563" i="13"/>
  <c r="H562" i="13"/>
  <c r="H561" i="13"/>
  <c r="H560" i="13"/>
  <c r="H559" i="13"/>
  <c r="H558" i="13"/>
  <c r="H557" i="13"/>
  <c r="H556" i="13"/>
  <c r="H555" i="13"/>
  <c r="H554" i="13"/>
  <c r="H553" i="13"/>
  <c r="H552" i="13"/>
  <c r="H551" i="13"/>
  <c r="H550" i="13"/>
  <c r="H549" i="13"/>
  <c r="H548" i="13"/>
  <c r="H547" i="13"/>
  <c r="H546" i="13"/>
  <c r="H545" i="13"/>
  <c r="H544" i="13"/>
  <c r="H543" i="13"/>
  <c r="H542" i="13"/>
  <c r="H541" i="13"/>
  <c r="H540" i="13"/>
  <c r="H539" i="13"/>
  <c r="H538" i="13"/>
  <c r="H537" i="13"/>
  <c r="H536" i="13"/>
  <c r="H535" i="13"/>
  <c r="H534" i="13"/>
  <c r="H533" i="13"/>
  <c r="H532" i="13"/>
  <c r="H531" i="13"/>
  <c r="H530" i="13"/>
  <c r="H529" i="13"/>
  <c r="H528" i="13"/>
  <c r="H527" i="13"/>
  <c r="H526" i="13"/>
  <c r="H525" i="13"/>
  <c r="H524" i="13"/>
  <c r="H523" i="13"/>
  <c r="H522" i="13"/>
  <c r="H521" i="13"/>
  <c r="H520" i="13"/>
  <c r="H519" i="13"/>
  <c r="H518" i="13"/>
  <c r="H517" i="13"/>
  <c r="H516" i="13"/>
  <c r="H515" i="13"/>
  <c r="H514" i="13"/>
  <c r="H513" i="13"/>
  <c r="H512" i="13"/>
  <c r="H511" i="13"/>
  <c r="H510" i="13"/>
  <c r="H509" i="13"/>
  <c r="H508" i="13"/>
  <c r="H507" i="13"/>
  <c r="H506" i="13"/>
  <c r="H505" i="13"/>
  <c r="H504" i="13"/>
  <c r="H503" i="13"/>
  <c r="H502" i="13"/>
  <c r="H501" i="13"/>
  <c r="H500" i="13"/>
  <c r="H499" i="13"/>
  <c r="H498" i="13"/>
  <c r="H497" i="13"/>
  <c r="H496" i="13"/>
  <c r="H495" i="13"/>
  <c r="H494" i="13"/>
  <c r="H493" i="13"/>
  <c r="H492" i="13"/>
  <c r="H491" i="13"/>
  <c r="H490" i="13"/>
  <c r="H489" i="13"/>
  <c r="H488" i="13"/>
  <c r="H487" i="13"/>
  <c r="H486" i="13"/>
  <c r="H485" i="13"/>
  <c r="H484" i="13"/>
  <c r="H483" i="13"/>
  <c r="H482" i="13"/>
  <c r="H481" i="13"/>
  <c r="H480" i="13"/>
  <c r="H479" i="13"/>
  <c r="H478" i="13"/>
  <c r="H477" i="13"/>
  <c r="H476" i="13"/>
  <c r="H475" i="13"/>
  <c r="H474" i="13"/>
  <c r="H473" i="13"/>
  <c r="H472" i="13"/>
  <c r="H471" i="13"/>
  <c r="H470" i="13"/>
  <c r="H469" i="13"/>
  <c r="H468" i="13"/>
  <c r="H467" i="13"/>
  <c r="H466" i="13"/>
  <c r="H465" i="13"/>
  <c r="H464" i="13"/>
  <c r="H463" i="13"/>
  <c r="H462" i="13"/>
  <c r="H461" i="13"/>
  <c r="H460" i="13"/>
  <c r="H459" i="13"/>
  <c r="H458" i="13"/>
  <c r="H457" i="13"/>
  <c r="H456" i="13"/>
  <c r="H455" i="13"/>
  <c r="H454" i="13"/>
  <c r="H453" i="13"/>
  <c r="H452" i="13"/>
  <c r="H451" i="13"/>
  <c r="H450" i="13"/>
  <c r="H449" i="13"/>
  <c r="H448" i="13"/>
  <c r="H447" i="13"/>
  <c r="H446" i="13"/>
  <c r="H445" i="13"/>
  <c r="H444" i="13"/>
  <c r="H443" i="13"/>
  <c r="H442" i="13"/>
  <c r="H441" i="13"/>
  <c r="H440" i="13"/>
  <c r="H439" i="13"/>
  <c r="H438" i="13"/>
  <c r="H437" i="13"/>
  <c r="H436" i="13"/>
  <c r="H435" i="13"/>
  <c r="H434" i="13"/>
  <c r="H433" i="13"/>
  <c r="H432" i="13"/>
  <c r="H431" i="13"/>
  <c r="H430" i="13"/>
  <c r="H429" i="13"/>
  <c r="H428" i="13"/>
  <c r="H427" i="13"/>
  <c r="H426" i="13"/>
  <c r="H425" i="13"/>
  <c r="H424" i="13"/>
  <c r="H423" i="13"/>
  <c r="H422" i="13"/>
  <c r="H421" i="13"/>
  <c r="H420" i="13"/>
  <c r="H419" i="13"/>
  <c r="H418" i="13"/>
  <c r="H417" i="13"/>
  <c r="H416" i="13"/>
  <c r="H415" i="13"/>
  <c r="H414" i="13"/>
  <c r="H413" i="13"/>
  <c r="H412" i="13"/>
  <c r="H411" i="13"/>
  <c r="H410" i="13"/>
  <c r="H409" i="13"/>
  <c r="H408" i="13"/>
  <c r="H407" i="13"/>
  <c r="H406" i="13"/>
  <c r="H405" i="13"/>
  <c r="H404" i="13"/>
  <c r="H403" i="13"/>
  <c r="H402" i="13"/>
  <c r="H401" i="13"/>
  <c r="H400" i="13"/>
  <c r="H399" i="13"/>
  <c r="H398" i="13"/>
  <c r="H397" i="13"/>
  <c r="H396" i="13"/>
  <c r="H395" i="13"/>
  <c r="H394" i="13"/>
  <c r="I16" i="14"/>
  <c r="N3800" i="1" l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L3779" i="1" l="1"/>
  <c r="N3779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L3744" i="1"/>
  <c r="N3744" i="1"/>
  <c r="H3720" i="1"/>
  <c r="H3719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18" i="1"/>
  <c r="H3717" i="1"/>
  <c r="H3716" i="1"/>
  <c r="N3715" i="1"/>
  <c r="L3715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L3673" i="1"/>
  <c r="N3673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L3614" i="1"/>
  <c r="N3614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L3589" i="1"/>
  <c r="N3589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L3498" i="1"/>
  <c r="N3559" i="1"/>
  <c r="L3559" i="1"/>
  <c r="H3559" i="1" l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L3475" i="1"/>
  <c r="N3475" i="1"/>
  <c r="N3498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3" i="1"/>
  <c r="L3447" i="1"/>
  <c r="H3475" i="1"/>
  <c r="H3474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N3447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N3423" i="1"/>
  <c r="L3423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93" i="13"/>
  <c r="H392" i="13"/>
  <c r="H391" i="13"/>
  <c r="H390" i="13"/>
  <c r="H389" i="13"/>
  <c r="H388" i="13"/>
  <c r="H387" i="13"/>
  <c r="H386" i="13"/>
  <c r="H385" i="13"/>
  <c r="H384" i="13"/>
  <c r="H383" i="13"/>
  <c r="H382" i="13"/>
  <c r="H381" i="13"/>
  <c r="H380" i="13"/>
  <c r="H379" i="13"/>
  <c r="H378" i="13"/>
  <c r="H377" i="13"/>
  <c r="H376" i="13"/>
  <c r="H375" i="13"/>
  <c r="H374" i="13"/>
  <c r="H373" i="13"/>
  <c r="H372" i="13"/>
  <c r="H371" i="13"/>
  <c r="H370" i="13"/>
  <c r="H369" i="13"/>
  <c r="H368" i="13"/>
  <c r="H367" i="13"/>
  <c r="H366" i="13"/>
  <c r="H365" i="13"/>
  <c r="H364" i="13"/>
  <c r="H363" i="13"/>
  <c r="H362" i="13"/>
  <c r="H361" i="13"/>
  <c r="H360" i="13"/>
  <c r="H359" i="13"/>
  <c r="H358" i="13"/>
  <c r="H357" i="13"/>
  <c r="H356" i="13"/>
  <c r="H355" i="13"/>
  <c r="H354" i="13"/>
  <c r="H353" i="13"/>
  <c r="H352" i="13"/>
  <c r="H351" i="13"/>
  <c r="H350" i="13"/>
  <c r="H349" i="13"/>
  <c r="H348" i="13"/>
  <c r="H347" i="13"/>
  <c r="H346" i="13"/>
  <c r="H345" i="13"/>
  <c r="H344" i="13"/>
  <c r="H343" i="13"/>
  <c r="H342" i="13"/>
  <c r="H341" i="13"/>
  <c r="H340" i="13"/>
  <c r="H339" i="13"/>
  <c r="H338" i="13"/>
  <c r="H337" i="13"/>
  <c r="H336" i="13"/>
  <c r="H335" i="13"/>
  <c r="H334" i="13"/>
  <c r="H333" i="13"/>
  <c r="H332" i="13"/>
  <c r="H331" i="13"/>
  <c r="H330" i="13"/>
  <c r="H329" i="13"/>
  <c r="H328" i="13"/>
  <c r="H327" i="13"/>
  <c r="H326" i="13"/>
  <c r="H325" i="13"/>
  <c r="H324" i="13"/>
  <c r="H323" i="13"/>
  <c r="H322" i="13"/>
  <c r="H321" i="13"/>
  <c r="H320" i="13"/>
  <c r="H319" i="13"/>
  <c r="H318" i="13"/>
  <c r="H317" i="13"/>
  <c r="H316" i="13"/>
  <c r="H315" i="13"/>
  <c r="H314" i="13"/>
  <c r="H313" i="13"/>
  <c r="H312" i="13"/>
  <c r="H311" i="13"/>
  <c r="H310" i="13"/>
  <c r="H309" i="13"/>
  <c r="H308" i="13"/>
  <c r="H307" i="13"/>
  <c r="H306" i="13"/>
  <c r="H305" i="13"/>
  <c r="H304" i="13"/>
  <c r="H303" i="13"/>
  <c r="H302" i="13"/>
  <c r="H301" i="13"/>
  <c r="H300" i="13"/>
  <c r="H299" i="13"/>
  <c r="H298" i="13"/>
  <c r="H297" i="13"/>
  <c r="H296" i="13"/>
  <c r="H295" i="13"/>
  <c r="H294" i="13"/>
  <c r="H293" i="13"/>
  <c r="H292" i="13"/>
  <c r="H291" i="13"/>
  <c r="H290" i="13"/>
  <c r="H289" i="13"/>
  <c r="H288" i="13"/>
  <c r="H287" i="13"/>
  <c r="H286" i="13"/>
  <c r="H285" i="13"/>
  <c r="H284" i="13"/>
  <c r="H283" i="13"/>
  <c r="H282" i="13"/>
  <c r="H281" i="13"/>
  <c r="H280" i="13"/>
  <c r="H279" i="13"/>
  <c r="H278" i="13"/>
  <c r="H277" i="13"/>
  <c r="H276" i="13"/>
  <c r="H275" i="13"/>
  <c r="H274" i="13"/>
  <c r="H273" i="13"/>
  <c r="H272" i="13"/>
  <c r="H271" i="13"/>
  <c r="H270" i="13"/>
  <c r="H269" i="13"/>
  <c r="H268" i="13"/>
  <c r="H267" i="13"/>
  <c r="H266" i="13"/>
  <c r="H265" i="13"/>
  <c r="H264" i="13"/>
  <c r="H263" i="13"/>
  <c r="H262" i="13"/>
  <c r="H261" i="13"/>
  <c r="H260" i="13"/>
  <c r="H259" i="13"/>
  <c r="H258" i="13"/>
  <c r="H257" i="13"/>
  <c r="H256" i="13"/>
  <c r="H255" i="13"/>
  <c r="H254" i="13"/>
  <c r="H253" i="13"/>
  <c r="H252" i="13"/>
  <c r="H251" i="13"/>
  <c r="H250" i="13"/>
  <c r="H249" i="13"/>
  <c r="H248" i="13"/>
  <c r="H247" i="13"/>
  <c r="H246" i="13"/>
  <c r="H245" i="13"/>
  <c r="H244" i="13"/>
  <c r="H243" i="13"/>
  <c r="H242" i="13"/>
  <c r="H241" i="13"/>
  <c r="H240" i="13"/>
  <c r="H239" i="13"/>
  <c r="H238" i="13"/>
  <c r="H237" i="13"/>
  <c r="H236" i="13"/>
  <c r="H235" i="13"/>
  <c r="H234" i="13"/>
  <c r="H233" i="13"/>
  <c r="H232" i="13"/>
  <c r="H231" i="13"/>
  <c r="H230" i="13"/>
  <c r="H229" i="13"/>
  <c r="H228" i="13"/>
  <c r="H227" i="13"/>
  <c r="H226" i="13"/>
  <c r="H225" i="13"/>
  <c r="H224" i="13"/>
  <c r="H223" i="13"/>
  <c r="H222" i="13"/>
  <c r="H221" i="13"/>
  <c r="H220" i="13"/>
  <c r="H219" i="13"/>
  <c r="H218" i="13"/>
  <c r="H217" i="13"/>
  <c r="H216" i="13"/>
  <c r="H215" i="13"/>
  <c r="H214" i="13"/>
  <c r="H213" i="13"/>
  <c r="H212" i="13"/>
  <c r="H211" i="13"/>
  <c r="H210" i="13"/>
  <c r="H209" i="13"/>
  <c r="H208" i="13"/>
  <c r="H207" i="13"/>
  <c r="H206" i="13"/>
  <c r="H205" i="13"/>
  <c r="H204" i="13"/>
  <c r="H203" i="13"/>
  <c r="H202" i="13"/>
  <c r="H201" i="13"/>
  <c r="H200" i="13"/>
  <c r="H199" i="13"/>
  <c r="H198" i="13"/>
  <c r="H197" i="13"/>
  <c r="H196" i="13"/>
  <c r="H195" i="13"/>
  <c r="H194" i="13"/>
  <c r="H193" i="13"/>
  <c r="H192" i="13"/>
  <c r="H191" i="13"/>
  <c r="H190" i="13"/>
  <c r="H189" i="13"/>
  <c r="H188" i="13"/>
  <c r="H187" i="13"/>
  <c r="H186" i="13"/>
  <c r="H185" i="13"/>
  <c r="H184" i="13"/>
  <c r="H183" i="13"/>
  <c r="H182" i="13"/>
  <c r="H181" i="13"/>
  <c r="H180" i="13"/>
  <c r="H179" i="13"/>
  <c r="H178" i="13"/>
  <c r="H177" i="13"/>
  <c r="H176" i="13"/>
  <c r="H175" i="13"/>
  <c r="H174" i="13"/>
  <c r="L3392" i="1"/>
  <c r="N3392" i="1" l="1"/>
  <c r="L3349" i="1"/>
  <c r="H3290" i="1" l="1"/>
  <c r="N3349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276" i="1" l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5" i="1"/>
  <c r="H3274" i="1"/>
  <c r="H3273" i="1"/>
  <c r="H3272" i="1"/>
  <c r="H3271" i="1"/>
  <c r="H3270" i="1"/>
  <c r="H3269" i="1"/>
  <c r="N3268" i="1"/>
  <c r="L3268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N3236" i="1"/>
  <c r="L3236" i="1"/>
  <c r="H5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F215" i="1"/>
  <c r="H215" i="1"/>
  <c r="F216" i="1"/>
  <c r="H216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F236" i="1"/>
  <c r="H236" i="1"/>
  <c r="F237" i="1"/>
  <c r="H237" i="1"/>
  <c r="F238" i="1"/>
  <c r="H238" i="1"/>
  <c r="F239" i="1"/>
  <c r="H239" i="1"/>
  <c r="F240" i="1"/>
  <c r="H240" i="1"/>
  <c r="F241" i="1"/>
  <c r="H241" i="1"/>
  <c r="H242" i="1"/>
  <c r="F243" i="1"/>
  <c r="H243" i="1"/>
  <c r="F244" i="1"/>
  <c r="H244" i="1"/>
  <c r="F245" i="1"/>
  <c r="H245" i="1"/>
  <c r="F246" i="1"/>
  <c r="H246" i="1"/>
  <c r="F247" i="1"/>
  <c r="H247" i="1"/>
  <c r="F248" i="1"/>
  <c r="H248" i="1"/>
  <c r="F249" i="1"/>
  <c r="H249" i="1"/>
  <c r="F250" i="1"/>
  <c r="H250" i="1"/>
  <c r="F251" i="1"/>
  <c r="H251" i="1"/>
  <c r="F252" i="1"/>
  <c r="H252" i="1"/>
  <c r="F253" i="1"/>
  <c r="H253" i="1"/>
  <c r="F254" i="1"/>
  <c r="H254" i="1"/>
  <c r="F255" i="1"/>
  <c r="H255" i="1"/>
  <c r="F256" i="1"/>
  <c r="H256" i="1"/>
  <c r="F257" i="1"/>
  <c r="H257" i="1"/>
  <c r="F258" i="1"/>
  <c r="H258" i="1"/>
  <c r="F259" i="1"/>
  <c r="H259" i="1"/>
  <c r="F260" i="1"/>
  <c r="H260" i="1"/>
  <c r="F261" i="1"/>
  <c r="H261" i="1"/>
  <c r="F262" i="1"/>
  <c r="H262" i="1"/>
  <c r="F263" i="1"/>
  <c r="H263" i="1"/>
  <c r="F264" i="1"/>
  <c r="H264" i="1"/>
  <c r="F265" i="1"/>
  <c r="H265" i="1"/>
  <c r="F266" i="1"/>
  <c r="H266" i="1"/>
  <c r="F267" i="1"/>
  <c r="H267" i="1"/>
  <c r="F268" i="1"/>
  <c r="H268" i="1"/>
  <c r="F269" i="1"/>
  <c r="H269" i="1"/>
  <c r="F270" i="1"/>
  <c r="H270" i="1"/>
  <c r="F271" i="1"/>
  <c r="H271" i="1"/>
  <c r="F272" i="1"/>
  <c r="H272" i="1"/>
  <c r="F273" i="1"/>
  <c r="H273" i="1"/>
  <c r="F274" i="1"/>
  <c r="H274" i="1"/>
  <c r="F275" i="1"/>
  <c r="H275" i="1"/>
  <c r="F276" i="1"/>
  <c r="H276" i="1"/>
  <c r="F277" i="1"/>
  <c r="H277" i="1"/>
  <c r="F278" i="1"/>
  <c r="H278" i="1"/>
  <c r="F279" i="1"/>
  <c r="H279" i="1"/>
  <c r="F280" i="1"/>
  <c r="H280" i="1"/>
  <c r="F281" i="1"/>
  <c r="H281" i="1"/>
  <c r="F282" i="1"/>
  <c r="H282" i="1"/>
  <c r="H283" i="1"/>
  <c r="F284" i="1"/>
  <c r="H284" i="1"/>
  <c r="F285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K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O649" i="1"/>
  <c r="H650" i="1"/>
  <c r="O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L706" i="1"/>
  <c r="H707" i="1"/>
  <c r="H708" i="1"/>
  <c r="H709" i="1"/>
  <c r="H710" i="1"/>
  <c r="L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P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L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L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L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L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L864" i="1"/>
  <c r="M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L880" i="1"/>
  <c r="M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L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L918" i="1"/>
  <c r="M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L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L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L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L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L1018" i="1"/>
  <c r="H1019" i="1"/>
  <c r="H1020" i="1"/>
  <c r="H1021" i="1"/>
  <c r="H1022" i="1"/>
  <c r="M1022" i="1"/>
  <c r="H1023" i="1"/>
  <c r="H1024" i="1"/>
  <c r="H1025" i="1"/>
  <c r="H1026" i="1"/>
  <c r="H1027" i="1"/>
  <c r="H1028" i="1"/>
  <c r="L1028" i="1"/>
  <c r="H1029" i="1"/>
  <c r="H1030" i="1"/>
  <c r="H1031" i="1"/>
  <c r="H1032" i="1"/>
  <c r="H1033" i="1"/>
  <c r="H1034" i="1"/>
  <c r="L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L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L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L1095" i="1"/>
  <c r="M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L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L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L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L1236" i="1"/>
  <c r="H1237" i="1"/>
  <c r="H1238" i="1"/>
  <c r="H1239" i="1"/>
  <c r="L1239" i="1"/>
  <c r="H1240" i="1"/>
  <c r="H1241" i="1"/>
  <c r="H1242" i="1"/>
  <c r="H1243" i="1"/>
  <c r="H1244" i="1"/>
  <c r="H1245" i="1"/>
  <c r="H1246" i="1"/>
  <c r="H1247" i="1"/>
  <c r="H1248" i="1"/>
  <c r="H1249" i="1"/>
  <c r="H1250" i="1"/>
  <c r="L1250" i="1"/>
  <c r="H1251" i="1"/>
  <c r="H1252" i="1"/>
  <c r="H1253" i="1"/>
  <c r="H1254" i="1"/>
  <c r="H1255" i="1"/>
  <c r="H1256" i="1"/>
  <c r="H1257" i="1"/>
  <c r="H1258" i="1"/>
  <c r="L1258" i="1"/>
  <c r="H1259" i="1"/>
  <c r="H1260" i="1"/>
  <c r="H1261" i="1"/>
  <c r="H1262" i="1"/>
  <c r="L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L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L1289" i="1"/>
  <c r="H1290" i="1"/>
  <c r="H1291" i="1"/>
  <c r="H1292" i="1"/>
  <c r="H1293" i="1"/>
  <c r="H1294" i="1"/>
  <c r="H1295" i="1"/>
  <c r="L1295" i="1"/>
  <c r="H1296" i="1"/>
  <c r="H1297" i="1"/>
  <c r="H1298" i="1"/>
  <c r="H1299" i="1"/>
  <c r="H1300" i="1"/>
  <c r="H1301" i="1"/>
  <c r="L1301" i="1"/>
  <c r="H1302" i="1"/>
  <c r="H1303" i="1"/>
  <c r="L1303" i="1"/>
  <c r="H1304" i="1"/>
  <c r="H1305" i="1"/>
  <c r="L1305" i="1"/>
  <c r="H1306" i="1"/>
  <c r="H1307" i="1"/>
  <c r="H1308" i="1"/>
  <c r="H1309" i="1"/>
  <c r="H1310" i="1"/>
  <c r="H1311" i="1"/>
  <c r="H1312" i="1"/>
  <c r="H1313" i="1"/>
  <c r="H1314" i="1"/>
  <c r="H1315" i="1"/>
  <c r="L1315" i="1"/>
  <c r="M1315" i="1"/>
  <c r="H1316" i="1"/>
  <c r="H1317" i="1"/>
  <c r="H1318" i="1"/>
  <c r="H1319" i="1"/>
  <c r="H1320" i="1"/>
  <c r="H1321" i="1"/>
  <c r="H1322" i="1"/>
  <c r="H1323" i="1"/>
  <c r="H1324" i="1"/>
  <c r="H1325" i="1"/>
  <c r="H1326" i="1"/>
  <c r="L1326" i="1"/>
  <c r="H1327" i="1"/>
  <c r="H1328" i="1"/>
  <c r="H1329" i="1"/>
  <c r="H1330" i="1"/>
  <c r="H1331" i="1"/>
  <c r="H1332" i="1"/>
  <c r="L1332" i="1"/>
  <c r="H1333" i="1"/>
  <c r="H1334" i="1"/>
  <c r="H1335" i="1"/>
  <c r="L1335" i="1"/>
  <c r="H1336" i="1"/>
  <c r="H1337" i="1"/>
  <c r="H1338" i="1"/>
  <c r="H1339" i="1"/>
  <c r="H1340" i="1"/>
  <c r="H1341" i="1"/>
  <c r="H1342" i="1"/>
  <c r="L1342" i="1"/>
  <c r="H1343" i="1"/>
  <c r="H1344" i="1"/>
  <c r="H1345" i="1"/>
  <c r="H1346" i="1"/>
  <c r="L1346" i="1"/>
  <c r="H1347" i="1"/>
  <c r="H1348" i="1"/>
  <c r="H1349" i="1"/>
  <c r="H1350" i="1"/>
  <c r="H1351" i="1"/>
  <c r="H1352" i="1"/>
  <c r="H1353" i="1"/>
  <c r="H1354" i="1"/>
  <c r="H1355" i="1"/>
  <c r="H1356" i="1"/>
  <c r="H1357" i="1"/>
  <c r="L1357" i="1"/>
  <c r="H1358" i="1"/>
  <c r="H1359" i="1"/>
  <c r="H1360" i="1"/>
  <c r="H1361" i="1"/>
  <c r="L1361" i="1"/>
  <c r="H1362" i="1"/>
  <c r="H1363" i="1"/>
  <c r="L1363" i="1"/>
  <c r="H1364" i="1"/>
  <c r="H1365" i="1"/>
  <c r="H1366" i="1"/>
  <c r="H1367" i="1"/>
  <c r="H1368" i="1"/>
  <c r="H1369" i="1"/>
  <c r="H1370" i="1"/>
  <c r="L1370" i="1"/>
  <c r="H1371" i="1"/>
  <c r="H1372" i="1"/>
  <c r="H1373" i="1"/>
  <c r="H1374" i="1"/>
  <c r="H1375" i="1"/>
  <c r="L1375" i="1"/>
  <c r="H1376" i="1"/>
  <c r="H1377" i="1"/>
  <c r="H1378" i="1"/>
  <c r="H1379" i="1"/>
  <c r="L1379" i="1"/>
  <c r="H1380" i="1"/>
  <c r="H1381" i="1"/>
  <c r="H1382" i="1"/>
  <c r="H1383" i="1"/>
  <c r="H1384" i="1"/>
  <c r="L1384" i="1"/>
  <c r="H1385" i="1"/>
  <c r="H1386" i="1"/>
  <c r="H1387" i="1"/>
  <c r="H1388" i="1"/>
  <c r="H1389" i="1"/>
  <c r="H1390" i="1"/>
  <c r="H1391" i="1"/>
  <c r="H1392" i="1"/>
  <c r="H1393" i="1"/>
  <c r="H1394" i="1"/>
  <c r="L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L1416" i="1"/>
  <c r="H1417" i="1"/>
  <c r="H1418" i="1"/>
  <c r="M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L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L1449" i="1"/>
  <c r="H1450" i="1"/>
  <c r="H1451" i="1"/>
  <c r="H1452" i="1"/>
  <c r="H1453" i="1"/>
  <c r="H1454" i="1"/>
  <c r="H1455" i="1"/>
  <c r="L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L1467" i="1"/>
  <c r="H1468" i="1"/>
  <c r="H1469" i="1"/>
  <c r="H1470" i="1"/>
  <c r="H1471" i="1"/>
  <c r="H1472" i="1"/>
  <c r="M1472" i="1"/>
  <c r="H1473" i="1"/>
  <c r="H1474" i="1"/>
  <c r="M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L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L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L1527" i="1"/>
  <c r="M1527" i="1"/>
  <c r="H1528" i="1"/>
  <c r="H1529" i="1"/>
  <c r="H1530" i="1"/>
  <c r="H1531" i="1"/>
  <c r="H1532" i="1"/>
  <c r="H1533" i="1"/>
  <c r="L1533" i="1"/>
  <c r="H1534" i="1"/>
  <c r="H1535" i="1"/>
  <c r="H1536" i="1"/>
  <c r="H1537" i="1"/>
  <c r="H1538" i="1"/>
  <c r="H1539" i="1"/>
  <c r="H1540" i="1"/>
  <c r="L1540" i="1"/>
  <c r="H1541" i="1"/>
  <c r="H1542" i="1"/>
  <c r="H1543" i="1"/>
  <c r="L1543" i="1"/>
  <c r="H1544" i="1"/>
  <c r="H1545" i="1"/>
  <c r="H1546" i="1"/>
  <c r="H1547" i="1"/>
  <c r="H1548" i="1"/>
  <c r="H1549" i="1"/>
  <c r="L1549" i="1"/>
  <c r="H1550" i="1"/>
  <c r="H1551" i="1"/>
  <c r="H1552" i="1"/>
  <c r="H1553" i="1"/>
  <c r="M1553" i="1"/>
  <c r="H1554" i="1"/>
  <c r="H1555" i="1"/>
  <c r="L1555" i="1"/>
  <c r="H1556" i="1"/>
  <c r="H1557" i="1"/>
  <c r="H1558" i="1"/>
  <c r="H1559" i="1"/>
  <c r="M1559" i="1"/>
  <c r="H1560" i="1"/>
  <c r="H1561" i="1"/>
  <c r="H1562" i="1"/>
  <c r="H1563" i="1"/>
  <c r="H1564" i="1"/>
  <c r="L1564" i="1"/>
  <c r="H1565" i="1"/>
  <c r="H1566" i="1"/>
  <c r="H1567" i="1"/>
  <c r="H1568" i="1"/>
  <c r="M1568" i="1"/>
  <c r="H1569" i="1"/>
  <c r="H1570" i="1"/>
  <c r="H1571" i="1"/>
  <c r="H1572" i="1"/>
  <c r="H1573" i="1"/>
  <c r="H1574" i="1"/>
  <c r="H1575" i="1"/>
  <c r="L1575" i="1"/>
  <c r="H1576" i="1"/>
  <c r="H1577" i="1"/>
  <c r="H1578" i="1"/>
  <c r="H1579" i="1"/>
  <c r="H1580" i="1"/>
  <c r="H1581" i="1"/>
  <c r="H1582" i="1"/>
  <c r="H1583" i="1"/>
  <c r="H1584" i="1"/>
  <c r="L1584" i="1"/>
  <c r="H1585" i="1"/>
  <c r="H1586" i="1"/>
  <c r="H1587" i="1"/>
  <c r="H1588" i="1"/>
  <c r="H1589" i="1"/>
  <c r="H1590" i="1"/>
  <c r="H1591" i="1"/>
  <c r="H1592" i="1"/>
  <c r="H1593" i="1"/>
  <c r="H1594" i="1"/>
  <c r="L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M1608" i="1"/>
  <c r="H1609" i="1"/>
  <c r="H1610" i="1"/>
  <c r="H1611" i="1"/>
  <c r="H1612" i="1"/>
  <c r="L1612" i="1"/>
  <c r="H1613" i="1"/>
  <c r="H1614" i="1"/>
  <c r="H1615" i="1"/>
  <c r="L1615" i="1"/>
  <c r="H1616" i="1"/>
  <c r="H1617" i="1"/>
  <c r="H1618" i="1"/>
  <c r="H1619" i="1"/>
  <c r="L1619" i="1"/>
  <c r="H1620" i="1"/>
  <c r="H1621" i="1"/>
  <c r="H1622" i="1"/>
  <c r="H1623" i="1"/>
  <c r="H1624" i="1"/>
  <c r="H1625" i="1"/>
  <c r="H1626" i="1"/>
  <c r="H1627" i="1"/>
  <c r="L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L1645" i="1"/>
  <c r="H1646" i="1"/>
  <c r="H1647" i="1"/>
  <c r="H1648" i="1"/>
  <c r="L1648" i="1"/>
  <c r="H1649" i="1"/>
  <c r="H1650" i="1"/>
  <c r="H1651" i="1"/>
  <c r="H1652" i="1"/>
  <c r="L1652" i="1"/>
  <c r="H1653" i="1"/>
  <c r="H1654" i="1"/>
  <c r="H1655" i="1"/>
  <c r="H1656" i="1"/>
  <c r="H1657" i="1"/>
  <c r="L1657" i="1"/>
  <c r="H1658" i="1"/>
  <c r="H1659" i="1"/>
  <c r="H1660" i="1"/>
  <c r="H1661" i="1"/>
  <c r="H1662" i="1"/>
  <c r="H1663" i="1"/>
  <c r="H1664" i="1"/>
  <c r="H1665" i="1"/>
  <c r="H1666" i="1"/>
  <c r="L1666" i="1"/>
  <c r="H1667" i="1"/>
  <c r="H1668" i="1"/>
  <c r="H1669" i="1"/>
  <c r="L1669" i="1"/>
  <c r="H1670" i="1"/>
  <c r="H1671" i="1"/>
  <c r="H1672" i="1"/>
  <c r="H1673" i="1"/>
  <c r="H1674" i="1"/>
  <c r="H1675" i="1"/>
  <c r="L1675" i="1"/>
  <c r="H1676" i="1"/>
  <c r="H1677" i="1"/>
  <c r="H1678" i="1"/>
  <c r="L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L1696" i="1"/>
  <c r="H1697" i="1"/>
  <c r="H1698" i="1"/>
  <c r="H1699" i="1"/>
  <c r="H1700" i="1"/>
  <c r="H1701" i="1"/>
  <c r="L1701" i="1"/>
  <c r="H1702" i="1"/>
  <c r="H1703" i="1"/>
  <c r="H1704" i="1"/>
  <c r="H1705" i="1"/>
  <c r="H1706" i="1"/>
  <c r="L1706" i="1"/>
  <c r="M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L1718" i="1"/>
  <c r="H1719" i="1"/>
  <c r="H1720" i="1"/>
  <c r="H1721" i="1"/>
  <c r="H1722" i="1"/>
  <c r="H1723" i="1"/>
  <c r="H1724" i="1"/>
  <c r="H1725" i="1"/>
  <c r="M1725" i="1"/>
  <c r="H1726" i="1"/>
  <c r="M1726" i="1"/>
  <c r="H1727" i="1"/>
  <c r="L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L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L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L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L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L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L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L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L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L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L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L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L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L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L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L2060" i="1"/>
  <c r="H2061" i="1"/>
  <c r="H2062" i="1"/>
  <c r="H2063" i="1"/>
  <c r="H2064" i="1"/>
  <c r="H2065" i="1"/>
  <c r="H2066" i="1"/>
  <c r="L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L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L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N2124" i="1"/>
  <c r="H2125" i="1"/>
  <c r="H2126" i="1"/>
  <c r="L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L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L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L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L2201" i="1"/>
  <c r="H2202" i="1"/>
  <c r="H2203" i="1"/>
  <c r="H2204" i="1"/>
  <c r="H2205" i="1"/>
  <c r="H2206" i="1"/>
  <c r="H2207" i="1"/>
  <c r="H2208" i="1"/>
  <c r="H2209" i="1"/>
  <c r="L2209" i="1"/>
  <c r="H2210" i="1"/>
  <c r="H2211" i="1"/>
  <c r="H2212" i="1"/>
  <c r="H2213" i="1"/>
  <c r="H2214" i="1"/>
  <c r="H2215" i="1"/>
  <c r="H2216" i="1"/>
  <c r="H2217" i="1"/>
  <c r="H2218" i="1"/>
  <c r="L2218" i="1"/>
  <c r="H2219" i="1"/>
  <c r="H2220" i="1"/>
  <c r="H2221" i="1"/>
  <c r="L2221" i="1"/>
  <c r="H2222" i="1"/>
  <c r="H2223" i="1"/>
  <c r="H2224" i="1"/>
  <c r="H2225" i="1"/>
  <c r="H2226" i="1"/>
  <c r="L2226" i="1"/>
  <c r="H2227" i="1"/>
  <c r="H2228" i="1"/>
  <c r="H2229" i="1"/>
  <c r="H2230" i="1"/>
  <c r="H2231" i="1"/>
  <c r="H2232" i="1"/>
  <c r="H2233" i="1"/>
  <c r="H2234" i="1"/>
  <c r="L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M2249" i="1"/>
  <c r="H2250" i="1"/>
  <c r="H2251" i="1"/>
  <c r="H2252" i="1"/>
  <c r="H2253" i="1"/>
  <c r="H2254" i="1"/>
  <c r="H2255" i="1"/>
  <c r="H2256" i="1"/>
  <c r="H2257" i="1"/>
  <c r="L2257" i="1"/>
  <c r="H2258" i="1"/>
  <c r="H2259" i="1"/>
  <c r="L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N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L2310" i="1"/>
  <c r="H2311" i="1"/>
  <c r="H2312" i="1"/>
  <c r="H2313" i="1"/>
  <c r="H2314" i="1"/>
  <c r="H2315" i="1"/>
  <c r="H2316" i="1"/>
  <c r="L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L2336" i="1"/>
  <c r="H2337" i="1"/>
  <c r="H2338" i="1"/>
  <c r="H2339" i="1"/>
  <c r="H2340" i="1"/>
  <c r="H2341" i="1"/>
  <c r="H2342" i="1"/>
  <c r="H2343" i="1"/>
  <c r="L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L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L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L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L2449" i="1"/>
  <c r="H2450" i="1"/>
  <c r="H2451" i="1"/>
  <c r="H2452" i="1"/>
  <c r="H2453" i="1"/>
  <c r="H2454" i="1"/>
  <c r="H2455" i="1"/>
  <c r="L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L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L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L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L2530" i="1"/>
  <c r="H2531" i="1"/>
  <c r="H2532" i="1"/>
  <c r="H2533" i="1"/>
  <c r="H2534" i="1"/>
  <c r="H2535" i="1"/>
  <c r="H2536" i="1"/>
  <c r="H2537" i="1"/>
  <c r="L2537" i="1"/>
  <c r="H2538" i="1"/>
  <c r="H2539" i="1"/>
  <c r="H2540" i="1"/>
  <c r="H2541" i="1"/>
  <c r="H2542" i="1"/>
  <c r="H2543" i="1"/>
  <c r="H2544" i="1"/>
  <c r="H2545" i="1"/>
  <c r="H2546" i="1"/>
  <c r="L2546" i="1"/>
  <c r="H2547" i="1"/>
  <c r="H2548" i="1"/>
  <c r="H2549" i="1"/>
  <c r="H2550" i="1"/>
  <c r="H2551" i="1"/>
  <c r="H2552" i="1"/>
  <c r="H2553" i="1"/>
  <c r="H2554" i="1"/>
  <c r="H2555" i="1"/>
  <c r="H2556" i="1"/>
  <c r="L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L2583" i="1"/>
  <c r="H2584" i="1"/>
  <c r="H2585" i="1"/>
  <c r="H2586" i="1"/>
  <c r="H2587" i="1"/>
  <c r="H2588" i="1"/>
  <c r="H2589" i="1"/>
  <c r="H2590" i="1"/>
  <c r="H2591" i="1"/>
  <c r="H2592" i="1"/>
  <c r="L2592" i="1"/>
  <c r="H2593" i="1"/>
  <c r="H2594" i="1"/>
  <c r="H2595" i="1"/>
  <c r="H2596" i="1"/>
  <c r="H2597" i="1"/>
  <c r="H2598" i="1"/>
  <c r="H2599" i="1"/>
  <c r="L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L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L2623" i="1"/>
  <c r="M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L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L2710" i="1"/>
  <c r="H2711" i="1"/>
  <c r="H2712" i="1"/>
  <c r="H2713" i="1"/>
  <c r="H2714" i="1"/>
  <c r="H2715" i="1"/>
  <c r="H2716" i="1"/>
  <c r="H2717" i="1"/>
  <c r="H2718" i="1"/>
  <c r="H2719" i="1"/>
  <c r="H2720" i="1"/>
  <c r="L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L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L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L2769" i="1"/>
  <c r="H2770" i="1"/>
  <c r="H2771" i="1"/>
  <c r="H2772" i="1"/>
  <c r="H2773" i="1"/>
  <c r="H2774" i="1"/>
  <c r="H2775" i="1"/>
  <c r="H2776" i="1"/>
  <c r="H2777" i="1"/>
  <c r="L2777" i="1"/>
  <c r="H2778" i="1"/>
  <c r="H2779" i="1"/>
  <c r="H2780" i="1"/>
  <c r="H2781" i="1"/>
  <c r="H2782" i="1"/>
  <c r="L2782" i="1"/>
  <c r="H2783" i="1"/>
  <c r="H2784" i="1"/>
  <c r="H2785" i="1"/>
  <c r="H2786" i="1"/>
  <c r="H2787" i="1"/>
  <c r="H2788" i="1"/>
  <c r="H2789" i="1"/>
  <c r="L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L2814" i="1"/>
  <c r="H2815" i="1"/>
  <c r="H2816" i="1"/>
  <c r="H2817" i="1"/>
  <c r="H2818" i="1"/>
  <c r="H2819" i="1"/>
  <c r="L2819" i="1"/>
  <c r="H2820" i="1"/>
  <c r="H2821" i="1"/>
  <c r="H2822" i="1"/>
  <c r="H2823" i="1"/>
  <c r="H2824" i="1"/>
  <c r="H2825" i="1"/>
  <c r="H2826" i="1"/>
  <c r="H2827" i="1"/>
  <c r="L2827" i="1"/>
  <c r="H2828" i="1"/>
  <c r="H2829" i="1"/>
  <c r="H2830" i="1"/>
  <c r="H2831" i="1"/>
  <c r="H2832" i="1"/>
  <c r="H2833" i="1"/>
  <c r="H2834" i="1"/>
  <c r="H2835" i="1"/>
  <c r="L2835" i="1"/>
  <c r="H2836" i="1"/>
  <c r="H2837" i="1"/>
  <c r="H2838" i="1"/>
  <c r="H2839" i="1"/>
  <c r="H2840" i="1"/>
  <c r="H2841" i="1"/>
  <c r="H2842" i="1"/>
  <c r="H2843" i="1"/>
  <c r="L2843" i="1"/>
  <c r="H2844" i="1"/>
  <c r="H2845" i="1"/>
  <c r="H2846" i="1"/>
  <c r="H2847" i="1"/>
  <c r="H2848" i="1"/>
  <c r="H2849" i="1"/>
  <c r="H2850" i="1"/>
  <c r="L2850" i="1"/>
  <c r="H2851" i="1"/>
  <c r="H2852" i="1"/>
  <c r="L2852" i="1"/>
  <c r="H2853" i="1"/>
  <c r="H2854" i="1"/>
  <c r="H2855" i="1"/>
  <c r="H2856" i="1"/>
  <c r="H2857" i="1"/>
  <c r="H2858" i="1"/>
  <c r="H2859" i="1"/>
  <c r="H2860" i="1"/>
  <c r="H2861" i="1"/>
  <c r="L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L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L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L2915" i="1"/>
  <c r="H2916" i="1"/>
  <c r="H2917" i="1"/>
  <c r="H2918" i="1"/>
  <c r="H2919" i="1"/>
  <c r="H2920" i="1"/>
  <c r="H2921" i="1"/>
  <c r="H2922" i="1"/>
  <c r="H2923" i="1"/>
  <c r="H2924" i="1"/>
  <c r="L2924" i="1"/>
  <c r="H2925" i="1"/>
  <c r="H2926" i="1"/>
  <c r="H2927" i="1"/>
  <c r="H2928" i="1"/>
  <c r="H2929" i="1"/>
  <c r="H2930" i="1"/>
  <c r="H2931" i="1"/>
  <c r="H2932" i="1"/>
  <c r="H2933" i="1"/>
  <c r="L2933" i="1"/>
  <c r="H2934" i="1"/>
  <c r="H2935" i="1"/>
  <c r="H2936" i="1"/>
  <c r="H2937" i="1"/>
  <c r="H2938" i="1"/>
  <c r="H2939" i="1"/>
  <c r="H2940" i="1"/>
  <c r="H2941" i="1"/>
  <c r="H2942" i="1"/>
  <c r="L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L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L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M2993" i="1"/>
  <c r="H2994" i="1"/>
  <c r="L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L3016" i="1"/>
  <c r="N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L3043" i="1"/>
  <c r="N3043" i="1"/>
  <c r="H3044" i="1"/>
  <c r="H3045" i="1"/>
  <c r="H3046" i="1"/>
  <c r="H3047" i="1"/>
  <c r="H3048" i="1"/>
  <c r="H3049" i="1"/>
  <c r="H3050" i="1"/>
  <c r="H3051" i="1"/>
  <c r="H3052" i="1"/>
  <c r="H3053" i="1"/>
  <c r="H3054" i="1"/>
  <c r="L3054" i="1"/>
  <c r="N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L3070" i="1"/>
  <c r="N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L3129" i="1"/>
  <c r="N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L3168" i="1"/>
  <c r="N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L3200" i="1"/>
  <c r="O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F4926" i="1" l="1"/>
  <c r="H173" i="13"/>
  <c r="H172" i="13"/>
  <c r="H171" i="13"/>
  <c r="H170" i="13"/>
  <c r="H169" i="13"/>
  <c r="H168" i="13"/>
  <c r="H167" i="13"/>
  <c r="H166" i="13"/>
  <c r="H165" i="13"/>
  <c r="H164" i="13"/>
  <c r="H163" i="13"/>
  <c r="H162" i="13"/>
  <c r="H161" i="13"/>
  <c r="H160" i="13"/>
  <c r="H159" i="13"/>
  <c r="H158" i="13"/>
  <c r="H157" i="13"/>
  <c r="H156" i="13"/>
  <c r="H155" i="13"/>
  <c r="H154" i="13"/>
  <c r="H153" i="13"/>
  <c r="H152" i="13"/>
  <c r="H151" i="13"/>
  <c r="H150" i="13"/>
  <c r="H149" i="13"/>
  <c r="H148" i="13"/>
  <c r="H147" i="13"/>
  <c r="H146" i="13"/>
  <c r="H145" i="13"/>
  <c r="H144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 l="1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825" i="13" l="1"/>
  <c r="D825" i="13"/>
  <c r="I257" i="12"/>
  <c r="I255" i="12"/>
  <c r="I254" i="12"/>
  <c r="I253" i="12"/>
  <c r="G255" i="12"/>
  <c r="D255" i="12"/>
  <c r="K247" i="12"/>
  <c r="G248" i="12"/>
  <c r="F248" i="12"/>
  <c r="D248" i="12"/>
  <c r="H247" i="12"/>
  <c r="H246" i="12"/>
  <c r="H245" i="12"/>
  <c r="H244" i="12"/>
  <c r="H243" i="12"/>
  <c r="H242" i="12"/>
  <c r="H241" i="12"/>
  <c r="H240" i="12"/>
  <c r="H239" i="12"/>
  <c r="H238" i="12"/>
  <c r="H237" i="12"/>
  <c r="H236" i="12"/>
  <c r="H235" i="12"/>
  <c r="H234" i="12"/>
  <c r="H233" i="12"/>
  <c r="H232" i="12"/>
  <c r="H231" i="12"/>
  <c r="H230" i="12"/>
  <c r="H229" i="12"/>
  <c r="H228" i="12"/>
  <c r="H227" i="12"/>
  <c r="H226" i="12"/>
  <c r="H225" i="12"/>
  <c r="H224" i="12"/>
  <c r="H223" i="12"/>
  <c r="H222" i="12"/>
  <c r="H221" i="12"/>
  <c r="H220" i="12"/>
  <c r="H219" i="12"/>
  <c r="H218" i="12"/>
  <c r="H217" i="12"/>
  <c r="H216" i="12"/>
  <c r="H215" i="12"/>
  <c r="H214" i="12"/>
  <c r="H213" i="12"/>
  <c r="H212" i="12"/>
  <c r="H211" i="12"/>
  <c r="H210" i="12"/>
  <c r="H209" i="12"/>
  <c r="H208" i="12"/>
  <c r="H207" i="12"/>
  <c r="H206" i="12"/>
  <c r="H205" i="12"/>
  <c r="H204" i="12"/>
  <c r="H203" i="12"/>
  <c r="H202" i="12"/>
  <c r="H201" i="12"/>
  <c r="H200" i="12"/>
  <c r="H199" i="12"/>
  <c r="H198" i="12"/>
  <c r="H197" i="12"/>
  <c r="H196" i="12"/>
  <c r="H195" i="12"/>
  <c r="H194" i="12"/>
  <c r="H193" i="12"/>
  <c r="H192" i="12"/>
  <c r="H191" i="12"/>
  <c r="H190" i="12"/>
  <c r="H189" i="12"/>
  <c r="H188" i="12"/>
  <c r="H187" i="12"/>
  <c r="H186" i="12"/>
  <c r="H185" i="12"/>
  <c r="H184" i="12"/>
  <c r="H183" i="12"/>
  <c r="H182" i="12"/>
  <c r="H181" i="12"/>
  <c r="H180" i="12"/>
  <c r="H179" i="12"/>
  <c r="H178" i="12"/>
  <c r="H177" i="12"/>
  <c r="H176" i="12"/>
  <c r="H175" i="12"/>
  <c r="H174" i="12"/>
  <c r="H173" i="12"/>
  <c r="H172" i="12"/>
  <c r="H171" i="12"/>
  <c r="H170" i="12"/>
  <c r="H169" i="12"/>
  <c r="H168" i="12"/>
  <c r="H167" i="12"/>
  <c r="H166" i="12"/>
  <c r="H165" i="12"/>
  <c r="H164" i="12"/>
  <c r="H163" i="12"/>
  <c r="H162" i="12"/>
  <c r="H161" i="12"/>
  <c r="H160" i="12"/>
  <c r="H159" i="12"/>
  <c r="H158" i="12"/>
  <c r="H157" i="12"/>
  <c r="H156" i="12"/>
  <c r="H155" i="12"/>
  <c r="H154" i="12"/>
  <c r="H153" i="12"/>
  <c r="H152" i="12"/>
  <c r="H151" i="12"/>
  <c r="H150" i="12"/>
  <c r="H149" i="12"/>
  <c r="H148" i="12"/>
  <c r="H147" i="12"/>
  <c r="H146" i="12"/>
  <c r="H145" i="12"/>
  <c r="H144" i="12"/>
  <c r="H143" i="12"/>
  <c r="H142" i="12"/>
  <c r="H141" i="12"/>
  <c r="H140" i="12"/>
  <c r="H139" i="12"/>
  <c r="I248" i="12" l="1"/>
  <c r="H138" i="12"/>
  <c r="H137" i="12"/>
  <c r="H136" i="12"/>
  <c r="H135" i="12"/>
  <c r="H134" i="12"/>
  <c r="H133" i="12"/>
  <c r="H132" i="12"/>
  <c r="H131" i="12"/>
  <c r="H130" i="12"/>
  <c r="H129" i="12"/>
  <c r="H128" i="12"/>
  <c r="H127" i="12"/>
  <c r="H126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D249" i="12" l="1"/>
  <c r="H249" i="12"/>
  <c r="I390" i="11" l="1"/>
  <c r="I389" i="11"/>
  <c r="D390" i="11"/>
  <c r="G390" i="11"/>
  <c r="I388" i="11"/>
  <c r="M389" i="11"/>
  <c r="L384" i="11"/>
  <c r="M383" i="11"/>
  <c r="L383" i="11"/>
  <c r="L285" i="9"/>
  <c r="D383" i="11"/>
  <c r="H168" i="11"/>
  <c r="H363" i="11" l="1"/>
  <c r="F383" i="11"/>
  <c r="G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I383" i="11" l="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384" i="11" l="1"/>
  <c r="I2187" i="10" l="1"/>
  <c r="G2187" i="10"/>
  <c r="D2187" i="10"/>
  <c r="D284" i="9"/>
  <c r="G284" i="9"/>
  <c r="I2185" i="10"/>
  <c r="I2179" i="10"/>
  <c r="I2184" i="10"/>
  <c r="G2179" i="10"/>
  <c r="D2179" i="10"/>
  <c r="H2178" i="10"/>
  <c r="H2177" i="10"/>
  <c r="H2176" i="10"/>
  <c r="H2175" i="10"/>
  <c r="H2174" i="10"/>
  <c r="H2173" i="10"/>
  <c r="H2172" i="10"/>
  <c r="H2171" i="10"/>
  <c r="H2170" i="10"/>
  <c r="H2169" i="10"/>
  <c r="H2168" i="10"/>
  <c r="H2167" i="10"/>
  <c r="H2166" i="10"/>
  <c r="H2165" i="10"/>
  <c r="H2164" i="10"/>
  <c r="H2163" i="10"/>
  <c r="H2162" i="10"/>
  <c r="H2161" i="10"/>
  <c r="H2160" i="10"/>
  <c r="H2159" i="10"/>
  <c r="H2158" i="10"/>
  <c r="H2157" i="10"/>
  <c r="H2156" i="10"/>
  <c r="H2155" i="10"/>
  <c r="H2154" i="10"/>
  <c r="H2153" i="10"/>
  <c r="H2152" i="10"/>
  <c r="H2151" i="10"/>
  <c r="H2150" i="10"/>
  <c r="H2149" i="10"/>
  <c r="H2148" i="10"/>
  <c r="H2147" i="10"/>
  <c r="H2146" i="10"/>
  <c r="H2145" i="10"/>
  <c r="H2144" i="10"/>
  <c r="H2143" i="10"/>
  <c r="H2142" i="10"/>
  <c r="H2141" i="10"/>
  <c r="H2140" i="10"/>
  <c r="H2139" i="10"/>
  <c r="H2138" i="10"/>
  <c r="H2137" i="10"/>
  <c r="H2136" i="10"/>
  <c r="H2135" i="10"/>
  <c r="H2134" i="10"/>
  <c r="H2133" i="10"/>
  <c r="H2132" i="10"/>
  <c r="H2131" i="10"/>
  <c r="H2130" i="10"/>
  <c r="H2129" i="10"/>
  <c r="H2128" i="10"/>
  <c r="H2127" i="10"/>
  <c r="H2126" i="10"/>
  <c r="H2125" i="10"/>
  <c r="H2124" i="10"/>
  <c r="H2123" i="10"/>
  <c r="H2122" i="10"/>
  <c r="H2121" i="10"/>
  <c r="H2120" i="10"/>
  <c r="H2119" i="10"/>
  <c r="H2118" i="10"/>
  <c r="H2117" i="10"/>
  <c r="H2116" i="10"/>
  <c r="H2115" i="10"/>
  <c r="H2114" i="10"/>
  <c r="H2113" i="10"/>
  <c r="H2112" i="10"/>
  <c r="H2111" i="10"/>
  <c r="H2110" i="10"/>
  <c r="H2109" i="10"/>
  <c r="H2108" i="10"/>
  <c r="H2107" i="10"/>
  <c r="H2106" i="10"/>
  <c r="H2105" i="10"/>
  <c r="H2104" i="10"/>
  <c r="H2103" i="10"/>
  <c r="H2102" i="10"/>
  <c r="H2101" i="10"/>
  <c r="H2100" i="10"/>
  <c r="H2099" i="10"/>
  <c r="H2098" i="10"/>
  <c r="H2097" i="10"/>
  <c r="H2096" i="10"/>
  <c r="H2095" i="10"/>
  <c r="H2094" i="10"/>
  <c r="H2093" i="10"/>
  <c r="H2092" i="10"/>
  <c r="H2091" i="10"/>
  <c r="H2090" i="10"/>
  <c r="H2089" i="10"/>
  <c r="H2088" i="10"/>
  <c r="H2087" i="10"/>
  <c r="H2086" i="10"/>
  <c r="H2085" i="10"/>
  <c r="H2084" i="10"/>
  <c r="H2083" i="10"/>
  <c r="H2082" i="10"/>
  <c r="H2081" i="10"/>
  <c r="H2080" i="10"/>
  <c r="H2079" i="10"/>
  <c r="H2078" i="10"/>
  <c r="H2077" i="10"/>
  <c r="H2076" i="10"/>
  <c r="H2075" i="10"/>
  <c r="H2074" i="10"/>
  <c r="H2073" i="10"/>
  <c r="H2072" i="10"/>
  <c r="H2071" i="10"/>
  <c r="H2070" i="10"/>
  <c r="H2069" i="10"/>
  <c r="H2068" i="10"/>
  <c r="H2067" i="10"/>
  <c r="H2066" i="10"/>
  <c r="H2065" i="10"/>
  <c r="H2064" i="10"/>
  <c r="H2063" i="10"/>
  <c r="H2062" i="10"/>
  <c r="H2061" i="10"/>
  <c r="H2060" i="10"/>
  <c r="H2059" i="10"/>
  <c r="H2058" i="10"/>
  <c r="H2057" i="10"/>
  <c r="H2056" i="10"/>
  <c r="H2055" i="10"/>
  <c r="H2054" i="10"/>
  <c r="H2053" i="10"/>
  <c r="H2052" i="10"/>
  <c r="H2051" i="10"/>
  <c r="H2050" i="10"/>
  <c r="H2049" i="10"/>
  <c r="H2048" i="10"/>
  <c r="H2047" i="10"/>
  <c r="H2046" i="10"/>
  <c r="H2045" i="10"/>
  <c r="H2044" i="10"/>
  <c r="H2043" i="10"/>
  <c r="H2042" i="10"/>
  <c r="H2041" i="10"/>
  <c r="H2040" i="10"/>
  <c r="H2039" i="10"/>
  <c r="H2038" i="10"/>
  <c r="H2037" i="10"/>
  <c r="H2036" i="10"/>
  <c r="H2035" i="10"/>
  <c r="H2034" i="10"/>
  <c r="H2033" i="10"/>
  <c r="H2032" i="10"/>
  <c r="H2031" i="10"/>
  <c r="H2030" i="10"/>
  <c r="H2029" i="10"/>
  <c r="H2028" i="10"/>
  <c r="H2027" i="10"/>
  <c r="H2026" i="10"/>
  <c r="H2025" i="10"/>
  <c r="H2024" i="10"/>
  <c r="H2023" i="10"/>
  <c r="H2022" i="10"/>
  <c r="H2021" i="10"/>
  <c r="H2020" i="10"/>
  <c r="H2019" i="10"/>
  <c r="H2018" i="10"/>
  <c r="H2017" i="10"/>
  <c r="H2016" i="10"/>
  <c r="H2015" i="10"/>
  <c r="H2014" i="10"/>
  <c r="H2013" i="10"/>
  <c r="H2012" i="10"/>
  <c r="H2011" i="10"/>
  <c r="H2010" i="10"/>
  <c r="H2009" i="10"/>
  <c r="H2008" i="10"/>
  <c r="H2007" i="10"/>
  <c r="H2006" i="10"/>
  <c r="H2005" i="10"/>
  <c r="H2004" i="10"/>
  <c r="H2003" i="10"/>
  <c r="H2002" i="10"/>
  <c r="H2001" i="10"/>
  <c r="H2000" i="10"/>
  <c r="H1999" i="10"/>
  <c r="H1998" i="10"/>
  <c r="H1997" i="10"/>
  <c r="H1996" i="10"/>
  <c r="H1995" i="10"/>
  <c r="H1994" i="10"/>
  <c r="H1993" i="10"/>
  <c r="H1992" i="10"/>
  <c r="H1991" i="10"/>
  <c r="H1990" i="10"/>
  <c r="H1989" i="10"/>
  <c r="H1988" i="10"/>
  <c r="H1987" i="10"/>
  <c r="H1986" i="10"/>
  <c r="H1985" i="10"/>
  <c r="H1984" i="10"/>
  <c r="H1983" i="10"/>
  <c r="H1982" i="10"/>
  <c r="H1981" i="10"/>
  <c r="H1980" i="10"/>
  <c r="H1979" i="10"/>
  <c r="H1978" i="10"/>
  <c r="H1977" i="10"/>
  <c r="H1976" i="10"/>
  <c r="H1975" i="10"/>
  <c r="H1974" i="10"/>
  <c r="H1973" i="10"/>
  <c r="H1972" i="10"/>
  <c r="H1971" i="10"/>
  <c r="H1970" i="10"/>
  <c r="H1969" i="10"/>
  <c r="H1968" i="10"/>
  <c r="H1967" i="10"/>
  <c r="H1966" i="10"/>
  <c r="H1965" i="10"/>
  <c r="H1964" i="10"/>
  <c r="H1963" i="10"/>
  <c r="H1962" i="10"/>
  <c r="H1961" i="10"/>
  <c r="H1960" i="10"/>
  <c r="H1959" i="10"/>
  <c r="H1958" i="10"/>
  <c r="H1957" i="10"/>
  <c r="H1956" i="10"/>
  <c r="H1955" i="10"/>
  <c r="H1954" i="10"/>
  <c r="H1953" i="10"/>
  <c r="H1952" i="10"/>
  <c r="H1951" i="10"/>
  <c r="H1950" i="10"/>
  <c r="H1949" i="10"/>
  <c r="H1948" i="10"/>
  <c r="H1947" i="10"/>
  <c r="H1946" i="10"/>
  <c r="H1945" i="10"/>
  <c r="H1944" i="10"/>
  <c r="H1943" i="10"/>
  <c r="H1942" i="10"/>
  <c r="H1941" i="10"/>
  <c r="H1940" i="10"/>
  <c r="H1939" i="10"/>
  <c r="H1938" i="10"/>
  <c r="H1937" i="10"/>
  <c r="H1936" i="10"/>
  <c r="H1935" i="10"/>
  <c r="H1934" i="10"/>
  <c r="H1933" i="10"/>
  <c r="H1932" i="10"/>
  <c r="H1931" i="10"/>
  <c r="H1930" i="10"/>
  <c r="H1929" i="10"/>
  <c r="H1928" i="10"/>
  <c r="H1927" i="10"/>
  <c r="H1926" i="10"/>
  <c r="H1925" i="10"/>
  <c r="H1924" i="10"/>
  <c r="H1923" i="10"/>
  <c r="H1922" i="10"/>
  <c r="H1921" i="10"/>
  <c r="H1920" i="10"/>
  <c r="H1919" i="10"/>
  <c r="H1918" i="10"/>
  <c r="H1917" i="10"/>
  <c r="H1916" i="10"/>
  <c r="H1915" i="10"/>
  <c r="H1914" i="10"/>
  <c r="H1913" i="10"/>
  <c r="H1912" i="10"/>
  <c r="H1911" i="10"/>
  <c r="H1910" i="10"/>
  <c r="H1909" i="10"/>
  <c r="H1908" i="10"/>
  <c r="H1907" i="10"/>
  <c r="H1906" i="10"/>
  <c r="H1905" i="10"/>
  <c r="H1904" i="10"/>
  <c r="H1903" i="10"/>
  <c r="H1902" i="10"/>
  <c r="H1901" i="10"/>
  <c r="H1900" i="10"/>
  <c r="H1899" i="10"/>
  <c r="H1898" i="10"/>
  <c r="H1897" i="10"/>
  <c r="H1896" i="10"/>
  <c r="H1895" i="10"/>
  <c r="H1894" i="10"/>
  <c r="H1893" i="10"/>
  <c r="H1892" i="10"/>
  <c r="H1891" i="10"/>
  <c r="H1890" i="10"/>
  <c r="H1889" i="10"/>
  <c r="H1888" i="10"/>
  <c r="H1887" i="10"/>
  <c r="H1886" i="10"/>
  <c r="H1885" i="10"/>
  <c r="H1884" i="10"/>
  <c r="H1883" i="10"/>
  <c r="H1882" i="10"/>
  <c r="H1881" i="10"/>
  <c r="H1880" i="10"/>
  <c r="H1879" i="10"/>
  <c r="H1878" i="10"/>
  <c r="H1877" i="10"/>
  <c r="H1876" i="10"/>
  <c r="H1875" i="10"/>
  <c r="H1874" i="10"/>
  <c r="H1873" i="10"/>
  <c r="H1872" i="10"/>
  <c r="H1871" i="10"/>
  <c r="H1870" i="10"/>
  <c r="H1869" i="10"/>
  <c r="H1868" i="10"/>
  <c r="H1867" i="10"/>
  <c r="H1866" i="10"/>
  <c r="H1865" i="10"/>
  <c r="H1864" i="10"/>
  <c r="H1863" i="10"/>
  <c r="H1862" i="10"/>
  <c r="H1861" i="10"/>
  <c r="H1860" i="10"/>
  <c r="H1859" i="10"/>
  <c r="H1858" i="10"/>
  <c r="H1857" i="10"/>
  <c r="H1856" i="10"/>
  <c r="H1855" i="10"/>
  <c r="H1854" i="10"/>
  <c r="H1853" i="10"/>
  <c r="H1852" i="10"/>
  <c r="H1851" i="10"/>
  <c r="H1850" i="10"/>
  <c r="H1849" i="10"/>
  <c r="H1848" i="10"/>
  <c r="H1847" i="10"/>
  <c r="H1846" i="10"/>
  <c r="H1845" i="10"/>
  <c r="H1844" i="10"/>
  <c r="H1843" i="10"/>
  <c r="H1842" i="10"/>
  <c r="H1841" i="10"/>
  <c r="H1840" i="10"/>
  <c r="H1839" i="10"/>
  <c r="H1838" i="10"/>
  <c r="H1837" i="10"/>
  <c r="H1836" i="10"/>
  <c r="H1835" i="10"/>
  <c r="H1834" i="10"/>
  <c r="H1833" i="10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F120" i="10"/>
  <c r="H119" i="10"/>
  <c r="F119" i="10"/>
  <c r="H118" i="10"/>
  <c r="H117" i="10"/>
  <c r="F117" i="10"/>
  <c r="H116" i="10"/>
  <c r="F116" i="10"/>
  <c r="H115" i="10"/>
  <c r="F115" i="10"/>
  <c r="H114" i="10"/>
  <c r="F114" i="10"/>
  <c r="H113" i="10"/>
  <c r="F113" i="10"/>
  <c r="H112" i="10"/>
  <c r="F112" i="10"/>
  <c r="H111" i="10"/>
  <c r="F111" i="10"/>
  <c r="H110" i="10"/>
  <c r="F110" i="10"/>
  <c r="H109" i="10"/>
  <c r="F109" i="10"/>
  <c r="H108" i="10"/>
  <c r="F108" i="10"/>
  <c r="H107" i="10"/>
  <c r="F107" i="10"/>
  <c r="H106" i="10"/>
  <c r="F106" i="10"/>
  <c r="H105" i="10"/>
  <c r="F105" i="10"/>
  <c r="H104" i="10"/>
  <c r="F104" i="10"/>
  <c r="H103" i="10"/>
  <c r="F103" i="10"/>
  <c r="H102" i="10"/>
  <c r="F102" i="10"/>
  <c r="H101" i="10"/>
  <c r="F101" i="10"/>
  <c r="H100" i="10"/>
  <c r="F100" i="10"/>
  <c r="H99" i="10"/>
  <c r="F99" i="10"/>
  <c r="H98" i="10"/>
  <c r="F98" i="10"/>
  <c r="H97" i="10"/>
  <c r="F97" i="10"/>
  <c r="H96" i="10"/>
  <c r="F96" i="10"/>
  <c r="H95" i="10"/>
  <c r="F95" i="10"/>
  <c r="H94" i="10"/>
  <c r="F94" i="10"/>
  <c r="H93" i="10"/>
  <c r="F93" i="10"/>
  <c r="H92" i="10"/>
  <c r="F92" i="10"/>
  <c r="H91" i="10"/>
  <c r="F91" i="10"/>
  <c r="H90" i="10"/>
  <c r="F90" i="10"/>
  <c r="H89" i="10"/>
  <c r="F89" i="10"/>
  <c r="H88" i="10"/>
  <c r="F88" i="10"/>
  <c r="H87" i="10"/>
  <c r="F87" i="10"/>
  <c r="H86" i="10"/>
  <c r="H85" i="10"/>
  <c r="F85" i="10"/>
  <c r="H84" i="10"/>
  <c r="H83" i="10"/>
  <c r="F83" i="10"/>
  <c r="H82" i="10"/>
  <c r="H81" i="10"/>
  <c r="F81" i="10"/>
  <c r="H80" i="10"/>
  <c r="F80" i="10"/>
  <c r="H79" i="10"/>
  <c r="F79" i="10"/>
  <c r="H78" i="10"/>
  <c r="H77" i="10"/>
  <c r="H76" i="10"/>
  <c r="F76" i="10"/>
  <c r="H75" i="10"/>
  <c r="F75" i="10"/>
  <c r="H74" i="10"/>
  <c r="F74" i="10"/>
  <c r="H73" i="10"/>
  <c r="F73" i="10"/>
  <c r="H72" i="10"/>
  <c r="F72" i="10"/>
  <c r="H71" i="10"/>
  <c r="F71" i="10"/>
  <c r="H70" i="10"/>
  <c r="F70" i="10"/>
  <c r="H69" i="10"/>
  <c r="F69" i="10"/>
  <c r="H68" i="10"/>
  <c r="F68" i="10"/>
  <c r="H67" i="10"/>
  <c r="F67" i="10"/>
  <c r="H66" i="10"/>
  <c r="H65" i="10"/>
  <c r="F65" i="10"/>
  <c r="H64" i="10"/>
  <c r="F64" i="10"/>
  <c r="H63" i="10"/>
  <c r="H62" i="10"/>
  <c r="F62" i="10"/>
  <c r="H61" i="10"/>
  <c r="F61" i="10"/>
  <c r="H60" i="10"/>
  <c r="F60" i="10"/>
  <c r="H59" i="10"/>
  <c r="H58" i="10"/>
  <c r="H57" i="10"/>
  <c r="F57" i="10"/>
  <c r="H56" i="10"/>
  <c r="F56" i="10"/>
  <c r="H55" i="10"/>
  <c r="F55" i="10"/>
  <c r="H54" i="10"/>
  <c r="F54" i="10"/>
  <c r="H53" i="10"/>
  <c r="F53" i="10"/>
  <c r="H52" i="10"/>
  <c r="F52" i="10"/>
  <c r="H51" i="10"/>
  <c r="H50" i="10"/>
  <c r="F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4" i="10"/>
  <c r="F2179" i="10" l="1"/>
  <c r="D2180" i="10"/>
  <c r="H2180" i="10"/>
  <c r="F284" i="9" l="1"/>
  <c r="I284" i="9"/>
  <c r="D285" i="9" l="1"/>
  <c r="H285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G404" i="8" l="1"/>
  <c r="F404" i="8"/>
  <c r="D404" i="8"/>
  <c r="O404" i="8"/>
  <c r="I404" i="8"/>
  <c r="D405" i="8" l="1"/>
  <c r="H405" i="8"/>
  <c r="G152" i="7" l="1"/>
  <c r="I245" i="6" l="1"/>
  <c r="G244" i="6"/>
  <c r="H128" i="7" l="1"/>
  <c r="G145" i="7" l="1"/>
  <c r="D145" i="7"/>
  <c r="O10" i="6"/>
  <c r="I329" i="5"/>
  <c r="G328" i="5"/>
  <c r="H214" i="5"/>
  <c r="H213" i="5"/>
  <c r="H212" i="5"/>
  <c r="F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7" i="7"/>
  <c r="H126" i="7"/>
  <c r="H125" i="7"/>
  <c r="H124" i="7"/>
  <c r="H123" i="7"/>
  <c r="H122" i="7"/>
  <c r="H121" i="7"/>
  <c r="H119" i="7"/>
  <c r="H120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I244" i="6" l="1"/>
  <c r="K329" i="5" l="1"/>
  <c r="K326" i="5"/>
  <c r="K328" i="5"/>
  <c r="I145" i="7"/>
  <c r="H87" i="7"/>
  <c r="H86" i="7"/>
  <c r="H85" i="7"/>
  <c r="H84" i="7"/>
  <c r="H83" i="7"/>
  <c r="H82" i="7"/>
  <c r="H81" i="7"/>
  <c r="H80" i="7"/>
  <c r="H79" i="7"/>
  <c r="H78" i="7"/>
  <c r="M77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120" i="6"/>
  <c r="D237" i="6"/>
  <c r="I237" i="6"/>
  <c r="G237" i="6"/>
  <c r="F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L135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M77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N236" i="5"/>
  <c r="L133" i="5"/>
  <c r="M76" i="5"/>
  <c r="M257" i="5"/>
  <c r="Y311" i="5"/>
  <c r="H146" i="7" l="1"/>
  <c r="D146" i="7"/>
  <c r="D238" i="6"/>
  <c r="H238" i="6"/>
  <c r="I328" i="5"/>
  <c r="P312" i="5"/>
  <c r="P319" i="5"/>
  <c r="H211" i="5"/>
  <c r="F321" i="5"/>
  <c r="D321" i="5"/>
  <c r="G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10" i="5"/>
  <c r="H225" i="5"/>
  <c r="H224" i="5"/>
  <c r="H223" i="5"/>
  <c r="H222" i="5"/>
  <c r="H221" i="5"/>
  <c r="H220" i="5"/>
  <c r="H219" i="5"/>
  <c r="H218" i="5"/>
  <c r="H217" i="5"/>
  <c r="H216" i="5"/>
  <c r="H215" i="5"/>
  <c r="G476" i="3"/>
  <c r="G475" i="3"/>
  <c r="I473" i="3"/>
  <c r="I472" i="3"/>
  <c r="H472" i="3"/>
  <c r="D475" i="3"/>
  <c r="L474" i="3"/>
  <c r="M473" i="3"/>
  <c r="L473" i="3"/>
  <c r="C174" i="2"/>
  <c r="K174" i="2"/>
  <c r="M166" i="2"/>
  <c r="H167" i="5" l="1"/>
  <c r="H166" i="5"/>
  <c r="H165" i="5"/>
  <c r="H164" i="5"/>
  <c r="H163" i="5"/>
  <c r="H162" i="5"/>
  <c r="H161" i="5"/>
  <c r="H160" i="5"/>
  <c r="H159" i="5"/>
  <c r="H158" i="5"/>
  <c r="H157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I321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M79" i="4"/>
  <c r="J374" i="4"/>
  <c r="J373" i="4"/>
  <c r="H373" i="4"/>
  <c r="E374" i="4"/>
  <c r="E373" i="4"/>
  <c r="C373" i="4"/>
  <c r="K367" i="4"/>
  <c r="G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F366" i="4"/>
  <c r="D366" i="4"/>
  <c r="I366" i="4"/>
  <c r="D322" i="5" l="1"/>
  <c r="H322" i="5"/>
  <c r="O5" i="4"/>
  <c r="H180" i="4" l="1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N106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D367" i="4" l="1"/>
  <c r="H367" i="4"/>
  <c r="N468" i="3"/>
  <c r="M468" i="3"/>
  <c r="L468" i="3"/>
  <c r="K467" i="3"/>
  <c r="G467" i="3"/>
  <c r="D467" i="3"/>
  <c r="F119" i="3" l="1"/>
  <c r="F118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4" i="3"/>
  <c r="F82" i="3"/>
  <c r="F80" i="3"/>
  <c r="F79" i="3"/>
  <c r="F78" i="3"/>
  <c r="F75" i="3"/>
  <c r="F74" i="3"/>
  <c r="F73" i="3"/>
  <c r="F72" i="3"/>
  <c r="F71" i="3"/>
  <c r="F70" i="3"/>
  <c r="F69" i="3"/>
  <c r="F68" i="3"/>
  <c r="F67" i="3"/>
  <c r="F66" i="3"/>
  <c r="F64" i="3"/>
  <c r="F63" i="3"/>
  <c r="F61" i="3"/>
  <c r="F60" i="3"/>
  <c r="F59" i="3"/>
  <c r="F56" i="3"/>
  <c r="F55" i="3"/>
  <c r="F54" i="3"/>
  <c r="F53" i="3"/>
  <c r="F52" i="3"/>
  <c r="F51" i="3"/>
  <c r="F49" i="3"/>
  <c r="I467" i="3"/>
  <c r="H468" i="3" s="1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I166" i="2"/>
  <c r="G166" i="2"/>
  <c r="D166" i="2"/>
  <c r="D167" i="2" s="1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4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F467" i="3" l="1"/>
  <c r="H167" i="2"/>
  <c r="F166" i="2"/>
  <c r="D468" i="3"/>
  <c r="D384" i="11" l="1"/>
  <c r="D734" i="20"/>
  <c r="D665" i="23" l="1"/>
</calcChain>
</file>

<file path=xl/sharedStrings.xml><?xml version="1.0" encoding="utf-8"?>
<sst xmlns="http://schemas.openxmlformats.org/spreadsheetml/2006/main" count="37491" uniqueCount="3832">
  <si>
    <t>Shri Rameshwar Filling Station</t>
  </si>
  <si>
    <t>S. No.</t>
  </si>
  <si>
    <t>DATE</t>
  </si>
  <si>
    <t>TRUCK No.</t>
  </si>
  <si>
    <t>AMOUNT</t>
  </si>
  <si>
    <t>DIESEL</t>
  </si>
  <si>
    <t>Rame.AMOUNT</t>
  </si>
  <si>
    <t xml:space="preserve">DIFFERENCE </t>
  </si>
  <si>
    <t>PAYMENT</t>
  </si>
  <si>
    <t xml:space="preserve">Total  = </t>
  </si>
  <si>
    <t>Closing bal-</t>
  </si>
  <si>
    <t>March</t>
  </si>
  <si>
    <t>21.03.22</t>
  </si>
  <si>
    <t>22.03.22</t>
  </si>
  <si>
    <t>23.03.22</t>
  </si>
  <si>
    <t>24.03.22</t>
  </si>
  <si>
    <t>25.03.22</t>
  </si>
  <si>
    <t>TRACTOR</t>
  </si>
  <si>
    <t>26.03.22</t>
  </si>
  <si>
    <t>27.03.22</t>
  </si>
  <si>
    <t>28.03.22</t>
  </si>
  <si>
    <t>29.03.22</t>
  </si>
  <si>
    <t>30.03.22</t>
  </si>
  <si>
    <t>31.03.22</t>
  </si>
  <si>
    <t>BR01GC-5403</t>
  </si>
  <si>
    <t>RJ19GE9121</t>
  </si>
  <si>
    <t>JH02AD2207</t>
  </si>
  <si>
    <t>UP67AT1887</t>
  </si>
  <si>
    <t>UP67AT0941</t>
  </si>
  <si>
    <t>01.04.22</t>
  </si>
  <si>
    <t>JCB</t>
  </si>
  <si>
    <t>02.04.22</t>
  </si>
  <si>
    <t>03.04.22</t>
  </si>
  <si>
    <r>
      <t>2232/</t>
    </r>
    <r>
      <rPr>
        <sz val="11"/>
        <color rgb="FFFF0000"/>
        <rFont val="Arial"/>
        <family val="2"/>
      </rPr>
      <t>2235</t>
    </r>
  </si>
  <si>
    <r>
      <t>928/</t>
    </r>
    <r>
      <rPr>
        <sz val="11"/>
        <color rgb="FFFF0000"/>
        <rFont val="Arial"/>
        <family val="2"/>
      </rPr>
      <t>926</t>
    </r>
  </si>
  <si>
    <t>RAMSAKA JCB</t>
  </si>
  <si>
    <t xml:space="preserve">JCB APNI </t>
  </si>
  <si>
    <r>
      <rPr>
        <sz val="11"/>
        <color rgb="FFFF0000"/>
        <rFont val="Arial"/>
        <family val="2"/>
      </rPr>
      <t>2539</t>
    </r>
    <r>
      <rPr>
        <sz val="11"/>
        <color theme="1"/>
        <rFont val="Arial"/>
        <family val="2"/>
      </rPr>
      <t>/2535</t>
    </r>
  </si>
  <si>
    <t>APNI TRACTOR</t>
  </si>
  <si>
    <r>
      <rPr>
        <sz val="11"/>
        <color rgb="FFFF0000"/>
        <rFont val="Arial"/>
        <family val="2"/>
      </rPr>
      <t>1820</t>
    </r>
    <r>
      <rPr>
        <sz val="11"/>
        <color theme="1"/>
        <rFont val="Arial"/>
        <family val="2"/>
      </rPr>
      <t>/1220</t>
    </r>
  </si>
  <si>
    <t>RJ52GA5477</t>
  </si>
  <si>
    <t>RJ06GC0189</t>
  </si>
  <si>
    <r>
      <rPr>
        <sz val="11"/>
        <color rgb="FFFF0000"/>
        <rFont val="Arial"/>
        <family val="2"/>
      </rPr>
      <t>5638</t>
    </r>
    <r>
      <rPr>
        <sz val="11"/>
        <color theme="1"/>
        <rFont val="Arial"/>
        <family val="2"/>
      </rPr>
      <t>/5632</t>
    </r>
  </si>
  <si>
    <t>APNI JCB</t>
  </si>
  <si>
    <r>
      <rPr>
        <sz val="11"/>
        <color rgb="FFFF0000"/>
        <rFont val="Arial"/>
        <family val="2"/>
      </rPr>
      <t>5921</t>
    </r>
    <r>
      <rPr>
        <sz val="11"/>
        <color theme="1"/>
        <rFont val="Arial"/>
        <family val="2"/>
      </rPr>
      <t>/5931</t>
    </r>
  </si>
  <si>
    <r>
      <rPr>
        <sz val="11"/>
        <color rgb="FFFF0000"/>
        <rFont val="Arial"/>
        <family val="2"/>
      </rPr>
      <t>3938</t>
    </r>
    <r>
      <rPr>
        <sz val="11"/>
        <color theme="1"/>
        <rFont val="Arial"/>
        <family val="2"/>
      </rPr>
      <t>/3948</t>
    </r>
  </si>
  <si>
    <t>RAMSKHA JCB</t>
  </si>
  <si>
    <r>
      <rPr>
        <sz val="11"/>
        <color rgb="FFFF0000"/>
        <rFont val="Arial"/>
        <family val="2"/>
      </rPr>
      <t>1215</t>
    </r>
    <r>
      <rPr>
        <sz val="11"/>
        <color theme="1"/>
        <rFont val="Arial"/>
        <family val="2"/>
      </rPr>
      <t>/2151</t>
    </r>
  </si>
  <si>
    <t>04.04.22</t>
  </si>
  <si>
    <r>
      <rPr>
        <sz val="11"/>
        <color rgb="FFFF0000"/>
        <rFont val="Arial"/>
        <family val="2"/>
      </rPr>
      <t>946</t>
    </r>
    <r>
      <rPr>
        <sz val="11"/>
        <color theme="1"/>
        <rFont val="Arial"/>
        <family val="2"/>
      </rPr>
      <t>/0941</t>
    </r>
  </si>
  <si>
    <t>05.04.22</t>
  </si>
  <si>
    <t>06.04.22</t>
  </si>
  <si>
    <r>
      <rPr>
        <sz val="11"/>
        <color rgb="FFFF0000"/>
        <rFont val="Arial"/>
        <family val="2"/>
      </rPr>
      <t>9601</t>
    </r>
    <r>
      <rPr>
        <sz val="11"/>
        <color theme="1"/>
        <rFont val="Arial"/>
        <family val="2"/>
      </rPr>
      <t>/7606</t>
    </r>
  </si>
  <si>
    <t>07.04.22</t>
  </si>
  <si>
    <t>UP64AT 5931</t>
  </si>
  <si>
    <t>UP64BT 5931</t>
  </si>
  <si>
    <t>ROKAD M AMT GALT HAI</t>
  </si>
  <si>
    <t>2027/2077</t>
  </si>
  <si>
    <t>08.04.22</t>
  </si>
  <si>
    <t>09.04.22</t>
  </si>
  <si>
    <t>11.04.22</t>
  </si>
  <si>
    <t>jcb</t>
  </si>
  <si>
    <t>bike</t>
  </si>
  <si>
    <t>tractor</t>
  </si>
  <si>
    <t>10.04.22</t>
  </si>
  <si>
    <t>12.04.22</t>
  </si>
  <si>
    <t>PETROL</t>
  </si>
  <si>
    <t>13.04.22</t>
  </si>
  <si>
    <t>jCB</t>
  </si>
  <si>
    <t>14.04.22</t>
  </si>
  <si>
    <t>15.04.22</t>
  </si>
  <si>
    <t>16.04.22</t>
  </si>
  <si>
    <t>17.04.22</t>
  </si>
  <si>
    <t>JCb</t>
  </si>
  <si>
    <t>18.04.22</t>
  </si>
  <si>
    <t xml:space="preserve"> </t>
  </si>
  <si>
    <t>19.04.22</t>
  </si>
  <si>
    <t>20.04.22</t>
  </si>
  <si>
    <t>21.04.22</t>
  </si>
  <si>
    <t>22.04.22</t>
  </si>
  <si>
    <t>K</t>
  </si>
  <si>
    <t>23.04.22</t>
  </si>
  <si>
    <t>24.04.22</t>
  </si>
  <si>
    <t>25.04.22</t>
  </si>
  <si>
    <t>26.04.22</t>
  </si>
  <si>
    <t>27.04.22</t>
  </si>
  <si>
    <t>,BALANCE MATCH TO RAMESHWAR</t>
  </si>
  <si>
    <t>28.04.22</t>
  </si>
  <si>
    <t>29.04.22</t>
  </si>
  <si>
    <t>30.04.22</t>
  </si>
  <si>
    <t>01.05.22</t>
  </si>
  <si>
    <t>VNS CASH</t>
  </si>
  <si>
    <t>02.05.22</t>
  </si>
  <si>
    <t>NET BANKING C ROAD LINES</t>
  </si>
  <si>
    <t>03.05.22</t>
  </si>
  <si>
    <t>BAL</t>
  </si>
  <si>
    <t>04.05.22</t>
  </si>
  <si>
    <t>TRUCK NO.</t>
  </si>
  <si>
    <t>DIFFERENCE</t>
  </si>
  <si>
    <t xml:space="preserve">  SRI RAMESHWAR FILLING</t>
  </si>
  <si>
    <t>05.05.22</t>
  </si>
  <si>
    <t xml:space="preserve">                       SRI RAMESHWAR FILLING</t>
  </si>
  <si>
    <t>06.05.22</t>
  </si>
  <si>
    <t>3045 DIF.IN RM A/C</t>
  </si>
  <si>
    <t>07.05.22</t>
  </si>
  <si>
    <t>08.05.22</t>
  </si>
  <si>
    <t>09.05.22</t>
  </si>
  <si>
    <t>10.05.22</t>
  </si>
  <si>
    <t xml:space="preserve">  V K</t>
  </si>
  <si>
    <t xml:space="preserve">  RM</t>
  </si>
  <si>
    <t xml:space="preserve">    DIFF.</t>
  </si>
  <si>
    <t>11.05.22</t>
  </si>
  <si>
    <t>12.05.22</t>
  </si>
  <si>
    <t>DIF</t>
  </si>
  <si>
    <t>13.05.22</t>
  </si>
  <si>
    <t>14.05.22</t>
  </si>
  <si>
    <t>15.05.22</t>
  </si>
  <si>
    <t>17.05.22</t>
  </si>
  <si>
    <t>16.05.22</t>
  </si>
  <si>
    <t>2893 DIF</t>
  </si>
  <si>
    <t>18.05.22</t>
  </si>
  <si>
    <t>1810980 DIE</t>
  </si>
  <si>
    <t>19.05.22</t>
  </si>
  <si>
    <t>20.05.22</t>
  </si>
  <si>
    <t>21.05.22</t>
  </si>
  <si>
    <t>22.05.22</t>
  </si>
  <si>
    <t>23.05.22</t>
  </si>
  <si>
    <t>24.05.22</t>
  </si>
  <si>
    <t>25.05.22</t>
  </si>
  <si>
    <t>26.05.22</t>
  </si>
  <si>
    <t>2681 TRUCK NO.RM ADD LATE ADD IN ACOUNT</t>
  </si>
  <si>
    <t>27.05.22</t>
  </si>
  <si>
    <t>28.05.22</t>
  </si>
  <si>
    <t>19000 BAL RM IN CARD</t>
  </si>
  <si>
    <t>30.05.22</t>
  </si>
  <si>
    <t>29.05.22</t>
  </si>
  <si>
    <t>31.05.22</t>
  </si>
  <si>
    <t>01.06.22</t>
  </si>
  <si>
    <t>APRIL DISCOUNT REC.BY RM</t>
  </si>
  <si>
    <t>02.06.22</t>
  </si>
  <si>
    <t>03.06.22</t>
  </si>
  <si>
    <t>VK TO RM</t>
  </si>
  <si>
    <t>DIES.PUR.</t>
  </si>
  <si>
    <t>PAY TO RM</t>
  </si>
  <si>
    <t>RM TO VK</t>
  </si>
  <si>
    <t>DIES SALE</t>
  </si>
  <si>
    <t>REC.PAYMENT</t>
  </si>
  <si>
    <t>FINAL BAL</t>
  </si>
  <si>
    <t>PAY REC. BY VK</t>
  </si>
  <si>
    <t>EXTRA IN RM</t>
  </si>
  <si>
    <t>DISC. REC.BY RM MONTH OF APRIL-22</t>
  </si>
  <si>
    <t>04.06.22</t>
  </si>
  <si>
    <t xml:space="preserve"> PAID TO RM</t>
  </si>
  <si>
    <t>05.06.22</t>
  </si>
  <si>
    <t>06.06.22</t>
  </si>
  <si>
    <t>07.06.22</t>
  </si>
  <si>
    <t>08.06.22</t>
  </si>
  <si>
    <t>09.06.22</t>
  </si>
  <si>
    <t>11.06.22</t>
  </si>
  <si>
    <t>10.06.22</t>
  </si>
  <si>
    <t>12.06.22</t>
  </si>
  <si>
    <t>13.06.22</t>
  </si>
  <si>
    <t>14.06.22</t>
  </si>
  <si>
    <t>15.06.22</t>
  </si>
  <si>
    <t>16.06.22</t>
  </si>
  <si>
    <t>17.06.22</t>
  </si>
  <si>
    <t>77264 TCS</t>
  </si>
  <si>
    <t>TCS</t>
  </si>
  <si>
    <t>18.06.22</t>
  </si>
  <si>
    <t>19.06.22</t>
  </si>
  <si>
    <t>20.06.22</t>
  </si>
  <si>
    <t>21.06.22</t>
  </si>
  <si>
    <t>T.C.S CHARGE RM TO VK IN JUNE-22</t>
  </si>
  <si>
    <t xml:space="preserve">  </t>
  </si>
  <si>
    <t>22.06.22</t>
  </si>
  <si>
    <r>
      <t>2232/</t>
    </r>
    <r>
      <rPr>
        <sz val="8"/>
        <color rgb="FFFF0000"/>
        <rFont val="Arial"/>
        <family val="2"/>
      </rPr>
      <t>2235</t>
    </r>
  </si>
  <si>
    <r>
      <t>928/</t>
    </r>
    <r>
      <rPr>
        <sz val="8"/>
        <color rgb="FFFF0000"/>
        <rFont val="Arial"/>
        <family val="2"/>
      </rPr>
      <t>926</t>
    </r>
  </si>
  <si>
    <r>
      <rPr>
        <sz val="8"/>
        <color rgb="FFFF0000"/>
        <rFont val="Arial"/>
        <family val="2"/>
      </rPr>
      <t>9601</t>
    </r>
    <r>
      <rPr>
        <sz val="8"/>
        <color theme="1"/>
        <rFont val="Arial"/>
        <family val="2"/>
      </rPr>
      <t>/7606</t>
    </r>
  </si>
  <si>
    <r>
      <rPr>
        <sz val="8"/>
        <color rgb="FFFF0000"/>
        <rFont val="Arial"/>
        <family val="2"/>
      </rPr>
      <t>2539</t>
    </r>
    <r>
      <rPr>
        <sz val="8"/>
        <color theme="1"/>
        <rFont val="Arial"/>
        <family val="2"/>
      </rPr>
      <t>/2535</t>
    </r>
  </si>
  <si>
    <r>
      <rPr>
        <sz val="8"/>
        <color rgb="FFFF0000"/>
        <rFont val="Arial"/>
        <family val="2"/>
      </rPr>
      <t>1820</t>
    </r>
    <r>
      <rPr>
        <sz val="8"/>
        <color theme="1"/>
        <rFont val="Arial"/>
        <family val="2"/>
      </rPr>
      <t>/1220</t>
    </r>
  </si>
  <si>
    <r>
      <rPr>
        <sz val="8"/>
        <color rgb="FFFF0000"/>
        <rFont val="Arial"/>
        <family val="2"/>
      </rPr>
      <t>5638</t>
    </r>
    <r>
      <rPr>
        <sz val="8"/>
        <color theme="1"/>
        <rFont val="Arial"/>
        <family val="2"/>
      </rPr>
      <t>/5632</t>
    </r>
  </si>
  <si>
    <t>DIFFRENCE</t>
  </si>
  <si>
    <t xml:space="preserve">               SUMMERY</t>
  </si>
  <si>
    <t xml:space="preserve">                SUMMERY</t>
  </si>
  <si>
    <t>DIE.PUR</t>
  </si>
  <si>
    <t xml:space="preserve">              V K TO RM</t>
  </si>
  <si>
    <t>RM TO V K</t>
  </si>
  <si>
    <t>DIE.SEL</t>
  </si>
  <si>
    <t>OLD BAL 2021</t>
  </si>
  <si>
    <t>PAYMENT REC</t>
  </si>
  <si>
    <t xml:space="preserve">                       SUMMERY</t>
  </si>
  <si>
    <t>PAY REC.</t>
  </si>
  <si>
    <t xml:space="preserve"> FINAL BAL</t>
  </si>
  <si>
    <t>DIFF.IN RM PAYMENT</t>
  </si>
  <si>
    <t>23.06.22</t>
  </si>
  <si>
    <t>24.06.22</t>
  </si>
  <si>
    <t>25.06.22</t>
  </si>
  <si>
    <t>26.06.22</t>
  </si>
  <si>
    <t>27.06.22</t>
  </si>
  <si>
    <t>28.06.22</t>
  </si>
  <si>
    <t>DISC. REC.BY RM MONTH OF MAY-22</t>
  </si>
  <si>
    <t>29.06.22</t>
  </si>
  <si>
    <t>30.06.22</t>
  </si>
  <si>
    <t>01.07.22</t>
  </si>
  <si>
    <t>vk die</t>
  </si>
  <si>
    <t>rm bal</t>
  </si>
  <si>
    <t>dif</t>
  </si>
  <si>
    <t>DIES</t>
  </si>
  <si>
    <t>02.07.22</t>
  </si>
  <si>
    <t>03.07.22</t>
  </si>
  <si>
    <t xml:space="preserve">                                                                                                            </t>
  </si>
  <si>
    <t>04.07.22</t>
  </si>
  <si>
    <t>05.07.22</t>
  </si>
  <si>
    <t>06.07.22</t>
  </si>
  <si>
    <t>07.07.22</t>
  </si>
  <si>
    <t>08.07.22</t>
  </si>
  <si>
    <t>09.07.22</t>
  </si>
  <si>
    <t>10.07.22</t>
  </si>
  <si>
    <t>11.07.22</t>
  </si>
  <si>
    <t>12.07.22</t>
  </si>
  <si>
    <t>13.07.22</t>
  </si>
  <si>
    <t>14.07.22</t>
  </si>
  <si>
    <t>15.07.22</t>
  </si>
  <si>
    <t>16.07.22</t>
  </si>
  <si>
    <t>17.07.22</t>
  </si>
  <si>
    <t>18.07.22</t>
  </si>
  <si>
    <t>19.07.22</t>
  </si>
  <si>
    <t>20.07.22</t>
  </si>
  <si>
    <t>21.07.22</t>
  </si>
  <si>
    <t>DISC. REC.BY RM MONTH OF JUNE-22</t>
  </si>
  <si>
    <t>22.07.22</t>
  </si>
  <si>
    <t>23.07.22</t>
  </si>
  <si>
    <t>24.07.22</t>
  </si>
  <si>
    <t xml:space="preserve">                 SUMMERY</t>
  </si>
  <si>
    <t>25.07.22</t>
  </si>
  <si>
    <t>26.07.22</t>
  </si>
  <si>
    <t>27.07.22</t>
  </si>
  <si>
    <t>28.07.22</t>
  </si>
  <si>
    <t>29.07.22</t>
  </si>
  <si>
    <t>30.07.22</t>
  </si>
  <si>
    <t>01.08.22</t>
  </si>
  <si>
    <t>02.08.22</t>
  </si>
  <si>
    <t>03.08.22</t>
  </si>
  <si>
    <t>04.08.22</t>
  </si>
  <si>
    <t>05.08.22</t>
  </si>
  <si>
    <t>06.08.22</t>
  </si>
  <si>
    <t>09.08.22</t>
  </si>
  <si>
    <t>08.08.22</t>
  </si>
  <si>
    <t>10.08.22</t>
  </si>
  <si>
    <t>11.08.22</t>
  </si>
  <si>
    <t>12.08.22</t>
  </si>
  <si>
    <t>13.08.22</t>
  </si>
  <si>
    <t>14.08.22</t>
  </si>
  <si>
    <t>15.08.22</t>
  </si>
  <si>
    <t>31.07.22</t>
  </si>
  <si>
    <t xml:space="preserve">    01-08-2022</t>
  </si>
  <si>
    <t>16.08.22</t>
  </si>
  <si>
    <t>17.08.22</t>
  </si>
  <si>
    <t>18.08.22</t>
  </si>
  <si>
    <t>19.08.22</t>
  </si>
  <si>
    <t>20.08.22</t>
  </si>
  <si>
    <t>21.08.22</t>
  </si>
  <si>
    <t>22.08.22</t>
  </si>
  <si>
    <t>23.08.22</t>
  </si>
  <si>
    <t>25.08.22</t>
  </si>
  <si>
    <t>DISC. REC.BY RM MONTH OF JULY-22</t>
  </si>
  <si>
    <t>26.08.22</t>
  </si>
  <si>
    <t>28.08.22</t>
  </si>
  <si>
    <t>29.08.22</t>
  </si>
  <si>
    <t>30.08.22</t>
  </si>
  <si>
    <t>31.08.22</t>
  </si>
  <si>
    <t>01.09.22</t>
  </si>
  <si>
    <t>02.09.22</t>
  </si>
  <si>
    <t>03.09.22</t>
  </si>
  <si>
    <t>T.C.S CHARGE RM TO VK IN JULY-22</t>
  </si>
  <si>
    <t>04.09.22</t>
  </si>
  <si>
    <t xml:space="preserve">    01-09-2022</t>
  </si>
  <si>
    <t>05.09.22</t>
  </si>
  <si>
    <t>06.09.22</t>
  </si>
  <si>
    <t>T.C.S CHARGES</t>
  </si>
  <si>
    <t>07.09.22</t>
  </si>
  <si>
    <t>08.09.22</t>
  </si>
  <si>
    <t>09.09.22</t>
  </si>
  <si>
    <t>10.09.22</t>
  </si>
  <si>
    <t>11.09.22</t>
  </si>
  <si>
    <t>12.09.22</t>
  </si>
  <si>
    <t>13.09.22</t>
  </si>
  <si>
    <t>14.09.22</t>
  </si>
  <si>
    <t>15.09.22</t>
  </si>
  <si>
    <t>16.09.22</t>
  </si>
  <si>
    <t>17.09.22</t>
  </si>
  <si>
    <t>18.09.22</t>
  </si>
  <si>
    <t>19.09.22</t>
  </si>
  <si>
    <t>20.09.22</t>
  </si>
  <si>
    <t>21.09.22</t>
  </si>
  <si>
    <t>HUN</t>
  </si>
  <si>
    <t>NED</t>
  </si>
  <si>
    <t>22.09.22</t>
  </si>
  <si>
    <t>23.09.22</t>
  </si>
  <si>
    <t>24.09.22</t>
  </si>
  <si>
    <t>25.09.22</t>
  </si>
  <si>
    <t>26.09.22</t>
  </si>
  <si>
    <t>E</t>
  </si>
  <si>
    <t>R</t>
  </si>
  <si>
    <t>27.09.22</t>
  </si>
  <si>
    <t>SS</t>
  </si>
  <si>
    <t>28.09.22</t>
  </si>
  <si>
    <t>29.09.22</t>
  </si>
  <si>
    <t>30.09.22</t>
  </si>
  <si>
    <t>01.10.22</t>
  </si>
  <si>
    <t>02.10.22</t>
  </si>
  <si>
    <t>03.10.22</t>
  </si>
  <si>
    <t>POINTS REEDEM (30000000)</t>
  </si>
  <si>
    <t>05.10.22</t>
  </si>
  <si>
    <t>04.10.22</t>
  </si>
  <si>
    <t>06.10.22</t>
  </si>
  <si>
    <t>07.10.22</t>
  </si>
  <si>
    <t>08.10.22</t>
  </si>
  <si>
    <t>09.10.22</t>
  </si>
  <si>
    <t>10.10.22</t>
  </si>
  <si>
    <t>11.10.22</t>
  </si>
  <si>
    <t>DIESLE SLIP NAI HAI</t>
  </si>
  <si>
    <t>12.10.22</t>
  </si>
  <si>
    <t xml:space="preserve">                                                                                  SRI RAMESHWAR FILLING</t>
  </si>
  <si>
    <t>13.10.22</t>
  </si>
  <si>
    <t>14.10.22</t>
  </si>
  <si>
    <t>15.10.22</t>
  </si>
  <si>
    <t>16.10.22</t>
  </si>
  <si>
    <t>17.10.22</t>
  </si>
  <si>
    <t>18.10.22</t>
  </si>
  <si>
    <t xml:space="preserve">    01-10-2022</t>
  </si>
  <si>
    <t xml:space="preserve">                                                     SRI RAMESHWAR FILLING</t>
  </si>
  <si>
    <t>19.10.22</t>
  </si>
  <si>
    <t>20.10.22</t>
  </si>
  <si>
    <t>21.10.22</t>
  </si>
  <si>
    <t>22.10.22</t>
  </si>
  <si>
    <t>23.10.22</t>
  </si>
  <si>
    <t>24.10.22</t>
  </si>
  <si>
    <t>25.10.22</t>
  </si>
  <si>
    <t>27.10.22</t>
  </si>
  <si>
    <t>28.10.22</t>
  </si>
  <si>
    <t>29.10.22</t>
  </si>
  <si>
    <t>30.10.22</t>
  </si>
  <si>
    <t>31.10.22</t>
  </si>
  <si>
    <t>01.11.22</t>
  </si>
  <si>
    <t>02.11.22</t>
  </si>
  <si>
    <t>03.11.22</t>
  </si>
  <si>
    <t>04.11.22</t>
  </si>
  <si>
    <t>05.11.22</t>
  </si>
  <si>
    <t>06.11.22</t>
  </si>
  <si>
    <t>07.11.22</t>
  </si>
  <si>
    <t>08.11.22</t>
  </si>
  <si>
    <t>09.11.22</t>
  </si>
  <si>
    <t>10.11.22</t>
  </si>
  <si>
    <t>11.11.22</t>
  </si>
  <si>
    <t>12.11.22</t>
  </si>
  <si>
    <t>13.11.22</t>
  </si>
  <si>
    <t>14.11.22</t>
  </si>
  <si>
    <t>MAR C/B</t>
  </si>
  <si>
    <t>15.11.22</t>
  </si>
  <si>
    <t>DIFF</t>
  </si>
  <si>
    <t>16.11.22</t>
  </si>
  <si>
    <t>17.11.22</t>
  </si>
  <si>
    <t>18.11.22</t>
  </si>
  <si>
    <t>DIESEL DIFF</t>
  </si>
  <si>
    <t>PAYMENT DIFF</t>
  </si>
  <si>
    <t>19.11.22</t>
  </si>
  <si>
    <t>20.11.22</t>
  </si>
  <si>
    <t>21.11.22</t>
  </si>
  <si>
    <t>22.11.22</t>
  </si>
  <si>
    <t>23.11.22</t>
  </si>
  <si>
    <t>24.11.22</t>
  </si>
  <si>
    <t>DISC. REC.BY RM MONTH OF AUGUST-22</t>
  </si>
  <si>
    <t>DISC. REC.BY RM MONTH OF SEP-22</t>
  </si>
  <si>
    <t>OPENING BAL</t>
  </si>
  <si>
    <t>25.11.22</t>
  </si>
  <si>
    <t xml:space="preserve">                       SUMMERY (APRIL TO OCT-22)</t>
  </si>
  <si>
    <t>26.11.22</t>
  </si>
  <si>
    <t>27.11.22</t>
  </si>
  <si>
    <t>28.11.22</t>
  </si>
  <si>
    <t>29.11.22</t>
  </si>
  <si>
    <t>30.11.22</t>
  </si>
  <si>
    <t>EXTRA IN R M A/C</t>
  </si>
  <si>
    <t xml:space="preserve">                                 SUMMERY-NOVEMBER</t>
  </si>
  <si>
    <t>01.12.22</t>
  </si>
  <si>
    <t>02.12.22</t>
  </si>
  <si>
    <t>03.12.22</t>
  </si>
  <si>
    <t>04.12.22</t>
  </si>
  <si>
    <t>05.12.22</t>
  </si>
  <si>
    <t>06.12.22</t>
  </si>
  <si>
    <t>BOTH DIFF-</t>
  </si>
  <si>
    <t>07.12.22</t>
  </si>
  <si>
    <t>08.12.22</t>
  </si>
  <si>
    <t>09.12.22</t>
  </si>
  <si>
    <t>10.12.22</t>
  </si>
  <si>
    <t>11.12.22</t>
  </si>
  <si>
    <t>12.12.22</t>
  </si>
  <si>
    <t>13.12.22</t>
  </si>
  <si>
    <t>14.12.22</t>
  </si>
  <si>
    <t>15.12.22</t>
  </si>
  <si>
    <t>16.12.22</t>
  </si>
  <si>
    <t>17.12.22</t>
  </si>
  <si>
    <t>18.12.22</t>
  </si>
  <si>
    <t>19.12.22</t>
  </si>
  <si>
    <t>20.12.22</t>
  </si>
  <si>
    <t>21.12.22</t>
  </si>
  <si>
    <t>22.12.22</t>
  </si>
  <si>
    <t>23.12.22</t>
  </si>
  <si>
    <t>24.12.22</t>
  </si>
  <si>
    <t>25.12.22</t>
  </si>
  <si>
    <t>26.12.22</t>
  </si>
  <si>
    <t>27.12.22</t>
  </si>
  <si>
    <t>PAYMENT T/F IN SBI ACCOUNT</t>
  </si>
  <si>
    <t>28.12.22</t>
  </si>
  <si>
    <t>29.12.22</t>
  </si>
  <si>
    <t>30.12.22</t>
  </si>
  <si>
    <t>DISC. REC.BY RM MONTH OF OCT-22</t>
  </si>
  <si>
    <t>DISC. REC.BY RM MONTH OF NOV-22</t>
  </si>
  <si>
    <t>31.12.22</t>
  </si>
  <si>
    <t>01.01.23</t>
  </si>
  <si>
    <t xml:space="preserve">                                 SUMMERY-DEC-22</t>
  </si>
  <si>
    <t>CARD BAL</t>
  </si>
  <si>
    <t>02.01.23</t>
  </si>
  <si>
    <t xml:space="preserve">                      V K TO RM</t>
  </si>
  <si>
    <t>03.01.23</t>
  </si>
  <si>
    <t>CARD BAL-4853</t>
  </si>
  <si>
    <t>04.01.23</t>
  </si>
  <si>
    <t>CARD BAL-10433</t>
  </si>
  <si>
    <t>05.01.23</t>
  </si>
  <si>
    <t>CARD BAL-24528</t>
  </si>
  <si>
    <t>A</t>
  </si>
  <si>
    <t>06.01.23</t>
  </si>
  <si>
    <t>CARD BAL-5330</t>
  </si>
  <si>
    <t>07.01.23</t>
  </si>
  <si>
    <t>08.01.23</t>
  </si>
  <si>
    <t>09.01.23</t>
  </si>
  <si>
    <t>10.01.23</t>
  </si>
  <si>
    <t>11.01.23</t>
  </si>
  <si>
    <t>NET BANKING C ROAD LINES INDUSIND</t>
  </si>
  <si>
    <t>12.01.23</t>
  </si>
  <si>
    <t>CARD BAL-5329</t>
  </si>
  <si>
    <t>13.01.23</t>
  </si>
  <si>
    <t>CARD BAL-4789</t>
  </si>
  <si>
    <t>14.01.23</t>
  </si>
  <si>
    <t>15.01.23</t>
  </si>
  <si>
    <t>16.01.23</t>
  </si>
  <si>
    <t>CARD BAL-4788</t>
  </si>
  <si>
    <t>17.01.23</t>
  </si>
  <si>
    <t>18.01.23</t>
  </si>
  <si>
    <t>19.01.23</t>
  </si>
  <si>
    <t>20.01.23</t>
  </si>
  <si>
    <t>PAYMENT T/F IN SBI ACCOUNT IOCL</t>
  </si>
  <si>
    <t>NET BANKING C ROAD LINES PNB</t>
  </si>
  <si>
    <t>CARD BAL-205316</t>
  </si>
  <si>
    <t>21.01.23</t>
  </si>
  <si>
    <t>22.01.23</t>
  </si>
  <si>
    <t>23.01.23</t>
  </si>
  <si>
    <t>PAYMENT T/F IN SBI ACCOUNT IOCL (PNB ROADLINE)</t>
  </si>
  <si>
    <t>24.01.23</t>
  </si>
  <si>
    <t>25.01.23</t>
  </si>
  <si>
    <t>27.01.23</t>
  </si>
  <si>
    <t>RJ 40 2943</t>
  </si>
  <si>
    <t>RJ 14 2943</t>
  </si>
  <si>
    <t>26.01.23</t>
  </si>
  <si>
    <t>28.01.23</t>
  </si>
  <si>
    <t>29.01.23</t>
  </si>
  <si>
    <t>30.01.23</t>
  </si>
  <si>
    <t>31.01.23</t>
  </si>
  <si>
    <t>01.02.23</t>
  </si>
  <si>
    <t>CARD BAL-5315</t>
  </si>
  <si>
    <t>S.NO</t>
  </si>
  <si>
    <t xml:space="preserve">MONTH </t>
  </si>
  <si>
    <t>DIS.RECD.</t>
  </si>
  <si>
    <t>PAYMENT CARD</t>
  </si>
  <si>
    <t>PAYMENT SBI A/C</t>
  </si>
  <si>
    <t>TOTAL</t>
  </si>
  <si>
    <t>*</t>
  </si>
  <si>
    <t>TOTAL QUAN.</t>
  </si>
  <si>
    <t>DIESEL DISCOUNT@ 1/- PER LTR</t>
  </si>
  <si>
    <t>PAYMENT CASH (VNS)</t>
  </si>
  <si>
    <t>02.02.23</t>
  </si>
  <si>
    <t>03.02.23</t>
  </si>
  <si>
    <t>NET BANKING V.K ROAD LINES INDUSIND</t>
  </si>
  <si>
    <t>CARD BAL-32138</t>
  </si>
  <si>
    <t>04.02.23</t>
  </si>
  <si>
    <t>05.02.23</t>
  </si>
  <si>
    <t>CARD BAL-2137</t>
  </si>
  <si>
    <t xml:space="preserve">                                        SUMMERY-JAN-23</t>
  </si>
  <si>
    <t>06.02.23</t>
  </si>
  <si>
    <t>CARD BAL-2136</t>
  </si>
  <si>
    <t>BT</t>
  </si>
  <si>
    <t>AT</t>
  </si>
  <si>
    <t>07.02.23</t>
  </si>
  <si>
    <t>08.02.23</t>
  </si>
  <si>
    <t>T.C.S CHARGE RM TO VK IN JAN-23</t>
  </si>
  <si>
    <t>09.02.23</t>
  </si>
  <si>
    <t>CARD BAL-9537</t>
  </si>
  <si>
    <t>10.02.23</t>
  </si>
  <si>
    <t>POINTS REEDEM (76992 POINT) 09.02.23</t>
  </si>
  <si>
    <t>CARD BAL-9536</t>
  </si>
  <si>
    <t>11.02.23</t>
  </si>
  <si>
    <t>12.02.23</t>
  </si>
  <si>
    <t>13.02.23</t>
  </si>
  <si>
    <t>TCS 13.06.22 ADJUSTMENT</t>
  </si>
  <si>
    <t>TCS 04.09.22 ADJUSTMENT</t>
  </si>
  <si>
    <t>TCS 30.01.23 ADJUSTMENT</t>
  </si>
  <si>
    <t>TCS 09.02.23 ADJUSTMENT</t>
  </si>
  <si>
    <t>DISC. REC.BY RM MONTH OF DEC-22</t>
  </si>
  <si>
    <t>DISC. REC.BY RM MONTH OF JAN-22 (JAN DIS.TOTAL-138000-130677 TCS AMOUNT ADJ)</t>
  </si>
  <si>
    <t>14.02.23</t>
  </si>
  <si>
    <t>CARD BAL-4535</t>
  </si>
  <si>
    <t>15.02.23</t>
  </si>
  <si>
    <t>16.02.23</t>
  </si>
  <si>
    <t>17.02.23</t>
  </si>
  <si>
    <t>18.02.23</t>
  </si>
  <si>
    <t>19.02.23</t>
  </si>
  <si>
    <t>20.02.23</t>
  </si>
  <si>
    <t>CARD BAL-4682</t>
  </si>
  <si>
    <t>21.02.23</t>
  </si>
  <si>
    <t xml:space="preserve">                                        SUMMERY-FEB-23</t>
  </si>
  <si>
    <t>CARD BAL-12685</t>
  </si>
  <si>
    <t>22.02.23</t>
  </si>
  <si>
    <t>CARD BAL-14511</t>
  </si>
  <si>
    <t>23.02.23</t>
  </si>
  <si>
    <t>CARD BAL-31956</t>
  </si>
  <si>
    <t>24.02.23</t>
  </si>
  <si>
    <t>GB</t>
  </si>
  <si>
    <t>25.02.23</t>
  </si>
  <si>
    <t>26.02.23</t>
  </si>
  <si>
    <t>PAYMENT T/F IN SBI ACCOUNT IOCL (INDUSIND ROADLINE)</t>
  </si>
  <si>
    <t>27.02.23</t>
  </si>
  <si>
    <t>28.02.23</t>
  </si>
  <si>
    <t>01.03.23</t>
  </si>
  <si>
    <t>CARD BAL-4168</t>
  </si>
  <si>
    <t>02.03.23</t>
  </si>
  <si>
    <t>03.03.23</t>
  </si>
  <si>
    <t>CARD BAL-4569</t>
  </si>
  <si>
    <t>04.03.23</t>
  </si>
  <si>
    <t>05.03.23</t>
  </si>
  <si>
    <t>06.03.23</t>
  </si>
  <si>
    <t>07.03.23</t>
  </si>
  <si>
    <t>T.C.S CHARGE RM TO VK IN FEB-23</t>
  </si>
  <si>
    <t>09.03.23</t>
  </si>
  <si>
    <t>10.03.23</t>
  </si>
  <si>
    <t>11.03.23</t>
  </si>
  <si>
    <t>12.03.23</t>
  </si>
  <si>
    <t>13.03.23</t>
  </si>
  <si>
    <t>14.03.23</t>
  </si>
  <si>
    <t>NET BANKING V.K ROAD LINES PNB</t>
  </si>
  <si>
    <t>OK</t>
  </si>
  <si>
    <t>CARD BAL-11328</t>
  </si>
  <si>
    <t xml:space="preserve">                 (21.03.22 TO 14.03.23)</t>
  </si>
  <si>
    <t xml:space="preserve">         DIESEL QUANT.</t>
  </si>
  <si>
    <t xml:space="preserve">  DIESEL PUR</t>
  </si>
  <si>
    <t xml:space="preserve">         894365 LTR</t>
  </si>
  <si>
    <t xml:space="preserve">   SHRI RAMESHWAR FILLING STATION</t>
  </si>
  <si>
    <t>15.03.23</t>
  </si>
  <si>
    <t>CARD BAL-48401</t>
  </si>
  <si>
    <t>16.03.23</t>
  </si>
  <si>
    <t>17.03.23</t>
  </si>
  <si>
    <t>CARD BAL-20570</t>
  </si>
  <si>
    <t>18.03.23</t>
  </si>
  <si>
    <t xml:space="preserve">                     RAMESHWAR FILLING    (APR-22 TO MAR-23)</t>
  </si>
  <si>
    <t>cash pandey uncle</t>
  </si>
  <si>
    <t>19.03.23</t>
  </si>
  <si>
    <t>CARD BAL-570</t>
  </si>
  <si>
    <t>20.03.23</t>
  </si>
  <si>
    <t>21.03.23</t>
  </si>
  <si>
    <t>22.03.23</t>
  </si>
  <si>
    <t>23.03.23</t>
  </si>
  <si>
    <t>24.03.23</t>
  </si>
  <si>
    <t>CARD BAL-18913</t>
  </si>
  <si>
    <t>25.03.23</t>
  </si>
  <si>
    <t>26.03.23</t>
  </si>
  <si>
    <t>27.03.23</t>
  </si>
  <si>
    <t>CARD BAL-6943</t>
  </si>
  <si>
    <t>28.03.23</t>
  </si>
  <si>
    <t>CARD BAL-21692</t>
  </si>
  <si>
    <t>29.03.23</t>
  </si>
  <si>
    <t>30.03.23</t>
  </si>
  <si>
    <t>CARD BAL-1341</t>
  </si>
  <si>
    <t>31.03.23</t>
  </si>
  <si>
    <t>CARD BAL-16671</t>
  </si>
  <si>
    <t>01.04.23</t>
  </si>
  <si>
    <t>March-22-23</t>
  </si>
  <si>
    <t>02.04.23</t>
  </si>
  <si>
    <t>tracter</t>
  </si>
  <si>
    <t>petrol</t>
  </si>
  <si>
    <t>CARD BAL-35271</t>
  </si>
  <si>
    <t>03.04.23</t>
  </si>
  <si>
    <t>CARD BAL-20342</t>
  </si>
  <si>
    <t>04.04.23</t>
  </si>
  <si>
    <t>05.04.23</t>
  </si>
  <si>
    <t>CARD BAL-17872</t>
  </si>
  <si>
    <t>06.04.23</t>
  </si>
  <si>
    <t>07.04.23</t>
  </si>
  <si>
    <t>08.04.23</t>
  </si>
  <si>
    <t>09.04.23</t>
  </si>
  <si>
    <t>CARD BAL-17870</t>
  </si>
  <si>
    <t>10.04.23</t>
  </si>
  <si>
    <t>CARD BAL-18620</t>
  </si>
  <si>
    <t xml:space="preserve">           BAL</t>
  </si>
  <si>
    <t>11.04.23</t>
  </si>
  <si>
    <t>12.04.23</t>
  </si>
  <si>
    <t>14.04.23</t>
  </si>
  <si>
    <t>13.04.23</t>
  </si>
  <si>
    <t>15.04.23</t>
  </si>
  <si>
    <t>16.04.23</t>
  </si>
  <si>
    <t>CARD BAL-133610</t>
  </si>
  <si>
    <t>17.04.23</t>
  </si>
  <si>
    <t>CARD BAL-110015</t>
  </si>
  <si>
    <t>18.04.23</t>
  </si>
  <si>
    <t>19.04.23</t>
  </si>
  <si>
    <t>CARD BAL-19155</t>
  </si>
  <si>
    <t>20.04.23</t>
  </si>
  <si>
    <t>CARD BAL-19154</t>
  </si>
  <si>
    <t>21.04.23</t>
  </si>
  <si>
    <t>22.04.23</t>
  </si>
  <si>
    <t>23.04.23</t>
  </si>
  <si>
    <t>CARD BAL-</t>
  </si>
  <si>
    <t xml:space="preserve">           BAL-</t>
  </si>
  <si>
    <t>24.04.23</t>
  </si>
  <si>
    <t>25.04.23</t>
  </si>
  <si>
    <t>26.04.23</t>
  </si>
  <si>
    <t>27.04.23</t>
  </si>
  <si>
    <t>28.04.23</t>
  </si>
  <si>
    <t>29.04.23</t>
  </si>
  <si>
    <t>30.04.23</t>
  </si>
  <si>
    <t>TCS MARCH-23</t>
  </si>
  <si>
    <t xml:space="preserve">                                 SUMMERY-APR-23</t>
  </si>
  <si>
    <t>01.05.23</t>
  </si>
  <si>
    <t xml:space="preserve"> APRIL-2023-2024</t>
  </si>
  <si>
    <t>02.05.23</t>
  </si>
  <si>
    <t>Petrol</t>
  </si>
  <si>
    <t>Tracter</t>
  </si>
  <si>
    <t>03.05.23</t>
  </si>
  <si>
    <t>04.05.23</t>
  </si>
  <si>
    <t>05.05.23</t>
  </si>
  <si>
    <t>06.05.23</t>
  </si>
  <si>
    <t>07.05.23</t>
  </si>
  <si>
    <t>`</t>
  </si>
  <si>
    <t>08.05.23</t>
  </si>
  <si>
    <t>k</t>
  </si>
  <si>
    <t>09.05.23</t>
  </si>
  <si>
    <t>10.05.23</t>
  </si>
  <si>
    <t>11.05.23</t>
  </si>
  <si>
    <t>12.05.23</t>
  </si>
  <si>
    <t>13.05.23</t>
  </si>
  <si>
    <t>14.05.23</t>
  </si>
  <si>
    <t>15.05.23</t>
  </si>
  <si>
    <t xml:space="preserve">                     RAMESHWAR FILLING    (APR-23 TO MAR-24)</t>
  </si>
  <si>
    <t>16.05.23</t>
  </si>
  <si>
    <t>17.05.23</t>
  </si>
  <si>
    <t>18.05.23</t>
  </si>
  <si>
    <t>19.05.23</t>
  </si>
  <si>
    <t>20.05.23</t>
  </si>
  <si>
    <t>21.05.23</t>
  </si>
  <si>
    <t>22.05.23</t>
  </si>
  <si>
    <t>23.05.23</t>
  </si>
  <si>
    <t>TCS MAY-23</t>
  </si>
  <si>
    <t>DISCOUNT REC.FOR THE MONTH OF FEB-23</t>
  </si>
  <si>
    <t>DISCOUNT REC.FOR THE MONTH OF MAR-23</t>
  </si>
  <si>
    <t>DISCOUNT REC.FOR THE MONTH OF APR-23</t>
  </si>
  <si>
    <t>MONTH</t>
  </si>
  <si>
    <t>24.05.23</t>
  </si>
  <si>
    <t>25.05.23</t>
  </si>
  <si>
    <t>26.05.23</t>
  </si>
  <si>
    <t>CARD BAL-10318</t>
  </si>
  <si>
    <t>27.05.23</t>
  </si>
  <si>
    <t>28.05.23</t>
  </si>
  <si>
    <t>11700 Rs ka diff.hai</t>
  </si>
  <si>
    <t>29.05.23</t>
  </si>
  <si>
    <t>30.05.23</t>
  </si>
  <si>
    <t>31.05.23</t>
  </si>
  <si>
    <t>AN-2957</t>
  </si>
  <si>
    <t>AV-2957</t>
  </si>
  <si>
    <t>01.06.23</t>
  </si>
  <si>
    <t xml:space="preserve">         01-05-2023</t>
  </si>
  <si>
    <t xml:space="preserve">                                      SUMMERY-MAY-23</t>
  </si>
  <si>
    <t>02.06.23</t>
  </si>
  <si>
    <t>03.06.23</t>
  </si>
  <si>
    <t>04.06.23</t>
  </si>
  <si>
    <t>05.06.23</t>
  </si>
  <si>
    <t>06.06.23</t>
  </si>
  <si>
    <t>CARD BAL-140318</t>
  </si>
  <si>
    <t>07.06.23</t>
  </si>
  <si>
    <t>CARD BAL-378</t>
  </si>
  <si>
    <t>08.06.23</t>
  </si>
  <si>
    <t>NET BANKING V.K ROAD LINES AXIS</t>
  </si>
  <si>
    <t>CARD BAL-9881</t>
  </si>
  <si>
    <t>TCS JUN-23</t>
  </si>
  <si>
    <t>09.06.23</t>
  </si>
  <si>
    <t>CARD BAL-377</t>
  </si>
  <si>
    <t>10.06.23</t>
  </si>
  <si>
    <t>11.06.23</t>
  </si>
  <si>
    <t>12.06.23</t>
  </si>
  <si>
    <t>13.06.23</t>
  </si>
  <si>
    <t>14.06.23</t>
  </si>
  <si>
    <t>2957 AV</t>
  </si>
  <si>
    <t>CARD BAL-867</t>
  </si>
  <si>
    <t>15.06.23</t>
  </si>
  <si>
    <t>16.06.23</t>
  </si>
  <si>
    <t>17.06.23</t>
  </si>
  <si>
    <t>18.06.23</t>
  </si>
  <si>
    <t>19.06.23</t>
  </si>
  <si>
    <t>20.06.23</t>
  </si>
  <si>
    <t>CARD BAL-154452</t>
  </si>
  <si>
    <t>21.06.23</t>
  </si>
  <si>
    <t>CARD BAL-4452</t>
  </si>
  <si>
    <t>22.06.23</t>
  </si>
  <si>
    <t>APR TO JUNE</t>
  </si>
  <si>
    <t>23.06.23</t>
  </si>
  <si>
    <t>24.06.23</t>
  </si>
  <si>
    <t>25.06.23</t>
  </si>
  <si>
    <t>CARD BAL-4450</t>
  </si>
  <si>
    <t>26.06.23</t>
  </si>
  <si>
    <t>27.06.23</t>
  </si>
  <si>
    <t>CARD BAL-90000</t>
  </si>
  <si>
    <t>28.06.23</t>
  </si>
  <si>
    <t>CARD BAL-6300</t>
  </si>
  <si>
    <t>29.06.23</t>
  </si>
  <si>
    <t>30.06.23</t>
  </si>
  <si>
    <t>CARD BAL-6700</t>
  </si>
  <si>
    <t xml:space="preserve">   JUNE-2023</t>
  </si>
  <si>
    <t>01.07.23</t>
  </si>
  <si>
    <t>NET BANKING V.K ROAD LINES AXIS BANK</t>
  </si>
  <si>
    <t>02.07.23</t>
  </si>
  <si>
    <t>Trackter</t>
  </si>
  <si>
    <t>AV</t>
  </si>
  <si>
    <t>AN</t>
  </si>
  <si>
    <t>CARD BAL-6800</t>
  </si>
  <si>
    <t>03.07.23</t>
  </si>
  <si>
    <t>04.07.23</t>
  </si>
  <si>
    <t xml:space="preserve">                                      SUMMERY-JUNE-23</t>
  </si>
  <si>
    <t>05.07.23</t>
  </si>
  <si>
    <t>Trector</t>
  </si>
  <si>
    <t>06.07.23</t>
  </si>
  <si>
    <t>CARD BAL-200000</t>
  </si>
  <si>
    <t>07.07.23</t>
  </si>
  <si>
    <t>CARD BAL-7600</t>
  </si>
  <si>
    <t>08.07.23</t>
  </si>
  <si>
    <t>09.07.23</t>
  </si>
  <si>
    <t>10.07.23</t>
  </si>
  <si>
    <t>11.07.23</t>
  </si>
  <si>
    <t>12.07.23</t>
  </si>
  <si>
    <t>13.07.23</t>
  </si>
  <si>
    <t>14.07.23</t>
  </si>
  <si>
    <t>15.07.23</t>
  </si>
  <si>
    <t>16.07.23</t>
  </si>
  <si>
    <t>CARD BAL-1150</t>
  </si>
  <si>
    <t>17.07.23</t>
  </si>
  <si>
    <t>IOCL POINTS REEDEM FROM IOCL</t>
  </si>
  <si>
    <t>18.07.23</t>
  </si>
  <si>
    <t>19.07.23</t>
  </si>
  <si>
    <t>DISC. REC.BY RM MONTH OF MAY-23</t>
  </si>
  <si>
    <t>DISC. REC.BY RM MONTH OF JUNE-23</t>
  </si>
  <si>
    <t>CARD BAL-1200</t>
  </si>
  <si>
    <t>20.07.23</t>
  </si>
  <si>
    <t>21.07.23</t>
  </si>
  <si>
    <t xml:space="preserve">     TOTAL</t>
  </si>
  <si>
    <t>CARD BAL-7000</t>
  </si>
  <si>
    <t>22.07.23</t>
  </si>
  <si>
    <t>23.07.23</t>
  </si>
  <si>
    <t>CARD BAL-1300</t>
  </si>
  <si>
    <t>24.07.23</t>
  </si>
  <si>
    <t>NEFT FOR V.K ROAD LINES AXIS BANK</t>
  </si>
  <si>
    <t>25.07.23</t>
  </si>
  <si>
    <t>26.07.23</t>
  </si>
  <si>
    <t>27.07.23</t>
  </si>
  <si>
    <t>28.07.23</t>
  </si>
  <si>
    <t>ROKAD MATCH</t>
  </si>
  <si>
    <t xml:space="preserve">        JULY-23</t>
  </si>
  <si>
    <t xml:space="preserve">                                                        SRI RAMESHWAR FILLING</t>
  </si>
  <si>
    <t>29.07.23</t>
  </si>
  <si>
    <t>30.07.23</t>
  </si>
  <si>
    <t>31.07.23</t>
  </si>
  <si>
    <t>CARD BAL-2200</t>
  </si>
  <si>
    <t>01.08.23</t>
  </si>
  <si>
    <t xml:space="preserve">                                      SUMMERY-JULY-23</t>
  </si>
  <si>
    <t>02.08.23</t>
  </si>
  <si>
    <t>03.08.23</t>
  </si>
  <si>
    <t>04.08.23</t>
  </si>
  <si>
    <t>05.08.23</t>
  </si>
  <si>
    <t>06.08.23</t>
  </si>
  <si>
    <t>TCS JULY-23</t>
  </si>
  <si>
    <t>07.08.23</t>
  </si>
  <si>
    <t>08.08.23</t>
  </si>
  <si>
    <t>09.08.23</t>
  </si>
  <si>
    <t>10.08.23</t>
  </si>
  <si>
    <t>11.08.23</t>
  </si>
  <si>
    <t>12.08.23</t>
  </si>
  <si>
    <t>13.08.23</t>
  </si>
  <si>
    <t>14.08.23</t>
  </si>
  <si>
    <t>15.08.23</t>
  </si>
  <si>
    <t>16.08.23</t>
  </si>
  <si>
    <t xml:space="preserve"> IOCL POINT RED.</t>
  </si>
  <si>
    <t>17.08.23</t>
  </si>
  <si>
    <t>18.08.23</t>
  </si>
  <si>
    <t>19.08.23</t>
  </si>
  <si>
    <t>20.08.23</t>
  </si>
  <si>
    <t>21.08.23</t>
  </si>
  <si>
    <t>CARD BAL-22000</t>
  </si>
  <si>
    <t>22.08.23</t>
  </si>
  <si>
    <t>CARD BAL-2040</t>
  </si>
  <si>
    <t>23.08.23</t>
  </si>
  <si>
    <t>24.08.23</t>
  </si>
  <si>
    <t>25.08.23</t>
  </si>
  <si>
    <t>26.08.23</t>
  </si>
  <si>
    <t>28.08.23</t>
  </si>
  <si>
    <t>NET BANKING V.K ROAD LINES INDUSIND (PAYMENT T/F IN SBI A/C SHYAM KESHARI)</t>
  </si>
  <si>
    <t>27.08.23</t>
  </si>
  <si>
    <t>29.08.23</t>
  </si>
  <si>
    <t>30.08.23</t>
  </si>
  <si>
    <t>31.08.23</t>
  </si>
  <si>
    <t>01.09.23</t>
  </si>
  <si>
    <t xml:space="preserve">        AUG-23</t>
  </si>
  <si>
    <t xml:space="preserve">        SEP-23</t>
  </si>
  <si>
    <t>CARD BAL-3482</t>
  </si>
  <si>
    <t>02.09.23</t>
  </si>
  <si>
    <t>TRECTOR</t>
  </si>
  <si>
    <t>03.09.23</t>
  </si>
  <si>
    <t>04.09.23</t>
  </si>
  <si>
    <t>05.09.23</t>
  </si>
  <si>
    <t xml:space="preserve">                                      SUMMERY-AUG-23</t>
  </si>
  <si>
    <t>06.09.23</t>
  </si>
  <si>
    <t>07.09.23</t>
  </si>
  <si>
    <t>CARD BAL-5035</t>
  </si>
  <si>
    <t>08.09.23</t>
  </si>
  <si>
    <t>09.09.23</t>
  </si>
  <si>
    <t>10.09.23</t>
  </si>
  <si>
    <t>11.09.23</t>
  </si>
  <si>
    <t>12.09.23</t>
  </si>
  <si>
    <t>13.09.23</t>
  </si>
  <si>
    <t>14.09.23</t>
  </si>
  <si>
    <t>DISCOUNT REC.FOR THE MONTH OF JULY-23</t>
  </si>
  <si>
    <t>DISCOUNT REC.FOR THE MONTH OF AUG-23</t>
  </si>
  <si>
    <t>TCS AUG-23</t>
  </si>
  <si>
    <t>15.09.23</t>
  </si>
  <si>
    <t>16.09.23</t>
  </si>
  <si>
    <t>17.09.23</t>
  </si>
  <si>
    <t>18.09.23</t>
  </si>
  <si>
    <t>19.09.23</t>
  </si>
  <si>
    <t>20.09.23</t>
  </si>
  <si>
    <t>21.09.23</t>
  </si>
  <si>
    <t>22.09.23</t>
  </si>
  <si>
    <t>23.09.23</t>
  </si>
  <si>
    <t>25.09.23</t>
  </si>
  <si>
    <t>26.09.23</t>
  </si>
  <si>
    <t>27.09.23</t>
  </si>
  <si>
    <t>28.09.23</t>
  </si>
  <si>
    <t>29.09.23</t>
  </si>
  <si>
    <t>30.09.23</t>
  </si>
  <si>
    <t>03.10.23</t>
  </si>
  <si>
    <t>05.10.23</t>
  </si>
  <si>
    <t>06.10.23</t>
  </si>
  <si>
    <t>07.10.23</t>
  </si>
  <si>
    <t>09.10.23</t>
  </si>
  <si>
    <t>10.10.23</t>
  </si>
  <si>
    <t>11.10.23</t>
  </si>
  <si>
    <t>12.10.23</t>
  </si>
  <si>
    <t>13.10.23</t>
  </si>
  <si>
    <t>0051</t>
  </si>
  <si>
    <t>24.09.23</t>
  </si>
  <si>
    <t>0584</t>
  </si>
  <si>
    <t>0071</t>
  </si>
  <si>
    <t>0095</t>
  </si>
  <si>
    <t>0549</t>
  </si>
  <si>
    <t>0859</t>
  </si>
  <si>
    <t>0990</t>
  </si>
  <si>
    <t>2414</t>
  </si>
  <si>
    <t>1960</t>
  </si>
  <si>
    <t>0253</t>
  </si>
  <si>
    <t>0810</t>
  </si>
  <si>
    <t>0047</t>
  </si>
  <si>
    <t>6536</t>
  </si>
  <si>
    <t>0654</t>
  </si>
  <si>
    <t>0763</t>
  </si>
  <si>
    <t>0729</t>
  </si>
  <si>
    <t>0610</t>
  </si>
  <si>
    <t>0773</t>
  </si>
  <si>
    <t>0992</t>
  </si>
  <si>
    <t>0587</t>
  </si>
  <si>
    <t>0625</t>
  </si>
  <si>
    <t>RJ14GA5485</t>
  </si>
  <si>
    <t>RJ14GD5485</t>
  </si>
  <si>
    <t>01.10.23</t>
  </si>
  <si>
    <t>0538</t>
  </si>
  <si>
    <t>02.10.23</t>
  </si>
  <si>
    <t>0721</t>
  </si>
  <si>
    <t>04.10.23</t>
  </si>
  <si>
    <t>0647</t>
  </si>
  <si>
    <t>0857</t>
  </si>
  <si>
    <t>0762</t>
  </si>
  <si>
    <t>0711</t>
  </si>
  <si>
    <t>0781</t>
  </si>
  <si>
    <t>0386</t>
  </si>
  <si>
    <t>0768</t>
  </si>
  <si>
    <t>0577</t>
  </si>
  <si>
    <t>08.10.23</t>
  </si>
  <si>
    <t>0987</t>
  </si>
  <si>
    <t>0353</t>
  </si>
  <si>
    <t>0642</t>
  </si>
  <si>
    <t>0191</t>
  </si>
  <si>
    <t>14.10.23</t>
  </si>
  <si>
    <t>0540</t>
  </si>
  <si>
    <t>0154</t>
  </si>
  <si>
    <t>0899</t>
  </si>
  <si>
    <t>0375</t>
  </si>
  <si>
    <t>0177</t>
  </si>
  <si>
    <t>0395</t>
  </si>
  <si>
    <t>0121</t>
  </si>
  <si>
    <t>0402</t>
  </si>
  <si>
    <t>0744</t>
  </si>
  <si>
    <t>0671</t>
  </si>
  <si>
    <t>0892</t>
  </si>
  <si>
    <t>15.10.23</t>
  </si>
  <si>
    <t>0396</t>
  </si>
  <si>
    <t>0822</t>
  </si>
  <si>
    <t>0683</t>
  </si>
  <si>
    <t>16.10.23</t>
  </si>
  <si>
    <t>17.10.23</t>
  </si>
  <si>
    <t>18.10.23</t>
  </si>
  <si>
    <t>19.10.23</t>
  </si>
  <si>
    <t>20.10.23</t>
  </si>
  <si>
    <t>0726</t>
  </si>
  <si>
    <t>0643</t>
  </si>
  <si>
    <t>0145</t>
  </si>
  <si>
    <t>0214</t>
  </si>
  <si>
    <t>0704</t>
  </si>
  <si>
    <t>W 15 D 9838</t>
  </si>
  <si>
    <t>0967</t>
  </si>
  <si>
    <t>0991</t>
  </si>
  <si>
    <t>0134</t>
  </si>
  <si>
    <t>0588</t>
  </si>
  <si>
    <t>21.10.23</t>
  </si>
  <si>
    <t>0128</t>
  </si>
  <si>
    <t>0489</t>
  </si>
  <si>
    <t>0783</t>
  </si>
  <si>
    <t>0415</t>
  </si>
  <si>
    <t>23.10.23</t>
  </si>
  <si>
    <t>22.10.23</t>
  </si>
  <si>
    <t>3111</t>
  </si>
  <si>
    <t>8105</t>
  </si>
  <si>
    <t>0494</t>
  </si>
  <si>
    <t>0557</t>
  </si>
  <si>
    <t>0144</t>
  </si>
  <si>
    <t>0954</t>
  </si>
  <si>
    <t>24.10.23</t>
  </si>
  <si>
    <t>7217</t>
  </si>
  <si>
    <t>0049</t>
  </si>
  <si>
    <t>0747</t>
  </si>
  <si>
    <t>25.10.23</t>
  </si>
  <si>
    <t>0142</t>
  </si>
  <si>
    <t>26.10.23</t>
  </si>
  <si>
    <t>CASH REC.FROM RAMESHWAR</t>
  </si>
  <si>
    <t xml:space="preserve">                                 RAMESHWAR ENTRY A/C DETAILS</t>
  </si>
  <si>
    <t>CARD BAL-4640</t>
  </si>
  <si>
    <t>27.10.23</t>
  </si>
  <si>
    <t>28.10.23</t>
  </si>
  <si>
    <t>0497</t>
  </si>
  <si>
    <t>0435</t>
  </si>
  <si>
    <t>30.10.23</t>
  </si>
  <si>
    <t>31.10.23</t>
  </si>
  <si>
    <t>29.10.23</t>
  </si>
  <si>
    <t>0727</t>
  </si>
  <si>
    <t>0646</t>
  </si>
  <si>
    <t>01.11.23</t>
  </si>
  <si>
    <t>02.11.23</t>
  </si>
  <si>
    <t xml:space="preserve">        NOV-23</t>
  </si>
  <si>
    <t>0905</t>
  </si>
  <si>
    <t>03.11.23</t>
  </si>
  <si>
    <t xml:space="preserve">                                      SUMMERY-SEP-23</t>
  </si>
  <si>
    <t xml:space="preserve">                                      SUMMERY-OCT-23</t>
  </si>
  <si>
    <t>04.11.23</t>
  </si>
  <si>
    <t>06.11.23</t>
  </si>
  <si>
    <t>0441</t>
  </si>
  <si>
    <t>0094</t>
  </si>
  <si>
    <t>0366</t>
  </si>
  <si>
    <t>0203</t>
  </si>
  <si>
    <t>05.11.23</t>
  </si>
  <si>
    <t>0947</t>
  </si>
  <si>
    <t>0129</t>
  </si>
  <si>
    <t>07.11.23</t>
  </si>
  <si>
    <t>08.11.23</t>
  </si>
  <si>
    <t>09.11.23</t>
  </si>
  <si>
    <t>10.11.23</t>
  </si>
  <si>
    <t>11.11.23</t>
  </si>
  <si>
    <t>SEPTEMBER DISCOOUNT</t>
  </si>
  <si>
    <t>OCTOBER DISCOOUNT</t>
  </si>
  <si>
    <t>16.11.23</t>
  </si>
  <si>
    <t>0202</t>
  </si>
  <si>
    <t>0257</t>
  </si>
  <si>
    <t>0751</t>
  </si>
  <si>
    <t>0195</t>
  </si>
  <si>
    <t>0754</t>
  </si>
  <si>
    <t>0753</t>
  </si>
  <si>
    <t>10.11.24</t>
  </si>
  <si>
    <t>10.11.25</t>
  </si>
  <si>
    <t>10.11.26</t>
  </si>
  <si>
    <t>10.11.27</t>
  </si>
  <si>
    <t>14.11.23</t>
  </si>
  <si>
    <t>15.11.23</t>
  </si>
  <si>
    <t>0973</t>
  </si>
  <si>
    <t>0521</t>
  </si>
  <si>
    <t>0804</t>
  </si>
  <si>
    <t>17.11.23</t>
  </si>
  <si>
    <t>0552</t>
  </si>
  <si>
    <t>18.11.23</t>
  </si>
  <si>
    <t>0052</t>
  </si>
  <si>
    <t>20.11.23</t>
  </si>
  <si>
    <t>19.11.23</t>
  </si>
  <si>
    <t>21.11.23</t>
  </si>
  <si>
    <t>22.11.23</t>
  </si>
  <si>
    <t>24.11.23</t>
  </si>
  <si>
    <t>0016</t>
  </si>
  <si>
    <t>23.11.23</t>
  </si>
  <si>
    <t>4167</t>
  </si>
  <si>
    <t>3377</t>
  </si>
  <si>
    <t>25.11.23</t>
  </si>
  <si>
    <t>TDS</t>
  </si>
  <si>
    <t>27.11.23</t>
  </si>
  <si>
    <t>26.11.23</t>
  </si>
  <si>
    <t>28.11.23</t>
  </si>
  <si>
    <t>29.11.23</t>
  </si>
  <si>
    <t>0867</t>
  </si>
  <si>
    <t xml:space="preserve">              IOCL POINT REEDEAM</t>
  </si>
  <si>
    <t>30.11.23</t>
  </si>
  <si>
    <t>01.12.23</t>
  </si>
  <si>
    <t xml:space="preserve">                   SRI RAMESHWAR FILLING</t>
  </si>
  <si>
    <t xml:space="preserve">                     DEC-23</t>
  </si>
  <si>
    <t>02.12.23</t>
  </si>
  <si>
    <t>04.12.23</t>
  </si>
  <si>
    <t>0798</t>
  </si>
  <si>
    <t>0928</t>
  </si>
  <si>
    <t>0927</t>
  </si>
  <si>
    <t>1934</t>
  </si>
  <si>
    <t>0292</t>
  </si>
  <si>
    <t>0667</t>
  </si>
  <si>
    <t>03.12.23</t>
  </si>
  <si>
    <t>0728</t>
  </si>
  <si>
    <t>0528</t>
  </si>
  <si>
    <t>05.12.23</t>
  </si>
  <si>
    <t>06.12.23</t>
  </si>
  <si>
    <t>07.12.23</t>
  </si>
  <si>
    <t>08.12.23</t>
  </si>
  <si>
    <t>0750</t>
  </si>
  <si>
    <t>0788</t>
  </si>
  <si>
    <t>0832</t>
  </si>
  <si>
    <t>0849</t>
  </si>
  <si>
    <t>0959</t>
  </si>
  <si>
    <t>0816</t>
  </si>
  <si>
    <t>0628</t>
  </si>
  <si>
    <t>09.12.23</t>
  </si>
  <si>
    <t>11.12.23</t>
  </si>
  <si>
    <t>0425</t>
  </si>
  <si>
    <t>10.12.23</t>
  </si>
  <si>
    <t>0293</t>
  </si>
  <si>
    <t>0717</t>
  </si>
  <si>
    <t>12.12.23</t>
  </si>
  <si>
    <t>13.12.23</t>
  </si>
  <si>
    <t>0122</t>
  </si>
  <si>
    <t>0126</t>
  </si>
  <si>
    <t>0159</t>
  </si>
  <si>
    <t>0279</t>
  </si>
  <si>
    <t>0330</t>
  </si>
  <si>
    <t>0301</t>
  </si>
  <si>
    <t>0112</t>
  </si>
  <si>
    <t>14.12.23</t>
  </si>
  <si>
    <t>BIKE</t>
  </si>
  <si>
    <t>0442</t>
  </si>
  <si>
    <t>RJ40GB4643</t>
  </si>
  <si>
    <t>RJ29GB4643</t>
  </si>
  <si>
    <t>15.12.23</t>
  </si>
  <si>
    <t>16.12.23</t>
  </si>
  <si>
    <t>17.12.23</t>
  </si>
  <si>
    <t>18.12.23</t>
  </si>
  <si>
    <t>0215</t>
  </si>
  <si>
    <t>0113</t>
  </si>
  <si>
    <t>0044</t>
  </si>
  <si>
    <t>0916</t>
  </si>
  <si>
    <t>0934</t>
  </si>
  <si>
    <t>0201</t>
  </si>
  <si>
    <t>0026</t>
  </si>
  <si>
    <t>0663</t>
  </si>
  <si>
    <t xml:space="preserve">18.12.23 </t>
  </si>
  <si>
    <t>19.12.23</t>
  </si>
  <si>
    <t>20.12.23</t>
  </si>
  <si>
    <t>0564</t>
  </si>
  <si>
    <t>0526</t>
  </si>
  <si>
    <t>21.12.23</t>
  </si>
  <si>
    <t>22.12.23</t>
  </si>
  <si>
    <t>23.12.23</t>
  </si>
  <si>
    <t>0749</t>
  </si>
  <si>
    <t>0421</t>
  </si>
  <si>
    <t>0757</t>
  </si>
  <si>
    <t>0091</t>
  </si>
  <si>
    <t>0786</t>
  </si>
  <si>
    <t>0339</t>
  </si>
  <si>
    <t>0468</t>
  </si>
  <si>
    <t>0715</t>
  </si>
  <si>
    <t>0323</t>
  </si>
  <si>
    <t>0152</t>
  </si>
  <si>
    <t>25.12.23</t>
  </si>
  <si>
    <t>26.12.23</t>
  </si>
  <si>
    <t>0513</t>
  </si>
  <si>
    <t>0179</t>
  </si>
  <si>
    <t>0011</t>
  </si>
  <si>
    <t>0080</t>
  </si>
  <si>
    <t>0847</t>
  </si>
  <si>
    <t>0465</t>
  </si>
  <si>
    <t>24.12.23</t>
  </si>
  <si>
    <t>0544</t>
  </si>
  <si>
    <t>27.12.23</t>
  </si>
  <si>
    <t>28.12.23</t>
  </si>
  <si>
    <t>29.12.23</t>
  </si>
  <si>
    <t>NEW ACOUNT</t>
  </si>
  <si>
    <t>30.12.23</t>
  </si>
  <si>
    <t>0256</t>
  </si>
  <si>
    <t>0092</t>
  </si>
  <si>
    <t>01.01.24</t>
  </si>
  <si>
    <t>02.01.24</t>
  </si>
  <si>
    <t>03.01.24</t>
  </si>
  <si>
    <t>04.01.24</t>
  </si>
  <si>
    <t>05.01.24</t>
  </si>
  <si>
    <t>06.01.24</t>
  </si>
  <si>
    <t>07.01.24</t>
  </si>
  <si>
    <t>09.01.24</t>
  </si>
  <si>
    <t>08.01.24</t>
  </si>
  <si>
    <t>10.01.24</t>
  </si>
  <si>
    <t>11.01.24</t>
  </si>
  <si>
    <t>12.01.24</t>
  </si>
  <si>
    <t>13.01.24</t>
  </si>
  <si>
    <t>15.01.24</t>
  </si>
  <si>
    <t>16.01.24</t>
  </si>
  <si>
    <t>17.01.24</t>
  </si>
  <si>
    <t>19.01.24</t>
  </si>
  <si>
    <t>18.01.24</t>
  </si>
  <si>
    <t>20.01.24</t>
  </si>
  <si>
    <t>22.01.24</t>
  </si>
  <si>
    <t>23.01.24</t>
  </si>
  <si>
    <t>24.01.24</t>
  </si>
  <si>
    <t>25.01.24</t>
  </si>
  <si>
    <t>27.01.24</t>
  </si>
  <si>
    <t>29.01.24</t>
  </si>
  <si>
    <t>30.01.24</t>
  </si>
  <si>
    <t>31.01.24</t>
  </si>
  <si>
    <t>01.02.24</t>
  </si>
  <si>
    <t>02.02.24</t>
  </si>
  <si>
    <t>03.02.24</t>
  </si>
  <si>
    <t>05.02.24</t>
  </si>
  <si>
    <t xml:space="preserve">          TCS DETAILS</t>
  </si>
  <si>
    <t>06.02.24</t>
  </si>
  <si>
    <t>0204</t>
  </si>
  <si>
    <t>0700</t>
  </si>
  <si>
    <t>31.12.23</t>
  </si>
  <si>
    <t>0644</t>
  </si>
  <si>
    <t>0606</t>
  </si>
  <si>
    <t>0881</t>
  </si>
  <si>
    <t>6464</t>
  </si>
  <si>
    <t>9935</t>
  </si>
  <si>
    <t>NIS</t>
  </si>
  <si>
    <t>5252</t>
  </si>
  <si>
    <t>0031</t>
  </si>
  <si>
    <t>0937</t>
  </si>
  <si>
    <t>0687</t>
  </si>
  <si>
    <t>0617</t>
  </si>
  <si>
    <t>0665</t>
  </si>
  <si>
    <t>0573</t>
  </si>
  <si>
    <t>0748</t>
  </si>
  <si>
    <t>0445</t>
  </si>
  <si>
    <t>0369</t>
  </si>
  <si>
    <t>14.01.24</t>
  </si>
  <si>
    <t>0619</t>
  </si>
  <si>
    <t>0834</t>
  </si>
  <si>
    <t>0755</t>
  </si>
  <si>
    <t>0054</t>
  </si>
  <si>
    <t>21.01.24</t>
  </si>
  <si>
    <t>0649</t>
  </si>
  <si>
    <t>MS</t>
  </si>
  <si>
    <t>26.01.24</t>
  </si>
  <si>
    <t>0336</t>
  </si>
  <si>
    <t>0070</t>
  </si>
  <si>
    <t>0356</t>
  </si>
  <si>
    <t>0874</t>
  </si>
  <si>
    <t>0772</t>
  </si>
  <si>
    <t>28.01.24</t>
  </si>
  <si>
    <t>0931</t>
  </si>
  <si>
    <t>0865</t>
  </si>
  <si>
    <t>0790</t>
  </si>
  <si>
    <t>0923</t>
  </si>
  <si>
    <t>RJ52GA-4285</t>
  </si>
  <si>
    <t>RJ52GB-4285</t>
  </si>
  <si>
    <t xml:space="preserve">                          SRI RAMESHWAR FILLING</t>
  </si>
  <si>
    <t xml:space="preserve">                   JAN-24</t>
  </si>
  <si>
    <t xml:space="preserve">                  OCT-23</t>
  </si>
  <si>
    <t xml:space="preserve">                       FEB-24</t>
  </si>
  <si>
    <t>0961</t>
  </si>
  <si>
    <t>07.02.24</t>
  </si>
  <si>
    <t>08.02.24</t>
  </si>
  <si>
    <t>09.02.24</t>
  </si>
  <si>
    <t>10.02.24</t>
  </si>
  <si>
    <t>12.02.24</t>
  </si>
  <si>
    <t>13.02.24</t>
  </si>
  <si>
    <t>14.02.24</t>
  </si>
  <si>
    <t>15.02.24</t>
  </si>
  <si>
    <t>16.02.24</t>
  </si>
  <si>
    <t>17.02.24</t>
  </si>
  <si>
    <t>19.02.24</t>
  </si>
  <si>
    <t>20.02.24</t>
  </si>
  <si>
    <t>0416</t>
  </si>
  <si>
    <t>0371</t>
  </si>
  <si>
    <t>0045</t>
  </si>
  <si>
    <t>0505</t>
  </si>
  <si>
    <t>04.02.24</t>
  </si>
  <si>
    <t>0139</t>
  </si>
  <si>
    <t>0470</t>
  </si>
  <si>
    <t>0882</t>
  </si>
  <si>
    <t>0968</t>
  </si>
  <si>
    <t>0581</t>
  </si>
  <si>
    <t>0332</t>
  </si>
  <si>
    <t>0280</t>
  </si>
  <si>
    <t>0364</t>
  </si>
  <si>
    <t>0920</t>
  </si>
  <si>
    <t>11.02.24</t>
  </si>
  <si>
    <t>0960</t>
  </si>
  <si>
    <t>UP64AT-5668</t>
  </si>
  <si>
    <t>JH02BK-8026</t>
  </si>
  <si>
    <t>UP64BT-6957</t>
  </si>
  <si>
    <t>UP64AT-6555</t>
  </si>
  <si>
    <t>UP64BT-5152</t>
  </si>
  <si>
    <t>MP66ZC-7565</t>
  </si>
  <si>
    <t>UP67AT-3487</t>
  </si>
  <si>
    <t>JH02AV-5394</t>
  </si>
  <si>
    <t>JH02BN-0322</t>
  </si>
  <si>
    <t>UP64AT-6955</t>
  </si>
  <si>
    <t>JH03AN-0483</t>
  </si>
  <si>
    <t>UP64AT-6353</t>
  </si>
  <si>
    <t>RJ52GA-8987</t>
  </si>
  <si>
    <t>UP64BT-0253</t>
  </si>
  <si>
    <t>RJ29GB-1433</t>
  </si>
  <si>
    <t>BR02Q-3537</t>
  </si>
  <si>
    <t>BR02W-5377</t>
  </si>
  <si>
    <t>BR02GA-0587</t>
  </si>
  <si>
    <t>PB13BB-4218</t>
  </si>
  <si>
    <t>UP21AN-2316</t>
  </si>
  <si>
    <t>0298</t>
  </si>
  <si>
    <t>0478</t>
  </si>
  <si>
    <t>0689</t>
  </si>
  <si>
    <t>22.02.24</t>
  </si>
  <si>
    <t>IOCL POINTS REDDEM</t>
  </si>
  <si>
    <t>NEFT BY V.K ROAD LINES INDUSIND</t>
  </si>
  <si>
    <t>23.02.24</t>
  </si>
  <si>
    <t>24.02.24</t>
  </si>
  <si>
    <t>26.02.24</t>
  </si>
  <si>
    <t>27.02.24</t>
  </si>
  <si>
    <t>28.02.24</t>
  </si>
  <si>
    <t>29.02.24</t>
  </si>
  <si>
    <t>01.03.24</t>
  </si>
  <si>
    <t>02.03.24</t>
  </si>
  <si>
    <t>04.03.24</t>
  </si>
  <si>
    <t>06.03.24</t>
  </si>
  <si>
    <t>05.03.24</t>
  </si>
  <si>
    <t>07.03.24</t>
  </si>
  <si>
    <t>08.03.24</t>
  </si>
  <si>
    <t>09.03.24</t>
  </si>
  <si>
    <t>11.03.24</t>
  </si>
  <si>
    <t>UP64AT-0280</t>
  </si>
  <si>
    <t>JH02AS-7827</t>
  </si>
  <si>
    <t>BR02GA-9705</t>
  </si>
  <si>
    <t>UP63AT-3377</t>
  </si>
  <si>
    <t>MP66H-0564</t>
  </si>
  <si>
    <t>UP64BT-9857</t>
  </si>
  <si>
    <t>UP65HT-5526</t>
  </si>
  <si>
    <t>UP64BT-9957</t>
  </si>
  <si>
    <t>MP66H-8105</t>
  </si>
  <si>
    <t>UP64AT-1491</t>
  </si>
  <si>
    <t>MP66H-1377</t>
  </si>
  <si>
    <t>UP64BT-9426</t>
  </si>
  <si>
    <t>UP64BT-2961</t>
  </si>
  <si>
    <t>UP64BT-1416</t>
  </si>
  <si>
    <t>UP64AT-6012</t>
  </si>
  <si>
    <t>UP64AT-6615</t>
  </si>
  <si>
    <t>UP65GT-1932</t>
  </si>
  <si>
    <t>JH02AS-7743</t>
  </si>
  <si>
    <t>JH02AW-2633</t>
  </si>
  <si>
    <t>MP17HH-2502</t>
  </si>
  <si>
    <t>UP64BT-8726</t>
  </si>
  <si>
    <t>UP64BT-2963</t>
  </si>
  <si>
    <t>UP65HT-4602</t>
  </si>
  <si>
    <t>UP64BT-2962</t>
  </si>
  <si>
    <t>UP64BT-8326</t>
  </si>
  <si>
    <t>JH02AJ-7606</t>
  </si>
  <si>
    <t>BR02GA-8188</t>
  </si>
  <si>
    <t>BR02GA-8793</t>
  </si>
  <si>
    <t>JH02AF-6089</t>
  </si>
  <si>
    <t>UP64BT-3679</t>
  </si>
  <si>
    <t>BR02GA-3738</t>
  </si>
  <si>
    <t>JH02BM-7598</t>
  </si>
  <si>
    <t>UP64T-2227</t>
  </si>
  <si>
    <t>JH03AN-7100</t>
  </si>
  <si>
    <t>UP64BT-7158</t>
  </si>
  <si>
    <t>UP64H-7804</t>
  </si>
  <si>
    <t>MP66H-1602</t>
  </si>
  <si>
    <t>MP66H-0478</t>
  </si>
  <si>
    <t>RJ33GA-2819</t>
  </si>
  <si>
    <t>RJ52GA-6764</t>
  </si>
  <si>
    <t>RJ52GA-6252</t>
  </si>
  <si>
    <t>RJ52GA-6979</t>
  </si>
  <si>
    <t>UP64BT-6625</t>
  </si>
  <si>
    <t>UP64BT-3678</t>
  </si>
  <si>
    <t>UP62CT-3157</t>
  </si>
  <si>
    <t>UP63T-0369</t>
  </si>
  <si>
    <t>UP67AT-1033</t>
  </si>
  <si>
    <t>RJ29GA-5877</t>
  </si>
  <si>
    <t>18.02.24</t>
  </si>
  <si>
    <t>BR45GB-1059</t>
  </si>
  <si>
    <t>UP65JT-6312</t>
  </si>
  <si>
    <t>UP64BT-5960</t>
  </si>
  <si>
    <t>JH03AN-0167</t>
  </si>
  <si>
    <t>JH03AN-2104</t>
  </si>
  <si>
    <t>UP64BT-5210</t>
  </si>
  <si>
    <t>UP64BT-7247</t>
  </si>
  <si>
    <t>UP64BT-8793</t>
  </si>
  <si>
    <t>JH03AN-8100</t>
  </si>
  <si>
    <t>RJ52GA-5966</t>
  </si>
  <si>
    <t>RJ52GA-9914</t>
  </si>
  <si>
    <t>UP65BT-4137</t>
  </si>
  <si>
    <t>RJ26GB-0742</t>
  </si>
  <si>
    <t>UP64AT-4722</t>
  </si>
  <si>
    <t>JH03AH-4100</t>
  </si>
  <si>
    <t>UP64H-8326</t>
  </si>
  <si>
    <t>UP65KT-3257</t>
  </si>
  <si>
    <t>UP64H-8936</t>
  </si>
  <si>
    <t>JH03AM-8366</t>
  </si>
  <si>
    <t>UP65JT-6316</t>
  </si>
  <si>
    <t>UP64AT-5887</t>
  </si>
  <si>
    <t>UP64AT-3782</t>
  </si>
  <si>
    <t>UP65JT-6313</t>
  </si>
  <si>
    <t>UP71AT-0727</t>
  </si>
  <si>
    <t>UP65JT-6315</t>
  </si>
  <si>
    <t>UP65JT-6314</t>
  </si>
  <si>
    <t>UP65KT-3255</t>
  </si>
  <si>
    <t>UP65KT-3256</t>
  </si>
  <si>
    <t>UP65JT-8592</t>
  </si>
  <si>
    <t>RJ02GB-1959</t>
  </si>
  <si>
    <t>HR69C-3117</t>
  </si>
  <si>
    <t>HR58C-9768</t>
  </si>
  <si>
    <t>HR69E-5607</t>
  </si>
  <si>
    <t>HR69E-5207</t>
  </si>
  <si>
    <t>RJ01GB-4868</t>
  </si>
  <si>
    <t>UP67AT-5151</t>
  </si>
  <si>
    <t>UP64T-7344</t>
  </si>
  <si>
    <t>RJ32GD-5082</t>
  </si>
  <si>
    <t>UP67AT-5252</t>
  </si>
  <si>
    <t>JH03AN-6400</t>
  </si>
  <si>
    <t>RJ32GD-4931</t>
  </si>
  <si>
    <t>RJ32GB-9980</t>
  </si>
  <si>
    <t>UP64BT-8820</t>
  </si>
  <si>
    <t>UP64AT-0647</t>
  </si>
  <si>
    <t>RJ52GA-8399</t>
  </si>
  <si>
    <t>RJ52GB-8353</t>
  </si>
  <si>
    <t>RJ14GP-2566</t>
  </si>
  <si>
    <t>RJ47D-0790</t>
  </si>
  <si>
    <t>21.02.24</t>
  </si>
  <si>
    <t>UP67AT-0057</t>
  </si>
  <si>
    <t>JH03AN-8366</t>
  </si>
  <si>
    <t>JH14K3877</t>
  </si>
  <si>
    <t>UP65JT-8593</t>
  </si>
  <si>
    <t>UP64AT-9944</t>
  </si>
  <si>
    <t>UP65KT-3085</t>
  </si>
  <si>
    <t>UP65KT-3083</t>
  </si>
  <si>
    <t>UP64T-0244</t>
  </si>
  <si>
    <t>NL01AB-6457</t>
  </si>
  <si>
    <t>RJ14GF-3783</t>
  </si>
  <si>
    <t>JH03AM-3129</t>
  </si>
  <si>
    <t>RJ27GA-8464</t>
  </si>
  <si>
    <t>UP22AT-5271</t>
  </si>
  <si>
    <t>UP64KT-3255</t>
  </si>
  <si>
    <t>RJ52GB-3419</t>
  </si>
  <si>
    <t>UP65KT-3254</t>
  </si>
  <si>
    <t>BR02GA-8397</t>
  </si>
  <si>
    <t>BR02GD-2391</t>
  </si>
  <si>
    <t>UP62AT-0052</t>
  </si>
  <si>
    <t>UP63BT-0203</t>
  </si>
  <si>
    <t>JH02AN-6350</t>
  </si>
  <si>
    <t>BR02AA-5826</t>
  </si>
  <si>
    <t>UP64T-3665</t>
  </si>
  <si>
    <t>BR02GA-6865</t>
  </si>
  <si>
    <t>UP67T-9873</t>
  </si>
  <si>
    <t>BR02GA-0564</t>
  </si>
  <si>
    <t>BR02GB-0145</t>
  </si>
  <si>
    <t>BR02GB-0931</t>
  </si>
  <si>
    <t>UP22AT-1960</t>
  </si>
  <si>
    <t>JH02W-0658</t>
  </si>
  <si>
    <t>UP25FT-4743</t>
  </si>
  <si>
    <t>UP22AT-2004</t>
  </si>
  <si>
    <t>RJ52GA-3963</t>
  </si>
  <si>
    <t>UP65HT-5906</t>
  </si>
  <si>
    <t>UP65JT-7764</t>
  </si>
  <si>
    <t>UP65JT-8068</t>
  </si>
  <si>
    <t>UP65JT-8069</t>
  </si>
  <si>
    <t>UP65JT-7765</t>
  </si>
  <si>
    <t>UP67T-9875</t>
  </si>
  <si>
    <t>UP67T-9416</t>
  </si>
  <si>
    <t>drum me</t>
  </si>
  <si>
    <t>JH13F-0407</t>
  </si>
  <si>
    <t>BR24GB-6571</t>
  </si>
  <si>
    <t>BR02GA-8792</t>
  </si>
  <si>
    <t>UP64BT-3680</t>
  </si>
  <si>
    <t>JH14K-3877</t>
  </si>
  <si>
    <t>MP66ZC-9666</t>
  </si>
  <si>
    <t>JH03AM-0627</t>
  </si>
  <si>
    <t>RJ02GC-1176</t>
  </si>
  <si>
    <t>BR02GB-4591</t>
  </si>
  <si>
    <t>UP62T-3367</t>
  </si>
  <si>
    <t>PB13BB-5415</t>
  </si>
  <si>
    <t>UP22AT-8963</t>
  </si>
  <si>
    <t>UP22AT-9235</t>
  </si>
  <si>
    <t>JH19A-5582</t>
  </si>
  <si>
    <t>HR58C-2320</t>
  </si>
  <si>
    <t>UP22AT-9289</t>
  </si>
  <si>
    <t>JH02AY-3860</t>
  </si>
  <si>
    <t>JH02AX-8381</t>
  </si>
  <si>
    <t>JH13F-4270</t>
  </si>
  <si>
    <t>JH13F-2157</t>
  </si>
  <si>
    <t>JH02BM-3908</t>
  </si>
  <si>
    <t>RJ52GB-1899</t>
  </si>
  <si>
    <t>RJ11GC-2042</t>
  </si>
  <si>
    <t>RJ52GA-3100</t>
  </si>
  <si>
    <t>JH02AT-9492</t>
  </si>
  <si>
    <t>PROPANE</t>
  </si>
  <si>
    <t>UP65GT-6471</t>
  </si>
  <si>
    <t>BR02GA-6105</t>
  </si>
  <si>
    <t>HR61A-9205</t>
  </si>
  <si>
    <t>BR02GA-7974</t>
  </si>
  <si>
    <t>BR02GB-3611</t>
  </si>
  <si>
    <t>BR02T-9163</t>
  </si>
  <si>
    <t>UP63AT--0129</t>
  </si>
  <si>
    <t>UP65H-9426</t>
  </si>
  <si>
    <t>UP65HT-3257</t>
  </si>
  <si>
    <t>UP65HT-3085</t>
  </si>
  <si>
    <t>RJ36GA-7581</t>
  </si>
  <si>
    <t>RJ52B-6429</t>
  </si>
  <si>
    <t>RJ07GC-8654</t>
  </si>
  <si>
    <t>HR58C-5184</t>
  </si>
  <si>
    <t>RJ32GD-8077</t>
  </si>
  <si>
    <t>UP65BT-1416</t>
  </si>
  <si>
    <t>UP65FT-9903</t>
  </si>
  <si>
    <t>RJ32GD-9177</t>
  </si>
  <si>
    <t>RJ52GA-9573</t>
  </si>
  <si>
    <t>25.02.24</t>
  </si>
  <si>
    <t>UP65HT-3256</t>
  </si>
  <si>
    <t>UP65HT-3254</t>
  </si>
  <si>
    <t>UP64AT-1144</t>
  </si>
  <si>
    <t>UP64KT-2244</t>
  </si>
  <si>
    <t>RJ14GA-0717</t>
  </si>
  <si>
    <t>RJ14GT-2382</t>
  </si>
  <si>
    <t>JH02AS-1172</t>
  </si>
  <si>
    <t>JH02AW-3462</t>
  </si>
  <si>
    <t>BR02GA-9144</t>
  </si>
  <si>
    <t>JH02BN-7598</t>
  </si>
  <si>
    <t>BR26H-7472</t>
  </si>
  <si>
    <t>UP65LT-2497</t>
  </si>
  <si>
    <t>UP65HT-8010</t>
  </si>
  <si>
    <t>UP21AN-2326</t>
  </si>
  <si>
    <t>RJ05GB-8973</t>
  </si>
  <si>
    <t>UP65HT-3084</t>
  </si>
  <si>
    <t>RJ32GD-9698</t>
  </si>
  <si>
    <t>RJ27GC-6227</t>
  </si>
  <si>
    <t>HR58B-6919</t>
  </si>
  <si>
    <t>RJ07GE-3664</t>
  </si>
  <si>
    <t>RJ52GA-3468</t>
  </si>
  <si>
    <t>UP15HT-0053</t>
  </si>
  <si>
    <t>UP15DT-4837</t>
  </si>
  <si>
    <t>RJ52GA-4528</t>
  </si>
  <si>
    <t>HR46F-0273</t>
  </si>
  <si>
    <t>RJ52GA-7284</t>
  </si>
  <si>
    <t>BR02GA-5114</t>
  </si>
  <si>
    <t>BR02M-6579</t>
  </si>
  <si>
    <t>BR02Q-8347</t>
  </si>
  <si>
    <t>UP67AT-8484</t>
  </si>
  <si>
    <t>UP65GT-1192</t>
  </si>
  <si>
    <t>JH13E-0364</t>
  </si>
  <si>
    <t>UP64AT-6977</t>
  </si>
  <si>
    <t>JH02AP-7892</t>
  </si>
  <si>
    <t>UP54AT-7171</t>
  </si>
  <si>
    <t>UP67AT-0051</t>
  </si>
  <si>
    <t>BR24GA-6271</t>
  </si>
  <si>
    <t>UP64BT-4625</t>
  </si>
  <si>
    <t>UP64HT-5526</t>
  </si>
  <si>
    <t>RJ14GA-1123</t>
  </si>
  <si>
    <t>RJ52GB-1251</t>
  </si>
  <si>
    <t>RJ52GA-7332</t>
  </si>
  <si>
    <t>RJ52GA-5614</t>
  </si>
  <si>
    <t>RJ25GB-1992</t>
  </si>
  <si>
    <t>RJ14GA-8715</t>
  </si>
  <si>
    <t>UP63JT-6315</t>
  </si>
  <si>
    <t>JH13C-5650</t>
  </si>
  <si>
    <t>JH02BM-8431</t>
  </si>
  <si>
    <t>JH02BM-0336</t>
  </si>
  <si>
    <t>JH02AW-8634</t>
  </si>
  <si>
    <t>BR02AA-5313</t>
  </si>
  <si>
    <t>BR02GB-2462</t>
  </si>
  <si>
    <t>JH02BY-8925</t>
  </si>
  <si>
    <t>BR02GA-0497</t>
  </si>
  <si>
    <t>UP67AT-6165</t>
  </si>
  <si>
    <t>UP67AT-0070</t>
  </si>
  <si>
    <t>JH02AS-7599</t>
  </si>
  <si>
    <t>MH04GR-8875</t>
  </si>
  <si>
    <t>JH02AV-1350</t>
  </si>
  <si>
    <t>JH02AN-7799</t>
  </si>
  <si>
    <t>RJ32GB-9754</t>
  </si>
  <si>
    <t>UP26T-9457</t>
  </si>
  <si>
    <t>UP25T-9458</t>
  </si>
  <si>
    <t>RJ52GA-2294</t>
  </si>
  <si>
    <t>RJ52GA-5027</t>
  </si>
  <si>
    <t>UK18LA-7258</t>
  </si>
  <si>
    <t>RJ11GC-0614</t>
  </si>
  <si>
    <t>RJ14GT-5417</t>
  </si>
  <si>
    <t>UP15BT-6399</t>
  </si>
  <si>
    <t>UP92T-8883</t>
  </si>
  <si>
    <t>JH03AW-8366</t>
  </si>
  <si>
    <t>UP65T-3255</t>
  </si>
  <si>
    <t>JH09Y-2846</t>
  </si>
  <si>
    <t>BR02AA-5074</t>
  </si>
  <si>
    <t>UP64CT-0336</t>
  </si>
  <si>
    <t>JH13F-7123</t>
  </si>
  <si>
    <t>NL01Z-2884</t>
  </si>
  <si>
    <t>DR26GA-0472</t>
  </si>
  <si>
    <t>UP15CT-1890</t>
  </si>
  <si>
    <t>UP67AT-0052</t>
  </si>
  <si>
    <t>BR24GA-6071</t>
  </si>
  <si>
    <t>UP54AT-2024</t>
  </si>
  <si>
    <t>HR55T-7916</t>
  </si>
  <si>
    <t>BR45GB-1009</t>
  </si>
  <si>
    <t>RJ52GA-4201</t>
  </si>
  <si>
    <t>RJ52GB-6764</t>
  </si>
  <si>
    <t>UP64BT-8499</t>
  </si>
  <si>
    <t>UP65GT-1385</t>
  </si>
  <si>
    <t>UP67AT-0681</t>
  </si>
  <si>
    <t>RJ07GC-1723</t>
  </si>
  <si>
    <t>RJ52GA-5263</t>
  </si>
  <si>
    <t>UP81BT-5730</t>
  </si>
  <si>
    <t>UP15ET-6333</t>
  </si>
  <si>
    <t>UP20AT-1778</t>
  </si>
  <si>
    <t>DRUM ME</t>
  </si>
  <si>
    <t>UP65MT-3256</t>
  </si>
  <si>
    <t>BR02W-5039</t>
  </si>
  <si>
    <t>BR02W-9837</t>
  </si>
  <si>
    <t>BR26GA-7251</t>
  </si>
  <si>
    <t>UP17AT-4846</t>
  </si>
  <si>
    <t>UP81BT-8442</t>
  </si>
  <si>
    <t>RJ09GA-8486</t>
  </si>
  <si>
    <t>JH02AG-3841</t>
  </si>
  <si>
    <t>UP22AT-1190</t>
  </si>
  <si>
    <t>JH05B-6151</t>
  </si>
  <si>
    <t>12.03.24</t>
  </si>
  <si>
    <t>UP64T-5235</t>
  </si>
  <si>
    <t>JH02AY-4565</t>
  </si>
  <si>
    <t>JH02AJ-2808</t>
  </si>
  <si>
    <t>JH02AE-1304</t>
  </si>
  <si>
    <t>UP15CT-6248</t>
  </si>
  <si>
    <t>RJ52GA-6328</t>
  </si>
  <si>
    <t>UP44AT-1857</t>
  </si>
  <si>
    <t>VK18CA-7217</t>
  </si>
  <si>
    <t>RJ52GB-0092</t>
  </si>
  <si>
    <t>UP64T-2962</t>
  </si>
  <si>
    <t>BR02GA-6453</t>
  </si>
  <si>
    <t>JH02AH-6350</t>
  </si>
  <si>
    <t>JH02AK-3352</t>
  </si>
  <si>
    <t>JH02BP-6625</t>
  </si>
  <si>
    <t>JH02BN-3341</t>
  </si>
  <si>
    <t>RJ52GA-7764</t>
  </si>
  <si>
    <t>BR02GA-6848</t>
  </si>
  <si>
    <t>RJ14GC-5485</t>
  </si>
  <si>
    <t>RJ32GE-9698</t>
  </si>
  <si>
    <t>UP67AT-9876</t>
  </si>
  <si>
    <t>UP67AT-9777</t>
  </si>
  <si>
    <t>JH03AN-3100</t>
  </si>
  <si>
    <t>RJ52GA-8579</t>
  </si>
  <si>
    <t>RJ50GB-0629</t>
  </si>
  <si>
    <t>HR47E-5222</t>
  </si>
  <si>
    <t>RJ11GE-2042</t>
  </si>
  <si>
    <t>BR45GB-9238</t>
  </si>
  <si>
    <t>RJ23GC-0279</t>
  </si>
  <si>
    <t>UP64BT-0647</t>
  </si>
  <si>
    <t>RJ40GB-2092</t>
  </si>
  <si>
    <t>RJ25GB-9192</t>
  </si>
  <si>
    <t>UP65AT-9538</t>
  </si>
  <si>
    <t>03.03.24</t>
  </si>
  <si>
    <t>JH05BL-0997</t>
  </si>
  <si>
    <t>JH05BA-8356</t>
  </si>
  <si>
    <t>JH05BW-8818</t>
  </si>
  <si>
    <t>UP67T9073</t>
  </si>
  <si>
    <t>RJ01GB-8910</t>
  </si>
  <si>
    <t>HR74B-7544</t>
  </si>
  <si>
    <t>UP51T-6564</t>
  </si>
  <si>
    <t>UK18CA-7258</t>
  </si>
  <si>
    <t>BR02GA-8369</t>
  </si>
  <si>
    <t>UP65GT-6271</t>
  </si>
  <si>
    <t>BR02GB-5336</t>
  </si>
  <si>
    <t>JH02AW-4451</t>
  </si>
  <si>
    <t>BR02GA-7792</t>
  </si>
  <si>
    <t>UP64BT-2056</t>
  </si>
  <si>
    <t>JH02AY-3275</t>
  </si>
  <si>
    <t>BR02GA-6855</t>
  </si>
  <si>
    <t>UP67T-3367</t>
  </si>
  <si>
    <t>UP61T-8217</t>
  </si>
  <si>
    <t>HR58D-1799</t>
  </si>
  <si>
    <t>UP65GT-2726</t>
  </si>
  <si>
    <t>UP67AT-9638</t>
  </si>
  <si>
    <t>UP65AT-6143</t>
  </si>
  <si>
    <t>UP65GT-6871</t>
  </si>
  <si>
    <t>UP65GT-6771</t>
  </si>
  <si>
    <t>UP67GT-0052</t>
  </si>
  <si>
    <t>UP65BT-6471</t>
  </si>
  <si>
    <t>JH02AX-3131</t>
  </si>
  <si>
    <t>RJ14GH-9550</t>
  </si>
  <si>
    <t>JH13C-6236</t>
  </si>
  <si>
    <t>HT04GR-8875</t>
  </si>
  <si>
    <t>UP62BT-5478</t>
  </si>
  <si>
    <t>BR26GA-8066</t>
  </si>
  <si>
    <t>JH02AN-1743</t>
  </si>
  <si>
    <t>BR02Q-3891</t>
  </si>
  <si>
    <t>JH05BY-8925</t>
  </si>
  <si>
    <t>UP65GT-6661</t>
  </si>
  <si>
    <t>RJ32GA-5082</t>
  </si>
  <si>
    <t>UP67AT-1390</t>
  </si>
  <si>
    <t>RJ14GH-6533</t>
  </si>
  <si>
    <t>UP67T-9910</t>
  </si>
  <si>
    <t>UP332HN-3339</t>
  </si>
  <si>
    <t>UP67AT-1610</t>
  </si>
  <si>
    <t>UP67AT-2476</t>
  </si>
  <si>
    <t>BR01GC-4653</t>
  </si>
  <si>
    <t>BR24GB-0876</t>
  </si>
  <si>
    <t>RJ32GD-3449</t>
  </si>
  <si>
    <t>BR02GC-9653</t>
  </si>
  <si>
    <t>JH02S-6012</t>
  </si>
  <si>
    <t>BR02GD-8751</t>
  </si>
  <si>
    <t>UP67T-8332</t>
  </si>
  <si>
    <t>JH02AE-6089</t>
  </si>
  <si>
    <t>BR24GB-2703</t>
  </si>
  <si>
    <t>BR24GB-6671</t>
  </si>
  <si>
    <t>RJ14GG-2777</t>
  </si>
  <si>
    <t>RJ01GB-9545</t>
  </si>
  <si>
    <t>RJ01GB-5528</t>
  </si>
  <si>
    <t>BR26G-0590</t>
  </si>
  <si>
    <t>NL01L-2884</t>
  </si>
  <si>
    <t>JH02AV-2627</t>
  </si>
  <si>
    <t>WB31A-6715</t>
  </si>
  <si>
    <t>JH02AT-5969</t>
  </si>
  <si>
    <t>JH02AK-1286</t>
  </si>
  <si>
    <t>RJ32G-9698</t>
  </si>
  <si>
    <t>UP82T-5398</t>
  </si>
  <si>
    <t>MR55AP-6841</t>
  </si>
  <si>
    <t>HR46F-5692</t>
  </si>
  <si>
    <t>BR26GA-0472</t>
  </si>
  <si>
    <t>BR02GA-8980</t>
  </si>
  <si>
    <t>BR02GA-2656</t>
  </si>
  <si>
    <t>UP62CT-5678</t>
  </si>
  <si>
    <t>HR67B-4604</t>
  </si>
  <si>
    <t>UP67AT-9771</t>
  </si>
  <si>
    <t>UP25AT-7672</t>
  </si>
  <si>
    <t>RJ52GA-3754</t>
  </si>
  <si>
    <t>UP67AT-0653</t>
  </si>
  <si>
    <t>JH22Z-3557</t>
  </si>
  <si>
    <t>BR02GB-9539</t>
  </si>
  <si>
    <t>BR02GA-9539</t>
  </si>
  <si>
    <t>RJ52GA-5002</t>
  </si>
  <si>
    <t>RJ02GB-4069</t>
  </si>
  <si>
    <t>RJ52GB-9698</t>
  </si>
  <si>
    <t>BR02GA-6591</t>
  </si>
  <si>
    <t>BR02GA-6287</t>
  </si>
  <si>
    <t>UP64AT-4562</t>
  </si>
  <si>
    <t>UP65FY-7350</t>
  </si>
  <si>
    <t>RJ02AH-9025</t>
  </si>
  <si>
    <t>RJ07GD-3183</t>
  </si>
  <si>
    <t>RJ32GD-0567</t>
  </si>
  <si>
    <t>13.03.24</t>
  </si>
  <si>
    <t>TALLY LEDGER ME GALAT ENTRY HUI</t>
  </si>
  <si>
    <t>14.03.24</t>
  </si>
  <si>
    <t>15.03.24</t>
  </si>
  <si>
    <t>16.03.24</t>
  </si>
  <si>
    <t>18.03.24</t>
  </si>
  <si>
    <t>19.03.24</t>
  </si>
  <si>
    <t>0152 CARD</t>
  </si>
  <si>
    <t>20.03.24</t>
  </si>
  <si>
    <t>21.03.24</t>
  </si>
  <si>
    <t>22.03.24</t>
  </si>
  <si>
    <t>23.03.24</t>
  </si>
  <si>
    <t>28.03.24</t>
  </si>
  <si>
    <t>29.03.24</t>
  </si>
  <si>
    <t>31.03.24</t>
  </si>
  <si>
    <t>01.04.24</t>
  </si>
  <si>
    <t>02.04.24</t>
  </si>
  <si>
    <t>03.04.24</t>
  </si>
  <si>
    <t>04.04.24</t>
  </si>
  <si>
    <t>05.04.24</t>
  </si>
  <si>
    <t>06.04.24</t>
  </si>
  <si>
    <t>08.04.24</t>
  </si>
  <si>
    <t>09.04.24</t>
  </si>
  <si>
    <t>10.04.24</t>
  </si>
  <si>
    <t>11.04.24</t>
  </si>
  <si>
    <t>12.04.24</t>
  </si>
  <si>
    <t>13.04.24</t>
  </si>
  <si>
    <t>16.04.24</t>
  </si>
  <si>
    <t>15.04.24</t>
  </si>
  <si>
    <t>17.04.24</t>
  </si>
  <si>
    <t>18.04.24</t>
  </si>
  <si>
    <t>19.04.24</t>
  </si>
  <si>
    <t>20.04.24</t>
  </si>
  <si>
    <t>22.04.24</t>
  </si>
  <si>
    <t>23.04.24</t>
  </si>
  <si>
    <t>26.04.24</t>
  </si>
  <si>
    <t>24.04.24</t>
  </si>
  <si>
    <t>25.04.24</t>
  </si>
  <si>
    <t>IOCL POINT REEDEM</t>
  </si>
  <si>
    <t>27.04.24</t>
  </si>
  <si>
    <t>29.04.24</t>
  </si>
  <si>
    <t>30.04.24</t>
  </si>
  <si>
    <t>01.04.2024</t>
  </si>
  <si>
    <t>JH03AN2756</t>
  </si>
  <si>
    <t>JH01BP6625</t>
  </si>
  <si>
    <t>JH02BM8407</t>
  </si>
  <si>
    <t>MP66ZC7565</t>
  </si>
  <si>
    <t>UP64BT6957</t>
  </si>
  <si>
    <t>UP65GT1192</t>
  </si>
  <si>
    <t>JH02BM7598</t>
  </si>
  <si>
    <t>JH02AH6350</t>
  </si>
  <si>
    <t>UP64H7804</t>
  </si>
  <si>
    <t>UP63AT1942</t>
  </si>
  <si>
    <t>JH12D9856</t>
  </si>
  <si>
    <t>UP22T8733</t>
  </si>
  <si>
    <t>RJ14GG6133</t>
  </si>
  <si>
    <t>RJ07GG3464</t>
  </si>
  <si>
    <t>UP22J4241</t>
  </si>
  <si>
    <t>HR55Y1443</t>
  </si>
  <si>
    <t>RJ07GD6094</t>
  </si>
  <si>
    <t>RJ21GC0777</t>
  </si>
  <si>
    <t>RJ52GA0447</t>
  </si>
  <si>
    <t>RJ21GB7679</t>
  </si>
  <si>
    <t>RJ9GC0133</t>
  </si>
  <si>
    <t>02.04.2024</t>
  </si>
  <si>
    <t>CG15CE7888</t>
  </si>
  <si>
    <t>UP67AT3487</t>
  </si>
  <si>
    <t>UP63BT0750</t>
  </si>
  <si>
    <t>UP63BT0749</t>
  </si>
  <si>
    <t>UP63BT5412</t>
  </si>
  <si>
    <t>JH02AS5812</t>
  </si>
  <si>
    <t>UP70ET5385</t>
  </si>
  <si>
    <t>JH02AW0249</t>
  </si>
  <si>
    <t>RJ14GC8922</t>
  </si>
  <si>
    <t>RJ52GA3438</t>
  </si>
  <si>
    <t>RJ52GA2324</t>
  </si>
  <si>
    <t>RJ27GD6807</t>
  </si>
  <si>
    <t>RJ19GC0600</t>
  </si>
  <si>
    <t>RJ32GA2929</t>
  </si>
  <si>
    <t>03.04.2024</t>
  </si>
  <si>
    <t>BR02GA0497</t>
  </si>
  <si>
    <t>BR06GB9240</t>
  </si>
  <si>
    <t>UP65GT6771</t>
  </si>
  <si>
    <t>UP64BT4057</t>
  </si>
  <si>
    <t>UP63BT7048</t>
  </si>
  <si>
    <t>BR02AA6626</t>
  </si>
  <si>
    <t>NL01C2884</t>
  </si>
  <si>
    <t>BR02GP6114</t>
  </si>
  <si>
    <t>JH02AW3462</t>
  </si>
  <si>
    <t>BR02GB6207</t>
  </si>
  <si>
    <t>CG15EG5041</t>
  </si>
  <si>
    <t>BR02GC8751</t>
  </si>
  <si>
    <t>UP64AT7263</t>
  </si>
  <si>
    <t>UP32AT1552</t>
  </si>
  <si>
    <t>UP22AT4031</t>
  </si>
  <si>
    <t>RJ09GC0093</t>
  </si>
  <si>
    <t>RJ21GB7516</t>
  </si>
  <si>
    <t>RJ21GB7676</t>
  </si>
  <si>
    <t>UP15DT3076</t>
  </si>
  <si>
    <t>UP22AT3821</t>
  </si>
  <si>
    <t>UP74T8283</t>
  </si>
  <si>
    <t>UP25CT5853</t>
  </si>
  <si>
    <t>RJ01GB5606</t>
  </si>
  <si>
    <t>RJ27GC8021</t>
  </si>
  <si>
    <t>RJ19GT5204</t>
  </si>
  <si>
    <t>04.04.2024</t>
  </si>
  <si>
    <t>BR02GA7581</t>
  </si>
  <si>
    <t>MP66ZC7575</t>
  </si>
  <si>
    <t>CG15EC7838</t>
  </si>
  <si>
    <t>JH02BM0336</t>
  </si>
  <si>
    <t>JH02AS7827</t>
  </si>
  <si>
    <t>JH02BM0134</t>
  </si>
  <si>
    <t>JH02BM8431</t>
  </si>
  <si>
    <t>UP64DT6735</t>
  </si>
  <si>
    <t>UP14BT1720</t>
  </si>
  <si>
    <t>NL01AE5293</t>
  </si>
  <si>
    <t>NL01Q0054</t>
  </si>
  <si>
    <t>UP63AT3377</t>
  </si>
  <si>
    <t>JH02AT7606</t>
  </si>
  <si>
    <t>BR02W5377</t>
  </si>
  <si>
    <t>JH02V9638</t>
  </si>
  <si>
    <t>BR02GB7111</t>
  </si>
  <si>
    <t>JH13C5650</t>
  </si>
  <si>
    <t>JH13A5582</t>
  </si>
  <si>
    <t>JH02AF6089</t>
  </si>
  <si>
    <t>RJ52GB1759</t>
  </si>
  <si>
    <t>RJ02GB4323</t>
  </si>
  <si>
    <t>RJ14GH6001</t>
  </si>
  <si>
    <t>RJ21GB1473</t>
  </si>
  <si>
    <t>RJ21GB9701</t>
  </si>
  <si>
    <t>RJ52GB0257</t>
  </si>
  <si>
    <t>RJ52GA0457</t>
  </si>
  <si>
    <t>RJ48GA1031</t>
  </si>
  <si>
    <t>RJ20GB3065</t>
  </si>
  <si>
    <t>RJ14GR1265</t>
  </si>
  <si>
    <t>RJ14GH5907</t>
  </si>
  <si>
    <t>RJ14GG4685</t>
  </si>
  <si>
    <t>UP12T9255</t>
  </si>
  <si>
    <t>05.04.2024</t>
  </si>
  <si>
    <t>UP22AT9289</t>
  </si>
  <si>
    <t>RJ01GB3183</t>
  </si>
  <si>
    <t>JH02Z3557</t>
  </si>
  <si>
    <t>UP22AT1360</t>
  </si>
  <si>
    <t>RJ52GB0373</t>
  </si>
  <si>
    <t>HR58C2320</t>
  </si>
  <si>
    <t>UK18CA7258</t>
  </si>
  <si>
    <t>RJ21GD2452</t>
  </si>
  <si>
    <t>RJ21GC2452</t>
  </si>
  <si>
    <t>RJ18GB8300</t>
  </si>
  <si>
    <t>RJ23GC3833</t>
  </si>
  <si>
    <t>RJ52GB3044</t>
  </si>
  <si>
    <t>RJ52GA2017</t>
  </si>
  <si>
    <t>NL01K4586</t>
  </si>
  <si>
    <t>BR02AA5581</t>
  </si>
  <si>
    <t>JH02BA4239</t>
  </si>
  <si>
    <t>JH02AW8634</t>
  </si>
  <si>
    <t>RJ52GA3754</t>
  </si>
  <si>
    <t>JH01DJ8661</t>
  </si>
  <si>
    <t>BR02AA2437</t>
  </si>
  <si>
    <t>NL01L3385</t>
  </si>
  <si>
    <t>JH02AD6751</t>
  </si>
  <si>
    <t>NL01L4392</t>
  </si>
  <si>
    <t>BR02Q8879</t>
  </si>
  <si>
    <t>MP66ZC7095</t>
  </si>
  <si>
    <t>CG15EB9764</t>
  </si>
  <si>
    <t>CG15EC1660</t>
  </si>
  <si>
    <t>GG15EL1658</t>
  </si>
  <si>
    <t>JH02BL8601</t>
  </si>
  <si>
    <t>CG30F6260</t>
  </si>
  <si>
    <t>UP64BT6929</t>
  </si>
  <si>
    <t>UP64BT8820</t>
  </si>
  <si>
    <t>JH02AS7743</t>
  </si>
  <si>
    <t>BR02GA8587</t>
  </si>
  <si>
    <t>JH02BP1694</t>
  </si>
  <si>
    <t>JH02AB6769</t>
  </si>
  <si>
    <t>JH02AW2633</t>
  </si>
  <si>
    <t>BR24GB1001</t>
  </si>
  <si>
    <t>UP67AT5151</t>
  </si>
  <si>
    <t>UP67T2371</t>
  </si>
  <si>
    <t>06.04.2024</t>
  </si>
  <si>
    <t>BR24GB1243</t>
  </si>
  <si>
    <t>JH03AN6983</t>
  </si>
  <si>
    <t>JH03AN1471</t>
  </si>
  <si>
    <t>UP63BT0748</t>
  </si>
  <si>
    <t>UP63T8291</t>
  </si>
  <si>
    <t>RJ29GB2489</t>
  </si>
  <si>
    <t>UP63BT5477</t>
  </si>
  <si>
    <t>BR02GC9886</t>
  </si>
  <si>
    <t>BR02Q8347</t>
  </si>
  <si>
    <t>UP63BT6932</t>
  </si>
  <si>
    <t>BR02GB8923</t>
  </si>
  <si>
    <t>JH03AM4380</t>
  </si>
  <si>
    <t>BR02M6579</t>
  </si>
  <si>
    <t>UP64BT5820</t>
  </si>
  <si>
    <t>BR06GC4297</t>
  </si>
  <si>
    <t>UP70FT5385</t>
  </si>
  <si>
    <t>BR24GB9311</t>
  </si>
  <si>
    <t>UP65BT6573</t>
  </si>
  <si>
    <t>BR26GA7251</t>
  </si>
  <si>
    <t>RJ32GD4452</t>
  </si>
  <si>
    <t>RJ52GB0283</t>
  </si>
  <si>
    <t>PB11CB3250</t>
  </si>
  <si>
    <t>GJ12BW8071</t>
  </si>
  <si>
    <t>RJ02GB8695</t>
  </si>
  <si>
    <t>RJ14GJ9934</t>
  </si>
  <si>
    <t>UP22AT5271</t>
  </si>
  <si>
    <t>RJ52GA7284</t>
  </si>
  <si>
    <t>RJ52GA0468</t>
  </si>
  <si>
    <t>RJ14GJ9935</t>
  </si>
  <si>
    <t>07.04.2024</t>
  </si>
  <si>
    <t>JH14K2596</t>
  </si>
  <si>
    <t>JH14K5698</t>
  </si>
  <si>
    <t>JH13A7510</t>
  </si>
  <si>
    <t>CG15EC7888</t>
  </si>
  <si>
    <t>BR02GB4291</t>
  </si>
  <si>
    <t>JH19B7346</t>
  </si>
  <si>
    <t>UP64BT7554</t>
  </si>
  <si>
    <t>CG15EC1664</t>
  </si>
  <si>
    <t>CG15BC1660</t>
  </si>
  <si>
    <t>MP66GBZB6575</t>
  </si>
  <si>
    <t>UP64BT3615</t>
  </si>
  <si>
    <t>MP66ZB6683</t>
  </si>
  <si>
    <t>CGB0F6260</t>
  </si>
  <si>
    <t>RJ29GB1964</t>
  </si>
  <si>
    <t>RJ32GB0139</t>
  </si>
  <si>
    <t>RJ52GA1076</t>
  </si>
  <si>
    <t>RJ14GC9266</t>
  </si>
  <si>
    <t>RJ52GA0442</t>
  </si>
  <si>
    <t>RJ37GA1191</t>
  </si>
  <si>
    <t>RJ52GA9815</t>
  </si>
  <si>
    <t>HR55AP3804</t>
  </si>
  <si>
    <t>RJ52GA5052</t>
  </si>
  <si>
    <t>RJ32GA9177</t>
  </si>
  <si>
    <t>RJ32GD8077</t>
  </si>
  <si>
    <t>08.04.2024</t>
  </si>
  <si>
    <t>CG15EC5041</t>
  </si>
  <si>
    <t>BR25GA2258</t>
  </si>
  <si>
    <t>CG15EC1558</t>
  </si>
  <si>
    <t>JH09R0561</t>
  </si>
  <si>
    <t>UP65GP1192</t>
  </si>
  <si>
    <t>BR24GB0876</t>
  </si>
  <si>
    <t>UP67T8332</t>
  </si>
  <si>
    <t>BR24GA9425</t>
  </si>
  <si>
    <t>BR02GC9653</t>
  </si>
  <si>
    <t>JH19A9051</t>
  </si>
  <si>
    <t>UP67AT0051</t>
  </si>
  <si>
    <t>UP67AT0052</t>
  </si>
  <si>
    <t>UP67AT9777</t>
  </si>
  <si>
    <t>UP67AT9876</t>
  </si>
  <si>
    <t>BR02GA6287</t>
  </si>
  <si>
    <t>NL01AH5092</t>
  </si>
  <si>
    <t>RJ14GP9109</t>
  </si>
  <si>
    <t>RJ19GE6807</t>
  </si>
  <si>
    <t>RJ09GD0863</t>
  </si>
  <si>
    <t>RJ01GC6916</t>
  </si>
  <si>
    <t>RJ27GA8464</t>
  </si>
  <si>
    <t>UP63AT2805</t>
  </si>
  <si>
    <t>RJ52GB9581</t>
  </si>
  <si>
    <t>RJ52GA4120</t>
  </si>
  <si>
    <t>HR843399</t>
  </si>
  <si>
    <t>RJ32GB4695</t>
  </si>
  <si>
    <t>RJ52GA5452</t>
  </si>
  <si>
    <t>09.04.2024</t>
  </si>
  <si>
    <t>CH15EB9765</t>
  </si>
  <si>
    <t>09.04.2025</t>
  </si>
  <si>
    <t>09.04.2026</t>
  </si>
  <si>
    <t>BR02GB3686</t>
  </si>
  <si>
    <t>JH13E8061</t>
  </si>
  <si>
    <t>JH02BN3341</t>
  </si>
  <si>
    <t>BR02GB6104</t>
  </si>
  <si>
    <t>MP04GR8874</t>
  </si>
  <si>
    <t>BR02W8223</t>
  </si>
  <si>
    <t>CG15EC1663</t>
  </si>
  <si>
    <t>UP64BT3613</t>
  </si>
  <si>
    <t>JH02AV8234</t>
  </si>
  <si>
    <t>JH02AV9587</t>
  </si>
  <si>
    <t>JH02BN0322</t>
  </si>
  <si>
    <t>JH13E4392</t>
  </si>
  <si>
    <t>JH12D9924</t>
  </si>
  <si>
    <t>JH02AV9292</t>
  </si>
  <si>
    <t>RJ32GC7477</t>
  </si>
  <si>
    <t>CG15EC5485</t>
  </si>
  <si>
    <t>BR24GB0207</t>
  </si>
  <si>
    <t>JH02AE9139</t>
  </si>
  <si>
    <t>BR02GA6904</t>
  </si>
  <si>
    <t>JH13F0407</t>
  </si>
  <si>
    <t>BR24G6471</t>
  </si>
  <si>
    <t>RJ37GB0121</t>
  </si>
  <si>
    <t>UP22AT1075</t>
  </si>
  <si>
    <t>BR24GA8909</t>
  </si>
  <si>
    <t>UP22AT0154</t>
  </si>
  <si>
    <t>RJ52GA9332</t>
  </si>
  <si>
    <t>10.04.2024</t>
  </si>
  <si>
    <t>BR02GD9986</t>
  </si>
  <si>
    <t>BR24GB6371</t>
  </si>
  <si>
    <t>CG15EC1658</t>
  </si>
  <si>
    <t>CG30F6259</t>
  </si>
  <si>
    <t>CG15EC1659</t>
  </si>
  <si>
    <t>MP662B6683</t>
  </si>
  <si>
    <t>CG15EB9766</t>
  </si>
  <si>
    <t>CG15EC1662</t>
  </si>
  <si>
    <t>JH19D5910</t>
  </si>
  <si>
    <t>MP66H2261</t>
  </si>
  <si>
    <t>UP65BT6471</t>
  </si>
  <si>
    <t>BR24GB6571</t>
  </si>
  <si>
    <t>MP662C7565</t>
  </si>
  <si>
    <t>BR02GA6453</t>
  </si>
  <si>
    <t>RJ27GD0619</t>
  </si>
  <si>
    <t>JH05DQ2610</t>
  </si>
  <si>
    <t>PB11BY6635</t>
  </si>
  <si>
    <t>11.04.2024</t>
  </si>
  <si>
    <t>JH02BN8407</t>
  </si>
  <si>
    <t>JH02AW8709</t>
  </si>
  <si>
    <t>BR24GB3492</t>
  </si>
  <si>
    <t>JH02BM7538</t>
  </si>
  <si>
    <t>UP65FT8776</t>
  </si>
  <si>
    <t>UP670FT5385</t>
  </si>
  <si>
    <t>JH05DQ0852</t>
  </si>
  <si>
    <t>WB11D7122</t>
  </si>
  <si>
    <t>MP53HA2250</t>
  </si>
  <si>
    <t>BR02GD9637</t>
  </si>
  <si>
    <t>ML01L2884</t>
  </si>
  <si>
    <t>RJ18GD6383</t>
  </si>
  <si>
    <t>RJ36GA3422</t>
  </si>
  <si>
    <t>UP64BT6133</t>
  </si>
  <si>
    <t>RJ52GA8286</t>
  </si>
  <si>
    <t>RJ51GB4159</t>
  </si>
  <si>
    <t>JH0AE8820</t>
  </si>
  <si>
    <t>JH19B0227</t>
  </si>
  <si>
    <t>RJ14GE2492</t>
  </si>
  <si>
    <t>12.04.2024</t>
  </si>
  <si>
    <t>JH02AW0243</t>
  </si>
  <si>
    <t>BR02GA0587</t>
  </si>
  <si>
    <t>JH02AJ8813</t>
  </si>
  <si>
    <t>UP64BT1573</t>
  </si>
  <si>
    <t>UP64BT1574</t>
  </si>
  <si>
    <t>JH14K1778</t>
  </si>
  <si>
    <t>UP64BT8735</t>
  </si>
  <si>
    <t>MP662C7095</t>
  </si>
  <si>
    <t>UP64BT6357</t>
  </si>
  <si>
    <t>CG15EC2461</t>
  </si>
  <si>
    <t>JH14K8315</t>
  </si>
  <si>
    <t>RJ01GB6792</t>
  </si>
  <si>
    <t>RJ52GB0026</t>
  </si>
  <si>
    <t>BR02B3891</t>
  </si>
  <si>
    <t>BR45GA2022</t>
  </si>
  <si>
    <t>13.04.2024</t>
  </si>
  <si>
    <t>UP64BT6932</t>
  </si>
  <si>
    <t>UP64BT4419</t>
  </si>
  <si>
    <t>JRJ52GA2481</t>
  </si>
  <si>
    <t>RJ32GE9698</t>
  </si>
  <si>
    <t>UP64BT6734</t>
  </si>
  <si>
    <t>RJ26GA6715</t>
  </si>
  <si>
    <t>UP63AT4563</t>
  </si>
  <si>
    <t>RJ27GB3369</t>
  </si>
  <si>
    <t>HR58A4501</t>
  </si>
  <si>
    <t>14.04.2024</t>
  </si>
  <si>
    <t>RJ14GJ5167</t>
  </si>
  <si>
    <t>15.04.2024</t>
  </si>
  <si>
    <t>UP64BT9644</t>
  </si>
  <si>
    <t>UP64BT6795</t>
  </si>
  <si>
    <t>BR02AA2651</t>
  </si>
  <si>
    <t>UP67AT1096</t>
  </si>
  <si>
    <t>HR50D0820</t>
  </si>
  <si>
    <t>UR18CA7258</t>
  </si>
  <si>
    <t>UP22AT1960</t>
  </si>
  <si>
    <t>UP67AT5252</t>
  </si>
  <si>
    <t>UP12AT9152</t>
  </si>
  <si>
    <t>UP12AT1115</t>
  </si>
  <si>
    <t>CG15EC9951</t>
  </si>
  <si>
    <t>MP66ZC8905</t>
  </si>
  <si>
    <t>CG15EB2361</t>
  </si>
  <si>
    <t>UP21DT1681</t>
  </si>
  <si>
    <t>UP67AT0604</t>
  </si>
  <si>
    <t>RJ52GA5243</t>
  </si>
  <si>
    <t>UP64BT4369</t>
  </si>
  <si>
    <t>16.04.2024</t>
  </si>
  <si>
    <t>UP67AT7677</t>
  </si>
  <si>
    <t>UP67T9877</t>
  </si>
  <si>
    <t>UP64AT0647</t>
  </si>
  <si>
    <t>PB13AW9897</t>
  </si>
  <si>
    <t>PB0ZCK8927</t>
  </si>
  <si>
    <t>UP12BT2555</t>
  </si>
  <si>
    <t>RJ05GD5002</t>
  </si>
  <si>
    <t>HR5554015</t>
  </si>
  <si>
    <t>RJ09GB4787</t>
  </si>
  <si>
    <t>17.04.2024</t>
  </si>
  <si>
    <t>UP67T9901</t>
  </si>
  <si>
    <t>CG15AC1663</t>
  </si>
  <si>
    <t>JH14K6778</t>
  </si>
  <si>
    <t>UP25FT4743</t>
  </si>
  <si>
    <t>UP65471192</t>
  </si>
  <si>
    <t>BR44G9033</t>
  </si>
  <si>
    <t>RJ14GK5002</t>
  </si>
  <si>
    <t>18.04.2024</t>
  </si>
  <si>
    <t>HR58C5184</t>
  </si>
  <si>
    <t>UP67AT4747</t>
  </si>
  <si>
    <t>JH02AA6350</t>
  </si>
  <si>
    <t>JH01BR6625</t>
  </si>
  <si>
    <t>JH02AK3352</t>
  </si>
  <si>
    <t>UP64BT8264</t>
  </si>
  <si>
    <t>UP64BT6962</t>
  </si>
  <si>
    <t>UP64BT9597</t>
  </si>
  <si>
    <t>UP64BT8135</t>
  </si>
  <si>
    <t>RJ42GA0497</t>
  </si>
  <si>
    <t>RJ09GC0133</t>
  </si>
  <si>
    <t>HR5BC8345</t>
  </si>
  <si>
    <t>RJ32GD9698</t>
  </si>
  <si>
    <t>RJ32GB9978</t>
  </si>
  <si>
    <t>19.04.2024</t>
  </si>
  <si>
    <t>UP67BT1573</t>
  </si>
  <si>
    <t>JH02AV1350</t>
  </si>
  <si>
    <t>UP65AT3377</t>
  </si>
  <si>
    <t>UP64BT1578</t>
  </si>
  <si>
    <t>UP64BT4820</t>
  </si>
  <si>
    <t>UP64BT6820</t>
  </si>
  <si>
    <t>UP64BT6955</t>
  </si>
  <si>
    <t>UP64BT6930</t>
  </si>
  <si>
    <t>UPBT6133</t>
  </si>
  <si>
    <t>RJ32GA9057</t>
  </si>
  <si>
    <t>RJ21GC1778</t>
  </si>
  <si>
    <t>RJ21GB7469</t>
  </si>
  <si>
    <t>RJ52GA1073</t>
  </si>
  <si>
    <t>RJ09GB9899</t>
  </si>
  <si>
    <t>RJ10GB2102</t>
  </si>
  <si>
    <t>RJGA1938</t>
  </si>
  <si>
    <t>HR58B8902</t>
  </si>
  <si>
    <t>20.04.2024</t>
  </si>
  <si>
    <t>RJ32GD5082</t>
  </si>
  <si>
    <t>RJ32GD1302</t>
  </si>
  <si>
    <t>RJ29GB1280</t>
  </si>
  <si>
    <t>RJ32GA7231</t>
  </si>
  <si>
    <t>RJ37GA1232</t>
  </si>
  <si>
    <t>UP81BT8970</t>
  </si>
  <si>
    <t>RJ52GA8987</t>
  </si>
  <si>
    <t>UP64BT9655</t>
  </si>
  <si>
    <t>21.04.2024</t>
  </si>
  <si>
    <t>CG15ED9766</t>
  </si>
  <si>
    <t>JH03AN4380</t>
  </si>
  <si>
    <t>RJ02GC4496</t>
  </si>
  <si>
    <t>UP64AT4995</t>
  </si>
  <si>
    <t>UP25FT0572</t>
  </si>
  <si>
    <t>JH02AC4560</t>
  </si>
  <si>
    <t>UP64BT4727</t>
  </si>
  <si>
    <t>RJ32GD9177</t>
  </si>
  <si>
    <t>RJ14GD3877</t>
  </si>
  <si>
    <t>RJ52GA8380</t>
  </si>
  <si>
    <t>UP20BT5505</t>
  </si>
  <si>
    <t>22.04.2024</t>
  </si>
  <si>
    <t>RJ01GC6510</t>
  </si>
  <si>
    <t>RJ28GA3045</t>
  </si>
  <si>
    <t>RJ32GP4452</t>
  </si>
  <si>
    <t>UP65GT6471</t>
  </si>
  <si>
    <t>UP65FT3409</t>
  </si>
  <si>
    <t>CG15EC2481</t>
  </si>
  <si>
    <t>UP64BT9555</t>
  </si>
  <si>
    <t>UP22T4365</t>
  </si>
  <si>
    <t>UP52AT6459</t>
  </si>
  <si>
    <t>HR73B2239</t>
  </si>
  <si>
    <t>RJ01GC6509</t>
  </si>
  <si>
    <t>RJ02GB7573</t>
  </si>
  <si>
    <t>UP37T4352</t>
  </si>
  <si>
    <t>23.04.2024</t>
  </si>
  <si>
    <t>RJ47GA0953</t>
  </si>
  <si>
    <t>UP64AT6555</t>
  </si>
  <si>
    <t>UP25FT0971</t>
  </si>
  <si>
    <t>UP25FT3172</t>
  </si>
  <si>
    <t>UP65GT6271</t>
  </si>
  <si>
    <t>FT02GB0767</t>
  </si>
  <si>
    <t>UP22T4295</t>
  </si>
  <si>
    <t>RJ01GB8481</t>
  </si>
  <si>
    <t>UP25BT6747</t>
  </si>
  <si>
    <t>RJ31GB2757</t>
  </si>
  <si>
    <t>RJ31GB2544</t>
  </si>
  <si>
    <t>RJ07GC3596</t>
  </si>
  <si>
    <t>24.04.2024</t>
  </si>
  <si>
    <t>JH02BP1299</t>
  </si>
  <si>
    <t>JH02BP4968</t>
  </si>
  <si>
    <t>JH02AL8982</t>
  </si>
  <si>
    <t>JH13E9117</t>
  </si>
  <si>
    <t>JH02AP8348</t>
  </si>
  <si>
    <t>JH02AP8709</t>
  </si>
  <si>
    <t>UP65BT6820</t>
  </si>
  <si>
    <t>UP62BT5918</t>
  </si>
  <si>
    <t>JH13E6146</t>
  </si>
  <si>
    <t>RJ19GA9426</t>
  </si>
  <si>
    <t>25.04.2024</t>
  </si>
  <si>
    <t>UP25ET9451</t>
  </si>
  <si>
    <t>BR02GA8792</t>
  </si>
  <si>
    <t>JH02BL0614</t>
  </si>
  <si>
    <t>JH02AV8853</t>
  </si>
  <si>
    <t>UP65BT8264</t>
  </si>
  <si>
    <t>RJ36GA8789</t>
  </si>
  <si>
    <t>RJ47GA1561</t>
  </si>
  <si>
    <t>NL01K7840</t>
  </si>
  <si>
    <t>JH02AE8154</t>
  </si>
  <si>
    <t>UP25LT3790</t>
  </si>
  <si>
    <t>JH02AG9718</t>
  </si>
  <si>
    <t>28.04.2024</t>
  </si>
  <si>
    <t>UP25ET8171</t>
  </si>
  <si>
    <t>UP64BT7468</t>
  </si>
  <si>
    <t>BR45GB0928</t>
  </si>
  <si>
    <t>UP92T9322</t>
  </si>
  <si>
    <t>UP38T4224</t>
  </si>
  <si>
    <t>RJ32GD9677</t>
  </si>
  <si>
    <t>UP25AT2724</t>
  </si>
  <si>
    <t>UP25ET1313</t>
  </si>
  <si>
    <t>UP25CT8465</t>
  </si>
  <si>
    <t>UP25GB8157</t>
  </si>
  <si>
    <t>29.04.2024</t>
  </si>
  <si>
    <t>UP64T3665</t>
  </si>
  <si>
    <t>BR45CB0833</t>
  </si>
  <si>
    <t>UP64BT9755</t>
  </si>
  <si>
    <t>UP64CT5678</t>
  </si>
  <si>
    <t>UP25GT1712</t>
  </si>
  <si>
    <t>UP25ET3654</t>
  </si>
  <si>
    <t>UP38AT0477</t>
  </si>
  <si>
    <t>UP21CT8907</t>
  </si>
  <si>
    <t>RJ09GC4222</t>
  </si>
  <si>
    <t>30.04.2024</t>
  </si>
  <si>
    <t>UP64BT6555</t>
  </si>
  <si>
    <t>UP66ZC7095</t>
  </si>
  <si>
    <t>UP64BT0641</t>
  </si>
  <si>
    <t>UP64BT7469</t>
  </si>
  <si>
    <t>BR45GB0798</t>
  </si>
  <si>
    <t>UP64BT8138</t>
  </si>
  <si>
    <t>MP20EZ9097</t>
  </si>
  <si>
    <t>UP38T6843</t>
  </si>
  <si>
    <t>RJ32GC9803</t>
  </si>
  <si>
    <t>UP67AT0086</t>
  </si>
  <si>
    <t>UP67AT0816</t>
  </si>
  <si>
    <t>HR73B9843</t>
  </si>
  <si>
    <t>RJ14GJ5124</t>
  </si>
  <si>
    <t>UP25BT6447</t>
  </si>
  <si>
    <t>UP62CT5578</t>
  </si>
  <si>
    <t>BR02GA8793</t>
  </si>
  <si>
    <t>UP25GT2710</t>
  </si>
  <si>
    <t>31.03.2024</t>
  </si>
  <si>
    <t>MP66Z7565</t>
  </si>
  <si>
    <t>01.05.2024</t>
  </si>
  <si>
    <t>UP25GT2657</t>
  </si>
  <si>
    <t>UP25FT0973</t>
  </si>
  <si>
    <t>BR24GB6471</t>
  </si>
  <si>
    <t>UP25ET4704</t>
  </si>
  <si>
    <t>BR26H7472</t>
  </si>
  <si>
    <t>BR24GC0071</t>
  </si>
  <si>
    <t>UP25DT4898</t>
  </si>
  <si>
    <t>RJ52GA2593</t>
  </si>
  <si>
    <t>RJ14GG3875</t>
  </si>
  <si>
    <t>RJ02GB1682</t>
  </si>
  <si>
    <t>JH14K2595</t>
  </si>
  <si>
    <t>BR45GB0927</t>
  </si>
  <si>
    <t>UP64BT7820</t>
  </si>
  <si>
    <t>UP37T7338</t>
  </si>
  <si>
    <t>UP21AN4467</t>
  </si>
  <si>
    <t>UP23T7125</t>
  </si>
  <si>
    <t>UP64T8264</t>
  </si>
  <si>
    <t>UP38T7551</t>
  </si>
  <si>
    <t>RJ28GR3184</t>
  </si>
  <si>
    <t>02.05.2024</t>
  </si>
  <si>
    <t>RJ01GB7186</t>
  </si>
  <si>
    <t>UP65GJ6871</t>
  </si>
  <si>
    <t>UP65GJ6471</t>
  </si>
  <si>
    <t>UP85HJ3971</t>
  </si>
  <si>
    <t>RJ32GE5082</t>
  </si>
  <si>
    <t>UP65CT0951</t>
  </si>
  <si>
    <t>BR24GB0833</t>
  </si>
  <si>
    <t>RJ14GB5167</t>
  </si>
  <si>
    <t>RJ52GA1728</t>
  </si>
  <si>
    <t>BR45GB0832</t>
  </si>
  <si>
    <t>UP27AT6080</t>
  </si>
  <si>
    <t>UP12AT6822</t>
  </si>
  <si>
    <t>UP22AT6326</t>
  </si>
  <si>
    <t>UP61BT0571</t>
  </si>
  <si>
    <t>03.05.2024</t>
  </si>
  <si>
    <t>JH02AM6350</t>
  </si>
  <si>
    <t>UP64T3656</t>
  </si>
  <si>
    <t>HR58A4461</t>
  </si>
  <si>
    <t>UP38T7267</t>
  </si>
  <si>
    <t>UP53ET6036</t>
  </si>
  <si>
    <t>UP25DT0057</t>
  </si>
  <si>
    <t>UP38AT0015</t>
  </si>
  <si>
    <t>UP38AT2236</t>
  </si>
  <si>
    <t>UP25ET1669</t>
  </si>
  <si>
    <t>04.05.2024</t>
  </si>
  <si>
    <t>JH02BT4368</t>
  </si>
  <si>
    <t>JH02AV3316</t>
  </si>
  <si>
    <t>UP63BT1319</t>
  </si>
  <si>
    <t>UP63BT1318</t>
  </si>
  <si>
    <t>UP63BT1320</t>
  </si>
  <si>
    <t>RJ40GA5035</t>
  </si>
  <si>
    <t>RJ52GA5202</t>
  </si>
  <si>
    <t>RJ52GA8399</t>
  </si>
  <si>
    <t>HR74A3749</t>
  </si>
  <si>
    <t>UP67AT7191</t>
  </si>
  <si>
    <t>UP64BT7463</t>
  </si>
  <si>
    <t>UP64AT6955</t>
  </si>
  <si>
    <t>UP81CT0335</t>
  </si>
  <si>
    <t>UP64T9901</t>
  </si>
  <si>
    <t>UP38T4293</t>
  </si>
  <si>
    <t>UP38AT0130</t>
  </si>
  <si>
    <t>05.05.2024</t>
  </si>
  <si>
    <t>08.05.2024</t>
  </si>
  <si>
    <t>BR02GC4297</t>
  </si>
  <si>
    <t>BR02GA8786</t>
  </si>
  <si>
    <t>PB11CF9356</t>
  </si>
  <si>
    <t>RJ29GB3558</t>
  </si>
  <si>
    <t>UP23AT3778</t>
  </si>
  <si>
    <t>UP38T4311</t>
  </si>
  <si>
    <t>RJ40GA5237</t>
  </si>
  <si>
    <t>UP38T7796</t>
  </si>
  <si>
    <t>UP48BN9891</t>
  </si>
  <si>
    <t>UP21CT9954</t>
  </si>
  <si>
    <t>RJ07GC3595</t>
  </si>
  <si>
    <t>06.05.2024</t>
  </si>
  <si>
    <t>JH02AU5447</t>
  </si>
  <si>
    <t>UP67AT2476</t>
  </si>
  <si>
    <t>UP38T7772</t>
  </si>
  <si>
    <t>UP38T3203</t>
  </si>
  <si>
    <t>UP22AT2004</t>
  </si>
  <si>
    <t>UP16BT7468</t>
  </si>
  <si>
    <t>RJ32GB5865</t>
  </si>
  <si>
    <t>RJ52GA9574</t>
  </si>
  <si>
    <t>JH02V0195</t>
  </si>
  <si>
    <t>07.05.2024</t>
  </si>
  <si>
    <t>UP64BT6735</t>
  </si>
  <si>
    <t>UP63BT5443</t>
  </si>
  <si>
    <t>UP63BT0751</t>
  </si>
  <si>
    <t>RJ45GB3558</t>
  </si>
  <si>
    <t>HR45C9366</t>
  </si>
  <si>
    <t>RJ40GB1143</t>
  </si>
  <si>
    <t>RJ40GB2943</t>
  </si>
  <si>
    <t>RJ40GB5943</t>
  </si>
  <si>
    <t>RJ40GB3343</t>
  </si>
  <si>
    <t>HR47A7900</t>
  </si>
  <si>
    <t>JH02AV9272</t>
  </si>
  <si>
    <t>JH02AY8234</t>
  </si>
  <si>
    <t>UP67AT9888</t>
  </si>
  <si>
    <t>UP64BT4976</t>
  </si>
  <si>
    <t>UP42BT7330</t>
  </si>
  <si>
    <t>UP42CT5780</t>
  </si>
  <si>
    <t>UP42CT5779</t>
  </si>
  <si>
    <t>BR45GB0833</t>
  </si>
  <si>
    <t>UP32PN3448</t>
  </si>
  <si>
    <t>HR61E3817</t>
  </si>
  <si>
    <t>UP63BT5478</t>
  </si>
  <si>
    <t>JH14A4795</t>
  </si>
  <si>
    <t>JH19A7511</t>
  </si>
  <si>
    <t>JH16G6844</t>
  </si>
  <si>
    <t>RJ52GB2618</t>
  </si>
  <si>
    <t>RJ32GB5082</t>
  </si>
  <si>
    <t>RJ52GA8005</t>
  </si>
  <si>
    <t>RJ52GA4201</t>
  </si>
  <si>
    <t>RJ23GB7816</t>
  </si>
  <si>
    <t>RJ14GA8434</t>
  </si>
  <si>
    <t>RJ14GB5015</t>
  </si>
  <si>
    <t>09.05.2024</t>
  </si>
  <si>
    <t>UP25CT4605</t>
  </si>
  <si>
    <t>RJ52GA9500</t>
  </si>
  <si>
    <t>UP22AT2103</t>
  </si>
  <si>
    <t>UP67T2170</t>
  </si>
  <si>
    <t>BR02AA4272</t>
  </si>
  <si>
    <t>UP65HT4071</t>
  </si>
  <si>
    <t>JH19A9847</t>
  </si>
  <si>
    <t>HR55AT7932</t>
  </si>
  <si>
    <t>HR55AT7980</t>
  </si>
  <si>
    <t>HT55AT7824</t>
  </si>
  <si>
    <t>HR55AT7954</t>
  </si>
  <si>
    <t>BR45GB1795</t>
  </si>
  <si>
    <t>RJ52GB3189</t>
  </si>
  <si>
    <t>RJ14GT4744</t>
  </si>
  <si>
    <t>UP25BT2724</t>
  </si>
  <si>
    <t>UP25CT1315</t>
  </si>
  <si>
    <t>HR37B3659</t>
  </si>
  <si>
    <t>UP38J4729</t>
  </si>
  <si>
    <t>HR58B5756</t>
  </si>
  <si>
    <t>10.05.2024</t>
  </si>
  <si>
    <t>11.05.2024</t>
  </si>
  <si>
    <t>UP63BT0257</t>
  </si>
  <si>
    <t>BR02GC9837</t>
  </si>
  <si>
    <t>UP63BT0753</t>
  </si>
  <si>
    <t>BR24GB3496</t>
  </si>
  <si>
    <t>BR26H7471</t>
  </si>
  <si>
    <t>UP63BT5411</t>
  </si>
  <si>
    <t>UP63BT0755</t>
  </si>
  <si>
    <t>RJ42GA1283</t>
  </si>
  <si>
    <t>MP66ZC9666</t>
  </si>
  <si>
    <t>UP18CA7258</t>
  </si>
  <si>
    <t>UP38T8566</t>
  </si>
  <si>
    <t>UP38T7539</t>
  </si>
  <si>
    <t>UP75CT0951</t>
  </si>
  <si>
    <t>UP19T4751</t>
  </si>
  <si>
    <t>UP22AT4375</t>
  </si>
  <si>
    <t>UP54AT7171</t>
  </si>
  <si>
    <t>UP38T3870</t>
  </si>
  <si>
    <t>BR24GB4371</t>
  </si>
  <si>
    <t>UP25ET1659</t>
  </si>
  <si>
    <t>UP50ET3041</t>
  </si>
  <si>
    <t>UP25FT9359</t>
  </si>
  <si>
    <t>RJ29GB9192</t>
  </si>
  <si>
    <t>UP25GT1713</t>
  </si>
  <si>
    <t>BR02Q2057</t>
  </si>
  <si>
    <t>12.05.2024</t>
  </si>
  <si>
    <t>JH02BK2131</t>
  </si>
  <si>
    <t>JH19A9031</t>
  </si>
  <si>
    <t>BR02AA5074</t>
  </si>
  <si>
    <t>BR02Q3891</t>
  </si>
  <si>
    <t>UP64BT6834</t>
  </si>
  <si>
    <t>RJ14GL8560</t>
  </si>
  <si>
    <t>RJ14GP6995</t>
  </si>
  <si>
    <t>RJ14GF9727</t>
  </si>
  <si>
    <t>UP22BT1053</t>
  </si>
  <si>
    <t>JH02Z7827</t>
  </si>
  <si>
    <t>BR02GA6591</t>
  </si>
  <si>
    <t>12.05.2025</t>
  </si>
  <si>
    <t>MH04GA8875</t>
  </si>
  <si>
    <t>MH04GA3798</t>
  </si>
  <si>
    <t>UP21CN8775</t>
  </si>
  <si>
    <t>RJ14GG4359</t>
  </si>
  <si>
    <t>UP25CT3468</t>
  </si>
  <si>
    <t>UP38T4132</t>
  </si>
  <si>
    <t>BR24GA8863</t>
  </si>
  <si>
    <t>13.05.2024</t>
  </si>
  <si>
    <t>BR24GB0203</t>
  </si>
  <si>
    <t>RJ11GB3273</t>
  </si>
  <si>
    <t>RJ52GB0848</t>
  </si>
  <si>
    <t>RJ11GB9972</t>
  </si>
  <si>
    <t>18.05.2024</t>
  </si>
  <si>
    <t>UP17AT4846</t>
  </si>
  <si>
    <t>19.05.2024</t>
  </si>
  <si>
    <t>JH02AJ8030</t>
  </si>
  <si>
    <t>15.05.2024</t>
  </si>
  <si>
    <t>UP25ET8666</t>
  </si>
  <si>
    <t>RJ25GA4970</t>
  </si>
  <si>
    <t>BR02GB0331</t>
  </si>
  <si>
    <t>BR02GA6387</t>
  </si>
  <si>
    <t>BR11GB4574</t>
  </si>
  <si>
    <t>BR24GB2703</t>
  </si>
  <si>
    <t>UP25ET0651</t>
  </si>
  <si>
    <t>RJ52GB1437</t>
  </si>
  <si>
    <t>MP09HG9144</t>
  </si>
  <si>
    <t>UP81078342</t>
  </si>
  <si>
    <t>UP20AT3464</t>
  </si>
  <si>
    <t>RJ14GJ5032</t>
  </si>
  <si>
    <t>RJ02GB4051</t>
  </si>
  <si>
    <t>RJ02GC5424</t>
  </si>
  <si>
    <t>PB03BK6366</t>
  </si>
  <si>
    <t>RJ06GC3833</t>
  </si>
  <si>
    <t>HR73B3659</t>
  </si>
  <si>
    <t>RJ27GD8321</t>
  </si>
  <si>
    <t>14.05.2024</t>
  </si>
  <si>
    <t>UP67T1771</t>
  </si>
  <si>
    <t>RJ52GB9698</t>
  </si>
  <si>
    <t>HR58C9918</t>
  </si>
  <si>
    <t>HR58C8118</t>
  </si>
  <si>
    <t>UP92AT3020</t>
  </si>
  <si>
    <t>UP93BT5153</t>
  </si>
  <si>
    <t>21.05.2024</t>
  </si>
  <si>
    <t>26.05.2024</t>
  </si>
  <si>
    <t>JH02AB2958</t>
  </si>
  <si>
    <t>JH02Z1541</t>
  </si>
  <si>
    <t>JH13B4908</t>
  </si>
  <si>
    <t>JH19B1335</t>
  </si>
  <si>
    <t>JH01BD8434</t>
  </si>
  <si>
    <t>JH19F7510</t>
  </si>
  <si>
    <t>BR53G4652</t>
  </si>
  <si>
    <t>JH02T7342</t>
  </si>
  <si>
    <t>UP22AT6963</t>
  </si>
  <si>
    <t>UP25T4743</t>
  </si>
  <si>
    <t>UP35T8686</t>
  </si>
  <si>
    <t>RJ02B4214</t>
  </si>
  <si>
    <t>RJ27GC1635</t>
  </si>
  <si>
    <t>RJ52GB1219</t>
  </si>
  <si>
    <t>RJ29GG2943</t>
  </si>
  <si>
    <t>RJ29GB1856</t>
  </si>
  <si>
    <t>27.05.2024</t>
  </si>
  <si>
    <t>JH02BM6769</t>
  </si>
  <si>
    <t>JH02BM9670</t>
  </si>
  <si>
    <t>BR24GA3492</t>
  </si>
  <si>
    <t>JH02AS7606</t>
  </si>
  <si>
    <t>RJ14GG8282</t>
  </si>
  <si>
    <t>RJ06GD0505</t>
  </si>
  <si>
    <t>RJ52GB9638</t>
  </si>
  <si>
    <t>UP50LT2322</t>
  </si>
  <si>
    <t>UP26T9458</t>
  </si>
  <si>
    <t>HR58C5626</t>
  </si>
  <si>
    <t>RJ02GB6483</t>
  </si>
  <si>
    <t>28.05.2024</t>
  </si>
  <si>
    <t>HR58C4417</t>
  </si>
  <si>
    <t>UK07CB0668</t>
  </si>
  <si>
    <t>PB11DE7977</t>
  </si>
  <si>
    <t>PB11DD9877</t>
  </si>
  <si>
    <t>UP38T8047</t>
  </si>
  <si>
    <t>UP11BT8812</t>
  </si>
  <si>
    <t>UP38T7845</t>
  </si>
  <si>
    <t>UP38AT0114</t>
  </si>
  <si>
    <t>UP45AT0407</t>
  </si>
  <si>
    <t>UP50CT1373</t>
  </si>
  <si>
    <t>RJ52GB3939</t>
  </si>
  <si>
    <t>RJ52GB3435</t>
  </si>
  <si>
    <t>RJ40GA6469</t>
  </si>
  <si>
    <t>29.05.2024</t>
  </si>
  <si>
    <t>BR02GB6659</t>
  </si>
  <si>
    <t>JH02BK1231</t>
  </si>
  <si>
    <t>JH02AF1304</t>
  </si>
  <si>
    <t>JH02V0135</t>
  </si>
  <si>
    <t>UP25BT0057</t>
  </si>
  <si>
    <t>RJ01GB5528</t>
  </si>
  <si>
    <t>RJ32GB3398</t>
  </si>
  <si>
    <t>RJ14GR6434</t>
  </si>
  <si>
    <t>RJ14GK9444</t>
  </si>
  <si>
    <t>25.05.2024</t>
  </si>
  <si>
    <t>UP65HT3971</t>
  </si>
  <si>
    <t>RJ42GA3598</t>
  </si>
  <si>
    <t>UP25BT7686</t>
  </si>
  <si>
    <t>RJ01GB9992</t>
  </si>
  <si>
    <t>RJ14GP9163</t>
  </si>
  <si>
    <t>UP25CT9817</t>
  </si>
  <si>
    <t>16.05.2024</t>
  </si>
  <si>
    <t>UP91T5599</t>
  </si>
  <si>
    <t>CG15DE8010</t>
  </si>
  <si>
    <t>BR26GA5367</t>
  </si>
  <si>
    <t>UP65GT6671</t>
  </si>
  <si>
    <t>JH02AZ7606</t>
  </si>
  <si>
    <t>UP67AT0416</t>
  </si>
  <si>
    <t>UP93BT7328</t>
  </si>
  <si>
    <t>RJ52GA8490</t>
  </si>
  <si>
    <t>UP50CT2322</t>
  </si>
  <si>
    <t>RJ14GG7303</t>
  </si>
  <si>
    <t>UP22BT0610</t>
  </si>
  <si>
    <t>BR02GA2656</t>
  </si>
  <si>
    <t>RJ32GB8173</t>
  </si>
  <si>
    <t>JH02AH9025</t>
  </si>
  <si>
    <t>17.05.2024</t>
  </si>
  <si>
    <t>JH10BM3784</t>
  </si>
  <si>
    <t>BR02GA6939</t>
  </si>
  <si>
    <t>UP67AT4487</t>
  </si>
  <si>
    <t>UP64BT2809</t>
  </si>
  <si>
    <t>UP65FT7611</t>
  </si>
  <si>
    <t>BR24GA6171</t>
  </si>
  <si>
    <t>RJ9GR3533</t>
  </si>
  <si>
    <t>UP22T4563</t>
  </si>
  <si>
    <t>UP25ET8940</t>
  </si>
  <si>
    <t>UP26Y2507</t>
  </si>
  <si>
    <t>RJ14GG0981</t>
  </si>
  <si>
    <t>UP93CY4873</t>
  </si>
  <si>
    <t>BR26GA0472</t>
  </si>
  <si>
    <t>UP25BT6455</t>
  </si>
  <si>
    <t>UP38AT0235</t>
  </si>
  <si>
    <t>RJ14GG7714</t>
  </si>
  <si>
    <t>RJ27GE1801</t>
  </si>
  <si>
    <t>UP25BT3798</t>
  </si>
  <si>
    <t>20.05.2024</t>
  </si>
  <si>
    <t>UP65BT6962</t>
  </si>
  <si>
    <t>JH02AE6089</t>
  </si>
  <si>
    <t>BR02GA6105</t>
  </si>
  <si>
    <t>UP65BT9565</t>
  </si>
  <si>
    <t>RJ25GB9192</t>
  </si>
  <si>
    <t>RJ52GB1006</t>
  </si>
  <si>
    <t>RJ52GA8579</t>
  </si>
  <si>
    <t>UP25DT5772</t>
  </si>
  <si>
    <t>HR63E4829</t>
  </si>
  <si>
    <t>JH02AK9207</t>
  </si>
  <si>
    <t>UP84T3665</t>
  </si>
  <si>
    <t>UP64BT1738</t>
  </si>
  <si>
    <t>UP64T3662</t>
  </si>
  <si>
    <t>JH14K8085</t>
  </si>
  <si>
    <t>UP64AT0645</t>
  </si>
  <si>
    <t>UP64AT0033</t>
  </si>
  <si>
    <t>UP64AT1284</t>
  </si>
  <si>
    <t>UP14BT6929</t>
  </si>
  <si>
    <t>RJ52GA2481</t>
  </si>
  <si>
    <t>RJ01GC8698</t>
  </si>
  <si>
    <t>UP65ET7090</t>
  </si>
  <si>
    <t>UP62AT9543</t>
  </si>
  <si>
    <t>RJ14GH1794</t>
  </si>
  <si>
    <t>UP50CT3011</t>
  </si>
  <si>
    <t>UP91T2575</t>
  </si>
  <si>
    <t>HR61E7715</t>
  </si>
  <si>
    <t>RJ32GB7307</t>
  </si>
  <si>
    <t>RJ14GQ8715</t>
  </si>
  <si>
    <t>RJ14GG5485</t>
  </si>
  <si>
    <t>21.05.2025</t>
  </si>
  <si>
    <t>22.05.2025</t>
  </si>
  <si>
    <t>RJ32GB8157</t>
  </si>
  <si>
    <t>RJ40GA1992</t>
  </si>
  <si>
    <t>RJ14GR8438</t>
  </si>
  <si>
    <t>HR38AC8139</t>
  </si>
  <si>
    <t>NL01AH1264</t>
  </si>
  <si>
    <t>RJ52GA2184</t>
  </si>
  <si>
    <t>RJ09GC2691</t>
  </si>
  <si>
    <t>RJ32GD3772</t>
  </si>
  <si>
    <t>BR02GA7626</t>
  </si>
  <si>
    <t>HR65A6677</t>
  </si>
  <si>
    <t>RJ09GC2539</t>
  </si>
  <si>
    <t>BR02GD2656</t>
  </si>
  <si>
    <t>RJ52GB2372</t>
  </si>
  <si>
    <t>JH10BC2347</t>
  </si>
  <si>
    <t>23.05.2025</t>
  </si>
  <si>
    <t>UP67AT7171</t>
  </si>
  <si>
    <t>BR02GD2552</t>
  </si>
  <si>
    <t>UP14ET2889</t>
  </si>
  <si>
    <t>JH02AY4565</t>
  </si>
  <si>
    <t>JH02AV0372</t>
  </si>
  <si>
    <t>RJ52GA9578</t>
  </si>
  <si>
    <t>HR58C2683</t>
  </si>
  <si>
    <t>RJ14GG4687</t>
  </si>
  <si>
    <t>HR55D2348</t>
  </si>
  <si>
    <t>HR63D5531</t>
  </si>
  <si>
    <t>24.05.2025</t>
  </si>
  <si>
    <t>UP65FT0013</t>
  </si>
  <si>
    <t>UK18GA7258</t>
  </si>
  <si>
    <t>RJ52GB1777</t>
  </si>
  <si>
    <t>UP25DF0057</t>
  </si>
  <si>
    <t>RJ40GA3695</t>
  </si>
  <si>
    <t>RJ40GA7332</t>
  </si>
  <si>
    <t>RJ14GQ8716</t>
  </si>
  <si>
    <t>RJ52GA7944</t>
  </si>
  <si>
    <t>RJ06GD6118</t>
  </si>
  <si>
    <t>RJ40GA5943</t>
  </si>
  <si>
    <t>RJ01GB7269</t>
  </si>
  <si>
    <t>UP62BT2098</t>
  </si>
  <si>
    <t>UP62AT9021</t>
  </si>
  <si>
    <t>30.05.2024</t>
  </si>
  <si>
    <t>JH13B8304</t>
  </si>
  <si>
    <t>JH02AH3207</t>
  </si>
  <si>
    <t>UK15CA7258</t>
  </si>
  <si>
    <t>HR58D9061</t>
  </si>
  <si>
    <t>RJ29GB5196</t>
  </si>
  <si>
    <t>31.05.2024</t>
  </si>
  <si>
    <t>PB02DU2739</t>
  </si>
  <si>
    <t>UP45AT4457</t>
  </si>
  <si>
    <t>UP45AT6910</t>
  </si>
  <si>
    <t>UP45T7685</t>
  </si>
  <si>
    <t>RJ14GT5417</t>
  </si>
  <si>
    <t>RJ52GA7958</t>
  </si>
  <si>
    <t>PB13BC0339</t>
  </si>
  <si>
    <t>02.06.2024</t>
  </si>
  <si>
    <t>UP22T4701</t>
  </si>
  <si>
    <t>UP38T8045</t>
  </si>
  <si>
    <t>PB11CT2892</t>
  </si>
  <si>
    <t>PR02GA6854</t>
  </si>
  <si>
    <t>UP30AT6498</t>
  </si>
  <si>
    <t>RJ02GB4218</t>
  </si>
  <si>
    <t>RJ29GB5037</t>
  </si>
  <si>
    <t>RJ14GA7338</t>
  </si>
  <si>
    <t>RJ52GA3992</t>
  </si>
  <si>
    <t>RJ14GB3429</t>
  </si>
  <si>
    <t>RJ52GA2923</t>
  </si>
  <si>
    <t>03.06.2024</t>
  </si>
  <si>
    <t>PB46M9282</t>
  </si>
  <si>
    <t>UP21CT5015</t>
  </si>
  <si>
    <t>UP38T5300</t>
  </si>
  <si>
    <t>RJ40GA5088</t>
  </si>
  <si>
    <t>RJ52GA9620</t>
  </si>
  <si>
    <t>RJ52GA9078</t>
  </si>
  <si>
    <t>RJ52GA37944</t>
  </si>
  <si>
    <t>RJ33GA2819</t>
  </si>
  <si>
    <t>RJ52GB1938</t>
  </si>
  <si>
    <t>04.06.2024</t>
  </si>
  <si>
    <t>RJ40GA5236</t>
  </si>
  <si>
    <t>RJ58C7446</t>
  </si>
  <si>
    <t>UK17CA4481</t>
  </si>
  <si>
    <t>05.06.2024</t>
  </si>
  <si>
    <t>RJ52GB7072</t>
  </si>
  <si>
    <t>RJ14GQ8608</t>
  </si>
  <si>
    <t>06.06.2024</t>
  </si>
  <si>
    <t>HR58B2588</t>
  </si>
  <si>
    <t>07.06.2024</t>
  </si>
  <si>
    <t>UP53ET8883</t>
  </si>
  <si>
    <t>RJ52GA2342</t>
  </si>
  <si>
    <t>08.06.2024</t>
  </si>
  <si>
    <t>UP64BT9525</t>
  </si>
  <si>
    <t>UP63T9408</t>
  </si>
  <si>
    <t>RJ32GD0166</t>
  </si>
  <si>
    <t>RJ52GA0885</t>
  </si>
  <si>
    <t>09.06.2024</t>
  </si>
  <si>
    <t>UP67AT1109</t>
  </si>
  <si>
    <t>HR73B3356</t>
  </si>
  <si>
    <t>RJ52GA4970</t>
  </si>
  <si>
    <t>10.06.2024</t>
  </si>
  <si>
    <t>11.06.2024</t>
  </si>
  <si>
    <t>HR58C5418</t>
  </si>
  <si>
    <t>HR61E3657</t>
  </si>
  <si>
    <t>HR61E1365</t>
  </si>
  <si>
    <t>UP53BT6075</t>
  </si>
  <si>
    <t>12.06.2024</t>
  </si>
  <si>
    <t>UP22T4235</t>
  </si>
  <si>
    <t>NL01AF3328</t>
  </si>
  <si>
    <t>UP72CT0585</t>
  </si>
  <si>
    <t>UP38T8817</t>
  </si>
  <si>
    <t>RJ52GA8058</t>
  </si>
  <si>
    <t>UP15DT0136</t>
  </si>
  <si>
    <t>UP61T9703</t>
  </si>
  <si>
    <t>UP64AT6346</t>
  </si>
  <si>
    <t>PB13F5286</t>
  </si>
  <si>
    <t>UP22AT3318</t>
  </si>
  <si>
    <t>RJ52GA5138</t>
  </si>
  <si>
    <t>13.06.2024</t>
  </si>
  <si>
    <t>UP38T3518</t>
  </si>
  <si>
    <t>UP22AT9283</t>
  </si>
  <si>
    <t>UP62BT2038</t>
  </si>
  <si>
    <t>UP57AT1336</t>
  </si>
  <si>
    <t>RJ52GB0302</t>
  </si>
  <si>
    <t>UP12CT8705</t>
  </si>
  <si>
    <t>HR58C2662</t>
  </si>
  <si>
    <t>UP81BT8442</t>
  </si>
  <si>
    <t>UP38T9723</t>
  </si>
  <si>
    <t>14.06.2024</t>
  </si>
  <si>
    <t>RJ14HN6541</t>
  </si>
  <si>
    <t>UP22ET5501</t>
  </si>
  <si>
    <t>RJ14HN8485</t>
  </si>
  <si>
    <t>UP22AT2770</t>
  </si>
  <si>
    <t>15.06.2024</t>
  </si>
  <si>
    <t>RJ32GB7790</t>
  </si>
  <si>
    <t>UK17CA3405</t>
  </si>
  <si>
    <t>UP15DT5171</t>
  </si>
  <si>
    <t>UP15RT1142</t>
  </si>
  <si>
    <t>UP22AT8963</t>
  </si>
  <si>
    <t>16.06.2024</t>
  </si>
  <si>
    <t>UP22AT7208</t>
  </si>
  <si>
    <t>MP07HB5667</t>
  </si>
  <si>
    <t>UP38T7552</t>
  </si>
  <si>
    <t>UP38T9809</t>
  </si>
  <si>
    <t>17.06.2024</t>
  </si>
  <si>
    <t>RJ52GB1307</t>
  </si>
  <si>
    <t>RJ14GH0711</t>
  </si>
  <si>
    <t>UP22AT9328</t>
  </si>
  <si>
    <t>UP38T-4829</t>
  </si>
  <si>
    <t>18.06.2024</t>
  </si>
  <si>
    <t>JH02AE8520</t>
  </si>
  <si>
    <t>RJ52GA5053</t>
  </si>
  <si>
    <t>JH13B0227</t>
  </si>
  <si>
    <t>RJ26GB0788</t>
  </si>
  <si>
    <t>19.06.2024</t>
  </si>
  <si>
    <t>UP63AT3176</t>
  </si>
  <si>
    <t>HR58D1269</t>
  </si>
  <si>
    <t>PB13BB9888</t>
  </si>
  <si>
    <t>UP64AT6393</t>
  </si>
  <si>
    <t>HR58C4538</t>
  </si>
  <si>
    <t>UP45AT6589</t>
  </si>
  <si>
    <t>UP45T6910</t>
  </si>
  <si>
    <t>UP64AT6970</t>
  </si>
  <si>
    <t>RJ29GA6067</t>
  </si>
  <si>
    <t>RJ52GA3932</t>
  </si>
  <si>
    <t>20.06.2024</t>
  </si>
  <si>
    <t>UP38T3280</t>
  </si>
  <si>
    <t>UP65FT4748</t>
  </si>
  <si>
    <t>UP22AT8363</t>
  </si>
  <si>
    <t>UP67AT0253</t>
  </si>
  <si>
    <t>UP15AT9888</t>
  </si>
  <si>
    <t>UP75AT5613</t>
  </si>
  <si>
    <t>UP15DT8739</t>
  </si>
  <si>
    <t>21.06.2024</t>
  </si>
  <si>
    <t>RJ14GP3433</t>
  </si>
  <si>
    <t>JH14K5638</t>
  </si>
  <si>
    <t>RJ14GL1044</t>
  </si>
  <si>
    <t>UP38AY0172</t>
  </si>
  <si>
    <t>UP11CT4014</t>
  </si>
  <si>
    <t>UP53PT9659</t>
  </si>
  <si>
    <t>UP65KT3556</t>
  </si>
  <si>
    <t>22.06.2024</t>
  </si>
  <si>
    <t>RJ05GB5278</t>
  </si>
  <si>
    <t>UP11GB5278</t>
  </si>
  <si>
    <t>UP50DT6193</t>
  </si>
  <si>
    <t>UP45AT6588</t>
  </si>
  <si>
    <t>UP15BT4041</t>
  </si>
  <si>
    <t>UP25DT4570</t>
  </si>
  <si>
    <t>UP25DT4546</t>
  </si>
  <si>
    <t>UP25DT4554</t>
  </si>
  <si>
    <t>23.06.2024</t>
  </si>
  <si>
    <t>UP45T8154</t>
  </si>
  <si>
    <t>HR55T1443</t>
  </si>
  <si>
    <t>RJ52GB4370</t>
  </si>
  <si>
    <t>UK18CA7186</t>
  </si>
  <si>
    <t>UP38AT4750</t>
  </si>
  <si>
    <t>UP22BT4218</t>
  </si>
  <si>
    <t>UP22BT0397</t>
  </si>
  <si>
    <t>UP82AT2439</t>
  </si>
  <si>
    <t>UP64AT1968</t>
  </si>
  <si>
    <t>UP38T7977</t>
  </si>
  <si>
    <t>UK14CA-5054</t>
  </si>
  <si>
    <t>RJ52GA4405</t>
  </si>
  <si>
    <t>24.06.2024</t>
  </si>
  <si>
    <t>UP25FT4385</t>
  </si>
  <si>
    <t>26.04.2024</t>
  </si>
  <si>
    <t>BR45GB0835</t>
  </si>
  <si>
    <t>UP64BT-1574</t>
  </si>
  <si>
    <t>UP65AT-4071</t>
  </si>
  <si>
    <t>UP25ET9422</t>
  </si>
  <si>
    <t>UP65BT9597</t>
  </si>
  <si>
    <t>UP25BT9567</t>
  </si>
  <si>
    <t>UP25AT7672</t>
  </si>
  <si>
    <t>UP25AT1669</t>
  </si>
  <si>
    <t>RJ02GB6461</t>
  </si>
  <si>
    <t>UP25DT6022</t>
  </si>
  <si>
    <t>RJ14GP2077</t>
  </si>
  <si>
    <t>27.04.2024</t>
  </si>
  <si>
    <t>RJ33GA3857</t>
  </si>
  <si>
    <t>JH02AV9314</t>
  </si>
  <si>
    <t>JH02AV3540</t>
  </si>
  <si>
    <t>RJ14GE6513</t>
  </si>
  <si>
    <t>UP25ET2908</t>
  </si>
  <si>
    <t>UP33BT6474</t>
  </si>
  <si>
    <t>RJ52GB0867</t>
  </si>
  <si>
    <t>RJ52GA0517</t>
  </si>
  <si>
    <t>RJ29GA9978</t>
  </si>
  <si>
    <t>UP63BT5413</t>
  </si>
  <si>
    <t>RJ32GD6007</t>
  </si>
  <si>
    <t>GJ12BZ5430</t>
  </si>
  <si>
    <t>UP65FT7775</t>
  </si>
  <si>
    <t>UP67AT0198</t>
  </si>
  <si>
    <t>CG15ET3351</t>
  </si>
  <si>
    <t>MP66ZC8305</t>
  </si>
  <si>
    <t>RJ52GA9398</t>
  </si>
  <si>
    <t>UP11CT3510</t>
  </si>
  <si>
    <t>FEB DISCOUNT</t>
  </si>
  <si>
    <t>JAN DISCOUNT</t>
  </si>
  <si>
    <t>MARCH DISCOUNT</t>
  </si>
  <si>
    <t>RAMESHWAR PAYMENT</t>
  </si>
  <si>
    <t>02.05.24</t>
  </si>
  <si>
    <t>03.05.24</t>
  </si>
  <si>
    <t>04.05.24</t>
  </si>
  <si>
    <t>06.05.24</t>
  </si>
  <si>
    <t>07.05.24</t>
  </si>
  <si>
    <t xml:space="preserve">                     RAMESHWAR FILLING    (APR-24 TO MAR-25)</t>
  </si>
  <si>
    <t>28.06.24</t>
  </si>
  <si>
    <t>08.05.24</t>
  </si>
  <si>
    <t>09.05.24</t>
  </si>
  <si>
    <t>10.05.24</t>
  </si>
  <si>
    <t>11.05.24</t>
  </si>
  <si>
    <t>14.05.24</t>
  </si>
  <si>
    <t>15.05.24</t>
  </si>
  <si>
    <t>16.05.24</t>
  </si>
  <si>
    <t>17.05.24</t>
  </si>
  <si>
    <t>18.05.24</t>
  </si>
  <si>
    <t>20.05.24</t>
  </si>
  <si>
    <t>21.05.24</t>
  </si>
  <si>
    <t>22.05.24</t>
  </si>
  <si>
    <t>23.05.24</t>
  </si>
  <si>
    <t>24.05.24</t>
  </si>
  <si>
    <t>25.05.24</t>
  </si>
  <si>
    <t>27.05.24</t>
  </si>
  <si>
    <t>28.05.24</t>
  </si>
  <si>
    <t>29.05.24</t>
  </si>
  <si>
    <t>30.05.24</t>
  </si>
  <si>
    <t>01.06.24</t>
  </si>
  <si>
    <t>03.06.24</t>
  </si>
  <si>
    <t>04.06.24</t>
  </si>
  <si>
    <t>05.06.24</t>
  </si>
  <si>
    <t>06.06.24</t>
  </si>
  <si>
    <t>08.06.24</t>
  </si>
  <si>
    <t>10.06.24</t>
  </si>
  <si>
    <t>11.06.24</t>
  </si>
  <si>
    <t>12.06.24</t>
  </si>
  <si>
    <t>13.06.24</t>
  </si>
  <si>
    <t>14.06.24</t>
  </si>
  <si>
    <t>15.06.24</t>
  </si>
  <si>
    <t>17.06.24</t>
  </si>
  <si>
    <t>18.06.24</t>
  </si>
  <si>
    <t>19.06.24</t>
  </si>
  <si>
    <t>20.06.24</t>
  </si>
  <si>
    <t>21.06.24</t>
  </si>
  <si>
    <t>22.06.24</t>
  </si>
  <si>
    <t>24.06.24</t>
  </si>
  <si>
    <t>25.06.24</t>
  </si>
  <si>
    <t>26.06.24</t>
  </si>
  <si>
    <t>IOCL POINT REDEEM</t>
  </si>
  <si>
    <t>BR02GA8551</t>
  </si>
  <si>
    <t>BR02GB1578</t>
  </si>
  <si>
    <t>UP63AT4847</t>
  </si>
  <si>
    <t>UP63AT5148</t>
  </si>
  <si>
    <t>UP63BT0875</t>
  </si>
  <si>
    <t>UP63AT9876</t>
  </si>
  <si>
    <t>RJ26GA4269</t>
  </si>
  <si>
    <t>UP22AT9368</t>
  </si>
  <si>
    <t>UP25BT8007</t>
  </si>
  <si>
    <t>UP22AT8434</t>
  </si>
  <si>
    <t>RJ02GB5052</t>
  </si>
  <si>
    <t>UP12BT1848</t>
  </si>
  <si>
    <t>UP25CT4545</t>
  </si>
  <si>
    <t>UP22AT3931</t>
  </si>
  <si>
    <t>UP53ET2726</t>
  </si>
  <si>
    <t>HR58A9045</t>
  </si>
  <si>
    <t>25.06.2024</t>
  </si>
  <si>
    <t>WB31A6715</t>
  </si>
  <si>
    <t>PB13BS9575</t>
  </si>
  <si>
    <t>UP19T3286</t>
  </si>
  <si>
    <t>UP86T6091</t>
  </si>
  <si>
    <t>26.06.2024</t>
  </si>
  <si>
    <t>27.06.2024</t>
  </si>
  <si>
    <t>BR45GB1630</t>
  </si>
  <si>
    <t>BR02GA6541</t>
  </si>
  <si>
    <t>UP14BT6653</t>
  </si>
  <si>
    <t>UP22DT0326</t>
  </si>
  <si>
    <t>28.06.2024</t>
  </si>
  <si>
    <t>UP22BT0738</t>
  </si>
  <si>
    <t>UP50CT2576</t>
  </si>
  <si>
    <t>UP50DT2257</t>
  </si>
  <si>
    <t>UP22T9522</t>
  </si>
  <si>
    <t>29.06.24</t>
  </si>
  <si>
    <t>UP64BT2810</t>
  </si>
  <si>
    <t>BR02GB4591</t>
  </si>
  <si>
    <t>UP64BT6625</t>
  </si>
  <si>
    <t>UP64BT7158</t>
  </si>
  <si>
    <t>UP65GT3035</t>
  </si>
  <si>
    <t>UP65GT1702</t>
  </si>
  <si>
    <t>JH02AS6386</t>
  </si>
  <si>
    <t>JH02BH1328</t>
  </si>
  <si>
    <t>UP61AT2805</t>
  </si>
  <si>
    <t>UP72AT4563</t>
  </si>
  <si>
    <t>JH02AG0285</t>
  </si>
  <si>
    <t>BR02GB5380</t>
  </si>
  <si>
    <t>UP67AT0053</t>
  </si>
  <si>
    <t>UP65FT6535</t>
  </si>
  <si>
    <t>UP22BT0815</t>
  </si>
  <si>
    <t>HR58C7160</t>
  </si>
  <si>
    <t>29.06.2024</t>
  </si>
  <si>
    <t>UP61AT8383</t>
  </si>
  <si>
    <t>HA01AJ4165</t>
  </si>
  <si>
    <t>BR02W7020</t>
  </si>
  <si>
    <t>JH02BD6469</t>
  </si>
  <si>
    <t>JH02AD2332</t>
  </si>
  <si>
    <t>BR02GA9358</t>
  </si>
  <si>
    <t>UP64BT6362</t>
  </si>
  <si>
    <t>BR02GA8600</t>
  </si>
  <si>
    <t>UP64BT3004</t>
  </si>
  <si>
    <t>HR58A4151</t>
  </si>
  <si>
    <t>UP63BT0503</t>
  </si>
  <si>
    <t>JH02AV3275</t>
  </si>
  <si>
    <t>UP27BT2029</t>
  </si>
  <si>
    <t>30.06.2024</t>
  </si>
  <si>
    <t>UP64BT8563</t>
  </si>
  <si>
    <t>UP64AT9535</t>
  </si>
  <si>
    <t>UP67AT0252</t>
  </si>
  <si>
    <t>BR26H5049</t>
  </si>
  <si>
    <t>JH02AN1509</t>
  </si>
  <si>
    <t>UP15DT0617</t>
  </si>
  <si>
    <t>UP67AT1720</t>
  </si>
  <si>
    <t>UP20T8551</t>
  </si>
  <si>
    <t>UP20AT2795</t>
  </si>
  <si>
    <t>HR58D4924</t>
  </si>
  <si>
    <t>BR02GD3886</t>
  </si>
  <si>
    <t>UP14KT6753</t>
  </si>
  <si>
    <t>TOATL</t>
  </si>
  <si>
    <t>01.07.2024</t>
  </si>
  <si>
    <t>UP67AT2700</t>
  </si>
  <si>
    <t>UP67AT1204</t>
  </si>
  <si>
    <t>UP67T2012</t>
  </si>
  <si>
    <t>UP67T9166</t>
  </si>
  <si>
    <t>JH19A4795</t>
  </si>
  <si>
    <t>JH19A7510</t>
  </si>
  <si>
    <t>MH04GR8875</t>
  </si>
  <si>
    <t>01.07.24</t>
  </si>
  <si>
    <t>02.07.24</t>
  </si>
  <si>
    <t>UP64AT1969</t>
  </si>
  <si>
    <t>NL01AD0729</t>
  </si>
  <si>
    <t>UP27BT3075</t>
  </si>
  <si>
    <t>HR67E6262</t>
  </si>
  <si>
    <t>BR02GA7697</t>
  </si>
  <si>
    <t>UP25BT7577</t>
  </si>
  <si>
    <t>GJ10TV1848</t>
  </si>
  <si>
    <t>RJ26GA4621</t>
  </si>
  <si>
    <t>UP63AT1810</t>
  </si>
  <si>
    <t>02.07.2024</t>
  </si>
  <si>
    <t>NL01AA8426</t>
  </si>
  <si>
    <t>UP64AT1970</t>
  </si>
  <si>
    <t>UP64AT3134</t>
  </si>
  <si>
    <t>UP63AT1701</t>
  </si>
  <si>
    <t>BR02GA6234</t>
  </si>
  <si>
    <t>UP64AT3133</t>
  </si>
  <si>
    <t>RJ14GT2594</t>
  </si>
  <si>
    <t>UP22ST9476</t>
  </si>
  <si>
    <t>UP67AT0505</t>
  </si>
  <si>
    <t>UP22BT2245</t>
  </si>
  <si>
    <t>03.07.2024</t>
  </si>
  <si>
    <t>03.07.24</t>
  </si>
  <si>
    <t>04.07.24</t>
  </si>
  <si>
    <t>05.07.24</t>
  </si>
  <si>
    <t>06.07.24</t>
  </si>
  <si>
    <t>RATE</t>
  </si>
  <si>
    <t>UP67AT9875</t>
  </si>
  <si>
    <t>UP65GT0407</t>
  </si>
  <si>
    <t>UP67AT2475</t>
  </si>
  <si>
    <t>UP64AT1896</t>
  </si>
  <si>
    <t>UP64AT9416</t>
  </si>
  <si>
    <t>RJ32GD5149</t>
  </si>
  <si>
    <t>UP64BT3124</t>
  </si>
  <si>
    <t>UP65GT5445</t>
  </si>
  <si>
    <t>UP22AT3259</t>
  </si>
  <si>
    <t>RJ14GC7507</t>
  </si>
  <si>
    <t>UP45BT0269</t>
  </si>
  <si>
    <t>UP45AT9793</t>
  </si>
  <si>
    <t>UP22AT9660</t>
  </si>
  <si>
    <t>JH03AN8100</t>
  </si>
  <si>
    <t>UP26T3892</t>
  </si>
  <si>
    <t>RJ52GB6429</t>
  </si>
  <si>
    <t>UP67T3761</t>
  </si>
  <si>
    <t>UP65FT9713</t>
  </si>
  <si>
    <t>UP67AT2600</t>
  </si>
  <si>
    <t>UP14AT4846</t>
  </si>
  <si>
    <t>04.07.2024</t>
  </si>
  <si>
    <t>UP63AT0072</t>
  </si>
  <si>
    <t>HR38AB6767</t>
  </si>
  <si>
    <t>RJ01GC6869</t>
  </si>
  <si>
    <t>RJ32GD5722</t>
  </si>
  <si>
    <t>UP22T8280</t>
  </si>
  <si>
    <t>UP64BT6794</t>
  </si>
  <si>
    <t>UP64AT8745</t>
  </si>
  <si>
    <t>UP64BT3679</t>
  </si>
  <si>
    <t>UP64DT6625</t>
  </si>
  <si>
    <t>JH03AN7100</t>
  </si>
  <si>
    <t>05.07.2024</t>
  </si>
  <si>
    <t>JH03AN9734</t>
  </si>
  <si>
    <t>UP67AT7546</t>
  </si>
  <si>
    <t>UP65DT9315</t>
  </si>
  <si>
    <t>BR06GC9119</t>
  </si>
  <si>
    <t>JH10BJ7890</t>
  </si>
  <si>
    <t>JH03AN4100</t>
  </si>
  <si>
    <t>UP64BT3678</t>
  </si>
  <si>
    <t>UP64BT5931</t>
  </si>
  <si>
    <t>UP25DT2636</t>
  </si>
  <si>
    <t>06.07.2024</t>
  </si>
  <si>
    <t>RJ11GB7897</t>
  </si>
  <si>
    <t>UP63AT5280</t>
  </si>
  <si>
    <t>UP63AT4731</t>
  </si>
  <si>
    <t>UP65AT3342</t>
  </si>
  <si>
    <t>UP67AT1328</t>
  </si>
  <si>
    <t>BR21GA7747</t>
  </si>
  <si>
    <t>BR02Q5515</t>
  </si>
  <si>
    <t>BR45GB1007</t>
  </si>
  <si>
    <t>UP63AT5281</t>
  </si>
  <si>
    <t>UP64BT7620</t>
  </si>
  <si>
    <t>UP64BT8739</t>
  </si>
  <si>
    <t>BR02Q0870</t>
  </si>
  <si>
    <t>HR58D3307</t>
  </si>
  <si>
    <t>UP52T3305</t>
  </si>
  <si>
    <t>UP64DT9597</t>
  </si>
  <si>
    <t>UP22AT0218</t>
  </si>
  <si>
    <t>RJ18GB9789</t>
  </si>
  <si>
    <t>07.07.2024</t>
  </si>
  <si>
    <t>BR02GB3611</t>
  </si>
  <si>
    <t>JH02AL4560</t>
  </si>
  <si>
    <t>BR24GB2627</t>
  </si>
  <si>
    <t>UP65GT8595</t>
  </si>
  <si>
    <t>NL01L1889</t>
  </si>
  <si>
    <t>CG15F4070</t>
  </si>
  <si>
    <t>UP64BT4135</t>
  </si>
  <si>
    <t>UP64BT6931</t>
  </si>
  <si>
    <t>UP64BT5681</t>
  </si>
  <si>
    <t>JH02AN5563</t>
  </si>
  <si>
    <t>JH62AM3831</t>
  </si>
  <si>
    <t>BR02GA2229</t>
  </si>
  <si>
    <t>CG15FC0592</t>
  </si>
  <si>
    <t>UP64BT8440</t>
  </si>
  <si>
    <t>BR26H2911</t>
  </si>
  <si>
    <t>BR24GB3260</t>
  </si>
  <si>
    <t>BR02Q5060</t>
  </si>
  <si>
    <t>UP67BT9888</t>
  </si>
  <si>
    <t>HR58D5962</t>
  </si>
  <si>
    <t>UP63AT2229</t>
  </si>
  <si>
    <t>08.07.24</t>
  </si>
  <si>
    <t>08.07.2024</t>
  </si>
  <si>
    <t>09.07.24</t>
  </si>
  <si>
    <t>UP85ET3642</t>
  </si>
  <si>
    <t>UP20AT8512</t>
  </si>
  <si>
    <t>UP67T7556</t>
  </si>
  <si>
    <t>BR24GA5367</t>
  </si>
  <si>
    <t>BR02AA5467</t>
  </si>
  <si>
    <t>BR24GB0761</t>
  </si>
  <si>
    <t>MH04GA8874</t>
  </si>
  <si>
    <t>JH0BK0134</t>
  </si>
  <si>
    <t>UP67T2444</t>
  </si>
  <si>
    <t>UP20AT1295</t>
  </si>
  <si>
    <t>UP20AT0982</t>
  </si>
  <si>
    <t>UP22AT7908</t>
  </si>
  <si>
    <t>UP85CT8787</t>
  </si>
  <si>
    <t>UP22T9893</t>
  </si>
  <si>
    <t>JH052AT5929</t>
  </si>
  <si>
    <t>09.07.2024</t>
  </si>
  <si>
    <t>UP70FT5717</t>
  </si>
  <si>
    <t>BR02GA3738</t>
  </si>
  <si>
    <t>UP70FT4590</t>
  </si>
  <si>
    <t>UP65GT8406</t>
  </si>
  <si>
    <t>HQ58C5750</t>
  </si>
  <si>
    <t>UK08CA3354</t>
  </si>
  <si>
    <t>UK07CA5343</t>
  </si>
  <si>
    <t>10.07.24</t>
  </si>
  <si>
    <t>11.07.24</t>
  </si>
  <si>
    <t>10.07.2024</t>
  </si>
  <si>
    <t>CG04HS4533</t>
  </si>
  <si>
    <t>UP63T9319</t>
  </si>
  <si>
    <t>UP67AT1339</t>
  </si>
  <si>
    <t>JH02AD1664</t>
  </si>
  <si>
    <t>UP64AT1897</t>
  </si>
  <si>
    <t>NH04GR8875</t>
  </si>
  <si>
    <t>UP20BT2067</t>
  </si>
  <si>
    <t>UP22T9713</t>
  </si>
  <si>
    <t>UP22AT0205</t>
  </si>
  <si>
    <t>UP20AT9283</t>
  </si>
  <si>
    <t>HR74B1334</t>
  </si>
  <si>
    <t>JH10BQ8792</t>
  </si>
  <si>
    <t>BR02GB9539</t>
  </si>
  <si>
    <t>11.07.2024</t>
  </si>
  <si>
    <t>BR02GB1980</t>
  </si>
  <si>
    <t>BR02GA9539</t>
  </si>
  <si>
    <t>UP22AT1236</t>
  </si>
  <si>
    <t>BR06GD7105</t>
  </si>
  <si>
    <t>BR02GB5417</t>
  </si>
  <si>
    <t>BR02GB3470</t>
  </si>
  <si>
    <t>UP22T9486</t>
  </si>
  <si>
    <t>UP22AT0949</t>
  </si>
  <si>
    <t>UP53BT1365</t>
  </si>
  <si>
    <t>RJ52GB3378</t>
  </si>
  <si>
    <t>12.07.2024</t>
  </si>
  <si>
    <t>12.07.24</t>
  </si>
  <si>
    <t>13.07.24</t>
  </si>
  <si>
    <t>UP65FT3342</t>
  </si>
  <si>
    <t>BR26GA3259</t>
  </si>
  <si>
    <t>UP38T9191</t>
  </si>
  <si>
    <t>UP65HT8376</t>
  </si>
  <si>
    <t>JH02AV2685</t>
  </si>
  <si>
    <t>JH02BP2136</t>
  </si>
  <si>
    <t>RJ14GR9192</t>
  </si>
  <si>
    <t>13.07.2024</t>
  </si>
  <si>
    <t>JH10AY8250</t>
  </si>
  <si>
    <t>JH02BH8026</t>
  </si>
  <si>
    <t>15.07.24</t>
  </si>
  <si>
    <t>RJ52GB3642</t>
  </si>
  <si>
    <t>RJ14GP5783</t>
  </si>
  <si>
    <t>RJ40GB1343</t>
  </si>
  <si>
    <t>RJ29GB7743</t>
  </si>
  <si>
    <t>RJ32GB9100</t>
  </si>
  <si>
    <t>UP38T8581</t>
  </si>
  <si>
    <t>14.07.2024</t>
  </si>
  <si>
    <t>UP64AT8080</t>
  </si>
  <si>
    <t>UP63AT0606</t>
  </si>
  <si>
    <t>UP55AT5549</t>
  </si>
  <si>
    <t>UP65KT3175</t>
  </si>
  <si>
    <t>UP65LT1329</t>
  </si>
  <si>
    <t>BR45GB1442</t>
  </si>
  <si>
    <t>BR45GB1431</t>
  </si>
  <si>
    <t>CG15EC4460</t>
  </si>
  <si>
    <t>UP67AT2393</t>
  </si>
  <si>
    <t>UP50CT2315</t>
  </si>
  <si>
    <t>RJ52GB2742</t>
  </si>
  <si>
    <t>UP65GT3611</t>
  </si>
  <si>
    <t>UP62BT1471</t>
  </si>
  <si>
    <t>UP60BT8377</t>
  </si>
  <si>
    <t>UP62AT9382</t>
  </si>
  <si>
    <t>UP62BT0077</t>
  </si>
  <si>
    <t>UP41AT4188</t>
  </si>
  <si>
    <t>15.07.2024</t>
  </si>
  <si>
    <t>16.07.24</t>
  </si>
  <si>
    <t>UP65FT0609</t>
  </si>
  <si>
    <t>UP65BT7087</t>
  </si>
  <si>
    <t>UP55AT5551</t>
  </si>
  <si>
    <t>UP55AT5550</t>
  </si>
  <si>
    <t>UP65FT6001</t>
  </si>
  <si>
    <t>RJ02GB7221</t>
  </si>
  <si>
    <t>RJ11GD9160</t>
  </si>
  <si>
    <t>RJ11GC0614</t>
  </si>
  <si>
    <t>MP17ZH4845</t>
  </si>
  <si>
    <t>RJ11GC1907</t>
  </si>
  <si>
    <t>16.07.2024</t>
  </si>
  <si>
    <t>17.07.24</t>
  </si>
  <si>
    <t>MP72ZH4571</t>
  </si>
  <si>
    <t>RJ11GC1908</t>
  </si>
  <si>
    <t>CG04NR9305</t>
  </si>
  <si>
    <t>UP65GT2912</t>
  </si>
  <si>
    <t>UP64CT1842</t>
  </si>
  <si>
    <t>UP65BT9902</t>
  </si>
  <si>
    <t>RJ40GA5196</t>
  </si>
  <si>
    <t>RJ29GC4643</t>
  </si>
  <si>
    <t>RJ29GC2943</t>
  </si>
  <si>
    <t>RJ29GB1615</t>
  </si>
  <si>
    <t>UP53ET4041</t>
  </si>
  <si>
    <t>UP53ET0072</t>
  </si>
  <si>
    <t>BR45GB9202</t>
  </si>
  <si>
    <t>UP78BN3131</t>
  </si>
  <si>
    <t>UP83BT4613</t>
  </si>
  <si>
    <t>BR25GB1224</t>
  </si>
  <si>
    <t>17.07.2024</t>
  </si>
  <si>
    <t>18.07.24</t>
  </si>
  <si>
    <t>JH02BK0134</t>
  </si>
  <si>
    <t>UP65GT8695</t>
  </si>
  <si>
    <t>UP65GT5073</t>
  </si>
  <si>
    <t>BR45GB1197</t>
  </si>
  <si>
    <t>UP17AT4890</t>
  </si>
  <si>
    <t>UP20AT8215</t>
  </si>
  <si>
    <t>HR58L5017</t>
  </si>
  <si>
    <t>HR58L2017</t>
  </si>
  <si>
    <t>RJ52GC1479</t>
  </si>
  <si>
    <t>HR58C1017</t>
  </si>
  <si>
    <t>UP63AT2367</t>
  </si>
  <si>
    <t>18.07.2024</t>
  </si>
  <si>
    <t>UP64AT4258</t>
  </si>
  <si>
    <t>T.C.S</t>
  </si>
  <si>
    <t>UP65ST3972</t>
  </si>
  <si>
    <t>UP67T9079</t>
  </si>
  <si>
    <t>19.07.24</t>
  </si>
  <si>
    <t>UP53ET7407</t>
  </si>
  <si>
    <t>BR45GB1347</t>
  </si>
  <si>
    <t>UP67AT1268</t>
  </si>
  <si>
    <t>UP65FT6002</t>
  </si>
  <si>
    <t>UP63AT0505</t>
  </si>
  <si>
    <t>UP50BT9099</t>
  </si>
  <si>
    <t>RJ07GD0772</t>
  </si>
  <si>
    <t>UP63AT2045</t>
  </si>
  <si>
    <t>UP67T9738</t>
  </si>
  <si>
    <t>UP67AT0045</t>
  </si>
  <si>
    <t>UP67AT5445</t>
  </si>
  <si>
    <t>UP62BT5043</t>
  </si>
  <si>
    <t>UP62BT0614</t>
  </si>
  <si>
    <t>UP67AT1272</t>
  </si>
  <si>
    <t>UP64CT1949</t>
  </si>
  <si>
    <t>RJ14GB1276</t>
  </si>
  <si>
    <t>UP63AT4556</t>
  </si>
  <si>
    <t>19.07.2024</t>
  </si>
  <si>
    <t>UP53ET4320</t>
  </si>
  <si>
    <t>UP65MT4961</t>
  </si>
  <si>
    <t>UP50DT9909</t>
  </si>
  <si>
    <t>QUANTITY</t>
  </si>
  <si>
    <t>31.06.2024</t>
  </si>
  <si>
    <t>JH19B2151</t>
  </si>
  <si>
    <t>JH19D2559</t>
  </si>
  <si>
    <t>RJ01GC6604</t>
  </si>
  <si>
    <t>CG15AC7888</t>
  </si>
  <si>
    <t>BR45GB1780</t>
  </si>
  <si>
    <t>BR45GB1779</t>
  </si>
  <si>
    <t>UP65LT7019</t>
  </si>
  <si>
    <t>UP50BT8377</t>
  </si>
  <si>
    <t>UP20BT2404</t>
  </si>
  <si>
    <t>HR58B2157</t>
  </si>
  <si>
    <t>PB03AF8073</t>
  </si>
  <si>
    <t>RJ07GC0959</t>
  </si>
  <si>
    <t>BR45GB1793</t>
  </si>
  <si>
    <t>BR45GB1794</t>
  </si>
  <si>
    <t>UP20AT0287</t>
  </si>
  <si>
    <t>UP65PT7333</t>
  </si>
  <si>
    <t>20.07.2024</t>
  </si>
  <si>
    <t>20.07.24</t>
  </si>
  <si>
    <t>22.07.24</t>
  </si>
  <si>
    <t>23.07.24</t>
  </si>
  <si>
    <t>RJ52GA7332</t>
  </si>
  <si>
    <t>UP64CY1842</t>
  </si>
  <si>
    <t>UP67AT7979</t>
  </si>
  <si>
    <t>UP50CT2929</t>
  </si>
  <si>
    <t>UP50ET7778</t>
  </si>
  <si>
    <t>UP50BT9318</t>
  </si>
  <si>
    <t>GJ24X1708</t>
  </si>
  <si>
    <t>21.07.2024</t>
  </si>
  <si>
    <t>UP65    9902</t>
  </si>
  <si>
    <t>UP67BT0826</t>
  </si>
  <si>
    <t>UP67AT7878</t>
  </si>
  <si>
    <t>HR58AT4151</t>
  </si>
  <si>
    <t>RJ02GB7332</t>
  </si>
  <si>
    <t>HR58A3771</t>
  </si>
  <si>
    <t>UP63AT0849</t>
  </si>
  <si>
    <t>22.07.2024</t>
  </si>
  <si>
    <t>UP62AT7782</t>
  </si>
  <si>
    <t>BR45GB0486</t>
  </si>
  <si>
    <t>MP66ZZ7565</t>
  </si>
  <si>
    <t>23.07.2024</t>
  </si>
  <si>
    <t>24.07.24</t>
  </si>
  <si>
    <t>UP41BT6770</t>
  </si>
  <si>
    <t>BR02GA6737</t>
  </si>
  <si>
    <t>BR02GA7781</t>
  </si>
  <si>
    <t>RJ14GG9899</t>
  </si>
  <si>
    <t>UP54T7349</t>
  </si>
  <si>
    <t>RJ14GN5810</t>
  </si>
  <si>
    <t>UP65FT9007</t>
  </si>
  <si>
    <t>RJ11GB8183</t>
  </si>
  <si>
    <t>24.07.2024</t>
  </si>
  <si>
    <t>BR24GB6671</t>
  </si>
  <si>
    <t>JH02AD12992</t>
  </si>
  <si>
    <t>JH13C5890</t>
  </si>
  <si>
    <t>JH19B6090</t>
  </si>
  <si>
    <t>JH02AS8507</t>
  </si>
  <si>
    <t>JH19C3344</t>
  </si>
  <si>
    <t>JH19B3331</t>
  </si>
  <si>
    <t>JH19B4962</t>
  </si>
  <si>
    <t>JH02AJ6986</t>
  </si>
  <si>
    <t>JH01DL2194</t>
  </si>
  <si>
    <t>JH02U7616</t>
  </si>
  <si>
    <t>JH02Z6336</t>
  </si>
  <si>
    <t>JH19A5559</t>
  </si>
  <si>
    <t>UP67AT1112</t>
  </si>
  <si>
    <t>JH19B3901</t>
  </si>
  <si>
    <t>MS PETROL</t>
  </si>
  <si>
    <t>JH19A4630</t>
  </si>
  <si>
    <t>JH13E9581</t>
  </si>
  <si>
    <t>JH19A8151</t>
  </si>
  <si>
    <t>UP93BT3546</t>
  </si>
  <si>
    <t>UP71T9589</t>
  </si>
  <si>
    <t>UP67AT2995</t>
  </si>
  <si>
    <t>GJ11Z8721</t>
  </si>
  <si>
    <t>GJ32U1274</t>
  </si>
  <si>
    <t>UP54T7710</t>
  </si>
  <si>
    <t>25.07.2024</t>
  </si>
  <si>
    <t>25.07.24</t>
  </si>
  <si>
    <t>26.07.24</t>
  </si>
  <si>
    <t>JH13C3825</t>
  </si>
  <si>
    <t>JH19C5934</t>
  </si>
  <si>
    <t>JH23A5544</t>
  </si>
  <si>
    <t>BR26GB9881</t>
  </si>
  <si>
    <t>JH19A5244</t>
  </si>
  <si>
    <t>JH01AH9207</t>
  </si>
  <si>
    <t>JH01CT8669</t>
  </si>
  <si>
    <t>JH02S5488</t>
  </si>
  <si>
    <t>WB45 6206</t>
  </si>
  <si>
    <t>JH19B5326</t>
  </si>
  <si>
    <t>JH19E2964</t>
  </si>
  <si>
    <t>JH02T7188</t>
  </si>
  <si>
    <t>JH19A9076</t>
  </si>
  <si>
    <t>JH19B8783</t>
  </si>
  <si>
    <t>JH19B6485</t>
  </si>
  <si>
    <t>UP92T8451</t>
  </si>
  <si>
    <t>UP93T2021</t>
  </si>
  <si>
    <t>RJ14GR6934</t>
  </si>
  <si>
    <t>UP65ET3821</t>
  </si>
  <si>
    <t>UP22AT1421</t>
  </si>
  <si>
    <t>26.07.2024</t>
  </si>
  <si>
    <t>SBI ACCOUNT</t>
  </si>
  <si>
    <t>JH02AX5900</t>
  </si>
  <si>
    <t>JH10CH0990</t>
  </si>
  <si>
    <t>JH02AK0139</t>
  </si>
  <si>
    <t>BR24GC8117</t>
  </si>
  <si>
    <t>BR24GC8071</t>
  </si>
  <si>
    <t>JH19B4040</t>
  </si>
  <si>
    <t>JH19B6656</t>
  </si>
  <si>
    <t>JH13Q2745</t>
  </si>
  <si>
    <t>JH10AL2744</t>
  </si>
  <si>
    <t>JH02AW3886</t>
  </si>
  <si>
    <t>JH19A7045</t>
  </si>
  <si>
    <t>UP85GT9056</t>
  </si>
  <si>
    <t>JH19A8860</t>
  </si>
  <si>
    <t>JH19A9639</t>
  </si>
  <si>
    <t>JH19A7445</t>
  </si>
  <si>
    <t>JH19B0682</t>
  </si>
  <si>
    <t>JH19A8596</t>
  </si>
  <si>
    <t>JH13C7743</t>
  </si>
  <si>
    <t>JH19A7201</t>
  </si>
  <si>
    <t>JH02AC8206</t>
  </si>
  <si>
    <t>JH19B9397</t>
  </si>
  <si>
    <t>JH19A9655</t>
  </si>
  <si>
    <t>JH19B7966</t>
  </si>
  <si>
    <t>27.07.24</t>
  </si>
  <si>
    <t>29.07.24</t>
  </si>
  <si>
    <t>27.07.2024</t>
  </si>
  <si>
    <t>JH19A9663</t>
  </si>
  <si>
    <t>JH19C4173</t>
  </si>
  <si>
    <t>JH02AW0985</t>
  </si>
  <si>
    <t>JH19C1060</t>
  </si>
  <si>
    <t>JH19A5635</t>
  </si>
  <si>
    <t>JH19D1889</t>
  </si>
  <si>
    <t>JH02AT4857</t>
  </si>
  <si>
    <t>JH01AU8319</t>
  </si>
  <si>
    <t>BR45GB1062</t>
  </si>
  <si>
    <t>JH19D8489</t>
  </si>
  <si>
    <t>28.07.2024</t>
  </si>
  <si>
    <t>UP67AT6347</t>
  </si>
  <si>
    <t>JH02BN7326</t>
  </si>
  <si>
    <t>JH19A6668</t>
  </si>
  <si>
    <t>JH19D3656</t>
  </si>
  <si>
    <t>JH01   2712</t>
  </si>
  <si>
    <t>JH19A9718</t>
  </si>
  <si>
    <t>JH02BK2737</t>
  </si>
  <si>
    <t>JH0 BK2142</t>
  </si>
  <si>
    <t>JH19B4646</t>
  </si>
  <si>
    <t>UP67AT0771</t>
  </si>
  <si>
    <t>HR63E8624</t>
  </si>
  <si>
    <t>JH13F1496</t>
  </si>
  <si>
    <t>JH19C4404</t>
  </si>
  <si>
    <t>30.07.24</t>
  </si>
  <si>
    <t>31.07.24</t>
  </si>
  <si>
    <t>30.07.2024</t>
  </si>
  <si>
    <t>BR45GB6588</t>
  </si>
  <si>
    <t>BR45GB1488</t>
  </si>
  <si>
    <t>RJ52GA9542</t>
  </si>
  <si>
    <t>UP22T9477</t>
  </si>
  <si>
    <t>UP22AT9476</t>
  </si>
  <si>
    <t>UP22T9568</t>
  </si>
  <si>
    <t>UP22AT6161</t>
  </si>
  <si>
    <t>UP12BT8936</t>
  </si>
  <si>
    <t>31.07.2024</t>
  </si>
  <si>
    <t>01.08.24</t>
  </si>
  <si>
    <t>JH19A8859</t>
  </si>
  <si>
    <t>JH19A8901</t>
  </si>
  <si>
    <t>JH01BA1550</t>
  </si>
  <si>
    <t>JH01AQ1219</t>
  </si>
  <si>
    <t>JH19B9711</t>
  </si>
  <si>
    <t>RJ31GB5557</t>
  </si>
  <si>
    <t>HR56C7411</t>
  </si>
  <si>
    <t>RJ19B0846</t>
  </si>
  <si>
    <t>HR56C7032</t>
  </si>
  <si>
    <t>UP25AT5518</t>
  </si>
  <si>
    <t>UP25CT7880</t>
  </si>
  <si>
    <t>RJ52GA2942</t>
  </si>
  <si>
    <t>WB45  6206</t>
  </si>
  <si>
    <t>JH19B8847</t>
  </si>
  <si>
    <t>UP65GT9056</t>
  </si>
  <si>
    <t>JH19A6825</t>
  </si>
  <si>
    <t>GJ12BY7004</t>
  </si>
  <si>
    <t>02.08.24</t>
  </si>
  <si>
    <t>JH19C1502</t>
  </si>
  <si>
    <t>JH09U0395</t>
  </si>
  <si>
    <t>UP63AJ3176</t>
  </si>
  <si>
    <t>UP64B9555</t>
  </si>
  <si>
    <t>JH19B6311</t>
  </si>
  <si>
    <t>JH19B7153</t>
  </si>
  <si>
    <t>CG15AJ1365</t>
  </si>
  <si>
    <t>JH19B1224</t>
  </si>
  <si>
    <t>JH02U7066</t>
  </si>
  <si>
    <t>BR24GC7240</t>
  </si>
  <si>
    <t>BR24GC7126</t>
  </si>
  <si>
    <t>JH19B4908</t>
  </si>
  <si>
    <t>UP33BT0503</t>
  </si>
  <si>
    <t>UP50DT7126</t>
  </si>
  <si>
    <t>BR24GC7443</t>
  </si>
  <si>
    <t>UP38T9333</t>
  </si>
  <si>
    <t>JH19B4879</t>
  </si>
  <si>
    <t xml:space="preserve">  40GB7743</t>
  </si>
  <si>
    <t>03.08.24</t>
  </si>
  <si>
    <t>CG07CR6857</t>
  </si>
  <si>
    <t>JH02AL3275</t>
  </si>
  <si>
    <t>JH08B4890</t>
  </si>
  <si>
    <t>JH19A8885</t>
  </si>
  <si>
    <t>JH09U2342</t>
  </si>
  <si>
    <t>JH02AK3957</t>
  </si>
  <si>
    <t>JH19B3364</t>
  </si>
  <si>
    <t>JH02AH7676</t>
  </si>
  <si>
    <t>JH19B2682</t>
  </si>
  <si>
    <t>JH19C3071</t>
  </si>
  <si>
    <t>JH02AH0314</t>
  </si>
  <si>
    <t>05.08.24</t>
  </si>
  <si>
    <t>JH02AY7761</t>
  </si>
  <si>
    <t>JH09AA9028</t>
  </si>
  <si>
    <t>JH1AP1386</t>
  </si>
  <si>
    <t>JH19E2310</t>
  </si>
  <si>
    <t>JH02AQ3948</t>
  </si>
  <si>
    <t>JH19E5957</t>
  </si>
  <si>
    <t>JH19B3649</t>
  </si>
  <si>
    <t>JH19A6702</t>
  </si>
  <si>
    <t>UP53AT4779</t>
  </si>
  <si>
    <t>BR02GA5567</t>
  </si>
  <si>
    <t>UP53FT2047</t>
  </si>
  <si>
    <t>NL01AG8758</t>
  </si>
  <si>
    <t>04.08.24</t>
  </si>
  <si>
    <t>JH02AK4765</t>
  </si>
  <si>
    <t>JH19A4581</t>
  </si>
  <si>
    <t>JH19B0228</t>
  </si>
  <si>
    <t>JH01DP8520</t>
  </si>
  <si>
    <t>JH02BQ0370</t>
  </si>
  <si>
    <t>JH19A8651</t>
  </si>
  <si>
    <t>JH02AS7599</t>
  </si>
  <si>
    <t>JH02AW0019</t>
  </si>
  <si>
    <t>JH13C8786</t>
  </si>
  <si>
    <t>JH19A8706</t>
  </si>
  <si>
    <t>JH19B1408</t>
  </si>
  <si>
    <t>RJ32AC7477</t>
  </si>
  <si>
    <t>UP22AT3113</t>
  </si>
  <si>
    <t>RJ52GB2168</t>
  </si>
  <si>
    <t>UP27BT3235</t>
  </si>
  <si>
    <t>UP67AT2464</t>
  </si>
  <si>
    <t>JH19B9499</t>
  </si>
  <si>
    <t>JH02BP8671</t>
  </si>
  <si>
    <t>UP67AT0653</t>
  </si>
  <si>
    <t>JH19D9280</t>
  </si>
  <si>
    <t>JH19A8707</t>
  </si>
  <si>
    <t>PB22R1470</t>
  </si>
  <si>
    <t>JH13C4601</t>
  </si>
  <si>
    <t>06.08.24</t>
  </si>
  <si>
    <t>JH02BK3342</t>
  </si>
  <si>
    <t>JH02AV4988</t>
  </si>
  <si>
    <t>07.08.24</t>
  </si>
  <si>
    <t>JH19B1271</t>
  </si>
  <si>
    <t>JH02BR3071</t>
  </si>
  <si>
    <t>BR45GB1225</t>
  </si>
  <si>
    <t>UP67T3931</t>
  </si>
  <si>
    <t>JH02BL0415</t>
  </si>
  <si>
    <t>JH01LK0740</t>
  </si>
  <si>
    <t>JH02AS8030</t>
  </si>
  <si>
    <t>JH19E3055</t>
  </si>
  <si>
    <t>BR45GB1306</t>
  </si>
  <si>
    <t>CG15ED3274</t>
  </si>
  <si>
    <t>UP53E1681</t>
  </si>
  <si>
    <t>JH02AS1487</t>
  </si>
  <si>
    <t>JH02BT7598</t>
  </si>
  <si>
    <t>UP67T7616</t>
  </si>
  <si>
    <t>BR02AA1727</t>
  </si>
  <si>
    <t>CG15EB0977</t>
  </si>
  <si>
    <t>BR02GB7001</t>
  </si>
  <si>
    <t>UP22AT1552</t>
  </si>
  <si>
    <t>BR45GB1227</t>
  </si>
  <si>
    <t>UP22T8649</t>
  </si>
  <si>
    <t>RJ14GJ4608</t>
  </si>
  <si>
    <t>UP64BT5076</t>
  </si>
  <si>
    <t>BR45GB1305</t>
  </si>
  <si>
    <t>08.08.24</t>
  </si>
  <si>
    <t>09.08.24</t>
  </si>
  <si>
    <t>UP65HT9197</t>
  </si>
  <si>
    <t>UP64BT5077</t>
  </si>
  <si>
    <t>UP65JT3972</t>
  </si>
  <si>
    <t>JH02AT9372</t>
  </si>
  <si>
    <t>JH13B8534</t>
  </si>
  <si>
    <t>BR53G2385</t>
  </si>
  <si>
    <t>JH19A3310</t>
  </si>
  <si>
    <t>RJ31GB0015</t>
  </si>
  <si>
    <t>RJ14GQ8117</t>
  </si>
  <si>
    <t>HR63D1122</t>
  </si>
  <si>
    <t>RJ02GB7819</t>
  </si>
  <si>
    <t>UP53JT4415</t>
  </si>
  <si>
    <t>JH02AT0298</t>
  </si>
  <si>
    <t>RJ52GA2649</t>
  </si>
  <si>
    <t>10.08.24</t>
  </si>
  <si>
    <t>NL02AB6457</t>
  </si>
  <si>
    <t>BR45GB1307</t>
  </si>
  <si>
    <t>UP64BT5985</t>
  </si>
  <si>
    <t>JH12E7427</t>
  </si>
  <si>
    <t>BR03GB9534</t>
  </si>
  <si>
    <t>UP51AT5604</t>
  </si>
  <si>
    <t>JH03AN4161</t>
  </si>
  <si>
    <t>BR24GC8337</t>
  </si>
  <si>
    <t>PB03AW8095</t>
  </si>
  <si>
    <t>BR24GC8102</t>
  </si>
  <si>
    <t>BR24GC8725</t>
  </si>
  <si>
    <t>HR58B7747</t>
  </si>
  <si>
    <t>BR02AA6651</t>
  </si>
  <si>
    <t>UP22AT3206</t>
  </si>
  <si>
    <t>RJ52GB5172</t>
  </si>
  <si>
    <t>11.08.24</t>
  </si>
  <si>
    <t>UP64AT5932</t>
  </si>
  <si>
    <t>UP64BT8263</t>
  </si>
  <si>
    <t>UP53AT1365</t>
  </si>
  <si>
    <t>UP64AT7171</t>
  </si>
  <si>
    <t>JH01BA2641</t>
  </si>
  <si>
    <t>UP64AT6358</t>
  </si>
  <si>
    <t>JH19Z1261</t>
  </si>
  <si>
    <t>RJ07GD4519</t>
  </si>
  <si>
    <t>UP53JT4689</t>
  </si>
  <si>
    <t>BR24GC7029</t>
  </si>
  <si>
    <t>12.08.24</t>
  </si>
  <si>
    <t>13.08.24</t>
  </si>
  <si>
    <t>JH19B9358</t>
  </si>
  <si>
    <t>JH01AL6747</t>
  </si>
  <si>
    <t>JH10P8734</t>
  </si>
  <si>
    <t>BR24GB1197</t>
  </si>
  <si>
    <t>UP64AT5887</t>
  </si>
  <si>
    <t>UP63AT4566</t>
  </si>
  <si>
    <t>BR03GB8754</t>
  </si>
  <si>
    <t>JH02BP9366</t>
  </si>
  <si>
    <t>HR58C6977</t>
  </si>
  <si>
    <t>JH02AU7522</t>
  </si>
  <si>
    <t>JH02AU9347</t>
  </si>
  <si>
    <t>WB37E5153</t>
  </si>
  <si>
    <t>BR24GC9411</t>
  </si>
  <si>
    <t>BR24GC8571</t>
  </si>
  <si>
    <t>UP25BT5578</t>
  </si>
  <si>
    <t>UP22BT0538</t>
  </si>
  <si>
    <t>HR58D6128</t>
  </si>
  <si>
    <t>UP22T9190</t>
  </si>
  <si>
    <t>RJ52GA6328</t>
  </si>
  <si>
    <t>PB0329957</t>
  </si>
  <si>
    <t>UP65HT0963</t>
  </si>
  <si>
    <t>JH10AG0990</t>
  </si>
  <si>
    <t>BR24GB1227</t>
  </si>
  <si>
    <t>JH02BQ4083</t>
  </si>
  <si>
    <t>JH01AQ3670</t>
  </si>
  <si>
    <t>BR24GB3744</t>
  </si>
  <si>
    <t>BR24GB2731</t>
  </si>
  <si>
    <t>UP50AT5376</t>
  </si>
  <si>
    <t>JH02AW3245</t>
  </si>
  <si>
    <t>14.08.24</t>
  </si>
  <si>
    <t>NL01AF6347</t>
  </si>
  <si>
    <t>BR45GB1859</t>
  </si>
  <si>
    <t>BR45GB2159</t>
  </si>
  <si>
    <t>BR03GB8358</t>
  </si>
  <si>
    <t>UP64BT3944</t>
  </si>
  <si>
    <t>UP22T9519</t>
  </si>
  <si>
    <t>HR58D0575</t>
  </si>
  <si>
    <t>BR03GB9663</t>
  </si>
  <si>
    <t>RJ14GG2785</t>
  </si>
  <si>
    <t>JH03A3100</t>
  </si>
  <si>
    <t>UP64AT5886</t>
  </si>
  <si>
    <t>UP64BT3770</t>
  </si>
  <si>
    <t>UP26T45096</t>
  </si>
  <si>
    <t>UP27BT9573</t>
  </si>
  <si>
    <t>UP71T8774</t>
  </si>
  <si>
    <t>UP64BT7986</t>
  </si>
  <si>
    <t>UP65KT9197</t>
  </si>
  <si>
    <t>15.08.24</t>
  </si>
  <si>
    <t>16.08.24</t>
  </si>
  <si>
    <t>NL01AC2545</t>
  </si>
  <si>
    <t>PB13BS9071</t>
  </si>
  <si>
    <t>PB11BN5450</t>
  </si>
  <si>
    <t>UP17T9192</t>
  </si>
  <si>
    <t>UP22BT4751</t>
  </si>
  <si>
    <t>RJ19GT8711</t>
  </si>
  <si>
    <t>17.08.24</t>
  </si>
  <si>
    <t>CG04NH9329</t>
  </si>
  <si>
    <t>BR03GB-8754</t>
  </si>
  <si>
    <t>WB51C4731</t>
  </si>
  <si>
    <t>RJ07GA-9457</t>
  </si>
  <si>
    <t>UP25DT6802</t>
  </si>
  <si>
    <t>GB10TV1848</t>
  </si>
  <si>
    <t>EB51C4782</t>
  </si>
  <si>
    <t>WB51C4842</t>
  </si>
  <si>
    <t>WB51C4784</t>
  </si>
  <si>
    <t>WB51C4762</t>
  </si>
  <si>
    <t>UP15DT0651</t>
  </si>
  <si>
    <t>BR24GC7071</t>
  </si>
  <si>
    <t>BR04GB7314</t>
  </si>
  <si>
    <t>UP22AT1053</t>
  </si>
  <si>
    <t>UP67T1871</t>
  </si>
  <si>
    <t>BR02GB8751</t>
  </si>
  <si>
    <t>RJ09GB7275</t>
  </si>
  <si>
    <t>20.08.24</t>
  </si>
  <si>
    <t>21.08.24</t>
  </si>
  <si>
    <t>22.08.24</t>
  </si>
  <si>
    <t>BR24GB-3496</t>
  </si>
  <si>
    <t>BR03GB9725</t>
  </si>
  <si>
    <t>UP53ET4747</t>
  </si>
  <si>
    <t>UP55AT4495</t>
  </si>
  <si>
    <t>UP25BT8287</t>
  </si>
  <si>
    <t>UP71AT1656</t>
  </si>
  <si>
    <t>BR24GC6799</t>
  </si>
  <si>
    <t>UP45AT6754</t>
  </si>
  <si>
    <t>GJ27X1708</t>
  </si>
  <si>
    <t>UP22AT1130</t>
  </si>
  <si>
    <t>RJ01GD3115</t>
  </si>
  <si>
    <t>18.08.24</t>
  </si>
  <si>
    <t>UP50BT8669</t>
  </si>
  <si>
    <t>HR69B9149</t>
  </si>
  <si>
    <t>UP50DT9481</t>
  </si>
  <si>
    <t>BR02GA8141</t>
  </si>
  <si>
    <t>BR24GC8736</t>
  </si>
  <si>
    <t>19.08.24</t>
  </si>
  <si>
    <t>0053</t>
  </si>
  <si>
    <t>UP22T8346</t>
  </si>
  <si>
    <t>UP70AT5518</t>
  </si>
  <si>
    <t>HP58G5698</t>
  </si>
  <si>
    <t>UP22T8123</t>
  </si>
  <si>
    <t>RJ01GB9615</t>
  </si>
  <si>
    <t>BR03GB9995</t>
  </si>
  <si>
    <t>RJ52GA9828</t>
  </si>
  <si>
    <t>HR74B6267</t>
  </si>
  <si>
    <t>RJ02GB5332</t>
  </si>
  <si>
    <t>RJ14GN6541</t>
  </si>
  <si>
    <t>UP50FT9481</t>
  </si>
  <si>
    <t>UP62CT7539</t>
  </si>
  <si>
    <t>23.08.24</t>
  </si>
  <si>
    <t>24.08.24</t>
  </si>
  <si>
    <t>PB13BF9886</t>
  </si>
  <si>
    <t>BR24GB7240</t>
  </si>
  <si>
    <t>MP13H0259</t>
  </si>
  <si>
    <t>RJ32CE5082</t>
  </si>
  <si>
    <t>BR24GC7746</t>
  </si>
  <si>
    <t>CN15EC7888</t>
  </si>
  <si>
    <t>UP65FT9859</t>
  </si>
  <si>
    <t>HR58C0986</t>
  </si>
  <si>
    <t>HR58C8169</t>
  </si>
  <si>
    <t>RJ52GA4089</t>
  </si>
  <si>
    <t>CG15DM9337</t>
  </si>
  <si>
    <t>UP62AT8310</t>
  </si>
  <si>
    <t>BR03GB8361</t>
  </si>
  <si>
    <t>JH10CG0990</t>
  </si>
  <si>
    <t>UP70FT9977</t>
  </si>
  <si>
    <t>RJ02GB3673</t>
  </si>
  <si>
    <t>RJ40GA3511</t>
  </si>
  <si>
    <t>BR24GC8882</t>
  </si>
  <si>
    <t>BR24GC8815</t>
  </si>
  <si>
    <t>RJ14GH1331</t>
  </si>
  <si>
    <t>HR55U9071</t>
  </si>
  <si>
    <t>RJ52GA0774</t>
  </si>
  <si>
    <t>UP79T9362</t>
  </si>
  <si>
    <t>RJ14GN9502</t>
  </si>
  <si>
    <t>BR24GC9095</t>
  </si>
  <si>
    <t>RJ20GC1235</t>
  </si>
  <si>
    <t>26.08.24</t>
  </si>
  <si>
    <t>27.08.24</t>
  </si>
  <si>
    <t>UP67AT0502</t>
  </si>
  <si>
    <t>WB77E4789</t>
  </si>
  <si>
    <t>JH10CG3935</t>
  </si>
  <si>
    <t>UP51AT8686</t>
  </si>
  <si>
    <t>UP38T7792</t>
  </si>
  <si>
    <t>UP38T8775</t>
  </si>
  <si>
    <t>HR47D5715</t>
  </si>
  <si>
    <t>HR63L0905</t>
  </si>
  <si>
    <t>BR24GC8986</t>
  </si>
  <si>
    <t>BR03GC0217</t>
  </si>
  <si>
    <t>UP50CT3527</t>
  </si>
  <si>
    <t>RJ19GE8292</t>
  </si>
  <si>
    <t>RJ14GG9880</t>
  </si>
  <si>
    <t>RJ52GA4818</t>
  </si>
  <si>
    <t>RJ08GA5326</t>
  </si>
  <si>
    <t>RJ40GA3166</t>
  </si>
  <si>
    <t>UP53HT7285</t>
  </si>
  <si>
    <t>UP50ET0217</t>
  </si>
  <si>
    <t>RJ52GB1196</t>
  </si>
  <si>
    <t>BR24GC9656</t>
  </si>
  <si>
    <t>UP53HT7178</t>
  </si>
  <si>
    <t>25.08.24</t>
  </si>
  <si>
    <t>WB37D1104</t>
  </si>
  <si>
    <t>UP15DT1819</t>
  </si>
  <si>
    <t>UP38AT0129</t>
  </si>
  <si>
    <t>UP63BT0747</t>
  </si>
  <si>
    <t>CG15EL7888</t>
  </si>
  <si>
    <t>UP62AT1720</t>
  </si>
  <si>
    <t>UP50ET9440</t>
  </si>
  <si>
    <t>UP27AT1975</t>
  </si>
  <si>
    <t>UP27AT7898</t>
  </si>
  <si>
    <t>RJ52GA2035</t>
  </si>
  <si>
    <t>UP50BT8863</t>
  </si>
  <si>
    <t>UP71BT3242</t>
  </si>
  <si>
    <t>UP75M3627</t>
  </si>
  <si>
    <t>UP45BT7064</t>
  </si>
  <si>
    <t>BR24GC9535</t>
  </si>
  <si>
    <t>RJ32GD6130</t>
  </si>
  <si>
    <t>28.08.24</t>
  </si>
  <si>
    <t>UP51AT7310</t>
  </si>
  <si>
    <t>UP65GT7121</t>
  </si>
  <si>
    <t>HR58L0986</t>
  </si>
  <si>
    <t>UP64BT3121</t>
  </si>
  <si>
    <t>BR03GL0465</t>
  </si>
  <si>
    <t>CG15EL2461</t>
  </si>
  <si>
    <t>UP65AT9859</t>
  </si>
  <si>
    <t>UP54AT8059</t>
  </si>
  <si>
    <t>HR55Y9237</t>
  </si>
  <si>
    <t>HR67A9183</t>
  </si>
  <si>
    <t>BR24GC9408</t>
  </si>
  <si>
    <t>RJ29GB2136</t>
  </si>
  <si>
    <t>UP93BT5152</t>
  </si>
  <si>
    <t>PB05AB9678</t>
  </si>
  <si>
    <t>RJ07GE5807</t>
  </si>
  <si>
    <t>UP63AT5261(5281)</t>
  </si>
  <si>
    <t>BR03GD8361</t>
  </si>
  <si>
    <t>UP63BT4465</t>
  </si>
  <si>
    <t>BR45GD1779</t>
  </si>
  <si>
    <t>BR45GD1780</t>
  </si>
  <si>
    <t>UP65CT7019</t>
  </si>
  <si>
    <t>UP63AT4791</t>
  </si>
  <si>
    <t>UP84T8555</t>
  </si>
  <si>
    <t>UP23AT4399</t>
  </si>
  <si>
    <t>UK17CA5534</t>
  </si>
  <si>
    <t>BR24PA0111</t>
  </si>
  <si>
    <t>BR03GB8518</t>
  </si>
  <si>
    <t>UP50CT2713</t>
  </si>
  <si>
    <t>UP70LT7857</t>
  </si>
  <si>
    <t>MP66C7568(7565)</t>
  </si>
  <si>
    <t>BR24GC9045(9095)</t>
  </si>
  <si>
    <t>CG15EC4585(5485)</t>
  </si>
  <si>
    <t>BR45GC8986</t>
  </si>
  <si>
    <t>UP61AT0502</t>
  </si>
  <si>
    <t>UP50BT7117</t>
  </si>
  <si>
    <t>BR24GC8511</t>
  </si>
  <si>
    <t>NL01AF5215</t>
  </si>
  <si>
    <t>UP93BT7330</t>
  </si>
  <si>
    <t>UP22BT3086</t>
  </si>
  <si>
    <t>UP22AT1498</t>
  </si>
  <si>
    <t>UP45BT0916</t>
  </si>
  <si>
    <t>RJ06GD6068</t>
  </si>
  <si>
    <t>RJ06GD6067</t>
  </si>
  <si>
    <t>RJ06GC9015</t>
  </si>
  <si>
    <t>UP51BT2764</t>
  </si>
  <si>
    <t>UP50DT8633</t>
  </si>
  <si>
    <t>NL01AH5474</t>
  </si>
  <si>
    <t>29.08.24</t>
  </si>
  <si>
    <t>30.08.24</t>
  </si>
  <si>
    <t>UP25CT3741</t>
  </si>
  <si>
    <t>UP25CT3740(3741)</t>
  </si>
  <si>
    <t>31.08.24</t>
  </si>
  <si>
    <t>CG15AL4460</t>
  </si>
  <si>
    <t>UP93CT4873</t>
  </si>
  <si>
    <t>UP22AT3655</t>
  </si>
  <si>
    <t>UP25DT0706</t>
  </si>
  <si>
    <t>RJ06GD6243</t>
  </si>
  <si>
    <t>RJ19GF4682</t>
  </si>
  <si>
    <t>RJ29GB2808</t>
  </si>
  <si>
    <t>PB05AB6494</t>
  </si>
  <si>
    <t>BR03GB8763</t>
  </si>
  <si>
    <t>UP27BT3234</t>
  </si>
  <si>
    <t>UP25CT6015</t>
  </si>
  <si>
    <t>RJ27GC6579</t>
  </si>
  <si>
    <t>UP50DT3721</t>
  </si>
  <si>
    <t>RJ22GB1145</t>
  </si>
  <si>
    <t>RJ06GD5724</t>
  </si>
  <si>
    <t>RJ06GD5725</t>
  </si>
  <si>
    <t>UP61AT2951</t>
  </si>
  <si>
    <t>UP50CT0890</t>
  </si>
  <si>
    <t>CG15EC-5485</t>
  </si>
  <si>
    <t>UP64BT5137</t>
  </si>
  <si>
    <t>MP61GC9666</t>
  </si>
  <si>
    <t>BR03GC0465</t>
  </si>
  <si>
    <t>UP51BT7310</t>
  </si>
  <si>
    <t>RJ06GD0504</t>
  </si>
  <si>
    <t>RJ06GD0509</t>
  </si>
  <si>
    <t>RJ14GD0593</t>
  </si>
  <si>
    <t>UP25LT3468</t>
  </si>
  <si>
    <t>UP64BT8876</t>
  </si>
  <si>
    <t>UP93BT7455</t>
  </si>
  <si>
    <t>RJ06GD5888</t>
  </si>
  <si>
    <t>RJ18GA5002</t>
  </si>
  <si>
    <t>UP51BT2721</t>
  </si>
  <si>
    <t>JH14L7296</t>
  </si>
  <si>
    <t>01.09.24</t>
  </si>
  <si>
    <t>UP53JT1663</t>
  </si>
  <si>
    <t>BR03GB8359</t>
  </si>
  <si>
    <t>BR24GC9276</t>
  </si>
  <si>
    <t>UP85T8555</t>
  </si>
  <si>
    <t>UP63AT3154</t>
  </si>
  <si>
    <t>UP65GT1822</t>
  </si>
  <si>
    <t>UP67T1204</t>
  </si>
  <si>
    <t>UP64BT6088</t>
  </si>
  <si>
    <t>UP64BT7129</t>
  </si>
  <si>
    <t>UP64LT7019</t>
  </si>
  <si>
    <t>UP62AT7742</t>
  </si>
  <si>
    <t>PB10GK4765</t>
  </si>
  <si>
    <t>UP22AT9333</t>
  </si>
  <si>
    <t>UP22AT1319</t>
  </si>
  <si>
    <t>HR58L7190</t>
  </si>
  <si>
    <t>RJ07GC4561</t>
  </si>
  <si>
    <t>UP51BT1333</t>
  </si>
  <si>
    <t>UP51BT4407</t>
  </si>
  <si>
    <t>UP51BT1952</t>
  </si>
  <si>
    <t>UP32KN6161</t>
  </si>
  <si>
    <t>RJ36GA3982</t>
  </si>
  <si>
    <t>02.09.24</t>
  </si>
  <si>
    <t>CG15EL5041</t>
  </si>
  <si>
    <t>UP64AT6395</t>
  </si>
  <si>
    <t>UP66C7565</t>
  </si>
  <si>
    <t>UP645FT3629</t>
  </si>
  <si>
    <t>UP22T5718</t>
  </si>
  <si>
    <t>RJ07GE5538</t>
  </si>
  <si>
    <t>RJ07GC5537</t>
  </si>
  <si>
    <t>RJ31GB2035</t>
  </si>
  <si>
    <t>UP22AT2148</t>
  </si>
  <si>
    <t>UP22AT1088</t>
  </si>
  <si>
    <t>UP71AT3071</t>
  </si>
  <si>
    <t>RJ29GB2393</t>
  </si>
  <si>
    <t>UP63AT9665</t>
  </si>
  <si>
    <t>UP67AT5296</t>
  </si>
  <si>
    <t>UP25BT2555</t>
  </si>
  <si>
    <t>UP64AT0585</t>
  </si>
  <si>
    <t>UP64AT7511</t>
  </si>
  <si>
    <t>UP63BT4845</t>
  </si>
  <si>
    <t>WB37E5142</t>
  </si>
  <si>
    <t>UP25ET5698</t>
  </si>
  <si>
    <t>UP63AT2207</t>
  </si>
  <si>
    <t>UP15CT5630</t>
  </si>
  <si>
    <t>UP67AT1176</t>
  </si>
  <si>
    <t>UP65MT6655</t>
  </si>
  <si>
    <t>03.09.24</t>
  </si>
  <si>
    <t>JCB-8000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</si>
</sst>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</numFmts>
  <fonts count="4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sz val="8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9C0006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9"/>
      <color rgb="FF000000"/>
      <name val="Verdana"/>
      <family val="2"/>
    </font>
    <font>
      <b/>
      <sz val="12"/>
      <color rgb="FF006100"/>
      <name val="Calibri"/>
      <family val="2"/>
      <scheme val="minor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b/>
      <sz val="11"/>
      <color rgb="FF0061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6"/>
      <color theme="1"/>
      <name val="Arial"/>
      <family val="2"/>
    </font>
    <font>
      <b/>
      <sz val="12"/>
      <color rgb="FFFF0000"/>
      <name val="Calibri"/>
      <family val="2"/>
    </font>
    <font>
      <b/>
      <sz val="12"/>
      <name val="Calibri"/>
      <family val="2"/>
      <scheme val="minor"/>
    </font>
    <font>
      <b/>
      <sz val="11"/>
      <color rgb="FFC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164" fontId="1" fillId="0" borderId="0" applyFont="0" applyFill="0" applyBorder="0" applyAlignment="0" applyProtection="0"/>
  </cellStyleXfs>
  <cellXfs count="775">
    <xf numFmtId="0" fontId="0" fillId="0" borderId="0" xfId="0"/>
    <xf numFmtId="0" fontId="0" fillId="0" borderId="4" xfId="0" applyBorder="1"/>
    <xf numFmtId="0" fontId="3" fillId="0" borderId="4" xfId="0" applyFont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2" fontId="0" fillId="0" borderId="4" xfId="0" applyNumberFormat="1" applyBorder="1"/>
    <xf numFmtId="0" fontId="0" fillId="3" borderId="4" xfId="0" applyFill="1" applyBorder="1"/>
    <xf numFmtId="0" fontId="5" fillId="3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left" vertical="center"/>
    </xf>
    <xf numFmtId="165" fontId="5" fillId="3" borderId="4" xfId="0" applyNumberFormat="1" applyFont="1" applyFill="1" applyBorder="1" applyAlignment="1">
      <alignment horizontal="center" vertical="center"/>
    </xf>
    <xf numFmtId="0" fontId="4" fillId="0" borderId="4" xfId="0" applyFont="1" applyBorder="1"/>
    <xf numFmtId="0" fontId="5" fillId="3" borderId="4" xfId="0" applyFont="1" applyFill="1" applyBorder="1" applyAlignment="1">
      <alignment horizontal="center" vertical="center"/>
    </xf>
    <xf numFmtId="165" fontId="4" fillId="3" borderId="4" xfId="0" applyNumberFormat="1" applyFont="1" applyFill="1" applyBorder="1"/>
    <xf numFmtId="2" fontId="5" fillId="3" borderId="4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/>
    <xf numFmtId="43" fontId="0" fillId="0" borderId="4" xfId="1" applyFont="1" applyBorder="1"/>
    <xf numFmtId="0" fontId="6" fillId="3" borderId="4" xfId="0" applyFont="1" applyFill="1" applyBorder="1"/>
    <xf numFmtId="0" fontId="3" fillId="3" borderId="4" xfId="0" applyFont="1" applyFill="1" applyBorder="1"/>
    <xf numFmtId="0" fontId="3" fillId="5" borderId="4" xfId="0" applyFont="1" applyFill="1" applyBorder="1" applyAlignment="1">
      <alignment horizontal="left"/>
    </xf>
    <xf numFmtId="4" fontId="3" fillId="5" borderId="4" xfId="0" applyNumberFormat="1" applyFont="1" applyFill="1" applyBorder="1"/>
    <xf numFmtId="0" fontId="0" fillId="5" borderId="4" xfId="0" applyFill="1" applyBorder="1"/>
    <xf numFmtId="165" fontId="3" fillId="5" borderId="4" xfId="0" applyNumberFormat="1" applyFont="1" applyFill="1" applyBorder="1"/>
    <xf numFmtId="165" fontId="4" fillId="5" borderId="4" xfId="0" applyNumberFormat="1" applyFont="1" applyFill="1" applyBorder="1"/>
    <xf numFmtId="43" fontId="4" fillId="5" borderId="4" xfId="0" applyNumberFormat="1" applyFont="1" applyFill="1" applyBorder="1"/>
    <xf numFmtId="0" fontId="3" fillId="5" borderId="4" xfId="0" applyFont="1" applyFill="1" applyBorder="1"/>
    <xf numFmtId="0" fontId="0" fillId="0" borderId="4" xfId="2" applyNumberFormat="1" applyFont="1" applyBorder="1" applyAlignment="1">
      <alignment horizontal="center"/>
    </xf>
    <xf numFmtId="0" fontId="0" fillId="0" borderId="4" xfId="0" applyFont="1" applyFill="1" applyBorder="1"/>
    <xf numFmtId="43" fontId="0" fillId="0" borderId="0" xfId="0" applyNumberFormat="1"/>
    <xf numFmtId="0" fontId="8" fillId="3" borderId="4" xfId="0" applyFont="1" applyFill="1" applyBorder="1"/>
    <xf numFmtId="0" fontId="9" fillId="0" borderId="4" xfId="0" applyFont="1" applyBorder="1"/>
    <xf numFmtId="0" fontId="0" fillId="0" borderId="4" xfId="0" applyBorder="1" applyAlignment="1">
      <alignment horizontal="center"/>
    </xf>
    <xf numFmtId="0" fontId="10" fillId="3" borderId="0" xfId="0" applyFont="1" applyFill="1"/>
    <xf numFmtId="0" fontId="0" fillId="6" borderId="4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43" fontId="9" fillId="6" borderId="4" xfId="1" applyFont="1" applyFill="1" applyBorder="1"/>
    <xf numFmtId="0" fontId="0" fillId="0" borderId="0" xfId="0" applyFont="1" applyBorder="1"/>
    <xf numFmtId="0" fontId="9" fillId="6" borderId="0" xfId="0" applyFont="1" applyFill="1" applyBorder="1"/>
    <xf numFmtId="0" fontId="0" fillId="0" borderId="0" xfId="0" applyBorder="1"/>
    <xf numFmtId="0" fontId="0" fillId="0" borderId="0" xfId="0" applyFill="1" applyBorder="1"/>
    <xf numFmtId="0" fontId="8" fillId="0" borderId="4" xfId="0" applyFont="1" applyBorder="1"/>
    <xf numFmtId="0" fontId="0" fillId="3" borderId="0" xfId="0" applyFill="1" applyBorder="1"/>
    <xf numFmtId="0" fontId="0" fillId="0" borderId="4" xfId="0" applyFill="1" applyBorder="1"/>
    <xf numFmtId="0" fontId="8" fillId="0" borderId="0" xfId="0" applyFont="1"/>
    <xf numFmtId="0" fontId="0" fillId="0" borderId="0" xfId="0" applyFont="1"/>
    <xf numFmtId="0" fontId="7" fillId="3" borderId="4" xfId="0" applyFont="1" applyFill="1" applyBorder="1"/>
    <xf numFmtId="0" fontId="8" fillId="0" borderId="0" xfId="0" applyFont="1" applyBorder="1"/>
    <xf numFmtId="0" fontId="0" fillId="6" borderId="0" xfId="0" applyFill="1" applyBorder="1"/>
    <xf numFmtId="0" fontId="10" fillId="6" borderId="0" xfId="0" applyFont="1" applyFill="1"/>
    <xf numFmtId="0" fontId="0" fillId="3" borderId="0" xfId="0" applyFill="1"/>
    <xf numFmtId="0" fontId="9" fillId="3" borderId="4" xfId="0" applyFont="1" applyFill="1" applyBorder="1"/>
    <xf numFmtId="0" fontId="7" fillId="3" borderId="0" xfId="0" applyFont="1" applyFill="1"/>
    <xf numFmtId="0" fontId="7" fillId="3" borderId="4" xfId="0" applyFont="1" applyFill="1" applyBorder="1" applyAlignment="1">
      <alignment horizontal="center"/>
    </xf>
    <xf numFmtId="43" fontId="7" fillId="3" borderId="4" xfId="1" applyFont="1" applyFill="1" applyBorder="1"/>
    <xf numFmtId="2" fontId="7" fillId="3" borderId="4" xfId="0" applyNumberFormat="1" applyFont="1" applyFill="1" applyBorder="1"/>
    <xf numFmtId="0" fontId="0" fillId="7" borderId="0" xfId="0" applyFill="1"/>
    <xf numFmtId="0" fontId="0" fillId="3" borderId="4" xfId="0" applyFill="1" applyBorder="1" applyAlignment="1">
      <alignment horizontal="center"/>
    </xf>
    <xf numFmtId="0" fontId="14" fillId="0" borderId="4" xfId="0" applyFont="1" applyBorder="1"/>
    <xf numFmtId="0" fontId="14" fillId="11" borderId="4" xfId="0" applyFont="1" applyFill="1" applyBorder="1"/>
    <xf numFmtId="17" fontId="0" fillId="0" borderId="4" xfId="0" applyNumberFormat="1" applyBorder="1"/>
    <xf numFmtId="17" fontId="8" fillId="3" borderId="11" xfId="0" applyNumberFormat="1" applyFont="1" applyFill="1" applyBorder="1"/>
    <xf numFmtId="17" fontId="8" fillId="3" borderId="4" xfId="0" applyNumberFormat="1" applyFont="1" applyFill="1" applyBorder="1"/>
    <xf numFmtId="0" fontId="16" fillId="9" borderId="4" xfId="4" applyFont="1" applyBorder="1"/>
    <xf numFmtId="0" fontId="0" fillId="0" borderId="5" xfId="0" applyBorder="1"/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0" fillId="0" borderId="0" xfId="0" applyFont="1" applyFill="1" applyBorder="1"/>
    <xf numFmtId="0" fontId="0" fillId="6" borderId="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8" fillId="3" borderId="10" xfId="0" applyFont="1" applyFill="1" applyBorder="1"/>
    <xf numFmtId="0" fontId="8" fillId="3" borderId="11" xfId="0" applyFont="1" applyFill="1" applyBorder="1"/>
    <xf numFmtId="0" fontId="14" fillId="0" borderId="11" xfId="0" applyFont="1" applyBorder="1"/>
    <xf numFmtId="0" fontId="4" fillId="11" borderId="11" xfId="0" applyFont="1" applyFill="1" applyBorder="1"/>
    <xf numFmtId="0" fontId="4" fillId="11" borderId="13" xfId="0" applyFont="1" applyFill="1" applyBorder="1"/>
    <xf numFmtId="0" fontId="8" fillId="3" borderId="0" xfId="0" applyFont="1" applyFill="1"/>
    <xf numFmtId="0" fontId="0" fillId="6" borderId="4" xfId="0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" xfId="0" applyFont="1" applyBorder="1" applyAlignment="1">
      <alignment horizontal="center"/>
    </xf>
    <xf numFmtId="0" fontId="10" fillId="11" borderId="5" xfId="0" applyFont="1" applyFill="1" applyBorder="1"/>
    <xf numFmtId="0" fontId="10" fillId="3" borderId="4" xfId="0" applyFont="1" applyFill="1" applyBorder="1"/>
    <xf numFmtId="0" fontId="8" fillId="0" borderId="5" xfId="0" applyFont="1" applyBorder="1"/>
    <xf numFmtId="0" fontId="8" fillId="0" borderId="24" xfId="0" applyFont="1" applyBorder="1"/>
    <xf numFmtId="0" fontId="8" fillId="0" borderId="25" xfId="0" applyFont="1" applyBorder="1"/>
    <xf numFmtId="0" fontId="8" fillId="0" borderId="19" xfId="0" applyFont="1" applyBorder="1"/>
    <xf numFmtId="0" fontId="8" fillId="0" borderId="26" xfId="0" applyFont="1" applyBorder="1"/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0" fontId="10" fillId="3" borderId="22" xfId="0" applyFont="1" applyFill="1" applyBorder="1"/>
    <xf numFmtId="0" fontId="10" fillId="3" borderId="23" xfId="0" applyFont="1" applyFill="1" applyBorder="1"/>
    <xf numFmtId="0" fontId="8" fillId="0" borderId="4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0" fillId="3" borderId="0" xfId="0" applyFont="1" applyFill="1"/>
    <xf numFmtId="0" fontId="7" fillId="6" borderId="4" xfId="0" applyFont="1" applyFill="1" applyBorder="1"/>
    <xf numFmtId="0" fontId="4" fillId="11" borderId="4" xfId="0" applyFont="1" applyFill="1" applyBorder="1"/>
    <xf numFmtId="0" fontId="10" fillId="11" borderId="4" xfId="0" applyFont="1" applyFill="1" applyBorder="1"/>
    <xf numFmtId="0" fontId="10" fillId="3" borderId="0" xfId="0" applyFont="1" applyFill="1" applyAlignment="1">
      <alignment horizontal="left"/>
    </xf>
    <xf numFmtId="0" fontId="4" fillId="3" borderId="4" xfId="0" applyFont="1" applyFill="1" applyBorder="1"/>
    <xf numFmtId="0" fontId="11" fillId="12" borderId="4" xfId="0" applyFont="1" applyFill="1" applyBorder="1"/>
    <xf numFmtId="0" fontId="10" fillId="12" borderId="0" xfId="0" applyFont="1" applyFill="1"/>
    <xf numFmtId="0" fontId="0" fillId="12" borderId="0" xfId="0" applyFill="1"/>
    <xf numFmtId="0" fontId="8" fillId="7" borderId="4" xfId="0" applyFont="1" applyFill="1" applyBorder="1"/>
    <xf numFmtId="14" fontId="3" fillId="7" borderId="4" xfId="0" applyNumberFormat="1" applyFont="1" applyFill="1" applyBorder="1"/>
    <xf numFmtId="0" fontId="17" fillId="11" borderId="5" xfId="0" applyFont="1" applyFill="1" applyBorder="1"/>
    <xf numFmtId="0" fontId="18" fillId="3" borderId="4" xfId="0" applyFont="1" applyFill="1" applyBorder="1"/>
    <xf numFmtId="0" fontId="19" fillId="3" borderId="4" xfId="0" applyFont="1" applyFill="1" applyBorder="1"/>
    <xf numFmtId="0" fontId="20" fillId="0" borderId="6" xfId="0" applyFont="1" applyBorder="1"/>
    <xf numFmtId="0" fontId="20" fillId="0" borderId="7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17" fontId="20" fillId="0" borderId="11" xfId="0" applyNumberFormat="1" applyFont="1" applyBorder="1"/>
    <xf numFmtId="0" fontId="20" fillId="3" borderId="11" xfId="0" applyFont="1" applyFill="1" applyBorder="1" applyAlignment="1">
      <alignment horizontal="center"/>
    </xf>
    <xf numFmtId="0" fontId="20" fillId="0" borderId="12" xfId="0" applyFont="1" applyBorder="1"/>
    <xf numFmtId="0" fontId="20" fillId="0" borderId="13" xfId="0" applyFont="1" applyBorder="1"/>
    <xf numFmtId="0" fontId="22" fillId="3" borderId="5" xfId="0" applyFont="1" applyFill="1" applyBorder="1"/>
    <xf numFmtId="0" fontId="23" fillId="0" borderId="5" xfId="0" applyFont="1" applyBorder="1"/>
    <xf numFmtId="0" fontId="20" fillId="0" borderId="4" xfId="0" applyFont="1" applyBorder="1"/>
    <xf numFmtId="0" fontId="20" fillId="0" borderId="4" xfId="0" applyFont="1" applyBorder="1" applyAlignment="1">
      <alignment horizontal="center"/>
    </xf>
    <xf numFmtId="0" fontId="23" fillId="0" borderId="4" xfId="0" applyFont="1" applyBorder="1"/>
    <xf numFmtId="43" fontId="20" fillId="0" borderId="4" xfId="1" applyFont="1" applyBorder="1"/>
    <xf numFmtId="0" fontId="22" fillId="0" borderId="4" xfId="0" applyFont="1" applyBorder="1"/>
    <xf numFmtId="0" fontId="20" fillId="0" borderId="4" xfId="2" applyNumberFormat="1" applyFont="1" applyBorder="1" applyAlignment="1">
      <alignment horizontal="center"/>
    </xf>
    <xf numFmtId="0" fontId="20" fillId="0" borderId="4" xfId="0" applyFont="1" applyFill="1" applyBorder="1"/>
    <xf numFmtId="0" fontId="20" fillId="0" borderId="0" xfId="0" applyFont="1"/>
    <xf numFmtId="0" fontId="20" fillId="0" borderId="1" xfId="0" applyFont="1" applyBorder="1"/>
    <xf numFmtId="0" fontId="20" fillId="0" borderId="3" xfId="0" applyFont="1" applyBorder="1"/>
    <xf numFmtId="0" fontId="20" fillId="0" borderId="21" xfId="0" applyFont="1" applyBorder="1" applyAlignment="1">
      <alignment horizontal="center"/>
    </xf>
    <xf numFmtId="0" fontId="20" fillId="0" borderId="21" xfId="0" applyFont="1" applyBorder="1"/>
    <xf numFmtId="43" fontId="20" fillId="0" borderId="21" xfId="1" applyFont="1" applyBorder="1"/>
    <xf numFmtId="0" fontId="21" fillId="5" borderId="17" xfId="0" applyFont="1" applyFill="1" applyBorder="1" applyAlignment="1">
      <alignment horizontal="left"/>
    </xf>
    <xf numFmtId="4" fontId="21" fillId="5" borderId="8" xfId="0" applyNumberFormat="1" applyFont="1" applyFill="1" applyBorder="1"/>
    <xf numFmtId="0" fontId="20" fillId="5" borderId="8" xfId="0" applyFont="1" applyFill="1" applyBorder="1"/>
    <xf numFmtId="165" fontId="21" fillId="5" borderId="8" xfId="0" applyNumberFormat="1" applyFont="1" applyFill="1" applyBorder="1"/>
    <xf numFmtId="165" fontId="17" fillId="5" borderId="18" xfId="0" applyNumberFormat="1" applyFont="1" applyFill="1" applyBorder="1"/>
    <xf numFmtId="0" fontId="21" fillId="5" borderId="10" xfId="0" applyFont="1" applyFill="1" applyBorder="1" applyAlignment="1">
      <alignment horizontal="left"/>
    </xf>
    <xf numFmtId="43" fontId="17" fillId="5" borderId="11" xfId="0" applyNumberFormat="1" applyFont="1" applyFill="1" applyBorder="1"/>
    <xf numFmtId="0" fontId="20" fillId="5" borderId="11" xfId="0" applyFont="1" applyFill="1" applyBorder="1"/>
    <xf numFmtId="0" fontId="21" fillId="5" borderId="11" xfId="0" applyFont="1" applyFill="1" applyBorder="1"/>
    <xf numFmtId="43" fontId="17" fillId="5" borderId="13" xfId="0" applyNumberFormat="1" applyFont="1" applyFill="1" applyBorder="1"/>
    <xf numFmtId="0" fontId="25" fillId="0" borderId="0" xfId="0" applyFont="1"/>
    <xf numFmtId="0" fontId="27" fillId="3" borderId="4" xfId="0" applyFont="1" applyFill="1" applyBorder="1"/>
    <xf numFmtId="14" fontId="27" fillId="3" borderId="4" xfId="0" applyNumberFormat="1" applyFont="1" applyFill="1" applyBorder="1"/>
    <xf numFmtId="0" fontId="10" fillId="3" borderId="23" xfId="0" applyFont="1" applyFill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0" fontId="29" fillId="12" borderId="0" xfId="0" applyFont="1" applyFill="1"/>
    <xf numFmtId="0" fontId="28" fillId="12" borderId="0" xfId="0" applyFont="1" applyFill="1"/>
    <xf numFmtId="17" fontId="30" fillId="0" borderId="0" xfId="0" applyNumberFormat="1" applyFont="1"/>
    <xf numFmtId="0" fontId="10" fillId="12" borderId="4" xfId="0" applyFont="1" applyFill="1" applyBorder="1"/>
    <xf numFmtId="14" fontId="31" fillId="0" borderId="0" xfId="0" applyNumberFormat="1" applyFont="1"/>
    <xf numFmtId="0" fontId="8" fillId="0" borderId="14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0" fontId="8" fillId="13" borderId="4" xfId="0" applyFont="1" applyFill="1" applyBorder="1"/>
    <xf numFmtId="0" fontId="0" fillId="13" borderId="0" xfId="0" applyFill="1"/>
    <xf numFmtId="0" fontId="15" fillId="10" borderId="4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2" fillId="9" borderId="4" xfId="4" applyFont="1" applyBorder="1"/>
    <xf numFmtId="0" fontId="15" fillId="10" borderId="4" xfId="0" applyFont="1" applyFill="1" applyBorder="1" applyAlignment="1">
      <alignment horizontal="center"/>
    </xf>
    <xf numFmtId="0" fontId="8" fillId="0" borderId="17" xfId="0" applyFont="1" applyBorder="1"/>
    <xf numFmtId="0" fontId="8" fillId="0" borderId="8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5" xfId="0" applyFont="1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33" fillId="8" borderId="0" xfId="3" applyFont="1"/>
    <xf numFmtId="0" fontId="8" fillId="0" borderId="10" xfId="0" applyFont="1" applyBorder="1" applyAlignment="1">
      <alignment horizontal="right"/>
    </xf>
    <xf numFmtId="0" fontId="8" fillId="0" borderId="25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0" fillId="3" borderId="19" xfId="0" applyFont="1" applyFill="1" applyBorder="1"/>
    <xf numFmtId="0" fontId="33" fillId="8" borderId="20" xfId="3" applyFont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  <xf numFmtId="0" fontId="10" fillId="3" borderId="11" xfId="0" applyFont="1" applyFill="1" applyBorder="1"/>
    <xf numFmtId="0" fontId="8" fillId="0" borderId="13" xfId="0" applyFont="1" applyBorder="1"/>
    <xf numFmtId="0" fontId="15" fillId="10" borderId="4" xfId="0" applyFont="1" applyFill="1" applyBorder="1" applyAlignment="1">
      <alignment horizontal="center"/>
    </xf>
    <xf numFmtId="0" fontId="33" fillId="8" borderId="0" xfId="3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30" xfId="0" applyFont="1" applyBorder="1"/>
    <xf numFmtId="0" fontId="8" fillId="0" borderId="31" xfId="0" applyFont="1" applyBorder="1" applyAlignment="1">
      <alignment horizontal="right"/>
    </xf>
    <xf numFmtId="0" fontId="34" fillId="3" borderId="20" xfId="3" applyFont="1" applyFill="1" applyBorder="1" applyAlignment="1">
      <alignment horizontal="left"/>
    </xf>
    <xf numFmtId="0" fontId="7" fillId="3" borderId="26" xfId="0" applyFont="1" applyFill="1" applyBorder="1"/>
    <xf numFmtId="0" fontId="7" fillId="3" borderId="21" xfId="0" applyFont="1" applyFill="1" applyBorder="1"/>
    <xf numFmtId="0" fontId="10" fillId="3" borderId="21" xfId="0" applyFont="1" applyFill="1" applyBorder="1"/>
    <xf numFmtId="0" fontId="34" fillId="3" borderId="27" xfId="3" applyFont="1" applyFill="1" applyBorder="1" applyAlignment="1">
      <alignment horizontal="left"/>
    </xf>
    <xf numFmtId="0" fontId="7" fillId="3" borderId="22" xfId="0" applyFont="1" applyFill="1" applyBorder="1"/>
    <xf numFmtId="0" fontId="7" fillId="3" borderId="32" xfId="0" applyFont="1" applyFill="1" applyBorder="1"/>
    <xf numFmtId="0" fontId="10" fillId="3" borderId="15" xfId="0" applyFont="1" applyFill="1" applyBorder="1"/>
    <xf numFmtId="0" fontId="35" fillId="3" borderId="16" xfId="0" applyFont="1" applyFill="1" applyBorder="1" applyAlignment="1">
      <alignment horizontal="left"/>
    </xf>
    <xf numFmtId="43" fontId="36" fillId="5" borderId="4" xfId="0" applyNumberFormat="1" applyFont="1" applyFill="1" applyBorder="1"/>
    <xf numFmtId="0" fontId="37" fillId="0" borderId="0" xfId="0" applyFont="1"/>
    <xf numFmtId="0" fontId="15" fillId="10" borderId="4" xfId="0" applyFont="1" applyFill="1" applyBorder="1" applyAlignment="1">
      <alignment horizontal="center"/>
    </xf>
    <xf numFmtId="0" fontId="8" fillId="7" borderId="0" xfId="0" applyFont="1" applyFill="1"/>
    <xf numFmtId="0" fontId="8" fillId="6" borderId="0" xfId="0" applyFont="1" applyFill="1" applyBorder="1"/>
    <xf numFmtId="0" fontId="8" fillId="12" borderId="0" xfId="0" applyFont="1" applyFill="1"/>
    <xf numFmtId="0" fontId="8" fillId="13" borderId="0" xfId="0" applyFont="1" applyFill="1"/>
    <xf numFmtId="0" fontId="38" fillId="8" borderId="4" xfId="3" applyFont="1" applyBorder="1"/>
    <xf numFmtId="0" fontId="38" fillId="8" borderId="0" xfId="3" applyFont="1"/>
    <xf numFmtId="0" fontId="38" fillId="8" borderId="0" xfId="3" applyFont="1" applyBorder="1"/>
    <xf numFmtId="0" fontId="3" fillId="0" borderId="5" xfId="0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43" fontId="3" fillId="0" borderId="4" xfId="1" applyFont="1" applyBorder="1" applyAlignment="1">
      <alignment horizontal="center"/>
    </xf>
    <xf numFmtId="43" fontId="3" fillId="0" borderId="5" xfId="1" applyFont="1" applyBorder="1" applyAlignment="1">
      <alignment horizontal="center"/>
    </xf>
    <xf numFmtId="43" fontId="3" fillId="0" borderId="21" xfId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8" fillId="0" borderId="0" xfId="0" applyFont="1"/>
    <xf numFmtId="0" fontId="0" fillId="0" borderId="0" xfId="0"/>
    <xf numFmtId="0" fontId="8" fillId="0" borderId="0" xfId="0" applyFont="1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15" fillId="10" borderId="4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33" xfId="0" applyFill="1" applyBorder="1" applyAlignment="1">
      <alignment horizontal="center"/>
    </xf>
    <xf numFmtId="0" fontId="0" fillId="0" borderId="33" xfId="0" applyFill="1" applyBorder="1"/>
    <xf numFmtId="0" fontId="0" fillId="0" borderId="4" xfId="0" applyBorder="1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8" fillId="0" borderId="6" xfId="0" applyFont="1" applyBorder="1"/>
    <xf numFmtId="0" fontId="8" fillId="0" borderId="7" xfId="0" applyFont="1" applyBorder="1"/>
    <xf numFmtId="43" fontId="8" fillId="0" borderId="9" xfId="0" applyNumberFormat="1" applyFont="1" applyBorder="1"/>
    <xf numFmtId="0" fontId="8" fillId="0" borderId="34" xfId="0" applyFont="1" applyBorder="1"/>
    <xf numFmtId="0" fontId="8" fillId="0" borderId="12" xfId="0" applyFont="1" applyBorder="1"/>
    <xf numFmtId="0" fontId="8" fillId="0" borderId="35" xfId="0" applyFont="1" applyBorder="1"/>
    <xf numFmtId="0" fontId="8" fillId="0" borderId="18" xfId="0" applyFont="1" applyBorder="1"/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3" xfId="0" applyBorder="1" applyAlignment="1"/>
    <xf numFmtId="0" fontId="0" fillId="0" borderId="0" xfId="0"/>
    <xf numFmtId="0" fontId="15" fillId="10" borderId="4" xfId="0" applyFont="1" applyFill="1" applyBorder="1" applyAlignment="1">
      <alignment horizontal="center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8" fillId="0" borderId="4" xfId="0" applyFont="1" applyBorder="1" applyAlignment="1">
      <alignment horizontal="right"/>
    </xf>
    <xf numFmtId="164" fontId="8" fillId="0" borderId="5" xfId="5" applyFont="1" applyBorder="1"/>
    <xf numFmtId="164" fontId="8" fillId="0" borderId="4" xfId="5" applyFont="1" applyBorder="1"/>
    <xf numFmtId="164" fontId="10" fillId="3" borderId="4" xfId="5" applyFont="1" applyFill="1" applyBorder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38" fillId="8" borderId="4" xfId="3" applyFont="1" applyBorder="1" applyAlignment="1">
      <alignment horizontal="center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15" fillId="10" borderId="4" xfId="0" applyFont="1" applyFill="1" applyBorder="1" applyAlignment="1">
      <alignment horizontal="center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22" xfId="0" applyFont="1" applyBorder="1"/>
    <xf numFmtId="0" fontId="8" fillId="0" borderId="32" xfId="0" applyFont="1" applyBorder="1"/>
    <xf numFmtId="0" fontId="8" fillId="0" borderId="23" xfId="0" applyFon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32" xfId="0" applyFont="1" applyBorder="1" applyAlignment="1">
      <alignment horizontal="center"/>
    </xf>
    <xf numFmtId="0" fontId="0" fillId="0" borderId="0" xfId="0"/>
    <xf numFmtId="0" fontId="0" fillId="0" borderId="0" xfId="0"/>
    <xf numFmtId="0" fontId="8" fillId="0" borderId="0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9" fillId="3" borderId="4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" fillId="12" borderId="4" xfId="0" applyFont="1" applyFill="1" applyBorder="1"/>
    <xf numFmtId="0" fontId="39" fillId="12" borderId="33" xfId="0" applyFont="1" applyFill="1" applyBorder="1"/>
    <xf numFmtId="0" fontId="40" fillId="1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41" fillId="8" borderId="0" xfId="3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6" fillId="11" borderId="4" xfId="0" applyFont="1" applyFill="1" applyBorder="1" applyAlignment="1">
      <alignment horizontal="center"/>
    </xf>
    <xf numFmtId="0" fontId="0" fillId="14" borderId="4" xfId="0" applyFill="1" applyBorder="1"/>
    <xf numFmtId="0" fontId="15" fillId="14" borderId="4" xfId="0" applyFont="1" applyFill="1" applyBorder="1" applyAlignment="1">
      <alignment horizontal="center"/>
    </xf>
    <xf numFmtId="17" fontId="0" fillId="14" borderId="4" xfId="0" applyNumberFormat="1" applyFill="1" applyBorder="1"/>
    <xf numFmtId="17" fontId="30" fillId="14" borderId="0" xfId="0" applyNumberFormat="1" applyFont="1" applyFill="1"/>
    <xf numFmtId="0" fontId="0" fillId="14" borderId="0" xfId="0" applyFill="1"/>
    <xf numFmtId="0" fontId="10" fillId="3" borderId="1" xfId="0" applyFont="1" applyFill="1" applyBorder="1"/>
    <xf numFmtId="0" fontId="0" fillId="3" borderId="1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11" borderId="21" xfId="0" applyFont="1" applyFill="1" applyBorder="1"/>
    <xf numFmtId="0" fontId="0" fillId="0" borderId="0" xfId="0"/>
    <xf numFmtId="0" fontId="0" fillId="0" borderId="0" xfId="0"/>
    <xf numFmtId="0" fontId="10" fillId="3" borderId="0" xfId="0" applyFont="1" applyFill="1" applyBorder="1"/>
    <xf numFmtId="0" fontId="7" fillId="3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0" fillId="15" borderId="4" xfId="0" applyFont="1" applyFill="1" applyBorder="1"/>
    <xf numFmtId="0" fontId="7" fillId="15" borderId="4" xfId="0" applyFont="1" applyFill="1" applyBorder="1"/>
    <xf numFmtId="0" fontId="0" fillId="15" borderId="4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6" borderId="4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4" fillId="3" borderId="5" xfId="1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4" fontId="10" fillId="3" borderId="4" xfId="0" applyNumberFormat="1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4" fontId="10" fillId="3" borderId="4" xfId="0" applyNumberFormat="1" applyFont="1" applyFill="1" applyBorder="1"/>
    <xf numFmtId="0" fontId="8" fillId="3" borderId="0" xfId="0" applyFont="1" applyFill="1" applyBorder="1"/>
    <xf numFmtId="0" fontId="8" fillId="5" borderId="4" xfId="0" applyFont="1" applyFill="1" applyBorder="1"/>
    <xf numFmtId="0" fontId="3" fillId="0" borderId="24" xfId="0" applyFont="1" applyBorder="1" applyAlignment="1">
      <alignment horizontal="center"/>
    </xf>
    <xf numFmtId="43" fontId="3" fillId="0" borderId="25" xfId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43" fontId="4" fillId="3" borderId="25" xfId="1" applyFont="1" applyFill="1" applyBorder="1" applyAlignment="1">
      <alignment horizontal="center"/>
    </xf>
    <xf numFmtId="43" fontId="3" fillId="0" borderId="20" xfId="1" applyFont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43" fontId="4" fillId="3" borderId="11" xfId="1" applyFont="1" applyFill="1" applyBorder="1" applyAlignment="1">
      <alignment horizontal="center"/>
    </xf>
    <xf numFmtId="43" fontId="4" fillId="3" borderId="11" xfId="0" applyNumberFormat="1" applyFont="1" applyFill="1" applyBorder="1" applyAlignment="1">
      <alignment horizontal="center"/>
    </xf>
    <xf numFmtId="43" fontId="4" fillId="3" borderId="13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8" fillId="0" borderId="9" xfId="0" applyFont="1" applyBorder="1"/>
    <xf numFmtId="43" fontId="3" fillId="0" borderId="0" xfId="1" applyFont="1" applyFill="1" applyBorder="1" applyAlignment="1">
      <alignment horizontal="center"/>
    </xf>
    <xf numFmtId="0" fontId="36" fillId="3" borderId="4" xfId="3" applyFont="1" applyFill="1" applyBorder="1"/>
    <xf numFmtId="0" fontId="42" fillId="3" borderId="4" xfId="0" applyFont="1" applyFill="1" applyBorder="1"/>
    <xf numFmtId="0" fontId="8" fillId="14" borderId="4" xfId="0" applyFont="1" applyFill="1" applyBorder="1"/>
    <xf numFmtId="17" fontId="8" fillId="14" borderId="4" xfId="0" applyNumberFormat="1" applyFont="1" applyFill="1" applyBorder="1"/>
    <xf numFmtId="0" fontId="8" fillId="14" borderId="0" xfId="0" applyFont="1" applyFill="1"/>
    <xf numFmtId="0" fontId="8" fillId="6" borderId="4" xfId="0" applyFont="1" applyFill="1" applyBorder="1"/>
    <xf numFmtId="0" fontId="8" fillId="3" borderId="4" xfId="0" applyFont="1" applyFill="1" applyBorder="1" applyAlignment="1">
      <alignment horizontal="center"/>
    </xf>
    <xf numFmtId="0" fontId="10" fillId="11" borderId="21" xfId="0" applyFont="1" applyFill="1" applyBorder="1"/>
    <xf numFmtId="0" fontId="8" fillId="11" borderId="4" xfId="0" applyFont="1" applyFill="1" applyBorder="1"/>
    <xf numFmtId="0" fontId="8" fillId="11" borderId="0" xfId="0" applyFont="1" applyFill="1"/>
    <xf numFmtId="0" fontId="42" fillId="11" borderId="4" xfId="0" applyFont="1" applyFill="1" applyBorder="1"/>
    <xf numFmtId="0" fontId="0" fillId="0" borderId="0" xfId="0"/>
    <xf numFmtId="0" fontId="0" fillId="0" borderId="0" xfId="0"/>
    <xf numFmtId="0" fontId="10" fillId="11" borderId="39" xfId="0" applyFont="1" applyFill="1" applyBorder="1"/>
    <xf numFmtId="0" fontId="10" fillId="3" borderId="39" xfId="0" applyFont="1" applyFill="1" applyBorder="1"/>
    <xf numFmtId="0" fontId="8" fillId="0" borderId="4" xfId="0" applyFont="1" applyBorder="1" applyAlignment="1"/>
    <xf numFmtId="0" fontId="0" fillId="0" borderId="0" xfId="0"/>
    <xf numFmtId="0" fontId="42" fillId="3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6" borderId="33" xfId="0" applyFont="1" applyFill="1" applyBorder="1" applyAlignment="1">
      <alignment horizontal="center"/>
    </xf>
    <xf numFmtId="0" fontId="0" fillId="0" borderId="0" xfId="0"/>
    <xf numFmtId="43" fontId="36" fillId="3" borderId="36" xfId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43" fillId="12" borderId="4" xfId="0" applyFont="1" applyFill="1" applyBorder="1"/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3" fontId="36" fillId="3" borderId="40" xfId="1" applyFont="1" applyFill="1" applyBorder="1" applyAlignment="1">
      <alignment horizontal="center"/>
    </xf>
    <xf numFmtId="43" fontId="4" fillId="3" borderId="20" xfId="1" applyFont="1" applyFill="1" applyBorder="1" applyAlignment="1">
      <alignment horizontal="center"/>
    </xf>
    <xf numFmtId="0" fontId="33" fillId="8" borderId="4" xfId="3" applyFont="1" applyBorder="1"/>
    <xf numFmtId="0" fontId="36" fillId="3" borderId="4" xfId="0" applyFont="1" applyFill="1" applyBorder="1" applyAlignment="1">
      <alignment horizontal="center"/>
    </xf>
    <xf numFmtId="0" fontId="0" fillId="0" borderId="0" xfId="0"/>
    <xf numFmtId="1" fontId="8" fillId="0" borderId="4" xfId="0" applyNumberFormat="1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1" fontId="8" fillId="6" borderId="4" xfId="0" applyNumberFormat="1" applyFont="1" applyFill="1" applyBorder="1" applyAlignment="1">
      <alignment horizontal="center"/>
    </xf>
    <xf numFmtId="0" fontId="8" fillId="0" borderId="33" xfId="0" applyFont="1" applyFill="1" applyBorder="1" applyAlignment="1">
      <alignment horizontal="center"/>
    </xf>
    <xf numFmtId="1" fontId="8" fillId="14" borderId="4" xfId="0" applyNumberFormat="1" applyFont="1" applyFill="1" applyBorder="1"/>
    <xf numFmtId="1" fontId="8" fillId="3" borderId="4" xfId="0" applyNumberFormat="1" applyFont="1" applyFill="1" applyBorder="1"/>
    <xf numFmtId="1" fontId="10" fillId="12" borderId="4" xfId="0" applyNumberFormat="1" applyFont="1" applyFill="1" applyBorder="1"/>
    <xf numFmtId="1" fontId="3" fillId="5" borderId="4" xfId="0" applyNumberFormat="1" applyFont="1" applyFill="1" applyBorder="1" applyAlignment="1">
      <alignment horizontal="left"/>
    </xf>
    <xf numFmtId="1" fontId="0" fillId="0" borderId="0" xfId="0" applyNumberFormat="1"/>
    <xf numFmtId="43" fontId="4" fillId="3" borderId="4" xfId="0" applyNumberFormat="1" applyFont="1" applyFill="1" applyBorder="1"/>
    <xf numFmtId="0" fontId="8" fillId="6" borderId="4" xfId="0" applyNumberFormat="1" applyFont="1" applyFill="1" applyBorder="1" applyAlignment="1">
      <alignment horizontal="center"/>
    </xf>
    <xf numFmtId="0" fontId="8" fillId="6" borderId="33" xfId="0" applyNumberFormat="1" applyFont="1" applyFill="1" applyBorder="1" applyAlignment="1">
      <alignment horizontal="center"/>
    </xf>
    <xf numFmtId="0" fontId="44" fillId="14" borderId="4" xfId="0" applyNumberFormat="1" applyFont="1" applyFill="1" applyBorder="1" applyAlignment="1">
      <alignment horizontal="center"/>
    </xf>
    <xf numFmtId="0" fontId="8" fillId="14" borderId="4" xfId="0" applyNumberFormat="1" applyFont="1" applyFill="1" applyBorder="1" applyAlignment="1">
      <alignment horizontal="center"/>
    </xf>
    <xf numFmtId="0" fontId="8" fillId="3" borderId="4" xfId="0" applyNumberFormat="1" applyFont="1" applyFill="1" applyBorder="1" applyAlignment="1">
      <alignment horizontal="center"/>
    </xf>
    <xf numFmtId="0" fontId="42" fillId="5" borderId="4" xfId="0" applyNumberFormat="1" applyFont="1" applyFill="1" applyBorder="1" applyAlignment="1">
      <alignment horizontal="center"/>
    </xf>
    <xf numFmtId="0" fontId="8" fillId="5" borderId="4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8" fillId="14" borderId="0" xfId="0" applyNumberFormat="1" applyFont="1" applyFill="1" applyAlignment="1">
      <alignment horizontal="center"/>
    </xf>
    <xf numFmtId="0" fontId="10" fillId="12" borderId="4" xfId="0" applyNumberFormat="1" applyFont="1" applyFill="1" applyBorder="1" applyAlignment="1">
      <alignment horizontal="center"/>
    </xf>
    <xf numFmtId="0" fontId="8" fillId="0" borderId="4" xfId="0" applyNumberFormat="1" applyFont="1" applyBorder="1" applyAlignment="1">
      <alignment horizontal="center"/>
    </xf>
    <xf numFmtId="0" fontId="8" fillId="0" borderId="33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27" fillId="0" borderId="14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7" fillId="0" borderId="38" xfId="0" applyFont="1" applyBorder="1" applyAlignment="1">
      <alignment horizontal="center"/>
    </xf>
    <xf numFmtId="43" fontId="3" fillId="0" borderId="24" xfId="1" applyFont="1" applyBorder="1" applyAlignment="1">
      <alignment horizontal="center"/>
    </xf>
    <xf numFmtId="43" fontId="3" fillId="0" borderId="41" xfId="1" applyFont="1" applyBorder="1" applyAlignment="1">
      <alignment horizontal="center"/>
    </xf>
    <xf numFmtId="43" fontId="6" fillId="6" borderId="41" xfId="1" applyFont="1" applyFill="1" applyBorder="1" applyAlignment="1">
      <alignment horizontal="center"/>
    </xf>
    <xf numFmtId="43" fontId="6" fillId="6" borderId="1" xfId="1" applyFont="1" applyFill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43" fontId="3" fillId="0" borderId="42" xfId="1" applyFont="1" applyBorder="1" applyAlignment="1">
      <alignment horizontal="center"/>
    </xf>
    <xf numFmtId="43" fontId="3" fillId="0" borderId="43" xfId="1" applyFont="1" applyBorder="1" applyAlignment="1">
      <alignment horizontal="center"/>
    </xf>
    <xf numFmtId="43" fontId="6" fillId="6" borderId="44" xfId="1" applyFont="1" applyFill="1" applyBorder="1" applyAlignment="1">
      <alignment horizontal="center"/>
    </xf>
    <xf numFmtId="43" fontId="3" fillId="0" borderId="45" xfId="1" applyFont="1" applyBorder="1" applyAlignment="1">
      <alignment horizontal="center"/>
    </xf>
    <xf numFmtId="43" fontId="3" fillId="0" borderId="37" xfId="1" applyFont="1" applyBorder="1" applyAlignment="1">
      <alignment horizontal="center"/>
    </xf>
    <xf numFmtId="43" fontId="3" fillId="6" borderId="41" xfId="1" applyFont="1" applyFill="1" applyBorder="1" applyAlignment="1">
      <alignment horizontal="center"/>
    </xf>
    <xf numFmtId="43" fontId="3" fillId="6" borderId="42" xfId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45" fillId="5" borderId="4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49" fontId="8" fillId="6" borderId="4" xfId="0" applyNumberFormat="1" applyFont="1" applyFill="1" applyBorder="1" applyAlignment="1">
      <alignment horizontal="center"/>
    </xf>
    <xf numFmtId="0" fontId="0" fillId="0" borderId="0" xfId="0"/>
    <xf numFmtId="1" fontId="8" fillId="6" borderId="33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43" fontId="3" fillId="0" borderId="4" xfId="1" applyFont="1" applyFill="1" applyBorder="1" applyAlignment="1">
      <alignment horizontal="center"/>
    </xf>
    <xf numFmtId="0" fontId="42" fillId="13" borderId="4" xfId="0" applyFont="1" applyFill="1" applyBorder="1"/>
    <xf numFmtId="0" fontId="42" fillId="13" borderId="0" xfId="0" applyFont="1" applyFill="1" applyBorder="1"/>
    <xf numFmtId="0" fontId="10" fillId="13" borderId="21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6" fillId="0" borderId="16" xfId="0" applyFont="1" applyBorder="1"/>
    <xf numFmtId="0" fontId="0" fillId="0" borderId="0" xfId="0"/>
    <xf numFmtId="0" fontId="0" fillId="0" borderId="0" xfId="0"/>
    <xf numFmtId="17" fontId="30" fillId="14" borderId="4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2" fillId="3" borderId="5" xfId="0" applyFont="1" applyFill="1" applyBorder="1"/>
    <xf numFmtId="0" fontId="30" fillId="14" borderId="4" xfId="0" applyNumberFormat="1" applyFont="1" applyFill="1" applyBorder="1" applyAlignment="1">
      <alignment horizontal="center"/>
    </xf>
    <xf numFmtId="0" fontId="0" fillId="0" borderId="0" xfId="0"/>
    <xf numFmtId="165" fontId="36" fillId="5" borderId="4" xfId="0" applyNumberFormat="1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26" xfId="0" applyFont="1" applyBorder="1" applyAlignment="1">
      <alignment horizontal="center"/>
    </xf>
    <xf numFmtId="17" fontId="3" fillId="0" borderId="21" xfId="0" applyNumberFormat="1" applyFont="1" applyBorder="1" applyAlignment="1">
      <alignment horizontal="center"/>
    </xf>
    <xf numFmtId="43" fontId="3" fillId="0" borderId="21" xfId="1" applyFont="1" applyFill="1" applyBorder="1" applyAlignment="1">
      <alignment horizontal="center"/>
    </xf>
    <xf numFmtId="43" fontId="3" fillId="0" borderId="33" xfId="1" applyFont="1" applyBorder="1" applyAlignment="1">
      <alignment horizontal="center"/>
    </xf>
    <xf numFmtId="43" fontId="4" fillId="3" borderId="27" xfId="1" applyFont="1" applyFill="1" applyBorder="1" applyAlignment="1">
      <alignment horizontal="center"/>
    </xf>
    <xf numFmtId="43" fontId="36" fillId="3" borderId="0" xfId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" fontId="8" fillId="0" borderId="26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1" fontId="8" fillId="3" borderId="4" xfId="0" applyNumberFormat="1" applyFont="1" applyFill="1" applyBorder="1" applyAlignment="1">
      <alignment horizontal="center"/>
    </xf>
    <xf numFmtId="0" fontId="10" fillId="11" borderId="4" xfId="0" applyFont="1" applyFill="1" applyBorder="1" applyAlignment="1">
      <alignment horizontal="center"/>
    </xf>
    <xf numFmtId="1" fontId="10" fillId="12" borderId="4" xfId="0" applyNumberFormat="1" applyFont="1" applyFill="1" applyBorder="1" applyAlignment="1">
      <alignment horizontal="center"/>
    </xf>
    <xf numFmtId="0" fontId="42" fillId="3" borderId="21" xfId="0" applyFont="1" applyFill="1" applyBorder="1"/>
    <xf numFmtId="17" fontId="8" fillId="14" borderId="0" xfId="0" applyNumberFormat="1" applyFont="1" applyFill="1" applyAlignment="1">
      <alignment horizontal="center"/>
    </xf>
    <xf numFmtId="0" fontId="0" fillId="0" borderId="0" xfId="0"/>
    <xf numFmtId="0" fontId="42" fillId="3" borderId="33" xfId="0" applyFont="1" applyFill="1" applyBorder="1"/>
    <xf numFmtId="1" fontId="8" fillId="5" borderId="4" xfId="0" applyNumberFormat="1" applyFont="1" applyFill="1" applyBorder="1" applyAlignment="1">
      <alignment horizontal="left"/>
    </xf>
    <xf numFmtId="164" fontId="34" fillId="5" borderId="4" xfId="5" applyFont="1" applyFill="1" applyBorder="1" applyAlignment="1">
      <alignment horizontal="center"/>
    </xf>
    <xf numFmtId="43" fontId="34" fillId="5" borderId="4" xfId="0" applyNumberFormat="1" applyFont="1" applyFill="1" applyBorder="1"/>
    <xf numFmtId="0" fontId="46" fillId="3" borderId="4" xfId="0" applyFont="1" applyFill="1" applyBorder="1" applyAlignment="1">
      <alignment horizontal="center"/>
    </xf>
    <xf numFmtId="0" fontId="46" fillId="6" borderId="4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/>
    </xf>
    <xf numFmtId="0" fontId="26" fillId="6" borderId="21" xfId="0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7" fontId="8" fillId="14" borderId="0" xfId="0" applyNumberFormat="1" applyFont="1" applyFill="1"/>
    <xf numFmtId="0" fontId="0" fillId="0" borderId="0" xfId="0"/>
    <xf numFmtId="0" fontId="10" fillId="13" borderId="4" xfId="0" applyFont="1" applyFill="1" applyBorder="1"/>
    <xf numFmtId="0" fontId="10" fillId="13" borderId="39" xfId="0" applyFont="1" applyFill="1" applyBorder="1"/>
    <xf numFmtId="0" fontId="0" fillId="0" borderId="0" xfId="0"/>
    <xf numFmtId="0" fontId="0" fillId="0" borderId="0" xfId="0"/>
    <xf numFmtId="0" fontId="4" fillId="11" borderId="1" xfId="0" applyFont="1" applyFill="1" applyBorder="1"/>
    <xf numFmtId="0" fontId="42" fillId="6" borderId="1" xfId="0" applyFont="1" applyFill="1" applyBorder="1"/>
    <xf numFmtId="0" fontId="8" fillId="6" borderId="1" xfId="0" applyFont="1" applyFill="1" applyBorder="1" applyAlignment="1">
      <alignment horizontal="center"/>
    </xf>
    <xf numFmtId="165" fontId="4" fillId="5" borderId="1" xfId="0" applyNumberFormat="1" applyFont="1" applyFill="1" applyBorder="1"/>
    <xf numFmtId="0" fontId="0" fillId="0" borderId="0" xfId="0" applyAlignment="1"/>
    <xf numFmtId="0" fontId="0" fillId="0" borderId="46" xfId="0" applyBorder="1" applyAlignment="1"/>
    <xf numFmtId="0" fontId="0" fillId="0" borderId="0" xfId="0"/>
    <xf numFmtId="0" fontId="0" fillId="0" borderId="0" xfId="0"/>
    <xf numFmtId="0" fontId="8" fillId="0" borderId="4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7" fillId="0" borderId="4" xfId="0" applyFont="1" applyFill="1" applyBorder="1" applyAlignment="1">
      <alignment horizontal="center"/>
    </xf>
    <xf numFmtId="0" fontId="0" fillId="0" borderId="0" xfId="0"/>
    <xf numFmtId="0" fontId="0" fillId="0" borderId="0" xfId="0"/>
    <xf numFmtId="1" fontId="8" fillId="6" borderId="4" xfId="0" quotePrefix="1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0" fillId="12" borderId="4" xfId="0" applyFont="1" applyFill="1" applyBorder="1" applyAlignment="1">
      <alignment horizontal="center"/>
    </xf>
    <xf numFmtId="165" fontId="3" fillId="5" borderId="4" xfId="0" applyNumberFormat="1" applyFont="1" applyFill="1" applyBorder="1" applyAlignment="1">
      <alignment horizontal="center"/>
    </xf>
    <xf numFmtId="0" fontId="0" fillId="0" borderId="0" xfId="0"/>
    <xf numFmtId="0" fontId="8" fillId="0" borderId="0" xfId="0" applyFont="1" applyAlignment="1"/>
    <xf numFmtId="0" fontId="0" fillId="0" borderId="0" xfId="0"/>
    <xf numFmtId="0" fontId="8" fillId="13" borderId="4" xfId="0" applyFont="1" applyFill="1" applyBorder="1" applyAlignment="1">
      <alignment horizontal="center"/>
    </xf>
    <xf numFmtId="0" fontId="0" fillId="0" borderId="0" xfId="0"/>
    <xf numFmtId="0" fontId="8" fillId="3" borderId="4" xfId="0" applyFont="1" applyFill="1" applyBorder="1" applyAlignment="1">
      <alignment horizontal="center" vertical="center"/>
    </xf>
    <xf numFmtId="0" fontId="10" fillId="3" borderId="4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0" fillId="0" borderId="0" xfId="0"/>
    <xf numFmtId="0" fontId="42" fillId="16" borderId="4" xfId="0" applyFont="1" applyFill="1" applyBorder="1"/>
    <xf numFmtId="0" fontId="42" fillId="16" borderId="0" xfId="0" applyFont="1" applyFill="1" applyBorder="1"/>
    <xf numFmtId="0" fontId="0" fillId="16" borderId="0" xfId="0" applyFill="1" applyAlignment="1"/>
    <xf numFmtId="0" fontId="10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46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9" fontId="8" fillId="3" borderId="4" xfId="0" applyNumberFormat="1" applyFont="1" applyFill="1" applyBorder="1" applyAlignment="1">
      <alignment horizontal="center"/>
    </xf>
    <xf numFmtId="1" fontId="8" fillId="3" borderId="4" xfId="0" quotePrefix="1" applyNumberFormat="1" applyFont="1" applyFill="1" applyBorder="1" applyAlignment="1">
      <alignment horizontal="center"/>
    </xf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11" fillId="3" borderId="4" xfId="0" applyNumberFormat="1" applyFont="1" applyFill="1" applyBorder="1" applyAlignment="1">
      <alignment horizontal="center"/>
    </xf>
    <xf numFmtId="0" fontId="8" fillId="0" borderId="46" xfId="0" applyFont="1" applyBorder="1" applyAlignment="1"/>
    <xf numFmtId="43" fontId="36" fillId="5" borderId="4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43" fontId="4" fillId="5" borderId="4" xfId="0" applyNumberFormat="1" applyFont="1" applyFill="1" applyBorder="1" applyAlignment="1"/>
    <xf numFmtId="0" fontId="3" fillId="5" borderId="4" xfId="0" applyFont="1" applyFill="1" applyBorder="1" applyAlignment="1">
      <alignment horizontal="center"/>
    </xf>
    <xf numFmtId="4" fontId="3" fillId="5" borderId="4" xfId="0" applyNumberFormat="1" applyFont="1" applyFill="1" applyBorder="1" applyAlignment="1"/>
    <xf numFmtId="0" fontId="11" fillId="3" borderId="4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0" xfId="0"/>
    <xf numFmtId="0" fontId="10" fillId="0" borderId="4" xfId="0" applyFont="1" applyBorder="1" applyAlignment="1">
      <alignment horizontal="center"/>
    </xf>
    <xf numFmtId="0" fontId="42" fillId="7" borderId="4" xfId="0" applyFont="1" applyFill="1" applyBorder="1"/>
    <xf numFmtId="0" fontId="42" fillId="7" borderId="0" xfId="0" applyFont="1" applyFill="1" applyBorder="1"/>
    <xf numFmtId="0" fontId="0" fillId="7" borderId="0" xfId="0" applyFill="1" applyAlignment="1"/>
    <xf numFmtId="0" fontId="0" fillId="0" borderId="0" xfId="0"/>
    <xf numFmtId="0" fontId="0" fillId="6" borderId="0" xfId="0" applyFill="1" applyAlignment="1"/>
    <xf numFmtId="0" fontId="10" fillId="3" borderId="4" xfId="0" applyFont="1" applyFill="1" applyBorder="1" applyAlignment="1">
      <alignment horizontal="center" vertical="center"/>
    </xf>
    <xf numFmtId="0" fontId="0" fillId="0" borderId="0" xfId="0"/>
    <xf numFmtId="0" fontId="0" fillId="3" borderId="0" xfId="0" applyFill="1" applyAlignment="1"/>
    <xf numFmtId="0" fontId="0" fillId="0" borderId="0" xfId="0"/>
    <xf numFmtId="0" fontId="11" fillId="0" borderId="4" xfId="0" applyFont="1" applyBorder="1" applyAlignment="1">
      <alignment horizontal="center"/>
    </xf>
    <xf numFmtId="0" fontId="0" fillId="0" borderId="0" xfId="0"/>
    <xf numFmtId="1" fontId="8" fillId="0" borderId="4" xfId="0" applyNumberFormat="1" applyFont="1" applyFill="1" applyBorder="1" applyAlignment="1">
      <alignment horizontal="center"/>
    </xf>
    <xf numFmtId="1" fontId="11" fillId="0" borderId="4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0" fillId="0" borderId="4" xfId="0" applyFont="1" applyFill="1" applyBorder="1" applyAlignment="1">
      <alignment horizontal="center"/>
    </xf>
    <xf numFmtId="1" fontId="10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8" fillId="0" borderId="4" xfId="0" quotePrefix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Fill="1" applyAlignment="1"/>
    <xf numFmtId="0" fontId="10" fillId="6" borderId="4" xfId="0" applyNumberFormat="1" applyFont="1" applyFill="1" applyBorder="1" applyAlignment="1">
      <alignment horizontal="center"/>
    </xf>
    <xf numFmtId="49" fontId="8" fillId="0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15" fillId="10" borderId="4" xfId="0" applyFont="1" applyFill="1" applyBorder="1" applyAlignment="1">
      <alignment horizontal="center"/>
    </xf>
    <xf numFmtId="0" fontId="15" fillId="10" borderId="8" xfId="0" applyFont="1" applyFill="1" applyBorder="1" applyAlignment="1">
      <alignment horizontal="center"/>
    </xf>
    <xf numFmtId="0" fontId="0" fillId="0" borderId="0" xfId="0"/>
    <xf numFmtId="0" fontId="15" fillId="14" borderId="1" xfId="0" applyFont="1" applyFill="1" applyBorder="1" applyAlignment="1"/>
    <xf numFmtId="0" fontId="15" fillId="14" borderId="2" xfId="0" applyFont="1" applyFill="1" applyBorder="1" applyAlignment="1"/>
    <xf numFmtId="0" fontId="15" fillId="14" borderId="3" xfId="0" applyFont="1" applyFill="1" applyBorder="1" applyAlignment="1"/>
  </cellXfs>
  <cellStyles count="6">
    <cellStyle name="Bad" xfId="4" builtinId="27"/>
    <cellStyle name="Comma" xfId="1" builtinId="3"/>
    <cellStyle name="Comma [0]" xfId="5" builtinId="6"/>
    <cellStyle name="Currency" xfId="2" builtinId="4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45"/>
  <sheetViews>
    <sheetView topLeftCell="A4914" workbookViewId="0">
      <selection activeCell="F4937" sqref="F4937"/>
    </sheetView>
  </sheetViews>
  <sheetFormatPr defaultColWidth="16.125" defaultRowHeight="14.25" x14ac:dyDescent="0.2"/>
  <cols>
    <col min="1" max="1" width="5.25" customWidth="1"/>
    <col min="2" max="2" width="8.25" customWidth="1"/>
    <col min="3" max="3" width="20.5" customWidth="1"/>
    <col min="4" max="4" width="13.5" customWidth="1"/>
    <col min="5" max="5" width="20.5" customWidth="1"/>
    <col min="6" max="6" width="13" customWidth="1"/>
    <col min="7" max="7" width="14.5" customWidth="1"/>
    <col min="8" max="8" width="11.875" customWidth="1"/>
    <col min="9" max="9" width="14.375" customWidth="1"/>
    <col min="10" max="10" width="8.375" customWidth="1"/>
    <col min="13" max="13" width="16.75" customWidth="1"/>
    <col min="14" max="14" width="5.75" customWidth="1"/>
  </cols>
  <sheetData>
    <row r="2" spans="1:17" ht="18.75" x14ac:dyDescent="0.3">
      <c r="A2" s="765" t="s">
        <v>0</v>
      </c>
      <c r="B2" s="766"/>
      <c r="C2" s="766"/>
      <c r="D2" s="766"/>
      <c r="E2" s="766"/>
      <c r="F2" s="766"/>
      <c r="G2" s="766"/>
      <c r="H2" s="766"/>
      <c r="I2" s="767"/>
    </row>
    <row r="3" spans="1:17" ht="15" x14ac:dyDescent="0.25">
      <c r="A3" s="1"/>
      <c r="B3" s="1"/>
      <c r="C3" s="2"/>
      <c r="D3" s="1"/>
      <c r="E3" s="3" t="s">
        <v>584</v>
      </c>
      <c r="F3" s="4"/>
      <c r="G3" s="1"/>
      <c r="H3" s="5"/>
      <c r="I3" s="1"/>
    </row>
    <row r="4" spans="1:17" ht="15" x14ac:dyDescent="0.25">
      <c r="A4" s="6" t="s">
        <v>1</v>
      </c>
      <c r="B4" s="7" t="s">
        <v>2</v>
      </c>
      <c r="C4" s="8" t="s">
        <v>3</v>
      </c>
      <c r="D4" s="9" t="s">
        <v>4</v>
      </c>
      <c r="E4" s="10"/>
      <c r="F4" s="11" t="s">
        <v>5</v>
      </c>
      <c r="G4" s="12" t="s">
        <v>6</v>
      </c>
      <c r="H4" s="13" t="s">
        <v>7</v>
      </c>
      <c r="I4" s="1"/>
    </row>
    <row r="5" spans="1:17" ht="15" x14ac:dyDescent="0.25">
      <c r="A5" s="33" t="s">
        <v>172</v>
      </c>
      <c r="B5" s="33"/>
      <c r="C5" s="109"/>
      <c r="D5" s="33">
        <v>77264</v>
      </c>
      <c r="E5" s="110"/>
      <c r="F5" s="33"/>
      <c r="G5" s="33">
        <v>77264</v>
      </c>
      <c r="H5" s="5">
        <f t="shared" ref="H5:H49" si="0">D5-G5</f>
        <v>0</v>
      </c>
      <c r="I5" s="14" t="s">
        <v>8</v>
      </c>
    </row>
    <row r="6" spans="1:17" ht="15" x14ac:dyDescent="0.25">
      <c r="A6" s="33" t="s">
        <v>274</v>
      </c>
      <c r="B6" s="33"/>
      <c r="C6" s="109"/>
      <c r="D6" s="33">
        <v>23903</v>
      </c>
      <c r="E6" s="110"/>
      <c r="F6" s="33"/>
      <c r="G6" s="33">
        <v>23903</v>
      </c>
      <c r="H6" s="5"/>
      <c r="I6" s="14"/>
    </row>
    <row r="7" spans="1:17" ht="15" x14ac:dyDescent="0.25">
      <c r="A7" s="33" t="s">
        <v>274</v>
      </c>
      <c r="B7" s="33"/>
      <c r="C7" s="109"/>
      <c r="D7" s="33">
        <v>14891</v>
      </c>
      <c r="E7" s="110"/>
      <c r="F7" s="33"/>
      <c r="G7" s="33">
        <v>14891</v>
      </c>
      <c r="H7" s="5"/>
      <c r="I7" s="14"/>
    </row>
    <row r="8" spans="1:17" s="244" customFormat="1" ht="15" x14ac:dyDescent="0.25">
      <c r="A8" s="33" t="s">
        <v>494</v>
      </c>
      <c r="B8" s="33"/>
      <c r="C8" s="109"/>
      <c r="D8" s="33">
        <v>14619</v>
      </c>
      <c r="E8" s="110"/>
      <c r="F8" s="33"/>
      <c r="G8" s="33">
        <v>14619</v>
      </c>
      <c r="H8" s="5"/>
      <c r="I8" s="14"/>
    </row>
    <row r="9" spans="1:17" s="298" customFormat="1" ht="15" x14ac:dyDescent="0.25">
      <c r="A9" s="33" t="s">
        <v>541</v>
      </c>
      <c r="B9" s="33"/>
      <c r="C9" s="109"/>
      <c r="D9" s="33">
        <v>11436</v>
      </c>
      <c r="E9" s="110"/>
      <c r="F9" s="33"/>
      <c r="G9" s="33">
        <v>11436</v>
      </c>
      <c r="H9" s="5"/>
      <c r="I9" s="14"/>
    </row>
    <row r="10" spans="1:17" ht="15" x14ac:dyDescent="0.25">
      <c r="A10" s="1">
        <v>1</v>
      </c>
      <c r="B10" s="1" t="s">
        <v>12</v>
      </c>
      <c r="C10" s="15">
        <v>2506</v>
      </c>
      <c r="D10" s="16">
        <v>16000</v>
      </c>
      <c r="E10" s="1" t="s">
        <v>80</v>
      </c>
      <c r="F10" s="17">
        <f>D10/86.7</f>
        <v>184.54440599769319</v>
      </c>
      <c r="G10" s="16">
        <v>16000</v>
      </c>
      <c r="H10" s="5">
        <f t="shared" si="0"/>
        <v>0</v>
      </c>
      <c r="I10" s="30">
        <v>300000</v>
      </c>
      <c r="J10" s="18" t="s">
        <v>16</v>
      </c>
      <c r="K10" s="84" t="s">
        <v>93</v>
      </c>
      <c r="L10" s="45"/>
    </row>
    <row r="11" spans="1:17" ht="15" x14ac:dyDescent="0.25">
      <c r="A11" s="1">
        <v>2</v>
      </c>
      <c r="B11" s="1" t="s">
        <v>12</v>
      </c>
      <c r="C11" s="15">
        <v>1550</v>
      </c>
      <c r="D11" s="16">
        <v>12000</v>
      </c>
      <c r="E11" s="1" t="s">
        <v>80</v>
      </c>
      <c r="F11" s="17">
        <f t="shared" ref="F11:F28" si="1">D11/86.7</f>
        <v>138.4083044982699</v>
      </c>
      <c r="G11" s="16">
        <v>12000</v>
      </c>
      <c r="H11" s="5">
        <f t="shared" si="0"/>
        <v>0</v>
      </c>
      <c r="I11" s="30">
        <v>400000</v>
      </c>
      <c r="J11" s="18" t="s">
        <v>20</v>
      </c>
      <c r="K11" s="84" t="s">
        <v>93</v>
      </c>
      <c r="L11" s="45"/>
    </row>
    <row r="12" spans="1:17" ht="15" x14ac:dyDescent="0.25">
      <c r="A12" s="1">
        <v>3</v>
      </c>
      <c r="B12" s="1" t="s">
        <v>12</v>
      </c>
      <c r="C12" s="15">
        <v>7497</v>
      </c>
      <c r="D12" s="16">
        <v>12000</v>
      </c>
      <c r="E12" s="1" t="s">
        <v>80</v>
      </c>
      <c r="F12" s="17">
        <f t="shared" si="1"/>
        <v>138.4083044982699</v>
      </c>
      <c r="G12" s="16">
        <v>12000</v>
      </c>
      <c r="H12" s="5">
        <f t="shared" si="0"/>
        <v>0</v>
      </c>
      <c r="I12" s="30">
        <v>300000</v>
      </c>
      <c r="J12" s="30" t="s">
        <v>22</v>
      </c>
      <c r="K12" s="84" t="s">
        <v>93</v>
      </c>
      <c r="L12" s="45"/>
    </row>
    <row r="13" spans="1:17" ht="15" x14ac:dyDescent="0.25">
      <c r="A13" s="1">
        <v>4</v>
      </c>
      <c r="B13" s="1" t="s">
        <v>12</v>
      </c>
      <c r="C13" s="15">
        <v>5961</v>
      </c>
      <c r="D13" s="16">
        <v>13000</v>
      </c>
      <c r="E13" s="1" t="s">
        <v>80</v>
      </c>
      <c r="F13" s="17">
        <f t="shared" si="1"/>
        <v>149.94232987312571</v>
      </c>
      <c r="G13" s="16">
        <v>13000</v>
      </c>
      <c r="H13" s="5">
        <f t="shared" si="0"/>
        <v>0</v>
      </c>
      <c r="I13" s="30">
        <v>200000</v>
      </c>
      <c r="J13" s="18" t="s">
        <v>23</v>
      </c>
      <c r="K13" s="84" t="s">
        <v>93</v>
      </c>
      <c r="L13" s="45"/>
    </row>
    <row r="14" spans="1:17" ht="15" x14ac:dyDescent="0.25">
      <c r="A14" s="1">
        <v>5</v>
      </c>
      <c r="B14" s="1" t="s">
        <v>12</v>
      </c>
      <c r="C14" s="15">
        <v>2133</v>
      </c>
      <c r="D14" s="16">
        <v>10000</v>
      </c>
      <c r="E14" s="1" t="s">
        <v>80</v>
      </c>
      <c r="F14" s="17">
        <f t="shared" si="1"/>
        <v>115.34025374855824</v>
      </c>
      <c r="G14" s="16">
        <v>10000</v>
      </c>
      <c r="H14" s="5">
        <f t="shared" si="0"/>
        <v>0</v>
      </c>
      <c r="I14" s="30">
        <v>300000</v>
      </c>
      <c r="J14" s="19" t="s">
        <v>29</v>
      </c>
      <c r="K14" s="84" t="s">
        <v>93</v>
      </c>
      <c r="L14" s="45"/>
    </row>
    <row r="15" spans="1:17" ht="15" x14ac:dyDescent="0.25">
      <c r="A15" s="1">
        <v>6</v>
      </c>
      <c r="B15" s="1" t="s">
        <v>12</v>
      </c>
      <c r="C15" s="15">
        <v>2306</v>
      </c>
      <c r="D15" s="16">
        <v>8000</v>
      </c>
      <c r="E15" s="17" t="s">
        <v>80</v>
      </c>
      <c r="F15" s="17">
        <f t="shared" si="1"/>
        <v>92.272202998846595</v>
      </c>
      <c r="G15" s="16">
        <v>8000</v>
      </c>
      <c r="H15" s="5">
        <f t="shared" si="0"/>
        <v>0</v>
      </c>
      <c r="I15" s="114">
        <v>300000</v>
      </c>
      <c r="J15" s="115" t="s">
        <v>31</v>
      </c>
      <c r="K15" s="213" t="s">
        <v>91</v>
      </c>
      <c r="L15" s="213"/>
      <c r="Q15" s="45"/>
    </row>
    <row r="16" spans="1:17" ht="15" x14ac:dyDescent="0.25">
      <c r="A16" s="1">
        <v>7</v>
      </c>
      <c r="B16" s="1" t="s">
        <v>12</v>
      </c>
      <c r="C16" s="15">
        <v>8897</v>
      </c>
      <c r="D16" s="16">
        <v>18000</v>
      </c>
      <c r="E16" s="1" t="s">
        <v>80</v>
      </c>
      <c r="F16" s="17">
        <f t="shared" si="1"/>
        <v>207.61245674740485</v>
      </c>
      <c r="G16" s="16">
        <v>18000</v>
      </c>
      <c r="H16" s="5">
        <f t="shared" si="0"/>
        <v>0</v>
      </c>
      <c r="I16" s="30">
        <v>800000</v>
      </c>
      <c r="J16" s="19" t="s">
        <v>48</v>
      </c>
      <c r="K16" s="84" t="s">
        <v>93</v>
      </c>
      <c r="L16" s="45"/>
      <c r="Q16" s="45"/>
    </row>
    <row r="17" spans="1:17" ht="15" x14ac:dyDescent="0.25">
      <c r="A17" s="1">
        <v>8</v>
      </c>
      <c r="B17" s="1" t="s">
        <v>12</v>
      </c>
      <c r="C17" s="15">
        <v>1494</v>
      </c>
      <c r="D17" s="16">
        <v>20000</v>
      </c>
      <c r="E17" s="1" t="s">
        <v>80</v>
      </c>
      <c r="F17" s="17">
        <f t="shared" si="1"/>
        <v>230.68050749711648</v>
      </c>
      <c r="G17" s="16">
        <v>20000</v>
      </c>
      <c r="H17" s="5">
        <f t="shared" si="0"/>
        <v>0</v>
      </c>
      <c r="I17" s="30">
        <v>400000</v>
      </c>
      <c r="J17" s="19" t="s">
        <v>50</v>
      </c>
      <c r="K17" s="84" t="s">
        <v>93</v>
      </c>
      <c r="L17" s="45"/>
      <c r="Q17" s="45"/>
    </row>
    <row r="18" spans="1:17" ht="15" x14ac:dyDescent="0.25">
      <c r="A18" s="1">
        <v>9</v>
      </c>
      <c r="B18" s="1" t="s">
        <v>12</v>
      </c>
      <c r="C18" s="15">
        <v>3695</v>
      </c>
      <c r="D18" s="16">
        <v>27000</v>
      </c>
      <c r="E18" s="1" t="s">
        <v>80</v>
      </c>
      <c r="F18" s="17">
        <f t="shared" si="1"/>
        <v>311.41868512110727</v>
      </c>
      <c r="G18" s="16">
        <v>27000</v>
      </c>
      <c r="H18" s="5">
        <f t="shared" si="0"/>
        <v>0</v>
      </c>
      <c r="I18" s="30">
        <v>700000</v>
      </c>
      <c r="J18" s="19" t="s">
        <v>51</v>
      </c>
      <c r="K18" s="84" t="s">
        <v>93</v>
      </c>
      <c r="L18" s="45"/>
      <c r="O18" s="46"/>
      <c r="P18" s="46"/>
    </row>
    <row r="19" spans="1:17" ht="15" x14ac:dyDescent="0.25">
      <c r="A19" s="1">
        <v>10</v>
      </c>
      <c r="B19" s="1" t="s">
        <v>12</v>
      </c>
      <c r="C19" s="15">
        <v>2751</v>
      </c>
      <c r="D19" s="16">
        <v>20000</v>
      </c>
      <c r="E19" s="1" t="s">
        <v>80</v>
      </c>
      <c r="F19" s="17">
        <f t="shared" si="1"/>
        <v>230.68050749711648</v>
      </c>
      <c r="G19" s="16">
        <v>20000</v>
      </c>
      <c r="H19" s="5">
        <f t="shared" si="0"/>
        <v>0</v>
      </c>
      <c r="I19" s="30">
        <v>400000</v>
      </c>
      <c r="J19" s="19" t="s">
        <v>53</v>
      </c>
      <c r="K19" s="84" t="s">
        <v>93</v>
      </c>
      <c r="L19" s="48"/>
      <c r="M19" s="40"/>
      <c r="O19" s="45"/>
      <c r="P19" s="45"/>
    </row>
    <row r="20" spans="1:17" ht="15" x14ac:dyDescent="0.25">
      <c r="A20" s="1">
        <v>11</v>
      </c>
      <c r="B20" s="1" t="s">
        <v>12</v>
      </c>
      <c r="C20" s="15">
        <v>9239</v>
      </c>
      <c r="D20" s="16">
        <v>24000</v>
      </c>
      <c r="E20" s="1" t="s">
        <v>80</v>
      </c>
      <c r="F20" s="17">
        <f t="shared" si="1"/>
        <v>276.8166089965398</v>
      </c>
      <c r="G20" s="16">
        <v>24000</v>
      </c>
      <c r="H20" s="5">
        <f t="shared" si="0"/>
        <v>0</v>
      </c>
      <c r="I20" s="30">
        <v>800000</v>
      </c>
      <c r="J20" s="19" t="s">
        <v>58</v>
      </c>
      <c r="K20" s="84" t="s">
        <v>93</v>
      </c>
      <c r="L20" s="48"/>
      <c r="M20" s="40"/>
    </row>
    <row r="21" spans="1:17" ht="15" x14ac:dyDescent="0.25">
      <c r="A21" s="1">
        <v>12</v>
      </c>
      <c r="B21" s="1" t="s">
        <v>12</v>
      </c>
      <c r="C21" s="15">
        <v>2232</v>
      </c>
      <c r="D21" s="16">
        <v>13000</v>
      </c>
      <c r="E21" s="1" t="s">
        <v>80</v>
      </c>
      <c r="F21" s="17">
        <f t="shared" si="1"/>
        <v>149.94232987312571</v>
      </c>
      <c r="G21" s="16">
        <v>13000</v>
      </c>
      <c r="H21" s="5">
        <f t="shared" si="0"/>
        <v>0</v>
      </c>
      <c r="I21" s="30">
        <v>600000</v>
      </c>
      <c r="J21" s="30" t="s">
        <v>60</v>
      </c>
      <c r="K21" s="84" t="s">
        <v>93</v>
      </c>
      <c r="L21" s="48"/>
      <c r="M21" s="40"/>
    </row>
    <row r="22" spans="1:17" ht="15" x14ac:dyDescent="0.25">
      <c r="A22" s="1">
        <v>13</v>
      </c>
      <c r="B22" s="1" t="s">
        <v>12</v>
      </c>
      <c r="C22" s="15">
        <v>9048</v>
      </c>
      <c r="D22" s="16">
        <v>13000</v>
      </c>
      <c r="E22" s="1" t="s">
        <v>80</v>
      </c>
      <c r="F22" s="17">
        <f t="shared" si="1"/>
        <v>149.94232987312571</v>
      </c>
      <c r="G22" s="16">
        <v>13000</v>
      </c>
      <c r="H22" s="5">
        <f t="shared" si="0"/>
        <v>0</v>
      </c>
      <c r="I22" s="30">
        <v>300000</v>
      </c>
      <c r="J22" s="30" t="s">
        <v>65</v>
      </c>
      <c r="K22" s="84" t="s">
        <v>93</v>
      </c>
      <c r="L22" s="48"/>
      <c r="M22" s="40"/>
    </row>
    <row r="23" spans="1:17" ht="15" x14ac:dyDescent="0.25">
      <c r="A23" s="1">
        <v>14</v>
      </c>
      <c r="B23" s="1" t="s">
        <v>12</v>
      </c>
      <c r="C23" s="15">
        <v>1369</v>
      </c>
      <c r="D23" s="16">
        <v>16000</v>
      </c>
      <c r="E23" s="1" t="s">
        <v>80</v>
      </c>
      <c r="F23" s="17">
        <f t="shared" si="1"/>
        <v>184.54440599769319</v>
      </c>
      <c r="G23" s="16">
        <v>16000</v>
      </c>
      <c r="H23" s="5">
        <f t="shared" si="0"/>
        <v>0</v>
      </c>
      <c r="I23" s="30">
        <v>200000</v>
      </c>
      <c r="J23" s="30" t="s">
        <v>67</v>
      </c>
      <c r="K23" s="84" t="s">
        <v>93</v>
      </c>
      <c r="L23" s="214"/>
      <c r="M23" s="49"/>
    </row>
    <row r="24" spans="1:17" ht="15" x14ac:dyDescent="0.25">
      <c r="A24" s="1">
        <v>15</v>
      </c>
      <c r="B24" s="1" t="s">
        <v>12</v>
      </c>
      <c r="C24" s="15">
        <v>7601</v>
      </c>
      <c r="D24" s="16">
        <v>23450</v>
      </c>
      <c r="E24" s="1" t="s">
        <v>80</v>
      </c>
      <c r="F24" s="17">
        <f t="shared" si="1"/>
        <v>270.47289504036905</v>
      </c>
      <c r="G24" s="16">
        <v>23450</v>
      </c>
      <c r="H24" s="5">
        <f t="shared" si="0"/>
        <v>0</v>
      </c>
      <c r="I24" s="30">
        <v>400000</v>
      </c>
      <c r="J24" s="30" t="s">
        <v>70</v>
      </c>
      <c r="K24" s="84" t="s">
        <v>93</v>
      </c>
      <c r="L24" s="45"/>
    </row>
    <row r="25" spans="1:17" ht="15" x14ac:dyDescent="0.25">
      <c r="A25" s="1">
        <v>16</v>
      </c>
      <c r="B25" s="1" t="s">
        <v>12</v>
      </c>
      <c r="C25" s="15">
        <v>3316</v>
      </c>
      <c r="D25" s="16">
        <v>25000</v>
      </c>
      <c r="E25" s="1" t="s">
        <v>80</v>
      </c>
      <c r="F25" s="17">
        <f t="shared" si="1"/>
        <v>288.35063437139559</v>
      </c>
      <c r="G25" s="16">
        <v>25000</v>
      </c>
      <c r="H25" s="5">
        <f t="shared" si="0"/>
        <v>0</v>
      </c>
      <c r="I25" s="30">
        <v>100000</v>
      </c>
      <c r="J25" s="30" t="s">
        <v>71</v>
      </c>
      <c r="K25" s="84" t="s">
        <v>93</v>
      </c>
      <c r="L25" s="45"/>
    </row>
    <row r="26" spans="1:17" ht="15" x14ac:dyDescent="0.25">
      <c r="A26" s="1">
        <v>17</v>
      </c>
      <c r="B26" s="1" t="s">
        <v>12</v>
      </c>
      <c r="C26" s="15">
        <v>1518</v>
      </c>
      <c r="D26" s="16">
        <v>18000</v>
      </c>
      <c r="E26" s="1" t="s">
        <v>80</v>
      </c>
      <c r="F26" s="17">
        <f t="shared" si="1"/>
        <v>207.61245674740485</v>
      </c>
      <c r="G26" s="16">
        <v>18000</v>
      </c>
      <c r="H26" s="5">
        <f t="shared" si="0"/>
        <v>0</v>
      </c>
      <c r="I26" s="30">
        <v>400000</v>
      </c>
      <c r="J26" s="30" t="s">
        <v>74</v>
      </c>
      <c r="K26" s="84" t="s">
        <v>93</v>
      </c>
      <c r="L26" s="45"/>
    </row>
    <row r="27" spans="1:17" ht="15" x14ac:dyDescent="0.25">
      <c r="A27" s="1">
        <v>18</v>
      </c>
      <c r="B27" s="1" t="s">
        <v>12</v>
      </c>
      <c r="C27" s="15">
        <v>5504</v>
      </c>
      <c r="D27" s="16">
        <v>24000</v>
      </c>
      <c r="E27" s="1" t="s">
        <v>80</v>
      </c>
      <c r="F27" s="17">
        <f t="shared" si="1"/>
        <v>276.8166089965398</v>
      </c>
      <c r="G27" s="16">
        <v>24000</v>
      </c>
      <c r="H27" s="5">
        <f t="shared" si="0"/>
        <v>0</v>
      </c>
      <c r="I27" s="30">
        <v>300000</v>
      </c>
      <c r="J27" s="30" t="s">
        <v>76</v>
      </c>
      <c r="K27" s="84" t="s">
        <v>93</v>
      </c>
      <c r="L27" s="45"/>
    </row>
    <row r="28" spans="1:17" ht="15" x14ac:dyDescent="0.25">
      <c r="A28" s="1">
        <v>19</v>
      </c>
      <c r="B28" s="1" t="s">
        <v>12</v>
      </c>
      <c r="C28" s="15" t="s">
        <v>17</v>
      </c>
      <c r="D28" s="16">
        <v>3500</v>
      </c>
      <c r="E28" s="1" t="s">
        <v>80</v>
      </c>
      <c r="F28" s="17">
        <f t="shared" si="1"/>
        <v>40.369088811995383</v>
      </c>
      <c r="G28" s="16">
        <v>3500</v>
      </c>
      <c r="H28" s="5">
        <f t="shared" si="0"/>
        <v>0</v>
      </c>
      <c r="I28" s="30">
        <v>100000</v>
      </c>
      <c r="J28" s="30" t="s">
        <v>77</v>
      </c>
      <c r="K28" s="84" t="s">
        <v>93</v>
      </c>
      <c r="L28" s="48"/>
      <c r="M28" s="40"/>
    </row>
    <row r="29" spans="1:17" ht="15" x14ac:dyDescent="0.25">
      <c r="A29" s="1">
        <v>20</v>
      </c>
      <c r="B29" s="1" t="s">
        <v>13</v>
      </c>
      <c r="C29" s="15">
        <v>5675</v>
      </c>
      <c r="D29" s="16">
        <v>25000</v>
      </c>
      <c r="E29" s="1" t="s">
        <v>80</v>
      </c>
      <c r="F29" s="17">
        <f>D29/87.51</f>
        <v>285.6816363844132</v>
      </c>
      <c r="G29" s="16">
        <v>25000</v>
      </c>
      <c r="H29" s="5">
        <f t="shared" si="0"/>
        <v>0</v>
      </c>
      <c r="I29" s="30">
        <v>100000</v>
      </c>
      <c r="J29" s="30" t="s">
        <v>78</v>
      </c>
      <c r="K29" s="84" t="s">
        <v>93</v>
      </c>
      <c r="L29" s="48"/>
      <c r="M29" s="40"/>
    </row>
    <row r="30" spans="1:17" ht="15" x14ac:dyDescent="0.25">
      <c r="A30" s="1">
        <v>21</v>
      </c>
      <c r="B30" s="1" t="s">
        <v>13</v>
      </c>
      <c r="C30" s="15">
        <v>4137</v>
      </c>
      <c r="D30" s="16">
        <v>15000</v>
      </c>
      <c r="E30" s="1" t="s">
        <v>80</v>
      </c>
      <c r="F30" s="17">
        <f t="shared" ref="F30:F38" si="2">D30/87.51</f>
        <v>171.40898183064792</v>
      </c>
      <c r="G30" s="16">
        <v>15000</v>
      </c>
      <c r="H30" s="5">
        <f t="shared" si="0"/>
        <v>0</v>
      </c>
      <c r="I30" s="30">
        <v>200000</v>
      </c>
      <c r="J30" s="30" t="s">
        <v>79</v>
      </c>
      <c r="K30" s="84" t="s">
        <v>93</v>
      </c>
      <c r="L30" s="48"/>
      <c r="M30" s="40"/>
    </row>
    <row r="31" spans="1:17" ht="15" x14ac:dyDescent="0.25">
      <c r="A31" s="1">
        <v>22</v>
      </c>
      <c r="B31" s="1" t="s">
        <v>13</v>
      </c>
      <c r="C31" s="15">
        <v>7550</v>
      </c>
      <c r="D31" s="16">
        <v>17000</v>
      </c>
      <c r="E31" s="1" t="s">
        <v>80</v>
      </c>
      <c r="F31" s="17">
        <f t="shared" si="2"/>
        <v>194.26351274140097</v>
      </c>
      <c r="G31" s="16">
        <v>17000</v>
      </c>
      <c r="H31" s="5">
        <f t="shared" si="0"/>
        <v>0</v>
      </c>
      <c r="I31" s="30">
        <v>400000</v>
      </c>
      <c r="J31" s="30" t="s">
        <v>83</v>
      </c>
      <c r="K31" s="84" t="s">
        <v>93</v>
      </c>
      <c r="L31" s="48"/>
      <c r="M31" s="40"/>
    </row>
    <row r="32" spans="1:17" ht="15" x14ac:dyDescent="0.25">
      <c r="A32" s="1">
        <v>23</v>
      </c>
      <c r="B32" s="1" t="s">
        <v>13</v>
      </c>
      <c r="C32" s="15">
        <v>3712</v>
      </c>
      <c r="D32" s="16">
        <v>25000</v>
      </c>
      <c r="E32" s="1" t="s">
        <v>80</v>
      </c>
      <c r="F32" s="17">
        <f t="shared" si="2"/>
        <v>285.6816363844132</v>
      </c>
      <c r="G32" s="16">
        <v>25000</v>
      </c>
      <c r="H32" s="5">
        <f t="shared" si="0"/>
        <v>0</v>
      </c>
      <c r="I32" s="30">
        <v>200000</v>
      </c>
      <c r="J32" s="30" t="s">
        <v>84</v>
      </c>
      <c r="K32" s="84" t="s">
        <v>93</v>
      </c>
      <c r="L32" s="48"/>
      <c r="M32" s="40"/>
    </row>
    <row r="33" spans="1:14" ht="15" x14ac:dyDescent="0.25">
      <c r="A33" s="1">
        <v>24</v>
      </c>
      <c r="B33" s="1" t="s">
        <v>13</v>
      </c>
      <c r="C33" s="15">
        <v>8665</v>
      </c>
      <c r="D33" s="16">
        <v>23000</v>
      </c>
      <c r="E33" s="1" t="s">
        <v>80</v>
      </c>
      <c r="F33" s="17">
        <f t="shared" si="2"/>
        <v>262.82710547366014</v>
      </c>
      <c r="G33" s="16">
        <v>23000</v>
      </c>
      <c r="H33" s="5">
        <f t="shared" si="0"/>
        <v>0</v>
      </c>
      <c r="I33" s="30">
        <v>200000</v>
      </c>
      <c r="J33" s="30" t="s">
        <v>85</v>
      </c>
      <c r="K33" s="84" t="s">
        <v>93</v>
      </c>
      <c r="L33" s="48"/>
      <c r="M33" s="40"/>
      <c r="N33" s="45"/>
    </row>
    <row r="34" spans="1:14" ht="15" x14ac:dyDescent="0.25">
      <c r="A34" s="1">
        <v>25</v>
      </c>
      <c r="B34" s="1" t="s">
        <v>13</v>
      </c>
      <c r="C34" s="15">
        <v>9599</v>
      </c>
      <c r="D34" s="16">
        <v>30000</v>
      </c>
      <c r="E34" s="1" t="s">
        <v>80</v>
      </c>
      <c r="F34" s="17">
        <f t="shared" si="2"/>
        <v>342.81796366129583</v>
      </c>
      <c r="G34" s="16">
        <v>30000</v>
      </c>
      <c r="H34" s="5">
        <f t="shared" si="0"/>
        <v>0</v>
      </c>
      <c r="I34" s="30">
        <v>200000</v>
      </c>
      <c r="J34" s="30" t="s">
        <v>87</v>
      </c>
      <c r="K34" s="84" t="s">
        <v>93</v>
      </c>
      <c r="L34" s="48"/>
      <c r="M34" s="40"/>
    </row>
    <row r="35" spans="1:14" ht="15" x14ac:dyDescent="0.25">
      <c r="A35" s="1">
        <v>26</v>
      </c>
      <c r="B35" s="1" t="s">
        <v>13</v>
      </c>
      <c r="C35" s="15">
        <v>1152</v>
      </c>
      <c r="D35" s="16">
        <v>12000</v>
      </c>
      <c r="E35" s="1" t="s">
        <v>80</v>
      </c>
      <c r="F35" s="17">
        <f t="shared" si="2"/>
        <v>137.12718546451833</v>
      </c>
      <c r="G35" s="16">
        <v>12000</v>
      </c>
      <c r="H35" s="5">
        <f t="shared" si="0"/>
        <v>0</v>
      </c>
      <c r="I35" s="30">
        <v>100000</v>
      </c>
      <c r="J35" s="30" t="s">
        <v>88</v>
      </c>
      <c r="K35" s="84" t="s">
        <v>93</v>
      </c>
      <c r="L35" s="48"/>
      <c r="M35" s="40"/>
    </row>
    <row r="36" spans="1:14" ht="15" x14ac:dyDescent="0.25">
      <c r="A36" s="1">
        <v>27</v>
      </c>
      <c r="B36" s="1" t="s">
        <v>13</v>
      </c>
      <c r="C36" s="15">
        <v>6865</v>
      </c>
      <c r="D36" s="16">
        <v>20000</v>
      </c>
      <c r="E36" s="1" t="s">
        <v>80</v>
      </c>
      <c r="F36" s="17">
        <f t="shared" si="2"/>
        <v>228.54530910753056</v>
      </c>
      <c r="G36" s="16">
        <v>20000</v>
      </c>
      <c r="H36" s="5">
        <f t="shared" si="0"/>
        <v>0</v>
      </c>
      <c r="I36" s="30">
        <v>100000</v>
      </c>
      <c r="J36" s="30" t="s">
        <v>89</v>
      </c>
      <c r="K36" s="84" t="s">
        <v>93</v>
      </c>
      <c r="L36" s="45"/>
      <c r="M36" s="40"/>
    </row>
    <row r="37" spans="1:14" ht="15" x14ac:dyDescent="0.25">
      <c r="A37" s="1">
        <v>28</v>
      </c>
      <c r="B37" s="1" t="s">
        <v>13</v>
      </c>
      <c r="C37" s="15">
        <v>8634</v>
      </c>
      <c r="D37" s="16">
        <v>20000</v>
      </c>
      <c r="E37" s="1" t="s">
        <v>80</v>
      </c>
      <c r="F37" s="17">
        <f t="shared" si="2"/>
        <v>228.54530910753056</v>
      </c>
      <c r="G37" s="16">
        <v>20000</v>
      </c>
      <c r="H37" s="5">
        <f t="shared" si="0"/>
        <v>0</v>
      </c>
      <c r="I37" s="30">
        <v>400000</v>
      </c>
      <c r="J37" s="30" t="s">
        <v>92</v>
      </c>
      <c r="K37" s="84" t="s">
        <v>93</v>
      </c>
      <c r="L37" s="48"/>
      <c r="M37" s="48"/>
      <c r="N37" s="45"/>
    </row>
    <row r="38" spans="1:14" ht="15" x14ac:dyDescent="0.25">
      <c r="A38" s="1">
        <v>29</v>
      </c>
      <c r="B38" s="1" t="s">
        <v>13</v>
      </c>
      <c r="C38" s="15">
        <v>8786</v>
      </c>
      <c r="D38" s="16">
        <v>22000</v>
      </c>
      <c r="E38" s="1" t="s">
        <v>80</v>
      </c>
      <c r="F38" s="17">
        <f t="shared" si="2"/>
        <v>251.39984001828361</v>
      </c>
      <c r="G38" s="16">
        <v>22000</v>
      </c>
      <c r="H38" s="5">
        <f t="shared" si="0"/>
        <v>0</v>
      </c>
      <c r="I38" s="30">
        <v>400000</v>
      </c>
      <c r="J38" s="30" t="s">
        <v>96</v>
      </c>
      <c r="K38" s="84" t="s">
        <v>93</v>
      </c>
      <c r="L38" s="48"/>
      <c r="M38" s="40"/>
    </row>
    <row r="39" spans="1:14" ht="15" x14ac:dyDescent="0.25">
      <c r="A39" s="1">
        <v>30</v>
      </c>
      <c r="B39" s="1" t="s">
        <v>14</v>
      </c>
      <c r="C39" s="15">
        <v>8369</v>
      </c>
      <c r="D39" s="16">
        <v>22000</v>
      </c>
      <c r="E39" s="1" t="s">
        <v>80</v>
      </c>
      <c r="F39" s="17">
        <f>D39/88.31</f>
        <v>249.12240969312649</v>
      </c>
      <c r="G39" s="16">
        <v>22000</v>
      </c>
      <c r="H39" s="5">
        <f t="shared" si="0"/>
        <v>0</v>
      </c>
      <c r="I39" s="30">
        <v>200000</v>
      </c>
      <c r="J39" s="30" t="s">
        <v>100</v>
      </c>
      <c r="K39" s="84" t="s">
        <v>93</v>
      </c>
      <c r="L39" s="48"/>
      <c r="M39" s="40"/>
    </row>
    <row r="40" spans="1:14" ht="15" x14ac:dyDescent="0.25">
      <c r="A40" s="1">
        <v>31</v>
      </c>
      <c r="B40" s="1" t="s">
        <v>14</v>
      </c>
      <c r="C40" s="15">
        <v>7021</v>
      </c>
      <c r="D40" s="16">
        <v>22000</v>
      </c>
      <c r="E40" s="1" t="s">
        <v>80</v>
      </c>
      <c r="F40" s="17">
        <f t="shared" ref="F40:F49" si="3">D40/88.31</f>
        <v>249.12240969312649</v>
      </c>
      <c r="G40" s="16">
        <v>22000</v>
      </c>
      <c r="H40" s="5">
        <f t="shared" si="0"/>
        <v>0</v>
      </c>
      <c r="I40" s="30">
        <v>200000</v>
      </c>
      <c r="J40" s="30" t="s">
        <v>104</v>
      </c>
      <c r="K40" s="84" t="s">
        <v>93</v>
      </c>
      <c r="L40" s="48"/>
      <c r="M40" s="40"/>
    </row>
    <row r="41" spans="1:14" ht="15" x14ac:dyDescent="0.25">
      <c r="A41" s="1">
        <v>32</v>
      </c>
      <c r="B41" s="1" t="s">
        <v>14</v>
      </c>
      <c r="C41" s="15">
        <v>5781</v>
      </c>
      <c r="D41" s="16">
        <v>40000</v>
      </c>
      <c r="E41" s="1" t="s">
        <v>80</v>
      </c>
      <c r="F41" s="17">
        <f t="shared" si="3"/>
        <v>452.94983580568453</v>
      </c>
      <c r="G41" s="16">
        <v>40000</v>
      </c>
      <c r="H41" s="5">
        <f t="shared" si="0"/>
        <v>0</v>
      </c>
      <c r="I41" s="30">
        <v>200000</v>
      </c>
      <c r="J41" s="30" t="s">
        <v>106</v>
      </c>
      <c r="K41" s="84" t="s">
        <v>93</v>
      </c>
      <c r="L41" s="48"/>
      <c r="M41" s="40"/>
    </row>
    <row r="42" spans="1:14" ht="15" x14ac:dyDescent="0.25">
      <c r="A42" s="1">
        <v>33</v>
      </c>
      <c r="B42" s="1" t="s">
        <v>14</v>
      </c>
      <c r="C42" s="15">
        <v>1603</v>
      </c>
      <c r="D42" s="16">
        <v>22000</v>
      </c>
      <c r="E42" s="1" t="s">
        <v>80</v>
      </c>
      <c r="F42" s="17">
        <f t="shared" si="3"/>
        <v>249.12240969312649</v>
      </c>
      <c r="G42" s="16">
        <v>22000</v>
      </c>
      <c r="H42" s="5">
        <f t="shared" si="0"/>
        <v>0</v>
      </c>
      <c r="I42" s="30">
        <v>200000</v>
      </c>
      <c r="J42" s="30" t="s">
        <v>107</v>
      </c>
      <c r="K42" s="84" t="s">
        <v>93</v>
      </c>
      <c r="L42" s="48"/>
      <c r="M42" s="38"/>
    </row>
    <row r="43" spans="1:14" ht="15" x14ac:dyDescent="0.25">
      <c r="A43" s="1">
        <v>34</v>
      </c>
      <c r="B43" s="1" t="s">
        <v>14</v>
      </c>
      <c r="C43" s="15">
        <v>1404</v>
      </c>
      <c r="D43" s="16">
        <v>18000</v>
      </c>
      <c r="E43" s="1" t="s">
        <v>80</v>
      </c>
      <c r="F43" s="17">
        <f t="shared" si="3"/>
        <v>203.82742611255802</v>
      </c>
      <c r="G43" s="16">
        <v>18000</v>
      </c>
      <c r="H43" s="5">
        <f t="shared" si="0"/>
        <v>0</v>
      </c>
      <c r="I43" s="30">
        <v>100000</v>
      </c>
      <c r="J43" s="30" t="s">
        <v>111</v>
      </c>
      <c r="K43" s="84" t="s">
        <v>93</v>
      </c>
      <c r="L43" s="48"/>
      <c r="M43" s="69"/>
    </row>
    <row r="44" spans="1:14" ht="15" x14ac:dyDescent="0.25">
      <c r="A44" s="1">
        <v>35</v>
      </c>
      <c r="B44" s="1" t="s">
        <v>14</v>
      </c>
      <c r="C44" s="15">
        <v>3292</v>
      </c>
      <c r="D44" s="16">
        <v>10000</v>
      </c>
      <c r="E44" s="1" t="s">
        <v>80</v>
      </c>
      <c r="F44" s="17">
        <f t="shared" si="3"/>
        <v>113.23745895142113</v>
      </c>
      <c r="G44" s="16">
        <v>10000</v>
      </c>
      <c r="H44" s="5">
        <f t="shared" si="0"/>
        <v>0</v>
      </c>
      <c r="I44" s="30">
        <v>100000</v>
      </c>
      <c r="J44" s="30" t="s">
        <v>112</v>
      </c>
      <c r="K44" s="84" t="s">
        <v>93</v>
      </c>
      <c r="L44" s="48"/>
      <c r="M44" s="38"/>
    </row>
    <row r="45" spans="1:14" ht="15" x14ac:dyDescent="0.25">
      <c r="A45" s="1">
        <v>36</v>
      </c>
      <c r="B45" s="1" t="s">
        <v>14</v>
      </c>
      <c r="C45" s="15">
        <v>2111</v>
      </c>
      <c r="D45" s="16">
        <v>30000</v>
      </c>
      <c r="E45" s="1" t="s">
        <v>80</v>
      </c>
      <c r="F45" s="17">
        <f t="shared" si="3"/>
        <v>339.71237685426337</v>
      </c>
      <c r="G45" s="16">
        <v>30000</v>
      </c>
      <c r="H45" s="5">
        <f t="shared" si="0"/>
        <v>0</v>
      </c>
      <c r="I45" s="30">
        <v>100000</v>
      </c>
      <c r="J45" s="30" t="s">
        <v>114</v>
      </c>
      <c r="K45" s="84" t="s">
        <v>93</v>
      </c>
      <c r="L45" s="48"/>
      <c r="M45" s="48"/>
    </row>
    <row r="46" spans="1:14" ht="15" x14ac:dyDescent="0.25">
      <c r="A46" s="1">
        <v>37</v>
      </c>
      <c r="B46" s="1" t="s">
        <v>14</v>
      </c>
      <c r="C46" s="15">
        <v>3411</v>
      </c>
      <c r="D46" s="16">
        <v>30000</v>
      </c>
      <c r="E46" s="1" t="s">
        <v>80</v>
      </c>
      <c r="F46" s="17">
        <f t="shared" si="3"/>
        <v>339.71237685426337</v>
      </c>
      <c r="G46" s="16">
        <v>30000</v>
      </c>
      <c r="H46" s="5">
        <f t="shared" si="0"/>
        <v>0</v>
      </c>
      <c r="I46" s="30">
        <v>100000</v>
      </c>
      <c r="J46" s="30" t="s">
        <v>115</v>
      </c>
      <c r="K46" s="84" t="s">
        <v>93</v>
      </c>
      <c r="L46" s="48"/>
      <c r="M46" s="40"/>
    </row>
    <row r="47" spans="1:14" ht="15" x14ac:dyDescent="0.25">
      <c r="A47" s="1">
        <v>38</v>
      </c>
      <c r="B47" s="1" t="s">
        <v>14</v>
      </c>
      <c r="C47" s="15">
        <v>3873</v>
      </c>
      <c r="D47" s="16">
        <v>25000</v>
      </c>
      <c r="E47" s="1" t="s">
        <v>80</v>
      </c>
      <c r="F47" s="17">
        <f t="shared" si="3"/>
        <v>283.09364737855282</v>
      </c>
      <c r="G47" s="16">
        <v>25000</v>
      </c>
      <c r="H47" s="5">
        <f t="shared" si="0"/>
        <v>0</v>
      </c>
      <c r="I47" s="30">
        <v>200000</v>
      </c>
      <c r="J47" s="30" t="s">
        <v>117</v>
      </c>
      <c r="K47" s="84" t="s">
        <v>93</v>
      </c>
      <c r="L47" s="48"/>
      <c r="M47" s="40"/>
    </row>
    <row r="48" spans="1:14" ht="15" x14ac:dyDescent="0.25">
      <c r="A48" s="1">
        <v>39</v>
      </c>
      <c r="B48" s="1" t="s">
        <v>14</v>
      </c>
      <c r="C48" s="15">
        <v>3505</v>
      </c>
      <c r="D48" s="16">
        <v>29000</v>
      </c>
      <c r="E48" s="1" t="s">
        <v>80</v>
      </c>
      <c r="F48" s="17">
        <f t="shared" si="3"/>
        <v>328.38863095912126</v>
      </c>
      <c r="G48" s="16">
        <v>29000</v>
      </c>
      <c r="H48" s="5">
        <f t="shared" si="0"/>
        <v>0</v>
      </c>
      <c r="I48" s="30">
        <v>300000</v>
      </c>
      <c r="J48" s="30" t="s">
        <v>120</v>
      </c>
      <c r="K48" s="84" t="s">
        <v>93</v>
      </c>
      <c r="L48" s="48"/>
      <c r="M48" s="40"/>
    </row>
    <row r="49" spans="1:13" ht="15" x14ac:dyDescent="0.25">
      <c r="A49" s="1">
        <v>40</v>
      </c>
      <c r="B49" s="1" t="s">
        <v>14</v>
      </c>
      <c r="C49" s="15">
        <v>7009</v>
      </c>
      <c r="D49" s="16">
        <v>28000</v>
      </c>
      <c r="E49" s="1" t="s">
        <v>80</v>
      </c>
      <c r="F49" s="17">
        <f t="shared" si="3"/>
        <v>317.06488506397915</v>
      </c>
      <c r="G49" s="16">
        <v>28000</v>
      </c>
      <c r="H49" s="5">
        <f t="shared" si="0"/>
        <v>0</v>
      </c>
      <c r="I49" s="30">
        <v>200000</v>
      </c>
      <c r="J49" s="30" t="s">
        <v>122</v>
      </c>
      <c r="K49" s="84" t="s">
        <v>93</v>
      </c>
      <c r="L49" s="48"/>
      <c r="M49" s="40"/>
    </row>
    <row r="50" spans="1:13" ht="15" x14ac:dyDescent="0.25">
      <c r="A50" s="1">
        <v>41</v>
      </c>
      <c r="B50" s="1" t="s">
        <v>15</v>
      </c>
      <c r="C50" s="15">
        <v>2982</v>
      </c>
      <c r="D50" s="16">
        <v>21000</v>
      </c>
      <c r="E50" s="1" t="s">
        <v>80</v>
      </c>
      <c r="F50" s="17">
        <f>D50/88.31</f>
        <v>237.79866379798437</v>
      </c>
      <c r="G50" s="16">
        <v>21000</v>
      </c>
      <c r="H50" s="5">
        <f t="shared" ref="H50:H81" si="4">D50-G50</f>
        <v>0</v>
      </c>
      <c r="I50" s="30">
        <v>300000</v>
      </c>
      <c r="J50" s="30" t="s">
        <v>123</v>
      </c>
      <c r="K50" s="84" t="s">
        <v>93</v>
      </c>
      <c r="L50" s="48"/>
      <c r="M50" s="40"/>
    </row>
    <row r="51" spans="1:13" ht="15" x14ac:dyDescent="0.25">
      <c r="A51" s="1">
        <v>42</v>
      </c>
      <c r="B51" s="1" t="s">
        <v>15</v>
      </c>
      <c r="C51" s="15">
        <v>2312</v>
      </c>
      <c r="D51" s="16">
        <v>22000</v>
      </c>
      <c r="E51" s="1" t="s">
        <v>80</v>
      </c>
      <c r="F51" s="17">
        <f t="shared" ref="F51:F58" si="5">D51/88.31</f>
        <v>249.12240969312649</v>
      </c>
      <c r="G51" s="16">
        <v>22000</v>
      </c>
      <c r="H51" s="5">
        <f t="shared" si="4"/>
        <v>0</v>
      </c>
      <c r="I51" s="30">
        <v>400000</v>
      </c>
      <c r="J51" s="30" t="s">
        <v>124</v>
      </c>
      <c r="K51" s="84" t="s">
        <v>93</v>
      </c>
      <c r="L51" s="48"/>
      <c r="M51" s="40"/>
    </row>
    <row r="52" spans="1:13" ht="15" x14ac:dyDescent="0.25">
      <c r="A52" s="1">
        <v>43</v>
      </c>
      <c r="B52" s="1" t="s">
        <v>15</v>
      </c>
      <c r="C52" s="15">
        <v>4131</v>
      </c>
      <c r="D52" s="16">
        <v>24000</v>
      </c>
      <c r="E52" s="1" t="s">
        <v>80</v>
      </c>
      <c r="F52" s="17">
        <f t="shared" si="5"/>
        <v>271.76990148341071</v>
      </c>
      <c r="G52" s="16">
        <v>24000</v>
      </c>
      <c r="H52" s="5">
        <f t="shared" si="4"/>
        <v>0</v>
      </c>
      <c r="I52" s="30">
        <v>600000</v>
      </c>
      <c r="J52" s="30" t="s">
        <v>126</v>
      </c>
      <c r="K52" s="84" t="s">
        <v>93</v>
      </c>
      <c r="L52" s="48"/>
      <c r="M52" s="40"/>
    </row>
    <row r="53" spans="1:13" ht="15" x14ac:dyDescent="0.25">
      <c r="A53" s="1">
        <v>44</v>
      </c>
      <c r="B53" s="1" t="s">
        <v>15</v>
      </c>
      <c r="C53" s="27">
        <v>326</v>
      </c>
      <c r="D53" s="16">
        <v>20000</v>
      </c>
      <c r="E53" s="1" t="s">
        <v>80</v>
      </c>
      <c r="F53" s="17">
        <f t="shared" si="5"/>
        <v>226.47491790284226</v>
      </c>
      <c r="G53" s="16">
        <v>20000</v>
      </c>
      <c r="H53" s="5">
        <f t="shared" si="4"/>
        <v>0</v>
      </c>
      <c r="I53" s="30">
        <v>400000</v>
      </c>
      <c r="J53" s="30" t="s">
        <v>127</v>
      </c>
      <c r="K53" s="84" t="s">
        <v>93</v>
      </c>
      <c r="L53" s="48"/>
      <c r="M53" s="40"/>
    </row>
    <row r="54" spans="1:13" ht="15" x14ac:dyDescent="0.25">
      <c r="A54" s="1">
        <v>45</v>
      </c>
      <c r="B54" s="1" t="s">
        <v>15</v>
      </c>
      <c r="C54" s="15">
        <v>7392</v>
      </c>
      <c r="D54" s="16">
        <v>28000</v>
      </c>
      <c r="E54" s="1" t="s">
        <v>80</v>
      </c>
      <c r="F54" s="17">
        <f t="shared" si="5"/>
        <v>317.06488506397915</v>
      </c>
      <c r="G54" s="16">
        <v>28000</v>
      </c>
      <c r="H54" s="5">
        <f t="shared" si="4"/>
        <v>0</v>
      </c>
      <c r="I54" s="30">
        <v>250000</v>
      </c>
      <c r="J54" s="30" t="s">
        <v>128</v>
      </c>
      <c r="K54" s="84" t="s">
        <v>93</v>
      </c>
      <c r="L54" s="48"/>
      <c r="M54" s="40"/>
    </row>
    <row r="55" spans="1:13" ht="15" x14ac:dyDescent="0.25">
      <c r="A55" s="1">
        <v>46</v>
      </c>
      <c r="B55" s="1" t="s">
        <v>15</v>
      </c>
      <c r="C55" s="15">
        <v>7898</v>
      </c>
      <c r="D55" s="16">
        <v>22000</v>
      </c>
      <c r="E55" s="1" t="s">
        <v>80</v>
      </c>
      <c r="F55" s="17">
        <f t="shared" si="5"/>
        <v>249.12240969312649</v>
      </c>
      <c r="G55" s="16">
        <v>22000</v>
      </c>
      <c r="H55" s="5">
        <f t="shared" si="4"/>
        <v>0</v>
      </c>
      <c r="I55" s="30">
        <v>300000</v>
      </c>
      <c r="J55" s="30" t="s">
        <v>129</v>
      </c>
      <c r="K55" s="84" t="s">
        <v>93</v>
      </c>
      <c r="L55" s="45"/>
    </row>
    <row r="56" spans="1:13" ht="15" x14ac:dyDescent="0.25">
      <c r="A56" s="1">
        <v>47</v>
      </c>
      <c r="B56" s="1" t="s">
        <v>15</v>
      </c>
      <c r="C56" s="15">
        <v>2311</v>
      </c>
      <c r="D56" s="16">
        <v>15000</v>
      </c>
      <c r="E56" s="1" t="s">
        <v>80</v>
      </c>
      <c r="F56" s="17">
        <f t="shared" si="5"/>
        <v>169.85618842713168</v>
      </c>
      <c r="G56" s="16">
        <v>15000</v>
      </c>
      <c r="H56" s="5">
        <f t="shared" si="4"/>
        <v>0</v>
      </c>
      <c r="I56" s="30">
        <v>350000</v>
      </c>
      <c r="J56" s="30" t="s">
        <v>131</v>
      </c>
      <c r="K56" s="84" t="s">
        <v>93</v>
      </c>
      <c r="L56" s="45"/>
    </row>
    <row r="57" spans="1:13" ht="15" x14ac:dyDescent="0.25">
      <c r="A57" s="1">
        <v>48</v>
      </c>
      <c r="B57" s="1" t="s">
        <v>15</v>
      </c>
      <c r="C57" s="15">
        <v>2328</v>
      </c>
      <c r="D57" s="16">
        <v>20000</v>
      </c>
      <c r="E57" s="1" t="s">
        <v>80</v>
      </c>
      <c r="F57" s="17">
        <f t="shared" si="5"/>
        <v>226.47491790284226</v>
      </c>
      <c r="G57" s="16">
        <v>20000</v>
      </c>
      <c r="H57" s="5">
        <f t="shared" si="4"/>
        <v>0</v>
      </c>
      <c r="I57" s="30">
        <v>300000</v>
      </c>
      <c r="J57" s="30" t="s">
        <v>132</v>
      </c>
      <c r="K57" s="84" t="s">
        <v>93</v>
      </c>
      <c r="L57" s="45"/>
    </row>
    <row r="58" spans="1:13" ht="15" x14ac:dyDescent="0.25">
      <c r="A58" s="1">
        <v>49</v>
      </c>
      <c r="B58" s="1" t="s">
        <v>15</v>
      </c>
      <c r="C58" s="15">
        <v>8144</v>
      </c>
      <c r="D58" s="16">
        <v>21000</v>
      </c>
      <c r="E58" s="1" t="s">
        <v>80</v>
      </c>
      <c r="F58" s="17">
        <f t="shared" si="5"/>
        <v>237.79866379798437</v>
      </c>
      <c r="G58" s="16">
        <v>21000</v>
      </c>
      <c r="H58" s="5">
        <f t="shared" si="4"/>
        <v>0</v>
      </c>
      <c r="I58" s="30">
        <v>500000</v>
      </c>
      <c r="J58" s="30" t="s">
        <v>134</v>
      </c>
      <c r="K58" s="84" t="s">
        <v>93</v>
      </c>
      <c r="L58" s="45"/>
    </row>
    <row r="59" spans="1:13" ht="15" x14ac:dyDescent="0.25">
      <c r="A59" s="1">
        <v>50</v>
      </c>
      <c r="B59" s="1" t="s">
        <v>16</v>
      </c>
      <c r="C59" s="15">
        <v>3292</v>
      </c>
      <c r="D59" s="28">
        <v>5000</v>
      </c>
      <c r="E59" s="1" t="s">
        <v>80</v>
      </c>
      <c r="F59" s="17">
        <f>D59/89.11</f>
        <v>56.110425317023903</v>
      </c>
      <c r="G59" s="1">
        <v>5000</v>
      </c>
      <c r="H59" s="5">
        <f t="shared" si="4"/>
        <v>0</v>
      </c>
      <c r="I59" s="30">
        <v>250000</v>
      </c>
      <c r="J59" s="30" t="s">
        <v>136</v>
      </c>
      <c r="K59" s="84" t="s">
        <v>93</v>
      </c>
      <c r="L59" s="45"/>
    </row>
    <row r="60" spans="1:13" ht="15" x14ac:dyDescent="0.25">
      <c r="A60" s="1">
        <v>51</v>
      </c>
      <c r="B60" s="1" t="s">
        <v>16</v>
      </c>
      <c r="C60" s="15">
        <v>9109</v>
      </c>
      <c r="D60" s="28">
        <v>5000</v>
      </c>
      <c r="E60" s="1" t="s">
        <v>80</v>
      </c>
      <c r="F60" s="17">
        <f t="shared" ref="F60:F74" si="6">D60/89.11</f>
        <v>56.110425317023903</v>
      </c>
      <c r="G60" s="16">
        <v>5000</v>
      </c>
      <c r="H60" s="5">
        <f t="shared" si="4"/>
        <v>0</v>
      </c>
      <c r="I60" s="30">
        <v>300000</v>
      </c>
      <c r="J60" s="30" t="s">
        <v>137</v>
      </c>
      <c r="K60" s="84" t="s">
        <v>93</v>
      </c>
      <c r="L60" s="45"/>
    </row>
    <row r="61" spans="1:13" ht="15" x14ac:dyDescent="0.25">
      <c r="A61" s="1">
        <v>52</v>
      </c>
      <c r="B61" s="1" t="s">
        <v>16</v>
      </c>
      <c r="C61" s="15">
        <v>3053</v>
      </c>
      <c r="D61" s="28">
        <v>20000</v>
      </c>
      <c r="E61" s="1" t="s">
        <v>80</v>
      </c>
      <c r="F61" s="17">
        <f t="shared" si="6"/>
        <v>224.44170126809561</v>
      </c>
      <c r="G61" s="16">
        <v>20000</v>
      </c>
      <c r="H61" s="5">
        <f t="shared" si="4"/>
        <v>0</v>
      </c>
      <c r="I61" s="111">
        <v>71719</v>
      </c>
      <c r="J61" s="111" t="s">
        <v>126</v>
      </c>
      <c r="K61" s="112" t="s">
        <v>150</v>
      </c>
      <c r="L61" s="215"/>
      <c r="M61" s="113"/>
    </row>
    <row r="62" spans="1:13" ht="15" x14ac:dyDescent="0.25">
      <c r="A62" s="1">
        <v>53</v>
      </c>
      <c r="B62" s="1" t="s">
        <v>16</v>
      </c>
      <c r="C62" s="15">
        <v>2548</v>
      </c>
      <c r="D62" s="28">
        <v>10000</v>
      </c>
      <c r="E62" s="1" t="s">
        <v>80</v>
      </c>
      <c r="F62" s="17">
        <f t="shared" si="6"/>
        <v>112.22085063404781</v>
      </c>
      <c r="G62" s="16">
        <v>10000</v>
      </c>
      <c r="H62" s="5">
        <f t="shared" si="4"/>
        <v>0</v>
      </c>
      <c r="I62" s="30">
        <v>200000</v>
      </c>
      <c r="J62" s="30" t="s">
        <v>139</v>
      </c>
      <c r="K62" s="84" t="s">
        <v>438</v>
      </c>
      <c r="L62" s="45"/>
    </row>
    <row r="63" spans="1:13" ht="15" x14ac:dyDescent="0.25">
      <c r="A63" s="1">
        <v>54</v>
      </c>
      <c r="B63" s="1" t="s">
        <v>16</v>
      </c>
      <c r="C63" s="15">
        <v>3294</v>
      </c>
      <c r="D63" s="28">
        <v>20000</v>
      </c>
      <c r="E63" s="1" t="s">
        <v>80</v>
      </c>
      <c r="F63" s="17">
        <f t="shared" si="6"/>
        <v>224.44170126809561</v>
      </c>
      <c r="G63" s="16">
        <v>20000</v>
      </c>
      <c r="H63" s="5">
        <f t="shared" si="4"/>
        <v>0</v>
      </c>
      <c r="I63" s="30">
        <v>100000</v>
      </c>
      <c r="J63" s="30" t="s">
        <v>140</v>
      </c>
      <c r="K63" s="84" t="s">
        <v>438</v>
      </c>
      <c r="L63" s="45"/>
    </row>
    <row r="64" spans="1:13" ht="15" x14ac:dyDescent="0.25">
      <c r="A64" s="1">
        <v>55</v>
      </c>
      <c r="B64" s="1" t="s">
        <v>16</v>
      </c>
      <c r="C64" s="15">
        <v>4136</v>
      </c>
      <c r="D64" s="28">
        <v>32000</v>
      </c>
      <c r="E64" s="1" t="s">
        <v>80</v>
      </c>
      <c r="F64" s="17">
        <f t="shared" si="6"/>
        <v>359.10672202895296</v>
      </c>
      <c r="G64" s="16">
        <v>32000</v>
      </c>
      <c r="H64" s="5">
        <f t="shared" si="4"/>
        <v>0</v>
      </c>
      <c r="I64" s="30">
        <v>150000</v>
      </c>
      <c r="J64" s="30" t="s">
        <v>151</v>
      </c>
      <c r="K64" s="84" t="s">
        <v>438</v>
      </c>
      <c r="L64" s="45"/>
    </row>
    <row r="65" spans="1:12" ht="15" x14ac:dyDescent="0.25">
      <c r="A65" s="1">
        <v>56</v>
      </c>
      <c r="B65" s="1" t="s">
        <v>16</v>
      </c>
      <c r="C65" s="15">
        <v>4453</v>
      </c>
      <c r="D65" s="28">
        <v>27000</v>
      </c>
      <c r="E65" s="1" t="s">
        <v>80</v>
      </c>
      <c r="F65" s="17">
        <f t="shared" si="6"/>
        <v>302.99629671192906</v>
      </c>
      <c r="G65" s="16">
        <v>27000</v>
      </c>
      <c r="H65" s="5">
        <f t="shared" si="4"/>
        <v>0</v>
      </c>
      <c r="I65" s="30">
        <v>150000</v>
      </c>
      <c r="J65" s="30" t="s">
        <v>154</v>
      </c>
      <c r="K65" s="84" t="s">
        <v>438</v>
      </c>
      <c r="L65" s="45"/>
    </row>
    <row r="66" spans="1:12" ht="15" x14ac:dyDescent="0.25">
      <c r="A66" s="1">
        <v>57</v>
      </c>
      <c r="B66" s="1" t="s">
        <v>16</v>
      </c>
      <c r="C66" s="15">
        <v>5172</v>
      </c>
      <c r="D66" s="28">
        <v>20000</v>
      </c>
      <c r="E66" s="1" t="s">
        <v>80</v>
      </c>
      <c r="F66" s="17">
        <f t="shared" si="6"/>
        <v>224.44170126809561</v>
      </c>
      <c r="G66" s="16">
        <v>20000</v>
      </c>
      <c r="H66" s="5">
        <f t="shared" si="4"/>
        <v>0</v>
      </c>
      <c r="I66" s="30">
        <v>150000</v>
      </c>
      <c r="J66" s="30" t="s">
        <v>155</v>
      </c>
      <c r="K66" s="84" t="s">
        <v>438</v>
      </c>
      <c r="L66" s="45"/>
    </row>
    <row r="67" spans="1:12" ht="15" x14ac:dyDescent="0.25">
      <c r="A67" s="1">
        <v>58</v>
      </c>
      <c r="B67" s="1" t="s">
        <v>16</v>
      </c>
      <c r="C67" s="15">
        <v>6403</v>
      </c>
      <c r="D67" s="28">
        <v>40000</v>
      </c>
      <c r="E67" s="1" t="s">
        <v>80</v>
      </c>
      <c r="F67" s="17">
        <f t="shared" si="6"/>
        <v>448.88340253619123</v>
      </c>
      <c r="G67" s="16">
        <v>40000</v>
      </c>
      <c r="H67" s="5">
        <f t="shared" si="4"/>
        <v>0</v>
      </c>
      <c r="I67" s="30">
        <v>150000</v>
      </c>
      <c r="J67" s="30" t="s">
        <v>156</v>
      </c>
      <c r="K67" s="84" t="s">
        <v>438</v>
      </c>
      <c r="L67" s="45"/>
    </row>
    <row r="68" spans="1:12" ht="15" x14ac:dyDescent="0.25">
      <c r="A68" s="1">
        <v>59</v>
      </c>
      <c r="B68" s="1" t="s">
        <v>16</v>
      </c>
      <c r="C68" s="15">
        <v>5055</v>
      </c>
      <c r="D68" s="28">
        <v>33000</v>
      </c>
      <c r="E68" s="1" t="s">
        <v>80</v>
      </c>
      <c r="F68" s="17">
        <f t="shared" si="6"/>
        <v>370.32880709235775</v>
      </c>
      <c r="G68" s="16">
        <v>33000</v>
      </c>
      <c r="H68" s="5">
        <f t="shared" si="4"/>
        <v>0</v>
      </c>
      <c r="I68" s="30">
        <v>200000</v>
      </c>
      <c r="J68" s="30" t="s">
        <v>157</v>
      </c>
      <c r="K68" s="84" t="s">
        <v>438</v>
      </c>
      <c r="L68" s="45"/>
    </row>
    <row r="69" spans="1:12" ht="15" x14ac:dyDescent="0.25">
      <c r="A69" s="1">
        <v>60</v>
      </c>
      <c r="B69" s="1" t="s">
        <v>16</v>
      </c>
      <c r="C69" s="15">
        <v>2704</v>
      </c>
      <c r="D69" s="28">
        <v>28000</v>
      </c>
      <c r="E69" s="1" t="s">
        <v>80</v>
      </c>
      <c r="F69" s="17">
        <f t="shared" si="6"/>
        <v>314.21838177533385</v>
      </c>
      <c r="G69" s="16">
        <v>28000</v>
      </c>
      <c r="H69" s="5">
        <f t="shared" si="4"/>
        <v>0</v>
      </c>
      <c r="I69" s="30">
        <v>300000</v>
      </c>
      <c r="J69" s="30" t="s">
        <v>159</v>
      </c>
      <c r="K69" s="84" t="s">
        <v>438</v>
      </c>
      <c r="L69" s="45"/>
    </row>
    <row r="70" spans="1:12" ht="15" x14ac:dyDescent="0.25">
      <c r="A70" s="1">
        <v>61</v>
      </c>
      <c r="B70" s="1" t="s">
        <v>16</v>
      </c>
      <c r="C70" s="15">
        <v>3549</v>
      </c>
      <c r="D70" s="28">
        <v>15000</v>
      </c>
      <c r="E70" s="1" t="s">
        <v>80</v>
      </c>
      <c r="F70" s="17">
        <f t="shared" si="6"/>
        <v>168.33127595107172</v>
      </c>
      <c r="G70" s="16">
        <v>15000</v>
      </c>
      <c r="H70" s="5">
        <f t="shared" si="4"/>
        <v>0</v>
      </c>
      <c r="I70" s="30">
        <v>300000</v>
      </c>
      <c r="J70" s="30" t="s">
        <v>158</v>
      </c>
      <c r="K70" s="84" t="s">
        <v>438</v>
      </c>
      <c r="L70" s="45"/>
    </row>
    <row r="71" spans="1:12" ht="15" x14ac:dyDescent="0.25">
      <c r="A71" s="1">
        <v>62</v>
      </c>
      <c r="B71" s="1" t="s">
        <v>16</v>
      </c>
      <c r="C71" s="15">
        <v>3317</v>
      </c>
      <c r="D71" s="28">
        <v>30000</v>
      </c>
      <c r="E71" s="1" t="s">
        <v>80</v>
      </c>
      <c r="F71" s="17">
        <f t="shared" si="6"/>
        <v>336.66255190214343</v>
      </c>
      <c r="G71" s="16">
        <v>30000</v>
      </c>
      <c r="H71" s="5">
        <f t="shared" si="4"/>
        <v>0</v>
      </c>
      <c r="I71" s="30">
        <v>600000</v>
      </c>
      <c r="J71" s="30" t="s">
        <v>161</v>
      </c>
      <c r="K71" s="84" t="s">
        <v>438</v>
      </c>
      <c r="L71" s="45"/>
    </row>
    <row r="72" spans="1:12" ht="15" x14ac:dyDescent="0.25">
      <c r="A72" s="1">
        <v>63</v>
      </c>
      <c r="B72" s="1" t="s">
        <v>16</v>
      </c>
      <c r="C72" s="15">
        <v>3763</v>
      </c>
      <c r="D72" s="28">
        <v>10000</v>
      </c>
      <c r="E72" s="1" t="s">
        <v>80</v>
      </c>
      <c r="F72" s="17">
        <f t="shared" si="6"/>
        <v>112.22085063404781</v>
      </c>
      <c r="G72" s="16">
        <v>10000</v>
      </c>
      <c r="H72" s="5">
        <f t="shared" si="4"/>
        <v>0</v>
      </c>
      <c r="I72" s="30">
        <v>300000</v>
      </c>
      <c r="J72" s="30" t="s">
        <v>162</v>
      </c>
      <c r="K72" s="84" t="s">
        <v>438</v>
      </c>
      <c r="L72" s="45"/>
    </row>
    <row r="73" spans="1:12" ht="15" x14ac:dyDescent="0.25">
      <c r="A73" s="1">
        <v>64</v>
      </c>
      <c r="B73" s="1" t="s">
        <v>16</v>
      </c>
      <c r="C73" s="15">
        <v>9221</v>
      </c>
      <c r="D73" s="28">
        <v>15000</v>
      </c>
      <c r="E73" s="1" t="s">
        <v>80</v>
      </c>
      <c r="F73" s="17">
        <f t="shared" si="6"/>
        <v>168.33127595107172</v>
      </c>
      <c r="G73" s="16">
        <v>15000</v>
      </c>
      <c r="H73" s="5">
        <f t="shared" si="4"/>
        <v>0</v>
      </c>
      <c r="I73" s="30">
        <v>200000</v>
      </c>
      <c r="J73" s="30" t="s">
        <v>163</v>
      </c>
      <c r="K73" s="84" t="s">
        <v>438</v>
      </c>
      <c r="L73" s="45"/>
    </row>
    <row r="74" spans="1:12" ht="15" x14ac:dyDescent="0.25">
      <c r="A74" s="1">
        <v>65</v>
      </c>
      <c r="B74" s="1" t="s">
        <v>16</v>
      </c>
      <c r="C74" s="15">
        <v>2421</v>
      </c>
      <c r="D74" s="28">
        <v>15000</v>
      </c>
      <c r="E74" s="1" t="s">
        <v>80</v>
      </c>
      <c r="F74" s="17">
        <f t="shared" si="6"/>
        <v>168.33127595107172</v>
      </c>
      <c r="G74" s="16">
        <v>15000</v>
      </c>
      <c r="H74" s="5">
        <f t="shared" si="4"/>
        <v>0</v>
      </c>
      <c r="I74" s="30">
        <v>600000</v>
      </c>
      <c r="J74" s="30" t="s">
        <v>164</v>
      </c>
      <c r="K74" s="84" t="s">
        <v>438</v>
      </c>
      <c r="L74" s="45"/>
    </row>
    <row r="75" spans="1:12" ht="15" x14ac:dyDescent="0.25">
      <c r="A75" s="1">
        <v>66</v>
      </c>
      <c r="B75" s="1" t="s">
        <v>18</v>
      </c>
      <c r="C75" s="15">
        <v>3697</v>
      </c>
      <c r="D75" s="28">
        <v>26000</v>
      </c>
      <c r="E75" s="1" t="s">
        <v>80</v>
      </c>
      <c r="F75" s="17">
        <f>D75/89.91</f>
        <v>289.17806695584477</v>
      </c>
      <c r="G75" s="16">
        <v>26000</v>
      </c>
      <c r="H75" s="5">
        <f t="shared" si="4"/>
        <v>0</v>
      </c>
      <c r="I75" s="30">
        <v>250000</v>
      </c>
      <c r="J75" s="30" t="s">
        <v>165</v>
      </c>
      <c r="K75" s="84" t="s">
        <v>438</v>
      </c>
      <c r="L75" s="45"/>
    </row>
    <row r="76" spans="1:12" ht="15" x14ac:dyDescent="0.25">
      <c r="A76" s="1">
        <v>67</v>
      </c>
      <c r="B76" s="1" t="s">
        <v>18</v>
      </c>
      <c r="C76" s="15">
        <v>2181</v>
      </c>
      <c r="D76" s="28">
        <v>25000</v>
      </c>
      <c r="E76" s="1" t="s">
        <v>80</v>
      </c>
      <c r="F76" s="17">
        <f t="shared" ref="F76:F88" si="7">D76/89.91</f>
        <v>278.05583361138918</v>
      </c>
      <c r="G76" s="16">
        <v>25000</v>
      </c>
      <c r="H76" s="5">
        <f t="shared" si="4"/>
        <v>0</v>
      </c>
      <c r="I76" s="30">
        <v>300000</v>
      </c>
      <c r="J76" s="30" t="s">
        <v>168</v>
      </c>
      <c r="K76" s="84" t="s">
        <v>438</v>
      </c>
      <c r="L76" s="45"/>
    </row>
    <row r="77" spans="1:12" ht="15" x14ac:dyDescent="0.25">
      <c r="A77" s="1">
        <v>68</v>
      </c>
      <c r="B77" s="1" t="s">
        <v>18</v>
      </c>
      <c r="C77" s="15">
        <v>2486</v>
      </c>
      <c r="D77" s="28">
        <v>28000</v>
      </c>
      <c r="E77" s="1" t="s">
        <v>80</v>
      </c>
      <c r="F77" s="17">
        <f t="shared" si="7"/>
        <v>311.4225336447559</v>
      </c>
      <c r="G77" s="16">
        <v>28000</v>
      </c>
      <c r="H77" s="5">
        <f t="shared" si="4"/>
        <v>0</v>
      </c>
      <c r="I77" s="30">
        <v>200000</v>
      </c>
      <c r="J77" s="30" t="s">
        <v>170</v>
      </c>
      <c r="K77" s="84" t="s">
        <v>438</v>
      </c>
      <c r="L77" s="45"/>
    </row>
    <row r="78" spans="1:12" ht="15" x14ac:dyDescent="0.25">
      <c r="A78" s="1">
        <v>69</v>
      </c>
      <c r="B78" s="1" t="s">
        <v>18</v>
      </c>
      <c r="C78" s="15">
        <v>260</v>
      </c>
      <c r="D78" s="28">
        <v>22000</v>
      </c>
      <c r="E78" s="1" t="s">
        <v>80</v>
      </c>
      <c r="F78" s="17">
        <f t="shared" si="7"/>
        <v>244.68913357802248</v>
      </c>
      <c r="G78" s="16">
        <v>22000</v>
      </c>
      <c r="H78" s="5">
        <f t="shared" si="4"/>
        <v>0</v>
      </c>
      <c r="I78" s="30">
        <v>150000</v>
      </c>
      <c r="J78" s="30" t="s">
        <v>171</v>
      </c>
      <c r="K78" s="84" t="s">
        <v>438</v>
      </c>
      <c r="L78" s="45"/>
    </row>
    <row r="79" spans="1:12" ht="15" x14ac:dyDescent="0.25">
      <c r="A79" s="1">
        <v>70</v>
      </c>
      <c r="B79" s="1" t="s">
        <v>18</v>
      </c>
      <c r="C79" s="15">
        <v>7884</v>
      </c>
      <c r="D79" s="28">
        <v>22000</v>
      </c>
      <c r="E79" s="1" t="s">
        <v>80</v>
      </c>
      <c r="F79" s="17">
        <f t="shared" si="7"/>
        <v>244.68913357802248</v>
      </c>
      <c r="G79" s="16">
        <v>22000</v>
      </c>
      <c r="H79" s="5">
        <f t="shared" si="4"/>
        <v>0</v>
      </c>
      <c r="I79" s="30">
        <v>200000</v>
      </c>
      <c r="J79" s="30" t="s">
        <v>174</v>
      </c>
      <c r="K79" s="84" t="s">
        <v>438</v>
      </c>
      <c r="L79" s="45"/>
    </row>
    <row r="80" spans="1:12" ht="15" x14ac:dyDescent="0.25">
      <c r="A80" s="1">
        <v>71</v>
      </c>
      <c r="B80" s="1" t="s">
        <v>18</v>
      </c>
      <c r="C80" s="15">
        <v>7466</v>
      </c>
      <c r="D80" s="16">
        <v>8000</v>
      </c>
      <c r="E80" s="1" t="s">
        <v>80</v>
      </c>
      <c r="F80" s="17">
        <f t="shared" si="7"/>
        <v>88.977866755644541</v>
      </c>
      <c r="G80" s="16">
        <v>8000</v>
      </c>
      <c r="H80" s="5">
        <f t="shared" si="4"/>
        <v>0</v>
      </c>
      <c r="I80" s="30">
        <v>150000</v>
      </c>
      <c r="J80" s="30" t="s">
        <v>194</v>
      </c>
      <c r="K80" s="84" t="s">
        <v>438</v>
      </c>
      <c r="L80" s="45"/>
    </row>
    <row r="81" spans="1:13" ht="15" x14ac:dyDescent="0.25">
      <c r="A81" s="1">
        <v>72</v>
      </c>
      <c r="B81" s="1" t="s">
        <v>18</v>
      </c>
      <c r="C81" s="15">
        <v>9187</v>
      </c>
      <c r="D81" s="16">
        <v>32000</v>
      </c>
      <c r="E81" s="1" t="s">
        <v>80</v>
      </c>
      <c r="F81" s="17">
        <f t="shared" si="7"/>
        <v>355.91146702257817</v>
      </c>
      <c r="G81" s="16">
        <v>32000</v>
      </c>
      <c r="H81" s="5">
        <f t="shared" si="4"/>
        <v>0</v>
      </c>
      <c r="I81" s="30">
        <v>100000</v>
      </c>
      <c r="J81" s="30" t="s">
        <v>195</v>
      </c>
      <c r="K81" s="84" t="s">
        <v>438</v>
      </c>
      <c r="L81" s="45"/>
    </row>
    <row r="82" spans="1:13" ht="15" x14ac:dyDescent="0.25">
      <c r="A82" s="1">
        <v>73</v>
      </c>
      <c r="B82" s="1" t="s">
        <v>18</v>
      </c>
      <c r="C82" s="15">
        <v>7550</v>
      </c>
      <c r="D82" s="16">
        <v>18000</v>
      </c>
      <c r="E82" s="1" t="s">
        <v>80</v>
      </c>
      <c r="F82" s="17">
        <f t="shared" si="7"/>
        <v>200.20020020020021</v>
      </c>
      <c r="G82" s="16">
        <v>18000</v>
      </c>
      <c r="H82" s="5">
        <f t="shared" ref="H82:H109" si="8">D82-G82</f>
        <v>0</v>
      </c>
      <c r="I82" s="30">
        <v>200000</v>
      </c>
      <c r="J82" s="30" t="s">
        <v>196</v>
      </c>
      <c r="K82" s="84" t="s">
        <v>438</v>
      </c>
      <c r="L82" s="45"/>
    </row>
    <row r="83" spans="1:13" ht="15" x14ac:dyDescent="0.25">
      <c r="A83" s="1">
        <v>74</v>
      </c>
      <c r="B83" s="1" t="s">
        <v>18</v>
      </c>
      <c r="C83" s="15">
        <v>6183</v>
      </c>
      <c r="D83" s="16">
        <v>20000</v>
      </c>
      <c r="E83" s="1" t="s">
        <v>80</v>
      </c>
      <c r="F83" s="17">
        <f t="shared" si="7"/>
        <v>222.44466688911135</v>
      </c>
      <c r="G83" s="16">
        <v>20000</v>
      </c>
      <c r="H83" s="5">
        <f t="shared" si="8"/>
        <v>0</v>
      </c>
      <c r="I83" s="30">
        <v>200000</v>
      </c>
      <c r="J83" s="30" t="s">
        <v>198</v>
      </c>
      <c r="K83" s="84" t="s">
        <v>438</v>
      </c>
      <c r="L83" s="45"/>
    </row>
    <row r="84" spans="1:13" ht="15" x14ac:dyDescent="0.25">
      <c r="A84" s="1">
        <v>75</v>
      </c>
      <c r="B84" s="1" t="s">
        <v>18</v>
      </c>
      <c r="C84" s="15">
        <v>4713</v>
      </c>
      <c r="D84" s="16">
        <v>6000</v>
      </c>
      <c r="E84" s="1" t="s">
        <v>80</v>
      </c>
      <c r="F84" s="17">
        <f t="shared" si="7"/>
        <v>66.73340006673341</v>
      </c>
      <c r="G84" s="16">
        <v>6000</v>
      </c>
      <c r="H84" s="5">
        <f t="shared" si="8"/>
        <v>0</v>
      </c>
      <c r="I84" s="111">
        <v>60600</v>
      </c>
      <c r="J84" s="111" t="s">
        <v>199</v>
      </c>
      <c r="K84" s="112" t="s">
        <v>200</v>
      </c>
      <c r="L84" s="215"/>
      <c r="M84" s="113"/>
    </row>
    <row r="85" spans="1:13" ht="15" x14ac:dyDescent="0.25">
      <c r="A85" s="1">
        <v>76</v>
      </c>
      <c r="B85" s="1" t="s">
        <v>18</v>
      </c>
      <c r="C85" s="15">
        <v>7127</v>
      </c>
      <c r="D85" s="16">
        <v>10000</v>
      </c>
      <c r="E85" s="1" t="s">
        <v>80</v>
      </c>
      <c r="F85" s="17">
        <f t="shared" si="7"/>
        <v>111.22233344455567</v>
      </c>
      <c r="G85" s="16">
        <v>10000</v>
      </c>
      <c r="H85" s="5">
        <f t="shared" si="8"/>
        <v>0</v>
      </c>
      <c r="I85" s="30">
        <v>150000</v>
      </c>
      <c r="J85" s="30" t="s">
        <v>199</v>
      </c>
      <c r="K85" s="84" t="s">
        <v>438</v>
      </c>
      <c r="L85" s="45"/>
    </row>
    <row r="86" spans="1:13" ht="15" x14ac:dyDescent="0.25">
      <c r="A86" s="1">
        <v>77</v>
      </c>
      <c r="B86" s="1" t="s">
        <v>18</v>
      </c>
      <c r="C86" s="15">
        <v>2207</v>
      </c>
      <c r="D86" s="16">
        <v>12000</v>
      </c>
      <c r="E86" s="1" t="s">
        <v>80</v>
      </c>
      <c r="F86" s="17">
        <f t="shared" si="7"/>
        <v>133.46680013346682</v>
      </c>
      <c r="G86" s="16">
        <v>12000</v>
      </c>
      <c r="H86" s="5">
        <f t="shared" si="8"/>
        <v>0</v>
      </c>
      <c r="I86" s="30">
        <v>100000</v>
      </c>
      <c r="J86" s="30" t="s">
        <v>201</v>
      </c>
      <c r="K86" s="84" t="s">
        <v>438</v>
      </c>
      <c r="L86" s="45"/>
    </row>
    <row r="87" spans="1:13" ht="15" x14ac:dyDescent="0.25">
      <c r="A87" s="1">
        <v>78</v>
      </c>
      <c r="B87" s="1" t="s">
        <v>18</v>
      </c>
      <c r="C87" s="15">
        <v>5520</v>
      </c>
      <c r="D87" s="16">
        <v>22000</v>
      </c>
      <c r="E87" s="1" t="s">
        <v>80</v>
      </c>
      <c r="F87" s="17">
        <f t="shared" si="7"/>
        <v>244.68913357802248</v>
      </c>
      <c r="G87" s="16">
        <v>22000</v>
      </c>
      <c r="H87" s="5">
        <f t="shared" si="8"/>
        <v>0</v>
      </c>
      <c r="I87" s="30">
        <v>150000</v>
      </c>
      <c r="J87" s="30" t="s">
        <v>202</v>
      </c>
      <c r="K87" s="84" t="s">
        <v>438</v>
      </c>
      <c r="L87" s="45"/>
    </row>
    <row r="88" spans="1:13" ht="15" x14ac:dyDescent="0.25">
      <c r="A88" s="1">
        <v>79</v>
      </c>
      <c r="B88" s="1" t="s">
        <v>18</v>
      </c>
      <c r="C88" s="15">
        <v>3540</v>
      </c>
      <c r="D88" s="16">
        <v>8000</v>
      </c>
      <c r="E88" s="1" t="s">
        <v>80</v>
      </c>
      <c r="F88" s="17">
        <f t="shared" si="7"/>
        <v>88.977866755644541</v>
      </c>
      <c r="G88" s="16">
        <v>8000</v>
      </c>
      <c r="H88" s="5">
        <f t="shared" si="8"/>
        <v>0</v>
      </c>
      <c r="I88" s="30">
        <v>100000</v>
      </c>
      <c r="J88" s="30" t="s">
        <v>203</v>
      </c>
      <c r="K88" s="84" t="s">
        <v>438</v>
      </c>
      <c r="L88" s="45"/>
    </row>
    <row r="89" spans="1:13" ht="15" x14ac:dyDescent="0.25">
      <c r="A89" s="1">
        <v>80</v>
      </c>
      <c r="B89" s="1" t="s">
        <v>19</v>
      </c>
      <c r="C89" s="15" t="s">
        <v>33</v>
      </c>
      <c r="D89" s="16">
        <v>12000</v>
      </c>
      <c r="E89" s="1" t="s">
        <v>80</v>
      </c>
      <c r="F89" s="17">
        <f>D89/90.47</f>
        <v>132.64065436056151</v>
      </c>
      <c r="G89" s="16">
        <v>12000</v>
      </c>
      <c r="H89" s="5">
        <f t="shared" si="8"/>
        <v>0</v>
      </c>
      <c r="I89" s="30">
        <v>150000</v>
      </c>
      <c r="J89" s="30" t="s">
        <v>208</v>
      </c>
      <c r="K89" s="84" t="s">
        <v>438</v>
      </c>
      <c r="L89" s="45"/>
    </row>
    <row r="90" spans="1:13" ht="15" x14ac:dyDescent="0.25">
      <c r="A90" s="1">
        <v>81</v>
      </c>
      <c r="B90" s="1" t="s">
        <v>19</v>
      </c>
      <c r="C90" s="15">
        <v>3071</v>
      </c>
      <c r="D90" s="16">
        <v>16000</v>
      </c>
      <c r="E90" s="1" t="s">
        <v>80</v>
      </c>
      <c r="F90" s="17">
        <f t="shared" ref="F90:F101" si="9">D90/90.47</f>
        <v>176.85420581408201</v>
      </c>
      <c r="G90" s="16">
        <v>16000</v>
      </c>
      <c r="H90" s="5">
        <f t="shared" si="8"/>
        <v>0</v>
      </c>
      <c r="I90" s="30">
        <v>200000</v>
      </c>
      <c r="J90" s="30" t="s">
        <v>211</v>
      </c>
      <c r="K90" s="84" t="s">
        <v>438</v>
      </c>
      <c r="L90" s="45"/>
    </row>
    <row r="91" spans="1:13" ht="15" x14ac:dyDescent="0.25">
      <c r="A91" s="1">
        <v>82</v>
      </c>
      <c r="B91" s="1" t="s">
        <v>19</v>
      </c>
      <c r="C91" s="15">
        <v>5336</v>
      </c>
      <c r="D91" s="16">
        <v>15000</v>
      </c>
      <c r="E91" s="1" t="s">
        <v>80</v>
      </c>
      <c r="F91" s="17">
        <f t="shared" si="9"/>
        <v>165.80081795070188</v>
      </c>
      <c r="G91" s="16">
        <v>15000</v>
      </c>
      <c r="H91" s="5">
        <f t="shared" si="8"/>
        <v>0</v>
      </c>
      <c r="I91" s="30">
        <v>150000</v>
      </c>
      <c r="J91" s="30" t="s">
        <v>212</v>
      </c>
      <c r="K91" s="84" t="s">
        <v>438</v>
      </c>
      <c r="L91" s="45"/>
    </row>
    <row r="92" spans="1:13" ht="15" x14ac:dyDescent="0.25">
      <c r="A92" s="1">
        <v>83</v>
      </c>
      <c r="B92" s="1" t="s">
        <v>19</v>
      </c>
      <c r="C92" s="15">
        <v>2194</v>
      </c>
      <c r="D92" s="16">
        <v>20000</v>
      </c>
      <c r="E92" s="1" t="s">
        <v>80</v>
      </c>
      <c r="F92" s="17">
        <f t="shared" si="9"/>
        <v>221.06775726760253</v>
      </c>
      <c r="G92" s="16">
        <v>20000</v>
      </c>
      <c r="H92" s="5">
        <f t="shared" si="8"/>
        <v>0</v>
      </c>
      <c r="I92" s="30">
        <v>200000</v>
      </c>
      <c r="J92" s="30" t="s">
        <v>213</v>
      </c>
      <c r="K92" s="84" t="s">
        <v>438</v>
      </c>
      <c r="L92" s="45"/>
    </row>
    <row r="93" spans="1:13" ht="15" x14ac:dyDescent="0.25">
      <c r="A93" s="1">
        <v>84</v>
      </c>
      <c r="B93" s="1" t="s">
        <v>19</v>
      </c>
      <c r="C93" s="15">
        <v>5987</v>
      </c>
      <c r="D93" s="16">
        <v>16000</v>
      </c>
      <c r="E93" s="1" t="s">
        <v>80</v>
      </c>
      <c r="F93" s="17">
        <f t="shared" si="9"/>
        <v>176.85420581408201</v>
      </c>
      <c r="G93" s="16">
        <v>16000</v>
      </c>
      <c r="H93" s="5">
        <f t="shared" si="8"/>
        <v>0</v>
      </c>
      <c r="I93" s="30">
        <v>150000</v>
      </c>
      <c r="J93" s="30" t="s">
        <v>214</v>
      </c>
      <c r="K93" s="84" t="s">
        <v>438</v>
      </c>
      <c r="L93" s="45"/>
    </row>
    <row r="94" spans="1:13" ht="15" x14ac:dyDescent="0.25">
      <c r="A94" s="1">
        <v>85</v>
      </c>
      <c r="B94" s="1" t="s">
        <v>19</v>
      </c>
      <c r="C94" s="15">
        <v>472</v>
      </c>
      <c r="D94" s="16">
        <v>18000</v>
      </c>
      <c r="E94" s="1" t="s">
        <v>80</v>
      </c>
      <c r="F94" s="17">
        <f t="shared" si="9"/>
        <v>198.96098154084228</v>
      </c>
      <c r="G94" s="16">
        <v>18000</v>
      </c>
      <c r="H94" s="5">
        <f t="shared" si="8"/>
        <v>0</v>
      </c>
      <c r="I94" s="30">
        <v>150000</v>
      </c>
      <c r="J94" s="30" t="s">
        <v>215</v>
      </c>
      <c r="K94" s="84" t="s">
        <v>438</v>
      </c>
      <c r="L94" s="45"/>
    </row>
    <row r="95" spans="1:13" ht="15" x14ac:dyDescent="0.25">
      <c r="A95" s="1">
        <v>86</v>
      </c>
      <c r="B95" s="1" t="s">
        <v>19</v>
      </c>
      <c r="C95" s="15">
        <v>4753</v>
      </c>
      <c r="D95" s="16">
        <v>25000</v>
      </c>
      <c r="E95" s="1" t="s">
        <v>80</v>
      </c>
      <c r="F95" s="17">
        <f t="shared" si="9"/>
        <v>276.33469658450315</v>
      </c>
      <c r="G95" s="16">
        <v>25000</v>
      </c>
      <c r="H95" s="5">
        <f t="shared" si="8"/>
        <v>0</v>
      </c>
      <c r="I95" s="30">
        <v>200000</v>
      </c>
      <c r="J95" s="30" t="s">
        <v>218</v>
      </c>
      <c r="K95" s="84" t="s">
        <v>438</v>
      </c>
      <c r="L95" s="45"/>
    </row>
    <row r="96" spans="1:13" ht="15" x14ac:dyDescent="0.25">
      <c r="A96" s="1">
        <v>87</v>
      </c>
      <c r="B96" s="1" t="s">
        <v>19</v>
      </c>
      <c r="C96" s="15">
        <v>9622</v>
      </c>
      <c r="D96" s="16">
        <v>27000</v>
      </c>
      <c r="E96" s="1" t="s">
        <v>80</v>
      </c>
      <c r="F96" s="17">
        <f t="shared" si="9"/>
        <v>298.4414723112634</v>
      </c>
      <c r="G96" s="16">
        <v>27000</v>
      </c>
      <c r="H96" s="5">
        <f t="shared" si="8"/>
        <v>0</v>
      </c>
      <c r="I96" s="30">
        <v>100000</v>
      </c>
      <c r="J96" s="30" t="s">
        <v>219</v>
      </c>
      <c r="K96" s="84" t="s">
        <v>438</v>
      </c>
      <c r="L96" s="45"/>
    </row>
    <row r="97" spans="1:13" ht="15" x14ac:dyDescent="0.25">
      <c r="A97" s="1">
        <v>88</v>
      </c>
      <c r="B97" s="1" t="s">
        <v>19</v>
      </c>
      <c r="C97" s="15">
        <v>1008</v>
      </c>
      <c r="D97" s="16">
        <v>20000</v>
      </c>
      <c r="E97" s="1" t="s">
        <v>80</v>
      </c>
      <c r="F97" s="17">
        <f t="shared" si="9"/>
        <v>221.06775726760253</v>
      </c>
      <c r="G97" s="16">
        <v>20000</v>
      </c>
      <c r="H97" s="5">
        <f t="shared" si="8"/>
        <v>0</v>
      </c>
      <c r="I97" s="30">
        <v>150000</v>
      </c>
      <c r="J97" s="30" t="s">
        <v>220</v>
      </c>
      <c r="K97" s="84" t="s">
        <v>438</v>
      </c>
      <c r="L97" s="45"/>
    </row>
    <row r="98" spans="1:13" ht="15" x14ac:dyDescent="0.25">
      <c r="A98" s="1">
        <v>89</v>
      </c>
      <c r="B98" s="1" t="s">
        <v>19</v>
      </c>
      <c r="C98" s="15">
        <v>1054</v>
      </c>
      <c r="D98" s="16">
        <v>20000</v>
      </c>
      <c r="E98" s="1" t="s">
        <v>80</v>
      </c>
      <c r="F98" s="17">
        <f t="shared" si="9"/>
        <v>221.06775726760253</v>
      </c>
      <c r="G98" s="16">
        <v>20000</v>
      </c>
      <c r="H98" s="5">
        <f t="shared" si="8"/>
        <v>0</v>
      </c>
      <c r="I98" s="30">
        <v>100000</v>
      </c>
      <c r="J98" s="30" t="s">
        <v>221</v>
      </c>
      <c r="K98" s="84" t="s">
        <v>438</v>
      </c>
      <c r="L98" s="45"/>
    </row>
    <row r="99" spans="1:13" ht="15" x14ac:dyDescent="0.25">
      <c r="A99" s="1">
        <v>90</v>
      </c>
      <c r="B99" s="1" t="s">
        <v>19</v>
      </c>
      <c r="C99" s="15">
        <v>4156</v>
      </c>
      <c r="D99" s="16">
        <v>20000</v>
      </c>
      <c r="E99" s="1" t="s">
        <v>80</v>
      </c>
      <c r="F99" s="17">
        <f t="shared" si="9"/>
        <v>221.06775726760253</v>
      </c>
      <c r="G99" s="16">
        <v>20000</v>
      </c>
      <c r="H99" s="5">
        <f t="shared" si="8"/>
        <v>0</v>
      </c>
      <c r="I99" s="30">
        <v>100000</v>
      </c>
      <c r="J99" s="30" t="s">
        <v>222</v>
      </c>
      <c r="K99" s="84" t="s">
        <v>438</v>
      </c>
      <c r="L99" s="45"/>
    </row>
    <row r="100" spans="1:13" ht="15" x14ac:dyDescent="0.25">
      <c r="A100" s="1">
        <v>91</v>
      </c>
      <c r="B100" s="1" t="s">
        <v>19</v>
      </c>
      <c r="C100" s="15">
        <v>6189</v>
      </c>
      <c r="D100" s="16">
        <v>20000</v>
      </c>
      <c r="E100" s="1" t="s">
        <v>80</v>
      </c>
      <c r="F100" s="17">
        <f t="shared" si="9"/>
        <v>221.06775726760253</v>
      </c>
      <c r="G100" s="16">
        <v>20000</v>
      </c>
      <c r="H100" s="5">
        <f t="shared" si="8"/>
        <v>0</v>
      </c>
      <c r="I100" s="30">
        <v>100000</v>
      </c>
      <c r="J100" s="30" t="s">
        <v>223</v>
      </c>
      <c r="K100" s="84" t="s">
        <v>438</v>
      </c>
      <c r="L100" s="45"/>
    </row>
    <row r="101" spans="1:13" ht="15" x14ac:dyDescent="0.25">
      <c r="A101" s="1">
        <v>92</v>
      </c>
      <c r="B101" s="1" t="s">
        <v>19</v>
      </c>
      <c r="C101" s="15">
        <v>6650</v>
      </c>
      <c r="D101" s="16">
        <v>25000</v>
      </c>
      <c r="E101" s="1" t="s">
        <v>80</v>
      </c>
      <c r="F101" s="17">
        <f t="shared" si="9"/>
        <v>276.33469658450315</v>
      </c>
      <c r="G101" s="16">
        <v>25000</v>
      </c>
      <c r="H101" s="5">
        <f t="shared" si="8"/>
        <v>0</v>
      </c>
      <c r="I101" s="30">
        <v>100000</v>
      </c>
      <c r="J101" s="30" t="s">
        <v>225</v>
      </c>
      <c r="K101" s="84" t="s">
        <v>438</v>
      </c>
      <c r="L101" s="45"/>
    </row>
    <row r="102" spans="1:13" ht="15" x14ac:dyDescent="0.25">
      <c r="A102" s="1">
        <v>93</v>
      </c>
      <c r="B102" s="1" t="s">
        <v>20</v>
      </c>
      <c r="C102" s="15">
        <v>7798</v>
      </c>
      <c r="D102" s="16">
        <v>20000</v>
      </c>
      <c r="E102" s="1" t="s">
        <v>80</v>
      </c>
      <c r="F102" s="17">
        <f>D102/90.82</f>
        <v>220.21581149526537</v>
      </c>
      <c r="G102" s="16">
        <v>20000</v>
      </c>
      <c r="H102" s="5">
        <f t="shared" si="8"/>
        <v>0</v>
      </c>
      <c r="I102" s="30">
        <v>100000</v>
      </c>
      <c r="J102" s="30" t="s">
        <v>226</v>
      </c>
      <c r="K102" s="84" t="s">
        <v>438</v>
      </c>
      <c r="L102" s="45"/>
    </row>
    <row r="103" spans="1:13" ht="15" x14ac:dyDescent="0.25">
      <c r="A103" s="1">
        <v>94</v>
      </c>
      <c r="B103" s="1" t="s">
        <v>20</v>
      </c>
      <c r="C103" s="15">
        <v>5728</v>
      </c>
      <c r="D103" s="16">
        <v>22000</v>
      </c>
      <c r="E103" s="1" t="s">
        <v>80</v>
      </c>
      <c r="F103" s="17">
        <f t="shared" ref="F103:F115" si="10">D103/90.82</f>
        <v>242.23739264479192</v>
      </c>
      <c r="G103" s="16">
        <v>22000</v>
      </c>
      <c r="H103" s="5">
        <f t="shared" si="8"/>
        <v>0</v>
      </c>
      <c r="I103" s="30">
        <v>250000</v>
      </c>
      <c r="J103" s="30" t="s">
        <v>227</v>
      </c>
      <c r="K103" s="84" t="s">
        <v>438</v>
      </c>
      <c r="L103" s="45"/>
    </row>
    <row r="104" spans="1:13" ht="15" x14ac:dyDescent="0.25">
      <c r="A104" s="1">
        <v>95</v>
      </c>
      <c r="B104" s="1" t="s">
        <v>20</v>
      </c>
      <c r="C104" s="15">
        <v>5961</v>
      </c>
      <c r="D104" s="16">
        <v>13000</v>
      </c>
      <c r="E104" s="1" t="s">
        <v>80</v>
      </c>
      <c r="F104" s="17">
        <f t="shared" si="10"/>
        <v>143.1402774719225</v>
      </c>
      <c r="G104" s="16">
        <v>13000</v>
      </c>
      <c r="H104" s="5">
        <f t="shared" si="8"/>
        <v>0</v>
      </c>
      <c r="I104" s="30">
        <v>300000</v>
      </c>
      <c r="J104" s="30" t="s">
        <v>228</v>
      </c>
      <c r="K104" s="84" t="s">
        <v>438</v>
      </c>
      <c r="L104" s="45"/>
    </row>
    <row r="105" spans="1:13" ht="15" x14ac:dyDescent="0.25">
      <c r="A105" s="1">
        <v>96</v>
      </c>
      <c r="B105" s="1" t="s">
        <v>20</v>
      </c>
      <c r="C105" s="15">
        <v>2207</v>
      </c>
      <c r="D105" s="16">
        <v>12000</v>
      </c>
      <c r="E105" s="1" t="s">
        <v>80</v>
      </c>
      <c r="F105" s="17">
        <f t="shared" si="10"/>
        <v>132.12948689715924</v>
      </c>
      <c r="G105" s="16">
        <v>12000</v>
      </c>
      <c r="H105" s="5">
        <f t="shared" si="8"/>
        <v>0</v>
      </c>
      <c r="I105" s="111">
        <v>50000</v>
      </c>
      <c r="J105" s="111" t="s">
        <v>228</v>
      </c>
      <c r="K105" s="112" t="s">
        <v>229</v>
      </c>
      <c r="L105" s="215"/>
      <c r="M105" s="113"/>
    </row>
    <row r="106" spans="1:13" ht="15" x14ac:dyDescent="0.25">
      <c r="A106" s="1">
        <v>97</v>
      </c>
      <c r="B106" s="1" t="s">
        <v>20</v>
      </c>
      <c r="C106" s="15">
        <v>8897</v>
      </c>
      <c r="D106" s="16">
        <v>16000</v>
      </c>
      <c r="E106" s="1" t="s">
        <v>80</v>
      </c>
      <c r="F106" s="17">
        <f t="shared" si="10"/>
        <v>176.17264919621229</v>
      </c>
      <c r="G106" s="16">
        <v>16000</v>
      </c>
      <c r="H106" s="5">
        <f t="shared" si="8"/>
        <v>0</v>
      </c>
      <c r="I106" s="30">
        <v>400000</v>
      </c>
      <c r="J106" s="30" t="s">
        <v>230</v>
      </c>
      <c r="K106" s="84" t="s">
        <v>438</v>
      </c>
      <c r="L106" s="45"/>
    </row>
    <row r="107" spans="1:13" ht="15" x14ac:dyDescent="0.25">
      <c r="A107" s="1">
        <v>98</v>
      </c>
      <c r="B107" s="1" t="s">
        <v>20</v>
      </c>
      <c r="C107" s="15" t="s">
        <v>35</v>
      </c>
      <c r="D107" s="16">
        <v>5000</v>
      </c>
      <c r="E107" s="1" t="s">
        <v>80</v>
      </c>
      <c r="F107" s="17">
        <f t="shared" si="10"/>
        <v>55.053952873816343</v>
      </c>
      <c r="G107" s="16">
        <v>5000</v>
      </c>
      <c r="H107" s="5">
        <f t="shared" si="8"/>
        <v>0</v>
      </c>
      <c r="I107" s="30">
        <v>200000</v>
      </c>
      <c r="J107" s="30" t="s">
        <v>231</v>
      </c>
      <c r="K107" s="84" t="s">
        <v>438</v>
      </c>
      <c r="L107" s="45"/>
    </row>
    <row r="108" spans="1:13" ht="15" x14ac:dyDescent="0.25">
      <c r="A108" s="1">
        <v>99</v>
      </c>
      <c r="B108" s="1" t="s">
        <v>20</v>
      </c>
      <c r="C108" s="15">
        <v>5552</v>
      </c>
      <c r="D108" s="16">
        <v>30000</v>
      </c>
      <c r="E108" s="1" t="s">
        <v>80</v>
      </c>
      <c r="F108" s="17">
        <f t="shared" si="10"/>
        <v>330.32371724289806</v>
      </c>
      <c r="G108" s="16">
        <v>30000</v>
      </c>
      <c r="H108" s="5">
        <f t="shared" si="8"/>
        <v>0</v>
      </c>
      <c r="I108" s="30">
        <v>100000</v>
      </c>
      <c r="J108" s="30" t="s">
        <v>234</v>
      </c>
      <c r="K108" s="84" t="s">
        <v>438</v>
      </c>
      <c r="L108" s="45"/>
    </row>
    <row r="109" spans="1:13" ht="15" x14ac:dyDescent="0.25">
      <c r="A109" s="1">
        <v>100</v>
      </c>
      <c r="B109" s="1" t="s">
        <v>20</v>
      </c>
      <c r="C109" s="15">
        <v>3352</v>
      </c>
      <c r="D109" s="16">
        <v>14000</v>
      </c>
      <c r="E109" s="1" t="s">
        <v>80</v>
      </c>
      <c r="F109" s="17">
        <f t="shared" si="10"/>
        <v>154.15106804668577</v>
      </c>
      <c r="G109" s="16">
        <v>14000</v>
      </c>
      <c r="H109" s="5">
        <f t="shared" si="8"/>
        <v>0</v>
      </c>
      <c r="I109" s="30">
        <v>100000</v>
      </c>
      <c r="J109" s="30" t="s">
        <v>235</v>
      </c>
      <c r="K109" s="84" t="s">
        <v>438</v>
      </c>
      <c r="L109" s="45"/>
    </row>
    <row r="110" spans="1:13" ht="15" x14ac:dyDescent="0.25">
      <c r="A110" s="1">
        <v>101</v>
      </c>
      <c r="B110" s="1" t="s">
        <v>20</v>
      </c>
      <c r="C110" s="15" t="s">
        <v>34</v>
      </c>
      <c r="D110" s="16">
        <v>30000</v>
      </c>
      <c r="E110" s="1" t="s">
        <v>80</v>
      </c>
      <c r="F110" s="17">
        <f t="shared" si="10"/>
        <v>330.32371724289806</v>
      </c>
      <c r="G110" s="16">
        <v>30000</v>
      </c>
      <c r="H110" s="5">
        <f t="shared" ref="H110:H140" si="11">D110-G110</f>
        <v>0</v>
      </c>
      <c r="I110" s="30">
        <v>100000</v>
      </c>
      <c r="J110" s="30" t="s">
        <v>236</v>
      </c>
      <c r="K110" s="84" t="s">
        <v>438</v>
      </c>
      <c r="L110" s="45"/>
    </row>
    <row r="111" spans="1:13" ht="15" x14ac:dyDescent="0.25">
      <c r="A111" s="1">
        <v>102</v>
      </c>
      <c r="B111" s="1" t="s">
        <v>20</v>
      </c>
      <c r="C111" s="15">
        <v>5857</v>
      </c>
      <c r="D111" s="16">
        <v>15000</v>
      </c>
      <c r="E111" s="1" t="s">
        <v>80</v>
      </c>
      <c r="F111" s="17">
        <f t="shared" si="10"/>
        <v>165.16185862144903</v>
      </c>
      <c r="G111" s="16">
        <v>15000</v>
      </c>
      <c r="H111" s="5">
        <f t="shared" si="11"/>
        <v>0</v>
      </c>
      <c r="I111" s="30">
        <v>300000</v>
      </c>
      <c r="J111" s="30" t="s">
        <v>237</v>
      </c>
      <c r="K111" s="84" t="s">
        <v>438</v>
      </c>
      <c r="L111" s="45"/>
    </row>
    <row r="112" spans="1:13" ht="15" x14ac:dyDescent="0.25">
      <c r="A112" s="1">
        <v>103</v>
      </c>
      <c r="B112" s="1" t="s">
        <v>20</v>
      </c>
      <c r="C112" s="15">
        <v>4953</v>
      </c>
      <c r="D112" s="16">
        <v>6000</v>
      </c>
      <c r="E112" s="1" t="s">
        <v>80</v>
      </c>
      <c r="F112" s="17">
        <f t="shared" si="10"/>
        <v>66.06474344857962</v>
      </c>
      <c r="G112" s="16">
        <v>6000</v>
      </c>
      <c r="H112" s="5">
        <f t="shared" si="11"/>
        <v>0</v>
      </c>
      <c r="I112" s="30">
        <v>300000</v>
      </c>
      <c r="J112" s="30" t="s">
        <v>238</v>
      </c>
      <c r="K112" s="84" t="s">
        <v>438</v>
      </c>
      <c r="L112" s="45"/>
    </row>
    <row r="113" spans="1:12" ht="15" x14ac:dyDescent="0.25">
      <c r="A113" s="1">
        <v>104</v>
      </c>
      <c r="B113" s="1" t="s">
        <v>20</v>
      </c>
      <c r="C113" s="15">
        <v>2751</v>
      </c>
      <c r="D113" s="16">
        <v>30000</v>
      </c>
      <c r="E113" s="1" t="s">
        <v>80</v>
      </c>
      <c r="F113" s="17">
        <f t="shared" si="10"/>
        <v>330.32371724289806</v>
      </c>
      <c r="G113" s="16">
        <v>30000</v>
      </c>
      <c r="H113" s="5">
        <f t="shared" si="11"/>
        <v>0</v>
      </c>
      <c r="I113" s="30">
        <v>400000</v>
      </c>
      <c r="J113" s="30" t="s">
        <v>239</v>
      </c>
      <c r="K113" s="84" t="s">
        <v>438</v>
      </c>
      <c r="L113" s="45"/>
    </row>
    <row r="114" spans="1:12" ht="15" x14ac:dyDescent="0.25">
      <c r="A114" s="1">
        <v>105</v>
      </c>
      <c r="B114" s="1" t="s">
        <v>20</v>
      </c>
      <c r="C114" s="15">
        <v>3540</v>
      </c>
      <c r="D114" s="16">
        <v>8000</v>
      </c>
      <c r="E114" s="1" t="s">
        <v>80</v>
      </c>
      <c r="F114" s="17">
        <f t="shared" si="10"/>
        <v>88.086324598106145</v>
      </c>
      <c r="G114" s="16">
        <v>8000</v>
      </c>
      <c r="H114" s="5">
        <f t="shared" si="11"/>
        <v>0</v>
      </c>
      <c r="I114" s="30">
        <v>200000</v>
      </c>
      <c r="J114" s="30" t="s">
        <v>240</v>
      </c>
      <c r="K114" s="84" t="s">
        <v>438</v>
      </c>
      <c r="L114" s="45"/>
    </row>
    <row r="115" spans="1:12" ht="15" x14ac:dyDescent="0.25">
      <c r="A115" s="1">
        <v>106</v>
      </c>
      <c r="B115" s="1" t="s">
        <v>20</v>
      </c>
      <c r="C115" s="15">
        <v>4705</v>
      </c>
      <c r="D115" s="16">
        <v>15000</v>
      </c>
      <c r="E115" s="1" t="s">
        <v>80</v>
      </c>
      <c r="F115" s="17">
        <f t="shared" si="10"/>
        <v>165.16185862144903</v>
      </c>
      <c r="G115" s="16">
        <v>15000</v>
      </c>
      <c r="H115" s="5">
        <f t="shared" si="11"/>
        <v>0</v>
      </c>
      <c r="I115" s="30">
        <v>100000</v>
      </c>
      <c r="J115" s="30" t="s">
        <v>241</v>
      </c>
      <c r="K115" s="84" t="s">
        <v>438</v>
      </c>
      <c r="L115" s="45"/>
    </row>
    <row r="116" spans="1:12" ht="15" x14ac:dyDescent="0.25">
      <c r="A116" s="1">
        <v>107</v>
      </c>
      <c r="B116" s="1" t="s">
        <v>21</v>
      </c>
      <c r="C116" s="15" t="s">
        <v>36</v>
      </c>
      <c r="D116" s="16">
        <v>4500</v>
      </c>
      <c r="E116" s="1" t="s">
        <v>80</v>
      </c>
      <c r="F116" s="17">
        <v>49.17</v>
      </c>
      <c r="G116" s="16">
        <v>4500</v>
      </c>
      <c r="H116" s="5">
        <f t="shared" si="11"/>
        <v>0</v>
      </c>
      <c r="I116" s="30">
        <v>150000</v>
      </c>
      <c r="J116" s="30" t="s">
        <v>241</v>
      </c>
      <c r="K116" s="84" t="s">
        <v>438</v>
      </c>
      <c r="L116" s="45"/>
    </row>
    <row r="117" spans="1:12" ht="15" x14ac:dyDescent="0.25">
      <c r="A117" s="1">
        <v>108</v>
      </c>
      <c r="B117" s="1" t="s">
        <v>21</v>
      </c>
      <c r="C117" s="15">
        <v>7180</v>
      </c>
      <c r="D117" s="16">
        <v>15000</v>
      </c>
      <c r="E117" s="1" t="s">
        <v>80</v>
      </c>
      <c r="F117" s="17">
        <v>163.9</v>
      </c>
      <c r="G117" s="16">
        <v>15000</v>
      </c>
      <c r="H117" s="5">
        <f t="shared" si="11"/>
        <v>0</v>
      </c>
      <c r="I117" s="30">
        <v>100000</v>
      </c>
      <c r="J117" s="30" t="s">
        <v>243</v>
      </c>
      <c r="K117" s="84" t="s">
        <v>438</v>
      </c>
      <c r="L117" s="45"/>
    </row>
    <row r="118" spans="1:12" ht="15" x14ac:dyDescent="0.25">
      <c r="A118" s="1">
        <v>109</v>
      </c>
      <c r="B118" s="1" t="s">
        <v>21</v>
      </c>
      <c r="C118" s="15">
        <v>6089</v>
      </c>
      <c r="D118" s="16">
        <v>15000</v>
      </c>
      <c r="E118" s="1" t="s">
        <v>80</v>
      </c>
      <c r="F118" s="17">
        <v>163.9</v>
      </c>
      <c r="G118" s="16">
        <v>15000</v>
      </c>
      <c r="H118" s="5">
        <f t="shared" si="11"/>
        <v>0</v>
      </c>
      <c r="I118" s="30">
        <v>150000</v>
      </c>
      <c r="J118" s="30" t="s">
        <v>244</v>
      </c>
      <c r="K118" s="84" t="s">
        <v>438</v>
      </c>
      <c r="L118" s="45"/>
    </row>
    <row r="119" spans="1:12" ht="15" x14ac:dyDescent="0.25">
      <c r="A119" s="1">
        <v>110</v>
      </c>
      <c r="B119" s="1" t="s">
        <v>21</v>
      </c>
      <c r="C119" s="15">
        <v>7743</v>
      </c>
      <c r="D119" s="16">
        <v>15000</v>
      </c>
      <c r="E119" s="1" t="s">
        <v>80</v>
      </c>
      <c r="F119" s="17">
        <v>163.9</v>
      </c>
      <c r="G119" s="16">
        <v>15000</v>
      </c>
      <c r="H119" s="5">
        <f t="shared" si="11"/>
        <v>0</v>
      </c>
      <c r="I119" s="30">
        <v>200000</v>
      </c>
      <c r="J119" s="30" t="s">
        <v>245</v>
      </c>
      <c r="K119" s="84" t="s">
        <v>438</v>
      </c>
      <c r="L119" s="45"/>
    </row>
    <row r="120" spans="1:12" ht="15" x14ac:dyDescent="0.25">
      <c r="A120" s="1">
        <v>111</v>
      </c>
      <c r="B120" s="1" t="s">
        <v>21</v>
      </c>
      <c r="C120" s="15">
        <v>755</v>
      </c>
      <c r="D120" s="16">
        <v>15000</v>
      </c>
      <c r="E120" s="1" t="s">
        <v>80</v>
      </c>
      <c r="F120" s="17">
        <v>163.9</v>
      </c>
      <c r="G120" s="16">
        <v>15000</v>
      </c>
      <c r="H120" s="5">
        <f t="shared" si="11"/>
        <v>0</v>
      </c>
      <c r="I120" s="30">
        <v>100000</v>
      </c>
      <c r="J120" s="30" t="s">
        <v>247</v>
      </c>
      <c r="K120" s="84" t="s">
        <v>438</v>
      </c>
      <c r="L120" s="45"/>
    </row>
    <row r="121" spans="1:12" ht="15" x14ac:dyDescent="0.25">
      <c r="A121" s="1">
        <v>112</v>
      </c>
      <c r="B121" s="1" t="s">
        <v>21</v>
      </c>
      <c r="C121" s="15">
        <v>8955</v>
      </c>
      <c r="D121" s="16">
        <v>20000</v>
      </c>
      <c r="E121" s="1" t="s">
        <v>80</v>
      </c>
      <c r="F121" s="17">
        <v>161.77000000000001</v>
      </c>
      <c r="G121" s="16">
        <v>20000</v>
      </c>
      <c r="H121" s="5">
        <f t="shared" si="11"/>
        <v>0</v>
      </c>
      <c r="I121" s="30">
        <v>150000</v>
      </c>
      <c r="J121" s="30" t="s">
        <v>246</v>
      </c>
      <c r="K121" s="84" t="s">
        <v>438</v>
      </c>
      <c r="L121" s="45"/>
    </row>
    <row r="122" spans="1:12" ht="15" x14ac:dyDescent="0.25">
      <c r="A122" s="1">
        <v>113</v>
      </c>
      <c r="B122" s="1" t="s">
        <v>21</v>
      </c>
      <c r="C122" s="15">
        <v>1068</v>
      </c>
      <c r="D122" s="16">
        <v>35000</v>
      </c>
      <c r="E122" s="1" t="s">
        <v>80</v>
      </c>
      <c r="F122" s="17">
        <v>387.43</v>
      </c>
      <c r="G122" s="16">
        <v>35000</v>
      </c>
      <c r="H122" s="5">
        <f t="shared" si="11"/>
        <v>0</v>
      </c>
      <c r="I122" s="30">
        <v>150000</v>
      </c>
      <c r="J122" s="30" t="s">
        <v>249</v>
      </c>
      <c r="K122" s="84" t="s">
        <v>438</v>
      </c>
      <c r="L122" s="45"/>
    </row>
    <row r="123" spans="1:12" ht="15" x14ac:dyDescent="0.25">
      <c r="A123" s="1">
        <v>114</v>
      </c>
      <c r="B123" s="1" t="s">
        <v>21</v>
      </c>
      <c r="C123" s="15">
        <v>6246</v>
      </c>
      <c r="D123" s="16">
        <v>40000</v>
      </c>
      <c r="E123" s="1" t="s">
        <v>80</v>
      </c>
      <c r="F123" s="17">
        <v>432</v>
      </c>
      <c r="G123" s="16">
        <v>40000</v>
      </c>
      <c r="H123" s="5">
        <f t="shared" si="11"/>
        <v>0</v>
      </c>
      <c r="I123" s="30">
        <v>200000</v>
      </c>
      <c r="J123" s="30" t="s">
        <v>251</v>
      </c>
      <c r="K123" s="84" t="s">
        <v>438</v>
      </c>
      <c r="L123" s="45"/>
    </row>
    <row r="124" spans="1:12" ht="15" x14ac:dyDescent="0.25">
      <c r="A124" s="1">
        <v>115</v>
      </c>
      <c r="B124" s="1" t="s">
        <v>21</v>
      </c>
      <c r="C124" s="15">
        <v>711</v>
      </c>
      <c r="D124" s="16">
        <v>26000</v>
      </c>
      <c r="E124" s="1" t="s">
        <v>80</v>
      </c>
      <c r="F124" s="17">
        <v>257</v>
      </c>
      <c r="G124" s="16">
        <v>26000</v>
      </c>
      <c r="H124" s="5">
        <f t="shared" si="11"/>
        <v>0</v>
      </c>
      <c r="I124" s="30">
        <v>200000</v>
      </c>
      <c r="J124" s="30" t="s">
        <v>256</v>
      </c>
      <c r="K124" s="84" t="s">
        <v>438</v>
      </c>
      <c r="L124" s="45"/>
    </row>
    <row r="125" spans="1:12" ht="15" x14ac:dyDescent="0.25">
      <c r="A125" s="1">
        <v>116</v>
      </c>
      <c r="B125" s="1" t="s">
        <v>21</v>
      </c>
      <c r="C125" s="15" t="s">
        <v>52</v>
      </c>
      <c r="D125" s="16">
        <v>15000</v>
      </c>
      <c r="E125" s="1" t="s">
        <v>80</v>
      </c>
      <c r="F125" s="17">
        <v>163.9</v>
      </c>
      <c r="G125" s="16">
        <v>15000</v>
      </c>
      <c r="H125" s="5">
        <f t="shared" si="11"/>
        <v>0</v>
      </c>
      <c r="I125" s="30">
        <v>100000</v>
      </c>
      <c r="J125" s="30" t="s">
        <v>257</v>
      </c>
      <c r="K125" s="84" t="s">
        <v>438</v>
      </c>
      <c r="L125" s="45"/>
    </row>
    <row r="126" spans="1:12" ht="15" x14ac:dyDescent="0.25">
      <c r="A126" s="1">
        <v>117</v>
      </c>
      <c r="B126" s="1" t="s">
        <v>21</v>
      </c>
      <c r="C126" s="15">
        <v>7833</v>
      </c>
      <c r="D126" s="16">
        <v>15000</v>
      </c>
      <c r="E126" s="1" t="s">
        <v>80</v>
      </c>
      <c r="F126" s="17">
        <v>163.9</v>
      </c>
      <c r="G126" s="16">
        <v>15000</v>
      </c>
      <c r="H126" s="5">
        <f t="shared" si="11"/>
        <v>0</v>
      </c>
      <c r="I126" s="30">
        <v>100000</v>
      </c>
      <c r="J126" s="30" t="s">
        <v>258</v>
      </c>
      <c r="K126" s="84" t="s">
        <v>438</v>
      </c>
      <c r="L126" s="45"/>
    </row>
    <row r="127" spans="1:12" ht="15" x14ac:dyDescent="0.25">
      <c r="A127" s="1">
        <v>118</v>
      </c>
      <c r="B127" s="1" t="s">
        <v>21</v>
      </c>
      <c r="C127" s="15" t="s">
        <v>37</v>
      </c>
      <c r="D127" s="16">
        <v>15000</v>
      </c>
      <c r="E127" s="1" t="s">
        <v>80</v>
      </c>
      <c r="F127" s="17">
        <v>163.9</v>
      </c>
      <c r="G127" s="16">
        <v>15000</v>
      </c>
      <c r="H127" s="5">
        <f t="shared" si="11"/>
        <v>0</v>
      </c>
      <c r="I127" s="30">
        <v>100000</v>
      </c>
      <c r="J127" s="30" t="s">
        <v>259</v>
      </c>
      <c r="K127" s="84" t="s">
        <v>438</v>
      </c>
      <c r="L127" s="45"/>
    </row>
    <row r="128" spans="1:12" ht="15" x14ac:dyDescent="0.25">
      <c r="A128" s="1">
        <v>119</v>
      </c>
      <c r="B128" s="1" t="s">
        <v>21</v>
      </c>
      <c r="C128" s="15">
        <v>2633</v>
      </c>
      <c r="D128" s="16">
        <v>15000</v>
      </c>
      <c r="E128" s="1" t="s">
        <v>80</v>
      </c>
      <c r="F128" s="17">
        <v>163.9</v>
      </c>
      <c r="G128" s="16">
        <v>15000</v>
      </c>
      <c r="H128" s="5">
        <f t="shared" si="11"/>
        <v>0</v>
      </c>
      <c r="I128" s="30">
        <v>100000</v>
      </c>
      <c r="J128" s="30" t="s">
        <v>260</v>
      </c>
      <c r="K128" s="84" t="s">
        <v>438</v>
      </c>
      <c r="L128" s="45"/>
    </row>
    <row r="129" spans="1:13" ht="15" x14ac:dyDescent="0.25">
      <c r="A129" s="1">
        <v>120</v>
      </c>
      <c r="B129" s="1" t="s">
        <v>21</v>
      </c>
      <c r="C129" s="15">
        <v>9835</v>
      </c>
      <c r="D129" s="16">
        <v>15000</v>
      </c>
      <c r="E129" s="1" t="s">
        <v>80</v>
      </c>
      <c r="F129" s="17">
        <v>163.9</v>
      </c>
      <c r="G129" s="16">
        <v>15000</v>
      </c>
      <c r="H129" s="5">
        <f t="shared" si="11"/>
        <v>0</v>
      </c>
      <c r="I129" s="30">
        <v>100000</v>
      </c>
      <c r="J129" s="30" t="s">
        <v>262</v>
      </c>
      <c r="K129" s="84" t="s">
        <v>438</v>
      </c>
      <c r="L129" s="45"/>
    </row>
    <row r="130" spans="1:13" ht="15" x14ac:dyDescent="0.25">
      <c r="A130" s="1">
        <v>121</v>
      </c>
      <c r="B130" s="1" t="s">
        <v>21</v>
      </c>
      <c r="C130" s="15">
        <v>1286</v>
      </c>
      <c r="D130" s="16">
        <v>30000</v>
      </c>
      <c r="E130" s="1" t="s">
        <v>80</v>
      </c>
      <c r="F130" s="17">
        <v>327.8</v>
      </c>
      <c r="G130" s="16">
        <v>30000</v>
      </c>
      <c r="H130" s="5">
        <f t="shared" si="11"/>
        <v>0</v>
      </c>
      <c r="I130" s="30">
        <v>100000</v>
      </c>
      <c r="J130" s="30" t="s">
        <v>263</v>
      </c>
      <c r="K130" s="84" t="s">
        <v>438</v>
      </c>
      <c r="L130" s="45"/>
    </row>
    <row r="131" spans="1:13" ht="15" x14ac:dyDescent="0.25">
      <c r="A131" s="1">
        <v>122</v>
      </c>
      <c r="B131" s="1" t="s">
        <v>21</v>
      </c>
      <c r="C131" s="15">
        <v>3011</v>
      </c>
      <c r="D131" s="16">
        <v>5000</v>
      </c>
      <c r="E131" s="1" t="s">
        <v>80</v>
      </c>
      <c r="F131" s="17">
        <v>54.63</v>
      </c>
      <c r="G131" s="16">
        <v>5000</v>
      </c>
      <c r="H131" s="5">
        <f t="shared" si="11"/>
        <v>0</v>
      </c>
      <c r="I131" s="111">
        <v>41565</v>
      </c>
      <c r="J131" s="111" t="s">
        <v>264</v>
      </c>
      <c r="K131" s="112" t="s">
        <v>265</v>
      </c>
      <c r="L131" s="215"/>
      <c r="M131" s="113"/>
    </row>
    <row r="132" spans="1:13" ht="15" x14ac:dyDescent="0.25">
      <c r="A132" s="1">
        <v>123</v>
      </c>
      <c r="B132" s="1" t="s">
        <v>21</v>
      </c>
      <c r="C132" s="15">
        <v>3198</v>
      </c>
      <c r="D132" s="16">
        <v>10000</v>
      </c>
      <c r="E132" s="1" t="s">
        <v>80</v>
      </c>
      <c r="F132" s="17">
        <v>109.27</v>
      </c>
      <c r="G132" s="16">
        <v>10000</v>
      </c>
      <c r="H132" s="5">
        <f t="shared" si="11"/>
        <v>0</v>
      </c>
      <c r="I132" s="30">
        <v>100000</v>
      </c>
      <c r="J132" s="30" t="s">
        <v>266</v>
      </c>
      <c r="K132" s="84" t="s">
        <v>438</v>
      </c>
      <c r="L132" s="45"/>
    </row>
    <row r="133" spans="1:13" ht="15" x14ac:dyDescent="0.25">
      <c r="A133" s="1">
        <v>124</v>
      </c>
      <c r="B133" s="1" t="s">
        <v>21</v>
      </c>
      <c r="C133" s="15">
        <v>249</v>
      </c>
      <c r="D133" s="16">
        <v>10000</v>
      </c>
      <c r="E133" s="1" t="s">
        <v>80</v>
      </c>
      <c r="F133" s="17">
        <v>109.27</v>
      </c>
      <c r="G133" s="16">
        <v>10000</v>
      </c>
      <c r="H133" s="5">
        <f t="shared" si="11"/>
        <v>0</v>
      </c>
      <c r="I133" s="30">
        <v>100000</v>
      </c>
      <c r="J133" s="30" t="s">
        <v>268</v>
      </c>
      <c r="K133" s="84" t="s">
        <v>438</v>
      </c>
      <c r="L133" s="45"/>
    </row>
    <row r="134" spans="1:13" ht="15" x14ac:dyDescent="0.25">
      <c r="A134" s="1">
        <v>125</v>
      </c>
      <c r="B134" s="1" t="s">
        <v>21</v>
      </c>
      <c r="C134" s="15">
        <v>4713</v>
      </c>
      <c r="D134" s="16">
        <v>6000</v>
      </c>
      <c r="E134" s="1" t="s">
        <v>80</v>
      </c>
      <c r="F134" s="17">
        <v>65.56</v>
      </c>
      <c r="G134" s="16">
        <v>6000</v>
      </c>
      <c r="H134" s="5">
        <f t="shared" si="11"/>
        <v>0</v>
      </c>
      <c r="I134" s="30">
        <v>50000</v>
      </c>
      <c r="J134" s="30" t="s">
        <v>269</v>
      </c>
      <c r="K134" s="84" t="s">
        <v>438</v>
      </c>
      <c r="L134" s="45"/>
    </row>
    <row r="135" spans="1:13" ht="15" x14ac:dyDescent="0.25">
      <c r="A135" s="1">
        <v>126</v>
      </c>
      <c r="B135" s="1" t="s">
        <v>21</v>
      </c>
      <c r="C135" s="15">
        <v>3948</v>
      </c>
      <c r="D135" s="16">
        <v>8000</v>
      </c>
      <c r="E135" s="1" t="s">
        <v>80</v>
      </c>
      <c r="F135" s="17">
        <v>87.41</v>
      </c>
      <c r="G135" s="16">
        <v>8000</v>
      </c>
      <c r="H135" s="5">
        <f t="shared" si="11"/>
        <v>0</v>
      </c>
      <c r="I135" s="30">
        <v>100000</v>
      </c>
      <c r="J135" s="30" t="s">
        <v>270</v>
      </c>
      <c r="K135" s="84" t="s">
        <v>438</v>
      </c>
      <c r="L135" s="45"/>
    </row>
    <row r="136" spans="1:13" ht="15" x14ac:dyDescent="0.25">
      <c r="A136" s="1">
        <v>127</v>
      </c>
      <c r="B136" s="1" t="s">
        <v>21</v>
      </c>
      <c r="C136" s="15">
        <v>625</v>
      </c>
      <c r="D136" s="16">
        <v>18000</v>
      </c>
      <c r="E136" s="1" t="s">
        <v>80</v>
      </c>
      <c r="F136" s="17">
        <v>196.68</v>
      </c>
      <c r="G136" s="16">
        <v>18000</v>
      </c>
      <c r="H136" s="5">
        <f t="shared" si="11"/>
        <v>0</v>
      </c>
      <c r="I136" s="30">
        <v>100000</v>
      </c>
      <c r="J136" s="30" t="s">
        <v>271</v>
      </c>
      <c r="K136" s="84" t="s">
        <v>438</v>
      </c>
      <c r="L136" s="45"/>
    </row>
    <row r="137" spans="1:13" ht="15" x14ac:dyDescent="0.25">
      <c r="A137" s="1">
        <v>128</v>
      </c>
      <c r="B137" s="1" t="s">
        <v>21</v>
      </c>
      <c r="C137" s="15">
        <v>5185</v>
      </c>
      <c r="D137" s="16">
        <v>30000</v>
      </c>
      <c r="E137" s="1" t="s">
        <v>80</v>
      </c>
      <c r="F137" s="17">
        <v>327.8</v>
      </c>
      <c r="G137" s="16">
        <v>30000</v>
      </c>
      <c r="H137" s="5">
        <f t="shared" si="11"/>
        <v>0</v>
      </c>
      <c r="I137" s="30">
        <v>100000</v>
      </c>
      <c r="J137" s="30" t="s">
        <v>273</v>
      </c>
      <c r="K137" s="84" t="s">
        <v>438</v>
      </c>
      <c r="L137" s="45"/>
    </row>
    <row r="138" spans="1:13" ht="15" x14ac:dyDescent="0.25">
      <c r="A138" s="1">
        <v>129</v>
      </c>
      <c r="B138" s="1" t="s">
        <v>21</v>
      </c>
      <c r="C138" s="15">
        <v>1453</v>
      </c>
      <c r="D138" s="16">
        <v>10000</v>
      </c>
      <c r="E138" s="1" t="s">
        <v>80</v>
      </c>
      <c r="F138" s="17">
        <v>109.27</v>
      </c>
      <c r="G138" s="16">
        <v>10000</v>
      </c>
      <c r="H138" s="5">
        <f t="shared" si="11"/>
        <v>0</v>
      </c>
      <c r="I138" s="30">
        <v>150000</v>
      </c>
      <c r="J138" s="30" t="s">
        <v>277</v>
      </c>
      <c r="K138" s="84" t="s">
        <v>438</v>
      </c>
      <c r="L138" s="45"/>
    </row>
    <row r="139" spans="1:13" ht="15" x14ac:dyDescent="0.25">
      <c r="A139" s="1">
        <v>130</v>
      </c>
      <c r="B139" s="1" t="s">
        <v>22</v>
      </c>
      <c r="C139" s="15" t="s">
        <v>38</v>
      </c>
      <c r="D139" s="1">
        <v>3125</v>
      </c>
      <c r="E139" s="1" t="s">
        <v>80</v>
      </c>
      <c r="F139" s="17">
        <v>33.89</v>
      </c>
      <c r="G139" s="16">
        <v>3125</v>
      </c>
      <c r="H139" s="5">
        <f t="shared" si="11"/>
        <v>0</v>
      </c>
      <c r="I139" s="30">
        <v>150000</v>
      </c>
      <c r="J139" s="30" t="s">
        <v>278</v>
      </c>
      <c r="K139" s="84" t="s">
        <v>438</v>
      </c>
      <c r="L139" s="45"/>
    </row>
    <row r="140" spans="1:13" ht="15" x14ac:dyDescent="0.25">
      <c r="A140" s="1">
        <v>131</v>
      </c>
      <c r="B140" s="1" t="s">
        <v>22</v>
      </c>
      <c r="C140" s="15">
        <v>9189</v>
      </c>
      <c r="D140" s="28">
        <v>15000</v>
      </c>
      <c r="E140" s="1" t="s">
        <v>80</v>
      </c>
      <c r="F140" s="17">
        <v>162.47</v>
      </c>
      <c r="G140" s="16">
        <v>15000</v>
      </c>
      <c r="H140" s="5">
        <f t="shared" si="11"/>
        <v>0</v>
      </c>
      <c r="I140" s="30">
        <v>150000</v>
      </c>
      <c r="J140" s="30" t="s">
        <v>280</v>
      </c>
      <c r="K140" s="84" t="s">
        <v>438</v>
      </c>
      <c r="L140" s="45"/>
    </row>
    <row r="141" spans="1:13" ht="15" x14ac:dyDescent="0.25">
      <c r="A141" s="1">
        <v>132</v>
      </c>
      <c r="B141" s="1" t="s">
        <v>22</v>
      </c>
      <c r="C141" s="15">
        <v>1352</v>
      </c>
      <c r="D141" s="28">
        <v>12000</v>
      </c>
      <c r="E141" s="1" t="s">
        <v>80</v>
      </c>
      <c r="F141" s="17">
        <v>129.47999999999999</v>
      </c>
      <c r="G141" s="16">
        <v>12000</v>
      </c>
      <c r="H141" s="5">
        <f t="shared" ref="H141:H171" si="12">D141-G141</f>
        <v>0</v>
      </c>
      <c r="I141" s="30">
        <v>150000</v>
      </c>
      <c r="J141" s="30" t="s">
        <v>281</v>
      </c>
      <c r="K141" s="84" t="s">
        <v>438</v>
      </c>
      <c r="L141" s="45"/>
    </row>
    <row r="142" spans="1:13" ht="15" x14ac:dyDescent="0.25">
      <c r="A142" s="1">
        <v>133</v>
      </c>
      <c r="B142" s="1" t="s">
        <v>22</v>
      </c>
      <c r="C142" s="15">
        <v>9476</v>
      </c>
      <c r="D142" s="28">
        <v>13000</v>
      </c>
      <c r="E142" s="1" t="s">
        <v>80</v>
      </c>
      <c r="F142" s="17">
        <v>140.88999999999999</v>
      </c>
      <c r="G142" s="16">
        <v>13000</v>
      </c>
      <c r="H142" s="5">
        <f t="shared" si="12"/>
        <v>0</v>
      </c>
      <c r="I142" s="30">
        <v>150000</v>
      </c>
      <c r="J142" s="30" t="s">
        <v>282</v>
      </c>
      <c r="K142" s="84" t="s">
        <v>438</v>
      </c>
      <c r="L142" s="45"/>
    </row>
    <row r="143" spans="1:13" ht="15" x14ac:dyDescent="0.25">
      <c r="A143" s="1">
        <v>134</v>
      </c>
      <c r="B143" s="1" t="s">
        <v>22</v>
      </c>
      <c r="C143" s="15" t="s">
        <v>39</v>
      </c>
      <c r="D143" s="28">
        <v>10000</v>
      </c>
      <c r="E143" s="1" t="s">
        <v>80</v>
      </c>
      <c r="F143" s="17">
        <v>108.32</v>
      </c>
      <c r="G143" s="16">
        <v>10000</v>
      </c>
      <c r="H143" s="5">
        <f t="shared" si="12"/>
        <v>0</v>
      </c>
      <c r="I143" s="30">
        <v>200000</v>
      </c>
      <c r="J143" s="30" t="s">
        <v>285</v>
      </c>
      <c r="K143" s="84" t="s">
        <v>438</v>
      </c>
      <c r="L143" s="45"/>
    </row>
    <row r="144" spans="1:13" ht="15" x14ac:dyDescent="0.25">
      <c r="A144" s="1">
        <v>135</v>
      </c>
      <c r="B144" s="1" t="s">
        <v>22</v>
      </c>
      <c r="C144" s="15">
        <v>6461</v>
      </c>
      <c r="D144" s="28">
        <v>32000</v>
      </c>
      <c r="E144" s="1" t="s">
        <v>80</v>
      </c>
      <c r="F144" s="17">
        <v>302.29000000000002</v>
      </c>
      <c r="G144" s="16">
        <v>32000</v>
      </c>
      <c r="H144" s="5">
        <f t="shared" si="12"/>
        <v>0</v>
      </c>
      <c r="I144" s="30">
        <v>200000</v>
      </c>
      <c r="J144" s="30" t="s">
        <v>286</v>
      </c>
      <c r="K144" s="84" t="s">
        <v>438</v>
      </c>
      <c r="L144" s="45"/>
    </row>
    <row r="145" spans="1:12" ht="15" x14ac:dyDescent="0.25">
      <c r="A145" s="1">
        <v>136</v>
      </c>
      <c r="B145" s="1" t="s">
        <v>22</v>
      </c>
      <c r="C145" s="15">
        <v>1010</v>
      </c>
      <c r="D145" s="28">
        <v>15000</v>
      </c>
      <c r="E145" s="1" t="s">
        <v>80</v>
      </c>
      <c r="F145" s="17">
        <v>166.47</v>
      </c>
      <c r="G145" s="16">
        <v>15000</v>
      </c>
      <c r="H145" s="5">
        <f t="shared" si="12"/>
        <v>0</v>
      </c>
      <c r="I145" s="30">
        <v>150000</v>
      </c>
      <c r="J145" s="30" t="s">
        <v>287</v>
      </c>
      <c r="K145" s="84" t="s">
        <v>438</v>
      </c>
      <c r="L145" s="45"/>
    </row>
    <row r="146" spans="1:12" ht="15" x14ac:dyDescent="0.25">
      <c r="A146" s="1">
        <v>137</v>
      </c>
      <c r="B146" s="1" t="s">
        <v>22</v>
      </c>
      <c r="C146" s="15">
        <v>1215</v>
      </c>
      <c r="D146" s="28">
        <v>13000</v>
      </c>
      <c r="E146" s="1" t="s">
        <v>80</v>
      </c>
      <c r="F146" s="17">
        <v>140.07</v>
      </c>
      <c r="G146" s="16">
        <v>13000</v>
      </c>
      <c r="H146" s="5">
        <f t="shared" si="12"/>
        <v>0</v>
      </c>
      <c r="I146" s="30">
        <v>400000</v>
      </c>
      <c r="J146" s="30" t="s">
        <v>288</v>
      </c>
      <c r="K146" s="84" t="s">
        <v>438</v>
      </c>
      <c r="L146" s="45"/>
    </row>
    <row r="147" spans="1:12" ht="15" x14ac:dyDescent="0.25">
      <c r="A147" s="1">
        <v>138</v>
      </c>
      <c r="B147" s="1" t="s">
        <v>22</v>
      </c>
      <c r="C147" s="15" t="s">
        <v>24</v>
      </c>
      <c r="D147" s="16">
        <v>7000</v>
      </c>
      <c r="E147" s="1" t="s">
        <v>80</v>
      </c>
      <c r="F147" s="17">
        <v>75.819999999999993</v>
      </c>
      <c r="G147" s="16">
        <v>7000</v>
      </c>
      <c r="H147" s="5">
        <f t="shared" si="12"/>
        <v>0</v>
      </c>
      <c r="I147" s="30">
        <v>300000</v>
      </c>
      <c r="J147" s="30" t="s">
        <v>289</v>
      </c>
      <c r="K147" s="84" t="s">
        <v>438</v>
      </c>
      <c r="L147" s="45"/>
    </row>
    <row r="148" spans="1:12" ht="15" x14ac:dyDescent="0.25">
      <c r="A148" s="1">
        <v>139</v>
      </c>
      <c r="B148" s="1" t="s">
        <v>22</v>
      </c>
      <c r="C148" s="15" t="s">
        <v>25</v>
      </c>
      <c r="D148" s="16">
        <v>30000</v>
      </c>
      <c r="E148" s="1" t="s">
        <v>80</v>
      </c>
      <c r="F148" s="17">
        <v>329.35</v>
      </c>
      <c r="G148" s="16">
        <v>30000</v>
      </c>
      <c r="H148" s="5">
        <f t="shared" si="12"/>
        <v>0</v>
      </c>
      <c r="I148" s="30">
        <v>300000</v>
      </c>
      <c r="J148" s="30" t="s">
        <v>290</v>
      </c>
      <c r="K148" s="84" t="s">
        <v>438</v>
      </c>
      <c r="L148" s="45"/>
    </row>
    <row r="149" spans="1:12" ht="15" x14ac:dyDescent="0.25">
      <c r="A149" s="1">
        <v>140</v>
      </c>
      <c r="B149" s="1" t="s">
        <v>22</v>
      </c>
      <c r="C149" s="15" t="s">
        <v>41</v>
      </c>
      <c r="D149" s="16">
        <v>25000</v>
      </c>
      <c r="E149" s="1" t="s">
        <v>80</v>
      </c>
      <c r="F149" s="17">
        <v>270.79000000000002</v>
      </c>
      <c r="G149" s="16">
        <v>25000</v>
      </c>
      <c r="H149" s="5">
        <f t="shared" si="12"/>
        <v>0</v>
      </c>
      <c r="I149" s="30">
        <v>300000</v>
      </c>
      <c r="J149" s="30" t="s">
        <v>292</v>
      </c>
      <c r="K149" s="84" t="s">
        <v>438</v>
      </c>
      <c r="L149" s="45"/>
    </row>
    <row r="150" spans="1:12" ht="15" x14ac:dyDescent="0.25">
      <c r="A150" s="1">
        <v>141</v>
      </c>
      <c r="B150" s="1" t="s">
        <v>22</v>
      </c>
      <c r="C150" s="15" t="s">
        <v>40</v>
      </c>
      <c r="D150" s="16">
        <v>20000</v>
      </c>
      <c r="E150" s="1" t="s">
        <v>80</v>
      </c>
      <c r="F150" s="17">
        <v>216.63</v>
      </c>
      <c r="G150" s="16">
        <v>20000</v>
      </c>
      <c r="H150" s="5">
        <f t="shared" si="12"/>
        <v>0</v>
      </c>
      <c r="I150" s="30">
        <v>300000</v>
      </c>
      <c r="J150" s="30" t="s">
        <v>293</v>
      </c>
      <c r="K150" s="84" t="s">
        <v>438</v>
      </c>
      <c r="L150" s="45"/>
    </row>
    <row r="151" spans="1:12" ht="15" x14ac:dyDescent="0.25">
      <c r="A151" s="1">
        <v>142</v>
      </c>
      <c r="B151" s="1" t="s">
        <v>22</v>
      </c>
      <c r="C151" s="15" t="s">
        <v>26</v>
      </c>
      <c r="D151" s="16">
        <v>12000</v>
      </c>
      <c r="E151" s="1" t="s">
        <v>80</v>
      </c>
      <c r="F151" s="17">
        <v>129.97999999999999</v>
      </c>
      <c r="G151" s="16">
        <v>12000</v>
      </c>
      <c r="H151" s="5">
        <f t="shared" si="12"/>
        <v>0</v>
      </c>
      <c r="I151" s="30">
        <v>300000</v>
      </c>
      <c r="J151" s="30" t="s">
        <v>294</v>
      </c>
      <c r="K151" s="84" t="s">
        <v>438</v>
      </c>
      <c r="L151" s="45"/>
    </row>
    <row r="152" spans="1:12" ht="15" x14ac:dyDescent="0.25">
      <c r="A152" s="1">
        <v>143</v>
      </c>
      <c r="B152" s="1" t="s">
        <v>22</v>
      </c>
      <c r="C152" s="15" t="s">
        <v>27</v>
      </c>
      <c r="D152" s="16">
        <v>21000</v>
      </c>
      <c r="E152" s="1" t="s">
        <v>80</v>
      </c>
      <c r="F152" s="17">
        <v>227.96</v>
      </c>
      <c r="G152" s="16">
        <v>21000</v>
      </c>
      <c r="H152" s="5">
        <f t="shared" si="12"/>
        <v>0</v>
      </c>
      <c r="I152" s="30">
        <v>300000</v>
      </c>
      <c r="J152" s="30" t="s">
        <v>297</v>
      </c>
      <c r="K152" s="84" t="s">
        <v>438</v>
      </c>
      <c r="L152" s="45"/>
    </row>
    <row r="153" spans="1:12" ht="15" x14ac:dyDescent="0.25">
      <c r="A153" s="1">
        <v>144</v>
      </c>
      <c r="B153" s="1" t="s">
        <v>22</v>
      </c>
      <c r="C153" s="15" t="s">
        <v>28</v>
      </c>
      <c r="D153" s="16">
        <v>21000</v>
      </c>
      <c r="E153" s="1" t="s">
        <v>80</v>
      </c>
      <c r="F153" s="17">
        <v>227.96</v>
      </c>
      <c r="G153" s="16">
        <v>21000</v>
      </c>
      <c r="H153" s="5">
        <f t="shared" si="12"/>
        <v>0</v>
      </c>
      <c r="I153" s="30">
        <v>400000</v>
      </c>
      <c r="J153" s="30" t="s">
        <v>298</v>
      </c>
      <c r="K153" s="84" t="s">
        <v>438</v>
      </c>
      <c r="L153" s="45"/>
    </row>
    <row r="154" spans="1:12" ht="15" x14ac:dyDescent="0.25">
      <c r="A154" s="1">
        <v>145</v>
      </c>
      <c r="B154" s="1" t="s">
        <v>23</v>
      </c>
      <c r="C154" s="15" t="s">
        <v>30</v>
      </c>
      <c r="D154" s="16">
        <v>5000</v>
      </c>
      <c r="E154" s="1" t="s">
        <v>80</v>
      </c>
      <c r="F154" s="17">
        <v>53.69</v>
      </c>
      <c r="G154" s="16">
        <v>5000</v>
      </c>
      <c r="H154" s="5">
        <f t="shared" si="12"/>
        <v>0</v>
      </c>
      <c r="I154" s="30">
        <v>500000</v>
      </c>
      <c r="J154" s="30" t="s">
        <v>299</v>
      </c>
      <c r="K154" s="84" t="s">
        <v>438</v>
      </c>
      <c r="L154" s="45"/>
    </row>
    <row r="155" spans="1:12" ht="15" x14ac:dyDescent="0.25">
      <c r="A155" s="1">
        <v>146</v>
      </c>
      <c r="B155" s="1" t="s">
        <v>23</v>
      </c>
      <c r="C155" s="15">
        <v>5368</v>
      </c>
      <c r="D155" s="16">
        <v>15000</v>
      </c>
      <c r="E155" s="1" t="s">
        <v>80</v>
      </c>
      <c r="F155" s="17">
        <v>161.08000000000001</v>
      </c>
      <c r="G155" s="16">
        <v>15000</v>
      </c>
      <c r="H155" s="5">
        <f t="shared" si="12"/>
        <v>0</v>
      </c>
      <c r="I155" s="30">
        <v>400000</v>
      </c>
      <c r="J155" s="30" t="s">
        <v>301</v>
      </c>
      <c r="K155" s="84" t="s">
        <v>438</v>
      </c>
      <c r="L155" s="45"/>
    </row>
    <row r="156" spans="1:12" ht="15" x14ac:dyDescent="0.25">
      <c r="A156" s="1">
        <v>147</v>
      </c>
      <c r="B156" s="1" t="s">
        <v>23</v>
      </c>
      <c r="C156" s="15">
        <v>3521</v>
      </c>
      <c r="D156" s="16">
        <v>17000</v>
      </c>
      <c r="E156" s="1" t="s">
        <v>80</v>
      </c>
      <c r="F156" s="17">
        <v>182.55</v>
      </c>
      <c r="G156" s="16">
        <v>17000</v>
      </c>
      <c r="H156" s="5">
        <f t="shared" si="12"/>
        <v>0</v>
      </c>
      <c r="I156" s="30">
        <v>300000</v>
      </c>
      <c r="J156" s="30" t="s">
        <v>304</v>
      </c>
      <c r="K156" s="84" t="s">
        <v>438</v>
      </c>
      <c r="L156" s="45"/>
    </row>
    <row r="157" spans="1:12" ht="15" x14ac:dyDescent="0.25">
      <c r="A157" s="1">
        <v>148</v>
      </c>
      <c r="B157" s="1" t="s">
        <v>23</v>
      </c>
      <c r="C157" s="15">
        <v>2056</v>
      </c>
      <c r="D157" s="16">
        <v>18000</v>
      </c>
      <c r="E157" s="1" t="s">
        <v>80</v>
      </c>
      <c r="F157" s="17">
        <v>193.3</v>
      </c>
      <c r="G157" s="16">
        <v>18000</v>
      </c>
      <c r="H157" s="5">
        <f t="shared" si="12"/>
        <v>0</v>
      </c>
      <c r="I157" s="30">
        <v>300000</v>
      </c>
      <c r="J157" s="30" t="s">
        <v>306</v>
      </c>
      <c r="K157" s="84" t="s">
        <v>438</v>
      </c>
      <c r="L157" s="45"/>
    </row>
    <row r="158" spans="1:12" ht="15" x14ac:dyDescent="0.25">
      <c r="A158" s="1">
        <v>149</v>
      </c>
      <c r="B158" s="1" t="s">
        <v>23</v>
      </c>
      <c r="C158" s="15">
        <v>4126</v>
      </c>
      <c r="D158" s="16">
        <v>13000</v>
      </c>
      <c r="E158" s="1" t="s">
        <v>80</v>
      </c>
      <c r="F158" s="17">
        <v>139.6</v>
      </c>
      <c r="G158" s="16">
        <v>13000</v>
      </c>
      <c r="H158" s="5">
        <f t="shared" si="12"/>
        <v>0</v>
      </c>
      <c r="I158" s="30">
        <v>400000</v>
      </c>
      <c r="J158" s="30" t="s">
        <v>307</v>
      </c>
      <c r="K158" s="84" t="s">
        <v>438</v>
      </c>
      <c r="L158" s="45"/>
    </row>
    <row r="159" spans="1:12" ht="15" x14ac:dyDescent="0.25">
      <c r="A159" s="1">
        <v>150</v>
      </c>
      <c r="B159" s="1" t="s">
        <v>23</v>
      </c>
      <c r="C159" s="15">
        <v>5324</v>
      </c>
      <c r="D159" s="16">
        <v>10000</v>
      </c>
      <c r="E159" s="1" t="s">
        <v>80</v>
      </c>
      <c r="F159" s="17">
        <v>107.39</v>
      </c>
      <c r="G159" s="16">
        <v>10000</v>
      </c>
      <c r="H159" s="5">
        <f t="shared" si="12"/>
        <v>0</v>
      </c>
      <c r="I159" s="30">
        <v>300000</v>
      </c>
      <c r="J159" s="30" t="s">
        <v>308</v>
      </c>
      <c r="K159" s="84" t="s">
        <v>438</v>
      </c>
      <c r="L159" s="45"/>
    </row>
    <row r="160" spans="1:12" ht="15" x14ac:dyDescent="0.25">
      <c r="A160" s="1">
        <v>151</v>
      </c>
      <c r="B160" s="1" t="s">
        <v>23</v>
      </c>
      <c r="C160" s="15" t="s">
        <v>42</v>
      </c>
      <c r="D160">
        <v>12000</v>
      </c>
      <c r="E160" s="1" t="s">
        <v>80</v>
      </c>
      <c r="F160" s="17">
        <v>133.19999999999999</v>
      </c>
      <c r="G160" s="16">
        <v>12000</v>
      </c>
      <c r="H160" s="5">
        <f t="shared" si="12"/>
        <v>0</v>
      </c>
      <c r="I160" s="30">
        <v>200000</v>
      </c>
      <c r="J160" s="30" t="s">
        <v>309</v>
      </c>
      <c r="K160" s="84" t="s">
        <v>438</v>
      </c>
      <c r="L160" s="45"/>
    </row>
    <row r="161" spans="1:12" ht="15" x14ac:dyDescent="0.25">
      <c r="A161" s="1">
        <v>152</v>
      </c>
      <c r="B161" s="1" t="s">
        <v>23</v>
      </c>
      <c r="C161" s="15">
        <v>932</v>
      </c>
      <c r="D161" s="16">
        <v>18000</v>
      </c>
      <c r="E161" s="1" t="s">
        <v>80</v>
      </c>
      <c r="F161" s="17">
        <v>193.2</v>
      </c>
      <c r="G161" s="16">
        <v>18000</v>
      </c>
      <c r="H161" s="5">
        <f t="shared" si="12"/>
        <v>0</v>
      </c>
      <c r="I161" s="30">
        <v>400000</v>
      </c>
      <c r="J161" s="30" t="s">
        <v>311</v>
      </c>
      <c r="K161" s="84" t="s">
        <v>438</v>
      </c>
      <c r="L161" s="45"/>
    </row>
    <row r="162" spans="1:12" ht="15" x14ac:dyDescent="0.25">
      <c r="A162" s="1">
        <v>153</v>
      </c>
      <c r="B162" s="1" t="s">
        <v>23</v>
      </c>
      <c r="C162" s="15" t="s">
        <v>43</v>
      </c>
      <c r="D162" s="16">
        <v>4500</v>
      </c>
      <c r="E162" s="1" t="s">
        <v>80</v>
      </c>
      <c r="F162" s="17">
        <v>48.3</v>
      </c>
      <c r="G162" s="16">
        <v>4500</v>
      </c>
      <c r="H162" s="5">
        <f t="shared" si="12"/>
        <v>0</v>
      </c>
      <c r="I162" s="171">
        <v>300000</v>
      </c>
      <c r="J162" s="171" t="s">
        <v>313</v>
      </c>
      <c r="K162" s="216" t="s">
        <v>312</v>
      </c>
      <c r="L162" s="216"/>
    </row>
    <row r="163" spans="1:12" ht="15" x14ac:dyDescent="0.25">
      <c r="A163" s="1">
        <v>154</v>
      </c>
      <c r="B163" s="1" t="s">
        <v>23</v>
      </c>
      <c r="C163" s="15">
        <v>3877</v>
      </c>
      <c r="D163" s="16">
        <v>30000</v>
      </c>
      <c r="E163" s="1" t="s">
        <v>80</v>
      </c>
      <c r="F163" s="17">
        <v>322.16000000000003</v>
      </c>
      <c r="G163" s="16">
        <v>30000</v>
      </c>
      <c r="H163" s="5">
        <f t="shared" si="12"/>
        <v>0</v>
      </c>
      <c r="I163" s="171">
        <v>300000</v>
      </c>
      <c r="J163" s="171" t="s">
        <v>315</v>
      </c>
      <c r="K163" s="216" t="s">
        <v>312</v>
      </c>
      <c r="L163" s="216"/>
    </row>
    <row r="164" spans="1:12" ht="15" x14ac:dyDescent="0.25">
      <c r="A164" s="1">
        <v>155</v>
      </c>
      <c r="B164" s="1" t="s">
        <v>23</v>
      </c>
      <c r="C164" s="15">
        <v>6651</v>
      </c>
      <c r="D164" s="16">
        <v>32000</v>
      </c>
      <c r="E164" s="1" t="s">
        <v>80</v>
      </c>
      <c r="F164" s="17">
        <v>343.16</v>
      </c>
      <c r="G164" s="16">
        <v>32000</v>
      </c>
      <c r="H164" s="5">
        <f t="shared" si="12"/>
        <v>0</v>
      </c>
      <c r="I164" s="171">
        <v>250000</v>
      </c>
      <c r="J164" s="171" t="s">
        <v>316</v>
      </c>
      <c r="K164" s="216" t="s">
        <v>312</v>
      </c>
      <c r="L164" s="216"/>
    </row>
    <row r="165" spans="1:12" ht="15" x14ac:dyDescent="0.25">
      <c r="A165" s="1">
        <v>156</v>
      </c>
      <c r="B165" s="1" t="s">
        <v>23</v>
      </c>
      <c r="C165" s="15">
        <v>5370</v>
      </c>
      <c r="D165" s="16">
        <v>30000</v>
      </c>
      <c r="E165" s="1" t="s">
        <v>80</v>
      </c>
      <c r="F165" s="17">
        <v>322.16000000000003</v>
      </c>
      <c r="G165" s="16">
        <v>30000</v>
      </c>
      <c r="H165" s="5">
        <f t="shared" si="12"/>
        <v>0</v>
      </c>
      <c r="I165" s="30">
        <v>300000</v>
      </c>
      <c r="J165" s="30" t="s">
        <v>317</v>
      </c>
      <c r="K165" s="84" t="s">
        <v>438</v>
      </c>
      <c r="L165" s="45"/>
    </row>
    <row r="166" spans="1:12" ht="15" x14ac:dyDescent="0.25">
      <c r="A166" s="1">
        <v>157</v>
      </c>
      <c r="B166" s="1" t="s">
        <v>23</v>
      </c>
      <c r="C166" s="15">
        <v>9101</v>
      </c>
      <c r="D166" s="16">
        <v>13000</v>
      </c>
      <c r="E166" s="1" t="s">
        <v>80</v>
      </c>
      <c r="F166" s="17">
        <v>139.6</v>
      </c>
      <c r="G166" s="16">
        <v>13000</v>
      </c>
      <c r="H166" s="5">
        <f t="shared" si="12"/>
        <v>0</v>
      </c>
      <c r="I166" s="30">
        <v>400000</v>
      </c>
      <c r="J166" s="30" t="s">
        <v>319</v>
      </c>
      <c r="K166" s="84" t="s">
        <v>438</v>
      </c>
      <c r="L166" s="45"/>
    </row>
    <row r="167" spans="1:12" ht="15" x14ac:dyDescent="0.25">
      <c r="A167" s="1">
        <v>158</v>
      </c>
      <c r="B167" s="1" t="s">
        <v>23</v>
      </c>
      <c r="C167" s="15">
        <v>9033</v>
      </c>
      <c r="D167" s="16">
        <v>10000</v>
      </c>
      <c r="E167" s="1" t="s">
        <v>80</v>
      </c>
      <c r="F167" s="17">
        <v>107.39</v>
      </c>
      <c r="G167" s="16">
        <v>10000</v>
      </c>
      <c r="H167" s="5">
        <f t="shared" si="12"/>
        <v>0</v>
      </c>
      <c r="I167" s="30">
        <v>400000</v>
      </c>
      <c r="J167" s="30" t="s">
        <v>320</v>
      </c>
      <c r="K167" s="84" t="s">
        <v>438</v>
      </c>
      <c r="L167" s="45"/>
    </row>
    <row r="168" spans="1:12" ht="15" x14ac:dyDescent="0.25">
      <c r="A168" s="1">
        <v>159</v>
      </c>
      <c r="B168" s="1" t="s">
        <v>23</v>
      </c>
      <c r="C168" s="15">
        <v>3540</v>
      </c>
      <c r="D168" s="16">
        <v>8000</v>
      </c>
      <c r="E168" s="1" t="s">
        <v>80</v>
      </c>
      <c r="F168" s="17">
        <v>150.4</v>
      </c>
      <c r="G168" s="16">
        <v>8000</v>
      </c>
      <c r="H168" s="5">
        <f t="shared" si="12"/>
        <v>0</v>
      </c>
      <c r="I168" s="30">
        <v>150000</v>
      </c>
      <c r="J168" s="30" t="s">
        <v>322</v>
      </c>
      <c r="K168" s="84" t="s">
        <v>438</v>
      </c>
      <c r="L168" s="45"/>
    </row>
    <row r="169" spans="1:12" ht="15" x14ac:dyDescent="0.25">
      <c r="A169" s="1">
        <v>160</v>
      </c>
      <c r="B169" s="1" t="s">
        <v>23</v>
      </c>
      <c r="C169" s="15">
        <v>497</v>
      </c>
      <c r="D169" s="16">
        <v>25000</v>
      </c>
      <c r="E169" s="1" t="s">
        <v>80</v>
      </c>
      <c r="F169" s="17">
        <v>268.47000000000003</v>
      </c>
      <c r="G169" s="16">
        <v>25000</v>
      </c>
      <c r="H169" s="5">
        <f t="shared" si="12"/>
        <v>0</v>
      </c>
      <c r="I169" s="30">
        <v>200000</v>
      </c>
      <c r="J169" s="30" t="s">
        <v>324</v>
      </c>
      <c r="K169" s="84" t="s">
        <v>438</v>
      </c>
      <c r="L169" s="45"/>
    </row>
    <row r="170" spans="1:12" ht="15" x14ac:dyDescent="0.25">
      <c r="A170" s="1">
        <v>161</v>
      </c>
      <c r="B170" s="1" t="s">
        <v>23</v>
      </c>
      <c r="C170" s="15">
        <v>8644</v>
      </c>
      <c r="D170" s="16">
        <v>9000</v>
      </c>
      <c r="E170" s="1" t="s">
        <v>80</v>
      </c>
      <c r="F170" s="17">
        <v>96.95</v>
      </c>
      <c r="G170" s="16">
        <v>9000</v>
      </c>
      <c r="H170" s="5">
        <f t="shared" si="12"/>
        <v>0</v>
      </c>
      <c r="I170" s="30">
        <v>200000</v>
      </c>
      <c r="J170" s="30" t="s">
        <v>325</v>
      </c>
      <c r="K170" s="84" t="s">
        <v>438</v>
      </c>
      <c r="L170" s="45"/>
    </row>
    <row r="171" spans="1:12" ht="15" x14ac:dyDescent="0.25">
      <c r="A171" s="1">
        <v>162</v>
      </c>
      <c r="B171" s="1" t="s">
        <v>23</v>
      </c>
      <c r="C171" s="15">
        <v>8549</v>
      </c>
      <c r="D171" s="16">
        <v>25000</v>
      </c>
      <c r="E171" s="1" t="s">
        <v>80</v>
      </c>
      <c r="F171" s="17">
        <v>249.15</v>
      </c>
      <c r="G171" s="16">
        <v>25000</v>
      </c>
      <c r="H171" s="5">
        <f t="shared" si="12"/>
        <v>0</v>
      </c>
      <c r="I171" s="30">
        <v>150000</v>
      </c>
      <c r="J171" s="30" t="s">
        <v>328</v>
      </c>
      <c r="K171" s="84" t="s">
        <v>438</v>
      </c>
      <c r="L171" s="45"/>
    </row>
    <row r="172" spans="1:12" ht="15" x14ac:dyDescent="0.25">
      <c r="A172" s="1">
        <v>163</v>
      </c>
      <c r="B172" s="1" t="s">
        <v>29</v>
      </c>
      <c r="C172" s="15">
        <v>4393</v>
      </c>
      <c r="D172" s="28">
        <v>21000</v>
      </c>
      <c r="E172" s="1" t="s">
        <v>80</v>
      </c>
      <c r="F172" s="17">
        <v>225.52</v>
      </c>
      <c r="G172" s="16">
        <v>21000</v>
      </c>
      <c r="H172" s="5">
        <f t="shared" ref="H172:H203" si="13">D172-G172</f>
        <v>0</v>
      </c>
      <c r="I172" s="30">
        <v>150000</v>
      </c>
      <c r="J172" s="30" t="s">
        <v>329</v>
      </c>
      <c r="K172" s="84" t="s">
        <v>438</v>
      </c>
      <c r="L172" s="45"/>
    </row>
    <row r="173" spans="1:12" ht="15" x14ac:dyDescent="0.25">
      <c r="A173" s="1">
        <v>164</v>
      </c>
      <c r="B173" s="1" t="s">
        <v>29</v>
      </c>
      <c r="C173" s="15">
        <v>5185</v>
      </c>
      <c r="D173" s="28">
        <v>9000</v>
      </c>
      <c r="E173" s="1" t="s">
        <v>80</v>
      </c>
      <c r="F173" s="17">
        <v>96.65</v>
      </c>
      <c r="G173" s="16">
        <v>9000</v>
      </c>
      <c r="H173" s="5">
        <f t="shared" si="13"/>
        <v>0</v>
      </c>
      <c r="I173" s="30">
        <v>150000</v>
      </c>
      <c r="J173" s="30" t="s">
        <v>334</v>
      </c>
      <c r="K173" s="84" t="s">
        <v>438</v>
      </c>
      <c r="L173" s="45"/>
    </row>
    <row r="174" spans="1:12" ht="15" x14ac:dyDescent="0.25">
      <c r="A174" s="1">
        <v>165</v>
      </c>
      <c r="B174" s="1" t="s">
        <v>29</v>
      </c>
      <c r="C174" s="15" t="s">
        <v>44</v>
      </c>
      <c r="D174" s="28">
        <v>26000</v>
      </c>
      <c r="E174" s="1" t="s">
        <v>80</v>
      </c>
      <c r="F174" s="17">
        <v>279.20999999999998</v>
      </c>
      <c r="G174" s="16">
        <v>26000</v>
      </c>
      <c r="H174" s="5">
        <f t="shared" si="13"/>
        <v>0</v>
      </c>
      <c r="I174" s="30">
        <v>400000</v>
      </c>
      <c r="J174" s="30" t="s">
        <v>340</v>
      </c>
      <c r="K174" s="84" t="s">
        <v>438</v>
      </c>
      <c r="L174" s="45"/>
    </row>
    <row r="175" spans="1:12" ht="15" x14ac:dyDescent="0.25">
      <c r="A175" s="1">
        <v>166</v>
      </c>
      <c r="B175" s="1" t="s">
        <v>29</v>
      </c>
      <c r="C175" s="15" t="s">
        <v>45</v>
      </c>
      <c r="D175" s="28">
        <v>9000</v>
      </c>
      <c r="E175" s="1" t="s">
        <v>80</v>
      </c>
      <c r="F175" s="17">
        <v>96.65</v>
      </c>
      <c r="G175" s="16">
        <v>9000</v>
      </c>
      <c r="H175" s="5">
        <f t="shared" si="13"/>
        <v>0</v>
      </c>
      <c r="I175" s="30">
        <v>300000</v>
      </c>
      <c r="J175" s="30" t="s">
        <v>341</v>
      </c>
      <c r="K175" s="84" t="s">
        <v>438</v>
      </c>
      <c r="L175" s="45"/>
    </row>
    <row r="176" spans="1:12" ht="15" x14ac:dyDescent="0.25">
      <c r="A176" s="1">
        <v>167</v>
      </c>
      <c r="B176" s="1" t="s">
        <v>29</v>
      </c>
      <c r="C176" s="15">
        <v>7514</v>
      </c>
      <c r="D176" s="28">
        <v>29000</v>
      </c>
      <c r="E176" s="1" t="s">
        <v>80</v>
      </c>
      <c r="F176" s="17">
        <v>311.42</v>
      </c>
      <c r="G176" s="16">
        <v>29000</v>
      </c>
      <c r="H176" s="5">
        <f t="shared" si="13"/>
        <v>0</v>
      </c>
      <c r="I176" s="30">
        <v>300000</v>
      </c>
      <c r="J176" s="30" t="s">
        <v>343</v>
      </c>
      <c r="K176" s="84" t="s">
        <v>438</v>
      </c>
      <c r="L176" s="45"/>
    </row>
    <row r="177" spans="1:12" ht="15" x14ac:dyDescent="0.25">
      <c r="A177" s="1">
        <v>168</v>
      </c>
      <c r="B177" s="1" t="s">
        <v>29</v>
      </c>
      <c r="C177" s="15">
        <v>4924</v>
      </c>
      <c r="D177" s="28">
        <v>12000</v>
      </c>
      <c r="E177" s="1" t="s">
        <v>80</v>
      </c>
      <c r="F177" s="17">
        <v>128.87</v>
      </c>
      <c r="G177" s="16">
        <v>12000</v>
      </c>
      <c r="H177" s="5">
        <f t="shared" si="13"/>
        <v>0</v>
      </c>
      <c r="I177" s="30">
        <v>200000</v>
      </c>
      <c r="J177" s="30" t="s">
        <v>344</v>
      </c>
      <c r="K177" s="84" t="s">
        <v>438</v>
      </c>
      <c r="L177" s="45"/>
    </row>
    <row r="178" spans="1:12" ht="15" x14ac:dyDescent="0.25">
      <c r="A178" s="1">
        <v>169</v>
      </c>
      <c r="B178" s="1" t="s">
        <v>29</v>
      </c>
      <c r="C178" s="15" t="s">
        <v>30</v>
      </c>
      <c r="D178" s="28">
        <v>3500</v>
      </c>
      <c r="E178" s="1" t="s">
        <v>80</v>
      </c>
      <c r="F178" s="17">
        <v>37.58</v>
      </c>
      <c r="G178" s="16">
        <v>3500</v>
      </c>
      <c r="H178" s="5">
        <f t="shared" si="13"/>
        <v>0</v>
      </c>
      <c r="I178" s="30">
        <v>200000</v>
      </c>
      <c r="J178" s="30" t="s">
        <v>345</v>
      </c>
      <c r="K178" s="84" t="s">
        <v>438</v>
      </c>
      <c r="L178" s="45"/>
    </row>
    <row r="179" spans="1:12" ht="15" x14ac:dyDescent="0.25">
      <c r="A179" s="1">
        <v>170</v>
      </c>
      <c r="B179" s="1" t="s">
        <v>29</v>
      </c>
      <c r="C179" s="15">
        <v>7029</v>
      </c>
      <c r="D179" s="28">
        <v>12000</v>
      </c>
      <c r="E179" s="1" t="s">
        <v>80</v>
      </c>
      <c r="F179" s="17">
        <v>128.86000000000001</v>
      </c>
      <c r="G179" s="16">
        <v>12000</v>
      </c>
      <c r="H179" s="5">
        <f t="shared" si="13"/>
        <v>0</v>
      </c>
      <c r="I179" s="30">
        <v>200000</v>
      </c>
      <c r="J179" s="30" t="s">
        <v>346</v>
      </c>
      <c r="K179" s="84" t="s">
        <v>438</v>
      </c>
      <c r="L179" s="45"/>
    </row>
    <row r="180" spans="1:12" ht="15" x14ac:dyDescent="0.25">
      <c r="A180" s="1">
        <v>171</v>
      </c>
      <c r="B180" s="1" t="s">
        <v>29</v>
      </c>
      <c r="C180" s="15">
        <v>3505</v>
      </c>
      <c r="D180" s="16">
        <v>29000</v>
      </c>
      <c r="E180" s="1" t="s">
        <v>80</v>
      </c>
      <c r="F180" s="17">
        <v>311.43</v>
      </c>
      <c r="G180" s="16">
        <v>29000</v>
      </c>
      <c r="H180" s="5">
        <f t="shared" si="13"/>
        <v>0</v>
      </c>
      <c r="I180" s="30">
        <v>200000</v>
      </c>
      <c r="J180" s="30" t="s">
        <v>347</v>
      </c>
      <c r="K180" s="84" t="s">
        <v>438</v>
      </c>
      <c r="L180" s="45"/>
    </row>
    <row r="181" spans="1:12" ht="15" x14ac:dyDescent="0.25">
      <c r="A181" s="1">
        <v>172</v>
      </c>
      <c r="B181" s="1" t="s">
        <v>29</v>
      </c>
      <c r="C181" s="15">
        <v>7780</v>
      </c>
      <c r="D181" s="16">
        <v>21000</v>
      </c>
      <c r="E181" s="1" t="s">
        <v>80</v>
      </c>
      <c r="F181" s="17">
        <v>225.51</v>
      </c>
      <c r="G181" s="16">
        <v>21000</v>
      </c>
      <c r="H181" s="5">
        <f t="shared" si="13"/>
        <v>0</v>
      </c>
      <c r="I181" s="30">
        <v>200000</v>
      </c>
      <c r="J181" s="30" t="s">
        <v>348</v>
      </c>
      <c r="K181" s="84" t="s">
        <v>438</v>
      </c>
      <c r="L181" s="45"/>
    </row>
    <row r="182" spans="1:12" ht="15" x14ac:dyDescent="0.25">
      <c r="A182" s="1">
        <v>173</v>
      </c>
      <c r="B182" s="1" t="s">
        <v>29</v>
      </c>
      <c r="C182" s="15">
        <v>1220</v>
      </c>
      <c r="D182" s="16">
        <v>14000</v>
      </c>
      <c r="E182" s="1" t="s">
        <v>80</v>
      </c>
      <c r="F182" s="17">
        <v>150.34</v>
      </c>
      <c r="G182" s="16">
        <v>14000</v>
      </c>
      <c r="H182" s="5">
        <f t="shared" si="13"/>
        <v>0</v>
      </c>
      <c r="I182" s="30">
        <v>400000</v>
      </c>
      <c r="J182" s="30" t="s">
        <v>350</v>
      </c>
      <c r="K182" s="84" t="s">
        <v>438</v>
      </c>
      <c r="L182" s="45"/>
    </row>
    <row r="183" spans="1:12" ht="15" x14ac:dyDescent="0.25">
      <c r="A183" s="1">
        <v>174</v>
      </c>
      <c r="B183" s="1" t="s">
        <v>29</v>
      </c>
      <c r="C183" s="15">
        <v>941</v>
      </c>
      <c r="D183" s="16">
        <v>14000</v>
      </c>
      <c r="E183" s="1" t="s">
        <v>80</v>
      </c>
      <c r="F183" s="17">
        <v>150.34</v>
      </c>
      <c r="G183" s="16">
        <v>14000</v>
      </c>
      <c r="H183" s="5">
        <f t="shared" si="13"/>
        <v>0</v>
      </c>
      <c r="I183" s="30">
        <v>400000</v>
      </c>
      <c r="J183" s="30" t="s">
        <v>352</v>
      </c>
      <c r="K183" s="84" t="s">
        <v>438</v>
      </c>
      <c r="L183" s="45"/>
    </row>
    <row r="184" spans="1:12" ht="15" x14ac:dyDescent="0.25">
      <c r="A184" s="1">
        <v>175</v>
      </c>
      <c r="B184" s="1" t="s">
        <v>29</v>
      </c>
      <c r="C184" s="15">
        <v>1352</v>
      </c>
      <c r="D184" s="16">
        <v>12000</v>
      </c>
      <c r="E184" s="1" t="s">
        <v>80</v>
      </c>
      <c r="F184" s="17">
        <v>128.87</v>
      </c>
      <c r="G184" s="16">
        <v>12000</v>
      </c>
      <c r="H184" s="5">
        <f t="shared" si="13"/>
        <v>0</v>
      </c>
      <c r="I184" s="30">
        <v>100000</v>
      </c>
      <c r="J184" s="30" t="s">
        <v>353</v>
      </c>
      <c r="K184" s="84" t="s">
        <v>438</v>
      </c>
      <c r="L184" s="45"/>
    </row>
    <row r="185" spans="1:12" ht="15" x14ac:dyDescent="0.25">
      <c r="A185" s="1">
        <v>176</v>
      </c>
      <c r="B185" s="1" t="s">
        <v>29</v>
      </c>
      <c r="C185" s="15" t="s">
        <v>46</v>
      </c>
      <c r="D185" s="16">
        <v>5000</v>
      </c>
      <c r="E185" s="1" t="s">
        <v>80</v>
      </c>
      <c r="F185" s="17">
        <v>53.69</v>
      </c>
      <c r="G185" s="16">
        <v>5000</v>
      </c>
      <c r="H185" s="5">
        <f t="shared" si="13"/>
        <v>0</v>
      </c>
      <c r="I185" s="30">
        <v>200000</v>
      </c>
      <c r="J185" s="30" t="s">
        <v>355</v>
      </c>
      <c r="K185" s="84" t="s">
        <v>438</v>
      </c>
      <c r="L185" s="45"/>
    </row>
    <row r="186" spans="1:12" ht="15" x14ac:dyDescent="0.25">
      <c r="A186" s="1">
        <v>177</v>
      </c>
      <c r="B186" s="1" t="s">
        <v>29</v>
      </c>
      <c r="C186" s="15">
        <v>3226</v>
      </c>
      <c r="D186" s="16">
        <v>17000</v>
      </c>
      <c r="E186" s="1" t="s">
        <v>80</v>
      </c>
      <c r="F186" s="17">
        <v>182.56</v>
      </c>
      <c r="G186" s="16">
        <v>17000</v>
      </c>
      <c r="H186" s="5">
        <f t="shared" si="13"/>
        <v>0</v>
      </c>
      <c r="I186" s="30">
        <v>300000</v>
      </c>
      <c r="J186" s="30" t="s">
        <v>357</v>
      </c>
      <c r="K186" s="84" t="s">
        <v>438</v>
      </c>
      <c r="L186" s="45"/>
    </row>
    <row r="187" spans="1:12" ht="15" x14ac:dyDescent="0.25">
      <c r="A187" s="1">
        <v>178</v>
      </c>
      <c r="B187" s="1" t="s">
        <v>29</v>
      </c>
      <c r="C187" s="15">
        <v>4623</v>
      </c>
      <c r="D187" s="16">
        <v>18000</v>
      </c>
      <c r="E187" s="1" t="s">
        <v>80</v>
      </c>
      <c r="F187" s="17">
        <v>193.3</v>
      </c>
      <c r="G187" s="34">
        <v>18000</v>
      </c>
      <c r="H187" s="5">
        <f t="shared" si="13"/>
        <v>0</v>
      </c>
      <c r="I187" s="30">
        <v>300000</v>
      </c>
      <c r="J187" s="30" t="s">
        <v>359</v>
      </c>
      <c r="K187" s="84" t="s">
        <v>438</v>
      </c>
      <c r="L187" s="45"/>
    </row>
    <row r="188" spans="1:12" ht="15" x14ac:dyDescent="0.25">
      <c r="A188" s="1">
        <v>179</v>
      </c>
      <c r="B188" s="1" t="s">
        <v>29</v>
      </c>
      <c r="C188" s="15">
        <v>5305</v>
      </c>
      <c r="D188" s="16">
        <v>22000</v>
      </c>
      <c r="E188" s="1" t="s">
        <v>80</v>
      </c>
      <c r="F188" s="17">
        <v>236.25</v>
      </c>
      <c r="G188" s="16">
        <v>22000</v>
      </c>
      <c r="H188" s="5">
        <f t="shared" si="13"/>
        <v>0</v>
      </c>
      <c r="I188" s="30">
        <v>200000</v>
      </c>
      <c r="J188" s="30" t="s">
        <v>361</v>
      </c>
      <c r="K188" s="84" t="s">
        <v>438</v>
      </c>
      <c r="L188" s="45"/>
    </row>
    <row r="189" spans="1:12" ht="15" x14ac:dyDescent="0.25">
      <c r="A189" s="1">
        <v>180</v>
      </c>
      <c r="B189" s="1" t="s">
        <v>29</v>
      </c>
      <c r="C189" s="15">
        <v>4326</v>
      </c>
      <c r="D189" s="16">
        <v>18000</v>
      </c>
      <c r="E189" s="1" t="s">
        <v>80</v>
      </c>
      <c r="F189" s="17">
        <v>193.3</v>
      </c>
      <c r="G189" s="34">
        <v>18000</v>
      </c>
      <c r="H189" s="5">
        <f t="shared" si="13"/>
        <v>0</v>
      </c>
      <c r="I189" s="30">
        <v>200000</v>
      </c>
      <c r="J189" s="30" t="s">
        <v>362</v>
      </c>
      <c r="K189" s="84" t="s">
        <v>438</v>
      </c>
      <c r="L189" s="45"/>
    </row>
    <row r="190" spans="1:12" ht="15" x14ac:dyDescent="0.25">
      <c r="A190" s="1">
        <v>181</v>
      </c>
      <c r="B190" s="1" t="s">
        <v>29</v>
      </c>
      <c r="C190" s="15">
        <v>8526</v>
      </c>
      <c r="D190" s="16">
        <v>18000</v>
      </c>
      <c r="E190" s="1" t="s">
        <v>80</v>
      </c>
      <c r="F190" s="17">
        <v>193.3</v>
      </c>
      <c r="G190" s="34">
        <v>18000</v>
      </c>
      <c r="H190" s="5">
        <f t="shared" si="13"/>
        <v>0</v>
      </c>
      <c r="I190" s="30">
        <v>200000</v>
      </c>
      <c r="J190" s="30" t="s">
        <v>363</v>
      </c>
      <c r="K190" s="84" t="s">
        <v>438</v>
      </c>
      <c r="L190" s="45"/>
    </row>
    <row r="191" spans="1:12" ht="15" x14ac:dyDescent="0.25">
      <c r="A191" s="1">
        <v>182</v>
      </c>
      <c r="B191" s="1" t="s">
        <v>29</v>
      </c>
      <c r="C191" s="15">
        <v>7466</v>
      </c>
      <c r="D191" s="16">
        <v>8000</v>
      </c>
      <c r="E191" s="1" t="s">
        <v>80</v>
      </c>
      <c r="F191" s="17">
        <v>85.91</v>
      </c>
      <c r="G191" s="16">
        <v>8000</v>
      </c>
      <c r="H191" s="5">
        <f t="shared" si="13"/>
        <v>0</v>
      </c>
      <c r="I191" s="30">
        <v>200000</v>
      </c>
      <c r="J191" s="30" t="s">
        <v>366</v>
      </c>
      <c r="K191" s="84" t="s">
        <v>438</v>
      </c>
      <c r="L191" s="45"/>
    </row>
    <row r="192" spans="1:12" ht="15" x14ac:dyDescent="0.25">
      <c r="A192" s="1">
        <v>183</v>
      </c>
      <c r="B192" s="1" t="s">
        <v>29</v>
      </c>
      <c r="C192" s="15">
        <v>4953</v>
      </c>
      <c r="D192" s="16">
        <v>6000</v>
      </c>
      <c r="E192" s="1" t="s">
        <v>80</v>
      </c>
      <c r="F192" s="17">
        <v>67.430000000000007</v>
      </c>
      <c r="G192" s="16">
        <v>6000</v>
      </c>
      <c r="H192" s="5">
        <f t="shared" si="13"/>
        <v>0</v>
      </c>
      <c r="I192" s="30">
        <v>300000</v>
      </c>
      <c r="J192" s="30" t="s">
        <v>368</v>
      </c>
      <c r="K192" s="84" t="s">
        <v>438</v>
      </c>
      <c r="L192" s="45"/>
    </row>
    <row r="193" spans="1:13" ht="15" x14ac:dyDescent="0.25">
      <c r="A193" s="1">
        <v>184</v>
      </c>
      <c r="B193" s="1" t="s">
        <v>29</v>
      </c>
      <c r="C193" s="15">
        <v>7271</v>
      </c>
      <c r="D193" s="16">
        <v>10000</v>
      </c>
      <c r="E193" s="1" t="s">
        <v>80</v>
      </c>
      <c r="F193" s="17">
        <v>107.39</v>
      </c>
      <c r="G193" s="16">
        <v>10000</v>
      </c>
      <c r="H193" s="5">
        <f t="shared" si="13"/>
        <v>0</v>
      </c>
      <c r="I193" s="30">
        <v>200000</v>
      </c>
      <c r="J193" s="30" t="s">
        <v>369</v>
      </c>
      <c r="K193" s="84" t="s">
        <v>438</v>
      </c>
      <c r="L193" s="45"/>
    </row>
    <row r="194" spans="1:13" ht="15" x14ac:dyDescent="0.25">
      <c r="A194" s="1">
        <v>185</v>
      </c>
      <c r="B194" s="1" t="s">
        <v>29</v>
      </c>
      <c r="C194" s="15">
        <v>1712</v>
      </c>
      <c r="D194" s="16">
        <v>35000</v>
      </c>
      <c r="E194" s="1" t="s">
        <v>80</v>
      </c>
      <c r="F194" s="17">
        <v>375.86</v>
      </c>
      <c r="G194" s="16">
        <v>35000</v>
      </c>
      <c r="H194" s="5">
        <f t="shared" si="13"/>
        <v>0</v>
      </c>
      <c r="I194" s="30">
        <v>200000</v>
      </c>
      <c r="J194" s="30" t="s">
        <v>370</v>
      </c>
      <c r="K194" s="84" t="s">
        <v>438</v>
      </c>
      <c r="L194" s="45"/>
    </row>
    <row r="195" spans="1:13" ht="15" x14ac:dyDescent="0.25">
      <c r="A195" s="1">
        <v>186</v>
      </c>
      <c r="B195" s="1" t="s">
        <v>29</v>
      </c>
      <c r="C195" s="15">
        <v>7562</v>
      </c>
      <c r="D195" s="16">
        <v>18000</v>
      </c>
      <c r="E195" s="1" t="s">
        <v>80</v>
      </c>
      <c r="F195" s="17">
        <v>193.3</v>
      </c>
      <c r="G195" s="34">
        <v>18000</v>
      </c>
      <c r="H195" s="5">
        <f t="shared" si="13"/>
        <v>0</v>
      </c>
      <c r="I195" s="111">
        <v>21730</v>
      </c>
      <c r="J195" s="111" t="s">
        <v>371</v>
      </c>
      <c r="K195" s="112" t="s">
        <v>372</v>
      </c>
      <c r="L195" s="215"/>
      <c r="M195" s="113"/>
    </row>
    <row r="196" spans="1:13" ht="15" x14ac:dyDescent="0.25">
      <c r="A196" s="1">
        <v>187</v>
      </c>
      <c r="B196" s="1" t="s">
        <v>29</v>
      </c>
      <c r="C196" s="15">
        <v>1887</v>
      </c>
      <c r="D196" s="16">
        <v>14000</v>
      </c>
      <c r="E196" s="1" t="s">
        <v>80</v>
      </c>
      <c r="F196" s="17">
        <v>150.34</v>
      </c>
      <c r="G196" s="16">
        <v>14000</v>
      </c>
      <c r="H196" s="5">
        <f t="shared" si="13"/>
        <v>0</v>
      </c>
      <c r="I196" s="111">
        <v>63000</v>
      </c>
      <c r="J196" s="111" t="s">
        <v>371</v>
      </c>
      <c r="K196" s="112" t="s">
        <v>373</v>
      </c>
      <c r="L196" s="215"/>
      <c r="M196" s="113"/>
    </row>
    <row r="197" spans="1:13" ht="15" x14ac:dyDescent="0.25">
      <c r="A197" s="1">
        <v>188</v>
      </c>
      <c r="B197" s="1" t="s">
        <v>29</v>
      </c>
      <c r="C197" s="15">
        <v>1172</v>
      </c>
      <c r="D197" s="1">
        <v>30000</v>
      </c>
      <c r="E197" t="s">
        <v>80</v>
      </c>
      <c r="F197" s="17">
        <v>322.16000000000003</v>
      </c>
      <c r="G197" s="16">
        <v>30000</v>
      </c>
      <c r="H197" s="5">
        <f t="shared" si="13"/>
        <v>0</v>
      </c>
      <c r="I197" s="30">
        <v>150000</v>
      </c>
      <c r="J197" s="30" t="s">
        <v>371</v>
      </c>
      <c r="K197" s="84" t="s">
        <v>482</v>
      </c>
      <c r="L197" s="84"/>
      <c r="M197" s="51"/>
    </row>
    <row r="198" spans="1:13" ht="15" x14ac:dyDescent="0.25">
      <c r="A198" s="1">
        <v>189</v>
      </c>
      <c r="B198" s="1" t="s">
        <v>29</v>
      </c>
      <c r="C198" s="15">
        <v>6717</v>
      </c>
      <c r="D198" s="16">
        <v>23000</v>
      </c>
      <c r="E198" s="1" t="s">
        <v>80</v>
      </c>
      <c r="F198" s="17">
        <v>246.99</v>
      </c>
      <c r="G198" s="16">
        <v>23000</v>
      </c>
      <c r="H198" s="5">
        <f t="shared" si="13"/>
        <v>0</v>
      </c>
      <c r="I198" s="30">
        <v>100000</v>
      </c>
      <c r="J198" s="30" t="s">
        <v>375</v>
      </c>
      <c r="K198" s="84" t="s">
        <v>482</v>
      </c>
      <c r="L198" s="84"/>
      <c r="M198" s="51"/>
    </row>
    <row r="199" spans="1:13" ht="15" x14ac:dyDescent="0.25">
      <c r="A199" s="1">
        <v>190</v>
      </c>
      <c r="B199" s="1" t="s">
        <v>29</v>
      </c>
      <c r="C199" s="15">
        <v>1179</v>
      </c>
      <c r="D199" s="16">
        <v>14000</v>
      </c>
      <c r="E199" s="1" t="s">
        <v>80</v>
      </c>
      <c r="F199" s="17">
        <v>150.34</v>
      </c>
      <c r="G199" s="16">
        <v>14000</v>
      </c>
      <c r="H199" s="5">
        <f t="shared" si="13"/>
        <v>0</v>
      </c>
      <c r="I199" s="30">
        <v>800000</v>
      </c>
      <c r="J199" s="30" t="s">
        <v>379</v>
      </c>
      <c r="K199" s="84" t="s">
        <v>482</v>
      </c>
      <c r="L199" s="84"/>
      <c r="M199" s="51"/>
    </row>
    <row r="200" spans="1:13" ht="15" x14ac:dyDescent="0.25">
      <c r="A200" s="1">
        <v>191</v>
      </c>
      <c r="B200" s="1" t="s">
        <v>29</v>
      </c>
      <c r="C200" s="15">
        <v>1246</v>
      </c>
      <c r="D200" s="16">
        <v>8000</v>
      </c>
      <c r="E200" s="1" t="s">
        <v>80</v>
      </c>
      <c r="F200" s="17">
        <v>85.91</v>
      </c>
      <c r="G200" s="16">
        <v>8000</v>
      </c>
      <c r="H200" s="5">
        <f t="shared" si="13"/>
        <v>0</v>
      </c>
      <c r="I200" s="30">
        <v>100000</v>
      </c>
      <c r="J200" s="30" t="s">
        <v>380</v>
      </c>
      <c r="K200" s="84" t="s">
        <v>482</v>
      </c>
      <c r="L200" s="84"/>
      <c r="M200" s="51"/>
    </row>
    <row r="201" spans="1:13" ht="15" x14ac:dyDescent="0.25">
      <c r="A201" s="1">
        <v>192</v>
      </c>
      <c r="B201" s="1" t="s">
        <v>29</v>
      </c>
      <c r="C201" s="15" t="s">
        <v>47</v>
      </c>
      <c r="D201" s="16">
        <v>5000</v>
      </c>
      <c r="E201" s="1" t="s">
        <v>80</v>
      </c>
      <c r="F201" s="17">
        <v>53.69</v>
      </c>
      <c r="G201" s="16">
        <v>5000</v>
      </c>
      <c r="H201" s="5">
        <f t="shared" si="13"/>
        <v>0</v>
      </c>
      <c r="I201" s="30">
        <v>300000</v>
      </c>
      <c r="J201" s="30" t="s">
        <v>381</v>
      </c>
      <c r="K201" s="84" t="s">
        <v>482</v>
      </c>
      <c r="L201" s="84"/>
      <c r="M201" s="51"/>
    </row>
    <row r="202" spans="1:13" ht="15" x14ac:dyDescent="0.25">
      <c r="A202" s="1">
        <v>193</v>
      </c>
      <c r="B202" s="1" t="s">
        <v>31</v>
      </c>
      <c r="C202" s="15">
        <v>7006</v>
      </c>
      <c r="D202" s="16">
        <v>30000</v>
      </c>
      <c r="E202" s="1" t="s">
        <v>80</v>
      </c>
      <c r="F202" s="17">
        <v>319.42</v>
      </c>
      <c r="G202" s="16">
        <v>30000</v>
      </c>
      <c r="H202" s="5">
        <f t="shared" si="13"/>
        <v>0</v>
      </c>
      <c r="I202" s="30">
        <v>200000</v>
      </c>
      <c r="J202" s="30" t="s">
        <v>384</v>
      </c>
      <c r="K202" s="84" t="s">
        <v>482</v>
      </c>
      <c r="L202" s="84"/>
      <c r="M202" s="51"/>
    </row>
    <row r="203" spans="1:13" ht="15" x14ac:dyDescent="0.25">
      <c r="A203" s="1">
        <v>194</v>
      </c>
      <c r="B203" s="1" t="s">
        <v>31</v>
      </c>
      <c r="C203" s="15">
        <v>6021</v>
      </c>
      <c r="D203" s="16">
        <v>17000</v>
      </c>
      <c r="E203" s="1" t="s">
        <v>80</v>
      </c>
      <c r="F203" s="17">
        <v>181.01</v>
      </c>
      <c r="G203" s="16">
        <v>17000</v>
      </c>
      <c r="H203" s="5">
        <f t="shared" si="13"/>
        <v>0</v>
      </c>
      <c r="I203" s="30">
        <v>200000</v>
      </c>
      <c r="J203" s="30" t="s">
        <v>385</v>
      </c>
      <c r="K203" s="84" t="s">
        <v>482</v>
      </c>
      <c r="L203" s="84"/>
      <c r="M203" s="51"/>
    </row>
    <row r="204" spans="1:13" ht="15" x14ac:dyDescent="0.25">
      <c r="A204" s="1">
        <v>195</v>
      </c>
      <c r="B204" s="1" t="s">
        <v>31</v>
      </c>
      <c r="C204" s="15">
        <v>8010</v>
      </c>
      <c r="D204" s="16">
        <v>24000</v>
      </c>
      <c r="E204" s="1" t="s">
        <v>80</v>
      </c>
      <c r="F204" s="17">
        <v>255.53</v>
      </c>
      <c r="G204" s="16">
        <v>24000</v>
      </c>
      <c r="H204" s="5">
        <f t="shared" ref="H204:H235" si="14">D204-G204</f>
        <v>0</v>
      </c>
      <c r="I204" s="30">
        <v>200000</v>
      </c>
      <c r="J204" s="30" t="s">
        <v>386</v>
      </c>
      <c r="K204" s="84" t="s">
        <v>482</v>
      </c>
      <c r="L204" s="84"/>
      <c r="M204" s="51"/>
    </row>
    <row r="205" spans="1:13" ht="15" x14ac:dyDescent="0.25">
      <c r="A205" s="1">
        <v>196</v>
      </c>
      <c r="B205" s="1" t="s">
        <v>31</v>
      </c>
      <c r="C205" s="15">
        <v>9189</v>
      </c>
      <c r="D205" s="16">
        <v>13000</v>
      </c>
      <c r="E205" s="1" t="s">
        <v>80</v>
      </c>
      <c r="F205" s="17">
        <v>138.41999999999999</v>
      </c>
      <c r="G205" s="16">
        <v>13000</v>
      </c>
      <c r="H205" s="5">
        <f t="shared" si="14"/>
        <v>0</v>
      </c>
      <c r="I205" s="30">
        <v>300000</v>
      </c>
      <c r="J205" s="30" t="s">
        <v>388</v>
      </c>
      <c r="K205" s="84" t="s">
        <v>482</v>
      </c>
      <c r="L205" s="84"/>
      <c r="M205" s="51"/>
    </row>
    <row r="206" spans="1:13" ht="15" x14ac:dyDescent="0.25">
      <c r="A206" s="1">
        <v>197</v>
      </c>
      <c r="B206" s="1" t="s">
        <v>31</v>
      </c>
      <c r="C206" s="15">
        <v>5924</v>
      </c>
      <c r="D206" s="16">
        <v>27000</v>
      </c>
      <c r="E206" s="1" t="s">
        <v>80</v>
      </c>
      <c r="F206" s="17">
        <v>287.48</v>
      </c>
      <c r="G206" s="16">
        <v>27000</v>
      </c>
      <c r="H206" s="5">
        <f t="shared" si="14"/>
        <v>0</v>
      </c>
      <c r="I206" s="30">
        <v>200000</v>
      </c>
      <c r="J206" s="30" t="s">
        <v>389</v>
      </c>
      <c r="K206" s="84" t="s">
        <v>482</v>
      </c>
      <c r="L206" s="84"/>
      <c r="M206" s="51"/>
    </row>
    <row r="207" spans="1:13" ht="15" x14ac:dyDescent="0.25">
      <c r="A207" s="1">
        <v>198</v>
      </c>
      <c r="B207" s="1" t="s">
        <v>31</v>
      </c>
      <c r="C207" s="15">
        <v>2323</v>
      </c>
      <c r="D207" s="16">
        <v>19000</v>
      </c>
      <c r="E207" s="1" t="s">
        <v>80</v>
      </c>
      <c r="F207" s="17">
        <v>202.3</v>
      </c>
      <c r="G207" s="16">
        <v>19000</v>
      </c>
      <c r="H207" s="5">
        <f t="shared" si="14"/>
        <v>0</v>
      </c>
      <c r="I207" s="30">
        <v>200000</v>
      </c>
      <c r="J207" s="30" t="s">
        <v>391</v>
      </c>
      <c r="K207" s="84" t="s">
        <v>482</v>
      </c>
      <c r="L207" s="84"/>
      <c r="M207" s="51"/>
    </row>
    <row r="208" spans="1:13" ht="15" x14ac:dyDescent="0.25">
      <c r="A208" s="1">
        <v>199</v>
      </c>
      <c r="B208" s="1" t="s">
        <v>31</v>
      </c>
      <c r="C208" s="15">
        <v>5826</v>
      </c>
      <c r="D208" s="16">
        <v>10000</v>
      </c>
      <c r="E208" s="1" t="s">
        <v>80</v>
      </c>
      <c r="F208" s="17">
        <v>106.47</v>
      </c>
      <c r="G208" s="16">
        <v>10000</v>
      </c>
      <c r="H208" s="5">
        <f t="shared" si="14"/>
        <v>0</v>
      </c>
      <c r="I208" s="30">
        <v>100000</v>
      </c>
      <c r="J208" s="30" t="s">
        <v>392</v>
      </c>
      <c r="K208" s="84" t="s">
        <v>482</v>
      </c>
      <c r="L208" s="84"/>
      <c r="M208" s="51"/>
    </row>
    <row r="209" spans="1:13" ht="15" x14ac:dyDescent="0.25">
      <c r="A209" s="1">
        <v>200</v>
      </c>
      <c r="B209" s="1" t="s">
        <v>31</v>
      </c>
      <c r="C209" s="15">
        <v>1309</v>
      </c>
      <c r="D209" s="16">
        <v>8000</v>
      </c>
      <c r="E209" s="1" t="s">
        <v>80</v>
      </c>
      <c r="F209" s="17">
        <v>85.18</v>
      </c>
      <c r="G209" s="16">
        <v>8000</v>
      </c>
      <c r="H209" s="5">
        <f t="shared" si="14"/>
        <v>0</v>
      </c>
      <c r="I209" s="30">
        <v>100000</v>
      </c>
      <c r="J209" s="30" t="s">
        <v>393</v>
      </c>
      <c r="K209" s="84" t="s">
        <v>482</v>
      </c>
      <c r="L209" s="84"/>
      <c r="M209" s="51"/>
    </row>
    <row r="210" spans="1:13" ht="15" x14ac:dyDescent="0.25">
      <c r="A210" s="1">
        <v>201</v>
      </c>
      <c r="B210" s="1" t="s">
        <v>31</v>
      </c>
      <c r="C210" s="15">
        <v>2708</v>
      </c>
      <c r="D210" s="16">
        <v>16000</v>
      </c>
      <c r="E210" s="1" t="s">
        <v>80</v>
      </c>
      <c r="F210" s="17">
        <v>170.35</v>
      </c>
      <c r="G210" s="16">
        <v>16000</v>
      </c>
      <c r="H210" s="5">
        <f t="shared" si="14"/>
        <v>0</v>
      </c>
      <c r="I210" s="30">
        <v>200000</v>
      </c>
      <c r="J210" s="30" t="s">
        <v>396</v>
      </c>
      <c r="K210" s="84" t="s">
        <v>482</v>
      </c>
      <c r="L210" s="84"/>
      <c r="M210" s="51"/>
    </row>
    <row r="211" spans="1:13" ht="15" x14ac:dyDescent="0.25">
      <c r="A211" s="1">
        <v>202</v>
      </c>
      <c r="B211" s="1" t="s">
        <v>31</v>
      </c>
      <c r="C211" s="15">
        <v>3579</v>
      </c>
      <c r="D211" s="16">
        <v>32000</v>
      </c>
      <c r="E211" s="1" t="s">
        <v>80</v>
      </c>
      <c r="F211" s="17">
        <v>340.72</v>
      </c>
      <c r="G211" s="16">
        <v>32000</v>
      </c>
      <c r="H211" s="5">
        <f t="shared" si="14"/>
        <v>0</v>
      </c>
      <c r="I211" s="30">
        <v>100000</v>
      </c>
      <c r="J211" s="30" t="s">
        <v>397</v>
      </c>
      <c r="K211" s="84" t="s">
        <v>482</v>
      </c>
      <c r="L211" s="84"/>
      <c r="M211" s="51"/>
    </row>
    <row r="212" spans="1:13" ht="15" x14ac:dyDescent="0.25">
      <c r="A212" s="1">
        <v>203</v>
      </c>
      <c r="B212" s="1" t="s">
        <v>31</v>
      </c>
      <c r="C212" s="15">
        <v>2227</v>
      </c>
      <c r="D212" s="16">
        <v>13000</v>
      </c>
      <c r="E212" s="1" t="s">
        <v>80</v>
      </c>
      <c r="F212" s="17">
        <v>138.41999999999999</v>
      </c>
      <c r="G212" s="16">
        <v>13000</v>
      </c>
      <c r="H212" s="5">
        <f t="shared" si="14"/>
        <v>0</v>
      </c>
      <c r="I212" s="30">
        <v>150000</v>
      </c>
      <c r="J212" s="30" t="s">
        <v>399</v>
      </c>
      <c r="K212" s="84" t="s">
        <v>482</v>
      </c>
      <c r="L212" s="84"/>
      <c r="M212" s="51"/>
    </row>
    <row r="213" spans="1:13" ht="15" x14ac:dyDescent="0.25">
      <c r="A213" s="1">
        <v>204</v>
      </c>
      <c r="B213" s="1" t="s">
        <v>31</v>
      </c>
      <c r="C213" s="15">
        <v>2961</v>
      </c>
      <c r="D213" s="16">
        <v>16000</v>
      </c>
      <c r="E213" s="1" t="s">
        <v>80</v>
      </c>
      <c r="F213" s="17">
        <v>170.36</v>
      </c>
      <c r="G213" s="16">
        <v>16000</v>
      </c>
      <c r="H213" s="5">
        <f t="shared" si="14"/>
        <v>0</v>
      </c>
      <c r="I213" s="30">
        <v>100000</v>
      </c>
      <c r="J213" s="30" t="s">
        <v>400</v>
      </c>
      <c r="K213" s="84" t="s">
        <v>482</v>
      </c>
      <c r="L213" s="84"/>
      <c r="M213" s="51"/>
    </row>
    <row r="214" spans="1:13" ht="15" x14ac:dyDescent="0.25">
      <c r="A214" s="1">
        <v>205</v>
      </c>
      <c r="B214" s="1" t="s">
        <v>31</v>
      </c>
      <c r="C214" s="15">
        <v>2962</v>
      </c>
      <c r="D214" s="16">
        <v>16000</v>
      </c>
      <c r="E214" s="1" t="s">
        <v>80</v>
      </c>
      <c r="F214" s="17">
        <v>170.36</v>
      </c>
      <c r="G214" s="16">
        <v>16000</v>
      </c>
      <c r="H214" s="5">
        <f t="shared" si="14"/>
        <v>0</v>
      </c>
      <c r="I214" s="30">
        <v>100000</v>
      </c>
      <c r="J214" s="30" t="s">
        <v>401</v>
      </c>
      <c r="K214" s="84" t="s">
        <v>482</v>
      </c>
      <c r="L214" s="84"/>
      <c r="M214" s="51"/>
    </row>
    <row r="215" spans="1:13" ht="15" x14ac:dyDescent="0.25">
      <c r="A215" s="1">
        <v>206</v>
      </c>
      <c r="B215" s="1" t="s">
        <v>31</v>
      </c>
      <c r="C215" s="15">
        <v>2233</v>
      </c>
      <c r="D215" s="16">
        <v>14000</v>
      </c>
      <c r="E215" s="1" t="s">
        <v>80</v>
      </c>
      <c r="F215" s="17">
        <f t="shared" ref="F215:F232" si="15">D215/93.92</f>
        <v>149.06303236797274</v>
      </c>
      <c r="G215" s="16">
        <v>14000</v>
      </c>
      <c r="H215" s="5">
        <f t="shared" si="14"/>
        <v>0</v>
      </c>
      <c r="I215" s="30">
        <v>100000</v>
      </c>
      <c r="J215" s="30" t="s">
        <v>403</v>
      </c>
      <c r="K215" s="84" t="s">
        <v>482</v>
      </c>
      <c r="L215" s="84"/>
      <c r="M215" s="51"/>
    </row>
    <row r="216" spans="1:13" ht="15" x14ac:dyDescent="0.25">
      <c r="A216" s="1">
        <v>207</v>
      </c>
      <c r="B216" s="1" t="s">
        <v>31</v>
      </c>
      <c r="C216" s="15">
        <v>2963</v>
      </c>
      <c r="D216" s="16">
        <v>16000</v>
      </c>
      <c r="E216" s="1" t="s">
        <v>80</v>
      </c>
      <c r="F216" s="17">
        <f t="shared" si="15"/>
        <v>170.35775127768312</v>
      </c>
      <c r="G216" s="16">
        <v>16000</v>
      </c>
      <c r="H216" s="5">
        <f t="shared" si="14"/>
        <v>0</v>
      </c>
      <c r="I216" s="30">
        <v>100000</v>
      </c>
      <c r="J216" s="30" t="s">
        <v>404</v>
      </c>
      <c r="K216" s="84" t="s">
        <v>482</v>
      </c>
      <c r="L216" s="84"/>
      <c r="M216" s="51"/>
    </row>
    <row r="217" spans="1:13" ht="15" x14ac:dyDescent="0.25">
      <c r="A217" s="1">
        <v>208</v>
      </c>
      <c r="B217" s="1" t="s">
        <v>31</v>
      </c>
      <c r="C217" s="15">
        <v>1051</v>
      </c>
      <c r="D217" s="16">
        <v>25000</v>
      </c>
      <c r="E217" s="1" t="s">
        <v>80</v>
      </c>
      <c r="F217" s="17">
        <f t="shared" si="15"/>
        <v>266.18398637137989</v>
      </c>
      <c r="G217" s="16">
        <v>25000</v>
      </c>
      <c r="H217" s="5">
        <f t="shared" si="14"/>
        <v>0</v>
      </c>
      <c r="I217" s="30">
        <v>100000</v>
      </c>
      <c r="J217" s="30" t="s">
        <v>405</v>
      </c>
      <c r="K217" s="84" t="s">
        <v>482</v>
      </c>
      <c r="L217" s="84"/>
      <c r="M217" s="51"/>
    </row>
    <row r="218" spans="1:13" ht="15" x14ac:dyDescent="0.25">
      <c r="A218" s="1">
        <v>209</v>
      </c>
      <c r="B218" s="1" t="s">
        <v>31</v>
      </c>
      <c r="C218" s="15" t="s">
        <v>43</v>
      </c>
      <c r="D218" s="16">
        <v>4500</v>
      </c>
      <c r="E218" s="1" t="s">
        <v>80</v>
      </c>
      <c r="F218" s="17">
        <f t="shared" si="15"/>
        <v>47.913117546848383</v>
      </c>
      <c r="G218" s="16">
        <v>4500</v>
      </c>
      <c r="H218" s="5">
        <f t="shared" si="14"/>
        <v>0</v>
      </c>
      <c r="I218" s="30">
        <v>100000</v>
      </c>
      <c r="J218" s="30" t="s">
        <v>406</v>
      </c>
      <c r="K218" s="84" t="s">
        <v>482</v>
      </c>
      <c r="L218" s="84"/>
      <c r="M218" s="51"/>
    </row>
    <row r="219" spans="1:13" ht="15" x14ac:dyDescent="0.25">
      <c r="A219" s="1">
        <v>210</v>
      </c>
      <c r="B219" s="1" t="s">
        <v>31</v>
      </c>
      <c r="C219" s="15">
        <v>4126</v>
      </c>
      <c r="D219" s="16">
        <v>13000</v>
      </c>
      <c r="E219" s="1" t="s">
        <v>80</v>
      </c>
      <c r="F219" s="17">
        <f t="shared" si="15"/>
        <v>138.41567291311753</v>
      </c>
      <c r="G219" s="16">
        <v>13000</v>
      </c>
      <c r="H219" s="5">
        <f t="shared" si="14"/>
        <v>0</v>
      </c>
      <c r="I219" s="30">
        <v>100000</v>
      </c>
      <c r="J219" s="30" t="s">
        <v>407</v>
      </c>
      <c r="K219" s="84" t="s">
        <v>482</v>
      </c>
      <c r="L219" s="84"/>
      <c r="M219" s="51"/>
    </row>
    <row r="220" spans="1:13" ht="15" customHeight="1" x14ac:dyDescent="0.25">
      <c r="A220" s="1">
        <v>211</v>
      </c>
      <c r="B220" s="1" t="s">
        <v>31</v>
      </c>
      <c r="C220" s="15">
        <v>2926</v>
      </c>
      <c r="D220" s="16">
        <v>18000</v>
      </c>
      <c r="E220" s="1" t="s">
        <v>80</v>
      </c>
      <c r="F220" s="17">
        <f t="shared" si="15"/>
        <v>191.65247018739353</v>
      </c>
      <c r="G220" s="34">
        <v>18000</v>
      </c>
      <c r="H220" s="5">
        <f t="shared" si="14"/>
        <v>0</v>
      </c>
      <c r="I220" s="217">
        <v>400000</v>
      </c>
      <c r="J220" s="217" t="s">
        <v>410</v>
      </c>
      <c r="K220" s="218" t="s">
        <v>451</v>
      </c>
      <c r="L220" s="219"/>
      <c r="M220" s="218"/>
    </row>
    <row r="221" spans="1:13" ht="15" x14ac:dyDescent="0.25">
      <c r="A221" s="1">
        <v>212</v>
      </c>
      <c r="B221" s="1" t="s">
        <v>31</v>
      </c>
      <c r="C221" s="15">
        <v>4713</v>
      </c>
      <c r="D221" s="16">
        <v>6000</v>
      </c>
      <c r="E221" s="1" t="s">
        <v>80</v>
      </c>
      <c r="F221" s="17">
        <f t="shared" si="15"/>
        <v>63.884156729131178</v>
      </c>
      <c r="G221" s="16">
        <v>6000</v>
      </c>
      <c r="H221" s="5">
        <f t="shared" si="14"/>
        <v>0</v>
      </c>
      <c r="I221" s="30">
        <v>700000</v>
      </c>
      <c r="J221" s="30" t="s">
        <v>414</v>
      </c>
      <c r="K221" s="84" t="s">
        <v>482</v>
      </c>
      <c r="L221" s="84"/>
      <c r="M221" s="51"/>
    </row>
    <row r="222" spans="1:13" ht="15" x14ac:dyDescent="0.25">
      <c r="A222" s="1">
        <v>213</v>
      </c>
      <c r="B222" s="1" t="s">
        <v>31</v>
      </c>
      <c r="C222" s="15">
        <v>2207</v>
      </c>
      <c r="D222" s="16">
        <v>11000</v>
      </c>
      <c r="E222" s="1" t="s">
        <v>80</v>
      </c>
      <c r="F222" s="17">
        <f t="shared" si="15"/>
        <v>117.12095400340715</v>
      </c>
      <c r="G222" s="16">
        <v>11000</v>
      </c>
      <c r="H222" s="5">
        <f t="shared" si="14"/>
        <v>0</v>
      </c>
      <c r="I222" s="111">
        <v>47000</v>
      </c>
      <c r="J222" s="111" t="s">
        <v>415</v>
      </c>
      <c r="K222" s="112" t="s">
        <v>416</v>
      </c>
      <c r="L222" s="215"/>
      <c r="M222" s="113"/>
    </row>
    <row r="223" spans="1:13" ht="15" x14ac:dyDescent="0.25">
      <c r="A223" s="1">
        <v>214</v>
      </c>
      <c r="B223" s="1" t="s">
        <v>31</v>
      </c>
      <c r="C223" s="15">
        <v>8297</v>
      </c>
      <c r="D223" s="16">
        <v>27000</v>
      </c>
      <c r="E223" s="1" t="s">
        <v>80</v>
      </c>
      <c r="F223" s="17">
        <f t="shared" si="15"/>
        <v>287.4787052810903</v>
      </c>
      <c r="G223" s="16">
        <v>27000</v>
      </c>
      <c r="H223" s="5">
        <f t="shared" si="14"/>
        <v>0</v>
      </c>
      <c r="I223" s="111">
        <v>58000</v>
      </c>
      <c r="J223" s="111" t="s">
        <v>415</v>
      </c>
      <c r="K223" s="112" t="s">
        <v>417</v>
      </c>
      <c r="L223" s="215"/>
      <c r="M223" s="113"/>
    </row>
    <row r="224" spans="1:13" ht="15" x14ac:dyDescent="0.25">
      <c r="A224" s="1">
        <v>215</v>
      </c>
      <c r="B224" s="1" t="s">
        <v>31</v>
      </c>
      <c r="C224" s="15">
        <v>1895</v>
      </c>
      <c r="D224" s="16">
        <v>27000</v>
      </c>
      <c r="E224" s="1" t="s">
        <v>80</v>
      </c>
      <c r="F224" s="17">
        <f t="shared" si="15"/>
        <v>287.4787052810903</v>
      </c>
      <c r="G224" s="16">
        <v>27000</v>
      </c>
      <c r="H224" s="5">
        <f t="shared" si="14"/>
        <v>0</v>
      </c>
      <c r="I224" s="30">
        <v>300000</v>
      </c>
      <c r="J224" s="30" t="s">
        <v>418</v>
      </c>
      <c r="K224" s="84" t="s">
        <v>482</v>
      </c>
      <c r="L224" s="84"/>
      <c r="M224" s="51"/>
    </row>
    <row r="225" spans="1:13" ht="15" x14ac:dyDescent="0.25">
      <c r="A225" s="1">
        <v>216</v>
      </c>
      <c r="B225" s="1" t="s">
        <v>31</v>
      </c>
      <c r="C225" s="15">
        <v>213</v>
      </c>
      <c r="D225" s="16">
        <v>12000</v>
      </c>
      <c r="E225" s="1" t="s">
        <v>80</v>
      </c>
      <c r="F225" s="17">
        <f t="shared" si="15"/>
        <v>127.76831345826236</v>
      </c>
      <c r="G225" s="16">
        <v>12000</v>
      </c>
      <c r="H225" s="5">
        <f t="shared" si="14"/>
        <v>0</v>
      </c>
      <c r="I225" s="30">
        <v>200000</v>
      </c>
      <c r="J225" s="30" t="s">
        <v>422</v>
      </c>
      <c r="K225" s="84" t="s">
        <v>482</v>
      </c>
      <c r="L225" s="84"/>
      <c r="M225" s="51"/>
    </row>
    <row r="226" spans="1:13" ht="15" x14ac:dyDescent="0.25">
      <c r="A226" s="1">
        <v>217</v>
      </c>
      <c r="B226" s="1" t="s">
        <v>31</v>
      </c>
      <c r="C226" s="15">
        <v>5475</v>
      </c>
      <c r="D226" s="16">
        <v>30000</v>
      </c>
      <c r="E226" s="1" t="s">
        <v>80</v>
      </c>
      <c r="F226" s="17">
        <f t="shared" si="15"/>
        <v>319.42078364565589</v>
      </c>
      <c r="G226" s="16">
        <v>30000</v>
      </c>
      <c r="H226" s="5">
        <f t="shared" si="14"/>
        <v>0</v>
      </c>
      <c r="I226" s="30">
        <v>300000</v>
      </c>
      <c r="J226" s="30" t="s">
        <v>424</v>
      </c>
      <c r="K226" s="84" t="s">
        <v>482</v>
      </c>
      <c r="L226" s="84"/>
      <c r="M226" s="51"/>
    </row>
    <row r="227" spans="1:13" ht="15" x14ac:dyDescent="0.25">
      <c r="A227" s="1">
        <v>218</v>
      </c>
      <c r="B227" s="1" t="s">
        <v>31</v>
      </c>
      <c r="C227" s="15">
        <v>2246</v>
      </c>
      <c r="D227" s="16">
        <v>15000</v>
      </c>
      <c r="E227" s="1" t="s">
        <v>80</v>
      </c>
      <c r="F227" s="17">
        <f t="shared" si="15"/>
        <v>159.71039182282794</v>
      </c>
      <c r="G227" s="16">
        <v>15000</v>
      </c>
      <c r="H227" s="5">
        <f t="shared" si="14"/>
        <v>0</v>
      </c>
      <c r="I227" s="30">
        <v>400000</v>
      </c>
      <c r="J227" s="30" t="s">
        <v>426</v>
      </c>
      <c r="K227" s="84" t="s">
        <v>482</v>
      </c>
      <c r="L227" s="84"/>
      <c r="M227" s="51"/>
    </row>
    <row r="228" spans="1:13" ht="15" x14ac:dyDescent="0.25">
      <c r="A228" s="1">
        <v>219</v>
      </c>
      <c r="B228" s="1" t="s">
        <v>31</v>
      </c>
      <c r="C228" s="15">
        <v>1152</v>
      </c>
      <c r="D228" s="16">
        <v>13000</v>
      </c>
      <c r="E228" s="1" t="s">
        <v>80</v>
      </c>
      <c r="F228" s="17">
        <f t="shared" si="15"/>
        <v>138.41567291311753</v>
      </c>
      <c r="G228" s="16">
        <v>13000</v>
      </c>
      <c r="H228" s="5">
        <f t="shared" si="14"/>
        <v>0</v>
      </c>
      <c r="I228" s="30">
        <v>500000</v>
      </c>
      <c r="J228" s="30" t="s">
        <v>428</v>
      </c>
      <c r="K228" s="84" t="s">
        <v>482</v>
      </c>
      <c r="L228" s="84"/>
      <c r="M228" s="51"/>
    </row>
    <row r="229" spans="1:13" ht="15" x14ac:dyDescent="0.25">
      <c r="A229" s="1">
        <v>220</v>
      </c>
      <c r="B229" s="1" t="s">
        <v>31</v>
      </c>
      <c r="C229" s="15">
        <v>5324</v>
      </c>
      <c r="D229" s="16">
        <v>11000</v>
      </c>
      <c r="E229" s="1" t="s">
        <v>80</v>
      </c>
      <c r="F229" s="17">
        <f t="shared" si="15"/>
        <v>117.12095400340715</v>
      </c>
      <c r="G229" s="16">
        <v>11000</v>
      </c>
      <c r="H229" s="5">
        <f t="shared" si="14"/>
        <v>0</v>
      </c>
      <c r="I229" s="30">
        <v>300000</v>
      </c>
      <c r="J229" s="30" t="s">
        <v>431</v>
      </c>
      <c r="K229" s="84" t="s">
        <v>482</v>
      </c>
      <c r="L229" s="84"/>
      <c r="M229" s="51"/>
    </row>
    <row r="230" spans="1:13" ht="15" x14ac:dyDescent="0.25">
      <c r="A230" s="1">
        <v>221</v>
      </c>
      <c r="B230" s="1" t="s">
        <v>31</v>
      </c>
      <c r="C230" s="15">
        <v>3426</v>
      </c>
      <c r="D230" s="16">
        <v>15000</v>
      </c>
      <c r="E230" s="1" t="s">
        <v>80</v>
      </c>
      <c r="F230" s="17">
        <f t="shared" si="15"/>
        <v>159.71039182282794</v>
      </c>
      <c r="G230" s="16">
        <v>15000</v>
      </c>
      <c r="H230" s="5">
        <f t="shared" si="14"/>
        <v>0</v>
      </c>
      <c r="I230" s="30">
        <v>400000</v>
      </c>
      <c r="J230" s="30" t="s">
        <v>433</v>
      </c>
      <c r="K230" s="84" t="s">
        <v>482</v>
      </c>
      <c r="L230" s="84"/>
      <c r="M230" s="51"/>
    </row>
    <row r="231" spans="1:13" ht="15" x14ac:dyDescent="0.25">
      <c r="A231" s="1">
        <v>222</v>
      </c>
      <c r="B231" s="1" t="s">
        <v>31</v>
      </c>
      <c r="C231" s="15">
        <v>2056</v>
      </c>
      <c r="D231" s="16">
        <v>17000</v>
      </c>
      <c r="E231" s="1" t="s">
        <v>80</v>
      </c>
      <c r="F231" s="17">
        <f t="shared" si="15"/>
        <v>181.00511073253833</v>
      </c>
      <c r="G231" s="16">
        <v>17000</v>
      </c>
      <c r="H231" s="5">
        <f t="shared" si="14"/>
        <v>0</v>
      </c>
      <c r="I231" s="30">
        <v>600000</v>
      </c>
      <c r="J231" s="30" t="s">
        <v>435</v>
      </c>
      <c r="K231" s="84" t="s">
        <v>482</v>
      </c>
      <c r="L231" s="84"/>
      <c r="M231" s="51"/>
    </row>
    <row r="232" spans="1:13" ht="15" x14ac:dyDescent="0.25">
      <c r="A232" s="1">
        <v>223</v>
      </c>
      <c r="B232" s="1" t="s">
        <v>31</v>
      </c>
      <c r="C232" s="15">
        <v>4326</v>
      </c>
      <c r="D232" s="16">
        <v>14000</v>
      </c>
      <c r="E232" s="1" t="s">
        <v>80</v>
      </c>
      <c r="F232" s="17">
        <f t="shared" si="15"/>
        <v>149.06303236797274</v>
      </c>
      <c r="G232" s="16">
        <v>14000</v>
      </c>
      <c r="H232" s="5">
        <f t="shared" si="14"/>
        <v>0</v>
      </c>
      <c r="I232" s="30">
        <v>700000</v>
      </c>
      <c r="J232" s="30" t="s">
        <v>436</v>
      </c>
      <c r="K232" s="84" t="s">
        <v>482</v>
      </c>
      <c r="L232" s="84"/>
      <c r="M232" s="51"/>
    </row>
    <row r="233" spans="1:13" ht="15" x14ac:dyDescent="0.25">
      <c r="A233" s="1">
        <v>224</v>
      </c>
      <c r="B233" s="1" t="s">
        <v>32</v>
      </c>
      <c r="C233" s="15">
        <v>1321</v>
      </c>
      <c r="D233" s="16">
        <v>13000</v>
      </c>
      <c r="E233" s="1" t="s">
        <v>80</v>
      </c>
      <c r="F233" s="17">
        <f t="shared" ref="F233:F258" si="16">D233/94.73</f>
        <v>137.23213343185895</v>
      </c>
      <c r="G233" s="16">
        <v>13000</v>
      </c>
      <c r="H233" s="5">
        <f t="shared" si="14"/>
        <v>0</v>
      </c>
      <c r="I233" s="30">
        <v>600000</v>
      </c>
      <c r="J233" s="30" t="s">
        <v>437</v>
      </c>
      <c r="K233" s="84" t="s">
        <v>482</v>
      </c>
      <c r="L233" s="84"/>
      <c r="M233" s="51"/>
    </row>
    <row r="234" spans="1:13" ht="15" x14ac:dyDescent="0.25">
      <c r="A234" s="1">
        <v>225</v>
      </c>
      <c r="B234" s="1" t="s">
        <v>32</v>
      </c>
      <c r="C234" s="15">
        <v>9559</v>
      </c>
      <c r="D234" s="16">
        <v>16000</v>
      </c>
      <c r="E234" s="1" t="s">
        <v>80</v>
      </c>
      <c r="F234" s="17">
        <f t="shared" si="16"/>
        <v>168.90108730074948</v>
      </c>
      <c r="G234" s="16">
        <v>16000</v>
      </c>
      <c r="H234" s="5">
        <f t="shared" si="14"/>
        <v>0</v>
      </c>
      <c r="I234" s="30">
        <v>400000</v>
      </c>
      <c r="J234" s="30" t="s">
        <v>439</v>
      </c>
      <c r="K234" s="84" t="s">
        <v>482</v>
      </c>
      <c r="L234" s="84"/>
      <c r="M234" s="51"/>
    </row>
    <row r="235" spans="1:13" ht="15" x14ac:dyDescent="0.25">
      <c r="A235" s="1">
        <v>226</v>
      </c>
      <c r="B235" s="1" t="s">
        <v>32</v>
      </c>
      <c r="C235" s="15">
        <v>253</v>
      </c>
      <c r="D235" s="16">
        <v>13000</v>
      </c>
      <c r="E235" s="1" t="s">
        <v>80</v>
      </c>
      <c r="F235" s="17">
        <f t="shared" si="16"/>
        <v>137.23213343185895</v>
      </c>
      <c r="G235" s="16">
        <v>13000</v>
      </c>
      <c r="H235" s="5">
        <f t="shared" si="14"/>
        <v>0</v>
      </c>
      <c r="I235" s="30">
        <v>500000</v>
      </c>
      <c r="J235" s="30" t="s">
        <v>441</v>
      </c>
      <c r="K235" s="84" t="s">
        <v>482</v>
      </c>
      <c r="L235" s="84"/>
      <c r="M235" s="51"/>
    </row>
    <row r="236" spans="1:13" ht="15" x14ac:dyDescent="0.25">
      <c r="A236" s="1">
        <v>227</v>
      </c>
      <c r="B236" s="1" t="s">
        <v>32</v>
      </c>
      <c r="C236" s="15">
        <v>3776</v>
      </c>
      <c r="D236" s="16">
        <v>12000</v>
      </c>
      <c r="E236" s="1" t="s">
        <v>80</v>
      </c>
      <c r="F236" s="17">
        <f t="shared" si="16"/>
        <v>126.67581547556212</v>
      </c>
      <c r="G236" s="16">
        <v>12000</v>
      </c>
      <c r="H236" s="5">
        <f t="shared" ref="H236:H267" si="17">D236-G236</f>
        <v>0</v>
      </c>
      <c r="I236" s="30">
        <v>600000</v>
      </c>
      <c r="J236" s="30" t="s">
        <v>443</v>
      </c>
      <c r="K236" s="84" t="s">
        <v>482</v>
      </c>
      <c r="L236" s="84"/>
      <c r="M236" s="51"/>
    </row>
    <row r="237" spans="1:13" ht="15" x14ac:dyDescent="0.25">
      <c r="A237" s="1">
        <v>228</v>
      </c>
      <c r="B237" s="1" t="s">
        <v>32</v>
      </c>
      <c r="C237" s="15">
        <v>6353</v>
      </c>
      <c r="D237" s="16">
        <v>13000</v>
      </c>
      <c r="E237" s="1" t="s">
        <v>80</v>
      </c>
      <c r="F237" s="17">
        <f t="shared" si="16"/>
        <v>137.23213343185895</v>
      </c>
      <c r="G237" s="16">
        <v>13000</v>
      </c>
      <c r="H237" s="5">
        <f t="shared" si="17"/>
        <v>0</v>
      </c>
      <c r="I237" s="30">
        <v>1000000</v>
      </c>
      <c r="J237" s="30" t="s">
        <v>445</v>
      </c>
      <c r="K237" s="84" t="s">
        <v>482</v>
      </c>
      <c r="L237" s="84"/>
      <c r="M237" s="51"/>
    </row>
    <row r="238" spans="1:13" ht="15" x14ac:dyDescent="0.25">
      <c r="A238" s="1">
        <v>229</v>
      </c>
      <c r="B238" s="1" t="s">
        <v>32</v>
      </c>
      <c r="C238" s="15">
        <v>6408</v>
      </c>
      <c r="D238" s="16">
        <v>16000</v>
      </c>
      <c r="E238" s="1" t="s">
        <v>80</v>
      </c>
      <c r="F238" s="17">
        <f t="shared" si="16"/>
        <v>168.90108730074948</v>
      </c>
      <c r="G238" s="16">
        <v>16000</v>
      </c>
      <c r="H238" s="5">
        <f t="shared" si="17"/>
        <v>0</v>
      </c>
      <c r="I238" s="30">
        <v>800000</v>
      </c>
      <c r="J238" s="30" t="s">
        <v>447</v>
      </c>
      <c r="K238" s="84" t="s">
        <v>482</v>
      </c>
      <c r="L238" s="84"/>
      <c r="M238" s="51"/>
    </row>
    <row r="239" spans="1:13" ht="15" x14ac:dyDescent="0.25">
      <c r="A239" s="1">
        <v>230</v>
      </c>
      <c r="B239" s="1" t="s">
        <v>32</v>
      </c>
      <c r="C239" s="15">
        <v>4747</v>
      </c>
      <c r="D239" s="16">
        <v>11000</v>
      </c>
      <c r="E239" s="1" t="s">
        <v>80</v>
      </c>
      <c r="F239" s="17">
        <f t="shared" si="16"/>
        <v>116.11949751926528</v>
      </c>
      <c r="G239" s="16">
        <v>11000</v>
      </c>
      <c r="H239" s="5">
        <f t="shared" si="17"/>
        <v>0</v>
      </c>
      <c r="I239" s="30">
        <v>700000</v>
      </c>
      <c r="J239" s="30" t="s">
        <v>448</v>
      </c>
      <c r="K239" s="84" t="s">
        <v>482</v>
      </c>
      <c r="L239" s="84"/>
      <c r="M239" s="51"/>
    </row>
    <row r="240" spans="1:13" ht="15" x14ac:dyDescent="0.25">
      <c r="A240" s="1">
        <v>231</v>
      </c>
      <c r="B240" s="1" t="s">
        <v>32</v>
      </c>
      <c r="C240" s="15" t="s">
        <v>46</v>
      </c>
      <c r="D240" s="16">
        <v>5000</v>
      </c>
      <c r="E240" s="1" t="s">
        <v>80</v>
      </c>
      <c r="F240" s="17">
        <f t="shared" si="16"/>
        <v>52.781589781484215</v>
      </c>
      <c r="G240" s="16">
        <v>5000</v>
      </c>
      <c r="H240" s="5">
        <f t="shared" si="17"/>
        <v>0</v>
      </c>
      <c r="I240" s="30">
        <v>400000</v>
      </c>
      <c r="J240" s="30" t="s">
        <v>449</v>
      </c>
      <c r="K240" s="84" t="s">
        <v>452</v>
      </c>
      <c r="L240" s="84"/>
      <c r="M240" s="51"/>
    </row>
    <row r="241" spans="1:13" ht="15.75" x14ac:dyDescent="0.25">
      <c r="A241" s="1">
        <v>232</v>
      </c>
      <c r="B241" s="1" t="s">
        <v>32</v>
      </c>
      <c r="C241" s="15">
        <v>4326</v>
      </c>
      <c r="D241" s="16">
        <v>13000</v>
      </c>
      <c r="E241" s="1" t="s">
        <v>80</v>
      </c>
      <c r="F241" s="17">
        <f t="shared" si="16"/>
        <v>137.23213343185895</v>
      </c>
      <c r="G241" s="16">
        <v>13000</v>
      </c>
      <c r="H241" s="5">
        <f t="shared" si="17"/>
        <v>0</v>
      </c>
      <c r="I241" s="217">
        <v>600000</v>
      </c>
      <c r="J241" s="217" t="s">
        <v>450</v>
      </c>
      <c r="K241" s="218" t="s">
        <v>457</v>
      </c>
      <c r="L241" s="219"/>
      <c r="M241" s="218"/>
    </row>
    <row r="242" spans="1:13" ht="15.75" x14ac:dyDescent="0.25">
      <c r="A242" s="1">
        <v>233</v>
      </c>
      <c r="B242" s="1" t="s">
        <v>32</v>
      </c>
      <c r="C242" s="15" t="s">
        <v>38</v>
      </c>
      <c r="D242" s="16">
        <v>3500</v>
      </c>
      <c r="E242" s="1" t="s">
        <v>80</v>
      </c>
      <c r="F242">
        <v>36.950000000000003</v>
      </c>
      <c r="G242" s="16">
        <v>3500</v>
      </c>
      <c r="H242" s="5">
        <f t="shared" si="17"/>
        <v>0</v>
      </c>
      <c r="I242" s="217">
        <v>600000</v>
      </c>
      <c r="J242" s="217" t="s">
        <v>454</v>
      </c>
      <c r="K242" s="218" t="s">
        <v>457</v>
      </c>
      <c r="L242" s="219"/>
      <c r="M242" s="218"/>
    </row>
    <row r="243" spans="1:13" ht="15.75" x14ac:dyDescent="0.25">
      <c r="A243" s="1">
        <v>234</v>
      </c>
      <c r="B243" s="1" t="s">
        <v>32</v>
      </c>
      <c r="C243" s="15" t="s">
        <v>49</v>
      </c>
      <c r="D243" s="16">
        <v>13000</v>
      </c>
      <c r="E243" s="1" t="s">
        <v>80</v>
      </c>
      <c r="F243" s="17">
        <f t="shared" si="16"/>
        <v>137.23213343185895</v>
      </c>
      <c r="G243" s="16">
        <v>13000</v>
      </c>
      <c r="H243" s="5">
        <f t="shared" si="17"/>
        <v>0</v>
      </c>
      <c r="I243" s="217">
        <v>900000</v>
      </c>
      <c r="J243" s="217" t="s">
        <v>456</v>
      </c>
      <c r="K243" s="218" t="s">
        <v>457</v>
      </c>
      <c r="L243" s="219"/>
      <c r="M243" s="218"/>
    </row>
    <row r="244" spans="1:13" ht="15.75" x14ac:dyDescent="0.25">
      <c r="A244" s="1">
        <v>235</v>
      </c>
      <c r="B244" s="1" t="s">
        <v>32</v>
      </c>
      <c r="C244" s="15">
        <v>8468</v>
      </c>
      <c r="D244" s="16">
        <v>10000</v>
      </c>
      <c r="E244" s="1" t="s">
        <v>80</v>
      </c>
      <c r="F244" s="17">
        <f t="shared" si="16"/>
        <v>105.56317956296843</v>
      </c>
      <c r="G244" s="16">
        <v>10000</v>
      </c>
      <c r="H244" s="5">
        <f t="shared" si="17"/>
        <v>0</v>
      </c>
      <c r="I244" s="217">
        <v>600000</v>
      </c>
      <c r="J244" s="217" t="s">
        <v>458</v>
      </c>
      <c r="K244" s="218" t="s">
        <v>457</v>
      </c>
      <c r="L244" s="219"/>
      <c r="M244" s="218"/>
    </row>
    <row r="245" spans="1:13" ht="15.75" x14ac:dyDescent="0.25">
      <c r="A245" s="1">
        <v>236</v>
      </c>
      <c r="B245" s="1" t="s">
        <v>32</v>
      </c>
      <c r="C245" s="15">
        <v>120</v>
      </c>
      <c r="D245" s="16">
        <v>14000</v>
      </c>
      <c r="E245" s="1" t="s">
        <v>80</v>
      </c>
      <c r="F245" s="17">
        <f t="shared" si="16"/>
        <v>147.78845138815581</v>
      </c>
      <c r="G245" s="16">
        <v>14000</v>
      </c>
      <c r="H245" s="5">
        <f t="shared" si="17"/>
        <v>0</v>
      </c>
      <c r="I245" s="217">
        <v>800000</v>
      </c>
      <c r="J245" s="217" t="s">
        <v>459</v>
      </c>
      <c r="K245" s="218" t="s">
        <v>457</v>
      </c>
      <c r="L245" s="219"/>
      <c r="M245" s="218"/>
    </row>
    <row r="246" spans="1:13" ht="15.75" x14ac:dyDescent="0.25">
      <c r="A246" s="1">
        <v>237</v>
      </c>
      <c r="B246" s="1" t="s">
        <v>32</v>
      </c>
      <c r="C246" s="15">
        <v>1888</v>
      </c>
      <c r="D246" s="16">
        <v>13000</v>
      </c>
      <c r="E246" s="1" t="s">
        <v>80</v>
      </c>
      <c r="F246" s="17">
        <f t="shared" si="16"/>
        <v>137.23213343185895</v>
      </c>
      <c r="G246" s="16">
        <v>13000</v>
      </c>
      <c r="H246" s="5">
        <f t="shared" si="17"/>
        <v>0</v>
      </c>
      <c r="I246" s="217">
        <v>600000</v>
      </c>
      <c r="J246" s="217" t="s">
        <v>460</v>
      </c>
      <c r="K246" s="218" t="s">
        <v>457</v>
      </c>
      <c r="L246" s="219"/>
      <c r="M246" s="218"/>
    </row>
    <row r="247" spans="1:13" ht="15.75" x14ac:dyDescent="0.25">
      <c r="A247" s="1">
        <v>238</v>
      </c>
      <c r="B247" s="1" t="s">
        <v>32</v>
      </c>
      <c r="C247" s="15">
        <v>118</v>
      </c>
      <c r="D247" s="16">
        <v>14000</v>
      </c>
      <c r="E247" s="1" t="s">
        <v>80</v>
      </c>
      <c r="F247" s="17">
        <f t="shared" si="16"/>
        <v>147.78845138815581</v>
      </c>
      <c r="G247" s="16">
        <v>14000</v>
      </c>
      <c r="H247" s="5">
        <f t="shared" si="17"/>
        <v>0</v>
      </c>
      <c r="I247" s="217">
        <v>600000</v>
      </c>
      <c r="J247" s="217" t="s">
        <v>464</v>
      </c>
      <c r="K247" s="218" t="s">
        <v>457</v>
      </c>
      <c r="L247" s="219"/>
      <c r="M247" s="218"/>
    </row>
    <row r="248" spans="1:13" ht="15.75" x14ac:dyDescent="0.25">
      <c r="A248" s="1">
        <v>239</v>
      </c>
      <c r="B248" s="1" t="s">
        <v>32</v>
      </c>
      <c r="C248" s="15">
        <v>4884</v>
      </c>
      <c r="D248" s="16">
        <v>15000</v>
      </c>
      <c r="E248" s="1" t="s">
        <v>80</v>
      </c>
      <c r="F248" s="17">
        <f t="shared" si="16"/>
        <v>158.34476934445266</v>
      </c>
      <c r="G248" s="16">
        <v>15000</v>
      </c>
      <c r="H248" s="5">
        <f t="shared" si="17"/>
        <v>0</v>
      </c>
      <c r="I248" s="217">
        <v>500000</v>
      </c>
      <c r="J248" s="217" t="s">
        <v>466</v>
      </c>
      <c r="K248" s="218" t="s">
        <v>457</v>
      </c>
      <c r="L248" s="219"/>
      <c r="M248" s="218"/>
    </row>
    <row r="249" spans="1:13" ht="15.75" x14ac:dyDescent="0.25">
      <c r="A249" s="1">
        <v>240</v>
      </c>
      <c r="B249" s="1" t="s">
        <v>32</v>
      </c>
      <c r="C249" s="15">
        <v>7570</v>
      </c>
      <c r="D249" s="16">
        <v>25000</v>
      </c>
      <c r="E249" s="1" t="s">
        <v>80</v>
      </c>
      <c r="F249" s="17">
        <f t="shared" si="16"/>
        <v>263.90794890742109</v>
      </c>
      <c r="G249" s="16">
        <v>25000</v>
      </c>
      <c r="H249" s="5">
        <f t="shared" si="17"/>
        <v>0</v>
      </c>
      <c r="I249" s="217">
        <v>400000</v>
      </c>
      <c r="J249" s="217" t="s">
        <v>467</v>
      </c>
      <c r="K249" s="218" t="s">
        <v>457</v>
      </c>
      <c r="L249" s="219"/>
      <c r="M249" s="218"/>
    </row>
    <row r="250" spans="1:13" ht="15" x14ac:dyDescent="0.25">
      <c r="A250" s="1">
        <v>241</v>
      </c>
      <c r="B250" s="1" t="s">
        <v>32</v>
      </c>
      <c r="C250" s="15">
        <v>775</v>
      </c>
      <c r="D250" s="16">
        <v>27000</v>
      </c>
      <c r="E250" s="1" t="s">
        <v>80</v>
      </c>
      <c r="F250" s="17">
        <f t="shared" si="16"/>
        <v>285.02058482001479</v>
      </c>
      <c r="G250" s="16">
        <v>27000</v>
      </c>
      <c r="H250" s="5">
        <f t="shared" si="17"/>
        <v>0</v>
      </c>
      <c r="I250" s="30">
        <v>400000</v>
      </c>
      <c r="J250" s="30" t="s">
        <v>480</v>
      </c>
      <c r="K250" s="84" t="s">
        <v>482</v>
      </c>
      <c r="L250" s="84"/>
      <c r="M250" s="51"/>
    </row>
    <row r="251" spans="1:13" ht="15" x14ac:dyDescent="0.25">
      <c r="A251" s="1">
        <v>242</v>
      </c>
      <c r="B251" s="1" t="s">
        <v>32</v>
      </c>
      <c r="C251" s="15">
        <v>1477</v>
      </c>
      <c r="D251" s="16">
        <v>17000</v>
      </c>
      <c r="E251" s="1" t="s">
        <v>80</v>
      </c>
      <c r="F251" s="17">
        <f t="shared" si="16"/>
        <v>179.45740525704633</v>
      </c>
      <c r="G251" s="16">
        <v>17000</v>
      </c>
      <c r="H251" s="5">
        <f t="shared" si="17"/>
        <v>0</v>
      </c>
      <c r="I251" s="30">
        <v>400000</v>
      </c>
      <c r="J251" s="30" t="s">
        <v>481</v>
      </c>
      <c r="K251" s="84" t="s">
        <v>482</v>
      </c>
      <c r="L251" s="84"/>
      <c r="M251" s="51"/>
    </row>
    <row r="252" spans="1:13" ht="15" x14ac:dyDescent="0.25">
      <c r="A252" s="1">
        <v>243</v>
      </c>
      <c r="B252" s="1" t="s">
        <v>32</v>
      </c>
      <c r="C252" s="15">
        <v>4924</v>
      </c>
      <c r="D252" s="16">
        <v>12000</v>
      </c>
      <c r="E252" s="1" t="s">
        <v>80</v>
      </c>
      <c r="F252" s="17">
        <f t="shared" si="16"/>
        <v>126.67581547556212</v>
      </c>
      <c r="G252" s="16">
        <v>12000</v>
      </c>
      <c r="H252" s="5">
        <f t="shared" si="17"/>
        <v>0</v>
      </c>
      <c r="I252" s="30">
        <v>400000</v>
      </c>
      <c r="J252" s="30" t="s">
        <v>484</v>
      </c>
      <c r="K252" s="84" t="s">
        <v>482</v>
      </c>
      <c r="L252" s="84"/>
      <c r="M252" s="51"/>
    </row>
    <row r="253" spans="1:13" ht="15" x14ac:dyDescent="0.25">
      <c r="A253" s="1">
        <v>244</v>
      </c>
      <c r="B253" s="1" t="s">
        <v>32</v>
      </c>
      <c r="C253" s="15">
        <v>9192</v>
      </c>
      <c r="D253" s="16">
        <v>30000</v>
      </c>
      <c r="E253" s="1" t="s">
        <v>80</v>
      </c>
      <c r="F253" s="17">
        <f t="shared" si="16"/>
        <v>316.68953868890532</v>
      </c>
      <c r="G253" s="16">
        <v>30000</v>
      </c>
      <c r="H253" s="5">
        <f t="shared" si="17"/>
        <v>0</v>
      </c>
      <c r="I253" s="30">
        <v>300000</v>
      </c>
      <c r="J253" s="30" t="s">
        <v>488</v>
      </c>
      <c r="K253" s="84" t="s">
        <v>482</v>
      </c>
      <c r="L253" s="84"/>
      <c r="M253" s="51"/>
    </row>
    <row r="254" spans="1:13" ht="15" x14ac:dyDescent="0.25">
      <c r="A254" s="1">
        <v>245</v>
      </c>
      <c r="B254" s="1" t="s">
        <v>32</v>
      </c>
      <c r="C254" s="15">
        <v>293</v>
      </c>
      <c r="D254" s="16">
        <v>14000</v>
      </c>
      <c r="E254" s="1" t="s">
        <v>80</v>
      </c>
      <c r="F254" s="17">
        <f t="shared" si="16"/>
        <v>147.78845138815581</v>
      </c>
      <c r="G254" s="16">
        <v>14000</v>
      </c>
      <c r="H254" s="5">
        <f t="shared" si="17"/>
        <v>0</v>
      </c>
      <c r="I254" s="30">
        <v>800000</v>
      </c>
      <c r="J254" s="30" t="s">
        <v>493</v>
      </c>
      <c r="K254" s="84" t="s">
        <v>482</v>
      </c>
      <c r="L254" s="84"/>
      <c r="M254" s="51"/>
    </row>
    <row r="255" spans="1:13" ht="15" x14ac:dyDescent="0.25">
      <c r="A255" s="1">
        <v>246</v>
      </c>
      <c r="B255" s="1" t="s">
        <v>32</v>
      </c>
      <c r="C255" s="15">
        <v>3543</v>
      </c>
      <c r="D255" s="16">
        <v>18000</v>
      </c>
      <c r="E255" s="1" t="s">
        <v>80</v>
      </c>
      <c r="F255" s="17">
        <f t="shared" si="16"/>
        <v>190.01372321334318</v>
      </c>
      <c r="G255" s="34">
        <v>18000</v>
      </c>
      <c r="H255" s="5">
        <f t="shared" si="17"/>
        <v>0</v>
      </c>
      <c r="I255" s="30">
        <v>400000</v>
      </c>
      <c r="J255" s="30" t="s">
        <v>495</v>
      </c>
      <c r="K255" s="84" t="s">
        <v>482</v>
      </c>
      <c r="L255" s="84"/>
      <c r="M255" s="51"/>
    </row>
    <row r="256" spans="1:13" ht="15" x14ac:dyDescent="0.25">
      <c r="A256" s="1">
        <v>247</v>
      </c>
      <c r="B256" s="1" t="s">
        <v>32</v>
      </c>
      <c r="C256" s="15">
        <v>185</v>
      </c>
      <c r="D256" s="16">
        <v>26000</v>
      </c>
      <c r="E256" s="1" t="s">
        <v>80</v>
      </c>
      <c r="F256" s="17">
        <f t="shared" si="16"/>
        <v>274.46426686371791</v>
      </c>
      <c r="G256" s="16">
        <v>26000</v>
      </c>
      <c r="H256" s="5">
        <f t="shared" si="17"/>
        <v>0</v>
      </c>
      <c r="I256" s="171">
        <v>69590</v>
      </c>
      <c r="J256" s="171" t="s">
        <v>495</v>
      </c>
      <c r="K256" s="216" t="s">
        <v>498</v>
      </c>
      <c r="L256" s="216"/>
      <c r="M256" s="246"/>
    </row>
    <row r="257" spans="1:13" ht="15" x14ac:dyDescent="0.25">
      <c r="A257" s="1">
        <v>248</v>
      </c>
      <c r="B257" s="1" t="s">
        <v>32</v>
      </c>
      <c r="C257" s="15">
        <v>371</v>
      </c>
      <c r="D257" s="16">
        <v>17000</v>
      </c>
      <c r="E257" s="1" t="s">
        <v>80</v>
      </c>
      <c r="F257" s="17">
        <f t="shared" si="16"/>
        <v>179.45740525704633</v>
      </c>
      <c r="G257" s="16">
        <v>17000</v>
      </c>
      <c r="H257" s="5">
        <f t="shared" si="17"/>
        <v>0</v>
      </c>
      <c r="I257" s="30">
        <v>300000</v>
      </c>
      <c r="J257" s="30" t="s">
        <v>497</v>
      </c>
      <c r="K257" s="84" t="s">
        <v>482</v>
      </c>
      <c r="L257" s="84"/>
      <c r="M257" s="51"/>
    </row>
    <row r="258" spans="1:13" ht="15" x14ac:dyDescent="0.25">
      <c r="A258" s="1">
        <v>249</v>
      </c>
      <c r="B258" s="1" t="s">
        <v>32</v>
      </c>
      <c r="C258" s="15">
        <v>5353</v>
      </c>
      <c r="D258" s="16">
        <v>15000</v>
      </c>
      <c r="E258" s="1" t="s">
        <v>80</v>
      </c>
      <c r="F258" s="17">
        <f t="shared" si="16"/>
        <v>158.34476934445266</v>
      </c>
      <c r="G258" s="16">
        <v>15000</v>
      </c>
      <c r="H258" s="5">
        <f t="shared" si="17"/>
        <v>0</v>
      </c>
      <c r="I258" s="30">
        <v>200000</v>
      </c>
      <c r="J258" s="30" t="s">
        <v>500</v>
      </c>
      <c r="K258" s="84" t="s">
        <v>482</v>
      </c>
      <c r="L258" s="84"/>
      <c r="M258" s="51"/>
    </row>
    <row r="259" spans="1:13" ht="15" x14ac:dyDescent="0.25">
      <c r="A259" s="1">
        <v>250</v>
      </c>
      <c r="B259" s="1" t="s">
        <v>48</v>
      </c>
      <c r="C259" s="15">
        <v>1557</v>
      </c>
      <c r="D259" s="16">
        <v>20000</v>
      </c>
      <c r="E259" s="1" t="s">
        <v>80</v>
      </c>
      <c r="F259" s="17">
        <f t="shared" ref="F259:F281" si="18">D259/94.81</f>
        <v>210.94821221390148</v>
      </c>
      <c r="G259" s="16">
        <v>20000</v>
      </c>
      <c r="H259" s="5">
        <f t="shared" si="17"/>
        <v>0</v>
      </c>
      <c r="I259" s="30">
        <v>200000</v>
      </c>
      <c r="J259" s="30" t="s">
        <v>502</v>
      </c>
      <c r="K259" s="84" t="s">
        <v>482</v>
      </c>
      <c r="L259" s="84"/>
      <c r="M259" s="51"/>
    </row>
    <row r="260" spans="1:13" ht="15" x14ac:dyDescent="0.25">
      <c r="A260" s="1">
        <v>251</v>
      </c>
      <c r="B260" s="1" t="s">
        <v>48</v>
      </c>
      <c r="C260" s="15">
        <v>7029</v>
      </c>
      <c r="D260" s="16">
        <v>12000</v>
      </c>
      <c r="E260" s="1" t="s">
        <v>80</v>
      </c>
      <c r="F260" s="17">
        <f t="shared" si="18"/>
        <v>126.56892732834089</v>
      </c>
      <c r="G260" s="16">
        <v>12000</v>
      </c>
      <c r="H260" s="5">
        <f t="shared" si="17"/>
        <v>0</v>
      </c>
      <c r="I260" s="114">
        <v>77264</v>
      </c>
      <c r="J260" s="114" t="s">
        <v>502</v>
      </c>
      <c r="K260" s="213" t="s">
        <v>503</v>
      </c>
      <c r="L260" s="213"/>
      <c r="M260" s="57"/>
    </row>
    <row r="261" spans="1:13" ht="15" x14ac:dyDescent="0.25">
      <c r="A261" s="1">
        <v>252</v>
      </c>
      <c r="B261" s="1" t="s">
        <v>48</v>
      </c>
      <c r="C261" s="15">
        <v>4126</v>
      </c>
      <c r="D261" s="16">
        <v>13000</v>
      </c>
      <c r="E261" s="1" t="s">
        <v>80</v>
      </c>
      <c r="F261" s="17">
        <f t="shared" si="18"/>
        <v>137.11633793903596</v>
      </c>
      <c r="G261" s="16">
        <v>13000</v>
      </c>
      <c r="H261" s="5">
        <f t="shared" si="17"/>
        <v>0</v>
      </c>
      <c r="I261" s="114">
        <v>23903</v>
      </c>
      <c r="J261" s="114" t="s">
        <v>502</v>
      </c>
      <c r="K261" s="213" t="s">
        <v>504</v>
      </c>
      <c r="L261" s="213"/>
      <c r="M261" s="57"/>
    </row>
    <row r="262" spans="1:13" ht="15" x14ac:dyDescent="0.25">
      <c r="A262" s="1">
        <v>253</v>
      </c>
      <c r="B262" s="1" t="s">
        <v>48</v>
      </c>
      <c r="C262" s="15">
        <v>8326</v>
      </c>
      <c r="D262" s="16">
        <v>17000</v>
      </c>
      <c r="E262" s="1" t="s">
        <v>80</v>
      </c>
      <c r="F262" s="17">
        <f t="shared" si="18"/>
        <v>179.30598038181625</v>
      </c>
      <c r="G262" s="16">
        <v>17000</v>
      </c>
      <c r="H262" s="5">
        <f t="shared" si="17"/>
        <v>0</v>
      </c>
      <c r="I262" s="114">
        <v>14891</v>
      </c>
      <c r="J262" s="114" t="s">
        <v>502</v>
      </c>
      <c r="K262" s="213" t="s">
        <v>505</v>
      </c>
      <c r="L262" s="213"/>
      <c r="M262" s="57"/>
    </row>
    <row r="263" spans="1:13" ht="15" x14ac:dyDescent="0.25">
      <c r="A263" s="1">
        <v>254</v>
      </c>
      <c r="B263" s="1" t="s">
        <v>48</v>
      </c>
      <c r="C263" s="15">
        <v>5014</v>
      </c>
      <c r="D263" s="16">
        <v>15000</v>
      </c>
      <c r="E263" s="1" t="s">
        <v>80</v>
      </c>
      <c r="F263" s="17">
        <f t="shared" si="18"/>
        <v>158.21115916042612</v>
      </c>
      <c r="G263" s="16">
        <v>15000</v>
      </c>
      <c r="H263" s="5">
        <f t="shared" si="17"/>
        <v>0</v>
      </c>
      <c r="I263" s="114">
        <v>14619</v>
      </c>
      <c r="J263" s="114" t="s">
        <v>502</v>
      </c>
      <c r="K263" s="213" t="s">
        <v>506</v>
      </c>
      <c r="L263" s="213"/>
      <c r="M263" s="57"/>
    </row>
    <row r="264" spans="1:13" ht="15" x14ac:dyDescent="0.25">
      <c r="A264" s="1">
        <v>255</v>
      </c>
      <c r="B264" s="1" t="s">
        <v>48</v>
      </c>
      <c r="C264" s="15">
        <v>1973</v>
      </c>
      <c r="D264" s="16">
        <v>10000</v>
      </c>
      <c r="E264" s="1" t="s">
        <v>80</v>
      </c>
      <c r="F264" s="17">
        <f t="shared" si="18"/>
        <v>105.47410610695074</v>
      </c>
      <c r="G264" s="16">
        <v>10000</v>
      </c>
      <c r="H264" s="5">
        <f t="shared" si="17"/>
        <v>0</v>
      </c>
      <c r="I264" s="111">
        <v>37000</v>
      </c>
      <c r="J264" s="111" t="s">
        <v>502</v>
      </c>
      <c r="K264" s="112" t="s">
        <v>507</v>
      </c>
      <c r="L264" s="215"/>
      <c r="M264" s="113"/>
    </row>
    <row r="265" spans="1:13" ht="15" x14ac:dyDescent="0.25">
      <c r="A265" s="1">
        <v>256</v>
      </c>
      <c r="B265" s="1" t="s">
        <v>48</v>
      </c>
      <c r="C265" s="15">
        <v>30</v>
      </c>
      <c r="D265" s="16">
        <v>28000</v>
      </c>
      <c r="E265" s="1" t="s">
        <v>80</v>
      </c>
      <c r="F265" s="17">
        <f t="shared" si="18"/>
        <v>295.32749709946205</v>
      </c>
      <c r="G265" s="16">
        <v>28000</v>
      </c>
      <c r="H265" s="5">
        <f t="shared" si="17"/>
        <v>0</v>
      </c>
      <c r="I265" s="111">
        <v>7323</v>
      </c>
      <c r="J265" s="111" t="s">
        <v>502</v>
      </c>
      <c r="K265" s="112" t="s">
        <v>508</v>
      </c>
      <c r="L265" s="215"/>
      <c r="M265" s="113"/>
    </row>
    <row r="266" spans="1:13" ht="15" x14ac:dyDescent="0.25">
      <c r="A266" s="1">
        <v>257</v>
      </c>
      <c r="B266" s="1" t="s">
        <v>48</v>
      </c>
      <c r="C266" s="15">
        <v>2234</v>
      </c>
      <c r="D266" s="16">
        <v>19000</v>
      </c>
      <c r="E266" s="1" t="s">
        <v>80</v>
      </c>
      <c r="F266" s="17">
        <f t="shared" si="18"/>
        <v>200.40080160320642</v>
      </c>
      <c r="G266" s="16">
        <v>19000</v>
      </c>
      <c r="H266" s="5">
        <f t="shared" si="17"/>
        <v>0</v>
      </c>
      <c r="I266" s="30">
        <v>150000</v>
      </c>
      <c r="J266" s="30" t="s">
        <v>509</v>
      </c>
      <c r="K266" s="84" t="s">
        <v>482</v>
      </c>
      <c r="L266" s="84"/>
      <c r="M266" s="51"/>
    </row>
    <row r="267" spans="1:13" ht="15" x14ac:dyDescent="0.25">
      <c r="A267" s="1">
        <v>258</v>
      </c>
      <c r="B267" s="1" t="s">
        <v>48</v>
      </c>
      <c r="C267" s="15">
        <v>2962</v>
      </c>
      <c r="D267" s="16">
        <v>16000</v>
      </c>
      <c r="E267" s="1" t="s">
        <v>80</v>
      </c>
      <c r="F267" s="17">
        <f t="shared" si="18"/>
        <v>168.75856977112119</v>
      </c>
      <c r="G267" s="16">
        <v>16000</v>
      </c>
      <c r="H267" s="5">
        <f t="shared" si="17"/>
        <v>0</v>
      </c>
      <c r="I267" s="30">
        <v>200000</v>
      </c>
      <c r="J267" s="30" t="s">
        <v>511</v>
      </c>
      <c r="K267" s="84" t="s">
        <v>482</v>
      </c>
      <c r="L267" s="84"/>
      <c r="M267" s="51"/>
    </row>
    <row r="268" spans="1:13" ht="15" x14ac:dyDescent="0.25">
      <c r="A268" s="1">
        <v>259</v>
      </c>
      <c r="B268" s="1" t="s">
        <v>48</v>
      </c>
      <c r="C268" s="15">
        <v>2740</v>
      </c>
      <c r="D268" s="16">
        <v>15000</v>
      </c>
      <c r="E268" s="1" t="s">
        <v>80</v>
      </c>
      <c r="F268" s="17">
        <f t="shared" si="18"/>
        <v>158.21115916042612</v>
      </c>
      <c r="G268" s="16">
        <v>15000</v>
      </c>
      <c r="H268" s="5">
        <f t="shared" ref="H268:H299" si="19">D268-G268</f>
        <v>0</v>
      </c>
      <c r="I268" s="30">
        <v>300000</v>
      </c>
      <c r="J268" s="30" t="s">
        <v>512</v>
      </c>
      <c r="K268" s="84" t="s">
        <v>482</v>
      </c>
      <c r="L268" s="84"/>
      <c r="M268" s="51"/>
    </row>
    <row r="269" spans="1:13" ht="15" x14ac:dyDescent="0.25">
      <c r="A269" s="1">
        <v>260</v>
      </c>
      <c r="B269" s="1" t="s">
        <v>48</v>
      </c>
      <c r="C269" s="15">
        <v>129</v>
      </c>
      <c r="D269" s="16">
        <v>14000</v>
      </c>
      <c r="E269" s="1" t="s">
        <v>80</v>
      </c>
      <c r="F269" s="17">
        <f t="shared" si="18"/>
        <v>147.66374854973103</v>
      </c>
      <c r="G269" s="16">
        <v>14000</v>
      </c>
      <c r="H269" s="5">
        <f t="shared" si="19"/>
        <v>0</v>
      </c>
      <c r="I269" s="30">
        <v>600000</v>
      </c>
      <c r="J269" s="30" t="s">
        <v>513</v>
      </c>
      <c r="K269" s="84" t="s">
        <v>482</v>
      </c>
      <c r="L269" s="84"/>
      <c r="M269" s="51"/>
    </row>
    <row r="270" spans="1:13" ht="15" x14ac:dyDescent="0.25">
      <c r="A270" s="1">
        <v>261</v>
      </c>
      <c r="B270" s="1" t="s">
        <v>48</v>
      </c>
      <c r="C270" s="15">
        <v>3626</v>
      </c>
      <c r="D270" s="16">
        <v>20000</v>
      </c>
      <c r="E270" s="1" t="s">
        <v>80</v>
      </c>
      <c r="F270" s="17">
        <f t="shared" si="18"/>
        <v>210.94821221390148</v>
      </c>
      <c r="G270" s="16">
        <v>20000</v>
      </c>
      <c r="H270" s="5">
        <f t="shared" si="19"/>
        <v>0</v>
      </c>
      <c r="I270" s="30">
        <v>300000</v>
      </c>
      <c r="J270" s="30" t="s">
        <v>514</v>
      </c>
      <c r="K270" s="84" t="s">
        <v>482</v>
      </c>
      <c r="L270" s="84"/>
      <c r="M270" s="51"/>
    </row>
    <row r="271" spans="1:13" ht="15" x14ac:dyDescent="0.25">
      <c r="A271" s="1">
        <v>262</v>
      </c>
      <c r="B271" s="1" t="s">
        <v>48</v>
      </c>
      <c r="C271" s="15">
        <v>2963</v>
      </c>
      <c r="D271" s="16">
        <v>16000</v>
      </c>
      <c r="E271" s="1" t="s">
        <v>80</v>
      </c>
      <c r="F271" s="17">
        <f t="shared" si="18"/>
        <v>168.75856977112119</v>
      </c>
      <c r="G271" s="16">
        <v>16000</v>
      </c>
      <c r="H271" s="5">
        <f t="shared" si="19"/>
        <v>0</v>
      </c>
      <c r="I271" s="30">
        <v>1000000</v>
      </c>
      <c r="J271" s="30" t="s">
        <v>516</v>
      </c>
      <c r="K271" s="84" t="s">
        <v>482</v>
      </c>
      <c r="L271" s="84"/>
      <c r="M271" s="51"/>
    </row>
    <row r="272" spans="1:13" ht="15" x14ac:dyDescent="0.25">
      <c r="A272" s="1">
        <v>263</v>
      </c>
      <c r="B272" s="1" t="s">
        <v>48</v>
      </c>
      <c r="C272" s="15">
        <v>5404</v>
      </c>
      <c r="D272" s="16">
        <v>12000</v>
      </c>
      <c r="E272" s="1" t="s">
        <v>80</v>
      </c>
      <c r="F272" s="17">
        <f t="shared" si="18"/>
        <v>126.56892732834089</v>
      </c>
      <c r="G272" s="16">
        <v>12000</v>
      </c>
      <c r="H272" s="5">
        <f t="shared" si="19"/>
        <v>0</v>
      </c>
      <c r="I272" s="30">
        <v>700000</v>
      </c>
      <c r="J272" s="30" t="s">
        <v>518</v>
      </c>
      <c r="K272" s="84" t="s">
        <v>482</v>
      </c>
      <c r="L272" s="84"/>
      <c r="M272" s="51"/>
    </row>
    <row r="273" spans="1:14" ht="15" x14ac:dyDescent="0.25">
      <c r="A273" s="1">
        <v>264</v>
      </c>
      <c r="B273" s="1" t="s">
        <v>48</v>
      </c>
      <c r="C273" s="15">
        <v>128</v>
      </c>
      <c r="D273" s="16">
        <v>13000</v>
      </c>
      <c r="E273" s="1" t="s">
        <v>80</v>
      </c>
      <c r="F273" s="17">
        <f t="shared" si="18"/>
        <v>137.11633793903596</v>
      </c>
      <c r="G273" s="31">
        <v>13000</v>
      </c>
      <c r="H273" s="5">
        <f t="shared" si="19"/>
        <v>0</v>
      </c>
      <c r="I273" s="30">
        <v>500000</v>
      </c>
      <c r="J273" s="30" t="s">
        <v>521</v>
      </c>
      <c r="K273" s="84" t="s">
        <v>482</v>
      </c>
      <c r="L273" s="84"/>
      <c r="M273" s="51"/>
    </row>
    <row r="274" spans="1:14" ht="15" x14ac:dyDescent="0.25">
      <c r="A274" s="1">
        <v>265</v>
      </c>
      <c r="B274" s="1" t="s">
        <v>48</v>
      </c>
      <c r="C274" s="15">
        <v>2526</v>
      </c>
      <c r="D274" s="16">
        <v>17000</v>
      </c>
      <c r="E274" s="1" t="s">
        <v>80</v>
      </c>
      <c r="F274" s="17">
        <f t="shared" si="18"/>
        <v>179.30598038181625</v>
      </c>
      <c r="G274" s="16">
        <v>17000</v>
      </c>
      <c r="H274" s="5">
        <f t="shared" si="19"/>
        <v>0</v>
      </c>
      <c r="I274" s="30">
        <v>600000</v>
      </c>
      <c r="J274" s="30" t="s">
        <v>523</v>
      </c>
      <c r="K274" s="84" t="s">
        <v>482</v>
      </c>
      <c r="L274" s="84"/>
      <c r="M274" s="51"/>
    </row>
    <row r="275" spans="1:14" ht="15.75" x14ac:dyDescent="0.25">
      <c r="A275" s="1">
        <v>266</v>
      </c>
      <c r="B275" s="1" t="s">
        <v>48</v>
      </c>
      <c r="C275" s="15" t="s">
        <v>55</v>
      </c>
      <c r="D275" s="16">
        <v>25000</v>
      </c>
      <c r="E275" s="1" t="s">
        <v>80</v>
      </c>
      <c r="F275" s="17">
        <f t="shared" si="18"/>
        <v>263.68526526737685</v>
      </c>
      <c r="G275" s="16">
        <v>25000</v>
      </c>
      <c r="H275" s="5">
        <f t="shared" si="19"/>
        <v>0</v>
      </c>
      <c r="I275" s="217">
        <v>200000</v>
      </c>
      <c r="J275" s="217" t="s">
        <v>525</v>
      </c>
      <c r="K275" s="218" t="s">
        <v>457</v>
      </c>
      <c r="L275" s="219"/>
      <c r="M275" s="218"/>
    </row>
    <row r="276" spans="1:14" ht="15.75" x14ac:dyDescent="0.25">
      <c r="A276" s="1">
        <v>267</v>
      </c>
      <c r="B276" s="1" t="s">
        <v>48</v>
      </c>
      <c r="C276" s="15">
        <v>2961</v>
      </c>
      <c r="D276" s="16">
        <v>16000</v>
      </c>
      <c r="E276" s="1" t="s">
        <v>80</v>
      </c>
      <c r="F276" s="17">
        <f t="shared" si="18"/>
        <v>168.75856977112119</v>
      </c>
      <c r="G276" s="16">
        <v>16000</v>
      </c>
      <c r="H276" s="5">
        <f t="shared" si="19"/>
        <v>0</v>
      </c>
      <c r="I276" s="217">
        <v>800000</v>
      </c>
      <c r="J276" s="217" t="s">
        <v>527</v>
      </c>
      <c r="K276" s="218" t="s">
        <v>457</v>
      </c>
      <c r="L276" s="219"/>
      <c r="M276" s="218"/>
    </row>
    <row r="277" spans="1:14" ht="15.75" x14ac:dyDescent="0.25">
      <c r="A277" s="1">
        <v>268</v>
      </c>
      <c r="B277" s="1" t="s">
        <v>48</v>
      </c>
      <c r="C277" s="15" t="s">
        <v>54</v>
      </c>
      <c r="D277" s="16">
        <v>25000</v>
      </c>
      <c r="E277" s="1" t="s">
        <v>80</v>
      </c>
      <c r="F277" s="17">
        <f t="shared" si="18"/>
        <v>263.68526526737685</v>
      </c>
      <c r="G277" s="16">
        <v>25000</v>
      </c>
      <c r="H277" s="5">
        <f t="shared" si="19"/>
        <v>0</v>
      </c>
      <c r="I277" s="217">
        <v>1000000</v>
      </c>
      <c r="J277" s="217" t="s">
        <v>530</v>
      </c>
      <c r="K277" s="218" t="s">
        <v>529</v>
      </c>
      <c r="L277" s="219"/>
      <c r="M277" s="218"/>
    </row>
    <row r="278" spans="1:14" ht="15.75" x14ac:dyDescent="0.25">
      <c r="A278" s="1">
        <v>269</v>
      </c>
      <c r="B278" s="1" t="s">
        <v>48</v>
      </c>
      <c r="C278" s="15">
        <v>6821</v>
      </c>
      <c r="D278" s="16">
        <v>16000</v>
      </c>
      <c r="E278" s="1" t="s">
        <v>80</v>
      </c>
      <c r="F278" s="17">
        <f t="shared" si="18"/>
        <v>168.75856977112119</v>
      </c>
      <c r="G278" s="16">
        <v>16000</v>
      </c>
      <c r="H278" s="5">
        <f t="shared" si="19"/>
        <v>0</v>
      </c>
      <c r="I278" s="217">
        <v>500000</v>
      </c>
      <c r="J278" s="217" t="s">
        <v>531</v>
      </c>
      <c r="K278" s="218" t="s">
        <v>529</v>
      </c>
      <c r="L278" s="219"/>
      <c r="M278" s="218"/>
    </row>
    <row r="279" spans="1:14" ht="15" x14ac:dyDescent="0.25">
      <c r="A279" s="1">
        <v>270</v>
      </c>
      <c r="B279" s="1" t="s">
        <v>48</v>
      </c>
      <c r="C279" s="15">
        <v>3548</v>
      </c>
      <c r="D279" s="16">
        <v>17000</v>
      </c>
      <c r="E279" s="1" t="s">
        <v>80</v>
      </c>
      <c r="F279" s="17">
        <f t="shared" si="18"/>
        <v>179.30598038181625</v>
      </c>
      <c r="G279" s="16">
        <v>17000</v>
      </c>
      <c r="H279" s="5">
        <f t="shared" si="19"/>
        <v>0</v>
      </c>
      <c r="I279" s="30">
        <v>600000</v>
      </c>
      <c r="J279" s="30" t="s">
        <v>532</v>
      </c>
      <c r="K279" s="84" t="s">
        <v>482</v>
      </c>
      <c r="L279" s="84"/>
      <c r="M279" s="51"/>
      <c r="N279" s="302" t="s">
        <v>549</v>
      </c>
    </row>
    <row r="280" spans="1:14" ht="15" x14ac:dyDescent="0.25">
      <c r="A280" s="1">
        <v>271</v>
      </c>
      <c r="B280" s="1" t="s">
        <v>48</v>
      </c>
      <c r="C280" s="15">
        <v>4393</v>
      </c>
      <c r="D280" s="16">
        <v>25000</v>
      </c>
      <c r="E280" s="1" t="s">
        <v>80</v>
      </c>
      <c r="F280" s="17">
        <f t="shared" si="18"/>
        <v>263.68526526737685</v>
      </c>
      <c r="G280" s="16">
        <v>25000</v>
      </c>
      <c r="H280" s="5">
        <f t="shared" si="19"/>
        <v>0</v>
      </c>
      <c r="I280" s="30">
        <v>500000</v>
      </c>
      <c r="J280" s="30" t="s">
        <v>534</v>
      </c>
      <c r="K280" s="84" t="s">
        <v>482</v>
      </c>
      <c r="L280" s="84"/>
      <c r="M280" s="51"/>
      <c r="N280" s="302" t="s">
        <v>549</v>
      </c>
    </row>
    <row r="281" spans="1:14" ht="15" x14ac:dyDescent="0.25">
      <c r="A281" s="1">
        <v>272</v>
      </c>
      <c r="B281" s="1" t="s">
        <v>48</v>
      </c>
      <c r="C281" s="15">
        <v>4551</v>
      </c>
      <c r="D281" s="16">
        <v>15000</v>
      </c>
      <c r="E281" s="1" t="s">
        <v>80</v>
      </c>
      <c r="F281" s="17">
        <f t="shared" si="18"/>
        <v>158.21115916042612</v>
      </c>
      <c r="G281" s="16">
        <v>15000</v>
      </c>
      <c r="H281" s="5">
        <f t="shared" si="19"/>
        <v>0</v>
      </c>
      <c r="I281" s="30">
        <v>400000</v>
      </c>
      <c r="J281" s="30" t="s">
        <v>535</v>
      </c>
      <c r="K281" s="84" t="s">
        <v>482</v>
      </c>
      <c r="L281" s="84"/>
      <c r="M281" s="51"/>
      <c r="N281" s="302" t="s">
        <v>549</v>
      </c>
    </row>
    <row r="282" spans="1:14" ht="15" x14ac:dyDescent="0.25">
      <c r="A282" s="1">
        <v>273</v>
      </c>
      <c r="B282" s="1" t="s">
        <v>48</v>
      </c>
      <c r="C282" s="15">
        <v>8191</v>
      </c>
      <c r="D282" s="16">
        <v>28000</v>
      </c>
      <c r="E282" s="1" t="s">
        <v>80</v>
      </c>
      <c r="F282" s="17">
        <f>D282/99.66</f>
        <v>280.95524784266507</v>
      </c>
      <c r="G282" s="16">
        <v>28000</v>
      </c>
      <c r="H282" s="5">
        <f t="shared" si="19"/>
        <v>0</v>
      </c>
      <c r="I282" s="30">
        <v>500000</v>
      </c>
      <c r="J282" s="30" t="s">
        <v>537</v>
      </c>
      <c r="K282" s="84" t="s">
        <v>482</v>
      </c>
      <c r="L282" s="84"/>
      <c r="M282" s="51"/>
      <c r="N282" s="302" t="s">
        <v>549</v>
      </c>
    </row>
    <row r="283" spans="1:14" ht="15" x14ac:dyDescent="0.25">
      <c r="A283" s="1">
        <v>274</v>
      </c>
      <c r="B283" s="1" t="s">
        <v>48</v>
      </c>
      <c r="C283" s="15">
        <v>4967</v>
      </c>
      <c r="D283" s="16">
        <v>25000</v>
      </c>
      <c r="E283" s="1" t="s">
        <v>80</v>
      </c>
      <c r="F283" s="17">
        <v>315.36</v>
      </c>
      <c r="G283" s="16">
        <v>25000</v>
      </c>
      <c r="H283" s="5">
        <f t="shared" si="19"/>
        <v>0</v>
      </c>
      <c r="I283" s="30">
        <v>1000000</v>
      </c>
      <c r="J283" s="30" t="s">
        <v>539</v>
      </c>
      <c r="K283" s="84" t="s">
        <v>548</v>
      </c>
      <c r="L283" s="84"/>
      <c r="M283" s="51"/>
      <c r="N283" s="302" t="s">
        <v>549</v>
      </c>
    </row>
    <row r="284" spans="1:14" ht="15" x14ac:dyDescent="0.25">
      <c r="A284" s="1">
        <v>275</v>
      </c>
      <c r="B284" s="1" t="s">
        <v>48</v>
      </c>
      <c r="C284" s="15">
        <v>1992</v>
      </c>
      <c r="D284" s="16">
        <v>30000</v>
      </c>
      <c r="E284" s="1" t="s">
        <v>80</v>
      </c>
      <c r="F284" s="17">
        <f>D284/114.96</f>
        <v>260.96033402922757</v>
      </c>
      <c r="G284" s="16">
        <v>30000</v>
      </c>
      <c r="H284" s="5">
        <f t="shared" si="19"/>
        <v>0</v>
      </c>
      <c r="I284" s="30">
        <v>300000</v>
      </c>
      <c r="J284" s="30" t="s">
        <v>543</v>
      </c>
      <c r="K284" s="84" t="s">
        <v>548</v>
      </c>
      <c r="L284" s="84"/>
      <c r="M284" s="51"/>
      <c r="N284" s="302" t="s">
        <v>549</v>
      </c>
    </row>
    <row r="285" spans="1:14" ht="15" x14ac:dyDescent="0.25">
      <c r="A285" s="1">
        <v>276</v>
      </c>
      <c r="B285" s="1" t="s">
        <v>48</v>
      </c>
      <c r="C285" s="15">
        <v>2943</v>
      </c>
      <c r="D285" s="16">
        <v>33000</v>
      </c>
      <c r="E285" s="1" t="s">
        <v>80</v>
      </c>
      <c r="F285" s="17">
        <f>D285/99.66</f>
        <v>331.12582781456956</v>
      </c>
      <c r="G285" s="16">
        <v>33000</v>
      </c>
      <c r="H285" s="5">
        <f t="shared" si="19"/>
        <v>0</v>
      </c>
      <c r="I285" s="30">
        <v>400000</v>
      </c>
      <c r="J285" s="30" t="s">
        <v>544</v>
      </c>
      <c r="K285" s="84" t="s">
        <v>548</v>
      </c>
      <c r="L285" s="84"/>
      <c r="M285" s="51"/>
    </row>
    <row r="286" spans="1:14" ht="15" x14ac:dyDescent="0.25">
      <c r="A286" s="1">
        <v>277</v>
      </c>
      <c r="B286" s="1" t="s">
        <v>48</v>
      </c>
      <c r="C286" s="15">
        <v>2283</v>
      </c>
      <c r="D286" s="16">
        <v>10000</v>
      </c>
      <c r="E286" s="1" t="s">
        <v>80</v>
      </c>
      <c r="F286" s="17">
        <v>105.12</v>
      </c>
      <c r="G286" s="16">
        <v>10000</v>
      </c>
      <c r="H286" s="5">
        <f t="shared" si="19"/>
        <v>0</v>
      </c>
      <c r="I286" s="30">
        <v>800000</v>
      </c>
      <c r="J286" s="30" t="s">
        <v>547</v>
      </c>
      <c r="K286" s="84" t="s">
        <v>482</v>
      </c>
      <c r="L286" s="84"/>
      <c r="M286" s="51"/>
    </row>
    <row r="287" spans="1:14" ht="15" x14ac:dyDescent="0.25">
      <c r="A287" s="1">
        <v>278</v>
      </c>
      <c r="B287" s="1" t="s">
        <v>48</v>
      </c>
      <c r="C287" s="15">
        <v>2227</v>
      </c>
      <c r="D287" s="16">
        <v>16000</v>
      </c>
      <c r="E287" s="1" t="s">
        <v>80</v>
      </c>
      <c r="F287" s="17">
        <v>168.19</v>
      </c>
      <c r="G287" s="16">
        <v>16000</v>
      </c>
      <c r="H287" s="5">
        <f t="shared" si="19"/>
        <v>0</v>
      </c>
      <c r="I287" s="30">
        <v>400000</v>
      </c>
      <c r="J287" s="30" t="s">
        <v>556</v>
      </c>
      <c r="K287" s="84" t="s">
        <v>482</v>
      </c>
      <c r="L287" s="84"/>
      <c r="M287" s="51"/>
    </row>
    <row r="288" spans="1:14" ht="15" x14ac:dyDescent="0.25">
      <c r="A288" s="1">
        <v>279</v>
      </c>
      <c r="B288" s="1" t="s">
        <v>50</v>
      </c>
      <c r="C288" s="15">
        <v>5826</v>
      </c>
      <c r="D288" s="16">
        <v>12000</v>
      </c>
      <c r="E288" s="1" t="s">
        <v>80</v>
      </c>
      <c r="F288" s="17">
        <v>125.09</v>
      </c>
      <c r="G288" s="16">
        <v>12000</v>
      </c>
      <c r="H288" s="5">
        <f t="shared" si="19"/>
        <v>0</v>
      </c>
      <c r="I288" s="30">
        <v>400000</v>
      </c>
      <c r="J288" s="30" t="s">
        <v>558</v>
      </c>
      <c r="K288" s="84" t="s">
        <v>482</v>
      </c>
      <c r="L288" s="84"/>
      <c r="M288" s="51"/>
    </row>
    <row r="289" spans="1:13" ht="15" x14ac:dyDescent="0.25">
      <c r="A289" s="1">
        <v>280</v>
      </c>
      <c r="B289" s="1" t="s">
        <v>50</v>
      </c>
      <c r="C289" s="15">
        <v>4326</v>
      </c>
      <c r="D289" s="16">
        <v>15000</v>
      </c>
      <c r="E289" s="1" t="s">
        <v>80</v>
      </c>
      <c r="F289" s="17">
        <v>156.36000000000001</v>
      </c>
      <c r="G289" s="16">
        <v>15000</v>
      </c>
      <c r="H289" s="5">
        <f t="shared" si="19"/>
        <v>0</v>
      </c>
      <c r="I289" s="30">
        <v>400000</v>
      </c>
      <c r="J289" s="30" t="s">
        <v>559</v>
      </c>
      <c r="K289" s="84" t="s">
        <v>548</v>
      </c>
      <c r="L289" s="84"/>
      <c r="M289" s="51"/>
    </row>
    <row r="290" spans="1:13" ht="15" x14ac:dyDescent="0.25">
      <c r="A290" s="1">
        <v>281</v>
      </c>
      <c r="B290" s="1" t="s">
        <v>50</v>
      </c>
      <c r="C290" s="15" t="s">
        <v>30</v>
      </c>
      <c r="D290" s="16">
        <v>3500</v>
      </c>
      <c r="E290" s="1" t="s">
        <v>80</v>
      </c>
      <c r="F290" s="17">
        <v>36.479999999999997</v>
      </c>
      <c r="G290" s="16">
        <v>3500</v>
      </c>
      <c r="H290" s="5">
        <f t="shared" si="19"/>
        <v>0</v>
      </c>
      <c r="I290" s="30">
        <v>300000</v>
      </c>
      <c r="J290" s="30" t="s">
        <v>561</v>
      </c>
      <c r="K290" s="84" t="s">
        <v>548</v>
      </c>
      <c r="L290" s="84"/>
      <c r="M290" s="51"/>
    </row>
    <row r="291" spans="1:13" ht="15" x14ac:dyDescent="0.25">
      <c r="A291" s="1">
        <v>282</v>
      </c>
      <c r="B291" s="1" t="s">
        <v>50</v>
      </c>
      <c r="C291" s="32" t="s">
        <v>30</v>
      </c>
      <c r="D291" s="16">
        <v>5000</v>
      </c>
      <c r="E291" s="1" t="s">
        <v>80</v>
      </c>
      <c r="F291" s="17">
        <v>52.12</v>
      </c>
      <c r="G291" s="16">
        <v>5000</v>
      </c>
      <c r="H291" s="5">
        <f t="shared" si="19"/>
        <v>0</v>
      </c>
      <c r="I291" s="30">
        <v>500000</v>
      </c>
      <c r="J291" s="30" t="s">
        <v>566</v>
      </c>
      <c r="K291" s="84" t="s">
        <v>482</v>
      </c>
      <c r="L291" s="84"/>
      <c r="M291" s="51"/>
    </row>
    <row r="292" spans="1:13" ht="15" x14ac:dyDescent="0.25">
      <c r="A292" s="1">
        <v>283</v>
      </c>
      <c r="B292" s="1" t="s">
        <v>50</v>
      </c>
      <c r="C292" s="15">
        <v>3426</v>
      </c>
      <c r="D292" s="16">
        <v>14000</v>
      </c>
      <c r="E292" s="1" t="s">
        <v>80</v>
      </c>
      <c r="F292" s="17">
        <v>145.94</v>
      </c>
      <c r="G292" s="16">
        <v>14000</v>
      </c>
      <c r="H292" s="5">
        <f t="shared" si="19"/>
        <v>0</v>
      </c>
      <c r="I292" s="30">
        <v>300000</v>
      </c>
      <c r="J292" s="30" t="s">
        <v>567</v>
      </c>
      <c r="K292" s="84" t="s">
        <v>548</v>
      </c>
      <c r="L292" s="84"/>
      <c r="M292" s="51"/>
    </row>
    <row r="293" spans="1:13" ht="15" x14ac:dyDescent="0.25">
      <c r="A293" s="1">
        <v>284</v>
      </c>
      <c r="B293" s="1" t="s">
        <v>50</v>
      </c>
      <c r="C293" s="15">
        <v>2232</v>
      </c>
      <c r="D293" s="16">
        <v>20000</v>
      </c>
      <c r="E293" s="1" t="s">
        <v>80</v>
      </c>
      <c r="F293" s="17">
        <v>208.49</v>
      </c>
      <c r="G293" s="16">
        <v>20000</v>
      </c>
      <c r="H293" s="5">
        <f t="shared" si="19"/>
        <v>0</v>
      </c>
      <c r="I293" s="30">
        <v>200000</v>
      </c>
      <c r="J293" s="30" t="s">
        <v>568</v>
      </c>
      <c r="K293" s="84" t="s">
        <v>482</v>
      </c>
      <c r="L293" s="84"/>
      <c r="M293" s="51"/>
    </row>
    <row r="294" spans="1:13" ht="15" x14ac:dyDescent="0.25">
      <c r="A294" s="1">
        <v>285</v>
      </c>
      <c r="B294" s="1" t="s">
        <v>50</v>
      </c>
      <c r="C294" s="15">
        <v>2056</v>
      </c>
      <c r="D294" s="16">
        <v>17000</v>
      </c>
      <c r="E294" s="1" t="s">
        <v>80</v>
      </c>
      <c r="F294" s="17">
        <v>177.21</v>
      </c>
      <c r="G294" s="16">
        <v>17000</v>
      </c>
      <c r="H294" s="5">
        <f t="shared" si="19"/>
        <v>0</v>
      </c>
      <c r="I294" s="30">
        <v>200000</v>
      </c>
      <c r="J294" s="30" t="s">
        <v>569</v>
      </c>
      <c r="K294" s="84" t="s">
        <v>482</v>
      </c>
      <c r="L294" s="84"/>
      <c r="M294" s="51"/>
    </row>
    <row r="295" spans="1:13" ht="15" x14ac:dyDescent="0.25">
      <c r="A295" s="1">
        <v>286</v>
      </c>
      <c r="B295" s="1" t="s">
        <v>50</v>
      </c>
      <c r="C295" s="15">
        <v>1152</v>
      </c>
      <c r="D295" s="16">
        <v>12000</v>
      </c>
      <c r="E295" s="1" t="s">
        <v>80</v>
      </c>
      <c r="F295" s="17">
        <v>125.09</v>
      </c>
      <c r="G295" s="16">
        <v>12000</v>
      </c>
      <c r="H295" s="5">
        <f t="shared" si="19"/>
        <v>0</v>
      </c>
      <c r="I295" s="30">
        <v>200000</v>
      </c>
      <c r="J295" s="30" t="s">
        <v>570</v>
      </c>
      <c r="K295" s="84" t="s">
        <v>482</v>
      </c>
      <c r="L295" s="84"/>
      <c r="M295" s="51"/>
    </row>
    <row r="296" spans="1:13" ht="15" x14ac:dyDescent="0.25">
      <c r="A296" s="1">
        <v>287</v>
      </c>
      <c r="B296" s="1" t="s">
        <v>50</v>
      </c>
      <c r="C296" s="15">
        <v>2615</v>
      </c>
      <c r="D296" s="16">
        <v>25000</v>
      </c>
      <c r="E296" s="1" t="s">
        <v>80</v>
      </c>
      <c r="F296" s="17">
        <v>260.61</v>
      </c>
      <c r="G296" s="16">
        <v>25000</v>
      </c>
      <c r="H296" s="5">
        <f t="shared" si="19"/>
        <v>0</v>
      </c>
      <c r="I296" s="30">
        <v>700000</v>
      </c>
      <c r="J296" s="30" t="s">
        <v>574</v>
      </c>
      <c r="K296" s="84" t="s">
        <v>482</v>
      </c>
      <c r="L296" s="84"/>
      <c r="M296" s="51"/>
    </row>
    <row r="297" spans="1:13" ht="15" x14ac:dyDescent="0.25">
      <c r="A297" s="1">
        <v>288</v>
      </c>
      <c r="B297" s="1" t="s">
        <v>50</v>
      </c>
      <c r="C297" s="15">
        <v>4494</v>
      </c>
      <c r="D297" s="16">
        <v>19000</v>
      </c>
      <c r="E297" s="1" t="s">
        <v>80</v>
      </c>
      <c r="F297" s="17">
        <v>198.06</v>
      </c>
      <c r="G297" s="16">
        <v>19000</v>
      </c>
      <c r="H297" s="5">
        <f t="shared" si="19"/>
        <v>0</v>
      </c>
      <c r="I297" s="30">
        <v>300000</v>
      </c>
      <c r="J297" s="30" t="s">
        <v>576</v>
      </c>
      <c r="K297" s="84" t="s">
        <v>482</v>
      </c>
      <c r="L297" s="84"/>
      <c r="M297" s="51"/>
    </row>
    <row r="298" spans="1:13" ht="15" x14ac:dyDescent="0.25">
      <c r="A298" s="1">
        <v>289</v>
      </c>
      <c r="B298" s="1" t="s">
        <v>50</v>
      </c>
      <c r="C298" s="15">
        <v>5567</v>
      </c>
      <c r="D298" s="16">
        <v>18000</v>
      </c>
      <c r="E298" s="1" t="s">
        <v>80</v>
      </c>
      <c r="F298" s="17">
        <v>187.67</v>
      </c>
      <c r="G298" s="34">
        <v>18000</v>
      </c>
      <c r="H298" s="5">
        <f t="shared" si="19"/>
        <v>0</v>
      </c>
      <c r="I298" s="30">
        <v>600000</v>
      </c>
      <c r="J298" s="30" t="s">
        <v>578</v>
      </c>
      <c r="K298" s="84" t="s">
        <v>482</v>
      </c>
      <c r="L298" s="84"/>
      <c r="M298" s="51"/>
    </row>
    <row r="299" spans="1:13" ht="15" x14ac:dyDescent="0.25">
      <c r="A299" s="1">
        <v>290</v>
      </c>
      <c r="B299" s="1" t="s">
        <v>50</v>
      </c>
      <c r="C299" s="15">
        <v>2057</v>
      </c>
      <c r="D299" s="16">
        <v>25000</v>
      </c>
      <c r="E299" s="1" t="s">
        <v>80</v>
      </c>
      <c r="F299" s="17">
        <v>260.61</v>
      </c>
      <c r="G299" s="16">
        <v>25000</v>
      </c>
      <c r="H299" s="5">
        <f t="shared" si="19"/>
        <v>0</v>
      </c>
      <c r="I299" s="30">
        <v>400000</v>
      </c>
      <c r="J299" s="30" t="s">
        <v>579</v>
      </c>
      <c r="K299" s="84" t="s">
        <v>482</v>
      </c>
      <c r="L299" s="84"/>
      <c r="M299" s="51"/>
    </row>
    <row r="300" spans="1:13" ht="15" x14ac:dyDescent="0.25">
      <c r="A300" s="1">
        <v>291</v>
      </c>
      <c r="B300" s="1" t="s">
        <v>50</v>
      </c>
      <c r="C300" s="15">
        <v>148</v>
      </c>
      <c r="D300" s="16">
        <v>14000</v>
      </c>
      <c r="E300" s="1" t="s">
        <v>80</v>
      </c>
      <c r="F300" s="17">
        <v>145.94</v>
      </c>
      <c r="G300" s="16">
        <v>14000</v>
      </c>
      <c r="H300" s="5">
        <f t="shared" ref="H300:H310" si="20">D300-G300</f>
        <v>0</v>
      </c>
      <c r="I300" s="30">
        <v>600000</v>
      </c>
      <c r="J300" s="30" t="s">
        <v>581</v>
      </c>
      <c r="K300" s="84" t="s">
        <v>482</v>
      </c>
      <c r="L300" s="84"/>
      <c r="M300" s="51"/>
    </row>
    <row r="301" spans="1:13" ht="15" x14ac:dyDescent="0.25">
      <c r="A301" s="1">
        <v>292</v>
      </c>
      <c r="B301" s="1" t="s">
        <v>50</v>
      </c>
      <c r="C301" s="15">
        <v>7350</v>
      </c>
      <c r="D301" s="16">
        <v>14000</v>
      </c>
      <c r="E301" s="1" t="s">
        <v>80</v>
      </c>
      <c r="F301" s="17">
        <v>145.94</v>
      </c>
      <c r="G301" s="16">
        <v>14000</v>
      </c>
      <c r="H301" s="5">
        <f t="shared" si="20"/>
        <v>0</v>
      </c>
      <c r="I301" s="30">
        <v>400000</v>
      </c>
      <c r="J301" s="30" t="s">
        <v>583</v>
      </c>
      <c r="K301" s="84" t="s">
        <v>482</v>
      </c>
      <c r="L301" s="84"/>
      <c r="M301" s="51"/>
    </row>
    <row r="302" spans="1:13" ht="15" x14ac:dyDescent="0.25">
      <c r="A302" s="1">
        <v>293</v>
      </c>
      <c r="B302" s="1" t="s">
        <v>50</v>
      </c>
      <c r="C302" s="15">
        <v>4747</v>
      </c>
      <c r="D302" s="16">
        <v>12000</v>
      </c>
      <c r="E302" s="1" t="s">
        <v>80</v>
      </c>
      <c r="F302" s="17">
        <v>125.09</v>
      </c>
      <c r="G302" s="16">
        <v>12000</v>
      </c>
      <c r="H302" s="5">
        <f t="shared" si="20"/>
        <v>0</v>
      </c>
      <c r="I302" s="6"/>
      <c r="J302" s="6"/>
      <c r="K302" s="84"/>
      <c r="L302" s="45"/>
      <c r="M302" s="302"/>
    </row>
    <row r="303" spans="1:13" ht="15" x14ac:dyDescent="0.25">
      <c r="A303" s="1">
        <v>294</v>
      </c>
      <c r="B303" s="1" t="s">
        <v>50</v>
      </c>
      <c r="C303" s="15">
        <v>8386</v>
      </c>
      <c r="D303" s="16">
        <v>8000</v>
      </c>
      <c r="E303" s="1" t="s">
        <v>80</v>
      </c>
      <c r="F303" s="17">
        <v>83.39</v>
      </c>
      <c r="G303" s="16">
        <v>8000</v>
      </c>
      <c r="H303" s="5">
        <f t="shared" si="20"/>
        <v>0</v>
      </c>
      <c r="I303" s="6"/>
      <c r="J303" s="6"/>
      <c r="K303" s="84"/>
      <c r="L303" s="45"/>
      <c r="M303" s="302"/>
    </row>
    <row r="304" spans="1:13" ht="15" x14ac:dyDescent="0.25">
      <c r="A304" s="1">
        <v>295</v>
      </c>
      <c r="B304" s="1" t="s">
        <v>50</v>
      </c>
      <c r="C304" s="15">
        <v>6648</v>
      </c>
      <c r="D304" s="16">
        <v>28000</v>
      </c>
      <c r="E304" s="1" t="s">
        <v>80</v>
      </c>
      <c r="F304" s="17">
        <v>291.88</v>
      </c>
      <c r="G304" s="16">
        <v>28000</v>
      </c>
      <c r="H304" s="5">
        <f t="shared" si="20"/>
        <v>0</v>
      </c>
      <c r="I304" s="6"/>
      <c r="J304" s="6"/>
      <c r="K304" s="84"/>
      <c r="L304" s="45"/>
      <c r="M304" s="302"/>
    </row>
    <row r="305" spans="1:13" ht="15" x14ac:dyDescent="0.25">
      <c r="A305" s="1">
        <v>296</v>
      </c>
      <c r="B305" s="1" t="s">
        <v>50</v>
      </c>
      <c r="C305" s="15">
        <v>5659</v>
      </c>
      <c r="D305" s="16">
        <v>30000</v>
      </c>
      <c r="E305" s="1" t="s">
        <v>80</v>
      </c>
      <c r="F305" s="17">
        <v>312.73</v>
      </c>
      <c r="G305" s="16">
        <v>30000</v>
      </c>
      <c r="H305" s="5">
        <f t="shared" si="20"/>
        <v>0</v>
      </c>
      <c r="I305" s="6"/>
      <c r="J305" s="6"/>
      <c r="K305" s="84"/>
      <c r="L305" s="45"/>
      <c r="M305" s="302"/>
    </row>
    <row r="306" spans="1:13" ht="15" x14ac:dyDescent="0.25">
      <c r="A306" s="1">
        <v>297</v>
      </c>
      <c r="B306" s="1" t="s">
        <v>50</v>
      </c>
      <c r="C306" s="15">
        <v>1289</v>
      </c>
      <c r="D306" s="16">
        <v>23000</v>
      </c>
      <c r="E306" s="1" t="s">
        <v>80</v>
      </c>
      <c r="F306" s="17">
        <v>239.76</v>
      </c>
      <c r="G306" s="16">
        <v>23000</v>
      </c>
      <c r="H306" s="5">
        <f t="shared" si="20"/>
        <v>0</v>
      </c>
      <c r="I306" s="6"/>
      <c r="J306" s="6"/>
      <c r="K306" s="84"/>
      <c r="L306" s="45"/>
      <c r="M306" s="302"/>
    </row>
    <row r="307" spans="1:13" ht="15" x14ac:dyDescent="0.25">
      <c r="A307" s="1">
        <v>298</v>
      </c>
      <c r="B307" s="1" t="s">
        <v>50</v>
      </c>
      <c r="C307" s="15">
        <v>293</v>
      </c>
      <c r="D307" s="16">
        <v>14000</v>
      </c>
      <c r="E307" s="1" t="s">
        <v>80</v>
      </c>
      <c r="F307" s="17">
        <v>145.94</v>
      </c>
      <c r="G307" s="16">
        <v>14000</v>
      </c>
      <c r="H307" s="5">
        <f t="shared" si="20"/>
        <v>0</v>
      </c>
      <c r="I307" s="6"/>
      <c r="J307" s="6"/>
      <c r="K307" s="84"/>
      <c r="L307" s="45"/>
      <c r="M307" s="302"/>
    </row>
    <row r="308" spans="1:13" ht="15" x14ac:dyDescent="0.25">
      <c r="A308" s="1">
        <v>299</v>
      </c>
      <c r="B308" s="1" t="s">
        <v>50</v>
      </c>
      <c r="C308" s="15">
        <v>4953</v>
      </c>
      <c r="D308" s="16">
        <v>8000</v>
      </c>
      <c r="E308" s="1" t="s">
        <v>80</v>
      </c>
      <c r="F308" s="17">
        <v>83.39</v>
      </c>
      <c r="G308" s="16">
        <v>8000</v>
      </c>
      <c r="H308" s="5">
        <f t="shared" si="20"/>
        <v>0</v>
      </c>
      <c r="I308" s="6"/>
      <c r="J308" s="6"/>
      <c r="K308" s="84"/>
      <c r="L308" s="45"/>
      <c r="M308" s="302"/>
    </row>
    <row r="309" spans="1:13" ht="15" x14ac:dyDescent="0.25">
      <c r="A309" s="1">
        <v>300</v>
      </c>
      <c r="B309" s="1" t="s">
        <v>50</v>
      </c>
      <c r="C309" s="15" t="s">
        <v>30</v>
      </c>
      <c r="D309" s="16">
        <v>4500</v>
      </c>
      <c r="E309" s="1" t="s">
        <v>80</v>
      </c>
      <c r="F309" s="17">
        <v>46.91</v>
      </c>
      <c r="G309" s="16">
        <v>4500</v>
      </c>
      <c r="H309" s="5">
        <f t="shared" si="20"/>
        <v>0</v>
      </c>
      <c r="I309" s="6"/>
      <c r="J309" s="6"/>
      <c r="K309" s="84"/>
      <c r="L309" s="45"/>
      <c r="M309" s="302"/>
    </row>
    <row r="310" spans="1:13" ht="15" x14ac:dyDescent="0.25">
      <c r="A310" s="1">
        <v>301</v>
      </c>
      <c r="B310" s="1" t="s">
        <v>50</v>
      </c>
      <c r="C310" s="15">
        <v>8108</v>
      </c>
      <c r="D310" s="16">
        <v>30000</v>
      </c>
      <c r="E310" s="1" t="s">
        <v>80</v>
      </c>
      <c r="F310" s="17">
        <v>312.73</v>
      </c>
      <c r="G310" s="16">
        <v>30000</v>
      </c>
      <c r="H310" s="5">
        <f t="shared" si="20"/>
        <v>0</v>
      </c>
      <c r="I310" s="6"/>
      <c r="J310" s="6"/>
      <c r="K310" s="84"/>
      <c r="L310" s="45"/>
      <c r="M310" s="302"/>
    </row>
    <row r="311" spans="1:13" ht="15" x14ac:dyDescent="0.25">
      <c r="A311" s="1">
        <v>302</v>
      </c>
      <c r="B311" s="1" t="s">
        <v>50</v>
      </c>
      <c r="C311" s="15">
        <v>118</v>
      </c>
      <c r="D311" s="16">
        <v>14000</v>
      </c>
      <c r="E311" s="1" t="s">
        <v>80</v>
      </c>
      <c r="F311" s="17">
        <v>145.9</v>
      </c>
      <c r="G311" s="16">
        <v>14000</v>
      </c>
      <c r="H311" s="5">
        <f t="shared" ref="H311:H342" si="21">D311-G311</f>
        <v>0</v>
      </c>
      <c r="I311" s="6"/>
      <c r="J311" s="6"/>
      <c r="K311" s="84"/>
      <c r="L311" s="45"/>
      <c r="M311" s="302"/>
    </row>
    <row r="312" spans="1:13" ht="15" x14ac:dyDescent="0.25">
      <c r="A312" s="1">
        <v>303</v>
      </c>
      <c r="B312" s="1" t="s">
        <v>50</v>
      </c>
      <c r="C312" s="15">
        <v>4608</v>
      </c>
      <c r="D312" s="16">
        <v>23000</v>
      </c>
      <c r="E312" s="1" t="s">
        <v>80</v>
      </c>
      <c r="F312" s="17">
        <v>239.76</v>
      </c>
      <c r="G312" s="16">
        <v>23000</v>
      </c>
      <c r="H312" s="5">
        <f t="shared" si="21"/>
        <v>0</v>
      </c>
      <c r="I312" s="6"/>
      <c r="J312" s="6"/>
      <c r="K312" s="84"/>
      <c r="L312" s="45"/>
    </row>
    <row r="313" spans="1:13" ht="15" x14ac:dyDescent="0.25">
      <c r="A313" s="1">
        <v>304</v>
      </c>
      <c r="B313" s="1" t="s">
        <v>50</v>
      </c>
      <c r="C313" s="15">
        <v>6903</v>
      </c>
      <c r="D313" s="16">
        <v>18000</v>
      </c>
      <c r="E313" s="1" t="s">
        <v>80</v>
      </c>
      <c r="F313" s="17">
        <v>187.63</v>
      </c>
      <c r="G313" s="16">
        <v>18000</v>
      </c>
      <c r="H313" s="5">
        <f t="shared" si="21"/>
        <v>0</v>
      </c>
      <c r="I313" s="6"/>
      <c r="J313" s="6"/>
      <c r="K313" s="84"/>
      <c r="L313" s="45"/>
    </row>
    <row r="314" spans="1:13" ht="15" x14ac:dyDescent="0.25">
      <c r="A314" s="1">
        <v>305</v>
      </c>
      <c r="B314" s="1" t="s">
        <v>50</v>
      </c>
      <c r="C314" s="15">
        <v>6255</v>
      </c>
      <c r="D314" s="16">
        <v>25000</v>
      </c>
      <c r="E314" s="1" t="s">
        <v>80</v>
      </c>
      <c r="F314" s="17">
        <v>260.61</v>
      </c>
      <c r="G314" s="16">
        <v>25000</v>
      </c>
      <c r="H314" s="5">
        <f t="shared" si="21"/>
        <v>0</v>
      </c>
      <c r="I314" s="6"/>
      <c r="J314" s="6"/>
      <c r="K314" s="84"/>
      <c r="L314" s="45"/>
    </row>
    <row r="315" spans="1:13" ht="15" x14ac:dyDescent="0.25">
      <c r="A315" s="1">
        <v>306</v>
      </c>
      <c r="B315" s="1" t="s">
        <v>50</v>
      </c>
      <c r="C315" s="15">
        <v>7125</v>
      </c>
      <c r="D315" s="16">
        <v>25000</v>
      </c>
      <c r="E315" s="1" t="s">
        <v>80</v>
      </c>
      <c r="F315" s="17">
        <v>260.61</v>
      </c>
      <c r="G315" s="16">
        <v>25000</v>
      </c>
      <c r="H315" s="5">
        <f t="shared" si="21"/>
        <v>0</v>
      </c>
      <c r="I315" s="6"/>
      <c r="J315" s="6"/>
      <c r="K315" s="84" t="s">
        <v>56</v>
      </c>
      <c r="L315" s="45"/>
    </row>
    <row r="316" spans="1:13" ht="15" x14ac:dyDescent="0.25">
      <c r="A316" s="1">
        <v>307</v>
      </c>
      <c r="B316" s="1" t="s">
        <v>50</v>
      </c>
      <c r="C316" s="15">
        <v>8254</v>
      </c>
      <c r="D316" s="16">
        <v>23000</v>
      </c>
      <c r="E316" s="1" t="s">
        <v>80</v>
      </c>
      <c r="F316" s="17">
        <v>239.76</v>
      </c>
      <c r="G316" s="16">
        <v>23000</v>
      </c>
      <c r="H316" s="5">
        <f t="shared" si="21"/>
        <v>0</v>
      </c>
      <c r="I316" s="6"/>
      <c r="J316" s="6"/>
      <c r="K316" s="84"/>
      <c r="L316" s="45"/>
    </row>
    <row r="317" spans="1:13" ht="15" x14ac:dyDescent="0.25">
      <c r="A317" s="1">
        <v>308</v>
      </c>
      <c r="B317" s="1" t="s">
        <v>50</v>
      </c>
      <c r="C317" s="15">
        <v>1480</v>
      </c>
      <c r="D317" s="16">
        <v>22000</v>
      </c>
      <c r="E317" s="1" t="s">
        <v>80</v>
      </c>
      <c r="F317" s="17">
        <v>229.33</v>
      </c>
      <c r="G317" s="16">
        <v>22000</v>
      </c>
      <c r="H317" s="5">
        <f t="shared" si="21"/>
        <v>0</v>
      </c>
      <c r="I317" s="6"/>
      <c r="J317" s="6"/>
      <c r="K317" s="84"/>
      <c r="L317" s="45"/>
    </row>
    <row r="318" spans="1:13" ht="15" x14ac:dyDescent="0.25">
      <c r="A318" s="1">
        <v>309</v>
      </c>
      <c r="B318" s="1" t="s">
        <v>50</v>
      </c>
      <c r="C318" s="15">
        <v>120</v>
      </c>
      <c r="D318" s="16">
        <v>14000</v>
      </c>
      <c r="E318" s="1" t="s">
        <v>80</v>
      </c>
      <c r="F318" s="17">
        <v>145.94</v>
      </c>
      <c r="G318" s="16">
        <v>14000</v>
      </c>
      <c r="H318" s="5">
        <f t="shared" si="21"/>
        <v>0</v>
      </c>
      <c r="I318" s="6"/>
      <c r="J318" s="6"/>
      <c r="K318" s="84"/>
      <c r="L318" s="45"/>
    </row>
    <row r="319" spans="1:13" ht="15" x14ac:dyDescent="0.25">
      <c r="A319" s="1">
        <v>310</v>
      </c>
      <c r="B319" s="1" t="s">
        <v>51</v>
      </c>
      <c r="C319" s="15">
        <v>1321</v>
      </c>
      <c r="D319" s="34">
        <v>13000</v>
      </c>
      <c r="E319" s="1" t="s">
        <v>80</v>
      </c>
      <c r="F319" s="17">
        <v>134.4</v>
      </c>
      <c r="G319" s="16">
        <v>13000</v>
      </c>
      <c r="H319" s="5">
        <f t="shared" si="21"/>
        <v>0</v>
      </c>
      <c r="I319" s="6"/>
      <c r="J319" s="6"/>
      <c r="K319" s="84"/>
      <c r="L319" s="45"/>
    </row>
    <row r="320" spans="1:13" ht="15" x14ac:dyDescent="0.25">
      <c r="A320" s="1">
        <v>311</v>
      </c>
      <c r="B320" s="1" t="s">
        <v>51</v>
      </c>
      <c r="C320" s="15">
        <v>9921</v>
      </c>
      <c r="D320" s="16">
        <v>20000</v>
      </c>
      <c r="E320" s="1" t="s">
        <v>80</v>
      </c>
      <c r="F320" s="17">
        <v>206.76</v>
      </c>
      <c r="G320" s="16">
        <v>20000</v>
      </c>
      <c r="H320" s="5">
        <f t="shared" si="21"/>
        <v>0</v>
      </c>
      <c r="I320" s="6"/>
      <c r="J320" s="6"/>
      <c r="K320" s="84"/>
      <c r="L320" s="45"/>
    </row>
    <row r="321" spans="1:12" ht="15" x14ac:dyDescent="0.25">
      <c r="A321" s="1">
        <v>312</v>
      </c>
      <c r="B321" s="1" t="s">
        <v>51</v>
      </c>
      <c r="C321" s="15">
        <v>5931</v>
      </c>
      <c r="D321" s="16">
        <v>20000</v>
      </c>
      <c r="E321" s="1" t="s">
        <v>80</v>
      </c>
      <c r="F321" s="17">
        <v>206.76</v>
      </c>
      <c r="G321" s="16">
        <v>20000</v>
      </c>
      <c r="H321" s="5">
        <f t="shared" si="21"/>
        <v>0</v>
      </c>
      <c r="I321" s="6"/>
      <c r="J321" s="6"/>
      <c r="K321" s="84"/>
      <c r="L321" s="45"/>
    </row>
    <row r="322" spans="1:12" ht="15" x14ac:dyDescent="0.25">
      <c r="A322" s="1">
        <v>313</v>
      </c>
      <c r="B322" s="1" t="s">
        <v>51</v>
      </c>
      <c r="C322" s="15">
        <v>869</v>
      </c>
      <c r="D322" s="16">
        <v>31000</v>
      </c>
      <c r="E322" s="1" t="s">
        <v>80</v>
      </c>
      <c r="F322" s="17">
        <v>320.48</v>
      </c>
      <c r="G322" s="16">
        <v>31000</v>
      </c>
      <c r="H322" s="5">
        <f t="shared" si="21"/>
        <v>0</v>
      </c>
      <c r="I322" s="6"/>
      <c r="J322" s="6"/>
      <c r="K322" s="84"/>
      <c r="L322" s="45"/>
    </row>
    <row r="323" spans="1:12" ht="15" x14ac:dyDescent="0.25">
      <c r="A323" s="1">
        <v>314</v>
      </c>
      <c r="B323" s="1" t="s">
        <v>51</v>
      </c>
      <c r="C323" s="15" t="s">
        <v>30</v>
      </c>
      <c r="D323" s="16">
        <v>5000</v>
      </c>
      <c r="E323" s="1" t="s">
        <v>80</v>
      </c>
      <c r="F323" s="17">
        <v>51.69</v>
      </c>
      <c r="G323" s="16">
        <v>5000</v>
      </c>
      <c r="H323" s="5">
        <f t="shared" si="21"/>
        <v>0</v>
      </c>
      <c r="I323" s="6"/>
      <c r="J323" s="6"/>
      <c r="K323" s="84"/>
      <c r="L323" s="45"/>
    </row>
    <row r="324" spans="1:12" ht="15" x14ac:dyDescent="0.25">
      <c r="A324" s="1">
        <v>315</v>
      </c>
      <c r="B324" s="1" t="s">
        <v>51</v>
      </c>
      <c r="C324" s="15">
        <v>2694</v>
      </c>
      <c r="D324" s="16">
        <v>18000</v>
      </c>
      <c r="E324" s="1" t="s">
        <v>80</v>
      </c>
      <c r="F324" s="17">
        <v>186.08500000000001</v>
      </c>
      <c r="G324" s="34">
        <v>18000</v>
      </c>
      <c r="H324" s="5">
        <f t="shared" si="21"/>
        <v>0</v>
      </c>
      <c r="I324" s="6"/>
      <c r="J324" s="6"/>
      <c r="K324" s="84"/>
      <c r="L324" s="45"/>
    </row>
    <row r="325" spans="1:12" ht="15" x14ac:dyDescent="0.25">
      <c r="A325" s="1">
        <v>316</v>
      </c>
      <c r="B325" s="1" t="s">
        <v>51</v>
      </c>
      <c r="C325" s="15">
        <v>4559</v>
      </c>
      <c r="D325" s="16">
        <v>16000</v>
      </c>
      <c r="E325" s="1" t="s">
        <v>80</v>
      </c>
      <c r="F325" s="17">
        <v>165.40899999999999</v>
      </c>
      <c r="G325" s="16">
        <v>16000</v>
      </c>
      <c r="H325" s="5">
        <f t="shared" si="21"/>
        <v>0</v>
      </c>
      <c r="I325" s="6"/>
      <c r="J325" s="6"/>
      <c r="K325" s="84"/>
      <c r="L325" s="45"/>
    </row>
    <row r="326" spans="1:12" ht="15" x14ac:dyDescent="0.25">
      <c r="A326" s="1">
        <v>317</v>
      </c>
      <c r="B326" s="1" t="s">
        <v>51</v>
      </c>
      <c r="C326" s="15">
        <v>1557</v>
      </c>
      <c r="D326" s="16">
        <v>18000</v>
      </c>
      <c r="E326" s="1" t="s">
        <v>80</v>
      </c>
      <c r="F326" s="17">
        <v>186.08500000000001</v>
      </c>
      <c r="G326" s="34">
        <v>18000</v>
      </c>
      <c r="H326" s="5">
        <f t="shared" si="21"/>
        <v>0</v>
      </c>
      <c r="I326" s="6"/>
      <c r="J326" s="6"/>
      <c r="K326" s="84"/>
      <c r="L326" s="45"/>
    </row>
    <row r="327" spans="1:12" ht="15" x14ac:dyDescent="0.25">
      <c r="A327" s="1">
        <v>318</v>
      </c>
      <c r="B327" s="1" t="s">
        <v>51</v>
      </c>
      <c r="C327" s="15">
        <v>6353</v>
      </c>
      <c r="D327" s="16">
        <v>15000</v>
      </c>
      <c r="E327" s="1" t="s">
        <v>80</v>
      </c>
      <c r="F327" s="17">
        <v>155.071</v>
      </c>
      <c r="G327" s="16">
        <v>15000</v>
      </c>
      <c r="H327" s="5">
        <f t="shared" si="21"/>
        <v>0</v>
      </c>
      <c r="I327" s="6"/>
      <c r="J327" s="6"/>
      <c r="K327" s="84"/>
      <c r="L327" s="45"/>
    </row>
    <row r="328" spans="1:12" ht="15" x14ac:dyDescent="0.25">
      <c r="A328" s="1">
        <v>319</v>
      </c>
      <c r="B328" s="1" t="s">
        <v>51</v>
      </c>
      <c r="C328" s="15">
        <v>253</v>
      </c>
      <c r="D328" s="16">
        <v>15000</v>
      </c>
      <c r="E328" s="1" t="s">
        <v>80</v>
      </c>
      <c r="F328" s="17">
        <v>155.071</v>
      </c>
      <c r="G328" s="16">
        <v>15000</v>
      </c>
      <c r="H328" s="5">
        <f t="shared" si="21"/>
        <v>0</v>
      </c>
      <c r="I328" s="6"/>
      <c r="J328" s="6"/>
      <c r="K328" s="84"/>
      <c r="L328" s="45"/>
    </row>
    <row r="329" spans="1:12" ht="15" x14ac:dyDescent="0.25">
      <c r="A329" s="1">
        <v>320</v>
      </c>
      <c r="B329" s="1" t="s">
        <v>51</v>
      </c>
      <c r="C329" s="15">
        <v>2926</v>
      </c>
      <c r="D329" s="16">
        <v>18000</v>
      </c>
      <c r="E329" s="1" t="s">
        <v>80</v>
      </c>
      <c r="F329" s="17">
        <v>186.08500000000001</v>
      </c>
      <c r="G329" s="34">
        <v>18000</v>
      </c>
      <c r="H329" s="5">
        <f t="shared" si="21"/>
        <v>0</v>
      </c>
      <c r="I329" s="6"/>
      <c r="J329" s="6"/>
      <c r="K329" s="84"/>
      <c r="L329" s="45"/>
    </row>
    <row r="330" spans="1:12" ht="15" x14ac:dyDescent="0.25">
      <c r="A330" s="1">
        <v>321</v>
      </c>
      <c r="B330" s="1" t="s">
        <v>51</v>
      </c>
      <c r="C330" s="15" t="s">
        <v>57</v>
      </c>
      <c r="D330" s="16">
        <v>15000</v>
      </c>
      <c r="E330" s="1" t="s">
        <v>80</v>
      </c>
      <c r="F330" s="17">
        <v>155.071</v>
      </c>
      <c r="G330" s="16">
        <v>15000</v>
      </c>
      <c r="H330" s="5">
        <f t="shared" si="21"/>
        <v>0</v>
      </c>
      <c r="I330" s="6"/>
      <c r="J330" s="6"/>
      <c r="K330" s="84"/>
      <c r="L330" s="45"/>
    </row>
    <row r="331" spans="1:12" ht="15" x14ac:dyDescent="0.25">
      <c r="A331" s="1">
        <v>322</v>
      </c>
      <c r="B331" s="1" t="s">
        <v>51</v>
      </c>
      <c r="C331" s="15">
        <v>292</v>
      </c>
      <c r="D331" s="16">
        <v>15000</v>
      </c>
      <c r="E331" s="1" t="s">
        <v>80</v>
      </c>
      <c r="F331" s="17">
        <v>155.071</v>
      </c>
      <c r="G331" s="16">
        <v>15000</v>
      </c>
      <c r="H331" s="5">
        <f t="shared" si="21"/>
        <v>0</v>
      </c>
      <c r="I331" s="6"/>
      <c r="J331" s="6"/>
      <c r="K331" s="84"/>
      <c r="L331" s="45"/>
    </row>
    <row r="332" spans="1:12" ht="15" x14ac:dyDescent="0.25">
      <c r="A332" s="1">
        <v>323</v>
      </c>
      <c r="B332" s="1" t="s">
        <v>51</v>
      </c>
      <c r="C332" s="15">
        <v>127</v>
      </c>
      <c r="D332" s="16">
        <v>15000</v>
      </c>
      <c r="E332" s="1" t="s">
        <v>80</v>
      </c>
      <c r="F332" s="17">
        <v>155.07</v>
      </c>
      <c r="G332" s="16">
        <v>15000</v>
      </c>
      <c r="H332" s="5">
        <f t="shared" si="21"/>
        <v>0</v>
      </c>
      <c r="I332" s="6"/>
      <c r="J332" s="6"/>
      <c r="K332" s="84"/>
      <c r="L332" s="45"/>
    </row>
    <row r="333" spans="1:12" ht="15" x14ac:dyDescent="0.25">
      <c r="A333" s="1">
        <v>324</v>
      </c>
      <c r="B333" s="1" t="s">
        <v>51</v>
      </c>
      <c r="C333" s="15">
        <v>119</v>
      </c>
      <c r="D333" s="16">
        <v>15000</v>
      </c>
      <c r="E333" s="1" t="s">
        <v>80</v>
      </c>
      <c r="F333" s="17">
        <v>155.07</v>
      </c>
      <c r="G333" s="16">
        <v>15000</v>
      </c>
      <c r="H333" s="5">
        <f t="shared" si="21"/>
        <v>0</v>
      </c>
      <c r="I333" s="6"/>
      <c r="J333" s="6"/>
      <c r="K333" s="84"/>
      <c r="L333" s="45"/>
    </row>
    <row r="334" spans="1:12" ht="15" x14ac:dyDescent="0.25">
      <c r="A334" s="1">
        <v>325</v>
      </c>
      <c r="B334" s="1" t="s">
        <v>51</v>
      </c>
      <c r="C334" s="15">
        <v>8966</v>
      </c>
      <c r="D334" s="16">
        <v>5000</v>
      </c>
      <c r="E334" s="1" t="s">
        <v>80</v>
      </c>
      <c r="F334" s="17">
        <v>51.69</v>
      </c>
      <c r="G334" s="16">
        <v>5000</v>
      </c>
      <c r="H334" s="5">
        <f t="shared" si="21"/>
        <v>0</v>
      </c>
      <c r="I334" s="6"/>
      <c r="J334" s="6"/>
      <c r="K334" s="84"/>
      <c r="L334" s="45"/>
    </row>
    <row r="335" spans="1:12" ht="15" x14ac:dyDescent="0.25">
      <c r="A335" s="1">
        <v>326</v>
      </c>
      <c r="B335" s="1" t="s">
        <v>51</v>
      </c>
      <c r="C335" s="15">
        <v>2227</v>
      </c>
      <c r="D335" s="16">
        <v>13000</v>
      </c>
      <c r="E335" s="1" t="s">
        <v>80</v>
      </c>
      <c r="F335" s="17">
        <v>134.4</v>
      </c>
      <c r="G335" s="16">
        <v>13000</v>
      </c>
      <c r="H335" s="5">
        <f t="shared" si="21"/>
        <v>0</v>
      </c>
      <c r="I335" s="6"/>
      <c r="J335" s="6"/>
      <c r="K335" s="84"/>
      <c r="L335" s="45"/>
    </row>
    <row r="336" spans="1:12" ht="15" x14ac:dyDescent="0.25">
      <c r="A336" s="1">
        <v>327</v>
      </c>
      <c r="B336" s="1" t="s">
        <v>51</v>
      </c>
      <c r="C336" s="15">
        <v>5596</v>
      </c>
      <c r="D336" s="16">
        <v>28000</v>
      </c>
      <c r="E336" s="1" t="s">
        <v>80</v>
      </c>
      <c r="F336" s="17">
        <v>289.45999999999998</v>
      </c>
      <c r="G336" s="16">
        <v>28000</v>
      </c>
      <c r="H336" s="5">
        <f t="shared" si="21"/>
        <v>0</v>
      </c>
      <c r="I336" s="6"/>
      <c r="J336" s="6"/>
      <c r="K336" s="84"/>
      <c r="L336" s="45"/>
    </row>
    <row r="337" spans="1:12" ht="15" x14ac:dyDescent="0.25">
      <c r="A337" s="1">
        <v>328</v>
      </c>
      <c r="B337" s="1" t="s">
        <v>51</v>
      </c>
      <c r="C337" s="15">
        <v>647</v>
      </c>
      <c r="D337" s="16">
        <v>15000</v>
      </c>
      <c r="E337" s="1" t="s">
        <v>80</v>
      </c>
      <c r="F337" s="17">
        <v>155.071</v>
      </c>
      <c r="G337" s="16">
        <v>15000</v>
      </c>
      <c r="H337" s="5">
        <f t="shared" si="21"/>
        <v>0</v>
      </c>
      <c r="I337" s="6"/>
      <c r="J337" s="6"/>
      <c r="K337" s="84"/>
      <c r="L337" s="45"/>
    </row>
    <row r="338" spans="1:12" ht="15" x14ac:dyDescent="0.25">
      <c r="A338" s="1">
        <v>329</v>
      </c>
      <c r="B338" s="1" t="s">
        <v>51</v>
      </c>
      <c r="C338" s="15">
        <v>121</v>
      </c>
      <c r="D338" s="16">
        <v>16000</v>
      </c>
      <c r="E338" s="1" t="s">
        <v>80</v>
      </c>
      <c r="F338" s="17">
        <v>165.40899999999999</v>
      </c>
      <c r="G338" s="16">
        <v>16000</v>
      </c>
      <c r="H338" s="5">
        <f t="shared" si="21"/>
        <v>0</v>
      </c>
      <c r="I338" s="6"/>
      <c r="J338" s="6"/>
      <c r="K338" s="84"/>
      <c r="L338" s="45"/>
    </row>
    <row r="339" spans="1:12" ht="15" x14ac:dyDescent="0.25">
      <c r="A339" s="1">
        <v>330</v>
      </c>
      <c r="B339" s="1" t="s">
        <v>51</v>
      </c>
      <c r="C339" s="15">
        <v>7271</v>
      </c>
      <c r="D339" s="16">
        <v>10000</v>
      </c>
      <c r="E339" s="1" t="s">
        <v>80</v>
      </c>
      <c r="F339" s="17">
        <v>103.38</v>
      </c>
      <c r="G339" s="16">
        <v>10000</v>
      </c>
      <c r="H339" s="5">
        <f t="shared" si="21"/>
        <v>0</v>
      </c>
      <c r="I339" s="6"/>
      <c r="J339" s="6"/>
      <c r="K339" s="84"/>
      <c r="L339" s="45"/>
    </row>
    <row r="340" spans="1:12" ht="15" x14ac:dyDescent="0.25">
      <c r="A340" s="1">
        <v>331</v>
      </c>
      <c r="B340" s="1" t="s">
        <v>51</v>
      </c>
      <c r="C340" s="15">
        <v>3877</v>
      </c>
      <c r="D340" s="16">
        <v>15000</v>
      </c>
      <c r="E340" s="1" t="s">
        <v>80</v>
      </c>
      <c r="F340" s="17">
        <v>155.071</v>
      </c>
      <c r="G340" s="16">
        <v>15000</v>
      </c>
      <c r="H340" s="5">
        <f t="shared" si="21"/>
        <v>0</v>
      </c>
      <c r="I340" s="6"/>
      <c r="J340" s="6"/>
      <c r="K340" s="84"/>
      <c r="L340" s="45"/>
    </row>
    <row r="341" spans="1:12" ht="15" x14ac:dyDescent="0.25">
      <c r="A341" s="1">
        <v>332</v>
      </c>
      <c r="B341" s="1" t="s">
        <v>51</v>
      </c>
      <c r="C341" s="15">
        <v>8530</v>
      </c>
      <c r="D341" s="16">
        <v>9000</v>
      </c>
      <c r="E341" s="1" t="s">
        <v>80</v>
      </c>
      <c r="F341" s="17">
        <v>93.043000000000006</v>
      </c>
      <c r="G341" s="16">
        <v>9000</v>
      </c>
      <c r="H341" s="5">
        <f t="shared" si="21"/>
        <v>0</v>
      </c>
      <c r="I341" s="6"/>
      <c r="J341" s="6"/>
      <c r="K341" s="84"/>
      <c r="L341" s="45"/>
    </row>
    <row r="342" spans="1:12" ht="15" x14ac:dyDescent="0.25">
      <c r="A342" s="1">
        <v>333</v>
      </c>
      <c r="B342" s="1" t="s">
        <v>51</v>
      </c>
      <c r="C342" s="15">
        <v>9924</v>
      </c>
      <c r="D342" s="16">
        <v>31000</v>
      </c>
      <c r="E342" s="1" t="s">
        <v>80</v>
      </c>
      <c r="F342" s="17">
        <v>320.48</v>
      </c>
      <c r="G342" s="16">
        <v>31000</v>
      </c>
      <c r="H342" s="5">
        <f t="shared" si="21"/>
        <v>0</v>
      </c>
      <c r="I342" s="6"/>
      <c r="J342" s="6"/>
      <c r="K342" s="84"/>
      <c r="L342" s="45"/>
    </row>
    <row r="343" spans="1:12" x14ac:dyDescent="0.2">
      <c r="A343" s="1">
        <v>334</v>
      </c>
      <c r="B343" s="1" t="s">
        <v>53</v>
      </c>
      <c r="C343" s="15">
        <v>5931</v>
      </c>
      <c r="D343" s="16">
        <v>24000</v>
      </c>
      <c r="E343" s="1" t="s">
        <v>80</v>
      </c>
      <c r="F343" s="17">
        <v>248.113</v>
      </c>
      <c r="G343" s="16">
        <v>24000</v>
      </c>
      <c r="H343" s="5">
        <f t="shared" ref="H343:H360" si="22">D343-G343</f>
        <v>0</v>
      </c>
      <c r="I343" s="6"/>
      <c r="J343" s="6"/>
      <c r="K343" s="51"/>
    </row>
    <row r="344" spans="1:12" x14ac:dyDescent="0.2">
      <c r="A344" s="1">
        <v>335</v>
      </c>
      <c r="B344" s="1" t="s">
        <v>53</v>
      </c>
      <c r="C344" s="15">
        <v>2681</v>
      </c>
      <c r="D344" s="16">
        <v>14000</v>
      </c>
      <c r="E344" s="1" t="s">
        <v>80</v>
      </c>
      <c r="F344" s="17">
        <v>144.733</v>
      </c>
      <c r="G344" s="16">
        <v>14000</v>
      </c>
      <c r="H344" s="5">
        <f t="shared" si="22"/>
        <v>0</v>
      </c>
      <c r="I344" s="6"/>
      <c r="J344" s="6"/>
      <c r="K344" s="51"/>
    </row>
    <row r="345" spans="1:12" x14ac:dyDescent="0.2">
      <c r="A345" s="1">
        <v>336</v>
      </c>
      <c r="B345" s="1" t="s">
        <v>53</v>
      </c>
      <c r="C345" s="15" t="s">
        <v>30</v>
      </c>
      <c r="D345" s="16">
        <v>4500</v>
      </c>
      <c r="E345" s="1" t="s">
        <v>80</v>
      </c>
      <c r="F345" s="17">
        <v>46.521000000000001</v>
      </c>
      <c r="G345" s="16">
        <v>4500</v>
      </c>
      <c r="H345" s="5">
        <f t="shared" si="22"/>
        <v>0</v>
      </c>
      <c r="I345" s="6"/>
      <c r="J345" s="6"/>
      <c r="K345" s="51"/>
    </row>
    <row r="346" spans="1:12" x14ac:dyDescent="0.2">
      <c r="A346" s="1">
        <v>337</v>
      </c>
      <c r="B346" s="1" t="s">
        <v>53</v>
      </c>
      <c r="C346" s="15">
        <v>253</v>
      </c>
      <c r="D346" s="16">
        <v>13000</v>
      </c>
      <c r="E346" s="1" t="s">
        <v>80</v>
      </c>
      <c r="F346" s="17">
        <v>134.39500000000001</v>
      </c>
      <c r="G346" s="16">
        <v>13000</v>
      </c>
      <c r="H346" s="5">
        <f t="shared" si="22"/>
        <v>0</v>
      </c>
      <c r="I346" s="6"/>
      <c r="J346" s="6"/>
      <c r="K346" s="51"/>
    </row>
    <row r="347" spans="1:12" x14ac:dyDescent="0.2">
      <c r="A347" s="1">
        <v>338</v>
      </c>
      <c r="B347" s="1" t="s">
        <v>53</v>
      </c>
      <c r="C347" s="15">
        <v>5596</v>
      </c>
      <c r="D347" s="16">
        <v>9000</v>
      </c>
      <c r="E347" s="1" t="s">
        <v>80</v>
      </c>
      <c r="F347" s="17">
        <v>93.043000000000006</v>
      </c>
      <c r="G347" s="16">
        <v>9000</v>
      </c>
      <c r="H347" s="5">
        <f t="shared" si="22"/>
        <v>0</v>
      </c>
      <c r="I347" s="6"/>
      <c r="J347" s="6"/>
      <c r="K347" s="51"/>
    </row>
    <row r="348" spans="1:12" x14ac:dyDescent="0.2">
      <c r="A348" s="1">
        <v>339</v>
      </c>
      <c r="B348" s="1" t="s">
        <v>53</v>
      </c>
      <c r="C348" s="15">
        <v>8010</v>
      </c>
      <c r="D348" s="16">
        <v>24000</v>
      </c>
      <c r="E348" s="1" t="s">
        <v>80</v>
      </c>
      <c r="F348" s="17">
        <v>248.113</v>
      </c>
      <c r="G348" s="16">
        <v>24000</v>
      </c>
      <c r="H348" s="5">
        <f t="shared" si="22"/>
        <v>0</v>
      </c>
      <c r="I348" s="6"/>
      <c r="J348" s="6"/>
      <c r="K348" s="51"/>
    </row>
    <row r="349" spans="1:12" x14ac:dyDescent="0.2">
      <c r="A349" s="1">
        <v>340</v>
      </c>
      <c r="B349" s="1" t="s">
        <v>53</v>
      </c>
      <c r="C349" s="15">
        <v>1199</v>
      </c>
      <c r="D349" s="16">
        <v>30000</v>
      </c>
      <c r="E349" s="1" t="s">
        <v>80</v>
      </c>
      <c r="F349" s="17">
        <v>310.142</v>
      </c>
      <c r="G349" s="16">
        <v>30000</v>
      </c>
      <c r="H349" s="5">
        <f t="shared" si="22"/>
        <v>0</v>
      </c>
      <c r="I349" s="6"/>
      <c r="J349" s="6"/>
      <c r="K349" s="51"/>
    </row>
    <row r="350" spans="1:12" x14ac:dyDescent="0.2">
      <c r="A350" s="1">
        <v>341</v>
      </c>
      <c r="B350" s="1" t="s">
        <v>53</v>
      </c>
      <c r="C350" s="15">
        <v>765</v>
      </c>
      <c r="D350" s="16">
        <v>30000</v>
      </c>
      <c r="E350" s="1" t="s">
        <v>80</v>
      </c>
      <c r="F350" s="17">
        <v>310.142</v>
      </c>
      <c r="G350" s="16">
        <v>30000</v>
      </c>
      <c r="H350" s="5">
        <f t="shared" si="22"/>
        <v>0</v>
      </c>
      <c r="I350" s="6"/>
      <c r="J350" s="6"/>
      <c r="K350" s="51"/>
    </row>
    <row r="351" spans="1:12" x14ac:dyDescent="0.2">
      <c r="A351" s="1">
        <v>342</v>
      </c>
      <c r="B351" s="1" t="s">
        <v>53</v>
      </c>
      <c r="C351" s="15">
        <v>2740</v>
      </c>
      <c r="D351" s="16">
        <v>15000</v>
      </c>
      <c r="E351" s="1" t="s">
        <v>80</v>
      </c>
      <c r="F351" s="17">
        <v>155.071</v>
      </c>
      <c r="G351" s="16">
        <v>15000</v>
      </c>
      <c r="H351" s="5">
        <f t="shared" si="22"/>
        <v>0</v>
      </c>
      <c r="I351" s="6"/>
      <c r="J351" s="6"/>
      <c r="K351" s="51"/>
    </row>
    <row r="352" spans="1:12" x14ac:dyDescent="0.2">
      <c r="A352" s="1">
        <v>343</v>
      </c>
      <c r="B352" s="1" t="s">
        <v>53</v>
      </c>
      <c r="C352" s="15" t="s">
        <v>17</v>
      </c>
      <c r="D352" s="16">
        <v>3500</v>
      </c>
      <c r="E352" s="1" t="s">
        <v>80</v>
      </c>
      <c r="F352" s="17">
        <v>36.183</v>
      </c>
      <c r="G352" s="16">
        <v>3500</v>
      </c>
      <c r="H352" s="5">
        <f t="shared" si="22"/>
        <v>0</v>
      </c>
      <c r="I352" s="6"/>
      <c r="J352" s="6"/>
      <c r="K352" s="51"/>
    </row>
    <row r="353" spans="1:11" x14ac:dyDescent="0.2">
      <c r="A353" s="1">
        <v>344</v>
      </c>
      <c r="B353" s="1" t="s">
        <v>53</v>
      </c>
      <c r="C353" s="15">
        <v>4441</v>
      </c>
      <c r="D353" s="16">
        <v>5000</v>
      </c>
      <c r="E353" s="1" t="s">
        <v>80</v>
      </c>
      <c r="F353" s="17">
        <v>51.69</v>
      </c>
      <c r="G353" s="16">
        <v>5000</v>
      </c>
      <c r="H353" s="5">
        <f t="shared" si="22"/>
        <v>0</v>
      </c>
      <c r="I353" s="6"/>
      <c r="J353" s="6"/>
      <c r="K353" s="51"/>
    </row>
    <row r="354" spans="1:11" x14ac:dyDescent="0.2">
      <c r="A354" s="1">
        <v>345</v>
      </c>
      <c r="B354" s="1" t="s">
        <v>53</v>
      </c>
      <c r="C354" s="15">
        <v>530</v>
      </c>
      <c r="D354" s="16">
        <v>9000</v>
      </c>
      <c r="E354" s="1" t="s">
        <v>80</v>
      </c>
      <c r="F354" s="17">
        <v>93.043000000000006</v>
      </c>
      <c r="G354" s="16">
        <v>9000</v>
      </c>
      <c r="H354" s="5">
        <f t="shared" si="22"/>
        <v>0</v>
      </c>
      <c r="I354" s="6"/>
      <c r="J354" s="6"/>
      <c r="K354" s="51"/>
    </row>
    <row r="355" spans="1:11" x14ac:dyDescent="0.2">
      <c r="A355" s="1">
        <v>346</v>
      </c>
      <c r="B355" s="1" t="s">
        <v>53</v>
      </c>
      <c r="C355" s="15">
        <v>5185</v>
      </c>
      <c r="D355" s="16">
        <v>9000</v>
      </c>
      <c r="E355" s="1" t="s">
        <v>80</v>
      </c>
      <c r="F355" s="17">
        <v>93.043000000000006</v>
      </c>
      <c r="G355" s="16">
        <v>9000</v>
      </c>
      <c r="H355" s="5">
        <f t="shared" si="22"/>
        <v>0</v>
      </c>
      <c r="I355" s="6"/>
      <c r="J355" s="6"/>
      <c r="K355" s="51"/>
    </row>
    <row r="356" spans="1:11" x14ac:dyDescent="0.2">
      <c r="A356" s="1">
        <v>347</v>
      </c>
      <c r="B356" s="1" t="s">
        <v>53</v>
      </c>
      <c r="C356" s="15">
        <v>9090</v>
      </c>
      <c r="D356" s="16">
        <v>18000</v>
      </c>
      <c r="E356" s="1" t="s">
        <v>80</v>
      </c>
      <c r="F356" s="17">
        <v>186.08500000000001</v>
      </c>
      <c r="G356" s="34">
        <v>18000</v>
      </c>
      <c r="H356" s="5">
        <f t="shared" si="22"/>
        <v>0</v>
      </c>
      <c r="I356" s="6"/>
      <c r="J356" s="6"/>
      <c r="K356" s="51"/>
    </row>
    <row r="357" spans="1:11" x14ac:dyDescent="0.2">
      <c r="A357" s="1">
        <v>348</v>
      </c>
      <c r="B357" s="1" t="s">
        <v>53</v>
      </c>
      <c r="C357" s="15">
        <v>4713</v>
      </c>
      <c r="D357" s="16">
        <v>7000</v>
      </c>
      <c r="E357" s="1" t="s">
        <v>80</v>
      </c>
      <c r="F357" s="17">
        <v>72.366</v>
      </c>
      <c r="G357" s="16">
        <v>7000</v>
      </c>
      <c r="H357" s="5">
        <f t="shared" si="22"/>
        <v>0</v>
      </c>
      <c r="I357" s="6"/>
      <c r="J357" s="6"/>
      <c r="K357" s="51"/>
    </row>
    <row r="358" spans="1:11" x14ac:dyDescent="0.2">
      <c r="A358" s="1">
        <v>349</v>
      </c>
      <c r="B358" s="1" t="s">
        <v>53</v>
      </c>
      <c r="C358" s="15">
        <v>128</v>
      </c>
      <c r="D358" s="16">
        <v>13000</v>
      </c>
      <c r="E358" s="1" t="s">
        <v>80</v>
      </c>
      <c r="F358" s="17">
        <v>134.39500000000001</v>
      </c>
      <c r="G358" s="16">
        <v>13000</v>
      </c>
      <c r="H358" s="5">
        <f t="shared" si="22"/>
        <v>0</v>
      </c>
      <c r="I358" s="6"/>
      <c r="J358" s="6"/>
      <c r="K358" s="51"/>
    </row>
    <row r="359" spans="1:11" x14ac:dyDescent="0.2">
      <c r="A359" s="1">
        <v>350</v>
      </c>
      <c r="B359" s="1" t="s">
        <v>53</v>
      </c>
      <c r="C359" s="15">
        <v>8722</v>
      </c>
      <c r="D359" s="16">
        <v>12000</v>
      </c>
      <c r="E359" s="1" t="s">
        <v>80</v>
      </c>
      <c r="F359" s="17">
        <v>124.057</v>
      </c>
      <c r="G359" s="16">
        <v>12000</v>
      </c>
      <c r="H359" s="5">
        <f t="shared" si="22"/>
        <v>0</v>
      </c>
      <c r="I359" s="6"/>
      <c r="J359" s="6"/>
      <c r="K359" s="51"/>
    </row>
    <row r="360" spans="1:11" x14ac:dyDescent="0.2">
      <c r="A360" s="1">
        <v>351</v>
      </c>
      <c r="B360" s="1" t="s">
        <v>53</v>
      </c>
      <c r="C360" s="15">
        <v>3295</v>
      </c>
      <c r="D360" s="16">
        <v>28000</v>
      </c>
      <c r="E360" s="1" t="s">
        <v>80</v>
      </c>
      <c r="F360" s="17">
        <v>289.45999999999998</v>
      </c>
      <c r="G360" s="16">
        <v>28000</v>
      </c>
      <c r="H360" s="5">
        <f t="shared" si="22"/>
        <v>0</v>
      </c>
      <c r="I360" s="6"/>
      <c r="J360" s="6"/>
      <c r="K360" s="51"/>
    </row>
    <row r="361" spans="1:11" x14ac:dyDescent="0.2">
      <c r="A361" s="1">
        <v>352</v>
      </c>
      <c r="B361" s="1" t="s">
        <v>53</v>
      </c>
      <c r="C361" s="15">
        <v>3776</v>
      </c>
      <c r="D361" s="16">
        <v>12000</v>
      </c>
      <c r="E361" s="1" t="s">
        <v>80</v>
      </c>
      <c r="F361" s="17">
        <v>124.057</v>
      </c>
      <c r="G361" s="16">
        <v>12000</v>
      </c>
      <c r="H361" s="5">
        <f t="shared" ref="H361:H392" si="23">D361-G361</f>
        <v>0</v>
      </c>
      <c r="I361" s="6"/>
      <c r="J361" s="6"/>
      <c r="K361" s="51"/>
    </row>
    <row r="362" spans="1:11" x14ac:dyDescent="0.2">
      <c r="A362" s="1">
        <v>353</v>
      </c>
      <c r="B362" s="1" t="s">
        <v>53</v>
      </c>
      <c r="C362" s="15">
        <v>1028</v>
      </c>
      <c r="D362" s="16">
        <v>20000</v>
      </c>
      <c r="E362" s="1" t="s">
        <v>80</v>
      </c>
      <c r="F362" s="17">
        <v>206.76</v>
      </c>
      <c r="G362" s="16">
        <v>20000</v>
      </c>
      <c r="H362" s="5">
        <f t="shared" si="23"/>
        <v>0</v>
      </c>
      <c r="I362" s="6"/>
      <c r="J362" s="6"/>
      <c r="K362" s="51"/>
    </row>
    <row r="363" spans="1:11" x14ac:dyDescent="0.2">
      <c r="A363" s="1">
        <v>354</v>
      </c>
      <c r="B363" s="1" t="s">
        <v>53</v>
      </c>
      <c r="C363" s="15">
        <v>6353</v>
      </c>
      <c r="D363" s="16">
        <v>13000</v>
      </c>
      <c r="E363" s="1" t="s">
        <v>80</v>
      </c>
      <c r="F363" s="17">
        <v>134.39599999999999</v>
      </c>
      <c r="G363" s="16">
        <v>13000</v>
      </c>
      <c r="H363" s="5">
        <f t="shared" si="23"/>
        <v>0</v>
      </c>
      <c r="I363" s="6"/>
      <c r="J363" s="6"/>
      <c r="K363" s="51"/>
    </row>
    <row r="364" spans="1:11" x14ac:dyDescent="0.2">
      <c r="A364" s="1">
        <v>355</v>
      </c>
      <c r="B364" s="1" t="s">
        <v>53</v>
      </c>
      <c r="C364" s="15">
        <v>1309</v>
      </c>
      <c r="D364" s="16">
        <v>15000</v>
      </c>
      <c r="E364" s="1" t="s">
        <v>80</v>
      </c>
      <c r="F364" s="17">
        <v>155.071</v>
      </c>
      <c r="G364" s="16">
        <v>15000</v>
      </c>
      <c r="H364" s="5">
        <f t="shared" si="23"/>
        <v>0</v>
      </c>
      <c r="I364" s="6"/>
      <c r="J364" s="6"/>
      <c r="K364" s="51"/>
    </row>
    <row r="365" spans="1:11" x14ac:dyDescent="0.2">
      <c r="A365" s="1">
        <v>356</v>
      </c>
      <c r="B365" s="1" t="s">
        <v>53</v>
      </c>
      <c r="C365" s="15">
        <v>9025</v>
      </c>
      <c r="D365" s="16">
        <v>17000</v>
      </c>
      <c r="E365" s="1" t="s">
        <v>80</v>
      </c>
      <c r="F365" s="17">
        <v>175.75</v>
      </c>
      <c r="G365" s="16">
        <v>17000</v>
      </c>
      <c r="H365" s="5">
        <f t="shared" si="23"/>
        <v>0</v>
      </c>
      <c r="I365" s="6"/>
      <c r="J365" s="6"/>
      <c r="K365" s="51"/>
    </row>
    <row r="366" spans="1:11" x14ac:dyDescent="0.2">
      <c r="A366" s="1">
        <v>357</v>
      </c>
      <c r="B366" s="1" t="s">
        <v>53</v>
      </c>
      <c r="C366" s="15">
        <v>4729</v>
      </c>
      <c r="D366" s="16">
        <v>28000</v>
      </c>
      <c r="E366" s="1" t="s">
        <v>80</v>
      </c>
      <c r="F366" s="17">
        <v>175.75</v>
      </c>
      <c r="G366" s="16">
        <v>28000</v>
      </c>
      <c r="H366" s="5">
        <f t="shared" si="23"/>
        <v>0</v>
      </c>
      <c r="I366" s="6"/>
      <c r="J366" s="6"/>
      <c r="K366" s="51"/>
    </row>
    <row r="367" spans="1:11" x14ac:dyDescent="0.2">
      <c r="A367" s="1">
        <v>358</v>
      </c>
      <c r="B367" s="1" t="s">
        <v>53</v>
      </c>
      <c r="C367" s="15">
        <v>7562</v>
      </c>
      <c r="D367" s="16">
        <v>17000</v>
      </c>
      <c r="E367" s="1" t="s">
        <v>80</v>
      </c>
      <c r="F367" s="17">
        <v>175.74</v>
      </c>
      <c r="G367" s="16">
        <v>17000</v>
      </c>
      <c r="H367" s="5">
        <f t="shared" si="23"/>
        <v>0</v>
      </c>
      <c r="I367" s="6"/>
      <c r="J367" s="6"/>
      <c r="K367" s="51"/>
    </row>
    <row r="368" spans="1:11" x14ac:dyDescent="0.2">
      <c r="A368" s="1">
        <v>359</v>
      </c>
      <c r="B368" s="1" t="s">
        <v>53</v>
      </c>
      <c r="C368" s="15">
        <v>9626</v>
      </c>
      <c r="D368" s="16">
        <v>22000</v>
      </c>
      <c r="E368" s="1" t="s">
        <v>80</v>
      </c>
      <c r="F368" s="17">
        <v>227.44</v>
      </c>
      <c r="G368" s="16">
        <v>22000</v>
      </c>
      <c r="H368" s="5">
        <f t="shared" si="23"/>
        <v>0</v>
      </c>
      <c r="I368" s="6"/>
      <c r="J368" s="6"/>
      <c r="K368" s="51"/>
    </row>
    <row r="369" spans="1:11" x14ac:dyDescent="0.2">
      <c r="A369" s="1">
        <v>360</v>
      </c>
      <c r="B369" s="1" t="s">
        <v>53</v>
      </c>
      <c r="C369" s="15">
        <v>291</v>
      </c>
      <c r="D369" s="16">
        <v>15000</v>
      </c>
      <c r="E369" s="1" t="s">
        <v>80</v>
      </c>
      <c r="F369" s="17">
        <v>155.071</v>
      </c>
      <c r="G369" s="16">
        <v>15000</v>
      </c>
      <c r="H369" s="5">
        <f t="shared" si="23"/>
        <v>0</v>
      </c>
      <c r="I369" s="6"/>
      <c r="J369" s="6"/>
      <c r="K369" s="51"/>
    </row>
    <row r="370" spans="1:11" x14ac:dyDescent="0.2">
      <c r="A370" s="1">
        <v>361</v>
      </c>
      <c r="B370" s="1" t="s">
        <v>53</v>
      </c>
      <c r="C370" s="15">
        <v>1868</v>
      </c>
      <c r="D370" s="16">
        <v>13000</v>
      </c>
      <c r="E370" s="1" t="s">
        <v>80</v>
      </c>
      <c r="F370" s="17">
        <v>134.39599999999999</v>
      </c>
      <c r="G370" s="16">
        <v>13000</v>
      </c>
      <c r="H370" s="5">
        <f t="shared" si="23"/>
        <v>0</v>
      </c>
      <c r="I370" s="6"/>
      <c r="J370" s="6"/>
      <c r="K370" s="51"/>
    </row>
    <row r="371" spans="1:11" x14ac:dyDescent="0.2">
      <c r="A371" s="1">
        <v>362</v>
      </c>
      <c r="B371" s="1" t="s">
        <v>53</v>
      </c>
      <c r="C371" s="15">
        <v>7798</v>
      </c>
      <c r="D371" s="16">
        <v>28000</v>
      </c>
      <c r="E371" s="1" t="s">
        <v>80</v>
      </c>
      <c r="F371" s="17">
        <v>289.67</v>
      </c>
      <c r="G371" s="16">
        <v>28000</v>
      </c>
      <c r="H371" s="5">
        <f t="shared" si="23"/>
        <v>0</v>
      </c>
      <c r="I371" s="6"/>
      <c r="J371" s="6"/>
      <c r="K371" s="51"/>
    </row>
    <row r="372" spans="1:11" x14ac:dyDescent="0.2">
      <c r="A372" s="1">
        <v>363</v>
      </c>
      <c r="B372" s="1" t="s">
        <v>53</v>
      </c>
      <c r="C372" s="15">
        <v>129</v>
      </c>
      <c r="D372" s="16">
        <v>15000</v>
      </c>
      <c r="E372" s="1" t="s">
        <v>80</v>
      </c>
      <c r="F372" s="17">
        <v>155.071</v>
      </c>
      <c r="G372" s="16">
        <v>15000</v>
      </c>
      <c r="H372" s="5">
        <f t="shared" si="23"/>
        <v>0</v>
      </c>
      <c r="I372" s="6"/>
      <c r="J372" s="6"/>
      <c r="K372" s="51"/>
    </row>
    <row r="373" spans="1:11" x14ac:dyDescent="0.2">
      <c r="A373" s="1">
        <v>364</v>
      </c>
      <c r="B373" s="1" t="s">
        <v>53</v>
      </c>
      <c r="C373" s="15">
        <v>3540</v>
      </c>
      <c r="D373" s="16">
        <v>8000</v>
      </c>
      <c r="E373" s="1" t="s">
        <v>80</v>
      </c>
      <c r="F373" s="17">
        <v>82.703999999999994</v>
      </c>
      <c r="G373" s="16">
        <v>8000</v>
      </c>
      <c r="H373" s="5">
        <f t="shared" si="23"/>
        <v>0</v>
      </c>
      <c r="I373" s="6"/>
      <c r="J373" s="6"/>
      <c r="K373" s="51"/>
    </row>
    <row r="374" spans="1:11" x14ac:dyDescent="0.2">
      <c r="A374" s="1">
        <v>365</v>
      </c>
      <c r="B374" s="1" t="s">
        <v>53</v>
      </c>
      <c r="C374" s="15">
        <v>3044</v>
      </c>
      <c r="D374" s="16">
        <v>28000</v>
      </c>
      <c r="E374" s="1" t="s">
        <v>80</v>
      </c>
      <c r="F374" s="17">
        <v>289.67</v>
      </c>
      <c r="G374" s="16">
        <v>28000</v>
      </c>
      <c r="H374" s="5">
        <f t="shared" si="23"/>
        <v>0</v>
      </c>
      <c r="I374" s="6"/>
      <c r="J374" s="6"/>
      <c r="K374" s="51"/>
    </row>
    <row r="375" spans="1:11" x14ac:dyDescent="0.2">
      <c r="A375" s="1">
        <v>366</v>
      </c>
      <c r="B375" s="1" t="s">
        <v>53</v>
      </c>
      <c r="C375" s="15">
        <v>5826</v>
      </c>
      <c r="D375" s="16">
        <v>18000</v>
      </c>
      <c r="E375" s="1" t="s">
        <v>80</v>
      </c>
      <c r="F375" s="17">
        <v>186.08500000000001</v>
      </c>
      <c r="G375" s="34">
        <v>18000</v>
      </c>
      <c r="H375" s="5">
        <f t="shared" si="23"/>
        <v>0</v>
      </c>
      <c r="I375" s="6"/>
      <c r="J375" s="6"/>
      <c r="K375" s="51"/>
    </row>
    <row r="376" spans="1:11" x14ac:dyDescent="0.2">
      <c r="A376" s="1">
        <v>367</v>
      </c>
      <c r="B376" s="1" t="s">
        <v>58</v>
      </c>
      <c r="C376" s="15">
        <v>6552</v>
      </c>
      <c r="D376" s="16">
        <v>12000</v>
      </c>
      <c r="E376" s="1" t="s">
        <v>80</v>
      </c>
      <c r="F376" s="17">
        <v>124.057</v>
      </c>
      <c r="G376" s="16">
        <v>12000</v>
      </c>
      <c r="H376" s="5">
        <f t="shared" si="23"/>
        <v>0</v>
      </c>
      <c r="I376" s="6"/>
      <c r="J376" s="6"/>
      <c r="K376" s="51"/>
    </row>
    <row r="377" spans="1:11" x14ac:dyDescent="0.2">
      <c r="A377" s="1">
        <v>368</v>
      </c>
      <c r="B377" s="1" t="s">
        <v>58</v>
      </c>
      <c r="C377" s="15">
        <v>9189</v>
      </c>
      <c r="D377" s="16">
        <v>15000</v>
      </c>
      <c r="E377" s="1" t="s">
        <v>80</v>
      </c>
      <c r="F377" s="17">
        <v>155.071</v>
      </c>
      <c r="G377" s="16">
        <v>15000</v>
      </c>
      <c r="H377" s="5">
        <f t="shared" si="23"/>
        <v>0</v>
      </c>
      <c r="I377" s="6"/>
      <c r="J377" s="6"/>
      <c r="K377" s="51"/>
    </row>
    <row r="378" spans="1:11" x14ac:dyDescent="0.2">
      <c r="A378" s="1">
        <v>369</v>
      </c>
      <c r="B378" s="1" t="s">
        <v>58</v>
      </c>
      <c r="C378" s="15">
        <v>120</v>
      </c>
      <c r="D378" s="16">
        <v>14000</v>
      </c>
      <c r="E378" s="1" t="s">
        <v>80</v>
      </c>
      <c r="F378" s="17">
        <v>144.733</v>
      </c>
      <c r="G378" s="16">
        <v>14000</v>
      </c>
      <c r="H378" s="5">
        <f t="shared" si="23"/>
        <v>0</v>
      </c>
      <c r="I378" s="6"/>
      <c r="J378" s="6"/>
      <c r="K378" s="51"/>
    </row>
    <row r="379" spans="1:11" x14ac:dyDescent="0.2">
      <c r="A379" s="1">
        <v>370</v>
      </c>
      <c r="B379" s="1" t="s">
        <v>58</v>
      </c>
      <c r="C379" s="15">
        <v>118</v>
      </c>
      <c r="D379" s="16">
        <v>14000</v>
      </c>
      <c r="E379" s="1" t="s">
        <v>80</v>
      </c>
      <c r="F379" s="17">
        <v>144.733</v>
      </c>
      <c r="G379" s="16">
        <v>14000</v>
      </c>
      <c r="H379" s="5">
        <f t="shared" si="23"/>
        <v>0</v>
      </c>
      <c r="I379" s="6"/>
      <c r="J379" s="6"/>
      <c r="K379" s="51"/>
    </row>
    <row r="380" spans="1:11" x14ac:dyDescent="0.2">
      <c r="A380" s="1">
        <v>371</v>
      </c>
      <c r="B380" s="1" t="s">
        <v>58</v>
      </c>
      <c r="C380" s="15">
        <v>146</v>
      </c>
      <c r="D380" s="16">
        <v>22000</v>
      </c>
      <c r="E380" s="1" t="s">
        <v>80</v>
      </c>
      <c r="F380" s="17">
        <v>227.43700000000001</v>
      </c>
      <c r="G380" s="16">
        <v>22000</v>
      </c>
      <c r="H380" s="5">
        <f t="shared" si="23"/>
        <v>0</v>
      </c>
      <c r="I380" s="6"/>
      <c r="J380" s="6"/>
      <c r="K380" s="51"/>
    </row>
    <row r="381" spans="1:11" x14ac:dyDescent="0.2">
      <c r="A381" s="1">
        <v>372</v>
      </c>
      <c r="B381" s="1" t="s">
        <v>58</v>
      </c>
      <c r="C381" s="15">
        <v>5403</v>
      </c>
      <c r="D381" s="16">
        <v>8000</v>
      </c>
      <c r="E381" s="1" t="s">
        <v>80</v>
      </c>
      <c r="F381" s="17">
        <v>82.703999999999994</v>
      </c>
      <c r="G381" s="16">
        <v>8000</v>
      </c>
      <c r="H381" s="5">
        <f t="shared" si="23"/>
        <v>0</v>
      </c>
      <c r="I381" s="6"/>
      <c r="J381" s="6"/>
      <c r="K381" s="51"/>
    </row>
    <row r="382" spans="1:11" x14ac:dyDescent="0.2">
      <c r="A382" s="1">
        <v>373</v>
      </c>
      <c r="B382" s="1" t="s">
        <v>58</v>
      </c>
      <c r="C382" s="15">
        <v>932</v>
      </c>
      <c r="D382" s="16">
        <v>18000</v>
      </c>
      <c r="E382" s="1" t="s">
        <v>80</v>
      </c>
      <c r="F382" s="17">
        <v>186.08500000000001</v>
      </c>
      <c r="G382" s="34">
        <v>18000</v>
      </c>
      <c r="H382" s="5">
        <f t="shared" si="23"/>
        <v>0</v>
      </c>
      <c r="I382" s="6"/>
      <c r="J382" s="6"/>
      <c r="K382" s="51"/>
    </row>
    <row r="383" spans="1:11" x14ac:dyDescent="0.2">
      <c r="A383" s="1">
        <v>374</v>
      </c>
      <c r="B383" s="1" t="s">
        <v>58</v>
      </c>
      <c r="C383" s="15">
        <v>293</v>
      </c>
      <c r="D383" s="16">
        <v>14000</v>
      </c>
      <c r="E383" s="1" t="s">
        <v>80</v>
      </c>
      <c r="F383" s="17">
        <v>144.733</v>
      </c>
      <c r="G383" s="16">
        <v>14000</v>
      </c>
      <c r="H383" s="5">
        <f t="shared" si="23"/>
        <v>0</v>
      </c>
      <c r="I383" s="6"/>
      <c r="J383" s="6"/>
      <c r="K383" s="51"/>
    </row>
    <row r="384" spans="1:11" x14ac:dyDescent="0.2">
      <c r="A384" s="1">
        <v>375</v>
      </c>
      <c r="B384" s="1" t="s">
        <v>58</v>
      </c>
      <c r="C384" s="15" t="s">
        <v>30</v>
      </c>
      <c r="D384" s="16">
        <v>5000</v>
      </c>
      <c r="E384" s="1" t="s">
        <v>80</v>
      </c>
      <c r="F384" s="17">
        <v>51.69</v>
      </c>
      <c r="G384" s="16">
        <v>5000</v>
      </c>
      <c r="H384" s="5">
        <f t="shared" si="23"/>
        <v>0</v>
      </c>
      <c r="I384" s="6"/>
      <c r="J384" s="6"/>
      <c r="K384" s="51"/>
    </row>
    <row r="385" spans="1:11" x14ac:dyDescent="0.2">
      <c r="A385" s="1">
        <v>376</v>
      </c>
      <c r="B385" s="1" t="s">
        <v>58</v>
      </c>
      <c r="C385" s="15">
        <v>4378</v>
      </c>
      <c r="D385" s="16">
        <v>15000</v>
      </c>
      <c r="E385" s="1" t="s">
        <v>80</v>
      </c>
      <c r="F385" s="17">
        <v>155.071</v>
      </c>
      <c r="G385" s="16">
        <v>15000</v>
      </c>
      <c r="H385" s="5">
        <f t="shared" si="23"/>
        <v>0</v>
      </c>
      <c r="I385" s="6"/>
      <c r="J385" s="6"/>
      <c r="K385" s="51"/>
    </row>
    <row r="386" spans="1:11" x14ac:dyDescent="0.2">
      <c r="A386" s="1">
        <v>377</v>
      </c>
      <c r="B386" s="1" t="s">
        <v>58</v>
      </c>
      <c r="C386" s="15">
        <v>1978</v>
      </c>
      <c r="D386" s="16">
        <v>20000</v>
      </c>
      <c r="E386" s="1" t="s">
        <v>80</v>
      </c>
      <c r="F386" s="17">
        <v>206.071</v>
      </c>
      <c r="G386" s="16">
        <v>20000</v>
      </c>
      <c r="H386" s="5">
        <f t="shared" si="23"/>
        <v>0</v>
      </c>
      <c r="I386" s="6"/>
      <c r="J386" s="6"/>
      <c r="K386" s="51"/>
    </row>
    <row r="387" spans="1:11" x14ac:dyDescent="0.2">
      <c r="A387" s="1">
        <v>378</v>
      </c>
      <c r="B387" s="1" t="s">
        <v>58</v>
      </c>
      <c r="C387" s="15">
        <v>1220</v>
      </c>
      <c r="D387" s="16">
        <v>14000</v>
      </c>
      <c r="E387" s="1" t="s">
        <v>80</v>
      </c>
      <c r="F387" s="17">
        <v>144.733</v>
      </c>
      <c r="G387" s="16">
        <v>14000</v>
      </c>
      <c r="H387" s="5">
        <f t="shared" si="23"/>
        <v>0</v>
      </c>
      <c r="I387" s="6"/>
      <c r="J387" s="6"/>
      <c r="K387" s="51"/>
    </row>
    <row r="388" spans="1:11" x14ac:dyDescent="0.2">
      <c r="A388" s="1">
        <v>379</v>
      </c>
      <c r="B388" s="1" t="s">
        <v>58</v>
      </c>
      <c r="C388" s="15">
        <v>2227</v>
      </c>
      <c r="D388" s="16">
        <v>15000</v>
      </c>
      <c r="E388" s="1" t="s">
        <v>80</v>
      </c>
      <c r="F388" s="17">
        <v>155.07</v>
      </c>
      <c r="G388" s="16">
        <v>15000</v>
      </c>
      <c r="H388" s="5">
        <f t="shared" si="23"/>
        <v>0</v>
      </c>
      <c r="I388" s="6"/>
      <c r="J388" s="6"/>
      <c r="K388" s="51"/>
    </row>
    <row r="389" spans="1:11" x14ac:dyDescent="0.2">
      <c r="A389" s="1">
        <v>380</v>
      </c>
      <c r="B389" s="1" t="s">
        <v>58</v>
      </c>
      <c r="C389" s="15">
        <v>4945</v>
      </c>
      <c r="D389" s="16">
        <v>20000</v>
      </c>
      <c r="E389" s="1" t="s">
        <v>80</v>
      </c>
      <c r="F389" s="17">
        <v>206.761</v>
      </c>
      <c r="G389" s="16">
        <v>20000</v>
      </c>
      <c r="H389" s="5">
        <f t="shared" si="23"/>
        <v>0</v>
      </c>
      <c r="I389" s="6"/>
      <c r="J389" s="6"/>
      <c r="K389" s="51"/>
    </row>
    <row r="390" spans="1:11" x14ac:dyDescent="0.2">
      <c r="A390" s="1">
        <v>381</v>
      </c>
      <c r="B390" s="1" t="s">
        <v>58</v>
      </c>
      <c r="C390" s="15">
        <v>941</v>
      </c>
      <c r="D390" s="16">
        <v>13000</v>
      </c>
      <c r="E390" s="1" t="s">
        <v>80</v>
      </c>
      <c r="F390" s="17">
        <v>134.39500000000001</v>
      </c>
      <c r="G390" s="16">
        <v>13000</v>
      </c>
      <c r="H390" s="5">
        <f t="shared" si="23"/>
        <v>0</v>
      </c>
      <c r="I390" s="6"/>
      <c r="J390" s="6"/>
      <c r="K390" s="51"/>
    </row>
    <row r="391" spans="1:11" x14ac:dyDescent="0.2">
      <c r="A391" s="1">
        <v>382</v>
      </c>
      <c r="B391" s="1" t="s">
        <v>58</v>
      </c>
      <c r="C391" s="15">
        <v>4494</v>
      </c>
      <c r="D391" s="16">
        <v>17000</v>
      </c>
      <c r="E391" s="1" t="s">
        <v>80</v>
      </c>
      <c r="F391" s="17">
        <v>175.74700000000001</v>
      </c>
      <c r="G391" s="16">
        <v>17000</v>
      </c>
      <c r="H391" s="5">
        <f t="shared" si="23"/>
        <v>0</v>
      </c>
      <c r="I391" s="6"/>
      <c r="J391" s="6"/>
      <c r="K391" s="51"/>
    </row>
    <row r="392" spans="1:11" x14ac:dyDescent="0.2">
      <c r="A392" s="1">
        <v>383</v>
      </c>
      <c r="B392" s="1" t="s">
        <v>58</v>
      </c>
      <c r="C392" s="15">
        <v>1593</v>
      </c>
      <c r="D392" s="16">
        <v>13000</v>
      </c>
      <c r="E392" s="1" t="s">
        <v>80</v>
      </c>
      <c r="F392" s="17">
        <v>134.39500000000001</v>
      </c>
      <c r="G392" s="16">
        <v>13000</v>
      </c>
      <c r="H392" s="5">
        <f t="shared" si="23"/>
        <v>0</v>
      </c>
      <c r="I392" s="6"/>
      <c r="J392" s="6"/>
      <c r="K392" s="51"/>
    </row>
    <row r="393" spans="1:11" x14ac:dyDescent="0.2">
      <c r="A393" s="1">
        <v>384</v>
      </c>
      <c r="B393" s="1" t="s">
        <v>58</v>
      </c>
      <c r="C393" s="15">
        <v>1887</v>
      </c>
      <c r="D393" s="16">
        <v>14000</v>
      </c>
      <c r="E393" s="1" t="s">
        <v>80</v>
      </c>
      <c r="F393" s="17">
        <v>144.733</v>
      </c>
      <c r="G393" s="16">
        <v>14000</v>
      </c>
      <c r="H393" s="5">
        <f t="shared" ref="H393:H424" si="24">D393-G393</f>
        <v>0</v>
      </c>
      <c r="I393" s="6"/>
      <c r="J393" s="6"/>
      <c r="K393" s="51"/>
    </row>
    <row r="394" spans="1:11" x14ac:dyDescent="0.2">
      <c r="A394" s="1">
        <v>385</v>
      </c>
      <c r="B394" s="1" t="s">
        <v>58</v>
      </c>
      <c r="C394" s="15">
        <v>1313</v>
      </c>
      <c r="D394" s="16">
        <v>9000</v>
      </c>
      <c r="E394" s="1" t="s">
        <v>80</v>
      </c>
      <c r="F394" s="17">
        <v>93.043000000000006</v>
      </c>
      <c r="G394" s="16">
        <v>9000</v>
      </c>
      <c r="H394" s="5">
        <f t="shared" si="24"/>
        <v>0</v>
      </c>
      <c r="I394" s="6"/>
      <c r="J394" s="6"/>
      <c r="K394" s="51"/>
    </row>
    <row r="395" spans="1:11" x14ac:dyDescent="0.2">
      <c r="A395" s="1">
        <v>386</v>
      </c>
      <c r="B395" s="1" t="s">
        <v>58</v>
      </c>
      <c r="C395" s="15">
        <v>3381</v>
      </c>
      <c r="D395" s="16">
        <v>9000</v>
      </c>
      <c r="E395" s="1" t="s">
        <v>80</v>
      </c>
      <c r="F395" s="17">
        <v>93.043000000000006</v>
      </c>
      <c r="G395" s="16">
        <v>9000</v>
      </c>
      <c r="H395" s="5">
        <f t="shared" si="24"/>
        <v>0</v>
      </c>
      <c r="I395" s="6"/>
      <c r="J395" s="6"/>
      <c r="K395" s="51"/>
    </row>
    <row r="396" spans="1:11" x14ac:dyDescent="0.2">
      <c r="A396" s="1">
        <v>387</v>
      </c>
      <c r="B396" s="1" t="s">
        <v>58</v>
      </c>
      <c r="C396" s="15">
        <v>8530</v>
      </c>
      <c r="D396" s="16">
        <v>9000</v>
      </c>
      <c r="E396" s="1" t="s">
        <v>80</v>
      </c>
      <c r="F396" s="17">
        <v>93.043000000000006</v>
      </c>
      <c r="G396" s="16">
        <v>9000</v>
      </c>
      <c r="H396" s="5">
        <f t="shared" si="24"/>
        <v>0</v>
      </c>
      <c r="I396" s="6"/>
      <c r="J396" s="6"/>
      <c r="K396" s="51"/>
    </row>
    <row r="397" spans="1:11" x14ac:dyDescent="0.2">
      <c r="A397" s="1">
        <v>388</v>
      </c>
      <c r="B397" s="1" t="s">
        <v>58</v>
      </c>
      <c r="C397" s="15">
        <v>7488</v>
      </c>
      <c r="D397" s="16">
        <v>9000</v>
      </c>
      <c r="E397" s="1" t="s">
        <v>80</v>
      </c>
      <c r="F397" s="17">
        <v>93.04</v>
      </c>
      <c r="G397" s="16">
        <v>9000</v>
      </c>
      <c r="H397" s="5">
        <f t="shared" si="24"/>
        <v>0</v>
      </c>
      <c r="I397" s="6"/>
      <c r="J397" s="6"/>
      <c r="K397" s="51"/>
    </row>
    <row r="398" spans="1:11" x14ac:dyDescent="0.2">
      <c r="A398" s="1">
        <v>389</v>
      </c>
      <c r="B398" s="1" t="s">
        <v>59</v>
      </c>
      <c r="C398" s="15">
        <v>253</v>
      </c>
      <c r="D398" s="16">
        <v>13000</v>
      </c>
      <c r="E398" s="1" t="s">
        <v>80</v>
      </c>
      <c r="F398" s="17">
        <v>134.39500000000001</v>
      </c>
      <c r="G398" s="16">
        <v>13000</v>
      </c>
      <c r="H398" s="5">
        <f t="shared" si="24"/>
        <v>0</v>
      </c>
      <c r="I398" s="6"/>
      <c r="J398" s="6"/>
      <c r="K398" s="51"/>
    </row>
    <row r="399" spans="1:11" x14ac:dyDescent="0.2">
      <c r="A399" s="1">
        <v>390</v>
      </c>
      <c r="B399" s="1" t="s">
        <v>59</v>
      </c>
      <c r="C399" s="15">
        <v>1816</v>
      </c>
      <c r="D399" s="16">
        <v>10000</v>
      </c>
      <c r="E399" s="1" t="s">
        <v>80</v>
      </c>
      <c r="F399" s="17">
        <v>103.38</v>
      </c>
      <c r="G399" s="16">
        <v>10000</v>
      </c>
      <c r="H399" s="5">
        <f t="shared" si="24"/>
        <v>0</v>
      </c>
      <c r="I399" s="6"/>
      <c r="J399" s="6"/>
      <c r="K399" s="51"/>
    </row>
    <row r="400" spans="1:11" x14ac:dyDescent="0.2">
      <c r="A400" s="1">
        <v>391</v>
      </c>
      <c r="B400" s="1" t="s">
        <v>59</v>
      </c>
      <c r="C400" s="15">
        <v>292</v>
      </c>
      <c r="D400" s="16">
        <v>15000</v>
      </c>
      <c r="E400" s="1" t="s">
        <v>80</v>
      </c>
      <c r="F400" s="17">
        <v>155.071</v>
      </c>
      <c r="G400" s="16">
        <v>15000</v>
      </c>
      <c r="H400" s="5">
        <f t="shared" si="24"/>
        <v>0</v>
      </c>
      <c r="I400" s="6"/>
      <c r="J400" s="6"/>
      <c r="K400" s="51"/>
    </row>
    <row r="401" spans="1:11" x14ac:dyDescent="0.2">
      <c r="A401" s="1">
        <v>392</v>
      </c>
      <c r="B401" s="1" t="s">
        <v>59</v>
      </c>
      <c r="C401" s="15" t="s">
        <v>61</v>
      </c>
      <c r="D401" s="16">
        <v>4500</v>
      </c>
      <c r="E401" s="1" t="s">
        <v>80</v>
      </c>
      <c r="F401" s="17">
        <v>46.521000000000001</v>
      </c>
      <c r="G401" s="16">
        <v>4500</v>
      </c>
      <c r="H401" s="5">
        <f t="shared" si="24"/>
        <v>0</v>
      </c>
      <c r="I401" s="6"/>
      <c r="J401" s="6"/>
      <c r="K401" s="51"/>
    </row>
    <row r="402" spans="1:11" x14ac:dyDescent="0.2">
      <c r="A402" s="1">
        <v>393</v>
      </c>
      <c r="B402" s="1" t="s">
        <v>59</v>
      </c>
      <c r="C402" s="15" t="s">
        <v>62</v>
      </c>
      <c r="D402" s="16">
        <v>400</v>
      </c>
      <c r="E402" s="1" t="s">
        <v>80</v>
      </c>
      <c r="F402" s="17">
        <v>4.1349999999999998</v>
      </c>
      <c r="G402" s="16">
        <v>400</v>
      </c>
      <c r="H402" s="5">
        <f t="shared" si="24"/>
        <v>0</v>
      </c>
      <c r="I402" s="6"/>
      <c r="J402" s="6"/>
      <c r="K402" s="51"/>
    </row>
    <row r="403" spans="1:11" x14ac:dyDescent="0.2">
      <c r="A403" s="1">
        <v>394</v>
      </c>
      <c r="B403" s="1" t="s">
        <v>59</v>
      </c>
      <c r="C403" s="15">
        <v>7109</v>
      </c>
      <c r="D403" s="16">
        <v>500</v>
      </c>
      <c r="E403" s="1" t="s">
        <v>80</v>
      </c>
      <c r="F403" s="17">
        <v>5.1689999999999996</v>
      </c>
      <c r="G403" s="16">
        <v>500</v>
      </c>
      <c r="H403" s="5">
        <f t="shared" si="24"/>
        <v>0</v>
      </c>
      <c r="I403" s="6"/>
      <c r="J403" s="6"/>
      <c r="K403" s="51"/>
    </row>
    <row r="404" spans="1:11" x14ac:dyDescent="0.2">
      <c r="A404" s="1">
        <v>395</v>
      </c>
      <c r="B404" s="1" t="s">
        <v>59</v>
      </c>
      <c r="C404" s="15" t="s">
        <v>63</v>
      </c>
      <c r="D404" s="16">
        <v>3500</v>
      </c>
      <c r="E404" s="1" t="s">
        <v>80</v>
      </c>
      <c r="F404" s="17">
        <v>36.183</v>
      </c>
      <c r="G404" s="16">
        <v>3500</v>
      </c>
      <c r="H404" s="5">
        <f t="shared" si="24"/>
        <v>0</v>
      </c>
      <c r="I404" s="6"/>
      <c r="J404" s="6"/>
      <c r="K404" s="51"/>
    </row>
    <row r="405" spans="1:11" x14ac:dyDescent="0.2">
      <c r="A405" s="1">
        <v>396</v>
      </c>
      <c r="B405" s="1" t="s">
        <v>59</v>
      </c>
      <c r="C405" s="15">
        <v>3505</v>
      </c>
      <c r="D405" s="16">
        <v>30000</v>
      </c>
      <c r="E405" s="1" t="s">
        <v>80</v>
      </c>
      <c r="F405" s="17">
        <v>310.142</v>
      </c>
      <c r="G405" s="16">
        <v>30000</v>
      </c>
      <c r="H405" s="5">
        <f t="shared" si="24"/>
        <v>0</v>
      </c>
      <c r="I405" s="6"/>
      <c r="J405" s="6"/>
      <c r="K405" s="51"/>
    </row>
    <row r="406" spans="1:11" x14ac:dyDescent="0.2">
      <c r="A406" s="1">
        <v>397</v>
      </c>
      <c r="B406" s="1" t="s">
        <v>59</v>
      </c>
      <c r="C406" s="15">
        <v>5552</v>
      </c>
      <c r="D406" s="16">
        <v>30000</v>
      </c>
      <c r="E406" s="1" t="s">
        <v>80</v>
      </c>
      <c r="F406" s="17">
        <v>310.142</v>
      </c>
      <c r="G406" s="16">
        <v>30000</v>
      </c>
      <c r="H406" s="5">
        <f t="shared" si="24"/>
        <v>0</v>
      </c>
      <c r="I406" s="6"/>
      <c r="J406" s="6"/>
      <c r="K406" s="51"/>
    </row>
    <row r="407" spans="1:11" x14ac:dyDescent="0.2">
      <c r="A407" s="1">
        <v>398</v>
      </c>
      <c r="B407" s="1" t="s">
        <v>59</v>
      </c>
      <c r="C407" s="15">
        <v>5931</v>
      </c>
      <c r="D407" s="16">
        <v>24000</v>
      </c>
      <c r="E407" s="1" t="s">
        <v>80</v>
      </c>
      <c r="F407" s="17">
        <v>248.113</v>
      </c>
      <c r="G407" s="16">
        <v>24000</v>
      </c>
      <c r="H407" s="5">
        <f t="shared" si="24"/>
        <v>0</v>
      </c>
      <c r="I407" s="6"/>
      <c r="J407" s="6"/>
      <c r="K407" s="51"/>
    </row>
    <row r="408" spans="1:11" x14ac:dyDescent="0.2">
      <c r="A408" s="1">
        <v>399</v>
      </c>
      <c r="B408" s="1" t="s">
        <v>59</v>
      </c>
      <c r="C408" s="15">
        <v>8665</v>
      </c>
      <c r="D408" s="16">
        <v>24000</v>
      </c>
      <c r="E408" s="1" t="s">
        <v>80</v>
      </c>
      <c r="F408" s="17">
        <v>248.113</v>
      </c>
      <c r="G408" s="16">
        <v>24000</v>
      </c>
      <c r="H408" s="5">
        <f t="shared" si="24"/>
        <v>0</v>
      </c>
      <c r="I408" s="6"/>
      <c r="J408" s="6"/>
      <c r="K408" s="51"/>
    </row>
    <row r="409" spans="1:11" x14ac:dyDescent="0.2">
      <c r="A409" s="1">
        <v>400</v>
      </c>
      <c r="B409" s="1" t="s">
        <v>59</v>
      </c>
      <c r="C409" s="15">
        <v>2131</v>
      </c>
      <c r="D409" s="16">
        <v>23000</v>
      </c>
      <c r="E409" s="1" t="s">
        <v>80</v>
      </c>
      <c r="F409" s="17">
        <v>237.77500000000001</v>
      </c>
      <c r="G409" s="16">
        <v>23000</v>
      </c>
      <c r="H409" s="5">
        <f t="shared" si="24"/>
        <v>0</v>
      </c>
      <c r="I409" s="6"/>
      <c r="J409" s="6"/>
      <c r="K409" s="51"/>
    </row>
    <row r="410" spans="1:11" x14ac:dyDescent="0.2">
      <c r="A410" s="1">
        <v>401</v>
      </c>
      <c r="B410" s="1" t="s">
        <v>59</v>
      </c>
      <c r="C410" s="15">
        <v>119</v>
      </c>
      <c r="D410" s="16">
        <v>15000</v>
      </c>
      <c r="E410" s="1" t="s">
        <v>80</v>
      </c>
      <c r="F410" s="17">
        <v>155.071</v>
      </c>
      <c r="G410" s="16">
        <v>15000</v>
      </c>
      <c r="H410" s="5">
        <f t="shared" si="24"/>
        <v>0</v>
      </c>
      <c r="I410" s="6"/>
      <c r="J410" s="6"/>
      <c r="K410" s="51"/>
    </row>
    <row r="411" spans="1:11" x14ac:dyDescent="0.2">
      <c r="A411" s="1">
        <v>402</v>
      </c>
      <c r="B411" s="1" t="s">
        <v>59</v>
      </c>
      <c r="C411" s="15">
        <v>127</v>
      </c>
      <c r="D411" s="16">
        <v>15000</v>
      </c>
      <c r="E411" s="1" t="s">
        <v>80</v>
      </c>
      <c r="F411" s="17">
        <v>155.071</v>
      </c>
      <c r="G411" s="16">
        <v>15000</v>
      </c>
      <c r="H411" s="5">
        <f t="shared" si="24"/>
        <v>0</v>
      </c>
      <c r="I411" s="6"/>
      <c r="J411" s="6"/>
      <c r="K411" s="51"/>
    </row>
    <row r="412" spans="1:11" x14ac:dyDescent="0.2">
      <c r="A412" s="1">
        <v>403</v>
      </c>
      <c r="B412" s="1" t="s">
        <v>59</v>
      </c>
      <c r="C412" s="15">
        <v>2681</v>
      </c>
      <c r="D412" s="16">
        <v>14000</v>
      </c>
      <c r="E412" s="1" t="s">
        <v>80</v>
      </c>
      <c r="F412" s="17">
        <v>144.733</v>
      </c>
      <c r="G412" s="16">
        <v>14000</v>
      </c>
      <c r="H412" s="5">
        <f t="shared" si="24"/>
        <v>0</v>
      </c>
      <c r="I412" s="6"/>
      <c r="J412" s="6"/>
      <c r="K412" s="51"/>
    </row>
    <row r="413" spans="1:11" x14ac:dyDescent="0.2">
      <c r="A413" s="1">
        <v>404</v>
      </c>
      <c r="B413" s="1" t="s">
        <v>59</v>
      </c>
      <c r="C413" s="15">
        <v>4125</v>
      </c>
      <c r="D413" s="16">
        <v>10000</v>
      </c>
      <c r="E413" s="1" t="s">
        <v>80</v>
      </c>
      <c r="F413" s="17">
        <v>103.381</v>
      </c>
      <c r="G413" s="16">
        <v>10000</v>
      </c>
      <c r="H413" s="5">
        <f t="shared" si="24"/>
        <v>0</v>
      </c>
      <c r="I413" s="6"/>
      <c r="J413" s="6"/>
      <c r="K413" s="51"/>
    </row>
    <row r="414" spans="1:11" x14ac:dyDescent="0.2">
      <c r="A414" s="1">
        <v>405</v>
      </c>
      <c r="B414" s="1" t="s">
        <v>59</v>
      </c>
      <c r="C414" s="15">
        <v>1565</v>
      </c>
      <c r="D414" s="16">
        <v>10000</v>
      </c>
      <c r="E414" s="1" t="s">
        <v>80</v>
      </c>
      <c r="F414" s="17">
        <v>103.381</v>
      </c>
      <c r="G414" s="16">
        <v>10000</v>
      </c>
      <c r="H414" s="5">
        <f t="shared" si="24"/>
        <v>0</v>
      </c>
      <c r="I414" s="6"/>
      <c r="J414" s="6"/>
      <c r="K414" s="51"/>
    </row>
    <row r="415" spans="1:11" x14ac:dyDescent="0.2">
      <c r="A415" s="1">
        <v>406</v>
      </c>
      <c r="B415" s="1" t="s">
        <v>59</v>
      </c>
      <c r="C415" s="15">
        <v>7127</v>
      </c>
      <c r="D415" s="16">
        <v>10000</v>
      </c>
      <c r="E415" s="1" t="s">
        <v>80</v>
      </c>
      <c r="F415" s="17">
        <v>103.381</v>
      </c>
      <c r="G415" s="16">
        <v>10000</v>
      </c>
      <c r="H415" s="5">
        <f t="shared" si="24"/>
        <v>0</v>
      </c>
      <c r="I415" s="6"/>
      <c r="J415" s="6"/>
      <c r="K415" s="51"/>
    </row>
    <row r="416" spans="1:11" x14ac:dyDescent="0.2">
      <c r="A416" s="1">
        <v>407</v>
      </c>
      <c r="B416" s="1" t="s">
        <v>59</v>
      </c>
      <c r="C416" s="15">
        <v>8921</v>
      </c>
      <c r="D416" s="16">
        <v>9000</v>
      </c>
      <c r="E416" s="1" t="s">
        <v>80</v>
      </c>
      <c r="F416" s="17">
        <v>93.043000000000006</v>
      </c>
      <c r="G416" s="16">
        <v>9000</v>
      </c>
      <c r="H416" s="5">
        <f t="shared" si="24"/>
        <v>0</v>
      </c>
      <c r="I416" s="6"/>
      <c r="J416" s="6"/>
      <c r="K416" s="51"/>
    </row>
    <row r="417" spans="1:11" x14ac:dyDescent="0.2">
      <c r="A417" s="1">
        <v>408</v>
      </c>
      <c r="B417" s="1" t="s">
        <v>64</v>
      </c>
      <c r="C417" s="15">
        <v>2077</v>
      </c>
      <c r="D417" s="16">
        <v>16000</v>
      </c>
      <c r="E417" s="1" t="s">
        <v>80</v>
      </c>
      <c r="F417" s="17">
        <v>165.40899999999999</v>
      </c>
      <c r="G417" s="16">
        <v>16000</v>
      </c>
      <c r="H417" s="5">
        <f t="shared" si="24"/>
        <v>0</v>
      </c>
      <c r="I417" s="6"/>
      <c r="J417" s="6"/>
      <c r="K417" s="51"/>
    </row>
    <row r="418" spans="1:11" x14ac:dyDescent="0.2">
      <c r="A418" s="1">
        <v>409</v>
      </c>
      <c r="B418" s="1" t="s">
        <v>64</v>
      </c>
      <c r="C418" s="15">
        <v>2290</v>
      </c>
      <c r="D418" s="16">
        <v>16000</v>
      </c>
      <c r="E418" s="1" t="s">
        <v>80</v>
      </c>
      <c r="F418" s="17">
        <v>165.40899999999999</v>
      </c>
      <c r="G418" s="16">
        <v>16000</v>
      </c>
      <c r="H418" s="5">
        <f t="shared" si="24"/>
        <v>0</v>
      </c>
      <c r="I418" s="6"/>
      <c r="J418" s="6"/>
      <c r="K418" s="51"/>
    </row>
    <row r="419" spans="1:11" x14ac:dyDescent="0.2">
      <c r="A419" s="1">
        <v>410</v>
      </c>
      <c r="B419" s="1" t="s">
        <v>64</v>
      </c>
      <c r="C419" s="15">
        <v>3543</v>
      </c>
      <c r="D419" s="16">
        <v>18000</v>
      </c>
      <c r="E419" s="1" t="s">
        <v>80</v>
      </c>
      <c r="F419" s="17">
        <v>186.08500000000001</v>
      </c>
      <c r="G419" s="34">
        <v>18000</v>
      </c>
      <c r="H419" s="5">
        <f t="shared" si="24"/>
        <v>0</v>
      </c>
      <c r="I419" s="6"/>
      <c r="J419" s="6"/>
      <c r="K419" s="51"/>
    </row>
    <row r="420" spans="1:11" x14ac:dyDescent="0.2">
      <c r="A420" s="1">
        <v>411</v>
      </c>
      <c r="B420" s="1" t="s">
        <v>64</v>
      </c>
      <c r="C420" s="15">
        <v>3390</v>
      </c>
      <c r="D420" s="16">
        <v>16000</v>
      </c>
      <c r="E420" s="1" t="s">
        <v>80</v>
      </c>
      <c r="F420" s="17">
        <v>165.40899999999999</v>
      </c>
      <c r="G420" s="16">
        <v>16000</v>
      </c>
      <c r="H420" s="5">
        <f t="shared" si="24"/>
        <v>0</v>
      </c>
      <c r="I420" s="6"/>
      <c r="J420" s="6"/>
      <c r="K420" s="51"/>
    </row>
    <row r="421" spans="1:11" x14ac:dyDescent="0.2">
      <c r="A421" s="1">
        <v>412</v>
      </c>
      <c r="B421" s="1" t="s">
        <v>64</v>
      </c>
      <c r="C421" s="15">
        <v>128</v>
      </c>
      <c r="D421" s="16">
        <v>13000</v>
      </c>
      <c r="E421" s="1" t="s">
        <v>80</v>
      </c>
      <c r="F421" s="17">
        <v>134.39500000000001</v>
      </c>
      <c r="G421" s="16">
        <v>13000</v>
      </c>
      <c r="H421" s="5">
        <f t="shared" si="24"/>
        <v>0</v>
      </c>
      <c r="I421" s="6"/>
      <c r="J421" s="6"/>
      <c r="K421" s="51"/>
    </row>
    <row r="422" spans="1:11" x14ac:dyDescent="0.2">
      <c r="A422" s="1">
        <v>413</v>
      </c>
      <c r="B422" s="1" t="s">
        <v>64</v>
      </c>
      <c r="C422" s="15">
        <v>4441</v>
      </c>
      <c r="D422" s="16">
        <v>5000</v>
      </c>
      <c r="E422" s="1" t="s">
        <v>80</v>
      </c>
      <c r="F422" s="17">
        <v>51.69</v>
      </c>
      <c r="G422" s="16">
        <v>5000</v>
      </c>
      <c r="H422" s="5">
        <f t="shared" si="24"/>
        <v>0</v>
      </c>
      <c r="I422" s="6"/>
      <c r="J422" s="6"/>
      <c r="K422" s="51"/>
    </row>
    <row r="423" spans="1:11" x14ac:dyDescent="0.2">
      <c r="A423" s="1">
        <v>414</v>
      </c>
      <c r="B423" s="1" t="s">
        <v>64</v>
      </c>
      <c r="C423" s="15">
        <v>530</v>
      </c>
      <c r="D423" s="16">
        <v>9000</v>
      </c>
      <c r="E423" s="1" t="s">
        <v>80</v>
      </c>
      <c r="F423" s="17">
        <v>93.043000000000006</v>
      </c>
      <c r="G423" s="16">
        <v>9000</v>
      </c>
      <c r="H423" s="5">
        <f t="shared" si="24"/>
        <v>0</v>
      </c>
      <c r="I423" s="6"/>
      <c r="J423" s="6"/>
      <c r="K423" s="51"/>
    </row>
    <row r="424" spans="1:11" x14ac:dyDescent="0.2">
      <c r="A424" s="1">
        <v>415</v>
      </c>
      <c r="B424" s="1" t="s">
        <v>64</v>
      </c>
      <c r="C424" s="15">
        <v>1477</v>
      </c>
      <c r="D424" s="16">
        <v>16000</v>
      </c>
      <c r="E424" s="1" t="s">
        <v>80</v>
      </c>
      <c r="F424" s="17">
        <v>165.40899999999999</v>
      </c>
      <c r="G424" s="16">
        <v>16000</v>
      </c>
      <c r="H424" s="5">
        <f t="shared" si="24"/>
        <v>0</v>
      </c>
      <c r="I424" s="6"/>
      <c r="J424" s="6"/>
      <c r="K424" s="51"/>
    </row>
    <row r="425" spans="1:11" x14ac:dyDescent="0.2">
      <c r="A425" s="1">
        <v>416</v>
      </c>
      <c r="B425" s="1" t="s">
        <v>64</v>
      </c>
      <c r="C425" s="15">
        <v>2151</v>
      </c>
      <c r="D425" s="16">
        <v>10000</v>
      </c>
      <c r="E425" s="1" t="s">
        <v>80</v>
      </c>
      <c r="F425" s="17">
        <v>103.381</v>
      </c>
      <c r="G425" s="16">
        <v>10000</v>
      </c>
      <c r="H425" s="5">
        <f t="shared" ref="H425:H497" si="25">D425-G425</f>
        <v>0</v>
      </c>
      <c r="I425" s="6"/>
      <c r="J425" s="6"/>
      <c r="K425" s="51"/>
    </row>
    <row r="426" spans="1:11" x14ac:dyDescent="0.2">
      <c r="A426" s="1">
        <v>417</v>
      </c>
      <c r="B426" s="1" t="s">
        <v>64</v>
      </c>
      <c r="C426" s="15" t="s">
        <v>61</v>
      </c>
      <c r="D426" s="16">
        <v>5000</v>
      </c>
      <c r="E426" s="1" t="s">
        <v>80</v>
      </c>
      <c r="F426" s="17">
        <v>51.69</v>
      </c>
      <c r="G426" s="16">
        <v>5000</v>
      </c>
      <c r="H426" s="5">
        <f t="shared" si="25"/>
        <v>0</v>
      </c>
      <c r="I426" s="6"/>
      <c r="J426" s="6"/>
      <c r="K426" s="51"/>
    </row>
    <row r="427" spans="1:11" x14ac:dyDescent="0.2">
      <c r="A427" s="1">
        <v>418</v>
      </c>
      <c r="B427" s="1" t="s">
        <v>64</v>
      </c>
      <c r="C427" s="15">
        <v>8469</v>
      </c>
      <c r="D427" s="16">
        <v>10000</v>
      </c>
      <c r="E427" s="1" t="s">
        <v>80</v>
      </c>
      <c r="F427" s="17">
        <v>103.381</v>
      </c>
      <c r="G427" s="16">
        <v>10000</v>
      </c>
      <c r="H427" s="5">
        <f t="shared" si="25"/>
        <v>0</v>
      </c>
      <c r="I427" s="6"/>
      <c r="J427" s="6"/>
      <c r="K427" s="51"/>
    </row>
    <row r="428" spans="1:11" x14ac:dyDescent="0.2">
      <c r="A428" s="1">
        <v>419</v>
      </c>
      <c r="B428" s="1" t="s">
        <v>64</v>
      </c>
      <c r="C428" s="15">
        <v>118</v>
      </c>
      <c r="D428" s="16">
        <v>15000</v>
      </c>
      <c r="E428" s="1" t="s">
        <v>80</v>
      </c>
      <c r="F428" s="17">
        <v>155.071</v>
      </c>
      <c r="G428" s="16">
        <v>15000</v>
      </c>
      <c r="H428" s="5">
        <f t="shared" si="25"/>
        <v>0</v>
      </c>
      <c r="I428" s="6"/>
      <c r="J428" s="6"/>
      <c r="K428" s="51"/>
    </row>
    <row r="429" spans="1:11" x14ac:dyDescent="0.2">
      <c r="A429" s="1">
        <v>420</v>
      </c>
      <c r="B429" s="1" t="s">
        <v>64</v>
      </c>
      <c r="C429" s="15">
        <v>2227</v>
      </c>
      <c r="D429" s="16">
        <v>15000</v>
      </c>
      <c r="E429" s="1" t="s">
        <v>80</v>
      </c>
      <c r="F429" s="17">
        <v>155.071</v>
      </c>
      <c r="G429" s="16">
        <v>15000</v>
      </c>
      <c r="H429" s="5">
        <f t="shared" si="25"/>
        <v>0</v>
      </c>
      <c r="I429" s="6"/>
      <c r="J429" s="6"/>
      <c r="K429" s="51"/>
    </row>
    <row r="430" spans="1:11" x14ac:dyDescent="0.2">
      <c r="A430" s="1">
        <v>421</v>
      </c>
      <c r="B430" s="1" t="s">
        <v>64</v>
      </c>
      <c r="C430" s="15">
        <v>9516</v>
      </c>
      <c r="D430" s="16">
        <v>15000</v>
      </c>
      <c r="E430" s="1" t="s">
        <v>80</v>
      </c>
      <c r="F430" s="17">
        <v>155.071</v>
      </c>
      <c r="G430" s="16">
        <v>15000</v>
      </c>
      <c r="H430" s="5">
        <f t="shared" si="25"/>
        <v>0</v>
      </c>
      <c r="I430" s="6"/>
      <c r="J430" s="6"/>
      <c r="K430" s="51"/>
    </row>
    <row r="431" spans="1:11" x14ac:dyDescent="0.2">
      <c r="A431" s="1">
        <v>422</v>
      </c>
      <c r="B431" s="1" t="s">
        <v>64</v>
      </c>
      <c r="C431" s="15">
        <v>6565</v>
      </c>
      <c r="D431" s="16">
        <v>14000</v>
      </c>
      <c r="E431" s="1" t="s">
        <v>80</v>
      </c>
      <c r="F431" s="17">
        <v>144.733</v>
      </c>
      <c r="G431" s="16">
        <v>14000</v>
      </c>
      <c r="H431" s="5">
        <f t="shared" si="25"/>
        <v>0</v>
      </c>
      <c r="I431" s="6"/>
      <c r="J431" s="6"/>
      <c r="K431" s="51"/>
    </row>
    <row r="432" spans="1:11" x14ac:dyDescent="0.2">
      <c r="A432" s="1">
        <v>423</v>
      </c>
      <c r="B432" s="1" t="s">
        <v>64</v>
      </c>
      <c r="C432" s="15">
        <v>120</v>
      </c>
      <c r="D432" s="16">
        <v>15000</v>
      </c>
      <c r="E432" s="1" t="s">
        <v>80</v>
      </c>
      <c r="F432" s="17">
        <v>155.071</v>
      </c>
      <c r="G432" s="16">
        <v>15000</v>
      </c>
      <c r="H432" s="5">
        <f t="shared" si="25"/>
        <v>0</v>
      </c>
      <c r="I432" s="6"/>
      <c r="J432" s="6"/>
      <c r="K432" s="51"/>
    </row>
    <row r="433" spans="1:11" x14ac:dyDescent="0.2">
      <c r="A433" s="1">
        <v>424</v>
      </c>
      <c r="B433" s="1" t="s">
        <v>64</v>
      </c>
      <c r="C433" s="15">
        <v>1758</v>
      </c>
      <c r="D433" s="16">
        <v>13000</v>
      </c>
      <c r="E433" s="1" t="s">
        <v>80</v>
      </c>
      <c r="F433" s="17">
        <v>134.39500000000001</v>
      </c>
      <c r="G433" s="16">
        <v>13000</v>
      </c>
      <c r="H433" s="5">
        <f t="shared" si="25"/>
        <v>0</v>
      </c>
      <c r="I433" s="6"/>
      <c r="J433" s="6"/>
      <c r="K433" s="51"/>
    </row>
    <row r="434" spans="1:11" x14ac:dyDescent="0.2">
      <c r="A434" s="1">
        <v>425</v>
      </c>
      <c r="B434" s="1" t="s">
        <v>64</v>
      </c>
      <c r="C434" s="15">
        <v>293</v>
      </c>
      <c r="D434" s="16">
        <v>15000</v>
      </c>
      <c r="E434" s="1" t="s">
        <v>80</v>
      </c>
      <c r="F434" s="17">
        <v>155.071</v>
      </c>
      <c r="G434" s="16">
        <v>15000</v>
      </c>
      <c r="H434" s="5">
        <f t="shared" si="25"/>
        <v>0</v>
      </c>
      <c r="I434" s="6"/>
      <c r="J434" s="6"/>
      <c r="K434" s="51"/>
    </row>
    <row r="435" spans="1:11" x14ac:dyDescent="0.2">
      <c r="A435" s="1">
        <v>426</v>
      </c>
      <c r="B435" s="1" t="s">
        <v>64</v>
      </c>
      <c r="C435" s="15">
        <v>291</v>
      </c>
      <c r="D435" s="16">
        <v>14000</v>
      </c>
      <c r="E435" s="1" t="s">
        <v>80</v>
      </c>
      <c r="F435" s="17">
        <v>144.733</v>
      </c>
      <c r="G435" s="16">
        <v>14000</v>
      </c>
      <c r="H435" s="5">
        <f t="shared" si="25"/>
        <v>0</v>
      </c>
      <c r="I435" s="6"/>
      <c r="J435" s="6"/>
      <c r="K435" s="51"/>
    </row>
    <row r="436" spans="1:11" x14ac:dyDescent="0.2">
      <c r="A436" s="1">
        <v>427</v>
      </c>
      <c r="B436" s="1" t="s">
        <v>64</v>
      </c>
      <c r="C436" s="15">
        <v>4107</v>
      </c>
      <c r="D436" s="16">
        <v>15000</v>
      </c>
      <c r="E436" s="1" t="s">
        <v>80</v>
      </c>
      <c r="F436" s="17">
        <v>155.071</v>
      </c>
      <c r="G436" s="16">
        <v>15000</v>
      </c>
      <c r="H436" s="5">
        <f t="shared" si="25"/>
        <v>0</v>
      </c>
      <c r="I436" s="6"/>
      <c r="J436" s="6"/>
      <c r="K436" s="51"/>
    </row>
    <row r="437" spans="1:11" x14ac:dyDescent="0.2">
      <c r="A437" s="1">
        <v>428</v>
      </c>
      <c r="B437" s="1" t="s">
        <v>64</v>
      </c>
      <c r="C437" s="15">
        <v>7271</v>
      </c>
      <c r="D437" s="16">
        <v>9000</v>
      </c>
      <c r="E437" s="1" t="s">
        <v>80</v>
      </c>
      <c r="F437" s="17">
        <v>93.043000000000006</v>
      </c>
      <c r="G437" s="16">
        <v>9000</v>
      </c>
      <c r="H437" s="5">
        <f t="shared" si="25"/>
        <v>0</v>
      </c>
      <c r="I437" s="6"/>
      <c r="J437" s="6"/>
      <c r="K437" s="51"/>
    </row>
    <row r="438" spans="1:11" x14ac:dyDescent="0.2">
      <c r="A438" s="1">
        <v>429</v>
      </c>
      <c r="B438" s="1" t="s">
        <v>64</v>
      </c>
      <c r="C438" s="15">
        <v>5403</v>
      </c>
      <c r="D438" s="16">
        <v>8000</v>
      </c>
      <c r="E438" s="1" t="s">
        <v>80</v>
      </c>
      <c r="F438" s="17">
        <v>82.703999999999994</v>
      </c>
      <c r="G438" s="16">
        <v>8000</v>
      </c>
      <c r="H438" s="5">
        <f t="shared" si="25"/>
        <v>0</v>
      </c>
      <c r="I438" s="6"/>
      <c r="J438" s="6"/>
      <c r="K438" s="51"/>
    </row>
    <row r="439" spans="1:11" x14ac:dyDescent="0.2">
      <c r="A439" s="1">
        <v>430</v>
      </c>
      <c r="B439" s="1" t="s">
        <v>64</v>
      </c>
      <c r="C439" s="15">
        <v>9599</v>
      </c>
      <c r="D439" s="16">
        <v>30000</v>
      </c>
      <c r="E439" s="1" t="s">
        <v>80</v>
      </c>
      <c r="F439" s="17">
        <v>310.142</v>
      </c>
      <c r="G439" s="16">
        <v>30000</v>
      </c>
      <c r="H439" s="5">
        <f t="shared" si="25"/>
        <v>0</v>
      </c>
      <c r="I439" s="6"/>
      <c r="J439" s="6"/>
      <c r="K439" s="51"/>
    </row>
    <row r="440" spans="1:11" x14ac:dyDescent="0.2">
      <c r="A440" s="1">
        <v>431</v>
      </c>
      <c r="B440" s="1" t="s">
        <v>64</v>
      </c>
      <c r="C440" s="15">
        <v>4156</v>
      </c>
      <c r="D440" s="16">
        <v>25000</v>
      </c>
      <c r="E440" s="1" t="s">
        <v>80</v>
      </c>
      <c r="F440" s="17">
        <v>258.45100000000002</v>
      </c>
      <c r="G440" s="16">
        <v>25000</v>
      </c>
      <c r="H440" s="5">
        <f t="shared" si="25"/>
        <v>0</v>
      </c>
      <c r="I440" s="6"/>
      <c r="J440" s="6"/>
      <c r="K440" s="51"/>
    </row>
    <row r="441" spans="1:11" x14ac:dyDescent="0.2">
      <c r="A441" s="1">
        <v>432</v>
      </c>
      <c r="B441" s="1" t="s">
        <v>64</v>
      </c>
      <c r="C441" s="15">
        <v>533</v>
      </c>
      <c r="D441" s="16">
        <v>7000</v>
      </c>
      <c r="E441" s="1" t="s">
        <v>80</v>
      </c>
      <c r="F441" s="17">
        <v>72.366</v>
      </c>
      <c r="G441" s="16">
        <v>7000</v>
      </c>
      <c r="H441" s="5">
        <f t="shared" si="25"/>
        <v>0</v>
      </c>
      <c r="I441" s="6"/>
      <c r="J441" s="6"/>
      <c r="K441" s="51"/>
    </row>
    <row r="442" spans="1:11" x14ac:dyDescent="0.2">
      <c r="A442" s="1">
        <v>433</v>
      </c>
      <c r="B442" s="1" t="s">
        <v>64</v>
      </c>
      <c r="C442" s="15">
        <v>5185</v>
      </c>
      <c r="D442" s="16">
        <v>8000</v>
      </c>
      <c r="E442" s="1" t="s">
        <v>80</v>
      </c>
      <c r="F442" s="17">
        <v>82.703999999999994</v>
      </c>
      <c r="G442" s="16">
        <v>8000</v>
      </c>
      <c r="H442" s="5">
        <f t="shared" si="25"/>
        <v>0</v>
      </c>
      <c r="I442" s="6"/>
      <c r="J442" s="6"/>
      <c r="K442" s="51"/>
    </row>
    <row r="443" spans="1:11" x14ac:dyDescent="0.2">
      <c r="A443" s="1">
        <v>434</v>
      </c>
      <c r="B443" s="1" t="s">
        <v>60</v>
      </c>
      <c r="C443" s="15" t="s">
        <v>61</v>
      </c>
      <c r="D443" s="16">
        <v>2986</v>
      </c>
      <c r="E443" s="1" t="s">
        <v>80</v>
      </c>
      <c r="F443" s="17">
        <v>30.869</v>
      </c>
      <c r="G443" s="31">
        <v>2986</v>
      </c>
      <c r="H443" s="5">
        <f t="shared" si="25"/>
        <v>0</v>
      </c>
      <c r="I443" s="6"/>
      <c r="J443" s="6"/>
      <c r="K443" s="51"/>
    </row>
    <row r="444" spans="1:11" x14ac:dyDescent="0.2">
      <c r="A444" s="1">
        <v>435</v>
      </c>
      <c r="B444" s="1" t="s">
        <v>60</v>
      </c>
      <c r="C444" s="32" t="s">
        <v>68</v>
      </c>
      <c r="D444" s="16">
        <v>5000</v>
      </c>
      <c r="E444" s="1" t="s">
        <v>80</v>
      </c>
      <c r="F444" s="17">
        <v>51.69</v>
      </c>
      <c r="G444" s="16">
        <v>5000</v>
      </c>
      <c r="H444" s="5">
        <f t="shared" si="25"/>
        <v>0</v>
      </c>
      <c r="I444" s="6"/>
      <c r="J444" s="6"/>
      <c r="K444" s="51"/>
    </row>
    <row r="445" spans="1:11" x14ac:dyDescent="0.2">
      <c r="A445" s="1">
        <v>436</v>
      </c>
      <c r="B445" s="1" t="s">
        <v>60</v>
      </c>
      <c r="C445" s="15">
        <v>941</v>
      </c>
      <c r="D445" s="16">
        <v>25000</v>
      </c>
      <c r="E445" s="1" t="s">
        <v>80</v>
      </c>
      <c r="F445" s="17">
        <v>258.45100000000002</v>
      </c>
      <c r="G445" s="16">
        <v>25000</v>
      </c>
      <c r="H445" s="5">
        <f t="shared" si="25"/>
        <v>0</v>
      </c>
      <c r="I445" s="6"/>
      <c r="J445" s="6"/>
      <c r="K445" s="51"/>
    </row>
    <row r="446" spans="1:11" x14ac:dyDescent="0.2">
      <c r="A446" s="1">
        <v>437</v>
      </c>
      <c r="B446" s="1" t="s">
        <v>60</v>
      </c>
      <c r="C446" s="15">
        <v>6349</v>
      </c>
      <c r="D446" s="16">
        <v>25000</v>
      </c>
      <c r="E446" s="1" t="s">
        <v>80</v>
      </c>
      <c r="F446" s="17">
        <v>258.45100000000002</v>
      </c>
      <c r="G446" s="16">
        <v>25000</v>
      </c>
      <c r="H446" s="5">
        <f t="shared" si="25"/>
        <v>0</v>
      </c>
      <c r="I446" s="6"/>
      <c r="J446" s="6"/>
      <c r="K446" s="51"/>
    </row>
    <row r="447" spans="1:11" x14ac:dyDescent="0.2">
      <c r="A447" s="1">
        <v>438</v>
      </c>
      <c r="B447" s="1" t="s">
        <v>60</v>
      </c>
      <c r="C447" s="15">
        <v>1321</v>
      </c>
      <c r="D447" s="16">
        <v>13000</v>
      </c>
      <c r="E447" s="1" t="s">
        <v>80</v>
      </c>
      <c r="F447" s="17">
        <v>134.39500000000001</v>
      </c>
      <c r="G447" s="16">
        <v>13000</v>
      </c>
      <c r="H447" s="5">
        <f t="shared" si="25"/>
        <v>0</v>
      </c>
      <c r="I447" s="6"/>
      <c r="J447" s="6"/>
      <c r="K447" s="51"/>
    </row>
    <row r="448" spans="1:11" x14ac:dyDescent="0.2">
      <c r="A448" s="1">
        <v>439</v>
      </c>
      <c r="B448" s="1" t="s">
        <v>60</v>
      </c>
      <c r="C448" s="15">
        <v>9941</v>
      </c>
      <c r="D448" s="16">
        <v>13000</v>
      </c>
      <c r="E448" s="1" t="s">
        <v>80</v>
      </c>
      <c r="F448" s="17">
        <v>134.39500000000001</v>
      </c>
      <c r="G448" s="16">
        <v>13000</v>
      </c>
      <c r="H448" s="5">
        <f t="shared" si="25"/>
        <v>0</v>
      </c>
      <c r="I448" s="6"/>
      <c r="J448" s="6"/>
      <c r="K448" s="51"/>
    </row>
    <row r="449" spans="1:11" x14ac:dyDescent="0.2">
      <c r="A449" s="1">
        <v>440</v>
      </c>
      <c r="B449" s="1" t="s">
        <v>60</v>
      </c>
      <c r="C449" s="15">
        <v>1593</v>
      </c>
      <c r="D449" s="16">
        <v>14000</v>
      </c>
      <c r="E449" s="1" t="s">
        <v>80</v>
      </c>
      <c r="F449" s="17">
        <v>144.733</v>
      </c>
      <c r="G449" s="16">
        <v>14000</v>
      </c>
      <c r="H449" s="5">
        <f t="shared" si="25"/>
        <v>0</v>
      </c>
      <c r="I449" s="6"/>
      <c r="J449" s="6"/>
      <c r="K449" s="51"/>
    </row>
    <row r="450" spans="1:11" x14ac:dyDescent="0.2">
      <c r="A450" s="1">
        <v>441</v>
      </c>
      <c r="B450" s="1" t="s">
        <v>60</v>
      </c>
      <c r="C450" s="15">
        <v>121</v>
      </c>
      <c r="D450" s="16">
        <v>15000</v>
      </c>
      <c r="E450" s="1" t="s">
        <v>80</v>
      </c>
      <c r="F450" s="17">
        <v>155.071</v>
      </c>
      <c r="G450" s="16">
        <v>15000</v>
      </c>
      <c r="H450" s="5">
        <f t="shared" si="25"/>
        <v>0</v>
      </c>
      <c r="I450" s="6"/>
      <c r="J450" s="6"/>
      <c r="K450" s="51"/>
    </row>
    <row r="451" spans="1:11" x14ac:dyDescent="0.2">
      <c r="A451" s="1">
        <v>442</v>
      </c>
      <c r="B451" s="1" t="s">
        <v>60</v>
      </c>
      <c r="C451" s="15">
        <v>1708</v>
      </c>
      <c r="D451" s="16">
        <v>15000</v>
      </c>
      <c r="E451" s="1" t="s">
        <v>80</v>
      </c>
      <c r="F451" s="17">
        <v>155.071</v>
      </c>
      <c r="G451" s="16">
        <v>15000</v>
      </c>
      <c r="H451" s="5">
        <f t="shared" si="25"/>
        <v>0</v>
      </c>
      <c r="I451" s="6"/>
      <c r="J451" s="6"/>
      <c r="K451" s="51"/>
    </row>
    <row r="452" spans="1:11" x14ac:dyDescent="0.2">
      <c r="A452" s="1">
        <v>443</v>
      </c>
      <c r="B452" s="1" t="s">
        <v>60</v>
      </c>
      <c r="C452" s="15">
        <v>9691</v>
      </c>
      <c r="D452" s="16">
        <v>15000</v>
      </c>
      <c r="E452" s="1" t="s">
        <v>80</v>
      </c>
      <c r="F452" s="17">
        <v>155.071</v>
      </c>
      <c r="G452" s="16">
        <v>15000</v>
      </c>
      <c r="H452" s="5">
        <f t="shared" si="25"/>
        <v>0</v>
      </c>
      <c r="I452" s="6"/>
      <c r="J452" s="6"/>
      <c r="K452" s="51"/>
    </row>
    <row r="453" spans="1:11" x14ac:dyDescent="0.2">
      <c r="A453" s="1">
        <v>444</v>
      </c>
      <c r="B453" s="1" t="s">
        <v>60</v>
      </c>
      <c r="C453" s="15">
        <v>253</v>
      </c>
      <c r="D453" s="16">
        <v>20000</v>
      </c>
      <c r="E453" s="1" t="s">
        <v>80</v>
      </c>
      <c r="F453" s="17">
        <v>206.761</v>
      </c>
      <c r="G453" s="16">
        <v>20000</v>
      </c>
      <c r="H453" s="5">
        <f t="shared" si="25"/>
        <v>0</v>
      </c>
      <c r="I453" s="6"/>
      <c r="J453" s="6"/>
      <c r="K453" s="51"/>
    </row>
    <row r="454" spans="1:11" x14ac:dyDescent="0.2">
      <c r="A454" s="1">
        <v>445</v>
      </c>
      <c r="B454" s="1" t="s">
        <v>60</v>
      </c>
      <c r="C454" s="15">
        <v>2946</v>
      </c>
      <c r="D454" s="16">
        <v>26000</v>
      </c>
      <c r="E454" s="1" t="s">
        <v>80</v>
      </c>
      <c r="F454" s="17">
        <v>268.78899999999999</v>
      </c>
      <c r="G454" s="16">
        <v>26000</v>
      </c>
      <c r="H454" s="5">
        <f t="shared" si="25"/>
        <v>0</v>
      </c>
      <c r="I454" s="6"/>
      <c r="J454" s="6"/>
      <c r="K454" s="51"/>
    </row>
    <row r="455" spans="1:11" x14ac:dyDescent="0.2">
      <c r="A455" s="1">
        <v>446</v>
      </c>
      <c r="B455" s="1" t="s">
        <v>60</v>
      </c>
      <c r="C455" s="15">
        <v>1717</v>
      </c>
      <c r="D455" s="16">
        <v>31000</v>
      </c>
      <c r="E455" s="1" t="s">
        <v>80</v>
      </c>
      <c r="F455" s="17">
        <v>320.48</v>
      </c>
      <c r="G455" s="16">
        <v>31000</v>
      </c>
      <c r="H455" s="5">
        <f t="shared" si="25"/>
        <v>0</v>
      </c>
      <c r="I455" s="6"/>
      <c r="J455" s="6"/>
      <c r="K455" s="51"/>
    </row>
    <row r="456" spans="1:11" x14ac:dyDescent="0.2">
      <c r="A456" s="1">
        <v>447</v>
      </c>
      <c r="B456" s="47" t="s">
        <v>60</v>
      </c>
      <c r="C456" s="54">
        <v>5931</v>
      </c>
      <c r="D456" s="47">
        <v>32000</v>
      </c>
      <c r="E456" s="47" t="s">
        <v>80</v>
      </c>
      <c r="F456" s="55">
        <v>330.81799999999998</v>
      </c>
      <c r="G456" s="47">
        <v>32000</v>
      </c>
      <c r="H456" s="56">
        <f t="shared" si="25"/>
        <v>0</v>
      </c>
      <c r="I456" s="47"/>
      <c r="J456" s="47"/>
      <c r="K456" s="53" t="s">
        <v>86</v>
      </c>
    </row>
    <row r="457" spans="1:11" x14ac:dyDescent="0.2">
      <c r="A457" s="1">
        <v>448</v>
      </c>
      <c r="B457" s="1" t="s">
        <v>65</v>
      </c>
      <c r="C457" s="15" t="s">
        <v>66</v>
      </c>
      <c r="D457" s="16">
        <v>400</v>
      </c>
      <c r="E457" s="1"/>
      <c r="F457" s="17">
        <v>155.07</v>
      </c>
      <c r="G457" s="16">
        <v>400</v>
      </c>
      <c r="H457" s="5">
        <f t="shared" si="25"/>
        <v>0</v>
      </c>
      <c r="I457" s="6"/>
      <c r="J457" s="6"/>
      <c r="K457" s="51"/>
    </row>
    <row r="458" spans="1:11" x14ac:dyDescent="0.2">
      <c r="A458" s="1">
        <v>449</v>
      </c>
      <c r="B458" s="1" t="s">
        <v>65</v>
      </c>
      <c r="C458" s="15">
        <v>6353</v>
      </c>
      <c r="D458" s="16">
        <v>20000</v>
      </c>
      <c r="E458" s="1"/>
      <c r="F458" s="17">
        <v>206.76</v>
      </c>
      <c r="G458" s="16">
        <v>20000</v>
      </c>
      <c r="H458" s="5">
        <f t="shared" si="25"/>
        <v>0</v>
      </c>
      <c r="I458" s="6"/>
      <c r="J458" s="6"/>
      <c r="K458" s="51"/>
    </row>
    <row r="459" spans="1:11" x14ac:dyDescent="0.2">
      <c r="A459" s="1">
        <v>450</v>
      </c>
      <c r="B459" s="1" t="s">
        <v>65</v>
      </c>
      <c r="C459" s="15">
        <v>2290</v>
      </c>
      <c r="D459" s="16">
        <v>16000</v>
      </c>
      <c r="E459" s="1"/>
      <c r="F459" s="17">
        <v>165.41</v>
      </c>
      <c r="G459" s="16">
        <v>16000</v>
      </c>
      <c r="H459" s="5">
        <f t="shared" si="25"/>
        <v>0</v>
      </c>
      <c r="I459" s="6"/>
      <c r="J459" s="6"/>
      <c r="K459" s="51"/>
    </row>
    <row r="460" spans="1:11" x14ac:dyDescent="0.2">
      <c r="A460" s="1">
        <v>451</v>
      </c>
      <c r="B460" s="1" t="s">
        <v>65</v>
      </c>
      <c r="C460" s="15">
        <v>1912</v>
      </c>
      <c r="D460" s="16">
        <v>34000</v>
      </c>
      <c r="E460" s="1"/>
      <c r="F460" s="17">
        <v>351.49</v>
      </c>
      <c r="G460" s="16">
        <v>34000</v>
      </c>
      <c r="H460" s="5">
        <f t="shared" si="25"/>
        <v>0</v>
      </c>
      <c r="I460" s="6"/>
      <c r="J460" s="6"/>
      <c r="K460" s="51"/>
    </row>
    <row r="461" spans="1:11" x14ac:dyDescent="0.2">
      <c r="A461" s="1">
        <v>452</v>
      </c>
      <c r="B461" s="1" t="s">
        <v>65</v>
      </c>
      <c r="C461" s="15">
        <v>2227</v>
      </c>
      <c r="D461" s="16">
        <v>20000</v>
      </c>
      <c r="E461" s="1"/>
      <c r="F461" s="17">
        <v>206.76</v>
      </c>
      <c r="G461" s="16">
        <v>20000</v>
      </c>
      <c r="H461" s="5">
        <f t="shared" si="25"/>
        <v>0</v>
      </c>
      <c r="I461" s="6"/>
      <c r="J461" s="6"/>
      <c r="K461" s="51"/>
    </row>
    <row r="462" spans="1:11" x14ac:dyDescent="0.2">
      <c r="A462" s="1">
        <v>453</v>
      </c>
      <c r="B462" s="1" t="s">
        <v>65</v>
      </c>
      <c r="C462" s="15">
        <v>5079</v>
      </c>
      <c r="D462" s="16">
        <v>30000</v>
      </c>
      <c r="E462" s="1"/>
      <c r="F462" s="17">
        <v>310.14</v>
      </c>
      <c r="G462" s="16">
        <v>30000</v>
      </c>
      <c r="H462" s="5">
        <f t="shared" si="25"/>
        <v>0</v>
      </c>
      <c r="I462" s="6"/>
      <c r="J462" s="6"/>
      <c r="K462" s="51"/>
    </row>
    <row r="463" spans="1:11" x14ac:dyDescent="0.2">
      <c r="A463" s="1">
        <v>454</v>
      </c>
      <c r="B463" s="1" t="s">
        <v>65</v>
      </c>
      <c r="C463" s="15">
        <v>3390</v>
      </c>
      <c r="D463" s="16">
        <v>16000</v>
      </c>
      <c r="E463" s="1"/>
      <c r="F463" s="17">
        <v>165.41</v>
      </c>
      <c r="G463" s="16">
        <v>16000</v>
      </c>
      <c r="H463" s="5">
        <f t="shared" si="25"/>
        <v>0</v>
      </c>
      <c r="I463" s="6"/>
      <c r="J463" s="6"/>
      <c r="K463" s="51"/>
    </row>
    <row r="464" spans="1:11" x14ac:dyDescent="0.2">
      <c r="A464" s="1">
        <v>455</v>
      </c>
      <c r="B464" s="1" t="s">
        <v>65</v>
      </c>
      <c r="C464" s="15">
        <v>2311</v>
      </c>
      <c r="D464" s="16">
        <v>15000</v>
      </c>
      <c r="E464" s="1"/>
      <c r="F464" s="17">
        <v>155.07</v>
      </c>
      <c r="G464" s="16">
        <v>15000</v>
      </c>
      <c r="H464" s="5">
        <f t="shared" si="25"/>
        <v>0</v>
      </c>
      <c r="I464" s="6"/>
      <c r="J464" s="6"/>
      <c r="K464" s="51"/>
    </row>
    <row r="465" spans="1:13" x14ac:dyDescent="0.2">
      <c r="A465" s="1">
        <v>456</v>
      </c>
      <c r="B465" s="1" t="s">
        <v>67</v>
      </c>
      <c r="C465" s="15">
        <v>1054</v>
      </c>
      <c r="D465" s="16">
        <v>15000</v>
      </c>
      <c r="E465" s="1"/>
      <c r="F465" s="17">
        <v>155.07</v>
      </c>
      <c r="G465" s="16">
        <v>15000</v>
      </c>
      <c r="H465" s="5">
        <f t="shared" si="25"/>
        <v>0</v>
      </c>
      <c r="I465" s="6"/>
      <c r="J465" s="6"/>
      <c r="K465" s="51"/>
    </row>
    <row r="466" spans="1:13" x14ac:dyDescent="0.2">
      <c r="A466" s="1">
        <v>457</v>
      </c>
      <c r="B466" s="1" t="s">
        <v>67</v>
      </c>
      <c r="C466" s="15">
        <v>4393</v>
      </c>
      <c r="D466" s="16">
        <v>25000</v>
      </c>
      <c r="E466" s="1"/>
      <c r="F466" s="17">
        <v>258.45</v>
      </c>
      <c r="G466" s="16">
        <v>25000</v>
      </c>
      <c r="H466" s="5">
        <f t="shared" si="25"/>
        <v>0</v>
      </c>
      <c r="I466" s="6"/>
      <c r="J466" s="6"/>
      <c r="K466" s="51"/>
    </row>
    <row r="467" spans="1:13" x14ac:dyDescent="0.2">
      <c r="A467" s="1">
        <v>458</v>
      </c>
      <c r="B467" s="1" t="s">
        <v>67</v>
      </c>
      <c r="C467" s="15">
        <v>2383</v>
      </c>
      <c r="D467" s="16">
        <v>15000</v>
      </c>
      <c r="E467" s="1"/>
      <c r="F467" s="17">
        <v>155.07</v>
      </c>
      <c r="G467" s="16">
        <v>15000</v>
      </c>
      <c r="H467" s="5">
        <f t="shared" si="25"/>
        <v>0</v>
      </c>
      <c r="I467" s="6"/>
      <c r="J467" s="6"/>
      <c r="K467" s="51"/>
    </row>
    <row r="468" spans="1:13" x14ac:dyDescent="0.2">
      <c r="A468" s="1">
        <v>459</v>
      </c>
      <c r="B468" s="1" t="s">
        <v>67</v>
      </c>
      <c r="C468" s="15">
        <v>8492</v>
      </c>
      <c r="D468" s="16">
        <v>20000</v>
      </c>
      <c r="E468" s="1"/>
      <c r="F468" s="17">
        <v>206.76</v>
      </c>
      <c r="G468" s="16">
        <v>20000</v>
      </c>
      <c r="H468" s="5">
        <f t="shared" si="25"/>
        <v>0</v>
      </c>
      <c r="I468" s="6"/>
      <c r="J468" s="6"/>
      <c r="K468" s="51"/>
    </row>
    <row r="469" spans="1:13" x14ac:dyDescent="0.2">
      <c r="A469" s="1">
        <v>460</v>
      </c>
      <c r="B469" s="1" t="s">
        <v>67</v>
      </c>
      <c r="C469" s="15">
        <v>7127</v>
      </c>
      <c r="D469" s="16">
        <v>8000</v>
      </c>
      <c r="E469" s="1"/>
      <c r="F469" s="17">
        <v>82.7</v>
      </c>
      <c r="G469" s="16">
        <v>8000</v>
      </c>
      <c r="H469" s="5">
        <f t="shared" si="25"/>
        <v>0</v>
      </c>
      <c r="I469" s="6"/>
      <c r="J469" s="6"/>
      <c r="K469" s="51"/>
    </row>
    <row r="470" spans="1:13" x14ac:dyDescent="0.2">
      <c r="A470" s="1">
        <v>461</v>
      </c>
      <c r="B470" s="1" t="s">
        <v>67</v>
      </c>
      <c r="C470" s="15">
        <v>5818</v>
      </c>
      <c r="D470" s="16">
        <v>18000</v>
      </c>
      <c r="E470" s="1"/>
      <c r="F470" s="17">
        <v>186.08</v>
      </c>
      <c r="G470" s="16">
        <v>18000</v>
      </c>
      <c r="H470" s="5">
        <f t="shared" si="25"/>
        <v>0</v>
      </c>
      <c r="I470" s="6"/>
      <c r="J470" s="6"/>
      <c r="K470" s="51"/>
    </row>
    <row r="471" spans="1:13" x14ac:dyDescent="0.2">
      <c r="A471" s="1">
        <v>462</v>
      </c>
      <c r="B471" s="1" t="s">
        <v>67</v>
      </c>
      <c r="C471" s="15">
        <v>4953</v>
      </c>
      <c r="D471" s="16">
        <v>6000</v>
      </c>
      <c r="E471" s="1"/>
      <c r="F471" s="17">
        <v>62.03</v>
      </c>
      <c r="G471" s="16">
        <v>6000</v>
      </c>
      <c r="H471" s="5">
        <f t="shared" si="25"/>
        <v>0</v>
      </c>
      <c r="I471" s="6"/>
      <c r="J471" s="6"/>
      <c r="K471" s="51"/>
    </row>
    <row r="472" spans="1:13" ht="15" x14ac:dyDescent="0.25">
      <c r="A472" s="1">
        <v>463</v>
      </c>
      <c r="B472" s="1" t="s">
        <v>67</v>
      </c>
      <c r="C472" s="15">
        <v>9242</v>
      </c>
      <c r="D472" s="16">
        <v>20000</v>
      </c>
      <c r="E472" s="1"/>
      <c r="F472" s="17">
        <v>206.81</v>
      </c>
      <c r="G472" s="16">
        <v>20000</v>
      </c>
      <c r="H472" s="5">
        <f t="shared" si="25"/>
        <v>0</v>
      </c>
      <c r="I472" s="6"/>
      <c r="J472" s="6"/>
      <c r="K472" s="33">
        <f>2052202-2046861</f>
        <v>5341</v>
      </c>
      <c r="L472" s="33"/>
      <c r="M472" s="33"/>
    </row>
    <row r="473" spans="1:13" x14ac:dyDescent="0.2">
      <c r="A473" s="1">
        <v>464</v>
      </c>
      <c r="B473" s="1" t="s">
        <v>69</v>
      </c>
      <c r="C473" s="15">
        <v>7109</v>
      </c>
      <c r="D473" s="16">
        <v>3370</v>
      </c>
      <c r="E473" s="1"/>
      <c r="F473" s="17">
        <v>34.840000000000003</v>
      </c>
      <c r="G473" s="16">
        <v>3370</v>
      </c>
      <c r="H473" s="5">
        <f t="shared" si="25"/>
        <v>0</v>
      </c>
      <c r="I473" s="6"/>
      <c r="J473" s="6"/>
      <c r="K473" s="51"/>
    </row>
    <row r="474" spans="1:13" x14ac:dyDescent="0.2">
      <c r="A474" s="1">
        <v>465</v>
      </c>
      <c r="B474" s="1" t="s">
        <v>69</v>
      </c>
      <c r="C474" s="15">
        <v>5931</v>
      </c>
      <c r="D474" s="16">
        <v>26000</v>
      </c>
      <c r="E474" s="1"/>
      <c r="F474" s="17">
        <v>218.79</v>
      </c>
      <c r="G474" s="16">
        <v>26000</v>
      </c>
      <c r="H474" s="5">
        <f t="shared" si="25"/>
        <v>0</v>
      </c>
      <c r="I474" s="6"/>
      <c r="J474" s="6"/>
      <c r="K474" s="51"/>
    </row>
    <row r="475" spans="1:13" x14ac:dyDescent="0.2">
      <c r="A475" s="1">
        <v>466</v>
      </c>
      <c r="B475" s="1" t="s">
        <v>69</v>
      </c>
      <c r="C475" s="15">
        <v>941</v>
      </c>
      <c r="D475" s="16">
        <v>13000</v>
      </c>
      <c r="E475" s="1"/>
      <c r="F475" s="17">
        <v>134.59</v>
      </c>
      <c r="G475" s="16">
        <v>13000</v>
      </c>
      <c r="H475" s="5">
        <f t="shared" si="25"/>
        <v>0</v>
      </c>
      <c r="I475" s="6"/>
      <c r="J475" s="6"/>
      <c r="K475" s="51"/>
    </row>
    <row r="476" spans="1:13" x14ac:dyDescent="0.2">
      <c r="A476" s="1">
        <v>467</v>
      </c>
      <c r="B476" s="1" t="s">
        <v>69</v>
      </c>
      <c r="C476" s="15">
        <v>7029</v>
      </c>
      <c r="D476" s="16">
        <v>13000</v>
      </c>
      <c r="E476" s="1"/>
      <c r="F476" s="17">
        <v>134.59</v>
      </c>
      <c r="G476" s="16">
        <v>13000</v>
      </c>
      <c r="H476" s="5">
        <f t="shared" si="25"/>
        <v>0</v>
      </c>
      <c r="I476" s="6"/>
      <c r="J476" s="6"/>
      <c r="K476" s="51"/>
    </row>
    <row r="477" spans="1:13" x14ac:dyDescent="0.2">
      <c r="A477" s="1">
        <v>468</v>
      </c>
      <c r="B477" s="1" t="s">
        <v>69</v>
      </c>
      <c r="C477" s="15">
        <v>3058</v>
      </c>
      <c r="D477" s="16">
        <v>10000</v>
      </c>
      <c r="E477" s="1"/>
      <c r="F477" s="17">
        <v>103.38</v>
      </c>
      <c r="G477" s="16">
        <v>10000</v>
      </c>
      <c r="H477" s="5">
        <f t="shared" si="25"/>
        <v>0</v>
      </c>
      <c r="I477" s="6"/>
      <c r="J477" s="6"/>
      <c r="K477" s="51"/>
    </row>
    <row r="478" spans="1:13" x14ac:dyDescent="0.2">
      <c r="A478" s="1">
        <v>469</v>
      </c>
      <c r="B478" s="1" t="s">
        <v>69</v>
      </c>
      <c r="C478" s="15">
        <v>2453</v>
      </c>
      <c r="D478" s="16">
        <v>24000</v>
      </c>
      <c r="E478" s="1"/>
      <c r="F478" s="17">
        <v>248.11</v>
      </c>
      <c r="G478" s="16">
        <v>24000</v>
      </c>
      <c r="H478" s="5">
        <f t="shared" si="25"/>
        <v>0</v>
      </c>
      <c r="I478" s="6"/>
      <c r="J478" s="6"/>
      <c r="K478" s="51"/>
    </row>
    <row r="479" spans="1:13" x14ac:dyDescent="0.2">
      <c r="A479" s="1">
        <v>470</v>
      </c>
      <c r="B479" s="1" t="s">
        <v>69</v>
      </c>
      <c r="C479" s="15">
        <v>2227</v>
      </c>
      <c r="D479" s="16">
        <v>22000</v>
      </c>
      <c r="E479" s="1"/>
      <c r="F479" s="17">
        <v>227.44</v>
      </c>
      <c r="G479" s="16">
        <v>22000</v>
      </c>
      <c r="H479" s="5">
        <f t="shared" si="25"/>
        <v>0</v>
      </c>
      <c r="I479" s="6"/>
      <c r="J479" s="6"/>
      <c r="K479" s="51"/>
    </row>
    <row r="480" spans="1:13" x14ac:dyDescent="0.2">
      <c r="A480" s="1">
        <v>471</v>
      </c>
      <c r="B480" s="1" t="s">
        <v>69</v>
      </c>
      <c r="C480" s="15">
        <v>9189</v>
      </c>
      <c r="D480" s="16">
        <v>15000</v>
      </c>
      <c r="E480" s="1"/>
      <c r="F480" s="17">
        <v>155.07</v>
      </c>
      <c r="G480" s="16">
        <v>15000</v>
      </c>
      <c r="H480" s="5">
        <f t="shared" si="25"/>
        <v>0</v>
      </c>
      <c r="I480" s="6"/>
      <c r="J480" s="6"/>
      <c r="K480" s="51"/>
    </row>
    <row r="481" spans="1:16" x14ac:dyDescent="0.2">
      <c r="A481" s="1">
        <v>472</v>
      </c>
      <c r="B481" s="1" t="s">
        <v>69</v>
      </c>
      <c r="C481" s="32" t="s">
        <v>30</v>
      </c>
      <c r="D481" s="16">
        <v>5000</v>
      </c>
      <c r="E481" s="1"/>
      <c r="F481" s="17">
        <v>51.69</v>
      </c>
      <c r="G481" s="16">
        <v>5000</v>
      </c>
      <c r="H481" s="5">
        <f t="shared" si="25"/>
        <v>0</v>
      </c>
      <c r="I481" s="6"/>
      <c r="J481" s="6"/>
      <c r="K481" s="51"/>
    </row>
    <row r="482" spans="1:16" x14ac:dyDescent="0.2">
      <c r="A482" s="1">
        <v>473</v>
      </c>
      <c r="B482" s="1" t="s">
        <v>69</v>
      </c>
      <c r="C482" s="15">
        <v>6353</v>
      </c>
      <c r="D482" s="16">
        <v>22000</v>
      </c>
      <c r="E482" s="1"/>
      <c r="F482" s="17">
        <v>227.44</v>
      </c>
      <c r="G482" s="16">
        <v>22000</v>
      </c>
      <c r="H482" s="5">
        <f t="shared" si="25"/>
        <v>0</v>
      </c>
      <c r="I482" s="6"/>
      <c r="J482" s="6"/>
      <c r="K482" s="51"/>
    </row>
    <row r="483" spans="1:16" x14ac:dyDescent="0.2">
      <c r="A483" s="1">
        <v>474</v>
      </c>
      <c r="B483" s="1" t="s">
        <v>69</v>
      </c>
      <c r="C483" s="15">
        <v>3226</v>
      </c>
      <c r="D483" s="16">
        <v>20000</v>
      </c>
      <c r="E483" s="1"/>
      <c r="F483" s="17">
        <v>322.60000000000002</v>
      </c>
      <c r="G483" s="16">
        <v>20000</v>
      </c>
      <c r="H483" s="5">
        <f t="shared" si="25"/>
        <v>0</v>
      </c>
      <c r="I483" s="6"/>
      <c r="J483" s="6"/>
      <c r="K483" s="51"/>
    </row>
    <row r="484" spans="1:16" x14ac:dyDescent="0.2">
      <c r="A484" s="1">
        <v>475</v>
      </c>
      <c r="B484" s="1" t="s">
        <v>69</v>
      </c>
      <c r="C484" s="15">
        <v>3776</v>
      </c>
      <c r="D484" s="16">
        <v>10000</v>
      </c>
      <c r="E484" s="1"/>
      <c r="F484" s="17">
        <v>103.38</v>
      </c>
      <c r="G484" s="16">
        <v>10000</v>
      </c>
      <c r="H484" s="5">
        <f t="shared" si="25"/>
        <v>0</v>
      </c>
      <c r="I484" s="6"/>
      <c r="J484" s="6"/>
      <c r="K484" s="51"/>
    </row>
    <row r="485" spans="1:16" x14ac:dyDescent="0.2">
      <c r="A485" s="1">
        <v>476</v>
      </c>
      <c r="B485" s="1" t="s">
        <v>69</v>
      </c>
      <c r="C485" s="15">
        <v>8207</v>
      </c>
      <c r="D485" s="16">
        <v>30000</v>
      </c>
      <c r="E485" s="1"/>
      <c r="F485" s="17">
        <v>310.14999999999998</v>
      </c>
      <c r="G485" s="16">
        <v>30000</v>
      </c>
      <c r="H485" s="5">
        <f t="shared" si="25"/>
        <v>0</v>
      </c>
      <c r="I485" s="6"/>
      <c r="J485" s="6"/>
      <c r="K485" s="51"/>
    </row>
    <row r="486" spans="1:16" x14ac:dyDescent="0.2">
      <c r="A486" s="1">
        <v>477</v>
      </c>
      <c r="B486" s="1" t="s">
        <v>69</v>
      </c>
      <c r="C486" s="15">
        <v>9941</v>
      </c>
      <c r="D486" s="16">
        <v>15000</v>
      </c>
      <c r="E486" s="1"/>
      <c r="F486" s="17">
        <v>155.07</v>
      </c>
      <c r="G486" s="16">
        <v>15000</v>
      </c>
      <c r="H486" s="5">
        <f t="shared" si="25"/>
        <v>0</v>
      </c>
      <c r="I486" s="6"/>
      <c r="J486" s="6"/>
      <c r="K486" s="51"/>
    </row>
    <row r="487" spans="1:16" x14ac:dyDescent="0.2">
      <c r="A487" s="1">
        <v>478</v>
      </c>
      <c r="B487" s="1" t="s">
        <v>69</v>
      </c>
      <c r="C487" s="15">
        <v>9691</v>
      </c>
      <c r="D487" s="16">
        <v>15000</v>
      </c>
      <c r="E487" s="1"/>
      <c r="F487" s="17">
        <v>155.07</v>
      </c>
      <c r="G487" s="16">
        <v>15000</v>
      </c>
      <c r="H487" s="5">
        <f t="shared" si="25"/>
        <v>0</v>
      </c>
      <c r="I487" s="6"/>
      <c r="J487" s="6"/>
      <c r="K487" s="51"/>
    </row>
    <row r="488" spans="1:16" x14ac:dyDescent="0.2">
      <c r="A488" s="1">
        <v>479</v>
      </c>
      <c r="B488" s="1" t="s">
        <v>69</v>
      </c>
      <c r="C488" s="15">
        <v>991</v>
      </c>
      <c r="D488" s="16">
        <v>18000</v>
      </c>
      <c r="E488" s="1"/>
      <c r="F488" s="17">
        <v>243.98</v>
      </c>
      <c r="G488" s="16">
        <v>18000</v>
      </c>
      <c r="H488" s="5">
        <f t="shared" si="25"/>
        <v>0</v>
      </c>
      <c r="I488" s="6"/>
      <c r="J488" s="6"/>
      <c r="K488" s="51"/>
    </row>
    <row r="489" spans="1:16" x14ac:dyDescent="0.2">
      <c r="A489" s="1">
        <v>480</v>
      </c>
      <c r="B489" s="1" t="s">
        <v>69</v>
      </c>
      <c r="C489" s="15">
        <v>1593</v>
      </c>
      <c r="D489" s="16">
        <v>15000</v>
      </c>
      <c r="E489" s="1"/>
      <c r="F489" s="17">
        <v>155.07</v>
      </c>
      <c r="G489" s="16">
        <v>15000</v>
      </c>
      <c r="H489" s="5">
        <f t="shared" si="25"/>
        <v>0</v>
      </c>
      <c r="I489" s="6"/>
      <c r="J489" s="6"/>
      <c r="K489" s="51"/>
    </row>
    <row r="490" spans="1:16" x14ac:dyDescent="0.2">
      <c r="A490" s="1">
        <v>481</v>
      </c>
      <c r="B490" s="1" t="s">
        <v>69</v>
      </c>
      <c r="C490" s="15">
        <v>9476</v>
      </c>
      <c r="D490" s="16">
        <v>12000</v>
      </c>
      <c r="E490" s="1"/>
      <c r="F490" s="17">
        <v>124.06</v>
      </c>
      <c r="G490" s="16">
        <v>12000</v>
      </c>
      <c r="H490" s="5">
        <f t="shared" si="25"/>
        <v>0</v>
      </c>
      <c r="I490" s="6"/>
      <c r="J490" s="6"/>
      <c r="K490" s="51"/>
    </row>
    <row r="491" spans="1:16" x14ac:dyDescent="0.2">
      <c r="A491" s="1">
        <v>482</v>
      </c>
      <c r="B491" s="1" t="s">
        <v>69</v>
      </c>
      <c r="C491" s="15">
        <v>1352</v>
      </c>
      <c r="D491" s="16">
        <v>12000</v>
      </c>
      <c r="E491" s="1"/>
      <c r="F491" s="17">
        <v>124.06</v>
      </c>
      <c r="G491" s="16">
        <v>12000</v>
      </c>
      <c r="H491" s="5">
        <f t="shared" si="25"/>
        <v>0</v>
      </c>
      <c r="I491" s="6"/>
      <c r="J491" s="6"/>
      <c r="K491" s="51"/>
    </row>
    <row r="492" spans="1:16" x14ac:dyDescent="0.2">
      <c r="A492" s="1">
        <v>483</v>
      </c>
      <c r="B492" s="1" t="s">
        <v>69</v>
      </c>
      <c r="C492" s="15">
        <v>28</v>
      </c>
      <c r="D492" s="16">
        <v>15000</v>
      </c>
      <c r="E492" s="1"/>
      <c r="F492" s="17">
        <v>155.07</v>
      </c>
      <c r="G492" s="16">
        <v>15000</v>
      </c>
      <c r="H492" s="5">
        <f t="shared" si="25"/>
        <v>0</v>
      </c>
      <c r="I492" s="6"/>
      <c r="J492" s="6"/>
      <c r="K492" s="51"/>
    </row>
    <row r="493" spans="1:16" ht="15" x14ac:dyDescent="0.25">
      <c r="A493" s="1">
        <v>484</v>
      </c>
      <c r="B493" s="1" t="s">
        <v>69</v>
      </c>
      <c r="C493" s="15">
        <v>1708</v>
      </c>
      <c r="D493" s="16">
        <v>15000</v>
      </c>
      <c r="E493" s="1"/>
      <c r="F493" s="17">
        <v>155.07</v>
      </c>
      <c r="G493" s="16">
        <v>15000</v>
      </c>
      <c r="H493" s="5">
        <f t="shared" si="25"/>
        <v>0</v>
      </c>
      <c r="I493" s="6"/>
      <c r="J493" s="6"/>
      <c r="K493" s="33"/>
      <c r="L493" s="50"/>
      <c r="M493" s="50"/>
    </row>
    <row r="494" spans="1:16" ht="15" x14ac:dyDescent="0.25">
      <c r="A494" s="1">
        <v>485</v>
      </c>
      <c r="B494" s="1" t="s">
        <v>70</v>
      </c>
      <c r="C494" s="15">
        <v>2681</v>
      </c>
      <c r="D494" s="16">
        <v>14000</v>
      </c>
      <c r="E494" s="1"/>
      <c r="F494" s="17">
        <v>144.72999999999999</v>
      </c>
      <c r="G494" s="16">
        <v>14000</v>
      </c>
      <c r="H494" s="5">
        <f t="shared" si="25"/>
        <v>0</v>
      </c>
      <c r="I494" s="6"/>
      <c r="J494" s="6"/>
      <c r="K494" s="33"/>
      <c r="L494" s="50"/>
      <c r="M494" s="50"/>
      <c r="P494" s="38"/>
    </row>
    <row r="495" spans="1:16" ht="15" x14ac:dyDescent="0.25">
      <c r="A495" s="1">
        <v>486</v>
      </c>
      <c r="B495" s="1" t="s">
        <v>70</v>
      </c>
      <c r="C495" s="15">
        <v>5931</v>
      </c>
      <c r="D495" s="16">
        <v>26000</v>
      </c>
      <c r="E495" s="1"/>
      <c r="F495" s="17">
        <v>268.29000000000002</v>
      </c>
      <c r="G495" s="16">
        <v>26000</v>
      </c>
      <c r="H495" s="5">
        <f t="shared" si="25"/>
        <v>0</v>
      </c>
      <c r="I495" s="6"/>
      <c r="J495" s="6"/>
      <c r="K495" s="33"/>
      <c r="L495" s="50"/>
      <c r="M495" s="50"/>
      <c r="P495" s="38"/>
    </row>
    <row r="496" spans="1:16" ht="15" x14ac:dyDescent="0.25">
      <c r="A496" s="1">
        <v>487</v>
      </c>
      <c r="B496" s="1" t="s">
        <v>70</v>
      </c>
      <c r="C496" s="15">
        <v>5931</v>
      </c>
      <c r="D496" s="16">
        <v>6000</v>
      </c>
      <c r="E496" s="1"/>
      <c r="F496" s="17">
        <v>62.03</v>
      </c>
      <c r="G496" s="16">
        <v>6000</v>
      </c>
      <c r="H496" s="5">
        <f t="shared" si="25"/>
        <v>0</v>
      </c>
      <c r="I496" s="6"/>
      <c r="J496" s="6"/>
      <c r="K496" s="33"/>
      <c r="L496" s="50"/>
      <c r="M496" s="50"/>
      <c r="P496" s="38"/>
    </row>
    <row r="497" spans="1:16" ht="15" x14ac:dyDescent="0.25">
      <c r="A497" s="1">
        <v>488</v>
      </c>
      <c r="B497" s="1" t="s">
        <v>70</v>
      </c>
      <c r="C497" s="32" t="s">
        <v>61</v>
      </c>
      <c r="D497" s="16">
        <v>3500</v>
      </c>
      <c r="E497" s="1"/>
      <c r="F497" s="17">
        <v>36.159999999999997</v>
      </c>
      <c r="G497" s="16">
        <v>3500</v>
      </c>
      <c r="H497" s="5">
        <f t="shared" si="25"/>
        <v>0</v>
      </c>
      <c r="I497" s="6"/>
      <c r="J497" s="6"/>
      <c r="K497" s="33"/>
      <c r="L497" s="50"/>
      <c r="M497" s="50"/>
      <c r="P497" s="38"/>
    </row>
    <row r="498" spans="1:16" ht="15" x14ac:dyDescent="0.25">
      <c r="A498" s="1">
        <v>489</v>
      </c>
      <c r="B498" s="1" t="s">
        <v>70</v>
      </c>
      <c r="C498" s="15">
        <v>3361</v>
      </c>
      <c r="D498" s="16">
        <v>37000</v>
      </c>
      <c r="E498" s="1"/>
      <c r="F498" s="17">
        <v>382.51</v>
      </c>
      <c r="G498" s="16">
        <v>37000</v>
      </c>
      <c r="H498" s="5">
        <f t="shared" ref="H498:H604" si="26">D498-G498</f>
        <v>0</v>
      </c>
      <c r="I498" s="6"/>
      <c r="J498" s="6"/>
      <c r="K498" s="33"/>
      <c r="L498" s="50"/>
      <c r="M498" s="50"/>
      <c r="P498" s="38"/>
    </row>
    <row r="499" spans="1:16" ht="15" x14ac:dyDescent="0.25">
      <c r="A499" s="1">
        <v>490</v>
      </c>
      <c r="B499" s="1" t="s">
        <v>70</v>
      </c>
      <c r="C499" s="15">
        <v>4784</v>
      </c>
      <c r="D499" s="16">
        <v>25000</v>
      </c>
      <c r="E499" s="1"/>
      <c r="F499" s="17">
        <v>258.45</v>
      </c>
      <c r="G499" s="16">
        <v>25000</v>
      </c>
      <c r="H499" s="5">
        <f t="shared" si="26"/>
        <v>0</v>
      </c>
      <c r="I499" s="6"/>
      <c r="J499" s="6"/>
      <c r="K499" s="33"/>
      <c r="L499" s="50"/>
      <c r="M499" s="50"/>
      <c r="P499" s="38"/>
    </row>
    <row r="500" spans="1:16" x14ac:dyDescent="0.2">
      <c r="A500" s="1">
        <v>491</v>
      </c>
      <c r="B500" s="1" t="s">
        <v>71</v>
      </c>
      <c r="C500" s="35">
        <v>7109</v>
      </c>
      <c r="D500" s="36">
        <v>4223</v>
      </c>
      <c r="E500" s="36"/>
      <c r="F500" s="37">
        <v>43.66</v>
      </c>
      <c r="G500" s="36">
        <v>4223</v>
      </c>
      <c r="H500" s="5">
        <f t="shared" si="26"/>
        <v>0</v>
      </c>
      <c r="I500" s="52"/>
      <c r="J500" s="52"/>
      <c r="N500" s="39"/>
      <c r="O500" s="39"/>
      <c r="P500" s="39"/>
    </row>
    <row r="501" spans="1:16" x14ac:dyDescent="0.2">
      <c r="A501" s="1">
        <v>492</v>
      </c>
      <c r="B501" s="1" t="s">
        <v>71</v>
      </c>
      <c r="C501" s="35">
        <v>5924</v>
      </c>
      <c r="D501" s="36">
        <v>28000</v>
      </c>
      <c r="E501" s="36"/>
      <c r="F501" s="37">
        <v>261.54000000000002</v>
      </c>
      <c r="G501" s="36">
        <v>28000</v>
      </c>
      <c r="H501" s="5">
        <f t="shared" si="26"/>
        <v>0</v>
      </c>
      <c r="I501" s="52"/>
      <c r="J501" s="52"/>
      <c r="N501" s="39"/>
      <c r="O501" s="39"/>
      <c r="P501" s="39"/>
    </row>
    <row r="502" spans="1:16" x14ac:dyDescent="0.2">
      <c r="A502" s="1">
        <v>493</v>
      </c>
      <c r="B502" s="1" t="s">
        <v>71</v>
      </c>
      <c r="C502" s="35">
        <v>5924</v>
      </c>
      <c r="D502" s="36">
        <v>26000</v>
      </c>
      <c r="E502" s="36"/>
      <c r="F502" s="37">
        <v>268.77999999999997</v>
      </c>
      <c r="G502" s="36">
        <v>26000</v>
      </c>
      <c r="H502" s="5">
        <f t="shared" si="26"/>
        <v>0</v>
      </c>
      <c r="I502" s="52"/>
      <c r="J502" s="52"/>
      <c r="N502" s="39"/>
      <c r="O502" s="39"/>
      <c r="P502" s="39"/>
    </row>
    <row r="503" spans="1:16" x14ac:dyDescent="0.2">
      <c r="A503" s="1">
        <v>494</v>
      </c>
      <c r="B503" s="1" t="s">
        <v>71</v>
      </c>
      <c r="C503" s="35">
        <v>5924</v>
      </c>
      <c r="D503" s="36">
        <v>25000</v>
      </c>
      <c r="E503" s="36"/>
      <c r="F503" s="37">
        <v>238.45</v>
      </c>
      <c r="G503" s="36">
        <v>25000</v>
      </c>
      <c r="H503" s="5">
        <f t="shared" si="26"/>
        <v>0</v>
      </c>
      <c r="I503" s="52"/>
      <c r="J503" s="52"/>
      <c r="N503" s="39"/>
      <c r="O503" s="39"/>
      <c r="P503" s="39"/>
    </row>
    <row r="504" spans="1:16" ht="15" x14ac:dyDescent="0.25">
      <c r="A504" s="1">
        <v>495</v>
      </c>
      <c r="B504" s="1" t="s">
        <v>71</v>
      </c>
      <c r="C504" s="15">
        <v>3918</v>
      </c>
      <c r="D504" s="16">
        <v>30000</v>
      </c>
      <c r="E504" s="1"/>
      <c r="F504" s="17">
        <v>310.14</v>
      </c>
      <c r="G504" s="16">
        <v>30000</v>
      </c>
      <c r="H504" s="5">
        <f t="shared" si="26"/>
        <v>0</v>
      </c>
      <c r="I504" s="6"/>
      <c r="J504" s="6"/>
      <c r="K504" s="33"/>
      <c r="L504" s="50"/>
      <c r="M504" s="50"/>
      <c r="P504" s="38"/>
    </row>
    <row r="505" spans="1:16" ht="15" x14ac:dyDescent="0.25">
      <c r="A505" s="1">
        <v>496</v>
      </c>
      <c r="B505" s="1" t="s">
        <v>71</v>
      </c>
      <c r="C505" s="15">
        <v>4137</v>
      </c>
      <c r="D505" s="16">
        <v>17000</v>
      </c>
      <c r="E505" s="1"/>
      <c r="F505" s="17">
        <v>175.76</v>
      </c>
      <c r="G505" s="16">
        <v>17000</v>
      </c>
      <c r="H505" s="5">
        <f t="shared" si="26"/>
        <v>0</v>
      </c>
      <c r="I505" s="6"/>
      <c r="J505" s="6"/>
      <c r="K505" s="33"/>
      <c r="L505" s="50"/>
      <c r="M505" s="50"/>
      <c r="P505" s="38"/>
    </row>
    <row r="506" spans="1:16" ht="15" x14ac:dyDescent="0.25">
      <c r="A506" s="1">
        <v>497</v>
      </c>
      <c r="B506" s="1" t="s">
        <v>71</v>
      </c>
      <c r="C506" s="15">
        <v>2227</v>
      </c>
      <c r="D506" s="16">
        <v>20000</v>
      </c>
      <c r="E506" s="1"/>
      <c r="F506" s="17">
        <v>206.76</v>
      </c>
      <c r="G506" s="16">
        <v>20000</v>
      </c>
      <c r="H506" s="5">
        <f t="shared" si="26"/>
        <v>0</v>
      </c>
      <c r="I506" s="6"/>
      <c r="J506" s="6"/>
      <c r="K506" s="33"/>
      <c r="L506" s="50"/>
      <c r="M506" s="50"/>
      <c r="P506" s="38"/>
    </row>
    <row r="507" spans="1:16" ht="15" x14ac:dyDescent="0.25">
      <c r="A507" s="1">
        <v>498</v>
      </c>
      <c r="B507" s="1" t="s">
        <v>71</v>
      </c>
      <c r="C507" s="15">
        <v>253</v>
      </c>
      <c r="D507" s="16">
        <v>20000</v>
      </c>
      <c r="E507" s="1"/>
      <c r="F507" s="17">
        <v>206.76</v>
      </c>
      <c r="G507" s="16">
        <v>20000</v>
      </c>
      <c r="H507" s="5">
        <f t="shared" si="26"/>
        <v>0</v>
      </c>
      <c r="I507" s="6"/>
      <c r="J507" s="6"/>
      <c r="K507" s="33"/>
      <c r="L507" s="50"/>
      <c r="M507" s="50"/>
      <c r="P507" s="38"/>
    </row>
    <row r="508" spans="1:16" ht="15" x14ac:dyDescent="0.25">
      <c r="A508" s="1">
        <v>499</v>
      </c>
      <c r="B508" s="1" t="s">
        <v>71</v>
      </c>
      <c r="C508" s="15">
        <v>1593</v>
      </c>
      <c r="D508" s="16">
        <v>15000</v>
      </c>
      <c r="E508" s="1"/>
      <c r="F508" s="17">
        <v>155.07</v>
      </c>
      <c r="G508" s="16">
        <v>15000</v>
      </c>
      <c r="H508" s="5">
        <f t="shared" si="26"/>
        <v>0</v>
      </c>
      <c r="I508" s="6"/>
      <c r="J508" s="6"/>
      <c r="K508" s="33"/>
      <c r="L508" s="50"/>
      <c r="M508" s="50"/>
      <c r="P508" s="38"/>
    </row>
    <row r="509" spans="1:16" ht="15" x14ac:dyDescent="0.25">
      <c r="A509" s="1">
        <v>500</v>
      </c>
      <c r="B509" s="1" t="s">
        <v>71</v>
      </c>
      <c r="C509" s="15">
        <v>5925</v>
      </c>
      <c r="D509" s="16">
        <v>20000</v>
      </c>
      <c r="E509" s="1"/>
      <c r="F509" s="17">
        <v>206.76</v>
      </c>
      <c r="G509" s="16">
        <v>20000</v>
      </c>
      <c r="H509" s="5">
        <f t="shared" si="26"/>
        <v>0</v>
      </c>
      <c r="I509" s="6"/>
      <c r="J509" s="6"/>
      <c r="K509" s="33"/>
      <c r="L509" s="50"/>
      <c r="M509" s="50"/>
      <c r="P509" s="38"/>
    </row>
    <row r="510" spans="1:16" ht="15" x14ac:dyDescent="0.25">
      <c r="A510" s="1">
        <v>501</v>
      </c>
      <c r="B510" s="1" t="s">
        <v>71</v>
      </c>
      <c r="C510" s="15">
        <v>5819</v>
      </c>
      <c r="D510" s="16">
        <v>12000</v>
      </c>
      <c r="E510" s="1"/>
      <c r="F510" s="17">
        <v>124.06</v>
      </c>
      <c r="G510" s="16">
        <v>12000</v>
      </c>
      <c r="H510" s="5">
        <f t="shared" si="26"/>
        <v>0</v>
      </c>
      <c r="I510" s="6"/>
      <c r="J510" s="6"/>
      <c r="K510" s="33"/>
      <c r="L510" s="50"/>
      <c r="M510" s="50"/>
      <c r="P510" s="38"/>
    </row>
    <row r="511" spans="1:16" ht="15" x14ac:dyDescent="0.25">
      <c r="A511" s="1">
        <v>502</v>
      </c>
      <c r="B511" s="1" t="s">
        <v>71</v>
      </c>
      <c r="C511" s="15">
        <v>9941</v>
      </c>
      <c r="D511" s="16">
        <v>14000</v>
      </c>
      <c r="E511" s="1"/>
      <c r="F511" s="17">
        <v>144.75</v>
      </c>
      <c r="G511" s="16">
        <v>14000</v>
      </c>
      <c r="H511" s="5">
        <f t="shared" si="26"/>
        <v>0</v>
      </c>
      <c r="I511" s="6"/>
      <c r="J511" s="6"/>
      <c r="K511" s="33"/>
      <c r="L511" s="50"/>
      <c r="M511" s="50"/>
      <c r="P511" s="38"/>
    </row>
    <row r="512" spans="1:16" ht="15" x14ac:dyDescent="0.25">
      <c r="A512" s="1">
        <v>503</v>
      </c>
      <c r="B512" s="1" t="s">
        <v>71</v>
      </c>
      <c r="C512" s="15">
        <v>941</v>
      </c>
      <c r="D512" s="16">
        <v>14000</v>
      </c>
      <c r="E512" s="1"/>
      <c r="F512" s="17">
        <v>144.72999999999999</v>
      </c>
      <c r="G512" s="16">
        <v>14000</v>
      </c>
      <c r="H512" s="5">
        <f t="shared" si="26"/>
        <v>0</v>
      </c>
      <c r="I512" s="6"/>
      <c r="J512" s="6"/>
      <c r="K512" s="33"/>
      <c r="L512" s="50"/>
      <c r="M512" s="50"/>
      <c r="P512" s="38"/>
    </row>
    <row r="513" spans="1:16" ht="15" x14ac:dyDescent="0.25">
      <c r="A513" s="1">
        <v>504</v>
      </c>
      <c r="B513" s="1" t="s">
        <v>72</v>
      </c>
      <c r="C513" s="15">
        <v>1258</v>
      </c>
      <c r="D513" s="16">
        <v>14000</v>
      </c>
      <c r="E513" s="1"/>
      <c r="F513" s="17">
        <v>144.72999999999999</v>
      </c>
      <c r="G513" s="16">
        <v>14000</v>
      </c>
      <c r="H513" s="5">
        <f t="shared" si="26"/>
        <v>0</v>
      </c>
      <c r="I513" s="6"/>
      <c r="J513" s="6"/>
      <c r="K513" s="33"/>
      <c r="L513" s="50"/>
      <c r="M513" s="50"/>
      <c r="P513" s="38"/>
    </row>
    <row r="514" spans="1:16" ht="15" x14ac:dyDescent="0.25">
      <c r="A514" s="1">
        <v>505</v>
      </c>
      <c r="B514" s="1" t="s">
        <v>72</v>
      </c>
      <c r="C514" s="32">
        <v>2681</v>
      </c>
      <c r="D514" s="16">
        <v>14000</v>
      </c>
      <c r="E514" s="1"/>
      <c r="F514" s="17">
        <v>144.72999999999999</v>
      </c>
      <c r="G514" s="16">
        <v>14000</v>
      </c>
      <c r="H514" s="5">
        <f t="shared" si="26"/>
        <v>0</v>
      </c>
      <c r="I514" s="6"/>
      <c r="J514" s="6"/>
      <c r="K514" s="33"/>
      <c r="L514" s="50"/>
      <c r="M514" s="50"/>
      <c r="P514" s="38"/>
    </row>
    <row r="515" spans="1:16" ht="15" x14ac:dyDescent="0.25">
      <c r="A515" s="1">
        <v>506</v>
      </c>
      <c r="B515" s="1" t="s">
        <v>72</v>
      </c>
      <c r="C515" s="32" t="s">
        <v>73</v>
      </c>
      <c r="D515" s="16">
        <v>5000</v>
      </c>
      <c r="E515" s="1"/>
      <c r="F515" s="17">
        <v>51.69</v>
      </c>
      <c r="G515" s="16">
        <v>5000</v>
      </c>
      <c r="H515" s="5">
        <f t="shared" si="26"/>
        <v>0</v>
      </c>
      <c r="I515" s="6"/>
      <c r="J515" s="6"/>
      <c r="K515" s="33"/>
      <c r="L515" s="50"/>
      <c r="M515" s="50"/>
      <c r="P515" s="38"/>
    </row>
    <row r="516" spans="1:16" ht="15" x14ac:dyDescent="0.25">
      <c r="A516" s="1">
        <v>507</v>
      </c>
      <c r="B516" s="1" t="s">
        <v>72</v>
      </c>
      <c r="C516" s="32">
        <v>6999</v>
      </c>
      <c r="D516" s="16">
        <v>18000</v>
      </c>
      <c r="E516" s="1"/>
      <c r="F516" s="17">
        <v>186.11</v>
      </c>
      <c r="G516" s="16">
        <v>18000</v>
      </c>
      <c r="H516" s="5">
        <f t="shared" si="26"/>
        <v>0</v>
      </c>
      <c r="I516" s="6"/>
      <c r="J516" s="6"/>
      <c r="K516" s="33"/>
      <c r="L516" s="50"/>
      <c r="M516" s="50"/>
      <c r="P516" s="38"/>
    </row>
    <row r="517" spans="1:16" ht="15" x14ac:dyDescent="0.25">
      <c r="A517" s="1">
        <v>508</v>
      </c>
      <c r="B517" s="1" t="s">
        <v>72</v>
      </c>
      <c r="C517" s="32" t="s">
        <v>66</v>
      </c>
      <c r="D517" s="16">
        <v>400</v>
      </c>
      <c r="E517" s="1"/>
      <c r="F517" s="17">
        <v>4.13</v>
      </c>
      <c r="G517" s="16">
        <v>400</v>
      </c>
      <c r="H517" s="5">
        <f t="shared" si="26"/>
        <v>0</v>
      </c>
      <c r="I517" s="6"/>
      <c r="J517" s="6"/>
      <c r="K517" s="33"/>
      <c r="L517" s="50"/>
      <c r="M517" s="50"/>
      <c r="P517" s="38"/>
    </row>
    <row r="518" spans="1:16" ht="15" x14ac:dyDescent="0.25">
      <c r="A518" s="1">
        <v>509</v>
      </c>
      <c r="B518" s="1" t="s">
        <v>72</v>
      </c>
      <c r="C518" s="15">
        <v>1352</v>
      </c>
      <c r="D518" s="16">
        <v>13000</v>
      </c>
      <c r="E518" s="1"/>
      <c r="F518" s="17">
        <v>134.38999999999999</v>
      </c>
      <c r="G518" s="16">
        <v>13000</v>
      </c>
      <c r="H518" s="5">
        <f t="shared" si="26"/>
        <v>0</v>
      </c>
      <c r="I518" s="6"/>
      <c r="J518" s="6"/>
      <c r="K518" s="33"/>
      <c r="L518" s="50"/>
      <c r="M518" s="50"/>
      <c r="P518" s="38"/>
    </row>
    <row r="519" spans="1:16" ht="15" x14ac:dyDescent="0.25">
      <c r="A519" s="1">
        <v>510</v>
      </c>
      <c r="B519" s="1" t="s">
        <v>72</v>
      </c>
      <c r="C519" s="15">
        <v>6967</v>
      </c>
      <c r="D519" s="16">
        <v>18000</v>
      </c>
      <c r="E519" s="1"/>
      <c r="F519" s="17">
        <v>186.08</v>
      </c>
      <c r="G519" s="16">
        <v>18000</v>
      </c>
      <c r="H519" s="5">
        <f t="shared" si="26"/>
        <v>0</v>
      </c>
      <c r="I519" s="6"/>
      <c r="J519" s="6"/>
      <c r="K519" s="33"/>
      <c r="L519" s="50"/>
      <c r="M519" s="50"/>
      <c r="P519" s="38"/>
    </row>
    <row r="520" spans="1:16" ht="15" x14ac:dyDescent="0.25">
      <c r="A520" s="1">
        <v>511</v>
      </c>
      <c r="B520" s="1" t="s">
        <v>72</v>
      </c>
      <c r="C520" s="15">
        <v>9476</v>
      </c>
      <c r="D520" s="16">
        <v>13000</v>
      </c>
      <c r="E520" s="1"/>
      <c r="F520" s="17">
        <v>134.35</v>
      </c>
      <c r="G520" s="16">
        <v>13000</v>
      </c>
      <c r="H520" s="5">
        <f t="shared" si="26"/>
        <v>0</v>
      </c>
      <c r="I520" s="6"/>
      <c r="J520" s="6"/>
      <c r="K520" s="33"/>
      <c r="L520" s="50"/>
      <c r="M520" s="50"/>
      <c r="P520" s="38"/>
    </row>
    <row r="521" spans="1:16" ht="15" x14ac:dyDescent="0.25">
      <c r="A521" s="1">
        <v>512</v>
      </c>
      <c r="B521" s="1" t="s">
        <v>72</v>
      </c>
      <c r="C521" s="15">
        <v>2892</v>
      </c>
      <c r="D521" s="16">
        <v>30000</v>
      </c>
      <c r="E521" s="1"/>
      <c r="F521" s="17">
        <v>310.14</v>
      </c>
      <c r="G521" s="16">
        <v>30000</v>
      </c>
      <c r="H521" s="5">
        <f t="shared" si="26"/>
        <v>0</v>
      </c>
      <c r="I521" s="6"/>
      <c r="J521" s="6"/>
      <c r="K521" s="33"/>
      <c r="L521" s="50"/>
      <c r="M521" s="50"/>
      <c r="P521" s="40"/>
    </row>
    <row r="522" spans="1:16" ht="15" x14ac:dyDescent="0.25">
      <c r="A522" s="1">
        <v>513</v>
      </c>
      <c r="B522" s="1" t="s">
        <v>74</v>
      </c>
      <c r="C522" s="15">
        <v>8886</v>
      </c>
      <c r="D522" s="16">
        <v>20000</v>
      </c>
      <c r="E522" s="1"/>
      <c r="F522" s="17">
        <v>235.9</v>
      </c>
      <c r="G522" s="16">
        <v>20000</v>
      </c>
      <c r="H522" s="5">
        <f t="shared" si="26"/>
        <v>0</v>
      </c>
      <c r="I522" s="6"/>
      <c r="J522" s="6"/>
      <c r="K522" s="33"/>
      <c r="L522" s="50"/>
      <c r="M522" s="50"/>
      <c r="P522" s="40"/>
    </row>
    <row r="523" spans="1:16" ht="15" x14ac:dyDescent="0.25">
      <c r="A523" s="1">
        <v>514</v>
      </c>
      <c r="B523" s="1" t="s">
        <v>74</v>
      </c>
      <c r="C523" s="15">
        <v>2808</v>
      </c>
      <c r="D523" s="16">
        <v>28000</v>
      </c>
      <c r="E523" s="1"/>
      <c r="F523" s="17">
        <v>299.91000000000003</v>
      </c>
      <c r="G523" s="16">
        <v>28000</v>
      </c>
      <c r="H523" s="5">
        <f t="shared" si="26"/>
        <v>0</v>
      </c>
      <c r="I523" s="6"/>
      <c r="J523" s="6"/>
      <c r="K523" s="33"/>
      <c r="L523" s="50"/>
      <c r="M523" s="50"/>
    </row>
    <row r="524" spans="1:16" ht="15" x14ac:dyDescent="0.25">
      <c r="A524" s="1">
        <v>515</v>
      </c>
      <c r="B524" s="1" t="s">
        <v>74</v>
      </c>
      <c r="C524" s="15">
        <v>7109</v>
      </c>
      <c r="D524" s="16">
        <v>4000</v>
      </c>
      <c r="E524" s="1"/>
      <c r="F524" s="17">
        <v>41.36</v>
      </c>
      <c r="G524" s="16">
        <v>4000</v>
      </c>
      <c r="H524" s="5">
        <f t="shared" si="26"/>
        <v>0</v>
      </c>
      <c r="I524" s="6"/>
      <c r="J524" s="6"/>
      <c r="K524" s="33"/>
      <c r="L524" s="50"/>
      <c r="M524" s="50"/>
    </row>
    <row r="525" spans="1:16" ht="15" x14ac:dyDescent="0.25">
      <c r="A525" s="1">
        <v>516</v>
      </c>
      <c r="B525" s="1" t="s">
        <v>74</v>
      </c>
      <c r="C525" s="32" t="s">
        <v>61</v>
      </c>
      <c r="D525" s="16">
        <v>4000</v>
      </c>
      <c r="E525" s="1"/>
      <c r="F525" s="17">
        <v>41.36</v>
      </c>
      <c r="G525" s="16">
        <v>4000</v>
      </c>
      <c r="H525" s="5">
        <f t="shared" si="26"/>
        <v>0</v>
      </c>
      <c r="I525" s="6"/>
      <c r="J525" s="6"/>
      <c r="K525" s="33"/>
      <c r="L525" s="50"/>
      <c r="M525" s="50"/>
    </row>
    <row r="526" spans="1:16" ht="15" x14ac:dyDescent="0.25">
      <c r="A526" s="1">
        <v>517</v>
      </c>
      <c r="B526" s="1" t="s">
        <v>74</v>
      </c>
      <c r="C526" s="15">
        <v>2227</v>
      </c>
      <c r="D526" s="16">
        <v>20000</v>
      </c>
      <c r="E526" s="1"/>
      <c r="F526" s="17">
        <v>206.76</v>
      </c>
      <c r="G526" s="16">
        <v>20000</v>
      </c>
      <c r="H526" s="5">
        <f t="shared" si="26"/>
        <v>0</v>
      </c>
      <c r="I526" s="6"/>
      <c r="J526" s="6"/>
      <c r="K526" s="33"/>
      <c r="L526" s="50"/>
      <c r="M526" s="50"/>
    </row>
    <row r="527" spans="1:16" ht="15" x14ac:dyDescent="0.25">
      <c r="A527" s="1">
        <v>518</v>
      </c>
      <c r="B527" s="1" t="s">
        <v>74</v>
      </c>
      <c r="C527" s="15">
        <v>7909</v>
      </c>
      <c r="D527" s="16">
        <v>10000</v>
      </c>
      <c r="E527" s="1"/>
      <c r="F527" s="17">
        <v>103.76</v>
      </c>
      <c r="G527" s="16">
        <v>10000</v>
      </c>
      <c r="H527" s="5">
        <f t="shared" si="26"/>
        <v>0</v>
      </c>
      <c r="I527" s="6"/>
      <c r="J527" s="6"/>
      <c r="K527" s="33"/>
      <c r="L527" s="50"/>
      <c r="M527" s="50"/>
    </row>
    <row r="528" spans="1:16" ht="15" x14ac:dyDescent="0.25">
      <c r="A528" s="1">
        <v>519</v>
      </c>
      <c r="B528" s="1" t="s">
        <v>74</v>
      </c>
      <c r="C528" s="15">
        <v>6353</v>
      </c>
      <c r="D528" s="16">
        <v>20000</v>
      </c>
      <c r="E528" s="1"/>
      <c r="F528" s="17">
        <v>206.76</v>
      </c>
      <c r="G528" s="16">
        <v>20000</v>
      </c>
      <c r="H528" s="5">
        <f t="shared" si="26"/>
        <v>0</v>
      </c>
      <c r="I528" s="6"/>
      <c r="J528" s="6"/>
      <c r="K528" s="33"/>
      <c r="L528" s="50"/>
      <c r="M528" s="50"/>
    </row>
    <row r="529" spans="1:13" ht="15" x14ac:dyDescent="0.25">
      <c r="A529" s="1">
        <v>520</v>
      </c>
      <c r="B529" s="1" t="s">
        <v>74</v>
      </c>
      <c r="C529" s="15">
        <v>253</v>
      </c>
      <c r="D529" s="16">
        <v>20000</v>
      </c>
      <c r="E529" s="1"/>
      <c r="F529" s="17">
        <v>206.76</v>
      </c>
      <c r="G529" s="16">
        <v>20000</v>
      </c>
      <c r="H529" s="5">
        <f t="shared" si="26"/>
        <v>0</v>
      </c>
      <c r="I529" s="6"/>
      <c r="J529" s="6"/>
      <c r="K529" s="33"/>
      <c r="L529" s="50"/>
      <c r="M529" s="50"/>
    </row>
    <row r="530" spans="1:13" ht="15" x14ac:dyDescent="0.25">
      <c r="A530" s="1">
        <v>521</v>
      </c>
      <c r="B530" s="1" t="s">
        <v>74</v>
      </c>
      <c r="C530" s="15">
        <v>651</v>
      </c>
      <c r="D530" s="16">
        <v>3000</v>
      </c>
      <c r="E530" s="1"/>
      <c r="F530" s="17">
        <v>31.09</v>
      </c>
      <c r="G530" s="16">
        <v>3000</v>
      </c>
      <c r="H530" s="5">
        <f t="shared" si="26"/>
        <v>0</v>
      </c>
      <c r="I530" s="6"/>
      <c r="J530" s="6"/>
      <c r="K530" s="33"/>
      <c r="L530" s="50"/>
      <c r="M530" s="50"/>
    </row>
    <row r="531" spans="1:13" ht="15" x14ac:dyDescent="0.25">
      <c r="A531" s="1">
        <v>522</v>
      </c>
      <c r="B531" s="1" t="s">
        <v>74</v>
      </c>
      <c r="C531" s="15">
        <v>4926</v>
      </c>
      <c r="D531" s="16">
        <v>25000</v>
      </c>
      <c r="E531" s="1"/>
      <c r="F531" s="17">
        <v>182.26</v>
      </c>
      <c r="G531" s="16">
        <v>25000</v>
      </c>
      <c r="H531" s="5">
        <f t="shared" si="26"/>
        <v>0</v>
      </c>
      <c r="I531" s="6"/>
      <c r="J531" s="6"/>
      <c r="K531" s="33"/>
      <c r="L531" s="50"/>
      <c r="M531" s="50"/>
    </row>
    <row r="532" spans="1:13" ht="15" x14ac:dyDescent="0.25">
      <c r="A532" s="1">
        <v>523</v>
      </c>
      <c r="B532" s="1" t="s">
        <v>74</v>
      </c>
      <c r="C532" s="15">
        <v>4447</v>
      </c>
      <c r="D532" s="16">
        <v>25000</v>
      </c>
      <c r="E532" s="1"/>
      <c r="F532" s="17">
        <v>258.45</v>
      </c>
      <c r="G532" s="16">
        <v>25000</v>
      </c>
      <c r="H532" s="5">
        <f t="shared" si="26"/>
        <v>0</v>
      </c>
      <c r="I532" s="6"/>
      <c r="J532" s="6"/>
      <c r="K532" s="33"/>
      <c r="L532" s="50"/>
      <c r="M532" s="50"/>
    </row>
    <row r="533" spans="1:13" ht="15" x14ac:dyDescent="0.25">
      <c r="A533" s="1">
        <v>524</v>
      </c>
      <c r="B533" s="1" t="s">
        <v>74</v>
      </c>
      <c r="C533" s="15">
        <v>2804</v>
      </c>
      <c r="D533" s="16">
        <v>25000</v>
      </c>
      <c r="E533" s="1"/>
      <c r="F533" s="17">
        <v>258.45</v>
      </c>
      <c r="G533" s="16">
        <v>25000</v>
      </c>
      <c r="H533" s="5">
        <f t="shared" si="26"/>
        <v>0</v>
      </c>
      <c r="I533" s="6"/>
      <c r="J533" s="6"/>
      <c r="K533" s="33"/>
      <c r="L533" s="50"/>
      <c r="M533" s="50"/>
    </row>
    <row r="534" spans="1:13" ht="15" x14ac:dyDescent="0.25">
      <c r="A534" s="1">
        <v>525</v>
      </c>
      <c r="B534" s="1" t="s">
        <v>74</v>
      </c>
      <c r="C534" s="15">
        <v>9026</v>
      </c>
      <c r="D534" s="16">
        <v>15000</v>
      </c>
      <c r="E534" s="1"/>
      <c r="F534" s="17">
        <v>155.07</v>
      </c>
      <c r="G534" s="16">
        <v>15000</v>
      </c>
      <c r="H534" s="5">
        <f t="shared" si="26"/>
        <v>0</v>
      </c>
      <c r="I534" s="6"/>
      <c r="J534" s="6"/>
      <c r="K534" s="33"/>
      <c r="L534" s="50"/>
      <c r="M534" s="50"/>
    </row>
    <row r="535" spans="1:13" ht="15" x14ac:dyDescent="0.25">
      <c r="A535" s="1">
        <v>526</v>
      </c>
      <c r="B535" s="1" t="s">
        <v>74</v>
      </c>
      <c r="C535" s="15">
        <v>4092</v>
      </c>
      <c r="D535" s="16">
        <v>14000</v>
      </c>
      <c r="E535" s="1"/>
      <c r="F535" s="17">
        <v>144.72999999999999</v>
      </c>
      <c r="G535" s="16">
        <v>14000</v>
      </c>
      <c r="H535" s="5">
        <f t="shared" si="26"/>
        <v>0</v>
      </c>
      <c r="I535" s="6"/>
      <c r="J535" s="6"/>
      <c r="K535" s="33"/>
      <c r="L535" s="50"/>
      <c r="M535" s="50"/>
    </row>
    <row r="536" spans="1:13" ht="15" x14ac:dyDescent="0.25">
      <c r="A536" s="1">
        <v>527</v>
      </c>
      <c r="B536" s="1" t="s">
        <v>74</v>
      </c>
      <c r="C536" s="15">
        <v>941</v>
      </c>
      <c r="D536" s="16">
        <v>13000</v>
      </c>
      <c r="E536" s="1"/>
      <c r="F536" s="17">
        <v>134.38999999999999</v>
      </c>
      <c r="G536" s="16">
        <v>13000</v>
      </c>
      <c r="H536" s="5">
        <f t="shared" si="26"/>
        <v>0</v>
      </c>
      <c r="I536" s="6"/>
      <c r="J536" s="6"/>
      <c r="K536" s="33"/>
      <c r="L536" s="50"/>
      <c r="M536" s="50"/>
    </row>
    <row r="537" spans="1:13" ht="15" x14ac:dyDescent="0.25">
      <c r="A537" s="1">
        <v>528</v>
      </c>
      <c r="B537" s="1" t="s">
        <v>74</v>
      </c>
      <c r="C537" s="15">
        <v>2681</v>
      </c>
      <c r="D537" s="16">
        <v>14000</v>
      </c>
      <c r="E537" s="1"/>
      <c r="F537" s="17">
        <v>144.72999999999999</v>
      </c>
      <c r="G537" s="16">
        <v>14000</v>
      </c>
      <c r="H537" s="5">
        <f t="shared" si="26"/>
        <v>0</v>
      </c>
      <c r="I537" s="6"/>
      <c r="J537" s="6"/>
      <c r="K537" s="33"/>
      <c r="L537" s="50"/>
      <c r="M537" s="50"/>
    </row>
    <row r="538" spans="1:13" ht="15" x14ac:dyDescent="0.25">
      <c r="A538" s="1">
        <v>529</v>
      </c>
      <c r="B538" s="1" t="s">
        <v>76</v>
      </c>
      <c r="C538" s="15">
        <v>1220</v>
      </c>
      <c r="D538" s="16">
        <v>15000</v>
      </c>
      <c r="E538" s="1"/>
      <c r="F538" s="17">
        <v>155.07</v>
      </c>
      <c r="G538" s="16">
        <v>15000</v>
      </c>
      <c r="H538" s="5">
        <f t="shared" si="26"/>
        <v>0</v>
      </c>
      <c r="I538" s="6"/>
      <c r="J538" s="6"/>
      <c r="K538" s="33"/>
      <c r="L538" s="50"/>
      <c r="M538" s="50"/>
    </row>
    <row r="539" spans="1:13" ht="15" x14ac:dyDescent="0.25">
      <c r="A539" s="1">
        <v>530</v>
      </c>
      <c r="B539" s="1" t="s">
        <v>76</v>
      </c>
      <c r="C539" s="15">
        <v>5931</v>
      </c>
      <c r="D539" s="16">
        <v>18000</v>
      </c>
      <c r="E539" s="1"/>
      <c r="F539" s="17">
        <v>186.08</v>
      </c>
      <c r="G539" s="16">
        <v>18000</v>
      </c>
      <c r="H539" s="5">
        <f t="shared" si="26"/>
        <v>0</v>
      </c>
      <c r="I539" s="6"/>
      <c r="J539" s="6"/>
      <c r="K539" s="33"/>
      <c r="L539" s="50"/>
      <c r="M539" s="50"/>
    </row>
    <row r="540" spans="1:13" ht="15" x14ac:dyDescent="0.25">
      <c r="A540" s="1">
        <v>531</v>
      </c>
      <c r="B540" s="1" t="s">
        <v>76</v>
      </c>
      <c r="C540" s="15">
        <v>7020</v>
      </c>
      <c r="D540" s="16">
        <v>25000</v>
      </c>
      <c r="E540" s="1"/>
      <c r="F540" s="17">
        <v>258.45</v>
      </c>
      <c r="G540" s="16">
        <v>25000</v>
      </c>
      <c r="H540" s="5">
        <f t="shared" si="26"/>
        <v>0</v>
      </c>
      <c r="I540" s="6"/>
      <c r="J540" s="6"/>
      <c r="K540" s="33"/>
      <c r="L540" s="50"/>
      <c r="M540" s="50"/>
    </row>
    <row r="541" spans="1:13" ht="15" x14ac:dyDescent="0.25">
      <c r="A541" s="1">
        <v>532</v>
      </c>
      <c r="B541" s="1" t="s">
        <v>76</v>
      </c>
      <c r="C541" s="32" t="s">
        <v>61</v>
      </c>
      <c r="D541" s="16">
        <v>3500</v>
      </c>
      <c r="E541" s="1"/>
      <c r="F541" s="17">
        <v>36.18</v>
      </c>
      <c r="G541" s="16">
        <v>3500</v>
      </c>
      <c r="H541" s="5">
        <f t="shared" si="26"/>
        <v>0</v>
      </c>
      <c r="I541" s="6"/>
      <c r="J541" s="6"/>
      <c r="K541" s="33"/>
      <c r="L541" s="50"/>
      <c r="M541" s="50"/>
    </row>
    <row r="542" spans="1:13" ht="15" x14ac:dyDescent="0.25">
      <c r="A542" s="1">
        <v>533</v>
      </c>
      <c r="B542" s="1" t="s">
        <v>76</v>
      </c>
      <c r="C542" s="15">
        <v>7369</v>
      </c>
      <c r="D542" s="16">
        <v>20000</v>
      </c>
      <c r="E542" s="1"/>
      <c r="F542" s="17">
        <v>206.76</v>
      </c>
      <c r="G542" s="16">
        <v>20000</v>
      </c>
      <c r="H542" s="5">
        <f t="shared" si="26"/>
        <v>0</v>
      </c>
      <c r="I542" s="6"/>
      <c r="J542" s="6"/>
      <c r="K542" s="33"/>
      <c r="L542" s="50"/>
      <c r="M542" s="50"/>
    </row>
    <row r="543" spans="1:13" ht="15" x14ac:dyDescent="0.25">
      <c r="A543" s="1">
        <v>534</v>
      </c>
      <c r="B543" s="1" t="s">
        <v>76</v>
      </c>
      <c r="C543" s="15">
        <v>4313</v>
      </c>
      <c r="D543" s="16">
        <v>7000</v>
      </c>
      <c r="E543" s="1"/>
      <c r="F543" s="17">
        <v>72.37</v>
      </c>
      <c r="G543" s="16">
        <v>7000</v>
      </c>
      <c r="H543" s="5">
        <f t="shared" si="26"/>
        <v>0</v>
      </c>
      <c r="I543" s="6"/>
      <c r="J543" s="6"/>
      <c r="K543" s="33"/>
      <c r="L543" s="50"/>
      <c r="M543" s="50"/>
    </row>
    <row r="544" spans="1:13" x14ac:dyDescent="0.2">
      <c r="A544" s="1">
        <v>535</v>
      </c>
      <c r="B544" s="1" t="s">
        <v>76</v>
      </c>
      <c r="C544" s="15">
        <v>4125</v>
      </c>
      <c r="D544" s="16">
        <v>8000</v>
      </c>
      <c r="E544" s="1"/>
      <c r="F544" s="17">
        <v>82.7</v>
      </c>
      <c r="G544" s="16">
        <v>8000</v>
      </c>
      <c r="H544" s="5">
        <f t="shared" si="26"/>
        <v>0</v>
      </c>
      <c r="I544" s="6"/>
      <c r="J544" s="6"/>
      <c r="K544" s="51"/>
    </row>
    <row r="545" spans="1:11" x14ac:dyDescent="0.2">
      <c r="A545" s="1">
        <v>536</v>
      </c>
      <c r="B545" s="1" t="s">
        <v>77</v>
      </c>
      <c r="C545" s="15">
        <v>5943</v>
      </c>
      <c r="D545" s="16">
        <v>35000</v>
      </c>
      <c r="E545" s="1"/>
      <c r="F545" s="17">
        <v>349.29</v>
      </c>
      <c r="G545" s="16">
        <v>35000</v>
      </c>
      <c r="H545" s="5">
        <f t="shared" si="26"/>
        <v>0</v>
      </c>
      <c r="I545" s="6"/>
      <c r="J545" s="6"/>
      <c r="K545" s="51"/>
    </row>
    <row r="546" spans="1:11" x14ac:dyDescent="0.2">
      <c r="A546" s="1">
        <v>537</v>
      </c>
      <c r="B546" s="1" t="s">
        <v>77</v>
      </c>
      <c r="C546" s="15">
        <v>3222</v>
      </c>
      <c r="D546" s="16">
        <v>34000</v>
      </c>
      <c r="E546" s="1"/>
      <c r="F546" s="17">
        <v>349.73</v>
      </c>
      <c r="G546" s="16">
        <v>34000</v>
      </c>
      <c r="H546" s="5">
        <f t="shared" si="26"/>
        <v>0</v>
      </c>
      <c r="I546" s="6"/>
      <c r="J546" s="6"/>
      <c r="K546" s="51"/>
    </row>
    <row r="547" spans="1:11" x14ac:dyDescent="0.2">
      <c r="A547" s="1">
        <v>538</v>
      </c>
      <c r="B547" s="1" t="s">
        <v>77</v>
      </c>
      <c r="C547" s="15">
        <v>4017</v>
      </c>
      <c r="D547" s="16">
        <v>15000</v>
      </c>
      <c r="E547" s="1"/>
      <c r="F547" s="17">
        <v>155.07</v>
      </c>
      <c r="G547" s="16">
        <v>15000</v>
      </c>
      <c r="H547" s="5">
        <f t="shared" si="26"/>
        <v>0</v>
      </c>
      <c r="I547" s="6"/>
      <c r="J547" s="6"/>
      <c r="K547" s="51"/>
    </row>
    <row r="548" spans="1:11" x14ac:dyDescent="0.2">
      <c r="A548" s="1">
        <v>539</v>
      </c>
      <c r="B548" s="1" t="s">
        <v>77</v>
      </c>
      <c r="C548" s="15">
        <v>4953</v>
      </c>
      <c r="D548" s="16">
        <v>6000</v>
      </c>
      <c r="E548" s="1"/>
      <c r="F548" s="17">
        <v>62.02</v>
      </c>
      <c r="G548" s="16">
        <v>6000</v>
      </c>
      <c r="H548" s="5">
        <f t="shared" si="26"/>
        <v>0</v>
      </c>
      <c r="I548" s="6"/>
      <c r="J548" s="6"/>
      <c r="K548" s="51"/>
    </row>
    <row r="549" spans="1:11" x14ac:dyDescent="0.2">
      <c r="A549" s="1">
        <v>540</v>
      </c>
      <c r="B549" s="1" t="s">
        <v>77</v>
      </c>
      <c r="C549" s="15">
        <v>650</v>
      </c>
      <c r="D549" s="16">
        <v>18000</v>
      </c>
      <c r="E549" s="1"/>
      <c r="F549" s="17">
        <v>186.08</v>
      </c>
      <c r="G549" s="16">
        <v>18000</v>
      </c>
      <c r="H549" s="5">
        <f t="shared" si="26"/>
        <v>0</v>
      </c>
      <c r="I549" s="6"/>
      <c r="J549" s="6"/>
      <c r="K549" s="51"/>
    </row>
    <row r="550" spans="1:11" x14ac:dyDescent="0.2">
      <c r="A550" s="1">
        <v>541</v>
      </c>
      <c r="B550" s="1" t="s">
        <v>77</v>
      </c>
      <c r="C550" s="15">
        <v>3066</v>
      </c>
      <c r="D550" s="16">
        <v>25000</v>
      </c>
      <c r="E550" s="1"/>
      <c r="F550" s="17">
        <v>258.45</v>
      </c>
      <c r="G550" s="16">
        <v>25000</v>
      </c>
      <c r="H550" s="5">
        <f t="shared" si="26"/>
        <v>0</v>
      </c>
      <c r="I550" s="6"/>
      <c r="J550" s="6"/>
      <c r="K550" s="51"/>
    </row>
    <row r="551" spans="1:11" x14ac:dyDescent="0.2">
      <c r="A551" s="1">
        <v>542</v>
      </c>
      <c r="B551" s="1" t="s">
        <v>77</v>
      </c>
      <c r="C551" s="15">
        <v>3131</v>
      </c>
      <c r="D551" s="16">
        <v>12000</v>
      </c>
      <c r="E551" s="1"/>
      <c r="F551" s="17">
        <v>124.06</v>
      </c>
      <c r="G551" s="16">
        <v>12000</v>
      </c>
      <c r="H551" s="5">
        <f t="shared" si="26"/>
        <v>0</v>
      </c>
      <c r="I551" s="6"/>
      <c r="J551" s="6"/>
      <c r="K551" s="51"/>
    </row>
    <row r="552" spans="1:11" x14ac:dyDescent="0.2">
      <c r="A552" s="1">
        <v>543</v>
      </c>
      <c r="B552" s="1" t="s">
        <v>77</v>
      </c>
      <c r="C552" s="32">
        <v>4787</v>
      </c>
      <c r="D552" s="1">
        <v>25000</v>
      </c>
      <c r="E552" s="1"/>
      <c r="F552" s="1">
        <v>258.45</v>
      </c>
      <c r="G552" s="1">
        <v>25000</v>
      </c>
      <c r="H552" s="5">
        <f t="shared" si="26"/>
        <v>0</v>
      </c>
      <c r="I552" s="6"/>
      <c r="J552" s="6"/>
      <c r="K552" s="51"/>
    </row>
    <row r="553" spans="1:11" x14ac:dyDescent="0.2">
      <c r="A553" s="1">
        <v>544</v>
      </c>
      <c r="B553" s="1" t="s">
        <v>78</v>
      </c>
      <c r="C553" s="32" t="s">
        <v>66</v>
      </c>
      <c r="D553" s="1">
        <v>400</v>
      </c>
      <c r="E553" s="1"/>
      <c r="F553" s="1">
        <v>3.8</v>
      </c>
      <c r="G553" s="1">
        <v>400</v>
      </c>
      <c r="H553" s="5">
        <f t="shared" si="26"/>
        <v>0</v>
      </c>
      <c r="I553" s="6"/>
      <c r="J553" s="43"/>
      <c r="K553" s="51"/>
    </row>
    <row r="554" spans="1:11" x14ac:dyDescent="0.2">
      <c r="A554" s="1">
        <v>545</v>
      </c>
      <c r="B554" s="1" t="s">
        <v>78</v>
      </c>
      <c r="C554" s="32">
        <v>2227</v>
      </c>
      <c r="D554" s="1">
        <v>15000</v>
      </c>
      <c r="E554" s="1"/>
      <c r="F554" s="1">
        <v>155.07</v>
      </c>
      <c r="G554" s="1">
        <v>15000</v>
      </c>
      <c r="H554" s="5">
        <f t="shared" si="26"/>
        <v>0</v>
      </c>
      <c r="I554" s="6"/>
      <c r="J554" s="43"/>
      <c r="K554" s="51"/>
    </row>
    <row r="555" spans="1:11" x14ac:dyDescent="0.2">
      <c r="A555" s="1">
        <v>546</v>
      </c>
      <c r="B555" s="1" t="s">
        <v>78</v>
      </c>
      <c r="C555" s="32">
        <v>8657</v>
      </c>
      <c r="D555" s="1">
        <v>25000</v>
      </c>
      <c r="E555" s="1"/>
      <c r="F555" s="1">
        <v>258.45</v>
      </c>
      <c r="G555" s="1">
        <v>25000</v>
      </c>
      <c r="H555" s="5">
        <f t="shared" si="26"/>
        <v>0</v>
      </c>
      <c r="I555" s="6"/>
      <c r="J555" s="43"/>
      <c r="K555" s="51"/>
    </row>
    <row r="556" spans="1:11" x14ac:dyDescent="0.2">
      <c r="A556" s="1">
        <v>547</v>
      </c>
      <c r="B556" s="1" t="s">
        <v>78</v>
      </c>
      <c r="C556" s="32">
        <v>4156</v>
      </c>
      <c r="D556" s="1">
        <v>30000</v>
      </c>
      <c r="E556" s="1"/>
      <c r="F556" s="1">
        <v>310.14</v>
      </c>
      <c r="G556" s="1">
        <v>30000</v>
      </c>
      <c r="H556" s="5">
        <f t="shared" si="26"/>
        <v>0</v>
      </c>
      <c r="I556" s="6"/>
      <c r="J556" s="43"/>
      <c r="K556" s="51"/>
    </row>
    <row r="557" spans="1:11" x14ac:dyDescent="0.2">
      <c r="A557" s="1">
        <v>548</v>
      </c>
      <c r="B557" s="1" t="s">
        <v>78</v>
      </c>
      <c r="C557" s="32">
        <v>2797</v>
      </c>
      <c r="D557" s="1">
        <v>14000</v>
      </c>
      <c r="E557" s="1"/>
      <c r="F557" s="1">
        <v>144.72999999999999</v>
      </c>
      <c r="G557" s="1">
        <v>14000</v>
      </c>
      <c r="H557" s="5">
        <f t="shared" si="26"/>
        <v>0</v>
      </c>
      <c r="I557" s="6"/>
      <c r="J557" s="43"/>
      <c r="K557" s="51"/>
    </row>
    <row r="558" spans="1:11" x14ac:dyDescent="0.2">
      <c r="A558" s="1">
        <v>549</v>
      </c>
      <c r="B558" s="1" t="s">
        <v>78</v>
      </c>
      <c r="C558" s="32">
        <v>6353</v>
      </c>
      <c r="D558" s="1">
        <v>20000</v>
      </c>
      <c r="E558" s="1"/>
      <c r="F558" s="1">
        <v>206.76</v>
      </c>
      <c r="G558" s="1">
        <v>20000</v>
      </c>
      <c r="H558" s="5">
        <f t="shared" si="26"/>
        <v>0</v>
      </c>
      <c r="I558" s="6"/>
      <c r="J558" s="43"/>
      <c r="K558" s="51"/>
    </row>
    <row r="559" spans="1:11" x14ac:dyDescent="0.2">
      <c r="A559" s="1">
        <v>550</v>
      </c>
      <c r="B559" s="1" t="s">
        <v>78</v>
      </c>
      <c r="C559" s="32">
        <v>253</v>
      </c>
      <c r="D559" s="1">
        <v>20000</v>
      </c>
      <c r="E559" s="1"/>
      <c r="F559" s="1">
        <v>206.76</v>
      </c>
      <c r="G559" s="1">
        <v>20000</v>
      </c>
      <c r="H559" s="5">
        <f t="shared" si="26"/>
        <v>0</v>
      </c>
      <c r="I559" s="6"/>
      <c r="J559" s="43"/>
      <c r="K559" s="51"/>
    </row>
    <row r="560" spans="1:11" x14ac:dyDescent="0.2">
      <c r="A560" s="1">
        <v>551</v>
      </c>
      <c r="B560" s="1" t="s">
        <v>78</v>
      </c>
      <c r="C560" s="32">
        <v>5691</v>
      </c>
      <c r="D560" s="1">
        <v>20000</v>
      </c>
      <c r="E560" s="1"/>
      <c r="F560" s="1">
        <v>206.76</v>
      </c>
      <c r="G560" s="1">
        <v>20000</v>
      </c>
      <c r="H560" s="5">
        <f t="shared" si="26"/>
        <v>0</v>
      </c>
      <c r="I560" s="6"/>
      <c r="J560" s="43"/>
      <c r="K560" s="51"/>
    </row>
    <row r="561" spans="1:11" x14ac:dyDescent="0.2">
      <c r="A561" s="1">
        <v>552</v>
      </c>
      <c r="B561" s="1" t="s">
        <v>79</v>
      </c>
      <c r="C561" s="32">
        <v>545</v>
      </c>
      <c r="D561" s="1">
        <v>15000</v>
      </c>
      <c r="E561" s="1"/>
      <c r="F561" s="1">
        <v>155.07</v>
      </c>
      <c r="G561" s="1">
        <v>15000</v>
      </c>
      <c r="H561" s="5">
        <f t="shared" si="26"/>
        <v>0</v>
      </c>
      <c r="I561" s="6"/>
      <c r="J561" s="43"/>
      <c r="K561" s="51"/>
    </row>
    <row r="562" spans="1:11" x14ac:dyDescent="0.2">
      <c r="A562" s="1">
        <v>553</v>
      </c>
      <c r="B562" s="1" t="s">
        <v>79</v>
      </c>
      <c r="C562" s="32">
        <v>7573</v>
      </c>
      <c r="D562" s="1">
        <v>23000</v>
      </c>
      <c r="E562" s="1"/>
      <c r="F562" s="1">
        <v>237.77</v>
      </c>
      <c r="G562" s="1">
        <v>23000</v>
      </c>
      <c r="H562" s="5">
        <f t="shared" si="26"/>
        <v>0</v>
      </c>
      <c r="I562" s="6"/>
      <c r="J562" s="43"/>
      <c r="K562" s="51"/>
    </row>
    <row r="563" spans="1:11" x14ac:dyDescent="0.2">
      <c r="A563" s="1">
        <v>554</v>
      </c>
      <c r="B563" s="1" t="s">
        <v>79</v>
      </c>
      <c r="C563" s="32">
        <v>2092</v>
      </c>
      <c r="D563" s="1">
        <v>30000</v>
      </c>
      <c r="E563" s="1"/>
      <c r="F563" s="1">
        <v>310.14</v>
      </c>
      <c r="G563" s="1">
        <v>30000</v>
      </c>
      <c r="H563" s="5">
        <f t="shared" si="26"/>
        <v>0</v>
      </c>
      <c r="I563" s="6"/>
      <c r="J563" s="43"/>
      <c r="K563" s="51"/>
    </row>
    <row r="564" spans="1:11" x14ac:dyDescent="0.2">
      <c r="A564" s="1">
        <v>555</v>
      </c>
      <c r="B564" s="1" t="s">
        <v>79</v>
      </c>
      <c r="C564" s="32">
        <v>3828</v>
      </c>
      <c r="D564" s="1">
        <v>10000</v>
      </c>
      <c r="E564" s="1"/>
      <c r="F564" s="1">
        <v>78.41</v>
      </c>
      <c r="G564" s="1">
        <v>10000</v>
      </c>
      <c r="H564" s="5">
        <f t="shared" si="26"/>
        <v>0</v>
      </c>
      <c r="I564" s="6"/>
      <c r="J564" s="43"/>
      <c r="K564" s="51"/>
    </row>
    <row r="565" spans="1:11" x14ac:dyDescent="0.2">
      <c r="A565" s="1">
        <v>556</v>
      </c>
      <c r="B565" s="1" t="s">
        <v>79</v>
      </c>
      <c r="C565" s="32">
        <v>4674</v>
      </c>
      <c r="D565" s="1">
        <v>30000</v>
      </c>
      <c r="E565" s="1"/>
      <c r="F565" s="1">
        <v>310.14</v>
      </c>
      <c r="G565" s="1">
        <v>30000</v>
      </c>
      <c r="H565" s="5">
        <f t="shared" si="26"/>
        <v>0</v>
      </c>
      <c r="I565" s="6"/>
      <c r="J565" s="43"/>
      <c r="K565" s="51"/>
    </row>
    <row r="566" spans="1:11" x14ac:dyDescent="0.2">
      <c r="A566" s="1">
        <v>557</v>
      </c>
      <c r="B566" s="1" t="s">
        <v>79</v>
      </c>
      <c r="C566" s="32">
        <v>4911</v>
      </c>
      <c r="D566" s="1">
        <v>10000</v>
      </c>
      <c r="E566" s="1"/>
      <c r="F566" s="1">
        <v>97.69</v>
      </c>
      <c r="G566" s="1">
        <v>10000</v>
      </c>
      <c r="H566" s="5">
        <f t="shared" si="26"/>
        <v>0</v>
      </c>
      <c r="I566" s="6"/>
      <c r="J566" s="43"/>
      <c r="K566" s="51"/>
    </row>
    <row r="567" spans="1:11" x14ac:dyDescent="0.2">
      <c r="A567" s="1">
        <v>558</v>
      </c>
      <c r="B567" s="1" t="s">
        <v>79</v>
      </c>
      <c r="C567" s="32" t="s">
        <v>61</v>
      </c>
      <c r="D567" s="1">
        <v>5000</v>
      </c>
      <c r="E567" s="1"/>
      <c r="F567" s="1">
        <v>51.69</v>
      </c>
      <c r="G567" s="1">
        <v>5000</v>
      </c>
      <c r="H567" s="5">
        <f t="shared" si="26"/>
        <v>0</v>
      </c>
      <c r="I567" s="6"/>
      <c r="J567" s="43"/>
      <c r="K567" s="51"/>
    </row>
    <row r="568" spans="1:11" x14ac:dyDescent="0.2">
      <c r="A568" s="1">
        <v>559</v>
      </c>
      <c r="B568" s="1" t="s">
        <v>79</v>
      </c>
      <c r="C568" s="32" t="s">
        <v>61</v>
      </c>
      <c r="D568" s="1">
        <v>4500</v>
      </c>
      <c r="E568" s="1"/>
      <c r="F568" s="1">
        <v>46.52</v>
      </c>
      <c r="G568" s="1">
        <v>4500</v>
      </c>
      <c r="H568" s="5">
        <f t="shared" si="26"/>
        <v>0</v>
      </c>
      <c r="I568" s="6"/>
      <c r="J568" s="43"/>
      <c r="K568" s="51"/>
    </row>
    <row r="569" spans="1:11" x14ac:dyDescent="0.2">
      <c r="A569" s="1">
        <v>560</v>
      </c>
      <c r="B569" s="1" t="s">
        <v>79</v>
      </c>
      <c r="C569" s="32">
        <v>7069</v>
      </c>
      <c r="D569" s="1">
        <v>20000</v>
      </c>
      <c r="E569" s="1"/>
      <c r="F569" s="1">
        <v>206.76</v>
      </c>
      <c r="G569" s="1">
        <v>20000</v>
      </c>
      <c r="H569" s="5">
        <f t="shared" si="26"/>
        <v>0</v>
      </c>
      <c r="I569" s="6"/>
      <c r="J569" s="43"/>
      <c r="K569" s="51"/>
    </row>
    <row r="570" spans="1:11" x14ac:dyDescent="0.2">
      <c r="A570" s="1">
        <v>561</v>
      </c>
      <c r="B570" s="1" t="s">
        <v>79</v>
      </c>
      <c r="C570" s="32">
        <v>9027</v>
      </c>
      <c r="D570" s="1">
        <v>10000</v>
      </c>
      <c r="E570" s="1"/>
      <c r="F570" s="1">
        <v>103.38</v>
      </c>
      <c r="G570" s="1">
        <v>10000</v>
      </c>
      <c r="H570" s="5">
        <f t="shared" si="26"/>
        <v>0</v>
      </c>
      <c r="I570" s="6"/>
      <c r="J570" s="43"/>
      <c r="K570" s="51"/>
    </row>
    <row r="571" spans="1:11" x14ac:dyDescent="0.2">
      <c r="A571" s="1">
        <v>562</v>
      </c>
      <c r="B571" s="1" t="s">
        <v>81</v>
      </c>
      <c r="C571" s="32">
        <v>4501</v>
      </c>
      <c r="D571" s="1">
        <v>25000</v>
      </c>
      <c r="E571" s="1"/>
      <c r="F571" s="1">
        <v>258.45</v>
      </c>
      <c r="G571" s="1">
        <v>25000</v>
      </c>
      <c r="H571" s="5">
        <f t="shared" si="26"/>
        <v>0</v>
      </c>
      <c r="I571" s="6"/>
      <c r="J571" s="43"/>
      <c r="K571" s="51"/>
    </row>
    <row r="572" spans="1:11" x14ac:dyDescent="0.2">
      <c r="A572" s="1">
        <v>563</v>
      </c>
      <c r="B572" s="1" t="s">
        <v>81</v>
      </c>
      <c r="C572" s="32">
        <v>9599</v>
      </c>
      <c r="D572" s="1">
        <v>32000</v>
      </c>
      <c r="E572" s="1"/>
      <c r="F572" s="1">
        <v>330.82</v>
      </c>
      <c r="G572" s="1">
        <v>32000</v>
      </c>
      <c r="H572" s="5">
        <f t="shared" si="26"/>
        <v>0</v>
      </c>
      <c r="I572" s="6"/>
      <c r="J572" s="43"/>
      <c r="K572" s="51"/>
    </row>
    <row r="573" spans="1:11" x14ac:dyDescent="0.2">
      <c r="A573" s="1">
        <v>564</v>
      </c>
      <c r="B573" s="1" t="s">
        <v>81</v>
      </c>
      <c r="C573" s="32" t="s">
        <v>61</v>
      </c>
      <c r="D573" s="1">
        <v>3500</v>
      </c>
      <c r="E573" s="1"/>
      <c r="F573" s="1">
        <v>36.18</v>
      </c>
      <c r="G573" s="1">
        <v>3500</v>
      </c>
      <c r="H573" s="5">
        <f t="shared" si="26"/>
        <v>0</v>
      </c>
      <c r="I573" s="6"/>
      <c r="J573" s="43"/>
      <c r="K573" s="51"/>
    </row>
    <row r="574" spans="1:11" x14ac:dyDescent="0.2">
      <c r="A574" s="1">
        <v>565</v>
      </c>
      <c r="B574" s="1" t="s">
        <v>81</v>
      </c>
      <c r="C574" s="32">
        <v>8797</v>
      </c>
      <c r="D574" s="1">
        <v>18000</v>
      </c>
      <c r="E574" s="1"/>
      <c r="F574" s="1">
        <v>164.38</v>
      </c>
      <c r="G574" s="1">
        <v>18000</v>
      </c>
      <c r="H574" s="5">
        <f t="shared" si="26"/>
        <v>0</v>
      </c>
      <c r="I574" s="6"/>
      <c r="J574" s="43"/>
      <c r="K574" s="51"/>
    </row>
    <row r="575" spans="1:11" x14ac:dyDescent="0.2">
      <c r="A575" s="1">
        <v>566</v>
      </c>
      <c r="B575" s="1" t="s">
        <v>81</v>
      </c>
      <c r="C575" s="32">
        <v>9942</v>
      </c>
      <c r="D575" s="1">
        <v>25000</v>
      </c>
      <c r="E575" s="1"/>
      <c r="F575" s="1">
        <v>253.79</v>
      </c>
      <c r="G575" s="1">
        <v>25000</v>
      </c>
      <c r="H575" s="5">
        <f t="shared" si="26"/>
        <v>0</v>
      </c>
      <c r="I575" s="6"/>
      <c r="J575" s="43"/>
      <c r="K575" s="51"/>
    </row>
    <row r="576" spans="1:11" x14ac:dyDescent="0.2">
      <c r="A576" s="1">
        <v>567</v>
      </c>
      <c r="B576" s="1" t="s">
        <v>81</v>
      </c>
      <c r="C576" s="32">
        <v>2021</v>
      </c>
      <c r="D576" s="1">
        <v>25000</v>
      </c>
      <c r="E576" s="1"/>
      <c r="F576" s="1">
        <v>258.45</v>
      </c>
      <c r="G576" s="1">
        <v>25000</v>
      </c>
      <c r="H576" s="5">
        <f t="shared" si="26"/>
        <v>0</v>
      </c>
      <c r="I576" s="6"/>
      <c r="J576" s="43"/>
      <c r="K576" s="51"/>
    </row>
    <row r="577" spans="1:11" x14ac:dyDescent="0.2">
      <c r="A577" s="1">
        <v>568</v>
      </c>
      <c r="B577" s="1" t="s">
        <v>82</v>
      </c>
      <c r="C577" s="32" t="s">
        <v>61</v>
      </c>
      <c r="D577" s="1">
        <v>5000</v>
      </c>
      <c r="E577" s="1"/>
      <c r="F577" s="1">
        <v>51.69</v>
      </c>
      <c r="G577" s="1">
        <v>5000</v>
      </c>
      <c r="H577" s="5">
        <f t="shared" si="26"/>
        <v>0</v>
      </c>
      <c r="I577" s="6"/>
      <c r="J577" s="43"/>
      <c r="K577" s="51"/>
    </row>
    <row r="578" spans="1:11" x14ac:dyDescent="0.2">
      <c r="A578" s="1">
        <v>569</v>
      </c>
      <c r="B578" s="1" t="s">
        <v>82</v>
      </c>
      <c r="C578" s="32" t="s">
        <v>61</v>
      </c>
      <c r="D578" s="1">
        <v>4500</v>
      </c>
      <c r="E578" s="1"/>
      <c r="F578" s="1">
        <v>46.52</v>
      </c>
      <c r="G578" s="1">
        <v>4500</v>
      </c>
      <c r="H578" s="5">
        <f t="shared" si="26"/>
        <v>0</v>
      </c>
      <c r="I578" s="6"/>
      <c r="J578" s="43"/>
      <c r="K578" s="51"/>
    </row>
    <row r="579" spans="1:11" x14ac:dyDescent="0.2">
      <c r="A579" s="1">
        <v>570</v>
      </c>
      <c r="B579" s="1" t="s">
        <v>82</v>
      </c>
      <c r="C579" s="32" t="s">
        <v>66</v>
      </c>
      <c r="D579" s="1">
        <v>400</v>
      </c>
      <c r="E579" s="1"/>
      <c r="F579" s="1">
        <v>3.8</v>
      </c>
      <c r="G579" s="1">
        <v>400</v>
      </c>
      <c r="H579" s="5">
        <f t="shared" si="26"/>
        <v>0</v>
      </c>
      <c r="I579" s="6"/>
      <c r="J579" s="43"/>
      <c r="K579" s="51"/>
    </row>
    <row r="580" spans="1:11" x14ac:dyDescent="0.2">
      <c r="A580" s="1">
        <v>571</v>
      </c>
      <c r="B580" s="1" t="s">
        <v>82</v>
      </c>
      <c r="C580" s="32">
        <v>4713</v>
      </c>
      <c r="D580" s="1">
        <v>6000</v>
      </c>
      <c r="E580" s="1"/>
      <c r="F580" s="1">
        <v>62.03</v>
      </c>
      <c r="G580" s="1">
        <v>6000</v>
      </c>
      <c r="H580" s="5">
        <f t="shared" si="26"/>
        <v>0</v>
      </c>
      <c r="I580" s="6"/>
      <c r="J580" s="43"/>
      <c r="K580" s="51"/>
    </row>
    <row r="581" spans="1:11" x14ac:dyDescent="0.2">
      <c r="A581" s="1">
        <v>572</v>
      </c>
      <c r="B581" s="1" t="s">
        <v>82</v>
      </c>
      <c r="C581" s="32">
        <v>6391</v>
      </c>
      <c r="D581" s="1">
        <v>15000</v>
      </c>
      <c r="E581" s="1"/>
      <c r="F581" s="1">
        <v>155.07</v>
      </c>
      <c r="G581" s="1">
        <v>15000</v>
      </c>
      <c r="H581" s="5">
        <f t="shared" si="26"/>
        <v>0</v>
      </c>
      <c r="I581" s="6"/>
      <c r="J581" s="43"/>
      <c r="K581" s="51"/>
    </row>
    <row r="582" spans="1:11" x14ac:dyDescent="0.2">
      <c r="A582" s="1">
        <v>573</v>
      </c>
      <c r="B582" s="1" t="s">
        <v>82</v>
      </c>
      <c r="C582" s="32">
        <v>5520</v>
      </c>
      <c r="D582" s="1">
        <v>24000</v>
      </c>
      <c r="E582" s="1"/>
      <c r="F582" s="1">
        <v>248.01</v>
      </c>
      <c r="G582" s="1">
        <v>24000</v>
      </c>
      <c r="H582" s="5">
        <f t="shared" si="26"/>
        <v>0</v>
      </c>
      <c r="I582" s="6"/>
      <c r="J582" s="43"/>
      <c r="K582" s="51"/>
    </row>
    <row r="583" spans="1:11" x14ac:dyDescent="0.2">
      <c r="A583" s="1">
        <v>574</v>
      </c>
      <c r="B583" s="1" t="s">
        <v>82</v>
      </c>
      <c r="C583" s="32">
        <v>3505</v>
      </c>
      <c r="D583" s="1">
        <v>30000</v>
      </c>
      <c r="E583" s="1"/>
      <c r="F583" s="1">
        <v>310.14</v>
      </c>
      <c r="G583" s="1">
        <v>30000</v>
      </c>
      <c r="H583" s="5">
        <f t="shared" si="26"/>
        <v>0</v>
      </c>
      <c r="I583" s="6"/>
      <c r="J583" s="43"/>
      <c r="K583" s="51"/>
    </row>
    <row r="584" spans="1:11" x14ac:dyDescent="0.2">
      <c r="A584" s="1">
        <v>575</v>
      </c>
      <c r="B584" s="1" t="s">
        <v>82</v>
      </c>
      <c r="C584" s="32">
        <v>1087</v>
      </c>
      <c r="D584" s="1">
        <v>32000</v>
      </c>
      <c r="E584" s="1"/>
      <c r="F584" s="1">
        <v>312.20999999999998</v>
      </c>
      <c r="G584" s="1">
        <v>32000</v>
      </c>
      <c r="H584" s="5">
        <f t="shared" si="26"/>
        <v>0</v>
      </c>
      <c r="I584" s="6"/>
      <c r="J584" s="43"/>
      <c r="K584" s="51"/>
    </row>
    <row r="585" spans="1:11" x14ac:dyDescent="0.2">
      <c r="A585" s="1">
        <v>576</v>
      </c>
      <c r="B585" s="1" t="s">
        <v>82</v>
      </c>
      <c r="C585" s="32">
        <v>4481</v>
      </c>
      <c r="D585" s="1">
        <v>25000</v>
      </c>
      <c r="E585" s="1"/>
      <c r="F585" s="1">
        <v>258.45</v>
      </c>
      <c r="G585" s="1">
        <v>25000</v>
      </c>
      <c r="H585" s="5">
        <f t="shared" si="26"/>
        <v>0</v>
      </c>
      <c r="I585" s="6"/>
      <c r="J585" s="43"/>
      <c r="K585" s="51"/>
    </row>
    <row r="586" spans="1:11" x14ac:dyDescent="0.2">
      <c r="A586" s="1">
        <v>577</v>
      </c>
      <c r="B586" s="1" t="s">
        <v>82</v>
      </c>
      <c r="C586" s="32">
        <v>5857</v>
      </c>
      <c r="D586" s="1">
        <v>35000</v>
      </c>
      <c r="E586" s="1"/>
      <c r="F586" s="1">
        <v>344.16</v>
      </c>
      <c r="G586" s="1">
        <v>35000</v>
      </c>
      <c r="H586" s="5">
        <f t="shared" si="26"/>
        <v>0</v>
      </c>
      <c r="I586" s="6"/>
      <c r="J586" s="43"/>
      <c r="K586" s="51"/>
    </row>
    <row r="587" spans="1:11" x14ac:dyDescent="0.2">
      <c r="A587" s="1">
        <v>578</v>
      </c>
      <c r="B587" s="1" t="s">
        <v>82</v>
      </c>
      <c r="C587" s="32">
        <v>2143</v>
      </c>
      <c r="D587" s="1">
        <v>35000</v>
      </c>
      <c r="E587" s="1"/>
      <c r="F587" s="1">
        <v>361.83</v>
      </c>
      <c r="G587" s="1">
        <v>35000</v>
      </c>
      <c r="H587" s="5">
        <f t="shared" si="26"/>
        <v>0</v>
      </c>
      <c r="I587" s="6"/>
      <c r="J587" s="43"/>
      <c r="K587" s="51"/>
    </row>
    <row r="588" spans="1:11" x14ac:dyDescent="0.2">
      <c r="A588" s="1">
        <v>579</v>
      </c>
      <c r="B588" s="1" t="s">
        <v>82</v>
      </c>
      <c r="C588" s="32">
        <v>65</v>
      </c>
      <c r="D588" s="1">
        <v>5000</v>
      </c>
      <c r="E588" s="1"/>
      <c r="F588" s="1">
        <v>51.69</v>
      </c>
      <c r="G588" s="1">
        <v>5000</v>
      </c>
      <c r="H588" s="5">
        <f t="shared" si="26"/>
        <v>0</v>
      </c>
      <c r="I588" s="6"/>
      <c r="J588" s="43"/>
      <c r="K588" s="51"/>
    </row>
    <row r="589" spans="1:11" x14ac:dyDescent="0.2">
      <c r="A589" s="1">
        <v>580</v>
      </c>
      <c r="B589" s="1" t="s">
        <v>83</v>
      </c>
      <c r="C589" s="32">
        <v>8665</v>
      </c>
      <c r="D589" s="1">
        <v>25000</v>
      </c>
      <c r="E589" s="1"/>
      <c r="F589" s="1">
        <v>258.45</v>
      </c>
      <c r="G589" s="1">
        <v>25000</v>
      </c>
      <c r="H589" s="5">
        <f t="shared" si="26"/>
        <v>0</v>
      </c>
      <c r="I589" s="6"/>
      <c r="J589" s="43"/>
      <c r="K589" s="51"/>
    </row>
    <row r="590" spans="1:11" x14ac:dyDescent="0.2">
      <c r="A590" s="1">
        <v>581</v>
      </c>
      <c r="B590" s="1" t="s">
        <v>83</v>
      </c>
      <c r="C590" s="32">
        <v>4729</v>
      </c>
      <c r="D590" s="1">
        <v>32000</v>
      </c>
      <c r="E590" s="1"/>
      <c r="F590" s="1">
        <v>330.82</v>
      </c>
      <c r="G590" s="1">
        <v>32000</v>
      </c>
      <c r="H590" s="5">
        <f t="shared" si="26"/>
        <v>0</v>
      </c>
      <c r="I590" s="6"/>
      <c r="J590" s="43"/>
      <c r="K590" s="51"/>
    </row>
    <row r="591" spans="1:11" x14ac:dyDescent="0.2">
      <c r="A591" s="1">
        <v>582</v>
      </c>
      <c r="B591" s="1" t="s">
        <v>83</v>
      </c>
      <c r="C591" s="32">
        <v>7578</v>
      </c>
      <c r="D591" s="1">
        <v>25000</v>
      </c>
      <c r="E591" s="1"/>
      <c r="F591" s="1">
        <v>258.45</v>
      </c>
      <c r="G591" s="1">
        <v>25000</v>
      </c>
      <c r="H591" s="5">
        <f t="shared" si="26"/>
        <v>0</v>
      </c>
      <c r="I591" s="6"/>
      <c r="J591" s="43"/>
      <c r="K591" s="51"/>
    </row>
    <row r="592" spans="1:11" x14ac:dyDescent="0.2">
      <c r="A592" s="1">
        <v>583</v>
      </c>
      <c r="B592" s="1" t="s">
        <v>83</v>
      </c>
      <c r="C592" s="32">
        <v>4045</v>
      </c>
      <c r="D592" s="1">
        <v>25000</v>
      </c>
      <c r="E592" s="1"/>
      <c r="F592" s="1">
        <v>258.45</v>
      </c>
      <c r="G592" s="1">
        <v>25000</v>
      </c>
      <c r="H592" s="5">
        <f t="shared" si="26"/>
        <v>0</v>
      </c>
      <c r="I592" s="6"/>
      <c r="J592" s="43"/>
      <c r="K592" s="51"/>
    </row>
    <row r="593" spans="1:11" x14ac:dyDescent="0.2">
      <c r="A593" s="1">
        <v>584</v>
      </c>
      <c r="B593" s="1" t="s">
        <v>83</v>
      </c>
      <c r="C593" s="32">
        <v>3828</v>
      </c>
      <c r="D593" s="1">
        <v>23000</v>
      </c>
      <c r="E593" s="1"/>
      <c r="F593" s="1">
        <v>237.78</v>
      </c>
      <c r="G593" s="1">
        <v>23000</v>
      </c>
      <c r="H593" s="5">
        <f t="shared" si="26"/>
        <v>0</v>
      </c>
      <c r="I593" s="6"/>
      <c r="J593" s="43"/>
      <c r="K593" s="51"/>
    </row>
    <row r="594" spans="1:11" x14ac:dyDescent="0.2">
      <c r="A594" s="1">
        <v>585</v>
      </c>
      <c r="B594" s="1" t="s">
        <v>83</v>
      </c>
      <c r="C594" s="32">
        <v>1681</v>
      </c>
      <c r="D594" s="1">
        <v>30000</v>
      </c>
      <c r="E594" s="1"/>
      <c r="F594" s="1">
        <v>310.14</v>
      </c>
      <c r="G594" s="1">
        <v>30000</v>
      </c>
      <c r="H594" s="5">
        <f t="shared" si="26"/>
        <v>0</v>
      </c>
      <c r="I594" s="6"/>
      <c r="J594" s="43"/>
      <c r="K594" s="51"/>
    </row>
    <row r="595" spans="1:11" x14ac:dyDescent="0.2">
      <c r="A595" s="1">
        <v>586</v>
      </c>
      <c r="B595" s="1" t="s">
        <v>83</v>
      </c>
      <c r="C595" s="32">
        <v>8878</v>
      </c>
      <c r="D595" s="1">
        <v>10000</v>
      </c>
      <c r="E595" s="1"/>
      <c r="F595" s="1">
        <v>103.38</v>
      </c>
      <c r="G595" s="1">
        <v>10000</v>
      </c>
      <c r="H595" s="5">
        <f t="shared" si="26"/>
        <v>0</v>
      </c>
      <c r="I595" s="6"/>
      <c r="J595" s="43"/>
      <c r="K595" s="51"/>
    </row>
    <row r="596" spans="1:11" x14ac:dyDescent="0.2">
      <c r="A596" s="1">
        <v>587</v>
      </c>
      <c r="B596" s="1" t="s">
        <v>84</v>
      </c>
      <c r="C596" s="32" t="s">
        <v>63</v>
      </c>
      <c r="D596" s="1">
        <v>3500</v>
      </c>
      <c r="E596" s="1"/>
      <c r="F596" s="1">
        <v>36.18</v>
      </c>
      <c r="G596" s="1">
        <v>3500</v>
      </c>
      <c r="H596" s="5">
        <f t="shared" si="26"/>
        <v>0</v>
      </c>
      <c r="I596" s="6"/>
      <c r="J596" s="43"/>
      <c r="K596" s="51"/>
    </row>
    <row r="597" spans="1:11" x14ac:dyDescent="0.2">
      <c r="A597" s="1">
        <v>588</v>
      </c>
      <c r="B597" s="1" t="s">
        <v>84</v>
      </c>
      <c r="C597" s="32">
        <v>6177</v>
      </c>
      <c r="D597" s="1">
        <v>10000</v>
      </c>
      <c r="E597" s="1"/>
      <c r="F597" s="1">
        <v>103.38</v>
      </c>
      <c r="G597" s="1">
        <v>10000</v>
      </c>
      <c r="H597" s="5">
        <f t="shared" si="26"/>
        <v>0</v>
      </c>
      <c r="I597" s="6"/>
      <c r="J597" s="43"/>
      <c r="K597" s="51"/>
    </row>
    <row r="598" spans="1:11" x14ac:dyDescent="0.2">
      <c r="A598" s="1">
        <v>589</v>
      </c>
      <c r="B598" s="1" t="s">
        <v>84</v>
      </c>
      <c r="C598" s="32">
        <v>2943</v>
      </c>
      <c r="D598" s="1">
        <v>34000</v>
      </c>
      <c r="E598" s="1"/>
      <c r="F598" s="1">
        <v>351.49</v>
      </c>
      <c r="G598" s="1">
        <v>34000</v>
      </c>
      <c r="H598" s="5">
        <f t="shared" si="26"/>
        <v>0</v>
      </c>
      <c r="I598" s="6"/>
      <c r="J598" s="43"/>
      <c r="K598" s="51"/>
    </row>
    <row r="599" spans="1:11" x14ac:dyDescent="0.2">
      <c r="A599" s="1">
        <v>590</v>
      </c>
      <c r="B599" s="1" t="s">
        <v>84</v>
      </c>
      <c r="C599" s="32" t="s">
        <v>73</v>
      </c>
      <c r="D599" s="1">
        <v>5000</v>
      </c>
      <c r="E599" s="1"/>
      <c r="F599" s="1">
        <v>51.69</v>
      </c>
      <c r="G599" s="1">
        <v>5000</v>
      </c>
      <c r="H599" s="5">
        <f t="shared" si="26"/>
        <v>0</v>
      </c>
      <c r="I599" s="6"/>
      <c r="J599" s="43"/>
      <c r="K599" s="51"/>
    </row>
    <row r="600" spans="1:11" x14ac:dyDescent="0.2">
      <c r="A600" s="1">
        <v>591</v>
      </c>
      <c r="B600" s="1" t="s">
        <v>84</v>
      </c>
      <c r="C600" s="32" t="s">
        <v>73</v>
      </c>
      <c r="D600" s="1">
        <v>4500</v>
      </c>
      <c r="E600" s="1"/>
      <c r="F600" s="1">
        <v>46.65</v>
      </c>
      <c r="G600" s="1">
        <v>4500</v>
      </c>
      <c r="H600" s="5">
        <f t="shared" si="26"/>
        <v>0</v>
      </c>
      <c r="I600" s="6"/>
      <c r="J600" s="43"/>
      <c r="K600" s="51"/>
    </row>
    <row r="601" spans="1:11" x14ac:dyDescent="0.2">
      <c r="A601" s="1">
        <v>592</v>
      </c>
      <c r="B601" s="1" t="s">
        <v>84</v>
      </c>
      <c r="C601" s="32">
        <v>3365</v>
      </c>
      <c r="D601" s="1">
        <v>10000</v>
      </c>
      <c r="E601" s="1"/>
      <c r="F601" s="1">
        <v>103.38</v>
      </c>
      <c r="G601" s="1">
        <v>10000</v>
      </c>
      <c r="H601" s="5">
        <f t="shared" si="26"/>
        <v>0</v>
      </c>
      <c r="I601" s="6"/>
      <c r="J601" s="43"/>
      <c r="K601" s="51"/>
    </row>
    <row r="602" spans="1:11" x14ac:dyDescent="0.2">
      <c r="A602" s="1">
        <v>593</v>
      </c>
      <c r="B602" s="1" t="s">
        <v>84</v>
      </c>
      <c r="C602" s="32">
        <v>1522</v>
      </c>
      <c r="D602" s="1">
        <v>12000</v>
      </c>
      <c r="E602" s="1"/>
      <c r="F602" s="1">
        <v>124.06</v>
      </c>
      <c r="G602" s="1">
        <v>12000</v>
      </c>
      <c r="H602" s="5">
        <f t="shared" si="26"/>
        <v>0</v>
      </c>
      <c r="I602" s="6"/>
      <c r="J602" s="43"/>
      <c r="K602" s="51"/>
    </row>
    <row r="603" spans="1:11" x14ac:dyDescent="0.2">
      <c r="A603" s="1">
        <v>594</v>
      </c>
      <c r="B603" s="1" t="s">
        <v>84</v>
      </c>
      <c r="C603" s="32">
        <v>4953</v>
      </c>
      <c r="D603" s="1">
        <v>6000</v>
      </c>
      <c r="E603" s="1"/>
      <c r="F603" s="1">
        <v>62.03</v>
      </c>
      <c r="G603" s="1">
        <v>6000</v>
      </c>
      <c r="H603" s="5">
        <f t="shared" si="26"/>
        <v>0</v>
      </c>
      <c r="I603" s="6"/>
      <c r="J603" s="43"/>
      <c r="K603" s="51"/>
    </row>
    <row r="604" spans="1:11" x14ac:dyDescent="0.2">
      <c r="A604" s="1">
        <v>595</v>
      </c>
      <c r="B604" s="1" t="s">
        <v>85</v>
      </c>
      <c r="C604" s="32" t="s">
        <v>73</v>
      </c>
      <c r="D604" s="1">
        <v>3500</v>
      </c>
      <c r="E604" s="1"/>
      <c r="F604" s="1">
        <v>36.18</v>
      </c>
      <c r="G604" s="1">
        <v>3500</v>
      </c>
      <c r="H604" s="5">
        <f t="shared" si="26"/>
        <v>0</v>
      </c>
      <c r="I604" s="6"/>
      <c r="J604" s="43"/>
      <c r="K604" s="51"/>
    </row>
    <row r="605" spans="1:11" x14ac:dyDescent="0.2">
      <c r="A605" s="1">
        <v>596</v>
      </c>
      <c r="B605" s="1" t="s">
        <v>85</v>
      </c>
      <c r="C605" s="32">
        <v>7991</v>
      </c>
      <c r="D605" s="1">
        <v>26000</v>
      </c>
      <c r="E605" s="1"/>
      <c r="F605" s="1">
        <v>264.66000000000003</v>
      </c>
      <c r="G605" s="1">
        <v>26000</v>
      </c>
      <c r="H605" s="5">
        <f t="shared" ref="H605:H669" si="27">D605-G605</f>
        <v>0</v>
      </c>
      <c r="I605" s="6"/>
      <c r="J605" s="43"/>
      <c r="K605" s="51"/>
    </row>
    <row r="606" spans="1:11" x14ac:dyDescent="0.2">
      <c r="A606" s="1">
        <v>597</v>
      </c>
      <c r="B606" s="1" t="s">
        <v>85</v>
      </c>
      <c r="C606" s="32">
        <v>1425</v>
      </c>
      <c r="D606" s="1">
        <v>23000</v>
      </c>
      <c r="E606" s="1"/>
      <c r="F606" s="1">
        <v>163.13999999999999</v>
      </c>
      <c r="G606" s="1">
        <v>23000</v>
      </c>
      <c r="H606" s="5">
        <f t="shared" si="27"/>
        <v>0</v>
      </c>
      <c r="I606" s="6"/>
      <c r="J606" s="43"/>
      <c r="K606" s="51"/>
    </row>
    <row r="607" spans="1:11" x14ac:dyDescent="0.2">
      <c r="A607" s="1">
        <v>598</v>
      </c>
      <c r="B607" s="1" t="s">
        <v>85</v>
      </c>
      <c r="C607" s="32">
        <v>7707</v>
      </c>
      <c r="D607" s="1">
        <v>30000</v>
      </c>
      <c r="E607" s="1"/>
      <c r="F607" s="1">
        <v>306.63</v>
      </c>
      <c r="G607" s="1">
        <v>30000</v>
      </c>
      <c r="H607" s="5">
        <f t="shared" si="27"/>
        <v>0</v>
      </c>
      <c r="I607" s="6"/>
      <c r="J607" s="43"/>
      <c r="K607" s="51"/>
    </row>
    <row r="608" spans="1:11" x14ac:dyDescent="0.2">
      <c r="A608" s="1">
        <v>599</v>
      </c>
      <c r="B608" s="1" t="s">
        <v>85</v>
      </c>
      <c r="C608" s="32">
        <v>1330</v>
      </c>
      <c r="D608" s="1">
        <v>40000</v>
      </c>
      <c r="E608" s="1"/>
      <c r="F608" s="1">
        <v>413.52</v>
      </c>
      <c r="G608" s="1">
        <v>40000</v>
      </c>
      <c r="H608" s="5">
        <f t="shared" si="27"/>
        <v>0</v>
      </c>
      <c r="I608" s="6"/>
      <c r="J608" s="43"/>
      <c r="K608" s="51"/>
    </row>
    <row r="609" spans="1:11" x14ac:dyDescent="0.2">
      <c r="A609" s="1">
        <v>600</v>
      </c>
      <c r="B609" s="1" t="s">
        <v>85</v>
      </c>
      <c r="C609" s="32">
        <v>4920</v>
      </c>
      <c r="D609" s="1">
        <v>20000</v>
      </c>
      <c r="E609" s="1"/>
      <c r="F609" s="1">
        <v>228.29</v>
      </c>
      <c r="G609" s="1">
        <v>20000</v>
      </c>
      <c r="H609" s="5">
        <f t="shared" si="27"/>
        <v>0</v>
      </c>
      <c r="I609" s="6"/>
      <c r="J609" s="43"/>
      <c r="K609" s="51"/>
    </row>
    <row r="610" spans="1:11" x14ac:dyDescent="0.2">
      <c r="A610" s="1">
        <v>601</v>
      </c>
      <c r="B610" s="1" t="s">
        <v>85</v>
      </c>
      <c r="C610" s="32">
        <v>7362</v>
      </c>
      <c r="D610" s="1">
        <v>8000</v>
      </c>
      <c r="E610" s="1"/>
      <c r="F610" s="1">
        <v>82.7</v>
      </c>
      <c r="G610" s="1">
        <v>8000</v>
      </c>
      <c r="H610" s="5">
        <f t="shared" si="27"/>
        <v>0</v>
      </c>
      <c r="I610" s="6"/>
      <c r="J610" s="43"/>
      <c r="K610" s="51"/>
    </row>
    <row r="611" spans="1:11" x14ac:dyDescent="0.2">
      <c r="A611" s="1">
        <v>602</v>
      </c>
      <c r="B611" s="1" t="s">
        <v>85</v>
      </c>
      <c r="C611" s="32">
        <v>8227</v>
      </c>
      <c r="D611" s="1">
        <v>8000</v>
      </c>
      <c r="E611" s="1"/>
      <c r="F611" s="1">
        <v>82.7</v>
      </c>
      <c r="G611" s="1">
        <v>8000</v>
      </c>
      <c r="H611" s="5">
        <f t="shared" si="27"/>
        <v>0</v>
      </c>
      <c r="I611" s="6"/>
      <c r="J611" s="43"/>
      <c r="K611" s="51"/>
    </row>
    <row r="612" spans="1:11" x14ac:dyDescent="0.2">
      <c r="A612" s="1">
        <v>603</v>
      </c>
      <c r="B612" s="1" t="s">
        <v>85</v>
      </c>
      <c r="C612" s="32">
        <v>3222</v>
      </c>
      <c r="D612" s="1">
        <v>32000</v>
      </c>
      <c r="E612" s="1"/>
      <c r="F612" s="1">
        <v>330.82</v>
      </c>
      <c r="G612" s="1">
        <v>32000</v>
      </c>
      <c r="H612" s="5">
        <f t="shared" si="27"/>
        <v>0</v>
      </c>
      <c r="I612" s="6"/>
      <c r="J612" s="43"/>
      <c r="K612" s="51"/>
    </row>
    <row r="613" spans="1:11" x14ac:dyDescent="0.2">
      <c r="A613" s="1">
        <v>604</v>
      </c>
      <c r="B613" s="1" t="s">
        <v>87</v>
      </c>
      <c r="C613" s="32">
        <v>6000</v>
      </c>
      <c r="D613" s="1">
        <v>26000</v>
      </c>
      <c r="E613" s="1"/>
      <c r="F613" s="1">
        <v>209.35</v>
      </c>
      <c r="G613" s="1">
        <v>26000</v>
      </c>
      <c r="H613" s="5">
        <f t="shared" si="27"/>
        <v>0</v>
      </c>
      <c r="I613" s="6"/>
      <c r="J613" s="43"/>
      <c r="K613" s="51"/>
    </row>
    <row r="614" spans="1:11" x14ac:dyDescent="0.2">
      <c r="A614" s="1">
        <v>605</v>
      </c>
      <c r="B614" s="1" t="s">
        <v>87</v>
      </c>
      <c r="C614" s="32">
        <v>9253</v>
      </c>
      <c r="D614" s="1">
        <v>30000</v>
      </c>
      <c r="E614" s="1"/>
      <c r="F614" s="1">
        <v>310.14</v>
      </c>
      <c r="G614" s="1">
        <v>30000</v>
      </c>
      <c r="H614" s="5">
        <f t="shared" si="27"/>
        <v>0</v>
      </c>
      <c r="I614" s="6"/>
      <c r="J614" s="43"/>
      <c r="K614" s="51"/>
    </row>
    <row r="615" spans="1:11" x14ac:dyDescent="0.2">
      <c r="A615" s="1">
        <v>606</v>
      </c>
      <c r="B615" s="1" t="s">
        <v>87</v>
      </c>
      <c r="C615" s="32" t="s">
        <v>66</v>
      </c>
      <c r="D615" s="1">
        <v>400</v>
      </c>
      <c r="E615" s="1"/>
      <c r="F615" s="1">
        <v>3.8</v>
      </c>
      <c r="G615" s="1">
        <v>400</v>
      </c>
      <c r="H615" s="5">
        <f t="shared" si="27"/>
        <v>0</v>
      </c>
      <c r="I615" s="6"/>
      <c r="J615" s="43"/>
      <c r="K615" s="51"/>
    </row>
    <row r="616" spans="1:11" x14ac:dyDescent="0.2">
      <c r="A616" s="1">
        <v>607</v>
      </c>
      <c r="B616" s="1" t="s">
        <v>87</v>
      </c>
      <c r="C616" s="32" t="s">
        <v>61</v>
      </c>
      <c r="D616" s="1">
        <v>5000</v>
      </c>
      <c r="E616" s="1"/>
      <c r="F616" s="1">
        <v>51.69</v>
      </c>
      <c r="G616" s="1">
        <v>5000</v>
      </c>
      <c r="H616" s="5">
        <f t="shared" si="27"/>
        <v>0</v>
      </c>
      <c r="I616" s="6"/>
      <c r="J616" s="43"/>
      <c r="K616" s="51"/>
    </row>
    <row r="617" spans="1:11" x14ac:dyDescent="0.2">
      <c r="A617" s="1">
        <v>608</v>
      </c>
      <c r="B617" s="1" t="s">
        <v>87</v>
      </c>
      <c r="C617" s="32">
        <v>8743</v>
      </c>
      <c r="D617" s="1">
        <v>68000</v>
      </c>
      <c r="E617" s="1"/>
      <c r="F617" s="1">
        <v>653.78</v>
      </c>
      <c r="G617" s="1">
        <v>68000</v>
      </c>
      <c r="H617" s="5">
        <f t="shared" si="27"/>
        <v>0</v>
      </c>
      <c r="I617" s="6"/>
      <c r="J617" s="43"/>
      <c r="K617" s="51"/>
    </row>
    <row r="618" spans="1:11" x14ac:dyDescent="0.2">
      <c r="A618" s="1">
        <v>609</v>
      </c>
      <c r="B618" s="1" t="s">
        <v>87</v>
      </c>
      <c r="C618" s="32">
        <v>1380</v>
      </c>
      <c r="D618" s="1">
        <v>32000</v>
      </c>
      <c r="E618" s="1"/>
      <c r="F618" s="1">
        <v>300.01</v>
      </c>
      <c r="G618" s="1">
        <v>32000</v>
      </c>
      <c r="H618" s="5">
        <f t="shared" si="27"/>
        <v>0</v>
      </c>
      <c r="I618" s="6"/>
      <c r="J618" s="43"/>
      <c r="K618" s="51"/>
    </row>
    <row r="619" spans="1:11" x14ac:dyDescent="0.2">
      <c r="A619" s="1">
        <v>610</v>
      </c>
      <c r="B619" s="1" t="s">
        <v>87</v>
      </c>
      <c r="C619" s="32">
        <v>7909</v>
      </c>
      <c r="D619" s="1">
        <v>10000</v>
      </c>
      <c r="E619" s="1"/>
      <c r="F619" s="1">
        <v>103.38</v>
      </c>
      <c r="G619" s="1">
        <v>10000</v>
      </c>
      <c r="H619" s="5">
        <f t="shared" si="27"/>
        <v>0</v>
      </c>
      <c r="I619" s="6"/>
      <c r="J619" s="43"/>
      <c r="K619" s="51"/>
    </row>
    <row r="620" spans="1:11" x14ac:dyDescent="0.2">
      <c r="A620" s="1">
        <v>611</v>
      </c>
      <c r="B620" s="1" t="s">
        <v>87</v>
      </c>
      <c r="C620" s="32">
        <v>2151</v>
      </c>
      <c r="D620" s="1">
        <v>5000</v>
      </c>
      <c r="E620" s="1"/>
      <c r="F620" s="1">
        <v>51.69</v>
      </c>
      <c r="G620" s="1">
        <v>5000</v>
      </c>
      <c r="H620" s="5">
        <f t="shared" si="27"/>
        <v>0</v>
      </c>
      <c r="I620" s="6"/>
      <c r="J620" s="43"/>
      <c r="K620" s="51"/>
    </row>
    <row r="621" spans="1:11" x14ac:dyDescent="0.2">
      <c r="A621" s="1">
        <v>612</v>
      </c>
      <c r="B621" s="1" t="s">
        <v>88</v>
      </c>
      <c r="C621" s="32">
        <v>926</v>
      </c>
      <c r="D621" s="1">
        <v>30000</v>
      </c>
      <c r="E621" s="1"/>
      <c r="F621" s="1">
        <v>310.14</v>
      </c>
      <c r="G621" s="1">
        <v>30000</v>
      </c>
      <c r="H621" s="5">
        <f t="shared" si="27"/>
        <v>0</v>
      </c>
      <c r="I621" s="6"/>
      <c r="J621" s="43"/>
      <c r="K621" s="51"/>
    </row>
    <row r="622" spans="1:11" x14ac:dyDescent="0.2">
      <c r="A622" s="1">
        <v>613</v>
      </c>
      <c r="B622" s="1" t="s">
        <v>88</v>
      </c>
      <c r="C622" s="32">
        <v>2207</v>
      </c>
      <c r="D622" s="1">
        <v>12000</v>
      </c>
      <c r="E622" s="1"/>
      <c r="F622" s="1">
        <v>124.06</v>
      </c>
      <c r="G622" s="1">
        <v>12000</v>
      </c>
      <c r="H622" s="5">
        <f t="shared" si="27"/>
        <v>0</v>
      </c>
      <c r="I622" s="6"/>
      <c r="J622" s="43"/>
      <c r="K622" s="51"/>
    </row>
    <row r="623" spans="1:11" x14ac:dyDescent="0.2">
      <c r="A623" s="1">
        <v>614</v>
      </c>
      <c r="B623" s="1" t="s">
        <v>89</v>
      </c>
      <c r="C623" s="32" t="s">
        <v>63</v>
      </c>
      <c r="D623" s="1">
        <v>3500</v>
      </c>
      <c r="E623" s="1"/>
      <c r="F623" s="1">
        <v>36.18</v>
      </c>
      <c r="G623" s="1">
        <v>3500</v>
      </c>
      <c r="H623" s="5">
        <f t="shared" si="27"/>
        <v>0</v>
      </c>
      <c r="I623" s="6"/>
      <c r="J623" s="43"/>
      <c r="K623" s="51"/>
    </row>
    <row r="624" spans="1:11" x14ac:dyDescent="0.2">
      <c r="A624" s="1">
        <v>615</v>
      </c>
      <c r="B624" s="1" t="s">
        <v>89</v>
      </c>
      <c r="C624" s="32" t="s">
        <v>61</v>
      </c>
      <c r="D624" s="1">
        <v>5000</v>
      </c>
      <c r="E624" s="1"/>
      <c r="F624" s="1">
        <v>51.69</v>
      </c>
      <c r="G624" s="1">
        <v>5000</v>
      </c>
      <c r="H624" s="5">
        <f t="shared" si="27"/>
        <v>0</v>
      </c>
      <c r="I624" s="6"/>
      <c r="J624" s="43"/>
      <c r="K624" s="51"/>
    </row>
    <row r="625" spans="1:11" x14ac:dyDescent="0.2">
      <c r="A625" s="1">
        <v>616</v>
      </c>
      <c r="B625" s="1" t="s">
        <v>89</v>
      </c>
      <c r="C625" s="32">
        <v>3625</v>
      </c>
      <c r="D625" s="1">
        <v>18000</v>
      </c>
      <c r="E625" s="1"/>
      <c r="F625" s="1">
        <v>186.08</v>
      </c>
      <c r="G625" s="1">
        <v>18000</v>
      </c>
      <c r="H625" s="5">
        <f t="shared" si="27"/>
        <v>0</v>
      </c>
      <c r="I625" s="6"/>
      <c r="J625" s="43"/>
      <c r="K625" s="51"/>
    </row>
    <row r="626" spans="1:11" x14ac:dyDescent="0.2">
      <c r="A626" s="1">
        <v>617</v>
      </c>
      <c r="B626" s="1" t="s">
        <v>89</v>
      </c>
      <c r="C626" s="32">
        <v>2522</v>
      </c>
      <c r="D626" s="1">
        <v>34000</v>
      </c>
      <c r="E626" s="1"/>
      <c r="F626" s="1">
        <v>351.49</v>
      </c>
      <c r="G626" s="1">
        <v>34000</v>
      </c>
      <c r="H626" s="5">
        <f t="shared" si="27"/>
        <v>0</v>
      </c>
      <c r="I626" s="6"/>
      <c r="J626" s="43"/>
      <c r="K626" s="51"/>
    </row>
    <row r="627" spans="1:11" x14ac:dyDescent="0.2">
      <c r="A627" s="1">
        <v>618</v>
      </c>
      <c r="B627" s="1" t="s">
        <v>89</v>
      </c>
      <c r="C627" s="32">
        <v>8208</v>
      </c>
      <c r="D627" s="1">
        <v>15000</v>
      </c>
      <c r="E627" s="1"/>
      <c r="F627" s="1">
        <v>155.07</v>
      </c>
      <c r="G627" s="1">
        <v>15000</v>
      </c>
      <c r="H627" s="5">
        <f t="shared" si="27"/>
        <v>0</v>
      </c>
      <c r="I627" s="6"/>
      <c r="J627" s="43"/>
      <c r="K627" s="51"/>
    </row>
    <row r="628" spans="1:11" x14ac:dyDescent="0.2">
      <c r="A628" s="1">
        <v>619</v>
      </c>
      <c r="B628" s="1" t="s">
        <v>89</v>
      </c>
      <c r="C628" s="32">
        <v>5865</v>
      </c>
      <c r="D628" s="1">
        <v>32000</v>
      </c>
      <c r="E628" s="1"/>
      <c r="F628" s="1">
        <v>330.81</v>
      </c>
      <c r="G628" s="1">
        <v>32000</v>
      </c>
      <c r="H628" s="5">
        <f t="shared" si="27"/>
        <v>0</v>
      </c>
      <c r="I628" s="6"/>
      <c r="J628" s="43"/>
      <c r="K628" s="51"/>
    </row>
    <row r="629" spans="1:11" x14ac:dyDescent="0.2">
      <c r="A629" s="1">
        <v>620</v>
      </c>
      <c r="B629" s="1" t="s">
        <v>89</v>
      </c>
      <c r="C629" s="32">
        <v>2943</v>
      </c>
      <c r="D629" s="1">
        <v>34000</v>
      </c>
      <c r="E629" s="1"/>
      <c r="F629" s="1">
        <v>351.49</v>
      </c>
      <c r="G629" s="1">
        <v>34000</v>
      </c>
      <c r="H629" s="5">
        <f t="shared" si="27"/>
        <v>0</v>
      </c>
      <c r="I629" s="6"/>
      <c r="J629" s="43"/>
      <c r="K629" s="51"/>
    </row>
    <row r="630" spans="1:11" x14ac:dyDescent="0.2">
      <c r="A630" s="1">
        <v>621</v>
      </c>
      <c r="B630" s="1" t="s">
        <v>89</v>
      </c>
      <c r="C630" s="32">
        <v>9090</v>
      </c>
      <c r="D630" s="1">
        <v>12000</v>
      </c>
      <c r="E630" s="1"/>
      <c r="F630" s="1">
        <v>124.06</v>
      </c>
      <c r="G630" s="1">
        <v>12000</v>
      </c>
      <c r="H630" s="5">
        <f t="shared" si="27"/>
        <v>0</v>
      </c>
      <c r="I630" s="6"/>
      <c r="J630" s="43"/>
      <c r="K630" s="51"/>
    </row>
    <row r="631" spans="1:11" x14ac:dyDescent="0.2">
      <c r="A631" s="1">
        <v>622</v>
      </c>
      <c r="B631" s="1" t="s">
        <v>89</v>
      </c>
      <c r="C631" s="32">
        <v>9068</v>
      </c>
      <c r="D631" s="1">
        <v>50000</v>
      </c>
      <c r="E631" s="1"/>
      <c r="F631" s="1">
        <v>516.9</v>
      </c>
      <c r="G631" s="1">
        <v>50000</v>
      </c>
      <c r="H631" s="5">
        <f t="shared" si="27"/>
        <v>0</v>
      </c>
      <c r="I631" s="6"/>
      <c r="J631" s="43"/>
      <c r="K631" s="51"/>
    </row>
    <row r="632" spans="1:11" x14ac:dyDescent="0.2">
      <c r="A632" s="1">
        <v>623</v>
      </c>
      <c r="B632" s="1" t="s">
        <v>89</v>
      </c>
      <c r="C632" s="32">
        <v>2189</v>
      </c>
      <c r="D632" s="1">
        <v>10000</v>
      </c>
      <c r="E632" s="1"/>
      <c r="F632" s="1">
        <v>103.38</v>
      </c>
      <c r="G632" s="1">
        <v>10000</v>
      </c>
      <c r="H632" s="5">
        <f t="shared" si="27"/>
        <v>0</v>
      </c>
      <c r="I632" s="6"/>
      <c r="J632" s="43"/>
      <c r="K632" s="51"/>
    </row>
    <row r="633" spans="1:11" x14ac:dyDescent="0.2">
      <c r="A633" s="1">
        <v>624</v>
      </c>
      <c r="B633" s="1" t="s">
        <v>90</v>
      </c>
      <c r="C633" s="32">
        <v>145</v>
      </c>
      <c r="D633" s="1">
        <v>35000</v>
      </c>
      <c r="E633" s="1"/>
      <c r="F633" s="1">
        <v>361.83</v>
      </c>
      <c r="G633" s="1">
        <v>35000</v>
      </c>
      <c r="H633" s="5">
        <f t="shared" si="27"/>
        <v>0</v>
      </c>
      <c r="I633" s="6"/>
      <c r="J633" s="43"/>
      <c r="K633" s="51"/>
    </row>
    <row r="634" spans="1:11" x14ac:dyDescent="0.2">
      <c r="A634" s="1">
        <v>625</v>
      </c>
      <c r="B634" s="1" t="s">
        <v>90</v>
      </c>
      <c r="C634" s="32">
        <v>1450</v>
      </c>
      <c r="D634" s="1">
        <v>13000</v>
      </c>
      <c r="E634" s="1"/>
      <c r="F634" s="1">
        <v>134.38999999999999</v>
      </c>
      <c r="G634" s="1">
        <v>13000</v>
      </c>
      <c r="H634" s="5">
        <f t="shared" si="27"/>
        <v>0</v>
      </c>
      <c r="I634" s="6"/>
      <c r="J634" s="43"/>
      <c r="K634" s="51"/>
    </row>
    <row r="635" spans="1:11" x14ac:dyDescent="0.2">
      <c r="A635" s="1">
        <v>626</v>
      </c>
      <c r="B635" s="1" t="s">
        <v>90</v>
      </c>
      <c r="C635" s="32">
        <v>4467</v>
      </c>
      <c r="D635" s="1">
        <v>13000</v>
      </c>
      <c r="E635" s="1"/>
      <c r="F635" s="1">
        <v>134.38999999999999</v>
      </c>
      <c r="G635" s="1">
        <v>13000</v>
      </c>
      <c r="H635" s="5">
        <f t="shared" si="27"/>
        <v>0</v>
      </c>
      <c r="I635" s="6"/>
      <c r="J635" s="43"/>
      <c r="K635" s="51"/>
    </row>
    <row r="636" spans="1:11" x14ac:dyDescent="0.2">
      <c r="A636" s="1">
        <v>627</v>
      </c>
      <c r="B636" s="1" t="s">
        <v>90</v>
      </c>
      <c r="C636" s="32">
        <v>4639</v>
      </c>
      <c r="D636" s="1">
        <v>26000</v>
      </c>
      <c r="E636" s="1"/>
      <c r="F636" s="1">
        <v>268.77999999999997</v>
      </c>
      <c r="G636" s="1">
        <v>26000</v>
      </c>
      <c r="H636" s="5">
        <f t="shared" si="27"/>
        <v>0</v>
      </c>
      <c r="I636" s="6"/>
      <c r="J636" s="43"/>
      <c r="K636" s="51"/>
    </row>
    <row r="637" spans="1:11" x14ac:dyDescent="0.2">
      <c r="A637" s="1">
        <v>628</v>
      </c>
      <c r="B637" s="1" t="s">
        <v>90</v>
      </c>
      <c r="C637" s="32">
        <v>1992</v>
      </c>
      <c r="D637" s="1">
        <v>30000</v>
      </c>
      <c r="E637" s="1"/>
      <c r="F637" s="1">
        <v>310.14</v>
      </c>
      <c r="G637" s="1">
        <v>30000</v>
      </c>
      <c r="H637" s="5">
        <f t="shared" si="27"/>
        <v>0</v>
      </c>
      <c r="I637" s="6"/>
      <c r="J637" s="43"/>
      <c r="K637" s="51"/>
    </row>
    <row r="638" spans="1:11" x14ac:dyDescent="0.2">
      <c r="A638" s="1">
        <v>629</v>
      </c>
      <c r="B638" s="1" t="s">
        <v>90</v>
      </c>
      <c r="C638" s="32">
        <v>5028</v>
      </c>
      <c r="D638" s="1">
        <v>33000</v>
      </c>
      <c r="E638" s="1"/>
      <c r="F638" s="1">
        <v>341.15</v>
      </c>
      <c r="G638" s="1">
        <v>33000</v>
      </c>
      <c r="H638" s="5">
        <f t="shared" si="27"/>
        <v>0</v>
      </c>
      <c r="I638" s="6"/>
      <c r="J638" s="43"/>
      <c r="K638" s="51"/>
    </row>
    <row r="639" spans="1:11" x14ac:dyDescent="0.2">
      <c r="A639" s="1">
        <v>630</v>
      </c>
      <c r="B639" s="1" t="s">
        <v>90</v>
      </c>
      <c r="C639" s="32">
        <v>6528</v>
      </c>
      <c r="D639" s="1">
        <v>27000</v>
      </c>
      <c r="E639" s="1"/>
      <c r="F639" s="1">
        <v>279.12</v>
      </c>
      <c r="G639" s="1">
        <v>27000</v>
      </c>
      <c r="H639" s="5">
        <f t="shared" si="27"/>
        <v>0</v>
      </c>
      <c r="I639" s="6"/>
      <c r="J639" s="43"/>
      <c r="K639" s="51"/>
    </row>
    <row r="640" spans="1:11" x14ac:dyDescent="0.2">
      <c r="A640" s="1">
        <v>631</v>
      </c>
      <c r="B640" s="1" t="s">
        <v>90</v>
      </c>
      <c r="C640" s="32">
        <v>736</v>
      </c>
      <c r="D640" s="1">
        <v>10000</v>
      </c>
      <c r="E640" s="1"/>
      <c r="F640" s="1">
        <v>103.38</v>
      </c>
      <c r="G640" s="1">
        <v>10000</v>
      </c>
      <c r="H640" s="5">
        <f t="shared" si="27"/>
        <v>0</v>
      </c>
      <c r="I640" s="6"/>
      <c r="J640" s="43"/>
      <c r="K640" s="51"/>
    </row>
    <row r="641" spans="1:15" x14ac:dyDescent="0.2">
      <c r="A641" s="1">
        <v>632</v>
      </c>
      <c r="B641" s="1" t="s">
        <v>90</v>
      </c>
      <c r="C641" s="32">
        <v>65</v>
      </c>
      <c r="D641" s="1">
        <v>5000</v>
      </c>
      <c r="E641" s="1"/>
      <c r="F641" s="1">
        <v>51.69</v>
      </c>
      <c r="G641" s="1">
        <v>5000</v>
      </c>
      <c r="H641" s="5">
        <f t="shared" si="27"/>
        <v>0</v>
      </c>
      <c r="I641" s="6"/>
      <c r="J641" s="43"/>
      <c r="K641" s="51"/>
    </row>
    <row r="642" spans="1:15" x14ac:dyDescent="0.2">
      <c r="A642" s="1">
        <v>633</v>
      </c>
      <c r="B642" s="1" t="s">
        <v>90</v>
      </c>
      <c r="C642" s="32">
        <v>3986</v>
      </c>
      <c r="D642" s="1">
        <v>5000</v>
      </c>
      <c r="E642" s="1"/>
      <c r="F642" s="1">
        <v>51.69</v>
      </c>
      <c r="G642" s="1">
        <v>5000</v>
      </c>
      <c r="H642" s="5">
        <f t="shared" si="27"/>
        <v>0</v>
      </c>
      <c r="I642" s="6"/>
      <c r="J642" s="43"/>
      <c r="K642" s="51"/>
    </row>
    <row r="643" spans="1:15" x14ac:dyDescent="0.2">
      <c r="A643" s="1">
        <v>634</v>
      </c>
      <c r="B643" s="1" t="s">
        <v>90</v>
      </c>
      <c r="C643" s="32">
        <v>4579</v>
      </c>
      <c r="D643" s="1">
        <v>15000</v>
      </c>
      <c r="E643" s="1"/>
      <c r="F643" s="1">
        <v>155.07</v>
      </c>
      <c r="G643" s="1">
        <v>15000</v>
      </c>
      <c r="H643" s="5">
        <f t="shared" si="27"/>
        <v>0</v>
      </c>
      <c r="I643" s="6"/>
      <c r="J643" s="43"/>
      <c r="K643" s="51"/>
    </row>
    <row r="644" spans="1:15" x14ac:dyDescent="0.2">
      <c r="A644" s="1">
        <v>635</v>
      </c>
      <c r="B644" s="1" t="s">
        <v>92</v>
      </c>
      <c r="C644" s="32" t="s">
        <v>63</v>
      </c>
      <c r="D644" s="1">
        <v>3500</v>
      </c>
      <c r="E644" s="1"/>
      <c r="F644" s="1">
        <v>36.18</v>
      </c>
      <c r="G644" s="1">
        <v>3500</v>
      </c>
      <c r="H644" s="5">
        <f t="shared" si="27"/>
        <v>0</v>
      </c>
      <c r="I644" s="6"/>
      <c r="J644" s="43"/>
      <c r="K644" s="51"/>
    </row>
    <row r="645" spans="1:15" x14ac:dyDescent="0.2">
      <c r="A645" s="1">
        <v>636</v>
      </c>
      <c r="B645" s="1" t="s">
        <v>92</v>
      </c>
      <c r="C645" s="32" t="s">
        <v>61</v>
      </c>
      <c r="D645" s="1">
        <v>5000</v>
      </c>
      <c r="E645" s="1"/>
      <c r="F645" s="1">
        <v>51.69</v>
      </c>
      <c r="G645" s="1">
        <v>5000</v>
      </c>
      <c r="H645" s="5">
        <f t="shared" si="27"/>
        <v>0</v>
      </c>
      <c r="I645" s="6"/>
      <c r="J645" s="43"/>
      <c r="K645" s="51"/>
    </row>
    <row r="646" spans="1:15" x14ac:dyDescent="0.2">
      <c r="A646" s="1">
        <v>637</v>
      </c>
      <c r="B646" s="1" t="s">
        <v>92</v>
      </c>
      <c r="C646" s="32" t="s">
        <v>66</v>
      </c>
      <c r="D646" s="1">
        <v>400</v>
      </c>
      <c r="E646" s="1"/>
      <c r="F646" s="1">
        <v>4.1349999999999998</v>
      </c>
      <c r="G646" s="1">
        <v>400</v>
      </c>
      <c r="H646" s="5">
        <f t="shared" si="27"/>
        <v>0</v>
      </c>
      <c r="I646" s="6"/>
      <c r="J646" s="43"/>
      <c r="K646" s="51"/>
    </row>
    <row r="647" spans="1:15" x14ac:dyDescent="0.2">
      <c r="A647" s="1">
        <v>638</v>
      </c>
      <c r="B647" s="1" t="s">
        <v>92</v>
      </c>
      <c r="C647" s="32">
        <v>9992</v>
      </c>
      <c r="D647" s="1">
        <v>25000</v>
      </c>
      <c r="E647" s="1"/>
      <c r="F647" s="1">
        <v>258.45</v>
      </c>
      <c r="G647" s="1">
        <v>25000</v>
      </c>
      <c r="H647" s="5">
        <f t="shared" si="27"/>
        <v>0</v>
      </c>
      <c r="I647" s="6"/>
      <c r="J647" s="43"/>
      <c r="K647" s="51"/>
    </row>
    <row r="648" spans="1:15" x14ac:dyDescent="0.2">
      <c r="A648" s="1">
        <v>639</v>
      </c>
      <c r="B648" s="1" t="s">
        <v>92</v>
      </c>
      <c r="C648" s="32">
        <v>2943</v>
      </c>
      <c r="D648" s="1">
        <v>32000</v>
      </c>
      <c r="E648" s="1"/>
      <c r="F648" s="1">
        <v>330.82</v>
      </c>
      <c r="G648" s="1">
        <v>32000</v>
      </c>
      <c r="H648" s="5">
        <f t="shared" si="27"/>
        <v>0</v>
      </c>
      <c r="I648" s="6"/>
      <c r="J648" s="43"/>
      <c r="K648" s="51"/>
    </row>
    <row r="649" spans="1:15" x14ac:dyDescent="0.2">
      <c r="A649" s="1">
        <v>640</v>
      </c>
      <c r="B649" s="1" t="s">
        <v>92</v>
      </c>
      <c r="C649" s="32">
        <v>5027</v>
      </c>
      <c r="D649" s="1">
        <v>22000</v>
      </c>
      <c r="E649" s="1"/>
      <c r="F649" s="1">
        <v>227.43</v>
      </c>
      <c r="G649" s="1">
        <v>22000</v>
      </c>
      <c r="H649" s="5">
        <f t="shared" si="27"/>
        <v>0</v>
      </c>
      <c r="I649" s="6"/>
      <c r="J649" s="43"/>
      <c r="K649" s="51"/>
      <c r="O649">
        <f>35000-3500</f>
        <v>31500</v>
      </c>
    </row>
    <row r="650" spans="1:15" x14ac:dyDescent="0.2">
      <c r="A650" s="1">
        <v>641</v>
      </c>
      <c r="B650" s="1" t="s">
        <v>92</v>
      </c>
      <c r="C650" s="32">
        <v>8790</v>
      </c>
      <c r="D650" s="1">
        <v>10000</v>
      </c>
      <c r="E650" s="1"/>
      <c r="F650" s="1">
        <v>103.38</v>
      </c>
      <c r="G650" s="1">
        <v>10000</v>
      </c>
      <c r="H650" s="5">
        <f t="shared" si="27"/>
        <v>0</v>
      </c>
      <c r="I650" s="6"/>
      <c r="J650" s="43"/>
      <c r="K650" s="51"/>
      <c r="O650">
        <f>2399999-31500</f>
        <v>2368499</v>
      </c>
    </row>
    <row r="651" spans="1:15" x14ac:dyDescent="0.2">
      <c r="A651" s="1">
        <v>642</v>
      </c>
      <c r="B651" s="1" t="s">
        <v>92</v>
      </c>
      <c r="C651" s="32">
        <v>6901</v>
      </c>
      <c r="D651" s="1">
        <v>28000</v>
      </c>
      <c r="E651" s="1"/>
      <c r="F651" s="1">
        <v>289.45999999999998</v>
      </c>
      <c r="G651" s="1">
        <v>28000</v>
      </c>
      <c r="H651" s="5">
        <f t="shared" si="27"/>
        <v>0</v>
      </c>
      <c r="I651" s="6"/>
      <c r="J651" s="43"/>
      <c r="K651" s="51"/>
    </row>
    <row r="652" spans="1:15" x14ac:dyDescent="0.2">
      <c r="A652" s="1">
        <v>643</v>
      </c>
      <c r="B652" s="1" t="s">
        <v>92</v>
      </c>
      <c r="C652" s="32">
        <v>5997</v>
      </c>
      <c r="D652" s="1">
        <v>30000</v>
      </c>
      <c r="E652" s="1"/>
      <c r="F652" s="1">
        <v>310.14</v>
      </c>
      <c r="G652" s="1">
        <v>30000</v>
      </c>
      <c r="H652" s="5">
        <f t="shared" si="27"/>
        <v>0</v>
      </c>
      <c r="I652" s="6"/>
      <c r="J652" s="43"/>
      <c r="K652" s="51"/>
    </row>
    <row r="653" spans="1:15" x14ac:dyDescent="0.2">
      <c r="A653" s="1">
        <v>644</v>
      </c>
      <c r="B653" s="1" t="s">
        <v>94</v>
      </c>
      <c r="C653" s="32">
        <v>302</v>
      </c>
      <c r="D653" s="1">
        <v>33000</v>
      </c>
      <c r="E653" s="1"/>
      <c r="F653" s="1">
        <v>341.15</v>
      </c>
      <c r="G653" s="1">
        <v>33000</v>
      </c>
      <c r="H653" s="5">
        <f t="shared" si="27"/>
        <v>0</v>
      </c>
      <c r="I653" s="6"/>
      <c r="J653" s="43"/>
      <c r="K653" s="51"/>
    </row>
    <row r="654" spans="1:15" x14ac:dyDescent="0.2">
      <c r="A654" s="1">
        <v>645</v>
      </c>
      <c r="B654" s="1" t="s">
        <v>94</v>
      </c>
      <c r="C654" s="32">
        <v>1828</v>
      </c>
      <c r="D654" s="1">
        <v>30000</v>
      </c>
      <c r="E654" s="1"/>
      <c r="F654" s="1">
        <v>310.14</v>
      </c>
      <c r="G654" s="1">
        <v>30000</v>
      </c>
      <c r="H654" s="5">
        <f t="shared" si="27"/>
        <v>0</v>
      </c>
      <c r="I654" s="6"/>
      <c r="J654" s="43"/>
      <c r="K654" s="51"/>
    </row>
    <row r="655" spans="1:15" x14ac:dyDescent="0.2">
      <c r="A655" s="1">
        <v>646</v>
      </c>
      <c r="B655" s="1" t="s">
        <v>94</v>
      </c>
      <c r="C655" s="32">
        <v>2751</v>
      </c>
      <c r="D655" s="1">
        <v>35000</v>
      </c>
      <c r="E655" s="1"/>
      <c r="F655" s="1">
        <v>361.83</v>
      </c>
      <c r="G655" s="1">
        <v>35000</v>
      </c>
      <c r="H655" s="5">
        <f t="shared" si="27"/>
        <v>0</v>
      </c>
      <c r="I655" s="6"/>
      <c r="J655" s="43"/>
      <c r="K655" s="51"/>
    </row>
    <row r="656" spans="1:15" x14ac:dyDescent="0.2">
      <c r="A656" s="1">
        <v>647</v>
      </c>
      <c r="B656" s="1" t="s">
        <v>94</v>
      </c>
      <c r="C656" s="32">
        <v>1177</v>
      </c>
      <c r="D656" s="1">
        <v>7000</v>
      </c>
      <c r="E656" s="1"/>
      <c r="F656" s="1">
        <v>72.36</v>
      </c>
      <c r="G656" s="1">
        <v>7000</v>
      </c>
      <c r="H656" s="5">
        <f t="shared" si="27"/>
        <v>0</v>
      </c>
      <c r="I656" s="6"/>
      <c r="J656" s="43"/>
      <c r="K656" s="51"/>
    </row>
    <row r="657" spans="1:11" x14ac:dyDescent="0.2">
      <c r="A657" s="1">
        <v>648</v>
      </c>
      <c r="B657" s="1" t="s">
        <v>94</v>
      </c>
      <c r="C657" s="32" t="s">
        <v>61</v>
      </c>
      <c r="D657" s="1">
        <v>4500</v>
      </c>
      <c r="E657" s="1"/>
      <c r="F657" s="1">
        <v>46.52</v>
      </c>
      <c r="G657" s="1">
        <v>4500</v>
      </c>
      <c r="H657" s="5">
        <f t="shared" si="27"/>
        <v>0</v>
      </c>
      <c r="I657" s="6"/>
      <c r="J657" s="43"/>
      <c r="K657" s="51"/>
    </row>
    <row r="658" spans="1:11" x14ac:dyDescent="0.2">
      <c r="A658" s="1">
        <v>649</v>
      </c>
      <c r="B658" s="1" t="s">
        <v>94</v>
      </c>
      <c r="C658" s="32">
        <v>1270</v>
      </c>
      <c r="D658" s="1">
        <v>6000</v>
      </c>
      <c r="E658" s="1"/>
      <c r="F658" s="1">
        <v>62.02</v>
      </c>
      <c r="G658" s="1">
        <v>6000</v>
      </c>
      <c r="H658" s="5">
        <f t="shared" si="27"/>
        <v>0</v>
      </c>
      <c r="I658" s="6"/>
      <c r="J658" s="43"/>
      <c r="K658" s="51"/>
    </row>
    <row r="659" spans="1:11" x14ac:dyDescent="0.2">
      <c r="A659" s="1">
        <v>650</v>
      </c>
      <c r="B659" s="1" t="s">
        <v>94</v>
      </c>
      <c r="C659" s="32">
        <v>8991</v>
      </c>
      <c r="D659" s="1">
        <v>14000</v>
      </c>
      <c r="E659" s="1"/>
      <c r="F659" s="1">
        <v>144.72999999999999</v>
      </c>
      <c r="G659" s="1">
        <v>14000</v>
      </c>
      <c r="H659" s="5">
        <f t="shared" si="27"/>
        <v>0</v>
      </c>
      <c r="I659" s="6"/>
      <c r="J659" s="43"/>
      <c r="K659" s="51"/>
    </row>
    <row r="660" spans="1:11" x14ac:dyDescent="0.2">
      <c r="A660" s="1">
        <v>651</v>
      </c>
      <c r="B660" s="1" t="s">
        <v>94</v>
      </c>
      <c r="C660" s="32">
        <v>5268</v>
      </c>
      <c r="D660" s="1">
        <v>25000</v>
      </c>
      <c r="E660" s="1"/>
      <c r="F660" s="1">
        <v>258.45</v>
      </c>
      <c r="G660" s="1">
        <v>25000</v>
      </c>
      <c r="H660" s="5">
        <f t="shared" si="27"/>
        <v>0</v>
      </c>
      <c r="I660" s="6"/>
      <c r="J660" s="43"/>
      <c r="K660" s="51"/>
    </row>
    <row r="661" spans="1:11" x14ac:dyDescent="0.2">
      <c r="A661" s="1">
        <v>652</v>
      </c>
      <c r="B661" s="1" t="s">
        <v>94</v>
      </c>
      <c r="C661" s="32">
        <v>7568</v>
      </c>
      <c r="D661" s="1">
        <v>25000</v>
      </c>
      <c r="E661" s="1"/>
      <c r="F661" s="1">
        <v>258.45</v>
      </c>
      <c r="G661" s="1">
        <v>25000</v>
      </c>
      <c r="H661" s="5">
        <f t="shared" si="27"/>
        <v>0</v>
      </c>
      <c r="I661" s="6"/>
      <c r="J661" s="43"/>
      <c r="K661" s="51"/>
    </row>
    <row r="662" spans="1:11" x14ac:dyDescent="0.2">
      <c r="A662" s="1">
        <v>653</v>
      </c>
      <c r="B662" s="1" t="s">
        <v>94</v>
      </c>
      <c r="C662" s="32">
        <v>1108</v>
      </c>
      <c r="D662" s="1">
        <v>12000</v>
      </c>
      <c r="E662" s="1"/>
      <c r="F662" s="1">
        <v>124.05</v>
      </c>
      <c r="G662" s="1">
        <v>12000</v>
      </c>
      <c r="H662" s="5">
        <f t="shared" si="27"/>
        <v>0</v>
      </c>
      <c r="I662" s="6"/>
      <c r="J662" s="43"/>
      <c r="K662" s="51"/>
    </row>
    <row r="663" spans="1:11" x14ac:dyDescent="0.2">
      <c r="A663" s="1">
        <v>654</v>
      </c>
      <c r="B663" s="1" t="s">
        <v>96</v>
      </c>
      <c r="C663" s="32">
        <v>5601</v>
      </c>
      <c r="D663" s="1">
        <v>22000</v>
      </c>
      <c r="E663" s="1"/>
      <c r="F663" s="1">
        <v>227.43</v>
      </c>
      <c r="G663" s="1">
        <v>22000</v>
      </c>
      <c r="H663" s="5">
        <f t="shared" si="27"/>
        <v>0</v>
      </c>
      <c r="I663" s="6"/>
      <c r="J663" s="43"/>
      <c r="K663" s="51"/>
    </row>
    <row r="664" spans="1:11" x14ac:dyDescent="0.2">
      <c r="A664" s="1">
        <v>655</v>
      </c>
      <c r="B664" s="1" t="s">
        <v>96</v>
      </c>
      <c r="C664" s="32">
        <v>2878</v>
      </c>
      <c r="D664" s="1">
        <v>10000</v>
      </c>
      <c r="E664" s="1"/>
      <c r="F664" s="1">
        <v>103.38</v>
      </c>
      <c r="G664" s="1">
        <v>10000</v>
      </c>
      <c r="H664" s="5">
        <f t="shared" si="27"/>
        <v>0</v>
      </c>
      <c r="I664" s="6"/>
      <c r="J664" s="43"/>
      <c r="K664" s="51"/>
    </row>
    <row r="665" spans="1:11" x14ac:dyDescent="0.2">
      <c r="A665" s="1">
        <v>656</v>
      </c>
      <c r="B665" s="1" t="s">
        <v>96</v>
      </c>
      <c r="C665" s="32">
        <v>8733</v>
      </c>
      <c r="D665" s="1">
        <v>15000</v>
      </c>
      <c r="E665" s="1"/>
      <c r="F665" s="1">
        <v>155.07</v>
      </c>
      <c r="G665" s="1">
        <v>15000</v>
      </c>
      <c r="H665" s="5">
        <f t="shared" si="27"/>
        <v>0</v>
      </c>
      <c r="I665" s="6"/>
      <c r="J665" s="43"/>
      <c r="K665" s="51"/>
    </row>
    <row r="666" spans="1:11" x14ac:dyDescent="0.2">
      <c r="A666" s="1">
        <v>657</v>
      </c>
      <c r="B666" s="1" t="s">
        <v>96</v>
      </c>
      <c r="C666" s="32">
        <v>2144</v>
      </c>
      <c r="D666" s="1">
        <v>20000</v>
      </c>
      <c r="E666" s="1"/>
      <c r="F666" s="1">
        <v>206.76</v>
      </c>
      <c r="G666" s="1">
        <v>20000</v>
      </c>
      <c r="H666" s="5">
        <f t="shared" si="27"/>
        <v>0</v>
      </c>
      <c r="I666" s="6"/>
      <c r="J666" s="43"/>
      <c r="K666" s="51"/>
    </row>
    <row r="667" spans="1:11" x14ac:dyDescent="0.2">
      <c r="A667" s="1">
        <v>658</v>
      </c>
      <c r="B667" s="1" t="s">
        <v>96</v>
      </c>
      <c r="C667" s="32">
        <v>5237</v>
      </c>
      <c r="D667" s="1">
        <v>35000</v>
      </c>
      <c r="E667" s="1"/>
      <c r="F667" s="1">
        <v>361.83</v>
      </c>
      <c r="G667" s="1">
        <v>35000</v>
      </c>
      <c r="H667" s="5">
        <f t="shared" si="27"/>
        <v>0</v>
      </c>
      <c r="I667" s="6"/>
      <c r="J667" s="43"/>
      <c r="K667" s="51"/>
    </row>
    <row r="668" spans="1:11" x14ac:dyDescent="0.2">
      <c r="A668" s="1">
        <v>659</v>
      </c>
      <c r="B668" s="1" t="s">
        <v>96</v>
      </c>
      <c r="C668" s="32">
        <v>3124</v>
      </c>
      <c r="D668" s="1">
        <v>35000</v>
      </c>
      <c r="E668" s="1"/>
      <c r="F668" s="1">
        <v>361.83</v>
      </c>
      <c r="G668" s="1">
        <v>35000</v>
      </c>
      <c r="H668" s="5">
        <f t="shared" si="27"/>
        <v>0</v>
      </c>
      <c r="I668" s="6"/>
      <c r="J668" s="43"/>
      <c r="K668" s="51"/>
    </row>
    <row r="669" spans="1:11" x14ac:dyDescent="0.2">
      <c r="A669" s="1">
        <v>660</v>
      </c>
      <c r="B669" s="1" t="s">
        <v>100</v>
      </c>
      <c r="C669" s="32" t="s">
        <v>73</v>
      </c>
      <c r="D669" s="1">
        <v>3500</v>
      </c>
      <c r="E669" s="1"/>
      <c r="F669" s="1">
        <v>36.18</v>
      </c>
      <c r="G669" s="1">
        <v>3500</v>
      </c>
      <c r="H669" s="5">
        <f t="shared" si="27"/>
        <v>0</v>
      </c>
      <c r="I669" s="6"/>
      <c r="J669" s="43"/>
      <c r="K669" s="51"/>
    </row>
    <row r="670" spans="1:11" x14ac:dyDescent="0.2">
      <c r="A670" s="1">
        <v>661</v>
      </c>
      <c r="B670" s="1" t="s">
        <v>100</v>
      </c>
      <c r="C670" s="32">
        <v>6373</v>
      </c>
      <c r="D670" s="1">
        <v>18000</v>
      </c>
      <c r="E670" s="1"/>
      <c r="F670" s="1">
        <v>186.08</v>
      </c>
      <c r="G670" s="1">
        <v>18000</v>
      </c>
      <c r="H670" s="5">
        <f t="shared" ref="H670:H734" si="28">D670-G670</f>
        <v>0</v>
      </c>
      <c r="I670" s="6"/>
      <c r="J670" s="43"/>
      <c r="K670" s="51"/>
    </row>
    <row r="671" spans="1:11" x14ac:dyDescent="0.2">
      <c r="A671" s="1">
        <v>662</v>
      </c>
      <c r="B671" s="1" t="s">
        <v>102</v>
      </c>
      <c r="C671" s="32">
        <v>7817</v>
      </c>
      <c r="D671" s="1">
        <v>33000</v>
      </c>
      <c r="E671" s="1"/>
      <c r="F671" s="1">
        <v>341.16</v>
      </c>
      <c r="G671" s="1">
        <v>33000</v>
      </c>
      <c r="H671" s="5">
        <f t="shared" si="28"/>
        <v>0</v>
      </c>
      <c r="I671" s="6"/>
      <c r="J671" s="43"/>
      <c r="K671" s="51"/>
    </row>
    <row r="672" spans="1:11" x14ac:dyDescent="0.2">
      <c r="A672" s="1">
        <v>663</v>
      </c>
      <c r="B672" s="1" t="s">
        <v>102</v>
      </c>
      <c r="C672" s="32">
        <v>711</v>
      </c>
      <c r="D672" s="1">
        <v>35000</v>
      </c>
      <c r="E672" s="1"/>
      <c r="F672" s="1">
        <v>361.83</v>
      </c>
      <c r="G672" s="1">
        <v>35000</v>
      </c>
      <c r="H672" s="5">
        <f t="shared" si="28"/>
        <v>0</v>
      </c>
      <c r="I672" s="6"/>
      <c r="J672" s="43"/>
      <c r="K672" s="51"/>
    </row>
    <row r="673" spans="1:11" x14ac:dyDescent="0.2">
      <c r="A673" s="1">
        <v>664</v>
      </c>
      <c r="B673" s="1" t="s">
        <v>102</v>
      </c>
      <c r="C673" s="32" t="s">
        <v>73</v>
      </c>
      <c r="D673" s="1">
        <v>4500</v>
      </c>
      <c r="E673" s="1"/>
      <c r="F673" s="1">
        <v>46.52</v>
      </c>
      <c r="G673" s="1">
        <v>4500</v>
      </c>
      <c r="H673" s="5">
        <f t="shared" si="28"/>
        <v>0</v>
      </c>
      <c r="I673" s="6"/>
      <c r="J673" s="43"/>
      <c r="K673" s="51"/>
    </row>
    <row r="674" spans="1:11" x14ac:dyDescent="0.2">
      <c r="A674" s="1">
        <v>665</v>
      </c>
      <c r="B674" s="1" t="s">
        <v>102</v>
      </c>
      <c r="C674" s="32">
        <v>3150</v>
      </c>
      <c r="D674" s="1">
        <v>10000</v>
      </c>
      <c r="E674" s="1"/>
      <c r="F674" s="1">
        <v>103.38</v>
      </c>
      <c r="G674" s="1">
        <v>10000</v>
      </c>
      <c r="H674" s="5">
        <f t="shared" si="28"/>
        <v>0</v>
      </c>
      <c r="I674" s="6"/>
      <c r="J674" s="43"/>
      <c r="K674" s="51"/>
    </row>
    <row r="675" spans="1:11" x14ac:dyDescent="0.2">
      <c r="A675" s="1">
        <v>666</v>
      </c>
      <c r="B675" s="1" t="s">
        <v>102</v>
      </c>
      <c r="C675" s="32">
        <v>2034</v>
      </c>
      <c r="D675" s="1">
        <v>30000</v>
      </c>
      <c r="E675" s="1"/>
      <c r="F675" s="1">
        <v>310.14</v>
      </c>
      <c r="G675" s="1">
        <v>30000</v>
      </c>
      <c r="H675" s="5">
        <f t="shared" si="28"/>
        <v>0</v>
      </c>
      <c r="I675" s="6"/>
      <c r="J675" s="43"/>
      <c r="K675" s="51"/>
    </row>
    <row r="676" spans="1:11" x14ac:dyDescent="0.2">
      <c r="A676" s="1">
        <v>667</v>
      </c>
      <c r="B676" s="1" t="s">
        <v>104</v>
      </c>
      <c r="C676" s="32" t="s">
        <v>66</v>
      </c>
      <c r="D676" s="1">
        <v>400</v>
      </c>
      <c r="E676" s="1"/>
      <c r="F676" s="1">
        <v>4.13</v>
      </c>
      <c r="G676" s="1">
        <v>400</v>
      </c>
      <c r="H676" s="5">
        <f t="shared" si="28"/>
        <v>0</v>
      </c>
      <c r="I676" s="6"/>
      <c r="J676" s="43"/>
      <c r="K676" s="51"/>
    </row>
    <row r="677" spans="1:11" x14ac:dyDescent="0.2">
      <c r="A677" s="1">
        <v>668</v>
      </c>
      <c r="B677" s="1" t="s">
        <v>104</v>
      </c>
      <c r="C677" s="32">
        <v>1062</v>
      </c>
      <c r="D677" s="1">
        <v>32000</v>
      </c>
      <c r="E677" s="1"/>
      <c r="F677" s="1">
        <v>330.81</v>
      </c>
      <c r="G677" s="1">
        <v>32000</v>
      </c>
      <c r="H677" s="5">
        <f t="shared" si="28"/>
        <v>0</v>
      </c>
      <c r="I677" s="6"/>
      <c r="J677" s="43"/>
      <c r="K677" s="51"/>
    </row>
    <row r="678" spans="1:11" x14ac:dyDescent="0.2">
      <c r="A678" s="1">
        <v>669</v>
      </c>
      <c r="B678" s="1" t="s">
        <v>105</v>
      </c>
      <c r="C678" s="32">
        <v>3505</v>
      </c>
      <c r="D678" s="1">
        <v>30000</v>
      </c>
      <c r="E678" s="1"/>
      <c r="F678" s="1">
        <v>310.14</v>
      </c>
      <c r="G678" s="1">
        <v>30000</v>
      </c>
      <c r="H678" s="5">
        <f t="shared" si="28"/>
        <v>0</v>
      </c>
      <c r="I678" s="6"/>
      <c r="J678" s="43"/>
      <c r="K678" s="51"/>
    </row>
    <row r="679" spans="1:11" x14ac:dyDescent="0.2">
      <c r="A679" s="1">
        <v>670</v>
      </c>
      <c r="B679" s="1" t="s">
        <v>105</v>
      </c>
      <c r="C679" s="32">
        <v>9855</v>
      </c>
      <c r="D679" s="1">
        <v>9000</v>
      </c>
      <c r="E679" s="1"/>
      <c r="F679" s="1">
        <v>93.04</v>
      </c>
      <c r="G679" s="1">
        <v>9000</v>
      </c>
      <c r="H679" s="5">
        <f t="shared" si="28"/>
        <v>0</v>
      </c>
      <c r="I679" s="6"/>
      <c r="J679" s="43"/>
      <c r="K679" s="51"/>
    </row>
    <row r="680" spans="1:11" x14ac:dyDescent="0.2">
      <c r="A680" s="1">
        <v>671</v>
      </c>
      <c r="B680" s="1" t="s">
        <v>105</v>
      </c>
      <c r="C680" s="32">
        <v>7909</v>
      </c>
      <c r="D680" s="1">
        <v>9000</v>
      </c>
      <c r="E680" s="1"/>
      <c r="F680" s="1">
        <v>93.04</v>
      </c>
      <c r="G680" s="1">
        <v>9000</v>
      </c>
      <c r="H680" s="5">
        <f t="shared" si="28"/>
        <v>0</v>
      </c>
      <c r="I680" s="6"/>
      <c r="J680" s="43"/>
      <c r="K680" s="51"/>
    </row>
    <row r="681" spans="1:11" x14ac:dyDescent="0.2">
      <c r="A681" s="1">
        <v>672</v>
      </c>
      <c r="B681" s="1" t="s">
        <v>105</v>
      </c>
      <c r="C681" s="32" t="s">
        <v>61</v>
      </c>
      <c r="D681" s="1">
        <v>3500</v>
      </c>
      <c r="E681" s="1"/>
      <c r="F681" s="1">
        <v>36.18</v>
      </c>
      <c r="G681" s="1">
        <v>3500</v>
      </c>
      <c r="H681" s="5">
        <f t="shared" si="28"/>
        <v>0</v>
      </c>
      <c r="I681" s="6"/>
      <c r="J681" s="43"/>
      <c r="K681" s="51"/>
    </row>
    <row r="682" spans="1:11" x14ac:dyDescent="0.2">
      <c r="A682" s="1">
        <v>673</v>
      </c>
      <c r="B682" s="1" t="s">
        <v>105</v>
      </c>
      <c r="C682" s="32">
        <v>979</v>
      </c>
      <c r="D682" s="1">
        <v>10000</v>
      </c>
      <c r="E682" s="1"/>
      <c r="F682" s="1">
        <v>103.38</v>
      </c>
      <c r="G682" s="1">
        <v>10000</v>
      </c>
      <c r="H682" s="5">
        <f t="shared" si="28"/>
        <v>0</v>
      </c>
      <c r="I682" s="6"/>
      <c r="J682" s="43"/>
      <c r="K682" s="51"/>
    </row>
    <row r="683" spans="1:11" x14ac:dyDescent="0.2">
      <c r="A683" s="1">
        <v>674</v>
      </c>
      <c r="B683" s="1" t="s">
        <v>105</v>
      </c>
      <c r="C683" s="32">
        <v>1522</v>
      </c>
      <c r="D683" s="1">
        <v>36000</v>
      </c>
      <c r="E683" s="1"/>
      <c r="F683" s="1">
        <v>372.16</v>
      </c>
      <c r="G683" s="1">
        <v>36000</v>
      </c>
      <c r="H683" s="5">
        <f t="shared" si="28"/>
        <v>0</v>
      </c>
      <c r="I683" s="6"/>
      <c r="J683" s="43"/>
      <c r="K683" s="51"/>
    </row>
    <row r="684" spans="1:11" x14ac:dyDescent="0.2">
      <c r="A684" s="1">
        <v>675</v>
      </c>
      <c r="B684" s="1" t="s">
        <v>105</v>
      </c>
      <c r="C684" s="32">
        <v>1347</v>
      </c>
      <c r="D684" s="1">
        <v>23000</v>
      </c>
      <c r="E684" s="1"/>
      <c r="F684" s="1">
        <v>237.77</v>
      </c>
      <c r="G684" s="1">
        <v>23000</v>
      </c>
      <c r="H684" s="5">
        <f t="shared" si="28"/>
        <v>0</v>
      </c>
      <c r="I684" s="6"/>
      <c r="J684" s="43"/>
      <c r="K684" s="51"/>
    </row>
    <row r="685" spans="1:11" x14ac:dyDescent="0.2">
      <c r="A685" s="1">
        <v>676</v>
      </c>
      <c r="B685" s="1" t="s">
        <v>105</v>
      </c>
      <c r="C685" s="32">
        <v>1121</v>
      </c>
      <c r="D685" s="1">
        <v>30000</v>
      </c>
      <c r="E685" s="1"/>
      <c r="F685" s="1">
        <v>310.14</v>
      </c>
      <c r="G685" s="1">
        <v>30000</v>
      </c>
      <c r="H685" s="5">
        <f t="shared" si="28"/>
        <v>0</v>
      </c>
      <c r="I685" s="6"/>
      <c r="J685" s="43"/>
      <c r="K685" s="51"/>
    </row>
    <row r="686" spans="1:11" x14ac:dyDescent="0.2">
      <c r="A686" s="1">
        <v>677</v>
      </c>
      <c r="B686" s="1" t="s">
        <v>106</v>
      </c>
      <c r="C686" s="32">
        <v>13</v>
      </c>
      <c r="D686" s="1">
        <v>9000</v>
      </c>
      <c r="E686" s="1"/>
      <c r="F686" s="1">
        <v>93.04</v>
      </c>
      <c r="G686" s="1">
        <v>9000</v>
      </c>
      <c r="H686" s="5">
        <f t="shared" si="28"/>
        <v>0</v>
      </c>
      <c r="I686" s="6"/>
      <c r="J686" s="43"/>
      <c r="K686" s="51"/>
    </row>
    <row r="687" spans="1:11" x14ac:dyDescent="0.2">
      <c r="A687" s="1">
        <v>678</v>
      </c>
      <c r="B687" s="1" t="s">
        <v>106</v>
      </c>
      <c r="C687" s="32" t="s">
        <v>61</v>
      </c>
      <c r="D687" s="1">
        <v>4500</v>
      </c>
      <c r="E687" s="1"/>
      <c r="F687" s="1">
        <v>46.52</v>
      </c>
      <c r="G687" s="1">
        <v>4500</v>
      </c>
      <c r="H687" s="5">
        <f t="shared" si="28"/>
        <v>0</v>
      </c>
      <c r="I687" s="6"/>
      <c r="J687" s="43"/>
      <c r="K687" s="51"/>
    </row>
    <row r="688" spans="1:11" x14ac:dyDescent="0.2">
      <c r="A688" s="1">
        <v>679</v>
      </c>
      <c r="B688" s="1" t="s">
        <v>106</v>
      </c>
      <c r="C688" s="32">
        <v>7798</v>
      </c>
      <c r="D688" s="1">
        <v>25000</v>
      </c>
      <c r="E688" s="1"/>
      <c r="F688" s="1">
        <v>258.45</v>
      </c>
      <c r="G688" s="1">
        <v>25000</v>
      </c>
      <c r="H688" s="5">
        <f t="shared" si="28"/>
        <v>0</v>
      </c>
      <c r="I688" s="6"/>
      <c r="J688" s="43"/>
      <c r="K688" s="51"/>
    </row>
    <row r="689" spans="1:11" x14ac:dyDescent="0.2">
      <c r="A689" s="1">
        <v>680</v>
      </c>
      <c r="B689" s="1" t="s">
        <v>106</v>
      </c>
      <c r="C689" s="32">
        <v>4171</v>
      </c>
      <c r="D689" s="1">
        <v>30000</v>
      </c>
      <c r="E689" s="1"/>
      <c r="F689" s="1">
        <v>310.14</v>
      </c>
      <c r="G689" s="1">
        <v>30000</v>
      </c>
      <c r="H689" s="5">
        <f t="shared" si="28"/>
        <v>0</v>
      </c>
      <c r="I689" s="6"/>
      <c r="J689" s="43"/>
      <c r="K689" s="51"/>
    </row>
    <row r="690" spans="1:11" x14ac:dyDescent="0.2">
      <c r="A690" s="1">
        <v>681</v>
      </c>
      <c r="B690" s="1" t="s">
        <v>106</v>
      </c>
      <c r="C690" s="32">
        <v>3897</v>
      </c>
      <c r="D690" s="1">
        <v>35000</v>
      </c>
      <c r="E690" s="1"/>
      <c r="F690" s="1">
        <v>336</v>
      </c>
      <c r="G690" s="1">
        <v>35000</v>
      </c>
      <c r="H690" s="5">
        <f t="shared" si="28"/>
        <v>0</v>
      </c>
      <c r="I690" s="6"/>
      <c r="J690" s="43"/>
      <c r="K690" s="51"/>
    </row>
    <row r="691" spans="1:11" x14ac:dyDescent="0.2">
      <c r="A691" s="1">
        <v>682</v>
      </c>
      <c r="B691" s="1" t="s">
        <v>106</v>
      </c>
      <c r="C691" s="32">
        <v>2851</v>
      </c>
      <c r="D691" s="1">
        <v>24000</v>
      </c>
      <c r="E691" s="1"/>
      <c r="F691" s="1">
        <v>239</v>
      </c>
      <c r="G691" s="1">
        <v>24000</v>
      </c>
      <c r="H691" s="5">
        <f t="shared" si="28"/>
        <v>0</v>
      </c>
      <c r="I691" s="6"/>
      <c r="J691" s="43"/>
      <c r="K691" s="51"/>
    </row>
    <row r="692" spans="1:11" x14ac:dyDescent="0.2">
      <c r="A692" s="1">
        <v>683</v>
      </c>
      <c r="B692" s="1" t="s">
        <v>106</v>
      </c>
      <c r="C692" s="32">
        <v>2898</v>
      </c>
      <c r="D692" s="1">
        <v>30000</v>
      </c>
      <c r="E692" s="1"/>
      <c r="F692" s="1">
        <v>310</v>
      </c>
      <c r="G692" s="1">
        <v>30000</v>
      </c>
      <c r="H692" s="5">
        <f t="shared" si="28"/>
        <v>0</v>
      </c>
      <c r="I692" s="6"/>
      <c r="J692" s="43"/>
      <c r="K692" s="51"/>
    </row>
    <row r="693" spans="1:11" x14ac:dyDescent="0.2">
      <c r="A693" s="1">
        <v>684</v>
      </c>
      <c r="B693" s="1" t="s">
        <v>106</v>
      </c>
      <c r="C693" s="32">
        <v>7215</v>
      </c>
      <c r="D693" s="1">
        <v>30000</v>
      </c>
      <c r="E693" s="1"/>
      <c r="F693" s="1">
        <v>304</v>
      </c>
      <c r="G693" s="1">
        <v>30000</v>
      </c>
      <c r="H693" s="5">
        <f t="shared" si="28"/>
        <v>0</v>
      </c>
      <c r="I693" s="6"/>
      <c r="J693" s="43"/>
      <c r="K693" s="51"/>
    </row>
    <row r="694" spans="1:11" x14ac:dyDescent="0.2">
      <c r="A694" s="1">
        <v>685</v>
      </c>
      <c r="B694" s="1" t="s">
        <v>106</v>
      </c>
      <c r="C694" s="32" t="s">
        <v>66</v>
      </c>
      <c r="D694" s="1">
        <v>100</v>
      </c>
      <c r="E694" s="1"/>
      <c r="F694" s="1">
        <v>1.04</v>
      </c>
      <c r="G694" s="1">
        <v>100</v>
      </c>
      <c r="H694" s="5">
        <f t="shared" si="28"/>
        <v>0</v>
      </c>
      <c r="I694" s="6"/>
      <c r="J694" s="43"/>
      <c r="K694" s="51"/>
    </row>
    <row r="695" spans="1:11" x14ac:dyDescent="0.2">
      <c r="A695" s="1">
        <v>686</v>
      </c>
      <c r="B695" s="1" t="s">
        <v>107</v>
      </c>
      <c r="C695" s="32">
        <v>7102</v>
      </c>
      <c r="D695" s="1">
        <v>5180</v>
      </c>
      <c r="E695" s="1"/>
      <c r="F695" s="1">
        <v>53.05</v>
      </c>
      <c r="G695" s="1">
        <v>5180</v>
      </c>
      <c r="H695" s="5">
        <f t="shared" si="28"/>
        <v>0</v>
      </c>
      <c r="I695" s="6"/>
      <c r="J695" s="43"/>
      <c r="K695" s="51"/>
    </row>
    <row r="696" spans="1:11" x14ac:dyDescent="0.2">
      <c r="A696" s="1">
        <v>687</v>
      </c>
      <c r="B696" s="1" t="s">
        <v>107</v>
      </c>
      <c r="C696" s="32">
        <v>7488</v>
      </c>
      <c r="D696" s="1">
        <v>9000</v>
      </c>
      <c r="E696" s="1"/>
      <c r="F696" s="1">
        <v>93.04</v>
      </c>
      <c r="G696" s="1">
        <v>9000</v>
      </c>
      <c r="H696" s="5">
        <f t="shared" si="28"/>
        <v>0</v>
      </c>
      <c r="I696" s="6"/>
      <c r="J696" s="43"/>
      <c r="K696" s="51"/>
    </row>
    <row r="697" spans="1:11" x14ac:dyDescent="0.2">
      <c r="A697" s="1">
        <v>688</v>
      </c>
      <c r="B697" s="1" t="s">
        <v>107</v>
      </c>
      <c r="C697" s="32">
        <v>4156</v>
      </c>
      <c r="D697" s="1">
        <v>35000</v>
      </c>
      <c r="E697" s="1"/>
      <c r="F697" s="1">
        <v>361.83</v>
      </c>
      <c r="G697" s="1">
        <v>35000</v>
      </c>
      <c r="H697" s="5">
        <f t="shared" si="28"/>
        <v>0</v>
      </c>
      <c r="I697" s="6"/>
      <c r="J697" s="43"/>
      <c r="K697" s="51"/>
    </row>
    <row r="698" spans="1:11" x14ac:dyDescent="0.2">
      <c r="A698" s="1">
        <v>689</v>
      </c>
      <c r="B698" s="1" t="s">
        <v>107</v>
      </c>
      <c r="C698" s="32" t="s">
        <v>63</v>
      </c>
      <c r="D698" s="1">
        <v>3500</v>
      </c>
      <c r="E698" s="1"/>
      <c r="F698" s="1">
        <v>36.18</v>
      </c>
      <c r="G698" s="1">
        <v>3500</v>
      </c>
      <c r="H698" s="5">
        <f t="shared" si="28"/>
        <v>0</v>
      </c>
      <c r="I698" s="6"/>
      <c r="J698" s="43"/>
      <c r="K698" s="51"/>
    </row>
    <row r="699" spans="1:11" x14ac:dyDescent="0.2">
      <c r="A699" s="1">
        <v>690</v>
      </c>
      <c r="B699" s="1" t="s">
        <v>107</v>
      </c>
      <c r="C699" s="32" t="s">
        <v>66</v>
      </c>
      <c r="D699" s="1">
        <v>400</v>
      </c>
      <c r="E699" s="1"/>
      <c r="F699" s="1">
        <v>3.85</v>
      </c>
      <c r="G699" s="1">
        <v>400</v>
      </c>
      <c r="H699" s="5">
        <f t="shared" si="28"/>
        <v>0</v>
      </c>
      <c r="I699" s="6"/>
      <c r="J699" s="43"/>
      <c r="K699" s="51"/>
    </row>
    <row r="700" spans="1:11" x14ac:dyDescent="0.2">
      <c r="A700" s="1">
        <v>691</v>
      </c>
      <c r="B700" s="1" t="s">
        <v>111</v>
      </c>
      <c r="C700" s="32" t="s">
        <v>61</v>
      </c>
      <c r="D700" s="1">
        <v>4500</v>
      </c>
      <c r="E700" s="1"/>
      <c r="F700" s="1">
        <v>46.52</v>
      </c>
      <c r="G700" s="1">
        <v>4500</v>
      </c>
      <c r="H700" s="5">
        <f t="shared" si="28"/>
        <v>0</v>
      </c>
      <c r="I700" s="6"/>
      <c r="J700" s="43"/>
      <c r="K700" s="51"/>
    </row>
    <row r="701" spans="1:11" x14ac:dyDescent="0.2">
      <c r="A701" s="1">
        <v>692</v>
      </c>
      <c r="B701" s="1" t="s">
        <v>111</v>
      </c>
      <c r="C701" s="32">
        <v>603</v>
      </c>
      <c r="D701" s="1">
        <v>13000</v>
      </c>
      <c r="E701" s="1"/>
      <c r="F701" s="1">
        <v>134.38999999999999</v>
      </c>
      <c r="G701" s="1">
        <v>13000</v>
      </c>
      <c r="H701" s="5">
        <f t="shared" si="28"/>
        <v>0</v>
      </c>
      <c r="I701" s="6"/>
      <c r="J701" s="43"/>
      <c r="K701" s="51"/>
    </row>
    <row r="702" spans="1:11" x14ac:dyDescent="0.2">
      <c r="A702" s="1">
        <v>693</v>
      </c>
      <c r="B702" s="1" t="s">
        <v>111</v>
      </c>
      <c r="C702" s="32">
        <v>2566</v>
      </c>
      <c r="D702" s="1">
        <v>13000</v>
      </c>
      <c r="E702" s="1"/>
      <c r="F702" s="1">
        <v>134.38999999999999</v>
      </c>
      <c r="G702" s="1">
        <v>13000</v>
      </c>
      <c r="H702" s="5">
        <f t="shared" si="28"/>
        <v>0</v>
      </c>
      <c r="I702" s="6"/>
      <c r="J702" s="43"/>
      <c r="K702" s="51"/>
    </row>
    <row r="703" spans="1:11" x14ac:dyDescent="0.2">
      <c r="A703" s="1">
        <v>694</v>
      </c>
      <c r="B703" s="1" t="s">
        <v>111</v>
      </c>
      <c r="C703" s="32">
        <v>4787</v>
      </c>
      <c r="D703" s="1">
        <v>25000</v>
      </c>
      <c r="E703" s="1"/>
      <c r="F703" s="1">
        <v>258.45</v>
      </c>
      <c r="G703" s="1">
        <v>25000</v>
      </c>
      <c r="H703" s="5">
        <f t="shared" si="28"/>
        <v>0</v>
      </c>
      <c r="I703" s="6"/>
      <c r="J703" s="43"/>
      <c r="K703" s="51"/>
    </row>
    <row r="704" spans="1:11" x14ac:dyDescent="0.2">
      <c r="A704" s="1">
        <v>695</v>
      </c>
      <c r="B704" s="1" t="s">
        <v>111</v>
      </c>
      <c r="C704" s="32">
        <v>5691</v>
      </c>
      <c r="D704" s="1">
        <v>25000</v>
      </c>
      <c r="E704" s="1"/>
      <c r="F704" s="1">
        <v>258.45</v>
      </c>
      <c r="G704" s="1">
        <v>25000</v>
      </c>
      <c r="H704" s="5">
        <f t="shared" si="28"/>
        <v>0</v>
      </c>
      <c r="I704" s="6"/>
      <c r="J704" s="43"/>
      <c r="K704" s="51"/>
    </row>
    <row r="705" spans="1:13" x14ac:dyDescent="0.2">
      <c r="A705" s="1">
        <v>696</v>
      </c>
      <c r="B705" s="1" t="s">
        <v>111</v>
      </c>
      <c r="C705" s="32">
        <v>3535</v>
      </c>
      <c r="D705" s="1">
        <v>25000</v>
      </c>
      <c r="E705" s="1"/>
      <c r="F705" s="1">
        <v>258.45</v>
      </c>
      <c r="G705" s="1">
        <v>25000</v>
      </c>
      <c r="H705" s="5">
        <f t="shared" si="28"/>
        <v>0</v>
      </c>
      <c r="I705" s="6"/>
      <c r="J705" s="43"/>
      <c r="K705" s="51"/>
    </row>
    <row r="706" spans="1:13" ht="15" x14ac:dyDescent="0.25">
      <c r="A706" s="1">
        <v>697</v>
      </c>
      <c r="B706" s="1" t="s">
        <v>111</v>
      </c>
      <c r="C706" s="32">
        <v>6135</v>
      </c>
      <c r="D706" s="1">
        <v>7000</v>
      </c>
      <c r="E706" s="1"/>
      <c r="F706" s="1">
        <v>72.36</v>
      </c>
      <c r="G706" s="1">
        <v>7000</v>
      </c>
      <c r="H706" s="5">
        <f t="shared" si="28"/>
        <v>0</v>
      </c>
      <c r="I706" s="6"/>
      <c r="J706" s="43"/>
      <c r="K706" s="51"/>
      <c r="L706" s="48">
        <f>1566035-1564034</f>
        <v>2001</v>
      </c>
      <c r="M706" t="s">
        <v>113</v>
      </c>
    </row>
    <row r="707" spans="1:13" x14ac:dyDescent="0.2">
      <c r="A707" s="1">
        <v>698</v>
      </c>
      <c r="B707" s="1" t="s">
        <v>112</v>
      </c>
      <c r="C707" s="32">
        <v>1352</v>
      </c>
      <c r="D707" s="1">
        <v>14000</v>
      </c>
      <c r="E707" s="1"/>
      <c r="F707" s="1">
        <v>144.72999999999999</v>
      </c>
      <c r="G707" s="1">
        <v>14000</v>
      </c>
      <c r="H707" s="5">
        <f t="shared" si="28"/>
        <v>0</v>
      </c>
      <c r="I707" s="6"/>
      <c r="J707" s="43"/>
      <c r="K707" s="51"/>
    </row>
    <row r="708" spans="1:13" x14ac:dyDescent="0.2">
      <c r="A708" s="1">
        <v>699</v>
      </c>
      <c r="B708" s="1" t="s">
        <v>112</v>
      </c>
      <c r="C708" s="32">
        <v>8084</v>
      </c>
      <c r="D708" s="1">
        <v>30000</v>
      </c>
      <c r="E708" s="1"/>
      <c r="F708" s="1">
        <v>310.14</v>
      </c>
      <c r="G708" s="1">
        <v>30000</v>
      </c>
      <c r="H708" s="5">
        <f t="shared" si="28"/>
        <v>0</v>
      </c>
      <c r="I708" s="6"/>
      <c r="J708" s="43"/>
      <c r="K708" s="51"/>
    </row>
    <row r="709" spans="1:13" x14ac:dyDescent="0.2">
      <c r="A709" s="1">
        <v>700</v>
      </c>
      <c r="B709" s="1" t="s">
        <v>112</v>
      </c>
      <c r="C709" s="32">
        <v>5836</v>
      </c>
      <c r="D709" s="1">
        <v>25000</v>
      </c>
      <c r="E709" s="1"/>
      <c r="F709" s="1">
        <v>258.45</v>
      </c>
      <c r="G709" s="1">
        <v>25000</v>
      </c>
      <c r="H709" s="5">
        <f t="shared" si="28"/>
        <v>0</v>
      </c>
      <c r="I709" s="6"/>
      <c r="J709" s="43"/>
      <c r="K709" s="51"/>
    </row>
    <row r="710" spans="1:13" ht="15" x14ac:dyDescent="0.25">
      <c r="A710" s="1">
        <v>701</v>
      </c>
      <c r="B710" s="1" t="s">
        <v>112</v>
      </c>
      <c r="C710" s="32">
        <v>1309</v>
      </c>
      <c r="D710" s="1">
        <v>18000</v>
      </c>
      <c r="E710" s="1"/>
      <c r="F710" s="1">
        <v>186.08</v>
      </c>
      <c r="G710" s="1">
        <v>18000</v>
      </c>
      <c r="H710" s="5">
        <f t="shared" si="28"/>
        <v>0</v>
      </c>
      <c r="I710" s="6"/>
      <c r="J710" s="43"/>
      <c r="K710" s="51"/>
      <c r="L710" s="48">
        <f>1565035-1551034</f>
        <v>14001</v>
      </c>
      <c r="M710" t="s">
        <v>113</v>
      </c>
    </row>
    <row r="711" spans="1:13" ht="15" x14ac:dyDescent="0.25">
      <c r="A711" s="1">
        <v>702</v>
      </c>
      <c r="B711" s="1" t="s">
        <v>114</v>
      </c>
      <c r="C711" s="32" t="s">
        <v>61</v>
      </c>
      <c r="D711" s="1">
        <v>4500</v>
      </c>
      <c r="E711" s="1"/>
      <c r="F711" s="1">
        <v>46.52</v>
      </c>
      <c r="G711" s="1">
        <v>4500</v>
      </c>
      <c r="H711" s="5">
        <f t="shared" si="28"/>
        <v>0</v>
      </c>
      <c r="I711" s="6"/>
      <c r="J711" s="43"/>
      <c r="K711" s="51"/>
      <c r="L711" s="48"/>
    </row>
    <row r="712" spans="1:13" ht="15" x14ac:dyDescent="0.25">
      <c r="A712" s="1">
        <v>703</v>
      </c>
      <c r="B712" s="1" t="s">
        <v>114</v>
      </c>
      <c r="C712" s="32">
        <v>1220</v>
      </c>
      <c r="D712" s="1">
        <v>14000</v>
      </c>
      <c r="E712" s="1"/>
      <c r="F712" s="1">
        <v>144.75</v>
      </c>
      <c r="G712" s="1">
        <v>14000</v>
      </c>
      <c r="H712" s="5">
        <f t="shared" si="28"/>
        <v>0</v>
      </c>
      <c r="I712" s="6"/>
      <c r="J712" s="43"/>
      <c r="K712" s="51"/>
      <c r="L712" s="48"/>
    </row>
    <row r="713" spans="1:13" ht="15" x14ac:dyDescent="0.25">
      <c r="A713" s="1">
        <v>704</v>
      </c>
      <c r="B713" s="1" t="s">
        <v>114</v>
      </c>
      <c r="C713" s="32">
        <v>9286</v>
      </c>
      <c r="D713" s="1">
        <v>10000</v>
      </c>
      <c r="E713" s="1"/>
      <c r="F713" s="1">
        <v>103.96</v>
      </c>
      <c r="G713" s="1">
        <v>10000</v>
      </c>
      <c r="H713" s="5">
        <f t="shared" si="28"/>
        <v>0</v>
      </c>
      <c r="I713" s="6"/>
      <c r="J713" s="43"/>
      <c r="K713" s="51"/>
      <c r="L713" s="48"/>
    </row>
    <row r="714" spans="1:13" ht="15" x14ac:dyDescent="0.25">
      <c r="A714" s="1">
        <v>705</v>
      </c>
      <c r="B714" s="1" t="s">
        <v>114</v>
      </c>
      <c r="C714" s="32" t="s">
        <v>61</v>
      </c>
      <c r="D714" s="1">
        <v>3500</v>
      </c>
      <c r="E714" s="1"/>
      <c r="F714" s="1">
        <v>35</v>
      </c>
      <c r="G714" s="1">
        <v>3500</v>
      </c>
      <c r="H714" s="5">
        <f t="shared" si="28"/>
        <v>0</v>
      </c>
      <c r="I714" s="6"/>
      <c r="J714" s="43"/>
      <c r="K714" s="51"/>
      <c r="L714" s="48"/>
    </row>
    <row r="715" spans="1:13" ht="15" x14ac:dyDescent="0.25">
      <c r="A715" s="1">
        <v>706</v>
      </c>
      <c r="B715" s="1" t="s">
        <v>114</v>
      </c>
      <c r="C715" s="32">
        <v>6648</v>
      </c>
      <c r="D715" s="1">
        <v>30000</v>
      </c>
      <c r="E715" s="1"/>
      <c r="F715" s="1">
        <v>276</v>
      </c>
      <c r="G715" s="1">
        <v>30000</v>
      </c>
      <c r="H715" s="5">
        <f t="shared" si="28"/>
        <v>0</v>
      </c>
      <c r="I715" s="6"/>
      <c r="J715" s="43"/>
      <c r="K715" s="51"/>
      <c r="L715" s="48"/>
    </row>
    <row r="716" spans="1:13" ht="15" x14ac:dyDescent="0.25">
      <c r="A716" s="1">
        <v>707</v>
      </c>
      <c r="B716" s="1" t="s">
        <v>114</v>
      </c>
      <c r="C716" s="32">
        <v>3389</v>
      </c>
      <c r="D716" s="1">
        <v>27000</v>
      </c>
      <c r="E716" s="1"/>
      <c r="F716" s="1">
        <v>262</v>
      </c>
      <c r="G716" s="1">
        <v>27000</v>
      </c>
      <c r="H716" s="5">
        <f t="shared" si="28"/>
        <v>0</v>
      </c>
      <c r="I716" s="6"/>
      <c r="J716" s="43"/>
      <c r="K716" s="51"/>
      <c r="L716" s="48"/>
    </row>
    <row r="717" spans="1:13" ht="15" x14ac:dyDescent="0.25">
      <c r="A717" s="1">
        <v>708</v>
      </c>
      <c r="B717" s="1" t="s">
        <v>115</v>
      </c>
      <c r="C717" s="32">
        <v>6887</v>
      </c>
      <c r="D717" s="1">
        <v>15000</v>
      </c>
      <c r="E717" s="1"/>
      <c r="F717" s="1">
        <v>155.07</v>
      </c>
      <c r="G717" s="1">
        <v>15000</v>
      </c>
      <c r="H717" s="5">
        <f t="shared" si="28"/>
        <v>0</v>
      </c>
      <c r="I717" s="6"/>
      <c r="J717" s="43"/>
      <c r="K717" s="51"/>
      <c r="L717" s="48"/>
    </row>
    <row r="718" spans="1:13" ht="15" x14ac:dyDescent="0.25">
      <c r="A718" s="1">
        <v>709</v>
      </c>
      <c r="B718" s="1" t="s">
        <v>115</v>
      </c>
      <c r="C718" s="32">
        <v>185</v>
      </c>
      <c r="D718" s="1">
        <v>15000</v>
      </c>
      <c r="E718" s="1"/>
      <c r="F718" s="1">
        <v>155.07</v>
      </c>
      <c r="G718" s="1">
        <v>15000</v>
      </c>
      <c r="H718" s="5">
        <f t="shared" si="28"/>
        <v>0</v>
      </c>
      <c r="I718" s="6"/>
      <c r="J718" s="43"/>
      <c r="K718" s="51"/>
      <c r="L718" s="48"/>
    </row>
    <row r="719" spans="1:13" ht="15" x14ac:dyDescent="0.25">
      <c r="A719" s="1">
        <v>710</v>
      </c>
      <c r="B719" s="1" t="s">
        <v>115</v>
      </c>
      <c r="C719" s="32">
        <v>65</v>
      </c>
      <c r="D719" s="1">
        <v>5000</v>
      </c>
      <c r="E719" s="1"/>
      <c r="F719" s="1">
        <v>51.69</v>
      </c>
      <c r="G719" s="1">
        <v>5000</v>
      </c>
      <c r="H719" s="5">
        <f t="shared" si="28"/>
        <v>0</v>
      </c>
      <c r="I719" s="6"/>
      <c r="J719" s="43"/>
      <c r="K719" s="51"/>
      <c r="L719" s="48"/>
    </row>
    <row r="720" spans="1:13" ht="15" x14ac:dyDescent="0.25">
      <c r="A720" s="1">
        <v>711</v>
      </c>
      <c r="B720" s="1" t="s">
        <v>115</v>
      </c>
      <c r="C720" s="32">
        <v>2473</v>
      </c>
      <c r="D720" s="1">
        <v>15000</v>
      </c>
      <c r="E720" s="1"/>
      <c r="F720" s="1">
        <v>155.07</v>
      </c>
      <c r="G720" s="1">
        <v>15000</v>
      </c>
      <c r="H720" s="5">
        <f t="shared" si="28"/>
        <v>0</v>
      </c>
      <c r="I720" s="6"/>
      <c r="J720" s="43"/>
      <c r="K720" s="51"/>
      <c r="L720" s="48"/>
    </row>
    <row r="721" spans="1:16" ht="15" x14ac:dyDescent="0.25">
      <c r="A721" s="1">
        <v>712</v>
      </c>
      <c r="B721" s="1" t="s">
        <v>115</v>
      </c>
      <c r="C721" s="32">
        <v>1352</v>
      </c>
      <c r="D721" s="1">
        <v>13000</v>
      </c>
      <c r="E721" s="1"/>
      <c r="F721" s="1">
        <v>134.38999999999999</v>
      </c>
      <c r="G721" s="1">
        <v>13000</v>
      </c>
      <c r="H721" s="5">
        <f t="shared" si="28"/>
        <v>0</v>
      </c>
      <c r="I721" s="6"/>
      <c r="J721" s="43"/>
      <c r="K721" s="51"/>
      <c r="L721" s="48"/>
    </row>
    <row r="722" spans="1:16" ht="15" x14ac:dyDescent="0.25">
      <c r="A722" s="1">
        <v>713</v>
      </c>
      <c r="B722" s="1" t="s">
        <v>115</v>
      </c>
      <c r="C722" s="32" t="s">
        <v>66</v>
      </c>
      <c r="D722" s="1">
        <v>100</v>
      </c>
      <c r="E722" s="1"/>
      <c r="F722" s="1">
        <v>1.04</v>
      </c>
      <c r="G722" s="1">
        <v>100</v>
      </c>
      <c r="H722" s="5">
        <f t="shared" si="28"/>
        <v>0</v>
      </c>
      <c r="I722" s="6"/>
      <c r="J722" s="43"/>
      <c r="K722" s="51"/>
      <c r="L722" s="48"/>
    </row>
    <row r="723" spans="1:16" ht="15" x14ac:dyDescent="0.25">
      <c r="A723" s="1">
        <v>714</v>
      </c>
      <c r="B723" s="1" t="s">
        <v>115</v>
      </c>
      <c r="C723" s="32">
        <v>5966</v>
      </c>
      <c r="D723" s="1">
        <v>20000</v>
      </c>
      <c r="E723" s="1"/>
      <c r="F723" s="1">
        <v>206.76</v>
      </c>
      <c r="G723" s="1">
        <v>20000</v>
      </c>
      <c r="H723" s="5">
        <f t="shared" si="28"/>
        <v>0</v>
      </c>
      <c r="I723" s="6"/>
      <c r="J723" s="43"/>
      <c r="K723" s="51"/>
      <c r="L723" s="48"/>
    </row>
    <row r="724" spans="1:16" ht="15" x14ac:dyDescent="0.25">
      <c r="A724" s="1">
        <v>715</v>
      </c>
      <c r="B724" s="1" t="s">
        <v>115</v>
      </c>
      <c r="C724" s="32">
        <v>4015</v>
      </c>
      <c r="D724" s="1">
        <v>30000</v>
      </c>
      <c r="E724" s="1"/>
      <c r="F724" s="1">
        <v>310.14</v>
      </c>
      <c r="G724" s="1">
        <v>30000</v>
      </c>
      <c r="H724" s="5">
        <f t="shared" si="28"/>
        <v>0</v>
      </c>
      <c r="I724" s="6"/>
      <c r="J724" s="43"/>
      <c r="K724" s="51"/>
      <c r="L724" s="48"/>
    </row>
    <row r="725" spans="1:16" ht="15" x14ac:dyDescent="0.25">
      <c r="A725" s="1">
        <v>716</v>
      </c>
      <c r="B725" s="1" t="s">
        <v>115</v>
      </c>
      <c r="C725" s="32">
        <v>9701</v>
      </c>
      <c r="D725" s="1">
        <v>30000</v>
      </c>
      <c r="E725" s="1"/>
      <c r="F725" s="1">
        <v>310.14</v>
      </c>
      <c r="G725" s="1">
        <v>30000</v>
      </c>
      <c r="H725" s="5">
        <f t="shared" si="28"/>
        <v>0</v>
      </c>
      <c r="I725" s="6"/>
      <c r="J725" s="43"/>
      <c r="K725" s="51"/>
      <c r="L725" s="48"/>
    </row>
    <row r="726" spans="1:16" ht="15" x14ac:dyDescent="0.25">
      <c r="A726" s="1">
        <v>717</v>
      </c>
      <c r="B726" s="1" t="s">
        <v>116</v>
      </c>
      <c r="C726" s="32" t="s">
        <v>66</v>
      </c>
      <c r="D726" s="1">
        <v>400</v>
      </c>
      <c r="E726" s="1"/>
      <c r="F726" s="1">
        <v>3.84</v>
      </c>
      <c r="G726" s="1">
        <v>400</v>
      </c>
      <c r="H726" s="5">
        <f t="shared" si="28"/>
        <v>0</v>
      </c>
      <c r="I726" s="6"/>
      <c r="J726" s="43"/>
      <c r="K726" s="51"/>
      <c r="L726" s="48"/>
    </row>
    <row r="727" spans="1:16" ht="15" x14ac:dyDescent="0.25">
      <c r="A727" s="1">
        <v>718</v>
      </c>
      <c r="B727" s="1" t="s">
        <v>116</v>
      </c>
      <c r="C727" s="32">
        <v>205</v>
      </c>
      <c r="D727" s="1">
        <v>13000</v>
      </c>
      <c r="E727" s="1"/>
      <c r="F727" s="1">
        <v>134.35</v>
      </c>
      <c r="G727" s="1">
        <v>13000</v>
      </c>
      <c r="H727" s="5">
        <f t="shared" si="28"/>
        <v>0</v>
      </c>
      <c r="I727" s="6"/>
      <c r="J727" s="43"/>
      <c r="K727" s="51"/>
      <c r="L727" s="48"/>
    </row>
    <row r="728" spans="1:16" ht="15" x14ac:dyDescent="0.25">
      <c r="A728" s="1">
        <v>719</v>
      </c>
      <c r="B728" s="1" t="s">
        <v>116</v>
      </c>
      <c r="C728" s="32">
        <v>311</v>
      </c>
      <c r="D728" s="1">
        <v>20000</v>
      </c>
      <c r="E728" s="1"/>
      <c r="F728" s="1">
        <v>206.26</v>
      </c>
      <c r="G728" s="1">
        <v>20000</v>
      </c>
      <c r="H728" s="5">
        <f t="shared" si="28"/>
        <v>0</v>
      </c>
      <c r="I728" s="6"/>
      <c r="J728" s="43"/>
      <c r="K728" s="51"/>
      <c r="L728" s="48"/>
    </row>
    <row r="729" spans="1:16" ht="15" x14ac:dyDescent="0.25">
      <c r="A729" s="1">
        <v>720</v>
      </c>
      <c r="B729" s="1" t="s">
        <v>116</v>
      </c>
      <c r="C729" s="32">
        <v>4551</v>
      </c>
      <c r="D729" s="1">
        <v>30000</v>
      </c>
      <c r="E729" s="1"/>
      <c r="F729" s="1">
        <v>294.74</v>
      </c>
      <c r="G729" s="1">
        <v>30000</v>
      </c>
      <c r="H729" s="5">
        <f t="shared" si="28"/>
        <v>0</v>
      </c>
      <c r="I729" s="6"/>
      <c r="J729" s="43"/>
      <c r="K729" s="51"/>
      <c r="L729" s="48"/>
    </row>
    <row r="730" spans="1:16" ht="15" x14ac:dyDescent="0.25">
      <c r="A730" s="1">
        <v>721</v>
      </c>
      <c r="B730" s="1" t="s">
        <v>116</v>
      </c>
      <c r="C730" s="32">
        <v>6311</v>
      </c>
      <c r="D730" s="1">
        <v>10000</v>
      </c>
      <c r="E730" s="1"/>
      <c r="F730" s="1">
        <v>103.38</v>
      </c>
      <c r="G730" s="1">
        <v>10000</v>
      </c>
      <c r="H730" s="5">
        <f t="shared" si="28"/>
        <v>0</v>
      </c>
      <c r="I730" s="6"/>
      <c r="J730" s="43"/>
      <c r="K730" s="51"/>
      <c r="L730" s="48"/>
    </row>
    <row r="731" spans="1:16" ht="15" x14ac:dyDescent="0.25">
      <c r="A731" s="1">
        <v>722</v>
      </c>
      <c r="B731" s="1" t="s">
        <v>116</v>
      </c>
      <c r="C731" s="32">
        <v>4151</v>
      </c>
      <c r="D731" s="1">
        <v>35000</v>
      </c>
      <c r="E731" s="1"/>
      <c r="F731" s="1">
        <v>321</v>
      </c>
      <c r="G731" s="1">
        <v>35000</v>
      </c>
      <c r="H731" s="5">
        <f t="shared" si="28"/>
        <v>0</v>
      </c>
      <c r="I731" s="6"/>
      <c r="J731" s="43"/>
      <c r="K731" s="51"/>
      <c r="L731" s="48"/>
    </row>
    <row r="732" spans="1:16" ht="15" x14ac:dyDescent="0.25">
      <c r="A732" s="1">
        <v>723</v>
      </c>
      <c r="B732" s="1" t="s">
        <v>116</v>
      </c>
      <c r="C732" s="32">
        <v>5026</v>
      </c>
      <c r="D732" s="1">
        <v>17000</v>
      </c>
      <c r="E732" s="1"/>
      <c r="F732" s="1">
        <v>175.69</v>
      </c>
      <c r="G732" s="1">
        <v>17000</v>
      </c>
      <c r="H732" s="5">
        <f t="shared" si="28"/>
        <v>0</v>
      </c>
      <c r="I732" s="6"/>
      <c r="J732" s="43"/>
      <c r="K732" s="51"/>
      <c r="L732" s="48"/>
      <c r="P732">
        <f>70*14</f>
        <v>980</v>
      </c>
    </row>
    <row r="733" spans="1:16" ht="15" x14ac:dyDescent="0.25">
      <c r="A733" s="1">
        <v>724</v>
      </c>
      <c r="B733" s="1" t="s">
        <v>118</v>
      </c>
      <c r="C733" s="32" t="s">
        <v>30</v>
      </c>
      <c r="D733" s="1">
        <v>4500</v>
      </c>
      <c r="E733" s="1"/>
      <c r="F733" s="1">
        <v>46.52</v>
      </c>
      <c r="G733" s="1">
        <v>4500</v>
      </c>
      <c r="H733" s="5">
        <f t="shared" si="28"/>
        <v>0</v>
      </c>
      <c r="I733" s="6"/>
      <c r="J733" s="43"/>
      <c r="K733" s="51"/>
      <c r="L733" s="48"/>
    </row>
    <row r="734" spans="1:16" ht="15" x14ac:dyDescent="0.25">
      <c r="A734" s="1">
        <v>725</v>
      </c>
      <c r="B734" s="1" t="s">
        <v>118</v>
      </c>
      <c r="C734" s="32" t="s">
        <v>63</v>
      </c>
      <c r="D734" s="1">
        <v>3500</v>
      </c>
      <c r="E734" s="1"/>
      <c r="F734" s="1">
        <v>36.18</v>
      </c>
      <c r="G734" s="1">
        <v>3500</v>
      </c>
      <c r="H734" s="5">
        <f t="shared" si="28"/>
        <v>0</v>
      </c>
      <c r="I734" s="6"/>
      <c r="J734" s="43"/>
      <c r="K734" s="51"/>
      <c r="L734" s="48"/>
    </row>
    <row r="735" spans="1:16" ht="15" x14ac:dyDescent="0.25">
      <c r="A735" s="1">
        <v>726</v>
      </c>
      <c r="B735" s="1" t="s">
        <v>118</v>
      </c>
      <c r="C735" s="32">
        <v>1727</v>
      </c>
      <c r="D735" s="1">
        <v>30000</v>
      </c>
      <c r="E735" s="1"/>
      <c r="F735" s="1">
        <v>310.14</v>
      </c>
      <c r="G735" s="1">
        <v>30000</v>
      </c>
      <c r="H735" s="5">
        <f t="shared" ref="H735:H798" si="29">D735-G735</f>
        <v>0</v>
      </c>
      <c r="I735" s="6"/>
      <c r="J735" s="43"/>
      <c r="K735" s="51"/>
      <c r="L735" s="48"/>
    </row>
    <row r="736" spans="1:16" ht="15" x14ac:dyDescent="0.25">
      <c r="A736" s="1">
        <v>727</v>
      </c>
      <c r="B736" s="1" t="s">
        <v>118</v>
      </c>
      <c r="C736" s="32">
        <v>4087</v>
      </c>
      <c r="D736" s="1">
        <v>24000</v>
      </c>
      <c r="E736" s="1"/>
      <c r="F736" s="1">
        <v>248.11</v>
      </c>
      <c r="G736" s="1">
        <v>24000</v>
      </c>
      <c r="H736" s="5">
        <f t="shared" si="29"/>
        <v>0</v>
      </c>
      <c r="I736" s="6"/>
      <c r="J736" s="43"/>
      <c r="K736" s="51"/>
      <c r="L736" s="48"/>
    </row>
    <row r="737" spans="1:12" ht="15" x14ac:dyDescent="0.25">
      <c r="A737" s="1">
        <v>728</v>
      </c>
      <c r="B737" s="1" t="s">
        <v>118</v>
      </c>
      <c r="C737" s="32" t="s">
        <v>66</v>
      </c>
      <c r="D737" s="1">
        <v>100</v>
      </c>
      <c r="E737" s="1"/>
      <c r="F737" s="1"/>
      <c r="G737" s="1">
        <v>100</v>
      </c>
      <c r="H737" s="5">
        <f t="shared" si="29"/>
        <v>0</v>
      </c>
      <c r="I737" s="6"/>
      <c r="J737" s="43"/>
      <c r="K737" s="51"/>
      <c r="L737" s="48"/>
    </row>
    <row r="738" spans="1:12" ht="15" x14ac:dyDescent="0.25">
      <c r="A738" s="1">
        <v>729</v>
      </c>
      <c r="B738" s="1" t="s">
        <v>118</v>
      </c>
      <c r="C738" s="32">
        <v>8538</v>
      </c>
      <c r="D738" s="1">
        <v>22000</v>
      </c>
      <c r="E738" s="1"/>
      <c r="F738" s="1">
        <v>227.44</v>
      </c>
      <c r="G738" s="1">
        <v>22000</v>
      </c>
      <c r="H738" s="5">
        <f t="shared" si="29"/>
        <v>0</v>
      </c>
      <c r="I738" s="6"/>
      <c r="J738" s="43"/>
      <c r="K738" s="51"/>
      <c r="L738" s="48"/>
    </row>
    <row r="739" spans="1:12" ht="15" x14ac:dyDescent="0.25">
      <c r="A739" s="1">
        <v>730</v>
      </c>
      <c r="B739" s="1" t="s">
        <v>117</v>
      </c>
      <c r="C739" s="32">
        <v>9835</v>
      </c>
      <c r="D739" s="1">
        <v>12000</v>
      </c>
      <c r="E739" s="1"/>
      <c r="F739" s="1">
        <v>114.05</v>
      </c>
      <c r="G739" s="1">
        <v>12000</v>
      </c>
      <c r="H739" s="5">
        <f t="shared" si="29"/>
        <v>0</v>
      </c>
      <c r="I739" s="6"/>
      <c r="J739" s="43"/>
      <c r="K739" s="51"/>
      <c r="L739" s="48"/>
    </row>
    <row r="740" spans="1:12" ht="15" x14ac:dyDescent="0.25">
      <c r="A740" s="1">
        <v>731</v>
      </c>
      <c r="B740" s="1" t="s">
        <v>117</v>
      </c>
      <c r="C740" s="32">
        <v>1220</v>
      </c>
      <c r="D740" s="1">
        <v>12000</v>
      </c>
      <c r="E740" s="1"/>
      <c r="F740" s="1">
        <v>114.05</v>
      </c>
      <c r="G740" s="1">
        <v>12000</v>
      </c>
      <c r="H740" s="5">
        <f t="shared" si="29"/>
        <v>0</v>
      </c>
      <c r="I740" s="6"/>
      <c r="J740" s="43"/>
      <c r="K740" s="51"/>
      <c r="L740" s="48"/>
    </row>
    <row r="741" spans="1:12" ht="15" x14ac:dyDescent="0.25">
      <c r="A741" s="1">
        <v>732</v>
      </c>
      <c r="B741" s="1" t="s">
        <v>117</v>
      </c>
      <c r="C741" s="32">
        <v>4075</v>
      </c>
      <c r="D741" s="1">
        <v>12500</v>
      </c>
      <c r="E741" s="1"/>
      <c r="F741" s="1">
        <v>129.22999999999999</v>
      </c>
      <c r="G741" s="1">
        <v>12500</v>
      </c>
      <c r="H741" s="5">
        <f t="shared" si="29"/>
        <v>0</v>
      </c>
      <c r="I741" s="6"/>
      <c r="J741" s="43"/>
      <c r="K741" s="51"/>
      <c r="L741" s="48"/>
    </row>
    <row r="742" spans="1:12" ht="15" x14ac:dyDescent="0.25">
      <c r="A742" s="1">
        <v>733</v>
      </c>
      <c r="B742" s="1" t="s">
        <v>117</v>
      </c>
      <c r="C742" s="32">
        <v>6015</v>
      </c>
      <c r="D742" s="1">
        <v>30000</v>
      </c>
      <c r="E742" s="1"/>
      <c r="F742" s="1">
        <v>316.14</v>
      </c>
      <c r="G742" s="1">
        <v>30000</v>
      </c>
      <c r="H742" s="5">
        <f t="shared" si="29"/>
        <v>0</v>
      </c>
      <c r="I742" s="6"/>
      <c r="J742" s="43"/>
      <c r="K742" s="51"/>
      <c r="L742" s="48"/>
    </row>
    <row r="743" spans="1:12" ht="15" x14ac:dyDescent="0.25">
      <c r="A743" s="1">
        <v>734</v>
      </c>
      <c r="B743" s="1" t="s">
        <v>117</v>
      </c>
      <c r="C743" s="32">
        <v>6919</v>
      </c>
      <c r="D743" s="1">
        <v>35000</v>
      </c>
      <c r="E743" s="1"/>
      <c r="F743" s="1">
        <v>361.83</v>
      </c>
      <c r="G743" s="1">
        <v>35000</v>
      </c>
      <c r="H743" s="5">
        <f t="shared" si="29"/>
        <v>0</v>
      </c>
      <c r="I743" s="6"/>
      <c r="J743" s="43"/>
      <c r="K743" s="51"/>
      <c r="L743" s="48"/>
    </row>
    <row r="744" spans="1:12" ht="15" x14ac:dyDescent="0.25">
      <c r="A744" s="1">
        <v>735</v>
      </c>
      <c r="B744" s="1" t="s">
        <v>117</v>
      </c>
      <c r="C744" s="32">
        <v>2834</v>
      </c>
      <c r="D744" s="1">
        <v>15000</v>
      </c>
      <c r="E744" s="1"/>
      <c r="F744" s="1">
        <v>125.07</v>
      </c>
      <c r="G744" s="1">
        <v>15000</v>
      </c>
      <c r="H744" s="5">
        <f t="shared" si="29"/>
        <v>0</v>
      </c>
      <c r="I744" s="6"/>
      <c r="J744" s="43"/>
      <c r="K744" s="51"/>
      <c r="L744" s="48"/>
    </row>
    <row r="745" spans="1:12" ht="15" x14ac:dyDescent="0.25">
      <c r="A745" s="1">
        <v>736</v>
      </c>
      <c r="B745" s="1" t="s">
        <v>117</v>
      </c>
      <c r="C745" s="32" t="s">
        <v>66</v>
      </c>
      <c r="D745" s="1">
        <v>400</v>
      </c>
      <c r="E745" s="1"/>
      <c r="F745" s="1">
        <v>4.2</v>
      </c>
      <c r="G745" s="1">
        <v>400</v>
      </c>
      <c r="H745" s="5">
        <f t="shared" si="29"/>
        <v>0</v>
      </c>
      <c r="I745" s="6"/>
      <c r="J745" s="43"/>
      <c r="K745" s="51"/>
      <c r="L745" s="48"/>
    </row>
    <row r="746" spans="1:12" ht="15" x14ac:dyDescent="0.25">
      <c r="A746" s="1">
        <v>737</v>
      </c>
      <c r="B746" s="1" t="s">
        <v>117</v>
      </c>
      <c r="C746" s="32">
        <v>2152</v>
      </c>
      <c r="D746" s="1">
        <v>25000</v>
      </c>
      <c r="E746" s="1"/>
      <c r="F746" s="1">
        <v>253.3</v>
      </c>
      <c r="G746" s="1">
        <v>25000</v>
      </c>
      <c r="H746" s="5">
        <f t="shared" si="29"/>
        <v>0</v>
      </c>
      <c r="I746" s="6"/>
      <c r="J746" s="43"/>
      <c r="K746" s="51"/>
      <c r="L746" s="48"/>
    </row>
    <row r="747" spans="1:12" ht="15" x14ac:dyDescent="0.25">
      <c r="A747" s="1">
        <v>738</v>
      </c>
      <c r="B747" s="1" t="s">
        <v>117</v>
      </c>
      <c r="C747" s="32">
        <v>4314</v>
      </c>
      <c r="D747" s="1">
        <v>20000</v>
      </c>
      <c r="E747" s="1"/>
      <c r="F747" s="1">
        <v>206.76</v>
      </c>
      <c r="G747" s="1">
        <v>20000</v>
      </c>
      <c r="H747" s="5">
        <f t="shared" si="29"/>
        <v>0</v>
      </c>
      <c r="I747" s="6"/>
      <c r="J747" s="43"/>
      <c r="K747" s="51"/>
      <c r="L747" s="48"/>
    </row>
    <row r="748" spans="1:12" ht="15" x14ac:dyDescent="0.25">
      <c r="A748" s="1">
        <v>739</v>
      </c>
      <c r="B748" s="1" t="s">
        <v>117</v>
      </c>
      <c r="C748" s="32">
        <v>1352</v>
      </c>
      <c r="D748" s="1">
        <v>13000</v>
      </c>
      <c r="E748" s="1"/>
      <c r="F748" s="1">
        <v>134.35</v>
      </c>
      <c r="G748" s="1">
        <v>13000</v>
      </c>
      <c r="H748" s="5">
        <f t="shared" si="29"/>
        <v>0</v>
      </c>
      <c r="I748" s="6"/>
      <c r="J748" s="43"/>
      <c r="K748" s="51"/>
      <c r="L748" s="48"/>
    </row>
    <row r="749" spans="1:12" ht="15" x14ac:dyDescent="0.25">
      <c r="A749" s="1">
        <v>740</v>
      </c>
      <c r="B749" s="1" t="s">
        <v>117</v>
      </c>
      <c r="C749" s="32">
        <v>6852</v>
      </c>
      <c r="D749" s="1">
        <v>25000</v>
      </c>
      <c r="E749" s="1"/>
      <c r="F749" s="1">
        <v>253.3</v>
      </c>
      <c r="G749" s="1">
        <v>25000</v>
      </c>
      <c r="H749" s="5">
        <f t="shared" si="29"/>
        <v>0</v>
      </c>
      <c r="I749" s="6"/>
      <c r="J749" s="43"/>
      <c r="K749" s="51"/>
      <c r="L749" s="48"/>
    </row>
    <row r="750" spans="1:12" ht="15" x14ac:dyDescent="0.25">
      <c r="A750" s="1">
        <v>741</v>
      </c>
      <c r="B750" s="1" t="s">
        <v>117</v>
      </c>
      <c r="C750" s="32">
        <v>1321</v>
      </c>
      <c r="D750" s="1">
        <v>13000</v>
      </c>
      <c r="E750" s="1"/>
      <c r="F750" s="1">
        <v>134.35</v>
      </c>
      <c r="G750" s="1">
        <v>13000</v>
      </c>
      <c r="H750" s="5">
        <f t="shared" si="29"/>
        <v>0</v>
      </c>
      <c r="I750" s="6"/>
      <c r="J750" s="43"/>
      <c r="K750" s="51"/>
      <c r="L750" s="48"/>
    </row>
    <row r="751" spans="1:12" ht="15" x14ac:dyDescent="0.25">
      <c r="A751" s="1">
        <v>742</v>
      </c>
      <c r="B751" s="1" t="s">
        <v>117</v>
      </c>
      <c r="C751" s="32">
        <v>293</v>
      </c>
      <c r="D751" s="1">
        <v>15000</v>
      </c>
      <c r="E751" s="1"/>
      <c r="F751" s="1">
        <v>155</v>
      </c>
      <c r="G751" s="1">
        <v>15000</v>
      </c>
      <c r="H751" s="5">
        <f t="shared" si="29"/>
        <v>0</v>
      </c>
      <c r="I751" s="6"/>
      <c r="J751" s="43"/>
      <c r="K751" s="51"/>
      <c r="L751" s="48"/>
    </row>
    <row r="752" spans="1:12" ht="15" x14ac:dyDescent="0.25">
      <c r="A752" s="1">
        <v>743</v>
      </c>
      <c r="B752" s="1" t="s">
        <v>117</v>
      </c>
      <c r="C752" s="32">
        <v>2740</v>
      </c>
      <c r="D752" s="1">
        <v>15000</v>
      </c>
      <c r="E752" s="1"/>
      <c r="F752" s="1">
        <v>155</v>
      </c>
      <c r="G752" s="1">
        <v>15000</v>
      </c>
      <c r="H752" s="5">
        <f t="shared" si="29"/>
        <v>0</v>
      </c>
      <c r="I752" s="6"/>
      <c r="J752" s="43"/>
      <c r="K752" s="51"/>
      <c r="L752" s="48"/>
    </row>
    <row r="753" spans="1:12" ht="15" x14ac:dyDescent="0.25">
      <c r="A753" s="1">
        <v>744</v>
      </c>
      <c r="B753" s="1" t="s">
        <v>117</v>
      </c>
      <c r="C753" s="85">
        <v>5746</v>
      </c>
      <c r="D753" s="1">
        <v>20000</v>
      </c>
      <c r="E753" s="1"/>
      <c r="F753" s="1">
        <v>206.76</v>
      </c>
      <c r="G753" s="1">
        <v>20000</v>
      </c>
      <c r="H753" s="5">
        <f t="shared" si="29"/>
        <v>0</v>
      </c>
      <c r="I753" s="6"/>
      <c r="J753" s="43"/>
      <c r="K753" s="51"/>
      <c r="L753" s="48"/>
    </row>
    <row r="754" spans="1:12" ht="15" x14ac:dyDescent="0.25">
      <c r="A754" s="1">
        <v>745</v>
      </c>
      <c r="B754" s="1" t="s">
        <v>117</v>
      </c>
      <c r="C754" s="32" t="s">
        <v>61</v>
      </c>
      <c r="D754" s="1">
        <v>4500</v>
      </c>
      <c r="E754" s="1"/>
      <c r="F754" s="1">
        <v>46.12</v>
      </c>
      <c r="G754" s="1">
        <v>4500</v>
      </c>
      <c r="H754" s="5">
        <f t="shared" si="29"/>
        <v>0</v>
      </c>
      <c r="I754" s="6"/>
      <c r="J754" s="43"/>
      <c r="K754" s="51"/>
      <c r="L754" s="48"/>
    </row>
    <row r="755" spans="1:12" ht="15" x14ac:dyDescent="0.25">
      <c r="A755" s="1">
        <v>746</v>
      </c>
      <c r="B755" s="1" t="s">
        <v>117</v>
      </c>
      <c r="C755" s="32">
        <v>1121</v>
      </c>
      <c r="D755" s="1">
        <v>30000</v>
      </c>
      <c r="E755" s="1"/>
      <c r="F755" s="1">
        <v>310.14</v>
      </c>
      <c r="G755" s="1">
        <v>30000</v>
      </c>
      <c r="H755" s="5">
        <f t="shared" si="29"/>
        <v>0</v>
      </c>
      <c r="I755" s="6"/>
      <c r="J755" s="43"/>
      <c r="K755" s="51"/>
      <c r="L755" s="48"/>
    </row>
    <row r="756" spans="1:12" ht="15" x14ac:dyDescent="0.25">
      <c r="A756" s="1">
        <v>747</v>
      </c>
      <c r="B756" s="1" t="s">
        <v>117</v>
      </c>
      <c r="C756" s="32">
        <v>7437</v>
      </c>
      <c r="D756" s="1">
        <v>25000</v>
      </c>
      <c r="E756" s="1"/>
      <c r="F756" s="1">
        <v>247.42</v>
      </c>
      <c r="G756" s="1">
        <v>25000</v>
      </c>
      <c r="H756" s="5">
        <f t="shared" si="29"/>
        <v>0</v>
      </c>
      <c r="I756" s="6"/>
      <c r="J756" s="43"/>
      <c r="K756" s="51"/>
      <c r="L756" s="48"/>
    </row>
    <row r="757" spans="1:12" ht="15" x14ac:dyDescent="0.25">
      <c r="A757" s="1">
        <v>748</v>
      </c>
      <c r="B757" s="1" t="s">
        <v>117</v>
      </c>
      <c r="C757" s="32">
        <v>7322</v>
      </c>
      <c r="D757" s="1">
        <v>20000</v>
      </c>
      <c r="E757" s="1"/>
      <c r="F757" s="1">
        <v>20.76</v>
      </c>
      <c r="G757" s="1">
        <v>20000</v>
      </c>
      <c r="H757" s="5">
        <f t="shared" si="29"/>
        <v>0</v>
      </c>
      <c r="I757" s="6"/>
      <c r="J757" s="43"/>
      <c r="K757" s="51"/>
      <c r="L757" s="48" t="s">
        <v>119</v>
      </c>
    </row>
    <row r="758" spans="1:12" ht="15" x14ac:dyDescent="0.25">
      <c r="A758" s="1">
        <v>749</v>
      </c>
      <c r="B758" s="1" t="s">
        <v>120</v>
      </c>
      <c r="C758" s="32">
        <v>511</v>
      </c>
      <c r="D758" s="1">
        <v>32000</v>
      </c>
      <c r="E758" s="1"/>
      <c r="F758" s="1">
        <v>320.27999999999997</v>
      </c>
      <c r="G758" s="1">
        <v>32000</v>
      </c>
      <c r="H758" s="5">
        <f t="shared" si="29"/>
        <v>0</v>
      </c>
      <c r="I758" s="6"/>
      <c r="J758" s="43"/>
      <c r="K758" s="51"/>
      <c r="L758" s="48"/>
    </row>
    <row r="759" spans="1:12" ht="15" x14ac:dyDescent="0.25">
      <c r="A759" s="1">
        <v>750</v>
      </c>
      <c r="B759" s="1" t="s">
        <v>120</v>
      </c>
      <c r="C759" s="32">
        <v>4194</v>
      </c>
      <c r="D759" s="1">
        <v>15000</v>
      </c>
      <c r="E759" s="1"/>
      <c r="F759" s="1">
        <v>155</v>
      </c>
      <c r="G759" s="1">
        <v>15000</v>
      </c>
      <c r="H759" s="5">
        <f t="shared" si="29"/>
        <v>0</v>
      </c>
      <c r="I759" s="6"/>
      <c r="J759" s="43"/>
      <c r="K759" s="51"/>
      <c r="L759" s="48"/>
    </row>
    <row r="760" spans="1:12" ht="15" x14ac:dyDescent="0.25">
      <c r="A760" s="1">
        <v>751</v>
      </c>
      <c r="B760" s="1" t="s">
        <v>120</v>
      </c>
      <c r="C760" s="32">
        <v>7876</v>
      </c>
      <c r="D760" s="1">
        <v>15000</v>
      </c>
      <c r="E760" s="1"/>
      <c r="F760" s="1">
        <v>155</v>
      </c>
      <c r="G760" s="1">
        <v>15000</v>
      </c>
      <c r="H760" s="5">
        <f t="shared" si="29"/>
        <v>0</v>
      </c>
      <c r="I760" s="6"/>
      <c r="J760" s="43"/>
      <c r="K760" s="51"/>
      <c r="L760" s="48"/>
    </row>
    <row r="761" spans="1:12" ht="15" x14ac:dyDescent="0.25">
      <c r="A761" s="1">
        <v>752</v>
      </c>
      <c r="B761" s="1" t="s">
        <v>120</v>
      </c>
      <c r="C761" s="32">
        <v>9927</v>
      </c>
      <c r="D761" s="1">
        <v>20000</v>
      </c>
      <c r="E761" s="1"/>
      <c r="F761" s="1">
        <v>206.76</v>
      </c>
      <c r="G761" s="1">
        <v>20000</v>
      </c>
      <c r="H761" s="5">
        <f t="shared" si="29"/>
        <v>0</v>
      </c>
      <c r="I761" s="6"/>
      <c r="J761" s="43"/>
      <c r="K761" s="51"/>
      <c r="L761" s="48"/>
    </row>
    <row r="762" spans="1:12" ht="15" x14ac:dyDescent="0.25">
      <c r="A762" s="1">
        <v>753</v>
      </c>
      <c r="B762" s="1" t="s">
        <v>120</v>
      </c>
      <c r="C762" s="32">
        <v>751</v>
      </c>
      <c r="D762" s="1">
        <v>20000</v>
      </c>
      <c r="E762" s="1"/>
      <c r="F762" s="1">
        <v>206.76</v>
      </c>
      <c r="G762" s="1">
        <v>20000</v>
      </c>
      <c r="H762" s="5">
        <f t="shared" si="29"/>
        <v>0</v>
      </c>
      <c r="I762" s="6"/>
      <c r="J762" s="43"/>
      <c r="K762" s="51"/>
      <c r="L762" s="48"/>
    </row>
    <row r="763" spans="1:12" ht="15" x14ac:dyDescent="0.25">
      <c r="A763" s="1">
        <v>754</v>
      </c>
      <c r="B763" s="1" t="s">
        <v>120</v>
      </c>
      <c r="C763" s="32">
        <v>3606</v>
      </c>
      <c r="D763" s="1">
        <v>20000</v>
      </c>
      <c r="E763" s="1"/>
      <c r="F763" s="1">
        <v>206.76</v>
      </c>
      <c r="G763" s="1">
        <v>20000</v>
      </c>
      <c r="H763" s="5">
        <f t="shared" si="29"/>
        <v>0</v>
      </c>
      <c r="I763" s="6"/>
      <c r="J763" s="43"/>
      <c r="K763" s="51"/>
      <c r="L763" s="48"/>
    </row>
    <row r="764" spans="1:12" ht="15" x14ac:dyDescent="0.25">
      <c r="A764" s="1">
        <v>755</v>
      </c>
      <c r="B764" s="1" t="s">
        <v>120</v>
      </c>
      <c r="C764" s="32">
        <v>5324</v>
      </c>
      <c r="D764" s="1">
        <v>18000</v>
      </c>
      <c r="E764" s="1"/>
      <c r="F764" s="1">
        <v>186.08</v>
      </c>
      <c r="G764" s="1">
        <v>18000</v>
      </c>
      <c r="H764" s="5">
        <f t="shared" si="29"/>
        <v>0</v>
      </c>
      <c r="I764" s="6"/>
      <c r="J764" s="43"/>
      <c r="K764" s="51"/>
      <c r="L764" s="48"/>
    </row>
    <row r="765" spans="1:12" ht="15" x14ac:dyDescent="0.25">
      <c r="A765" s="1">
        <v>756</v>
      </c>
      <c r="B765" s="1" t="s">
        <v>120</v>
      </c>
      <c r="C765" s="32">
        <v>5716</v>
      </c>
      <c r="D765" s="1">
        <v>10000</v>
      </c>
      <c r="E765" s="1"/>
      <c r="F765" s="1">
        <v>103.38</v>
      </c>
      <c r="G765" s="1">
        <v>10000</v>
      </c>
      <c r="H765" s="5">
        <f t="shared" si="29"/>
        <v>0</v>
      </c>
      <c r="I765" s="6"/>
      <c r="J765" s="43"/>
      <c r="K765" s="51"/>
      <c r="L765" s="48"/>
    </row>
    <row r="766" spans="1:12" ht="15" x14ac:dyDescent="0.25">
      <c r="A766" s="1">
        <v>757</v>
      </c>
      <c r="B766" s="1" t="s">
        <v>120</v>
      </c>
      <c r="C766" s="32">
        <v>9337</v>
      </c>
      <c r="D766" s="1">
        <v>25000</v>
      </c>
      <c r="E766" s="1"/>
      <c r="F766" s="1">
        <v>258.45</v>
      </c>
      <c r="G766" s="1">
        <v>25000</v>
      </c>
      <c r="H766" s="5">
        <f t="shared" si="29"/>
        <v>0</v>
      </c>
      <c r="I766" s="6"/>
      <c r="J766" s="43"/>
      <c r="K766" s="51"/>
      <c r="L766" s="48"/>
    </row>
    <row r="767" spans="1:12" ht="15" x14ac:dyDescent="0.25">
      <c r="A767" s="1">
        <v>758</v>
      </c>
      <c r="B767" s="1" t="s">
        <v>120</v>
      </c>
      <c r="C767" s="32">
        <v>7988</v>
      </c>
      <c r="D767" s="1">
        <v>14000</v>
      </c>
      <c r="E767" s="1"/>
      <c r="F767" s="1">
        <v>144.72999999999999</v>
      </c>
      <c r="G767" s="1">
        <v>14000</v>
      </c>
      <c r="H767" s="5">
        <f t="shared" si="29"/>
        <v>0</v>
      </c>
      <c r="I767" s="6"/>
      <c r="J767" s="43"/>
      <c r="K767" s="51"/>
      <c r="L767" s="48"/>
    </row>
    <row r="768" spans="1:12" ht="15" x14ac:dyDescent="0.25">
      <c r="A768" s="1">
        <v>759</v>
      </c>
      <c r="B768" s="1" t="s">
        <v>120</v>
      </c>
      <c r="C768" s="32">
        <v>3505</v>
      </c>
      <c r="D768" s="1">
        <v>30000</v>
      </c>
      <c r="E768" s="1"/>
      <c r="F768" s="1">
        <v>310.14999999999998</v>
      </c>
      <c r="G768" s="1">
        <v>30000</v>
      </c>
      <c r="H768" s="5">
        <f t="shared" si="29"/>
        <v>0</v>
      </c>
      <c r="I768" s="6"/>
      <c r="J768" s="43"/>
      <c r="K768" s="51"/>
      <c r="L768" s="48"/>
    </row>
    <row r="769" spans="1:12" ht="15" x14ac:dyDescent="0.25">
      <c r="A769" s="1">
        <v>760</v>
      </c>
      <c r="B769" s="1" t="s">
        <v>120</v>
      </c>
      <c r="C769" s="32">
        <v>1723</v>
      </c>
      <c r="D769" s="1">
        <v>10000</v>
      </c>
      <c r="E769" s="1"/>
      <c r="F769" s="1">
        <v>178.85</v>
      </c>
      <c r="G769" s="1">
        <v>10000</v>
      </c>
      <c r="H769" s="5">
        <f t="shared" si="29"/>
        <v>0</v>
      </c>
      <c r="I769" s="6"/>
      <c r="J769" s="43"/>
      <c r="K769" s="51"/>
      <c r="L769" s="48"/>
    </row>
    <row r="770" spans="1:12" ht="15" x14ac:dyDescent="0.25">
      <c r="A770" s="1">
        <v>761</v>
      </c>
      <c r="B770" s="1" t="s">
        <v>120</v>
      </c>
      <c r="C770" s="32">
        <v>4871</v>
      </c>
      <c r="D770" s="1">
        <v>16000</v>
      </c>
      <c r="E770" s="1"/>
      <c r="F770" s="1">
        <v>165.41</v>
      </c>
      <c r="G770" s="1">
        <v>16000</v>
      </c>
      <c r="H770" s="5">
        <f t="shared" si="29"/>
        <v>0</v>
      </c>
      <c r="I770" s="6"/>
      <c r="J770" s="43"/>
      <c r="K770" s="51"/>
      <c r="L770" s="48"/>
    </row>
    <row r="771" spans="1:12" ht="15" x14ac:dyDescent="0.25">
      <c r="A771" s="1">
        <v>762</v>
      </c>
      <c r="B771" s="1" t="s">
        <v>120</v>
      </c>
      <c r="C771" s="32">
        <v>6878</v>
      </c>
      <c r="D771" s="1">
        <v>28000</v>
      </c>
      <c r="E771" s="1"/>
      <c r="F771" s="1">
        <v>289</v>
      </c>
      <c r="G771" s="1">
        <v>28000</v>
      </c>
      <c r="H771" s="5">
        <f t="shared" si="29"/>
        <v>0</v>
      </c>
      <c r="I771" s="6"/>
      <c r="J771" s="43"/>
      <c r="K771" s="51"/>
      <c r="L771" s="86">
        <f>1922034-1905141</f>
        <v>16893</v>
      </c>
    </row>
    <row r="772" spans="1:12" ht="15" x14ac:dyDescent="0.25">
      <c r="A772" s="1">
        <v>763</v>
      </c>
      <c r="B772" s="1" t="s">
        <v>122</v>
      </c>
      <c r="C772" s="32">
        <v>7971</v>
      </c>
      <c r="D772" s="1">
        <v>30000</v>
      </c>
      <c r="E772" s="1"/>
      <c r="F772" s="1">
        <v>310.14</v>
      </c>
      <c r="G772" s="1">
        <v>30000</v>
      </c>
      <c r="H772" s="5">
        <f t="shared" si="29"/>
        <v>0</v>
      </c>
      <c r="I772" s="6"/>
      <c r="J772" s="43"/>
      <c r="K772" s="51"/>
      <c r="L772" s="86"/>
    </row>
    <row r="773" spans="1:12" ht="15" x14ac:dyDescent="0.25">
      <c r="A773" s="1">
        <v>764</v>
      </c>
      <c r="B773" s="1" t="s">
        <v>122</v>
      </c>
      <c r="C773" s="32">
        <v>756</v>
      </c>
      <c r="D773" s="1">
        <v>25000</v>
      </c>
      <c r="E773" s="1"/>
      <c r="F773" s="1">
        <v>258.45</v>
      </c>
      <c r="G773" s="1">
        <v>25000</v>
      </c>
      <c r="H773" s="5">
        <f t="shared" si="29"/>
        <v>0</v>
      </c>
      <c r="I773" s="6"/>
      <c r="J773" s="43"/>
      <c r="K773" s="51"/>
      <c r="L773" s="86"/>
    </row>
    <row r="774" spans="1:12" ht="15" x14ac:dyDescent="0.25">
      <c r="A774" s="1">
        <v>765</v>
      </c>
      <c r="B774" s="1" t="s">
        <v>122</v>
      </c>
      <c r="C774" s="32">
        <v>5691</v>
      </c>
      <c r="D774" s="1">
        <v>25000</v>
      </c>
      <c r="E774" s="1"/>
      <c r="F774" s="1">
        <v>258.45</v>
      </c>
      <c r="G774" s="1">
        <v>25000</v>
      </c>
      <c r="H774" s="5">
        <f t="shared" si="29"/>
        <v>0</v>
      </c>
      <c r="I774" s="6"/>
      <c r="J774" s="43"/>
      <c r="K774" s="51"/>
      <c r="L774" s="86"/>
    </row>
    <row r="775" spans="1:12" ht="15" x14ac:dyDescent="0.25">
      <c r="A775" s="1">
        <v>766</v>
      </c>
      <c r="B775" s="1" t="s">
        <v>122</v>
      </c>
      <c r="C775" s="32">
        <v>1220</v>
      </c>
      <c r="D775" s="1">
        <v>13000</v>
      </c>
      <c r="E775" s="1"/>
      <c r="F775" s="1">
        <v>134.38999999999999</v>
      </c>
      <c r="G775" s="1">
        <v>13000</v>
      </c>
      <c r="H775" s="5">
        <f t="shared" si="29"/>
        <v>0</v>
      </c>
      <c r="I775" s="6"/>
      <c r="J775" s="43"/>
      <c r="K775" s="51"/>
      <c r="L775" s="86"/>
    </row>
    <row r="776" spans="1:12" ht="15" x14ac:dyDescent="0.25">
      <c r="A776" s="1">
        <v>767</v>
      </c>
      <c r="B776" s="1" t="s">
        <v>122</v>
      </c>
      <c r="C776" s="32">
        <v>293</v>
      </c>
      <c r="D776" s="1">
        <v>15000</v>
      </c>
      <c r="E776" s="1"/>
      <c r="F776" s="1">
        <v>155.07</v>
      </c>
      <c r="G776" s="1">
        <v>15000</v>
      </c>
      <c r="H776" s="5">
        <f t="shared" si="29"/>
        <v>0</v>
      </c>
      <c r="I776" s="6"/>
      <c r="J776" s="43"/>
      <c r="K776" s="51"/>
      <c r="L776" s="86"/>
    </row>
    <row r="777" spans="1:12" ht="15" x14ac:dyDescent="0.25">
      <c r="A777" s="1">
        <v>768</v>
      </c>
      <c r="B777" s="1" t="s">
        <v>122</v>
      </c>
      <c r="C777" s="32">
        <v>341</v>
      </c>
      <c r="D777" s="1">
        <v>28000</v>
      </c>
      <c r="E777" s="1"/>
      <c r="F777" s="1">
        <v>287.47000000000003</v>
      </c>
      <c r="G777" s="1">
        <v>28000</v>
      </c>
      <c r="H777" s="5">
        <f t="shared" si="29"/>
        <v>0</v>
      </c>
      <c r="I777" s="6"/>
      <c r="J777" s="43"/>
      <c r="K777" s="51"/>
      <c r="L777" s="86"/>
    </row>
    <row r="778" spans="1:12" ht="15" x14ac:dyDescent="0.25">
      <c r="A778" s="1">
        <v>769</v>
      </c>
      <c r="B778" s="1" t="s">
        <v>122</v>
      </c>
      <c r="C778" s="32" t="s">
        <v>61</v>
      </c>
      <c r="D778" s="1">
        <v>3500</v>
      </c>
      <c r="E778" s="1"/>
      <c r="F778" s="1">
        <v>36.18</v>
      </c>
      <c r="G778" s="1">
        <v>3500</v>
      </c>
      <c r="H778" s="5">
        <f t="shared" si="29"/>
        <v>0</v>
      </c>
      <c r="I778" s="6"/>
      <c r="J778" s="43"/>
      <c r="K778" s="51"/>
      <c r="L778" s="86"/>
    </row>
    <row r="779" spans="1:12" ht="15" x14ac:dyDescent="0.25">
      <c r="A779" s="1">
        <v>770</v>
      </c>
      <c r="B779" s="1" t="s">
        <v>122</v>
      </c>
      <c r="C779" s="32">
        <v>8476</v>
      </c>
      <c r="D779" s="1">
        <v>10000</v>
      </c>
      <c r="E779" s="1"/>
      <c r="F779" s="1">
        <v>103.38</v>
      </c>
      <c r="G779" s="1">
        <v>10000</v>
      </c>
      <c r="H779" s="5">
        <f t="shared" si="29"/>
        <v>0</v>
      </c>
      <c r="I779" s="6"/>
      <c r="J779" s="43"/>
      <c r="K779" s="51"/>
      <c r="L779" s="86"/>
    </row>
    <row r="780" spans="1:12" ht="15" x14ac:dyDescent="0.25">
      <c r="A780" s="1">
        <v>771</v>
      </c>
      <c r="B780" s="1" t="s">
        <v>122</v>
      </c>
      <c r="C780" s="32" t="s">
        <v>66</v>
      </c>
      <c r="D780" s="1">
        <v>100</v>
      </c>
      <c r="E780" s="1"/>
      <c r="F780" s="1"/>
      <c r="G780" s="1">
        <v>100</v>
      </c>
      <c r="H780" s="5">
        <f t="shared" si="29"/>
        <v>0</v>
      </c>
      <c r="I780" s="6"/>
      <c r="J780" s="43"/>
      <c r="K780" s="51"/>
      <c r="L780" s="86"/>
    </row>
    <row r="781" spans="1:12" ht="15" x14ac:dyDescent="0.25">
      <c r="A781" s="1">
        <v>772</v>
      </c>
      <c r="B781" s="1" t="s">
        <v>122</v>
      </c>
      <c r="C781" s="32">
        <v>3411</v>
      </c>
      <c r="D781" s="1">
        <v>32000</v>
      </c>
      <c r="E781" s="1"/>
      <c r="F781" s="1">
        <v>312</v>
      </c>
      <c r="G781" s="1">
        <v>32000</v>
      </c>
      <c r="H781" s="5">
        <f t="shared" si="29"/>
        <v>0</v>
      </c>
      <c r="I781" s="6"/>
      <c r="J781" s="43"/>
      <c r="K781" s="51"/>
      <c r="L781" s="86"/>
    </row>
    <row r="782" spans="1:12" ht="15" x14ac:dyDescent="0.25">
      <c r="A782" s="1">
        <v>773</v>
      </c>
      <c r="B782" s="1" t="s">
        <v>122</v>
      </c>
      <c r="C782" s="32">
        <v>302</v>
      </c>
      <c r="D782" s="1">
        <v>35000</v>
      </c>
      <c r="E782" s="1"/>
      <c r="F782" s="1">
        <v>346</v>
      </c>
      <c r="G782" s="1">
        <v>35000</v>
      </c>
      <c r="H782" s="5">
        <f t="shared" si="29"/>
        <v>0</v>
      </c>
      <c r="I782" s="6"/>
      <c r="J782" s="43"/>
      <c r="K782" s="51"/>
      <c r="L782" s="86"/>
    </row>
    <row r="783" spans="1:12" ht="15" x14ac:dyDescent="0.25">
      <c r="A783" s="1">
        <v>774</v>
      </c>
      <c r="B783" s="1" t="s">
        <v>122</v>
      </c>
      <c r="C783" s="32">
        <v>386</v>
      </c>
      <c r="D783" s="1">
        <v>19000</v>
      </c>
      <c r="E783" s="1"/>
      <c r="F783" s="1">
        <v>196.42</v>
      </c>
      <c r="G783" s="1">
        <v>19000</v>
      </c>
      <c r="H783" s="5">
        <f t="shared" si="29"/>
        <v>0</v>
      </c>
      <c r="I783" s="6"/>
      <c r="J783" s="43"/>
      <c r="K783" s="51"/>
      <c r="L783" s="86"/>
    </row>
    <row r="784" spans="1:12" ht="15" x14ac:dyDescent="0.25">
      <c r="A784" s="1">
        <v>775</v>
      </c>
      <c r="B784" s="1" t="s">
        <v>122</v>
      </c>
      <c r="C784" s="32">
        <v>739</v>
      </c>
      <c r="D784" s="1">
        <v>10000</v>
      </c>
      <c r="E784" s="1"/>
      <c r="F784" s="1">
        <v>103.38</v>
      </c>
      <c r="G784" s="1">
        <v>10000</v>
      </c>
      <c r="H784" s="5">
        <f t="shared" si="29"/>
        <v>0</v>
      </c>
      <c r="I784" s="6"/>
      <c r="J784" s="43"/>
      <c r="K784" s="51"/>
      <c r="L784" s="86"/>
    </row>
    <row r="785" spans="1:12" ht="15" x14ac:dyDescent="0.25">
      <c r="A785" s="1">
        <v>776</v>
      </c>
      <c r="B785" s="1" t="s">
        <v>122</v>
      </c>
      <c r="C785" s="32">
        <v>120</v>
      </c>
      <c r="D785" s="1">
        <v>20000</v>
      </c>
      <c r="E785" s="1"/>
      <c r="F785" s="1">
        <v>206.76</v>
      </c>
      <c r="G785" s="1">
        <v>20000</v>
      </c>
      <c r="H785" s="5">
        <f t="shared" si="29"/>
        <v>0</v>
      </c>
      <c r="I785" s="6"/>
      <c r="J785" s="43"/>
      <c r="K785" s="51"/>
      <c r="L785" s="86"/>
    </row>
    <row r="786" spans="1:12" ht="15" x14ac:dyDescent="0.25">
      <c r="A786" s="1">
        <v>777</v>
      </c>
      <c r="B786" s="1" t="s">
        <v>122</v>
      </c>
      <c r="C786" s="32">
        <v>490</v>
      </c>
      <c r="D786" s="1">
        <v>30000</v>
      </c>
      <c r="E786" s="1"/>
      <c r="F786" s="1">
        <v>310</v>
      </c>
      <c r="G786" s="1">
        <v>30000</v>
      </c>
      <c r="H786" s="5">
        <f t="shared" si="29"/>
        <v>0</v>
      </c>
      <c r="I786" s="6"/>
      <c r="J786" s="43"/>
      <c r="K786" s="51"/>
      <c r="L786" s="86"/>
    </row>
    <row r="787" spans="1:12" ht="15" x14ac:dyDescent="0.25">
      <c r="A787" s="1">
        <v>778</v>
      </c>
      <c r="B787" s="1" t="s">
        <v>122</v>
      </c>
      <c r="C787" s="32">
        <v>7344</v>
      </c>
      <c r="D787" s="1">
        <v>18000</v>
      </c>
      <c r="E787" s="1"/>
      <c r="F787" s="1">
        <v>186</v>
      </c>
      <c r="G787" s="1">
        <v>18000</v>
      </c>
      <c r="H787" s="5">
        <f t="shared" si="29"/>
        <v>0</v>
      </c>
      <c r="I787" s="6"/>
      <c r="J787" s="43"/>
      <c r="K787" s="51"/>
      <c r="L787" s="86"/>
    </row>
    <row r="788" spans="1:12" ht="15" x14ac:dyDescent="0.25">
      <c r="A788" s="1">
        <v>779</v>
      </c>
      <c r="B788" s="1" t="s">
        <v>122</v>
      </c>
      <c r="C788" s="32" t="s">
        <v>61</v>
      </c>
      <c r="D788" s="1">
        <v>4500</v>
      </c>
      <c r="E788" s="1"/>
      <c r="F788" s="1">
        <v>46.52</v>
      </c>
      <c r="G788" s="1">
        <v>4500</v>
      </c>
      <c r="H788" s="5">
        <f t="shared" si="29"/>
        <v>0</v>
      </c>
      <c r="I788" s="6"/>
      <c r="J788" s="43"/>
      <c r="K788" s="51"/>
      <c r="L788" s="86">
        <f>2055854-2040134</f>
        <v>15720</v>
      </c>
    </row>
    <row r="789" spans="1:12" ht="15" x14ac:dyDescent="0.25">
      <c r="A789" s="1">
        <v>780</v>
      </c>
      <c r="B789" s="1" t="s">
        <v>123</v>
      </c>
      <c r="C789" s="32">
        <v>35</v>
      </c>
      <c r="D789" s="1">
        <v>16000</v>
      </c>
      <c r="E789" s="1"/>
      <c r="F789" s="1">
        <v>165.4</v>
      </c>
      <c r="G789" s="1">
        <v>16000</v>
      </c>
      <c r="H789" s="5">
        <f t="shared" si="29"/>
        <v>0</v>
      </c>
      <c r="I789" s="6"/>
      <c r="J789" s="43"/>
      <c r="K789" s="51"/>
      <c r="L789" s="86"/>
    </row>
    <row r="790" spans="1:12" ht="15" x14ac:dyDescent="0.25">
      <c r="A790" s="1">
        <v>781</v>
      </c>
      <c r="B790" s="1" t="s">
        <v>123</v>
      </c>
      <c r="C790" s="32">
        <v>65</v>
      </c>
      <c r="D790" s="1">
        <v>5000</v>
      </c>
      <c r="E790" s="1"/>
      <c r="F790" s="1">
        <v>51.69</v>
      </c>
      <c r="G790" s="1">
        <v>5000</v>
      </c>
      <c r="H790" s="5">
        <f t="shared" si="29"/>
        <v>0</v>
      </c>
      <c r="I790" s="6"/>
      <c r="J790" s="43"/>
      <c r="K790" s="51"/>
      <c r="L790" s="86"/>
    </row>
    <row r="791" spans="1:12" ht="15" x14ac:dyDescent="0.25">
      <c r="A791" s="1">
        <v>782</v>
      </c>
      <c r="B791" s="1" t="s">
        <v>123</v>
      </c>
      <c r="C791" s="32">
        <v>121</v>
      </c>
      <c r="D791" s="1">
        <v>16000</v>
      </c>
      <c r="E791" s="1"/>
      <c r="F791" s="1">
        <v>165.49</v>
      </c>
      <c r="G791" s="1">
        <v>16000</v>
      </c>
      <c r="H791" s="5">
        <f t="shared" si="29"/>
        <v>0</v>
      </c>
      <c r="I791" s="6"/>
      <c r="J791" s="43"/>
      <c r="K791" s="51"/>
      <c r="L791" s="86"/>
    </row>
    <row r="792" spans="1:12" ht="15" x14ac:dyDescent="0.25">
      <c r="A792" s="1">
        <v>783</v>
      </c>
      <c r="B792" s="1" t="s">
        <v>123</v>
      </c>
      <c r="C792" s="32">
        <v>3691</v>
      </c>
      <c r="D792" s="1">
        <v>25000</v>
      </c>
      <c r="E792" s="1"/>
      <c r="F792" s="1">
        <v>258.45</v>
      </c>
      <c r="G792" s="1">
        <v>25000</v>
      </c>
      <c r="H792" s="5">
        <f t="shared" si="29"/>
        <v>0</v>
      </c>
      <c r="I792" s="6"/>
      <c r="J792" s="43"/>
      <c r="K792" s="51"/>
      <c r="L792" s="86"/>
    </row>
    <row r="793" spans="1:12" ht="15" x14ac:dyDescent="0.25">
      <c r="A793" s="1">
        <v>784</v>
      </c>
      <c r="B793" s="1" t="s">
        <v>123</v>
      </c>
      <c r="C793" s="32">
        <v>1513</v>
      </c>
      <c r="D793" s="1">
        <v>25000</v>
      </c>
      <c r="E793" s="1"/>
      <c r="F793" s="1">
        <v>258.45</v>
      </c>
      <c r="G793" s="1">
        <v>25000</v>
      </c>
      <c r="H793" s="5">
        <f t="shared" si="29"/>
        <v>0</v>
      </c>
      <c r="I793" s="6"/>
      <c r="J793" s="43"/>
      <c r="K793" s="51"/>
      <c r="L793" s="86"/>
    </row>
    <row r="794" spans="1:12" ht="15" x14ac:dyDescent="0.25">
      <c r="A794" s="1">
        <v>785</v>
      </c>
      <c r="B794" s="1" t="s">
        <v>123</v>
      </c>
      <c r="C794" s="32">
        <v>3150</v>
      </c>
      <c r="D794" s="1">
        <v>14000</v>
      </c>
      <c r="E794" s="1"/>
      <c r="F794" s="1">
        <v>144.72999999999999</v>
      </c>
      <c r="G794" s="1">
        <v>14000</v>
      </c>
      <c r="H794" s="5">
        <f t="shared" si="29"/>
        <v>0</v>
      </c>
      <c r="I794" s="6"/>
      <c r="J794" s="43"/>
      <c r="K794" s="51"/>
      <c r="L794" s="86"/>
    </row>
    <row r="795" spans="1:12" ht="15" x14ac:dyDescent="0.25">
      <c r="A795" s="1">
        <v>786</v>
      </c>
      <c r="B795" s="1" t="s">
        <v>123</v>
      </c>
      <c r="C795" s="32">
        <v>2808</v>
      </c>
      <c r="D795" s="1">
        <v>30000</v>
      </c>
      <c r="E795" s="1"/>
      <c r="F795" s="1">
        <v>310.14</v>
      </c>
      <c r="G795" s="1">
        <v>30000</v>
      </c>
      <c r="H795" s="5">
        <f t="shared" si="29"/>
        <v>0</v>
      </c>
      <c r="I795" s="6"/>
      <c r="J795" s="43"/>
      <c r="K795" s="51"/>
      <c r="L795" s="86"/>
    </row>
    <row r="796" spans="1:12" ht="15" x14ac:dyDescent="0.25">
      <c r="A796" s="1">
        <v>787</v>
      </c>
      <c r="B796" s="1" t="s">
        <v>123</v>
      </c>
      <c r="C796" s="32">
        <v>9393</v>
      </c>
      <c r="D796" s="1">
        <v>10000</v>
      </c>
      <c r="E796" s="1"/>
      <c r="F796" s="1">
        <v>103.38</v>
      </c>
      <c r="G796" s="1">
        <v>10000</v>
      </c>
      <c r="H796" s="5">
        <f t="shared" si="29"/>
        <v>0</v>
      </c>
      <c r="I796" s="6"/>
      <c r="J796" s="43"/>
      <c r="K796" s="51"/>
      <c r="L796" s="86"/>
    </row>
    <row r="797" spans="1:12" ht="15" x14ac:dyDescent="0.25">
      <c r="A797" s="1">
        <v>788</v>
      </c>
      <c r="B797" s="1" t="s">
        <v>123</v>
      </c>
      <c r="C797" s="32">
        <v>126</v>
      </c>
      <c r="D797" s="1">
        <v>15000</v>
      </c>
      <c r="E797" s="1"/>
      <c r="F797" s="1">
        <v>155.07</v>
      </c>
      <c r="G797" s="1">
        <v>15000</v>
      </c>
      <c r="H797" s="5">
        <f t="shared" si="29"/>
        <v>0</v>
      </c>
      <c r="I797" s="6"/>
      <c r="J797" s="43"/>
      <c r="K797" s="51"/>
      <c r="L797" s="86"/>
    </row>
    <row r="798" spans="1:12" ht="15" x14ac:dyDescent="0.25">
      <c r="A798" s="1">
        <v>789</v>
      </c>
      <c r="B798" s="1" t="s">
        <v>123</v>
      </c>
      <c r="C798" s="32">
        <v>847</v>
      </c>
      <c r="D798" s="1">
        <v>14000</v>
      </c>
      <c r="E798" s="1"/>
      <c r="F798" s="1">
        <v>144.72999999999999</v>
      </c>
      <c r="G798" s="1">
        <v>14000</v>
      </c>
      <c r="H798" s="5">
        <f t="shared" si="29"/>
        <v>0</v>
      </c>
      <c r="I798" s="6"/>
      <c r="J798" s="43"/>
      <c r="K798" s="51"/>
      <c r="L798" s="86"/>
    </row>
    <row r="799" spans="1:12" ht="15" x14ac:dyDescent="0.25">
      <c r="A799" s="1">
        <v>790</v>
      </c>
      <c r="B799" s="1" t="s">
        <v>123</v>
      </c>
      <c r="C799" s="32">
        <v>8725</v>
      </c>
      <c r="D799" s="1">
        <v>30000</v>
      </c>
      <c r="E799" s="1"/>
      <c r="F799" s="1">
        <v>310.14</v>
      </c>
      <c r="G799" s="1">
        <v>30000</v>
      </c>
      <c r="H799" s="5">
        <f t="shared" ref="H799:H862" si="30">D799-G799</f>
        <v>0</v>
      </c>
      <c r="I799" s="6"/>
      <c r="J799" s="43"/>
      <c r="K799" s="51"/>
      <c r="L799" s="86"/>
    </row>
    <row r="800" spans="1:12" ht="15" x14ac:dyDescent="0.25">
      <c r="A800" s="1">
        <v>791</v>
      </c>
      <c r="B800" s="1" t="s">
        <v>123</v>
      </c>
      <c r="C800" s="32">
        <v>1476</v>
      </c>
      <c r="D800" s="1">
        <v>12000</v>
      </c>
      <c r="E800" s="1"/>
      <c r="F800" s="1">
        <v>124.05</v>
      </c>
      <c r="G800" s="1">
        <v>12000</v>
      </c>
      <c r="H800" s="5">
        <f t="shared" si="30"/>
        <v>0</v>
      </c>
      <c r="I800" s="6"/>
      <c r="J800" s="43"/>
      <c r="K800" s="51"/>
      <c r="L800" s="86"/>
    </row>
    <row r="801" spans="1:12" ht="15" x14ac:dyDescent="0.25">
      <c r="A801" s="1">
        <v>792</v>
      </c>
      <c r="B801" s="1" t="s">
        <v>123</v>
      </c>
      <c r="C801" s="32">
        <v>3557</v>
      </c>
      <c r="D801" s="1">
        <v>20000</v>
      </c>
      <c r="E801" s="1"/>
      <c r="F801" s="1">
        <v>206.76</v>
      </c>
      <c r="G801" s="1">
        <v>20000</v>
      </c>
      <c r="H801" s="5">
        <f t="shared" si="30"/>
        <v>0</v>
      </c>
      <c r="I801" s="6"/>
      <c r="J801" s="43"/>
      <c r="K801" s="51"/>
      <c r="L801" s="86"/>
    </row>
    <row r="802" spans="1:12" ht="15" x14ac:dyDescent="0.25">
      <c r="A802" s="1">
        <v>793</v>
      </c>
      <c r="B802" s="1" t="s">
        <v>123</v>
      </c>
      <c r="C802" s="32">
        <v>711</v>
      </c>
      <c r="D802" s="1">
        <v>35000</v>
      </c>
      <c r="E802" s="1"/>
      <c r="F802" s="1">
        <v>361.85</v>
      </c>
      <c r="G802" s="1">
        <v>35000</v>
      </c>
      <c r="H802" s="5">
        <f t="shared" si="30"/>
        <v>0</v>
      </c>
      <c r="I802" s="6"/>
      <c r="J802" s="43"/>
      <c r="K802" s="51"/>
      <c r="L802" s="86"/>
    </row>
    <row r="803" spans="1:12" ht="15" x14ac:dyDescent="0.25">
      <c r="A803" s="1">
        <v>794</v>
      </c>
      <c r="B803" s="1" t="s">
        <v>123</v>
      </c>
      <c r="C803" s="32">
        <v>1347</v>
      </c>
      <c r="D803" s="1">
        <v>25000</v>
      </c>
      <c r="E803" s="1"/>
      <c r="F803" s="1">
        <v>258.45</v>
      </c>
      <c r="G803" s="1">
        <v>25000</v>
      </c>
      <c r="H803" s="5">
        <f t="shared" si="30"/>
        <v>0</v>
      </c>
      <c r="I803" s="6"/>
      <c r="J803" s="43"/>
      <c r="K803" s="51"/>
      <c r="L803" s="86"/>
    </row>
    <row r="804" spans="1:12" ht="15" x14ac:dyDescent="0.25">
      <c r="A804" s="1">
        <v>795</v>
      </c>
      <c r="B804" s="1" t="s">
        <v>123</v>
      </c>
      <c r="C804" s="32">
        <v>8452</v>
      </c>
      <c r="D804" s="1">
        <v>24000</v>
      </c>
      <c r="E804" s="1"/>
      <c r="F804" s="1">
        <v>248.11</v>
      </c>
      <c r="G804" s="1">
        <v>24000</v>
      </c>
      <c r="H804" s="5">
        <f t="shared" si="30"/>
        <v>0</v>
      </c>
      <c r="I804" s="6"/>
      <c r="J804" s="43"/>
      <c r="K804" s="51"/>
      <c r="L804" s="86"/>
    </row>
    <row r="805" spans="1:12" ht="15" x14ac:dyDescent="0.25">
      <c r="A805" s="1">
        <v>796</v>
      </c>
      <c r="B805" s="1" t="s">
        <v>123</v>
      </c>
      <c r="C805" s="32">
        <v>9539</v>
      </c>
      <c r="D805" s="1">
        <v>5000</v>
      </c>
      <c r="E805" s="1"/>
      <c r="F805" s="1">
        <v>51.69</v>
      </c>
      <c r="G805" s="1">
        <v>5000</v>
      </c>
      <c r="H805" s="5">
        <f t="shared" si="30"/>
        <v>0</v>
      </c>
      <c r="I805" s="6"/>
      <c r="J805" s="43"/>
      <c r="K805" s="51"/>
      <c r="L805" s="86"/>
    </row>
    <row r="806" spans="1:12" ht="15" x14ac:dyDescent="0.25">
      <c r="A806" s="1">
        <v>797</v>
      </c>
      <c r="B806" s="1" t="s">
        <v>123</v>
      </c>
      <c r="C806" s="32">
        <v>543</v>
      </c>
      <c r="D806" s="1">
        <v>13000</v>
      </c>
      <c r="E806" s="1"/>
      <c r="F806" s="1">
        <v>134.38999999999999</v>
      </c>
      <c r="G806" s="1">
        <v>13000</v>
      </c>
      <c r="H806" s="5">
        <f t="shared" si="30"/>
        <v>0</v>
      </c>
      <c r="I806" s="6"/>
      <c r="J806" s="43"/>
      <c r="K806" s="51"/>
      <c r="L806" s="86"/>
    </row>
    <row r="807" spans="1:12" ht="15" x14ac:dyDescent="0.25">
      <c r="A807" s="1">
        <v>798</v>
      </c>
      <c r="B807" s="1" t="s">
        <v>123</v>
      </c>
      <c r="C807" s="32">
        <v>4823</v>
      </c>
      <c r="D807" s="1">
        <v>27000</v>
      </c>
      <c r="E807" s="1"/>
      <c r="F807" s="1">
        <v>279.12</v>
      </c>
      <c r="G807" s="1">
        <v>27000</v>
      </c>
      <c r="H807" s="5">
        <f t="shared" si="30"/>
        <v>0</v>
      </c>
      <c r="I807" s="6"/>
      <c r="J807" s="43"/>
      <c r="K807" s="51"/>
      <c r="L807" s="86">
        <f>2109655-2101134</f>
        <v>8521</v>
      </c>
    </row>
    <row r="808" spans="1:12" ht="15" x14ac:dyDescent="0.25">
      <c r="A808" s="1">
        <v>799</v>
      </c>
      <c r="B808" s="1" t="s">
        <v>124</v>
      </c>
      <c r="C808" s="32">
        <v>8762</v>
      </c>
      <c r="D808" s="1">
        <v>20000</v>
      </c>
      <c r="E808" s="1"/>
      <c r="F808" s="1">
        <v>206.76</v>
      </c>
      <c r="G808" s="1">
        <v>20000</v>
      </c>
      <c r="H808" s="5">
        <f t="shared" si="30"/>
        <v>0</v>
      </c>
      <c r="I808" s="6"/>
      <c r="J808" s="43"/>
      <c r="K808" s="51"/>
      <c r="L808" s="86"/>
    </row>
    <row r="809" spans="1:12" ht="15" x14ac:dyDescent="0.25">
      <c r="A809" s="1">
        <v>800</v>
      </c>
      <c r="B809" s="1" t="s">
        <v>124</v>
      </c>
      <c r="C809" s="32">
        <v>5508</v>
      </c>
      <c r="D809" s="1">
        <v>22000</v>
      </c>
      <c r="E809" s="1"/>
      <c r="F809" s="1">
        <v>184.2</v>
      </c>
      <c r="G809" s="1">
        <v>22000</v>
      </c>
      <c r="H809" s="5">
        <f t="shared" si="30"/>
        <v>0</v>
      </c>
      <c r="I809" s="6"/>
      <c r="J809" s="43"/>
      <c r="K809" s="51"/>
      <c r="L809" s="86"/>
    </row>
    <row r="810" spans="1:12" ht="15" x14ac:dyDescent="0.25">
      <c r="A810" s="1">
        <v>801</v>
      </c>
      <c r="B810" s="1" t="s">
        <v>124</v>
      </c>
      <c r="C810" s="32">
        <v>5281</v>
      </c>
      <c r="D810" s="1">
        <v>14000</v>
      </c>
      <c r="E810" s="1"/>
      <c r="F810" s="1">
        <v>144.72999999999999</v>
      </c>
      <c r="G810" s="1">
        <v>14000</v>
      </c>
      <c r="H810" s="5">
        <f t="shared" si="30"/>
        <v>0</v>
      </c>
      <c r="I810" s="6"/>
      <c r="J810" s="43"/>
      <c r="K810" s="51"/>
      <c r="L810" s="86"/>
    </row>
    <row r="811" spans="1:12" ht="15" x14ac:dyDescent="0.25">
      <c r="A811" s="1">
        <v>802</v>
      </c>
      <c r="B811" s="1" t="s">
        <v>124</v>
      </c>
      <c r="C811" s="32">
        <v>293</v>
      </c>
      <c r="D811" s="1">
        <v>15000</v>
      </c>
      <c r="E811" s="1"/>
      <c r="F811" s="1">
        <v>155.07</v>
      </c>
      <c r="G811" s="1">
        <v>15000</v>
      </c>
      <c r="H811" s="5">
        <f t="shared" si="30"/>
        <v>0</v>
      </c>
      <c r="I811" s="6"/>
      <c r="J811" s="43"/>
      <c r="K811" s="51"/>
      <c r="L811" s="86"/>
    </row>
    <row r="812" spans="1:12" ht="15" x14ac:dyDescent="0.25">
      <c r="A812" s="1">
        <v>803</v>
      </c>
      <c r="B812" s="1" t="s">
        <v>124</v>
      </c>
      <c r="C812" s="32">
        <v>5655</v>
      </c>
      <c r="D812" s="1">
        <v>5000</v>
      </c>
      <c r="E812" s="1"/>
      <c r="F812" s="1">
        <v>51.69</v>
      </c>
      <c r="G812" s="1">
        <v>5000</v>
      </c>
      <c r="H812" s="5">
        <f t="shared" si="30"/>
        <v>0</v>
      </c>
      <c r="I812" s="6"/>
      <c r="J812" s="43"/>
      <c r="K812" s="51"/>
      <c r="L812" s="86"/>
    </row>
    <row r="813" spans="1:12" ht="15" x14ac:dyDescent="0.25">
      <c r="A813" s="1">
        <v>804</v>
      </c>
      <c r="B813" s="1" t="s">
        <v>124</v>
      </c>
      <c r="C813" s="32">
        <v>1205</v>
      </c>
      <c r="D813" s="1">
        <v>12000</v>
      </c>
      <c r="E813" s="1"/>
      <c r="F813" s="1">
        <v>124.06</v>
      </c>
      <c r="G813" s="1">
        <v>12000</v>
      </c>
      <c r="H813" s="5">
        <f t="shared" si="30"/>
        <v>0</v>
      </c>
      <c r="I813" s="6"/>
      <c r="J813" s="43"/>
      <c r="K813" s="51"/>
      <c r="L813" s="86"/>
    </row>
    <row r="814" spans="1:12" ht="15" x14ac:dyDescent="0.25">
      <c r="A814" s="1">
        <v>805</v>
      </c>
      <c r="B814" s="1" t="s">
        <v>124</v>
      </c>
      <c r="C814" s="32">
        <v>1220</v>
      </c>
      <c r="D814" s="1">
        <v>14000</v>
      </c>
      <c r="E814" s="1"/>
      <c r="F814" s="1">
        <v>144.72999999999999</v>
      </c>
      <c r="G814" s="1">
        <v>14000</v>
      </c>
      <c r="H814" s="5">
        <f t="shared" si="30"/>
        <v>0</v>
      </c>
      <c r="I814" s="6"/>
      <c r="J814" s="43"/>
      <c r="K814" s="51"/>
      <c r="L814" s="86"/>
    </row>
    <row r="815" spans="1:12" ht="15" x14ac:dyDescent="0.25">
      <c r="A815" s="1">
        <v>806</v>
      </c>
      <c r="B815" s="1" t="s">
        <v>124</v>
      </c>
      <c r="C815" s="32">
        <v>2350</v>
      </c>
      <c r="D815" s="1">
        <v>15000</v>
      </c>
      <c r="E815" s="1"/>
      <c r="F815" s="1">
        <v>155.07</v>
      </c>
      <c r="G815" s="1">
        <v>15000</v>
      </c>
      <c r="H815" s="5">
        <f t="shared" si="30"/>
        <v>0</v>
      </c>
      <c r="I815" s="6"/>
      <c r="J815" s="43"/>
      <c r="K815" s="51"/>
      <c r="L815" s="86"/>
    </row>
    <row r="816" spans="1:12" ht="15" x14ac:dyDescent="0.25">
      <c r="A816" s="1">
        <v>807</v>
      </c>
      <c r="B816" s="1" t="s">
        <v>124</v>
      </c>
      <c r="C816" s="32">
        <v>4787</v>
      </c>
      <c r="D816" s="1">
        <v>25000</v>
      </c>
      <c r="E816" s="1"/>
      <c r="F816" s="1">
        <v>258.45</v>
      </c>
      <c r="G816" s="1">
        <v>25000</v>
      </c>
      <c r="H816" s="5">
        <f t="shared" si="30"/>
        <v>0</v>
      </c>
      <c r="I816" s="6"/>
      <c r="J816" s="43"/>
      <c r="K816" s="51"/>
      <c r="L816" s="86"/>
    </row>
    <row r="817" spans="1:12" ht="15" x14ac:dyDescent="0.25">
      <c r="A817" s="1">
        <v>808</v>
      </c>
      <c r="B817" s="1" t="s">
        <v>124</v>
      </c>
      <c r="C817" s="32">
        <v>3131</v>
      </c>
      <c r="D817" s="1">
        <v>15000</v>
      </c>
      <c r="E817" s="1"/>
      <c r="F817" s="1">
        <v>155.07</v>
      </c>
      <c r="G817" s="1">
        <v>15000</v>
      </c>
      <c r="H817" s="5">
        <f t="shared" si="30"/>
        <v>0</v>
      </c>
      <c r="I817" s="6"/>
      <c r="J817" s="43"/>
      <c r="K817" s="51"/>
      <c r="L817" s="86"/>
    </row>
    <row r="818" spans="1:12" ht="15" x14ac:dyDescent="0.25">
      <c r="A818" s="1">
        <v>809</v>
      </c>
      <c r="B818" s="1" t="s">
        <v>124</v>
      </c>
      <c r="C818" s="32">
        <v>9708</v>
      </c>
      <c r="D818" s="1">
        <v>25000</v>
      </c>
      <c r="E818" s="1"/>
      <c r="F818" s="1">
        <v>258.45</v>
      </c>
      <c r="G818" s="1">
        <v>25000</v>
      </c>
      <c r="H818" s="5">
        <f t="shared" si="30"/>
        <v>0</v>
      </c>
      <c r="I818" s="6"/>
      <c r="J818" s="43"/>
      <c r="K818" s="51"/>
      <c r="L818" s="86"/>
    </row>
    <row r="819" spans="1:12" ht="15" x14ac:dyDescent="0.25">
      <c r="A819" s="1">
        <v>810</v>
      </c>
      <c r="B819" s="1" t="s">
        <v>124</v>
      </c>
      <c r="C819" s="32">
        <v>6988</v>
      </c>
      <c r="D819" s="1">
        <v>25000</v>
      </c>
      <c r="E819" s="1"/>
      <c r="F819" s="1">
        <v>255.66</v>
      </c>
      <c r="G819" s="1">
        <v>25000</v>
      </c>
      <c r="H819" s="5">
        <f t="shared" si="30"/>
        <v>0</v>
      </c>
      <c r="I819" s="6"/>
      <c r="J819" s="43"/>
      <c r="K819" s="51"/>
      <c r="L819" s="86"/>
    </row>
    <row r="820" spans="1:12" ht="15" x14ac:dyDescent="0.25">
      <c r="A820" s="1">
        <v>811</v>
      </c>
      <c r="B820" s="1" t="s">
        <v>124</v>
      </c>
      <c r="C820" s="32" t="s">
        <v>63</v>
      </c>
      <c r="D820" s="1">
        <v>3500</v>
      </c>
      <c r="E820" s="1"/>
      <c r="F820" s="1">
        <v>36.18</v>
      </c>
      <c r="G820" s="1">
        <v>3500</v>
      </c>
      <c r="H820" s="5">
        <f t="shared" si="30"/>
        <v>0</v>
      </c>
      <c r="I820" s="6"/>
      <c r="J820" s="43"/>
      <c r="K820" s="51"/>
      <c r="L820" s="86"/>
    </row>
    <row r="821" spans="1:12" ht="15" x14ac:dyDescent="0.25">
      <c r="A821" s="1">
        <v>812</v>
      </c>
      <c r="B821" s="1" t="s">
        <v>124</v>
      </c>
      <c r="C821" s="32">
        <v>7845</v>
      </c>
      <c r="D821" s="1">
        <v>25000</v>
      </c>
      <c r="E821" s="1"/>
      <c r="F821" s="1">
        <v>210.35</v>
      </c>
      <c r="G821" s="1">
        <v>25000</v>
      </c>
      <c r="H821" s="5">
        <f t="shared" si="30"/>
        <v>0</v>
      </c>
      <c r="I821" s="6"/>
      <c r="J821" s="43"/>
      <c r="K821" s="51"/>
      <c r="L821" s="86"/>
    </row>
    <row r="822" spans="1:12" ht="15" x14ac:dyDescent="0.25">
      <c r="A822" s="1">
        <v>813</v>
      </c>
      <c r="B822" s="1" t="s">
        <v>124</v>
      </c>
      <c r="C822" s="32">
        <v>1413</v>
      </c>
      <c r="D822" s="1">
        <v>16000</v>
      </c>
      <c r="E822" s="1"/>
      <c r="F822" s="1">
        <v>165.41</v>
      </c>
      <c r="G822" s="1">
        <v>16000</v>
      </c>
      <c r="H822" s="5">
        <f t="shared" si="30"/>
        <v>0</v>
      </c>
      <c r="I822" s="6"/>
      <c r="J822" s="43"/>
      <c r="K822" s="51"/>
      <c r="L822" s="86"/>
    </row>
    <row r="823" spans="1:12" ht="15" x14ac:dyDescent="0.25">
      <c r="A823" s="1">
        <v>814</v>
      </c>
      <c r="B823" s="1" t="s">
        <v>124</v>
      </c>
      <c r="C823" s="32">
        <v>4775</v>
      </c>
      <c r="D823" s="1">
        <v>5000</v>
      </c>
      <c r="E823" s="1"/>
      <c r="F823" s="1">
        <v>51.69</v>
      </c>
      <c r="G823" s="1">
        <v>5000</v>
      </c>
      <c r="H823" s="5">
        <f t="shared" si="30"/>
        <v>0</v>
      </c>
      <c r="I823" s="6"/>
      <c r="J823" s="43"/>
      <c r="K823" s="51"/>
      <c r="L823" s="86"/>
    </row>
    <row r="824" spans="1:12" ht="15" x14ac:dyDescent="0.25">
      <c r="A824" s="1">
        <v>815</v>
      </c>
      <c r="B824" s="1" t="s">
        <v>124</v>
      </c>
      <c r="C824" s="32">
        <v>9909</v>
      </c>
      <c r="D824" s="1">
        <v>27000</v>
      </c>
      <c r="E824" s="1"/>
      <c r="F824" s="1">
        <v>279.13</v>
      </c>
      <c r="G824" s="1">
        <v>27000</v>
      </c>
      <c r="H824" s="5">
        <f t="shared" si="30"/>
        <v>0</v>
      </c>
      <c r="I824" s="6"/>
      <c r="J824" s="43"/>
      <c r="K824" s="51"/>
      <c r="L824" s="86"/>
    </row>
    <row r="825" spans="1:12" ht="15" x14ac:dyDescent="0.25">
      <c r="A825" s="1">
        <v>816</v>
      </c>
      <c r="B825" s="1" t="s">
        <v>125</v>
      </c>
      <c r="C825" s="32">
        <v>4679</v>
      </c>
      <c r="D825" s="1">
        <v>15000</v>
      </c>
      <c r="E825" s="1"/>
      <c r="F825" s="1">
        <v>167.3</v>
      </c>
      <c r="G825" s="1">
        <v>15000</v>
      </c>
      <c r="H825" s="5">
        <f t="shared" si="30"/>
        <v>0</v>
      </c>
      <c r="I825" s="6"/>
      <c r="J825" s="43"/>
      <c r="K825" s="51"/>
      <c r="L825" s="86"/>
    </row>
    <row r="826" spans="1:12" ht="15" x14ac:dyDescent="0.25">
      <c r="A826" s="1">
        <v>817</v>
      </c>
      <c r="B826" s="1" t="s">
        <v>125</v>
      </c>
      <c r="C826" s="32" t="s">
        <v>61</v>
      </c>
      <c r="D826" s="1">
        <v>4500</v>
      </c>
      <c r="E826" s="1"/>
      <c r="F826" s="1">
        <v>50.19</v>
      </c>
      <c r="G826" s="1">
        <v>4500</v>
      </c>
      <c r="H826" s="5">
        <f t="shared" si="30"/>
        <v>0</v>
      </c>
      <c r="I826" s="6"/>
      <c r="J826" s="43"/>
      <c r="K826" s="51"/>
      <c r="L826" s="86"/>
    </row>
    <row r="827" spans="1:12" ht="15" x14ac:dyDescent="0.25">
      <c r="A827" s="1">
        <v>818</v>
      </c>
      <c r="B827" s="1" t="s">
        <v>125</v>
      </c>
      <c r="C827" s="32">
        <v>983</v>
      </c>
      <c r="D827" s="1">
        <v>23000</v>
      </c>
      <c r="E827" s="1"/>
      <c r="F827" s="1">
        <v>256.52</v>
      </c>
      <c r="G827" s="1">
        <v>23000</v>
      </c>
      <c r="H827" s="5">
        <f t="shared" si="30"/>
        <v>0</v>
      </c>
      <c r="I827" s="6"/>
      <c r="J827" s="43"/>
      <c r="K827" s="51"/>
      <c r="L827" s="86"/>
    </row>
    <row r="828" spans="1:12" ht="15" x14ac:dyDescent="0.25">
      <c r="A828" s="1">
        <v>819</v>
      </c>
      <c r="B828" s="1" t="s">
        <v>125</v>
      </c>
      <c r="C828" s="32">
        <v>9286</v>
      </c>
      <c r="D828" s="1">
        <v>10000</v>
      </c>
      <c r="E828" s="1"/>
      <c r="F828" s="1">
        <v>111.53</v>
      </c>
      <c r="G828" s="1">
        <v>10000</v>
      </c>
      <c r="H828" s="5">
        <f t="shared" si="30"/>
        <v>0</v>
      </c>
      <c r="I828" s="6"/>
      <c r="J828" s="43"/>
      <c r="K828" s="51"/>
      <c r="L828" s="86"/>
    </row>
    <row r="829" spans="1:12" ht="15" x14ac:dyDescent="0.25">
      <c r="A829" s="1">
        <v>820</v>
      </c>
      <c r="B829" s="1" t="s">
        <v>125</v>
      </c>
      <c r="C829" s="32">
        <v>756</v>
      </c>
      <c r="D829" s="1">
        <v>23000</v>
      </c>
      <c r="E829" s="1"/>
      <c r="F829" s="1">
        <v>256.22000000000003</v>
      </c>
      <c r="G829" s="1">
        <v>23000</v>
      </c>
      <c r="H829" s="5">
        <f t="shared" si="30"/>
        <v>0</v>
      </c>
      <c r="I829" s="6"/>
      <c r="J829" s="43"/>
      <c r="K829" s="51"/>
      <c r="L829" s="86"/>
    </row>
    <row r="830" spans="1:12" ht="15" x14ac:dyDescent="0.25">
      <c r="A830" s="1">
        <v>821</v>
      </c>
      <c r="B830" s="1" t="s">
        <v>125</v>
      </c>
      <c r="C830" s="32">
        <v>2458</v>
      </c>
      <c r="D830" s="1">
        <v>15000</v>
      </c>
      <c r="E830" s="1"/>
      <c r="F830" s="1">
        <v>167.3</v>
      </c>
      <c r="G830" s="1">
        <v>15000</v>
      </c>
      <c r="H830" s="5">
        <f t="shared" si="30"/>
        <v>0</v>
      </c>
      <c r="I830" s="6"/>
      <c r="J830" s="43"/>
      <c r="K830" s="51"/>
      <c r="L830" s="86"/>
    </row>
    <row r="831" spans="1:12" ht="15" x14ac:dyDescent="0.25">
      <c r="A831" s="1">
        <v>822</v>
      </c>
      <c r="B831" s="1" t="s">
        <v>125</v>
      </c>
      <c r="C831" s="32">
        <v>2229</v>
      </c>
      <c r="D831" s="1">
        <v>13000</v>
      </c>
      <c r="E831" s="1"/>
      <c r="F831" s="1">
        <v>144.99</v>
      </c>
      <c r="G831" s="1">
        <v>13000</v>
      </c>
      <c r="H831" s="5">
        <f t="shared" si="30"/>
        <v>0</v>
      </c>
      <c r="I831" s="6"/>
      <c r="J831" s="43"/>
      <c r="K831" s="51"/>
      <c r="L831" s="86"/>
    </row>
    <row r="832" spans="1:12" ht="15" x14ac:dyDescent="0.25">
      <c r="A832" s="1">
        <v>823</v>
      </c>
      <c r="B832" s="1" t="s">
        <v>125</v>
      </c>
      <c r="C832" s="32">
        <v>1422</v>
      </c>
      <c r="D832" s="1">
        <v>6000</v>
      </c>
      <c r="E832" s="1"/>
      <c r="F832" s="1">
        <v>49.2</v>
      </c>
      <c r="G832" s="1">
        <v>6000</v>
      </c>
      <c r="H832" s="5">
        <f t="shared" si="30"/>
        <v>0</v>
      </c>
      <c r="I832" s="6"/>
      <c r="J832" s="43"/>
      <c r="K832" s="51"/>
      <c r="L832" s="86"/>
    </row>
    <row r="833" spans="1:12" ht="15" x14ac:dyDescent="0.25">
      <c r="A833" s="1">
        <v>824</v>
      </c>
      <c r="B833" s="1" t="s">
        <v>125</v>
      </c>
      <c r="C833" s="32">
        <v>9703</v>
      </c>
      <c r="D833" s="1">
        <v>16000</v>
      </c>
      <c r="E833" s="1"/>
      <c r="F833" s="1">
        <v>178.45</v>
      </c>
      <c r="G833" s="1">
        <v>16000</v>
      </c>
      <c r="H833" s="5">
        <f t="shared" si="30"/>
        <v>0</v>
      </c>
      <c r="I833" s="6"/>
      <c r="J833" s="43"/>
      <c r="K833" s="51"/>
      <c r="L833" s="86"/>
    </row>
    <row r="834" spans="1:12" ht="15" x14ac:dyDescent="0.25">
      <c r="A834" s="1">
        <v>825</v>
      </c>
      <c r="B834" s="1" t="s">
        <v>125</v>
      </c>
      <c r="C834" s="32">
        <v>4962</v>
      </c>
      <c r="D834" s="1">
        <v>16000</v>
      </c>
      <c r="E834" s="1"/>
      <c r="F834" s="1">
        <v>128.44999999999999</v>
      </c>
      <c r="G834" s="1">
        <v>16000</v>
      </c>
      <c r="H834" s="5">
        <f t="shared" si="30"/>
        <v>0</v>
      </c>
      <c r="I834" s="6"/>
      <c r="J834" s="43"/>
      <c r="K834" s="51"/>
      <c r="L834" s="86"/>
    </row>
    <row r="835" spans="1:12" ht="15" x14ac:dyDescent="0.25">
      <c r="A835" s="1">
        <v>826</v>
      </c>
      <c r="B835" s="1" t="s">
        <v>125</v>
      </c>
      <c r="C835" s="32">
        <v>1888</v>
      </c>
      <c r="D835" s="1">
        <v>18000</v>
      </c>
      <c r="E835" s="1"/>
      <c r="F835" s="1">
        <v>133.94</v>
      </c>
      <c r="G835" s="1">
        <v>18000</v>
      </c>
      <c r="H835" s="5">
        <f t="shared" si="30"/>
        <v>0</v>
      </c>
      <c r="I835" s="6"/>
      <c r="J835" s="43"/>
      <c r="K835" s="51"/>
      <c r="L835" s="86"/>
    </row>
    <row r="836" spans="1:12" ht="15" x14ac:dyDescent="0.25">
      <c r="A836" s="1">
        <v>827</v>
      </c>
      <c r="B836" s="1" t="s">
        <v>125</v>
      </c>
      <c r="C836" s="32">
        <v>1952</v>
      </c>
      <c r="D836" s="1">
        <v>23000</v>
      </c>
      <c r="E836" s="1"/>
      <c r="F836" s="1">
        <v>256.52</v>
      </c>
      <c r="G836" s="1">
        <v>23000</v>
      </c>
      <c r="H836" s="5">
        <f t="shared" si="30"/>
        <v>0</v>
      </c>
      <c r="I836" s="6"/>
      <c r="J836" s="43"/>
      <c r="K836" s="51"/>
      <c r="L836" s="86"/>
    </row>
    <row r="837" spans="1:12" ht="15" x14ac:dyDescent="0.25">
      <c r="A837" s="1">
        <v>828</v>
      </c>
      <c r="B837" s="1" t="s">
        <v>125</v>
      </c>
      <c r="C837" s="32">
        <v>3088</v>
      </c>
      <c r="D837" s="1">
        <v>22000</v>
      </c>
      <c r="E837" s="1"/>
      <c r="F837" s="1">
        <v>245.59</v>
      </c>
      <c r="G837" s="1">
        <v>22000</v>
      </c>
      <c r="H837" s="5">
        <f t="shared" si="30"/>
        <v>0</v>
      </c>
      <c r="I837" s="6"/>
      <c r="J837" s="43"/>
      <c r="K837" s="51"/>
      <c r="L837" s="86"/>
    </row>
    <row r="838" spans="1:12" ht="15" x14ac:dyDescent="0.25">
      <c r="A838" s="1">
        <v>829</v>
      </c>
      <c r="B838" s="1" t="s">
        <v>125</v>
      </c>
      <c r="C838" s="32">
        <v>1268</v>
      </c>
      <c r="D838" s="1">
        <v>22000</v>
      </c>
      <c r="E838" s="1"/>
      <c r="F838" s="1">
        <v>245.59</v>
      </c>
      <c r="G838" s="1">
        <v>22000</v>
      </c>
      <c r="H838" s="5">
        <f t="shared" si="30"/>
        <v>0</v>
      </c>
      <c r="I838" s="6"/>
      <c r="J838" s="43"/>
      <c r="K838" s="51"/>
      <c r="L838" s="86"/>
    </row>
    <row r="839" spans="1:12" ht="15" x14ac:dyDescent="0.25">
      <c r="A839" s="1">
        <v>830</v>
      </c>
      <c r="B839" s="1" t="s">
        <v>125</v>
      </c>
      <c r="C839" s="32">
        <v>5632</v>
      </c>
      <c r="D839" s="1">
        <v>25000</v>
      </c>
      <c r="E839" s="1"/>
      <c r="F839" s="1">
        <v>366.94</v>
      </c>
      <c r="G839" s="1">
        <v>25000</v>
      </c>
      <c r="H839" s="5">
        <f t="shared" si="30"/>
        <v>0</v>
      </c>
      <c r="I839" s="6"/>
      <c r="J839" s="43"/>
      <c r="K839" s="51"/>
      <c r="L839" s="86"/>
    </row>
    <row r="840" spans="1:12" ht="15" x14ac:dyDescent="0.25">
      <c r="A840" s="1">
        <v>831</v>
      </c>
      <c r="B840" s="1" t="s">
        <v>125</v>
      </c>
      <c r="C840" s="32">
        <v>7099</v>
      </c>
      <c r="D840" s="1">
        <v>25000</v>
      </c>
      <c r="E840" s="1"/>
      <c r="F840" s="1">
        <v>278.83</v>
      </c>
      <c r="G840" s="1">
        <v>25000</v>
      </c>
      <c r="H840" s="5">
        <f t="shared" si="30"/>
        <v>0</v>
      </c>
      <c r="I840" s="6"/>
      <c r="J840" s="43"/>
      <c r="K840" s="51"/>
      <c r="L840" s="86"/>
    </row>
    <row r="841" spans="1:12" ht="15" x14ac:dyDescent="0.25">
      <c r="A841" s="1">
        <v>832</v>
      </c>
      <c r="B841" s="1" t="s">
        <v>125</v>
      </c>
      <c r="C841" s="32">
        <v>850</v>
      </c>
      <c r="D841" s="1">
        <v>20000</v>
      </c>
      <c r="E841" s="1"/>
      <c r="F841" s="1">
        <v>223.06</v>
      </c>
      <c r="G841" s="1">
        <v>20000</v>
      </c>
      <c r="H841" s="5">
        <f t="shared" si="30"/>
        <v>0</v>
      </c>
      <c r="I841" s="6"/>
      <c r="J841" s="43"/>
      <c r="K841" s="51"/>
      <c r="L841" s="86"/>
    </row>
    <row r="842" spans="1:12" ht="15" x14ac:dyDescent="0.25">
      <c r="A842" s="1">
        <v>833</v>
      </c>
      <c r="B842" s="1" t="s">
        <v>125</v>
      </c>
      <c r="C842" s="32">
        <v>63</v>
      </c>
      <c r="D842" s="1">
        <v>20000</v>
      </c>
      <c r="E842" s="1"/>
      <c r="F842" s="1">
        <v>223.06</v>
      </c>
      <c r="G842" s="1">
        <v>20000</v>
      </c>
      <c r="H842" s="5">
        <f t="shared" si="30"/>
        <v>0</v>
      </c>
      <c r="I842" s="6"/>
      <c r="J842" s="43"/>
      <c r="K842" s="51"/>
      <c r="L842" s="86"/>
    </row>
    <row r="843" spans="1:12" ht="15" x14ac:dyDescent="0.25">
      <c r="A843" s="1">
        <v>834</v>
      </c>
      <c r="B843" s="1" t="s">
        <v>125</v>
      </c>
      <c r="C843" s="32">
        <v>4242</v>
      </c>
      <c r="D843" s="1">
        <v>20000</v>
      </c>
      <c r="E843" s="1"/>
      <c r="F843" s="1">
        <v>192.75</v>
      </c>
      <c r="G843" s="1">
        <v>20000</v>
      </c>
      <c r="H843" s="5">
        <f t="shared" si="30"/>
        <v>0</v>
      </c>
      <c r="I843" s="6"/>
      <c r="J843" s="43"/>
      <c r="K843" s="51"/>
      <c r="L843" s="86"/>
    </row>
    <row r="844" spans="1:12" ht="15" x14ac:dyDescent="0.25">
      <c r="A844" s="1">
        <v>835</v>
      </c>
      <c r="B844" s="1" t="s">
        <v>125</v>
      </c>
      <c r="C844" s="32">
        <v>2015</v>
      </c>
      <c r="D844" s="1">
        <v>30000</v>
      </c>
      <c r="E844" s="1"/>
      <c r="F844" s="1">
        <v>290.10000000000002</v>
      </c>
      <c r="G844" s="1">
        <v>30000</v>
      </c>
      <c r="H844" s="5">
        <f t="shared" si="30"/>
        <v>0</v>
      </c>
      <c r="I844" s="6"/>
      <c r="J844" s="43"/>
      <c r="K844" s="51"/>
      <c r="L844" s="86"/>
    </row>
    <row r="845" spans="1:12" ht="15" x14ac:dyDescent="0.25">
      <c r="A845" s="1">
        <v>836</v>
      </c>
      <c r="B845" s="1" t="s">
        <v>125</v>
      </c>
      <c r="C845" s="32">
        <v>5887</v>
      </c>
      <c r="D845" s="1">
        <v>30000</v>
      </c>
      <c r="E845" s="1"/>
      <c r="F845" s="1">
        <v>322.02</v>
      </c>
      <c r="G845" s="1">
        <v>30000</v>
      </c>
      <c r="H845" s="5">
        <f t="shared" si="30"/>
        <v>0</v>
      </c>
      <c r="I845" s="6"/>
      <c r="J845" s="43"/>
      <c r="K845" s="51"/>
      <c r="L845" s="86"/>
    </row>
    <row r="846" spans="1:12" ht="15" x14ac:dyDescent="0.25">
      <c r="A846" s="1">
        <v>837</v>
      </c>
      <c r="B846" s="1" t="s">
        <v>125</v>
      </c>
      <c r="C846" s="32">
        <v>2092</v>
      </c>
      <c r="D846" s="1">
        <v>10000</v>
      </c>
      <c r="E846" s="1"/>
      <c r="F846" s="1">
        <v>111.53</v>
      </c>
      <c r="G846" s="1">
        <v>10000</v>
      </c>
      <c r="H846" s="5">
        <f t="shared" si="30"/>
        <v>0</v>
      </c>
      <c r="I846" s="6"/>
      <c r="J846" s="43"/>
      <c r="K846" s="51"/>
      <c r="L846" s="86">
        <f>2392427-2391134</f>
        <v>1293</v>
      </c>
    </row>
    <row r="847" spans="1:12" ht="15" x14ac:dyDescent="0.25">
      <c r="A847" s="1">
        <v>838</v>
      </c>
      <c r="B847" s="1" t="s">
        <v>126</v>
      </c>
      <c r="C847" s="32" t="s">
        <v>66</v>
      </c>
      <c r="D847" s="1">
        <v>400</v>
      </c>
      <c r="E847" s="1"/>
      <c r="F847" s="1">
        <v>4.57</v>
      </c>
      <c r="G847" s="1">
        <v>400</v>
      </c>
      <c r="H847" s="5">
        <f t="shared" si="30"/>
        <v>0</v>
      </c>
      <c r="I847" s="6"/>
      <c r="J847" s="43"/>
      <c r="K847" s="51"/>
      <c r="L847" s="86"/>
    </row>
    <row r="848" spans="1:12" ht="15" x14ac:dyDescent="0.25">
      <c r="A848" s="1">
        <v>839</v>
      </c>
      <c r="B848" s="1" t="s">
        <v>126</v>
      </c>
      <c r="C848" s="32">
        <v>5281</v>
      </c>
      <c r="D848" s="1">
        <v>13000</v>
      </c>
      <c r="E848" s="1"/>
      <c r="F848" s="1">
        <v>135.96</v>
      </c>
      <c r="G848" s="1">
        <v>13000</v>
      </c>
      <c r="H848" s="5">
        <f t="shared" si="30"/>
        <v>0</v>
      </c>
      <c r="I848" s="6"/>
      <c r="J848" s="43"/>
      <c r="K848" s="51"/>
      <c r="L848" s="86"/>
    </row>
    <row r="849" spans="1:13" ht="15" x14ac:dyDescent="0.25">
      <c r="A849" s="1">
        <v>840</v>
      </c>
      <c r="B849" s="1" t="s">
        <v>126</v>
      </c>
      <c r="C849" s="32">
        <v>6643</v>
      </c>
      <c r="D849" s="1">
        <v>20000</v>
      </c>
      <c r="E849" s="1"/>
      <c r="F849" s="1">
        <v>223.06</v>
      </c>
      <c r="G849" s="1">
        <v>20000</v>
      </c>
      <c r="H849" s="5">
        <f t="shared" si="30"/>
        <v>0</v>
      </c>
      <c r="I849" s="6"/>
      <c r="J849" s="43"/>
      <c r="K849" s="51"/>
      <c r="L849" s="86"/>
    </row>
    <row r="850" spans="1:13" ht="15" x14ac:dyDescent="0.25">
      <c r="A850" s="1">
        <v>841</v>
      </c>
      <c r="B850" s="1" t="s">
        <v>126</v>
      </c>
      <c r="C850" s="32">
        <v>1215</v>
      </c>
      <c r="D850" s="1">
        <v>14000</v>
      </c>
      <c r="E850" s="1"/>
      <c r="F850" s="1">
        <v>156.13999999999999</v>
      </c>
      <c r="G850" s="1">
        <v>14000</v>
      </c>
      <c r="H850" s="5">
        <f t="shared" si="30"/>
        <v>0</v>
      </c>
      <c r="I850" s="6"/>
      <c r="J850" s="43"/>
      <c r="K850" s="51"/>
      <c r="L850" s="86"/>
    </row>
    <row r="851" spans="1:13" ht="15" x14ac:dyDescent="0.25">
      <c r="A851" s="1">
        <v>842</v>
      </c>
      <c r="B851" s="1" t="s">
        <v>126</v>
      </c>
      <c r="C851" s="32">
        <v>1324</v>
      </c>
      <c r="D851" s="1">
        <v>16000</v>
      </c>
      <c r="E851" s="1"/>
      <c r="F851" s="1">
        <v>128.44999999999999</v>
      </c>
      <c r="G851" s="1">
        <v>16000</v>
      </c>
      <c r="H851" s="5">
        <f t="shared" si="30"/>
        <v>0</v>
      </c>
      <c r="I851" s="6"/>
      <c r="J851" s="43"/>
      <c r="K851" s="51"/>
      <c r="L851" s="86"/>
    </row>
    <row r="852" spans="1:13" ht="15" x14ac:dyDescent="0.25">
      <c r="A852" s="1">
        <v>843</v>
      </c>
      <c r="B852" s="1" t="s">
        <v>126</v>
      </c>
      <c r="C852" s="32">
        <v>7932</v>
      </c>
      <c r="D852" s="1">
        <v>20000</v>
      </c>
      <c r="E852" s="1"/>
      <c r="F852" s="1">
        <v>223.06</v>
      </c>
      <c r="G852" s="1">
        <v>20000</v>
      </c>
      <c r="H852" s="5">
        <f t="shared" si="30"/>
        <v>0</v>
      </c>
      <c r="I852" s="6"/>
      <c r="J852" s="43"/>
      <c r="K852" s="51"/>
      <c r="L852" s="86"/>
    </row>
    <row r="853" spans="1:13" ht="15" x14ac:dyDescent="0.25">
      <c r="A853" s="1">
        <v>844</v>
      </c>
      <c r="B853" s="1" t="s">
        <v>126</v>
      </c>
      <c r="C853" s="32">
        <v>3045</v>
      </c>
      <c r="D853" s="1">
        <v>30000</v>
      </c>
      <c r="E853" s="1"/>
      <c r="F853" s="1">
        <v>334.6</v>
      </c>
      <c r="G853" s="1">
        <v>30000</v>
      </c>
      <c r="H853" s="5">
        <f t="shared" si="30"/>
        <v>0</v>
      </c>
      <c r="I853" s="6"/>
      <c r="J853" s="43"/>
      <c r="K853" s="51"/>
      <c r="L853" s="86"/>
    </row>
    <row r="854" spans="1:13" ht="15" x14ac:dyDescent="0.25">
      <c r="A854" s="1">
        <v>845</v>
      </c>
      <c r="B854" s="1" t="s">
        <v>126</v>
      </c>
      <c r="C854" s="32">
        <v>5312</v>
      </c>
      <c r="D854" s="1">
        <v>30000</v>
      </c>
      <c r="E854" s="1"/>
      <c r="F854" s="1">
        <v>301.58999999999997</v>
      </c>
      <c r="G854" s="1">
        <v>30000</v>
      </c>
      <c r="H854" s="5">
        <f t="shared" si="30"/>
        <v>0</v>
      </c>
      <c r="I854" s="6"/>
      <c r="J854" s="43"/>
      <c r="K854" s="51"/>
      <c r="L854" s="86"/>
    </row>
    <row r="855" spans="1:13" ht="15" x14ac:dyDescent="0.25">
      <c r="A855" s="1">
        <v>846</v>
      </c>
      <c r="B855" s="1" t="s">
        <v>126</v>
      </c>
      <c r="C855" s="32">
        <v>2324</v>
      </c>
      <c r="D855" s="1">
        <v>24000</v>
      </c>
      <c r="E855" s="1"/>
      <c r="F855" s="1">
        <v>229.76</v>
      </c>
      <c r="G855" s="1">
        <v>24000</v>
      </c>
      <c r="H855" s="5">
        <f t="shared" si="30"/>
        <v>0</v>
      </c>
      <c r="I855" s="6"/>
      <c r="J855" s="43"/>
      <c r="K855" s="51"/>
      <c r="L855" s="86"/>
    </row>
    <row r="856" spans="1:13" ht="15" x14ac:dyDescent="0.25">
      <c r="A856" s="1">
        <v>847</v>
      </c>
      <c r="B856" s="1" t="s">
        <v>126</v>
      </c>
      <c r="C856" s="32">
        <v>5411</v>
      </c>
      <c r="D856" s="1">
        <v>20000</v>
      </c>
      <c r="E856" s="1"/>
      <c r="F856" s="1">
        <v>155.03</v>
      </c>
      <c r="G856" s="1">
        <v>20000</v>
      </c>
      <c r="H856" s="5">
        <f t="shared" si="30"/>
        <v>0</v>
      </c>
      <c r="I856" s="6"/>
      <c r="J856" s="43"/>
      <c r="K856" s="51"/>
      <c r="L856" s="86"/>
    </row>
    <row r="857" spans="1:13" ht="15" x14ac:dyDescent="0.25">
      <c r="A857" s="1">
        <v>848</v>
      </c>
      <c r="B857" s="1" t="s">
        <v>126</v>
      </c>
      <c r="C857" s="32">
        <v>6552</v>
      </c>
      <c r="D857" s="1">
        <v>30000</v>
      </c>
      <c r="E857" s="1"/>
      <c r="F857" s="1">
        <v>301.45</v>
      </c>
      <c r="G857" s="1">
        <v>30000</v>
      </c>
      <c r="H857" s="5">
        <f t="shared" si="30"/>
        <v>0</v>
      </c>
      <c r="I857" s="6"/>
      <c r="J857" s="43"/>
      <c r="K857" s="51"/>
      <c r="L857" s="86"/>
    </row>
    <row r="858" spans="1:13" ht="15" x14ac:dyDescent="0.25">
      <c r="A858" s="1">
        <v>849</v>
      </c>
      <c r="B858" s="1" t="s">
        <v>126</v>
      </c>
      <c r="C858" s="32">
        <v>1220</v>
      </c>
      <c r="D858" s="1">
        <v>13000</v>
      </c>
      <c r="E858" s="1"/>
      <c r="F858" s="1">
        <v>144.99</v>
      </c>
      <c r="G858" s="1">
        <v>13000</v>
      </c>
      <c r="H858" s="5">
        <f t="shared" si="30"/>
        <v>0</v>
      </c>
      <c r="I858" s="6"/>
      <c r="J858" s="43"/>
      <c r="K858" s="51"/>
      <c r="L858" s="86"/>
    </row>
    <row r="859" spans="1:13" ht="15" x14ac:dyDescent="0.25">
      <c r="A859" s="1">
        <v>850</v>
      </c>
      <c r="B859" s="1" t="s">
        <v>126</v>
      </c>
      <c r="C859" s="32">
        <v>2472</v>
      </c>
      <c r="D859" s="1">
        <v>15000</v>
      </c>
      <c r="E859" s="1"/>
      <c r="F859" s="1">
        <v>167.3</v>
      </c>
      <c r="G859" s="1">
        <v>15000</v>
      </c>
      <c r="H859" s="5">
        <f t="shared" si="30"/>
        <v>0</v>
      </c>
      <c r="I859" s="6"/>
      <c r="J859" s="43"/>
      <c r="K859" s="51"/>
      <c r="L859" s="86"/>
    </row>
    <row r="860" spans="1:13" ht="15" x14ac:dyDescent="0.25">
      <c r="A860" s="1">
        <v>851</v>
      </c>
      <c r="B860" s="1" t="s">
        <v>126</v>
      </c>
      <c r="C860" s="32">
        <v>7385</v>
      </c>
      <c r="D860" s="1">
        <v>15000</v>
      </c>
      <c r="E860" s="1"/>
      <c r="F860" s="1">
        <v>167.3</v>
      </c>
      <c r="G860" s="1">
        <v>15000</v>
      </c>
      <c r="H860" s="5">
        <f t="shared" si="30"/>
        <v>0</v>
      </c>
      <c r="I860" s="6"/>
      <c r="J860" s="43"/>
      <c r="K860" s="51"/>
      <c r="L860" s="86"/>
    </row>
    <row r="861" spans="1:13" ht="15" x14ac:dyDescent="0.25">
      <c r="A861" s="1">
        <v>852</v>
      </c>
      <c r="B861" s="1" t="s">
        <v>126</v>
      </c>
      <c r="C861" s="32">
        <v>896</v>
      </c>
      <c r="D861" s="1">
        <v>14000</v>
      </c>
      <c r="E861" s="1"/>
      <c r="F861" s="1">
        <v>156.15</v>
      </c>
      <c r="G861" s="1">
        <v>14000</v>
      </c>
      <c r="H861" s="5">
        <f t="shared" si="30"/>
        <v>0</v>
      </c>
      <c r="I861" s="6"/>
      <c r="J861" s="43"/>
      <c r="K861" s="51"/>
      <c r="L861" s="86"/>
    </row>
    <row r="862" spans="1:13" ht="15" x14ac:dyDescent="0.25">
      <c r="A862" s="1">
        <v>853</v>
      </c>
      <c r="B862" s="1" t="s">
        <v>126</v>
      </c>
      <c r="C862" s="32" t="s">
        <v>61</v>
      </c>
      <c r="D862" s="1">
        <v>4500</v>
      </c>
      <c r="E862" s="1"/>
      <c r="F862" s="1">
        <v>50.19</v>
      </c>
      <c r="G862" s="1">
        <v>4500</v>
      </c>
      <c r="H862" s="5">
        <f t="shared" si="30"/>
        <v>0</v>
      </c>
      <c r="I862" s="6"/>
      <c r="J862" s="43"/>
      <c r="K862" s="51"/>
      <c r="L862" s="86"/>
    </row>
    <row r="863" spans="1:13" ht="15" x14ac:dyDescent="0.25">
      <c r="A863" s="1">
        <v>854</v>
      </c>
      <c r="B863" s="1" t="s">
        <v>126</v>
      </c>
      <c r="C863" s="32">
        <v>3184</v>
      </c>
      <c r="D863" s="1">
        <v>30000</v>
      </c>
      <c r="E863" s="1"/>
      <c r="F863" s="1">
        <v>326.29000000000002</v>
      </c>
      <c r="G863" s="1">
        <v>30000</v>
      </c>
      <c r="H863" s="5">
        <f t="shared" ref="H863:H923" si="31">D863-G863</f>
        <v>0</v>
      </c>
      <c r="I863" s="6"/>
      <c r="J863" s="43"/>
      <c r="K863" s="51"/>
      <c r="L863" s="86"/>
    </row>
    <row r="864" spans="1:13" ht="15" x14ac:dyDescent="0.25">
      <c r="A864" s="1">
        <v>855</v>
      </c>
      <c r="B864" s="1" t="s">
        <v>126</v>
      </c>
      <c r="C864" s="32">
        <v>1205</v>
      </c>
      <c r="D864" s="1">
        <v>13000</v>
      </c>
      <c r="E864" s="1"/>
      <c r="F864" s="1">
        <v>144.49</v>
      </c>
      <c r="G864" s="1">
        <v>13000</v>
      </c>
      <c r="H864" s="5">
        <f t="shared" si="31"/>
        <v>0</v>
      </c>
      <c r="I864" s="6"/>
      <c r="J864" s="43"/>
      <c r="K864" s="51"/>
      <c r="L864" s="86">
        <f>2113034-2066747</f>
        <v>46287</v>
      </c>
      <c r="M864">
        <f>46287-32400</f>
        <v>13887</v>
      </c>
    </row>
    <row r="865" spans="1:14" ht="15" x14ac:dyDescent="0.25">
      <c r="A865" s="1">
        <v>856</v>
      </c>
      <c r="B865" s="1" t="s">
        <v>127</v>
      </c>
      <c r="C865" s="32">
        <v>6640</v>
      </c>
      <c r="D865" s="1">
        <v>20000</v>
      </c>
      <c r="E865" s="1"/>
      <c r="F865" s="1">
        <v>223.06</v>
      </c>
      <c r="G865" s="1">
        <v>20000</v>
      </c>
      <c r="H865" s="5">
        <f t="shared" si="31"/>
        <v>0</v>
      </c>
      <c r="I865" s="6"/>
      <c r="J865" s="43"/>
      <c r="K865" s="51"/>
      <c r="L865" s="86"/>
    </row>
    <row r="866" spans="1:14" ht="15" x14ac:dyDescent="0.25">
      <c r="A866" s="1">
        <v>857</v>
      </c>
      <c r="B866" s="1" t="s">
        <v>127</v>
      </c>
      <c r="C866" s="32">
        <v>2280</v>
      </c>
      <c r="D866" s="1">
        <v>21000</v>
      </c>
      <c r="E866" s="1"/>
      <c r="F866" s="1">
        <v>234.22</v>
      </c>
      <c r="G866" s="1">
        <v>21000</v>
      </c>
      <c r="H866" s="5">
        <f t="shared" si="31"/>
        <v>0</v>
      </c>
      <c r="I866" s="6"/>
      <c r="J866" s="43"/>
      <c r="K866" s="51"/>
      <c r="L866" s="86"/>
    </row>
    <row r="867" spans="1:14" ht="15" x14ac:dyDescent="0.25">
      <c r="A867" s="1">
        <v>858</v>
      </c>
      <c r="B867" s="1" t="s">
        <v>127</v>
      </c>
      <c r="C867" s="32">
        <v>119</v>
      </c>
      <c r="D867" s="1">
        <v>16000</v>
      </c>
      <c r="E867" s="1"/>
      <c r="F867" s="1">
        <v>178.45</v>
      </c>
      <c r="G867" s="1">
        <v>16000</v>
      </c>
      <c r="H867" s="5">
        <f t="shared" si="31"/>
        <v>0</v>
      </c>
      <c r="I867" s="6"/>
      <c r="J867" s="43"/>
      <c r="K867" s="51"/>
      <c r="L867" s="86"/>
    </row>
    <row r="868" spans="1:14" ht="15" x14ac:dyDescent="0.25">
      <c r="A868" s="1">
        <v>859</v>
      </c>
      <c r="B868" s="1" t="s">
        <v>127</v>
      </c>
      <c r="C868" s="32">
        <v>1448</v>
      </c>
      <c r="D868" s="1">
        <v>15000</v>
      </c>
      <c r="E868" s="1"/>
      <c r="F868" s="1">
        <v>136.07</v>
      </c>
      <c r="G868" s="1">
        <v>15000</v>
      </c>
      <c r="H868" s="5">
        <f t="shared" si="31"/>
        <v>0</v>
      </c>
      <c r="I868" s="6"/>
      <c r="J868" s="43"/>
      <c r="K868" s="51"/>
      <c r="L868" s="86"/>
    </row>
    <row r="869" spans="1:14" ht="15" x14ac:dyDescent="0.25">
      <c r="A869" s="1">
        <v>860</v>
      </c>
      <c r="B869" s="1" t="s">
        <v>127</v>
      </c>
      <c r="C869" s="32">
        <v>1352</v>
      </c>
      <c r="D869" s="1">
        <v>13000</v>
      </c>
      <c r="E869" s="1"/>
      <c r="F869" s="1">
        <v>144.99</v>
      </c>
      <c r="G869" s="1">
        <v>13000</v>
      </c>
      <c r="H869" s="5">
        <f t="shared" si="31"/>
        <v>0</v>
      </c>
      <c r="I869" s="6"/>
      <c r="J869" s="43"/>
      <c r="K869" s="51"/>
      <c r="L869" s="86"/>
    </row>
    <row r="870" spans="1:14" ht="15" x14ac:dyDescent="0.25">
      <c r="A870" s="1">
        <v>861</v>
      </c>
      <c r="B870" s="1" t="s">
        <v>127</v>
      </c>
      <c r="C870" s="32" t="s">
        <v>61</v>
      </c>
      <c r="D870" s="1">
        <v>4500</v>
      </c>
      <c r="E870" s="1"/>
      <c r="F870" s="1">
        <v>50.19</v>
      </c>
      <c r="G870" s="1">
        <v>4500</v>
      </c>
      <c r="H870" s="5">
        <f t="shared" si="31"/>
        <v>0</v>
      </c>
      <c r="I870" s="6"/>
      <c r="J870" s="43"/>
      <c r="K870" s="51"/>
      <c r="L870" s="86"/>
    </row>
    <row r="871" spans="1:14" ht="15" x14ac:dyDescent="0.25">
      <c r="A871" s="1">
        <v>862</v>
      </c>
      <c r="B871" s="1" t="s">
        <v>127</v>
      </c>
      <c r="C871" s="32">
        <v>1752</v>
      </c>
      <c r="D871" s="1">
        <v>25000</v>
      </c>
      <c r="E871" s="1"/>
      <c r="F871" s="1">
        <v>278.83</v>
      </c>
      <c r="G871" s="1">
        <v>25000</v>
      </c>
      <c r="H871" s="5">
        <f t="shared" si="31"/>
        <v>0</v>
      </c>
      <c r="I871" s="6"/>
      <c r="J871" s="43"/>
      <c r="K871" s="51"/>
      <c r="L871" s="86"/>
    </row>
    <row r="872" spans="1:14" ht="15" x14ac:dyDescent="0.25">
      <c r="A872" s="1">
        <v>863</v>
      </c>
      <c r="B872" s="1" t="s">
        <v>127</v>
      </c>
      <c r="C872" s="32">
        <v>1340</v>
      </c>
      <c r="D872" s="1">
        <v>21400</v>
      </c>
      <c r="E872" s="1"/>
      <c r="F872" s="1">
        <v>238.68</v>
      </c>
      <c r="G872" s="1">
        <v>21400</v>
      </c>
      <c r="H872" s="5">
        <f t="shared" si="31"/>
        <v>0</v>
      </c>
      <c r="I872" s="6"/>
      <c r="J872" s="43"/>
      <c r="K872" s="51"/>
      <c r="L872" s="86"/>
    </row>
    <row r="873" spans="1:14" ht="15" x14ac:dyDescent="0.25">
      <c r="A873" s="1">
        <v>864</v>
      </c>
      <c r="B873" s="1" t="s">
        <v>127</v>
      </c>
      <c r="C873" s="32">
        <v>756</v>
      </c>
      <c r="D873" s="1">
        <v>24000</v>
      </c>
      <c r="E873" s="1"/>
      <c r="F873" s="1">
        <v>267.68</v>
      </c>
      <c r="G873" s="1">
        <v>24000</v>
      </c>
      <c r="H873" s="5">
        <f t="shared" si="31"/>
        <v>0</v>
      </c>
      <c r="I873" s="6"/>
      <c r="J873" s="43"/>
      <c r="K873" s="51"/>
      <c r="L873" s="86"/>
    </row>
    <row r="874" spans="1:14" ht="15" x14ac:dyDescent="0.25">
      <c r="A874" s="1">
        <v>865</v>
      </c>
      <c r="B874" s="1" t="s">
        <v>127</v>
      </c>
      <c r="C874" s="32">
        <v>1056</v>
      </c>
      <c r="D874" s="1">
        <v>5000</v>
      </c>
      <c r="E874" s="1"/>
      <c r="F874" s="1">
        <v>55.77</v>
      </c>
      <c r="G874" s="1">
        <v>5000</v>
      </c>
      <c r="H874" s="5">
        <f t="shared" si="31"/>
        <v>0</v>
      </c>
      <c r="I874" s="6"/>
      <c r="J874" s="43"/>
      <c r="K874" s="51"/>
      <c r="L874" s="86"/>
    </row>
    <row r="875" spans="1:14" ht="15" x14ac:dyDescent="0.25">
      <c r="A875" s="1">
        <v>866</v>
      </c>
      <c r="B875" s="1" t="s">
        <v>127</v>
      </c>
      <c r="C875" s="32">
        <v>2885</v>
      </c>
      <c r="D875" s="1">
        <v>6000</v>
      </c>
      <c r="E875" s="1"/>
      <c r="F875" s="1">
        <v>66.92</v>
      </c>
      <c r="G875" s="1">
        <v>6000</v>
      </c>
      <c r="H875" s="5">
        <f t="shared" si="31"/>
        <v>0</v>
      </c>
      <c r="I875" s="6"/>
      <c r="J875" s="43"/>
      <c r="K875" s="51"/>
      <c r="L875" s="86"/>
    </row>
    <row r="876" spans="1:14" ht="15" x14ac:dyDescent="0.25">
      <c r="A876" s="1">
        <v>867</v>
      </c>
      <c r="B876" s="1" t="s">
        <v>127</v>
      </c>
      <c r="C876" s="32">
        <v>8698</v>
      </c>
      <c r="D876" s="1">
        <v>30000</v>
      </c>
      <c r="E876" s="1"/>
      <c r="F876" s="1">
        <v>334.6</v>
      </c>
      <c r="G876" s="1">
        <v>30000</v>
      </c>
      <c r="H876" s="5">
        <f t="shared" si="31"/>
        <v>0</v>
      </c>
      <c r="I876" s="6"/>
      <c r="J876" s="43"/>
      <c r="K876" s="51"/>
      <c r="L876" s="86"/>
    </row>
    <row r="877" spans="1:14" ht="15" x14ac:dyDescent="0.25">
      <c r="A877" s="1">
        <v>868</v>
      </c>
      <c r="B877" s="1" t="s">
        <v>127</v>
      </c>
      <c r="C877" s="32">
        <v>185</v>
      </c>
      <c r="D877" s="1">
        <v>15000</v>
      </c>
      <c r="E877" s="1"/>
      <c r="F877" s="1">
        <v>167.3</v>
      </c>
      <c r="G877" s="1">
        <v>15000</v>
      </c>
      <c r="H877" s="5">
        <f t="shared" si="31"/>
        <v>0</v>
      </c>
      <c r="I877" s="6"/>
      <c r="J877" s="43"/>
      <c r="K877" s="51"/>
      <c r="L877" s="86"/>
    </row>
    <row r="878" spans="1:14" ht="15" x14ac:dyDescent="0.25">
      <c r="A878" s="1">
        <v>869</v>
      </c>
      <c r="B878" s="1" t="s">
        <v>127</v>
      </c>
      <c r="C878" s="32">
        <v>6556</v>
      </c>
      <c r="D878" s="1">
        <v>20000</v>
      </c>
      <c r="E878" s="1"/>
      <c r="F878" s="1">
        <v>223.06</v>
      </c>
      <c r="G878" s="1">
        <v>20000</v>
      </c>
      <c r="H878" s="5">
        <f t="shared" si="31"/>
        <v>0</v>
      </c>
      <c r="I878" s="6"/>
      <c r="J878" s="43"/>
      <c r="K878" s="51"/>
      <c r="L878" s="86"/>
    </row>
    <row r="879" spans="1:14" ht="15" x14ac:dyDescent="0.25">
      <c r="A879" s="1">
        <v>870</v>
      </c>
      <c r="B879" s="1" t="s">
        <v>127</v>
      </c>
      <c r="C879" s="32">
        <v>8244</v>
      </c>
      <c r="D879" s="1">
        <v>17000</v>
      </c>
      <c r="E879" s="1"/>
      <c r="F879" s="1">
        <v>189.6</v>
      </c>
      <c r="G879" s="1">
        <v>17000</v>
      </c>
      <c r="H879" s="5">
        <f t="shared" si="31"/>
        <v>0</v>
      </c>
      <c r="I879" s="6"/>
      <c r="J879" s="43"/>
      <c r="K879" s="51"/>
      <c r="L879" s="86"/>
    </row>
    <row r="880" spans="1:14" ht="15" x14ac:dyDescent="0.25">
      <c r="A880" s="1">
        <v>871</v>
      </c>
      <c r="B880" s="47" t="s">
        <v>127</v>
      </c>
      <c r="C880" s="54">
        <v>65</v>
      </c>
      <c r="D880" s="47">
        <v>5000</v>
      </c>
      <c r="E880" s="1"/>
      <c r="F880" s="1">
        <v>55.8</v>
      </c>
      <c r="G880" s="1">
        <v>5000</v>
      </c>
      <c r="H880" s="5">
        <f t="shared" si="31"/>
        <v>0</v>
      </c>
      <c r="I880" s="6"/>
      <c r="J880" s="43"/>
      <c r="K880" s="51"/>
      <c r="L880" s="86">
        <f>1970934-1912251</f>
        <v>58683</v>
      </c>
      <c r="M880">
        <f>58683-20000</f>
        <v>38683</v>
      </c>
      <c r="N880">
        <v>121166</v>
      </c>
    </row>
    <row r="881" spans="1:12" ht="15" x14ac:dyDescent="0.25">
      <c r="A881" s="1">
        <v>872</v>
      </c>
      <c r="B881" s="1" t="s">
        <v>128</v>
      </c>
      <c r="C881" s="32">
        <v>1941</v>
      </c>
      <c r="D881" s="1">
        <v>22000</v>
      </c>
      <c r="E881" s="1"/>
      <c r="F881" s="1">
        <v>232</v>
      </c>
      <c r="G881" s="1">
        <v>22000</v>
      </c>
      <c r="H881" s="5">
        <f t="shared" si="31"/>
        <v>0</v>
      </c>
      <c r="I881" s="6"/>
      <c r="J881" s="43"/>
      <c r="K881" s="51"/>
      <c r="L881" s="86"/>
    </row>
    <row r="882" spans="1:12" ht="15" x14ac:dyDescent="0.25">
      <c r="A882" s="1">
        <v>873</v>
      </c>
      <c r="B882" s="1" t="s">
        <v>128</v>
      </c>
      <c r="C882" s="32">
        <v>291</v>
      </c>
      <c r="D882" s="1">
        <v>16000</v>
      </c>
      <c r="E882" s="1"/>
      <c r="F882" s="1">
        <v>178.45</v>
      </c>
      <c r="G882" s="1">
        <v>16000</v>
      </c>
      <c r="H882" s="5">
        <f t="shared" si="31"/>
        <v>0</v>
      </c>
      <c r="I882" s="6"/>
      <c r="J882" s="43"/>
      <c r="K882" s="51"/>
      <c r="L882" s="86"/>
    </row>
    <row r="883" spans="1:12" ht="15" x14ac:dyDescent="0.25">
      <c r="A883" s="1">
        <v>874</v>
      </c>
      <c r="B883" s="1" t="s">
        <v>128</v>
      </c>
      <c r="C883" s="32">
        <v>1021</v>
      </c>
      <c r="D883" s="1">
        <v>20000</v>
      </c>
      <c r="E883" s="1"/>
      <c r="F883" s="1">
        <v>223.06</v>
      </c>
      <c r="G883" s="1">
        <v>20000</v>
      </c>
      <c r="H883" s="5">
        <f t="shared" si="31"/>
        <v>0</v>
      </c>
      <c r="I883" s="6"/>
      <c r="J883" s="43"/>
      <c r="K883" s="51"/>
      <c r="L883" s="86"/>
    </row>
    <row r="884" spans="1:12" ht="15" x14ac:dyDescent="0.25">
      <c r="A884" s="1">
        <v>875</v>
      </c>
      <c r="B884" s="1" t="s">
        <v>128</v>
      </c>
      <c r="C884" s="32">
        <v>5488</v>
      </c>
      <c r="D884" s="1">
        <v>35000</v>
      </c>
      <c r="E884" s="1"/>
      <c r="F884" s="1">
        <v>362</v>
      </c>
      <c r="G884" s="1">
        <v>35000</v>
      </c>
      <c r="H884" s="5">
        <f t="shared" si="31"/>
        <v>0</v>
      </c>
      <c r="I884" s="6"/>
      <c r="J884" s="43"/>
      <c r="K884" s="51"/>
      <c r="L884" s="86"/>
    </row>
    <row r="885" spans="1:12" ht="15" x14ac:dyDescent="0.25">
      <c r="A885" s="1">
        <v>876</v>
      </c>
      <c r="B885" s="1" t="s">
        <v>128</v>
      </c>
      <c r="C885" s="32">
        <v>7780</v>
      </c>
      <c r="D885" s="1">
        <v>30000</v>
      </c>
      <c r="E885" s="1"/>
      <c r="F885" s="1">
        <v>334.6</v>
      </c>
      <c r="G885" s="1">
        <v>30000</v>
      </c>
      <c r="H885" s="5">
        <f t="shared" si="31"/>
        <v>0</v>
      </c>
      <c r="I885" s="6"/>
      <c r="J885" s="43"/>
      <c r="K885" s="51"/>
      <c r="L885" s="86"/>
    </row>
    <row r="886" spans="1:12" ht="15" x14ac:dyDescent="0.25">
      <c r="A886" s="1">
        <v>877</v>
      </c>
      <c r="B886" s="1" t="s">
        <v>128</v>
      </c>
      <c r="C886" s="32">
        <v>293</v>
      </c>
      <c r="D886" s="1">
        <v>14000</v>
      </c>
      <c r="E886" s="1"/>
      <c r="F886" s="1">
        <v>156.15</v>
      </c>
      <c r="G886" s="1">
        <v>14000</v>
      </c>
      <c r="H886" s="5">
        <f t="shared" si="31"/>
        <v>0</v>
      </c>
      <c r="I886" s="6"/>
      <c r="J886" s="43"/>
      <c r="K886" s="51"/>
      <c r="L886" s="86"/>
    </row>
    <row r="887" spans="1:12" ht="15" x14ac:dyDescent="0.25">
      <c r="A887" s="1">
        <v>878</v>
      </c>
      <c r="B887" s="1" t="s">
        <v>128</v>
      </c>
      <c r="C887" s="32">
        <v>7042</v>
      </c>
      <c r="D887" s="1">
        <v>20000</v>
      </c>
      <c r="E887" s="1"/>
      <c r="F887" s="1">
        <v>223.06</v>
      </c>
      <c r="G887" s="1">
        <v>20000</v>
      </c>
      <c r="H887" s="5">
        <f t="shared" si="31"/>
        <v>0</v>
      </c>
      <c r="I887" s="6"/>
      <c r="J887" s="43"/>
      <c r="K887" s="51"/>
      <c r="L887" s="86"/>
    </row>
    <row r="888" spans="1:12" ht="15" x14ac:dyDescent="0.25">
      <c r="A888" s="1">
        <v>879</v>
      </c>
      <c r="B888" s="1" t="s">
        <v>128</v>
      </c>
      <c r="C888" s="32">
        <v>127</v>
      </c>
      <c r="D888" s="1">
        <v>14000</v>
      </c>
      <c r="E888" s="1"/>
      <c r="F888" s="1">
        <v>156.15</v>
      </c>
      <c r="G888" s="1">
        <v>14000</v>
      </c>
      <c r="H888" s="5">
        <f t="shared" si="31"/>
        <v>0</v>
      </c>
      <c r="I888" s="6"/>
      <c r="J888" s="43"/>
      <c r="K888" s="51"/>
      <c r="L888" s="86"/>
    </row>
    <row r="889" spans="1:12" ht="15" x14ac:dyDescent="0.25">
      <c r="A889" s="1">
        <v>880</v>
      </c>
      <c r="B889" s="1" t="s">
        <v>128</v>
      </c>
      <c r="C889" s="32">
        <v>2152</v>
      </c>
      <c r="D889" s="1">
        <v>25000</v>
      </c>
      <c r="E889" s="1"/>
      <c r="F889" s="1">
        <v>278.83</v>
      </c>
      <c r="G889" s="1">
        <v>25000</v>
      </c>
      <c r="H889" s="5">
        <f t="shared" si="31"/>
        <v>0</v>
      </c>
      <c r="I889" s="6"/>
      <c r="J889" s="43"/>
      <c r="K889" s="51"/>
      <c r="L889" s="86"/>
    </row>
    <row r="890" spans="1:12" ht="15" x14ac:dyDescent="0.25">
      <c r="A890" s="1">
        <v>881</v>
      </c>
      <c r="B890" s="1" t="s">
        <v>128</v>
      </c>
      <c r="C890" s="32">
        <v>8723</v>
      </c>
      <c r="D890" s="1">
        <v>15000</v>
      </c>
      <c r="E890" s="1"/>
      <c r="F890" s="1">
        <v>93.8</v>
      </c>
      <c r="G890" s="1">
        <v>15000</v>
      </c>
      <c r="H890" s="5">
        <f t="shared" si="31"/>
        <v>0</v>
      </c>
      <c r="I890" s="6"/>
      <c r="J890" s="43"/>
      <c r="K890" s="51"/>
      <c r="L890" s="86"/>
    </row>
    <row r="891" spans="1:12" ht="15" x14ac:dyDescent="0.25">
      <c r="A891" s="1">
        <v>882</v>
      </c>
      <c r="B891" s="1" t="s">
        <v>128</v>
      </c>
      <c r="C891" s="32">
        <v>1852</v>
      </c>
      <c r="D891" s="1">
        <v>25000</v>
      </c>
      <c r="E891" s="1"/>
      <c r="F891" s="1">
        <v>232.2</v>
      </c>
      <c r="G891" s="1">
        <v>25000</v>
      </c>
      <c r="H891" s="5">
        <f t="shared" si="31"/>
        <v>0</v>
      </c>
      <c r="I891" s="6"/>
      <c r="J891" s="43"/>
      <c r="K891" s="51"/>
      <c r="L891" s="86"/>
    </row>
    <row r="892" spans="1:12" ht="15" x14ac:dyDescent="0.25">
      <c r="A892" s="1">
        <v>883</v>
      </c>
      <c r="B892" s="1" t="s">
        <v>128</v>
      </c>
      <c r="C892" s="32" t="s">
        <v>61</v>
      </c>
      <c r="D892" s="1">
        <v>4500</v>
      </c>
      <c r="E892" s="1"/>
      <c r="F892" s="1">
        <v>50.29</v>
      </c>
      <c r="G892" s="1">
        <v>4500</v>
      </c>
      <c r="H892" s="5">
        <f t="shared" si="31"/>
        <v>0</v>
      </c>
      <c r="I892" s="6"/>
      <c r="J892" s="43"/>
      <c r="K892" s="51"/>
      <c r="L892" s="86"/>
    </row>
    <row r="893" spans="1:12" ht="15" x14ac:dyDescent="0.25">
      <c r="A893" s="1">
        <v>884</v>
      </c>
      <c r="B893" s="1" t="s">
        <v>128</v>
      </c>
      <c r="C893" s="32">
        <v>35</v>
      </c>
      <c r="D893" s="1">
        <v>15000</v>
      </c>
      <c r="E893" s="1"/>
      <c r="F893" s="1">
        <v>167.3</v>
      </c>
      <c r="G893" s="1">
        <v>15000</v>
      </c>
      <c r="H893" s="5">
        <f t="shared" si="31"/>
        <v>0</v>
      </c>
      <c r="I893" s="6"/>
      <c r="J893" s="43"/>
      <c r="K893" s="51"/>
      <c r="L893" s="86"/>
    </row>
    <row r="894" spans="1:12" ht="15" x14ac:dyDescent="0.25">
      <c r="A894" s="1">
        <v>885</v>
      </c>
      <c r="B894" s="1" t="s">
        <v>128</v>
      </c>
      <c r="C894" s="32">
        <v>8065</v>
      </c>
      <c r="D894" s="1">
        <v>15000</v>
      </c>
      <c r="E894" s="1"/>
      <c r="F894" s="1">
        <v>167.3</v>
      </c>
      <c r="G894" s="1">
        <v>15000</v>
      </c>
      <c r="H894" s="5">
        <f t="shared" si="31"/>
        <v>0</v>
      </c>
      <c r="I894" s="6"/>
      <c r="J894" s="43"/>
      <c r="K894" s="51"/>
      <c r="L894" s="86"/>
    </row>
    <row r="895" spans="1:12" ht="15" x14ac:dyDescent="0.25">
      <c r="A895" s="1">
        <v>886</v>
      </c>
      <c r="B895" s="1" t="s">
        <v>128</v>
      </c>
      <c r="C895" s="32">
        <v>8240</v>
      </c>
      <c r="D895" s="1">
        <v>25000</v>
      </c>
      <c r="E895" s="1"/>
      <c r="F895" s="1">
        <v>199.64</v>
      </c>
      <c r="G895" s="1">
        <v>25000</v>
      </c>
      <c r="H895" s="5">
        <f t="shared" si="31"/>
        <v>0</v>
      </c>
      <c r="I895" s="6"/>
      <c r="J895" s="43"/>
      <c r="K895" s="51"/>
      <c r="L895" s="86"/>
    </row>
    <row r="896" spans="1:12" ht="15" x14ac:dyDescent="0.25">
      <c r="A896" s="1">
        <v>887</v>
      </c>
      <c r="B896" s="1" t="s">
        <v>128</v>
      </c>
      <c r="C896" s="32">
        <v>9786</v>
      </c>
      <c r="D896" s="1">
        <v>30000</v>
      </c>
      <c r="E896" s="1"/>
      <c r="F896" s="1">
        <v>334.6</v>
      </c>
      <c r="G896" s="1">
        <v>30000</v>
      </c>
      <c r="H896" s="5">
        <f t="shared" si="31"/>
        <v>0</v>
      </c>
      <c r="I896" s="6"/>
      <c r="J896" s="43"/>
      <c r="K896" s="51"/>
      <c r="L896" s="86"/>
    </row>
    <row r="897" spans="1:12" ht="15" x14ac:dyDescent="0.25">
      <c r="A897" s="1">
        <v>888</v>
      </c>
      <c r="B897" s="1" t="s">
        <v>128</v>
      </c>
      <c r="C897" s="32">
        <v>5888</v>
      </c>
      <c r="D897" s="1">
        <v>20000</v>
      </c>
      <c r="E897" s="1"/>
      <c r="F897" s="1">
        <v>211.35</v>
      </c>
      <c r="G897" s="1">
        <v>20000</v>
      </c>
      <c r="H897" s="5">
        <f t="shared" si="31"/>
        <v>0</v>
      </c>
      <c r="I897" s="6"/>
      <c r="J897" s="43"/>
      <c r="K897" s="51"/>
      <c r="L897" s="86"/>
    </row>
    <row r="898" spans="1:12" ht="15" x14ac:dyDescent="0.25">
      <c r="A898" s="1">
        <v>889</v>
      </c>
      <c r="B898" s="1" t="s">
        <v>128</v>
      </c>
      <c r="C898" s="32">
        <v>9925</v>
      </c>
      <c r="D898" s="1">
        <v>15000</v>
      </c>
      <c r="E898" s="1"/>
      <c r="F898" s="1">
        <v>167.3</v>
      </c>
      <c r="G898" s="1">
        <v>15000</v>
      </c>
      <c r="H898" s="5">
        <f t="shared" si="31"/>
        <v>0</v>
      </c>
      <c r="I898" s="6"/>
      <c r="J898" s="43"/>
      <c r="K898" s="51"/>
      <c r="L898" s="86"/>
    </row>
    <row r="899" spans="1:12" ht="15" x14ac:dyDescent="0.25">
      <c r="A899" s="1">
        <v>890</v>
      </c>
      <c r="B899" s="1" t="s">
        <v>128</v>
      </c>
      <c r="C899" s="32">
        <v>8715</v>
      </c>
      <c r="D899" s="1">
        <v>25000</v>
      </c>
      <c r="E899" s="1"/>
      <c r="F899" s="1">
        <v>199.64</v>
      </c>
      <c r="G899" s="1">
        <v>25000</v>
      </c>
      <c r="H899" s="5">
        <f t="shared" si="31"/>
        <v>0</v>
      </c>
      <c r="I899" s="6"/>
      <c r="J899" s="43"/>
      <c r="K899" s="51"/>
      <c r="L899" s="86">
        <f>2106434-2036986</f>
        <v>69448</v>
      </c>
    </row>
    <row r="900" spans="1:12" ht="15" x14ac:dyDescent="0.25">
      <c r="A900" s="1">
        <v>891</v>
      </c>
      <c r="B900" s="1" t="s">
        <v>129</v>
      </c>
      <c r="C900" s="32">
        <v>120</v>
      </c>
      <c r="D900" s="1">
        <v>16000</v>
      </c>
      <c r="E900" s="1"/>
      <c r="F900" s="1">
        <v>178.45</v>
      </c>
      <c r="G900" s="1">
        <v>16000</v>
      </c>
      <c r="H900" s="5">
        <f t="shared" si="31"/>
        <v>0</v>
      </c>
      <c r="I900" s="6"/>
      <c r="J900" s="43"/>
      <c r="K900" s="51"/>
      <c r="L900" s="86"/>
    </row>
    <row r="901" spans="1:12" ht="15" x14ac:dyDescent="0.25">
      <c r="A901" s="1">
        <v>892</v>
      </c>
      <c r="B901" s="1" t="s">
        <v>129</v>
      </c>
      <c r="C901" s="32">
        <v>7766</v>
      </c>
      <c r="D901" s="1">
        <v>17000</v>
      </c>
      <c r="E901" s="1"/>
      <c r="F901" s="1">
        <v>180.68</v>
      </c>
      <c r="G901" s="1">
        <v>17000</v>
      </c>
      <c r="H901" s="5">
        <f t="shared" si="31"/>
        <v>0</v>
      </c>
      <c r="I901" s="6"/>
      <c r="J901" s="43"/>
      <c r="K901" s="51"/>
      <c r="L901" s="86"/>
    </row>
    <row r="902" spans="1:12" ht="15" x14ac:dyDescent="0.25">
      <c r="A902" s="1">
        <v>893</v>
      </c>
      <c r="B902" s="1" t="s">
        <v>129</v>
      </c>
      <c r="C902" s="32">
        <v>1352</v>
      </c>
      <c r="D902" s="1">
        <v>13000</v>
      </c>
      <c r="E902" s="1"/>
      <c r="F902" s="1">
        <v>144.99</v>
      </c>
      <c r="G902" s="1">
        <v>13000</v>
      </c>
      <c r="H902" s="5">
        <f t="shared" si="31"/>
        <v>0</v>
      </c>
      <c r="I902" s="6"/>
      <c r="J902" s="43"/>
      <c r="K902" s="51"/>
      <c r="L902" s="86"/>
    </row>
    <row r="903" spans="1:12" ht="15" x14ac:dyDescent="0.25">
      <c r="A903" s="1">
        <v>894</v>
      </c>
      <c r="B903" s="1" t="s">
        <v>129</v>
      </c>
      <c r="C903" s="32">
        <v>756</v>
      </c>
      <c r="D903" s="1">
        <v>5000</v>
      </c>
      <c r="E903" s="1"/>
      <c r="F903" s="1">
        <v>55.77</v>
      </c>
      <c r="G903" s="1">
        <v>5000</v>
      </c>
      <c r="H903" s="5">
        <f t="shared" si="31"/>
        <v>0</v>
      </c>
      <c r="I903" s="6"/>
      <c r="J903" s="43"/>
      <c r="K903" s="51"/>
      <c r="L903" s="86"/>
    </row>
    <row r="904" spans="1:12" ht="15" x14ac:dyDescent="0.25">
      <c r="A904" s="1">
        <v>895</v>
      </c>
      <c r="B904" s="1" t="s">
        <v>129</v>
      </c>
      <c r="C904" s="32">
        <v>669</v>
      </c>
      <c r="D904" s="1">
        <v>15000</v>
      </c>
      <c r="E904" s="1"/>
      <c r="F904" s="1">
        <v>167.5</v>
      </c>
      <c r="G904" s="1">
        <v>15000</v>
      </c>
      <c r="H904" s="5">
        <f t="shared" si="31"/>
        <v>0</v>
      </c>
      <c r="I904" s="6"/>
      <c r="J904" s="43"/>
      <c r="K904" s="51"/>
      <c r="L904" s="86"/>
    </row>
    <row r="905" spans="1:12" ht="15" x14ac:dyDescent="0.25">
      <c r="A905" s="1">
        <v>896</v>
      </c>
      <c r="B905" s="1" t="s">
        <v>129</v>
      </c>
      <c r="C905" s="32">
        <v>543</v>
      </c>
      <c r="D905" s="1">
        <v>11000</v>
      </c>
      <c r="E905" s="1"/>
      <c r="F905" s="1">
        <v>122.69</v>
      </c>
      <c r="G905" s="1">
        <v>11000</v>
      </c>
      <c r="H905" s="5">
        <f t="shared" si="31"/>
        <v>0</v>
      </c>
      <c r="I905" s="6"/>
      <c r="J905" s="43"/>
      <c r="K905" s="51"/>
      <c r="L905" s="86"/>
    </row>
    <row r="906" spans="1:12" ht="15" x14ac:dyDescent="0.25">
      <c r="A906" s="1">
        <v>897</v>
      </c>
      <c r="B906" s="1" t="s">
        <v>129</v>
      </c>
      <c r="C906" s="32">
        <v>6939</v>
      </c>
      <c r="D906" s="1">
        <v>20000</v>
      </c>
      <c r="E906" s="1"/>
      <c r="F906" s="1">
        <v>223.06</v>
      </c>
      <c r="G906" s="1">
        <v>20000</v>
      </c>
      <c r="H906" s="5">
        <f t="shared" si="31"/>
        <v>0</v>
      </c>
      <c r="I906" s="6"/>
      <c r="J906" s="43"/>
      <c r="K906" s="51"/>
      <c r="L906" s="86"/>
    </row>
    <row r="907" spans="1:12" ht="15" x14ac:dyDescent="0.25">
      <c r="A907" s="1">
        <v>898</v>
      </c>
      <c r="B907" s="1" t="s">
        <v>129</v>
      </c>
      <c r="C907" s="32">
        <v>2775</v>
      </c>
      <c r="D907" s="1">
        <v>8000</v>
      </c>
      <c r="E907" s="1"/>
      <c r="F907" s="1">
        <v>89.23</v>
      </c>
      <c r="G907" s="1">
        <v>8000</v>
      </c>
      <c r="H907" s="5">
        <f t="shared" si="31"/>
        <v>0</v>
      </c>
      <c r="I907" s="6"/>
      <c r="J907" s="43"/>
      <c r="K907" s="51"/>
      <c r="L907" s="86"/>
    </row>
    <row r="908" spans="1:12" ht="15" x14ac:dyDescent="0.25">
      <c r="A908" s="1">
        <v>899</v>
      </c>
      <c r="B908" s="1" t="s">
        <v>129</v>
      </c>
      <c r="C908" s="32">
        <v>4182</v>
      </c>
      <c r="D908" s="1">
        <v>8000</v>
      </c>
      <c r="E908" s="1"/>
      <c r="F908" s="1">
        <v>89.23</v>
      </c>
      <c r="G908" s="1">
        <v>8000</v>
      </c>
      <c r="H908" s="5">
        <f t="shared" si="31"/>
        <v>0</v>
      </c>
      <c r="I908" s="6"/>
      <c r="J908" s="43"/>
      <c r="K908" s="51"/>
      <c r="L908" s="86"/>
    </row>
    <row r="909" spans="1:12" ht="15" x14ac:dyDescent="0.25">
      <c r="A909" s="1">
        <v>900</v>
      </c>
      <c r="B909" s="1" t="s">
        <v>129</v>
      </c>
      <c r="C909" s="32">
        <v>5729</v>
      </c>
      <c r="D909" s="1">
        <v>8000</v>
      </c>
      <c r="E909" s="1"/>
      <c r="F909" s="1">
        <v>89.23</v>
      </c>
      <c r="G909" s="1">
        <v>8000</v>
      </c>
      <c r="H909" s="5">
        <f t="shared" si="31"/>
        <v>0</v>
      </c>
      <c r="I909" s="6"/>
      <c r="J909" s="43"/>
      <c r="K909" s="51"/>
      <c r="L909" s="86"/>
    </row>
    <row r="910" spans="1:12" ht="15" x14ac:dyDescent="0.25">
      <c r="A910" s="1">
        <v>901</v>
      </c>
      <c r="B910" s="1" t="s">
        <v>129</v>
      </c>
      <c r="C910" s="32">
        <v>6328</v>
      </c>
      <c r="D910" s="1">
        <v>30000</v>
      </c>
      <c r="E910" s="1"/>
      <c r="F910" s="1">
        <v>334.6</v>
      </c>
      <c r="G910" s="1">
        <v>30000</v>
      </c>
      <c r="H910" s="5">
        <f t="shared" si="31"/>
        <v>0</v>
      </c>
      <c r="I910" s="6"/>
      <c r="J910" s="43"/>
      <c r="K910" s="51"/>
      <c r="L910" s="86"/>
    </row>
    <row r="911" spans="1:12" ht="15" x14ac:dyDescent="0.25">
      <c r="A911" s="1">
        <v>902</v>
      </c>
      <c r="B911" s="1" t="s">
        <v>129</v>
      </c>
      <c r="C911" s="32">
        <v>3576</v>
      </c>
      <c r="D911" s="1">
        <v>23000</v>
      </c>
      <c r="E911" s="1"/>
      <c r="F911" s="1">
        <v>256.52</v>
      </c>
      <c r="G911" s="1">
        <v>23000</v>
      </c>
      <c r="H911" s="5">
        <f t="shared" si="31"/>
        <v>0</v>
      </c>
      <c r="I911" s="6"/>
      <c r="J911" s="43"/>
      <c r="K911" s="51"/>
      <c r="L911" s="86"/>
    </row>
    <row r="912" spans="1:12" ht="15" x14ac:dyDescent="0.25">
      <c r="A912" s="1">
        <v>903</v>
      </c>
      <c r="B912" s="1" t="s">
        <v>129</v>
      </c>
      <c r="C912" s="32">
        <v>3112</v>
      </c>
      <c r="D912" s="1">
        <v>30000</v>
      </c>
      <c r="E912" s="1"/>
      <c r="F912" s="1">
        <v>297.79000000000002</v>
      </c>
      <c r="G912" s="1">
        <v>30000</v>
      </c>
      <c r="H912" s="5">
        <f t="shared" si="31"/>
        <v>0</v>
      </c>
      <c r="I912" s="6"/>
      <c r="J912" s="43"/>
      <c r="K912" s="51"/>
      <c r="L912" s="86"/>
    </row>
    <row r="913" spans="1:15" ht="15" x14ac:dyDescent="0.25">
      <c r="A913" s="1">
        <v>904</v>
      </c>
      <c r="B913" s="1" t="s">
        <v>129</v>
      </c>
      <c r="C913" s="32">
        <v>2024</v>
      </c>
      <c r="D913" s="1">
        <v>20000</v>
      </c>
      <c r="E913" s="1"/>
      <c r="F913" s="1">
        <v>223.06</v>
      </c>
      <c r="G913" s="1">
        <v>20000</v>
      </c>
      <c r="H913" s="5">
        <f t="shared" si="31"/>
        <v>0</v>
      </c>
      <c r="I913" s="6"/>
      <c r="J913" s="43"/>
      <c r="K913" s="51"/>
      <c r="L913" s="86"/>
    </row>
    <row r="914" spans="1:15" ht="15" x14ac:dyDescent="0.25">
      <c r="A914" s="1">
        <v>905</v>
      </c>
      <c r="B914" s="1" t="s">
        <v>129</v>
      </c>
      <c r="C914" s="32" t="s">
        <v>61</v>
      </c>
      <c r="D914" s="1">
        <v>5300</v>
      </c>
      <c r="E914" s="1"/>
      <c r="F914" s="1">
        <v>53.11</v>
      </c>
      <c r="G914" s="1">
        <v>5300</v>
      </c>
      <c r="H914" s="5">
        <f t="shared" si="31"/>
        <v>0</v>
      </c>
      <c r="I914" s="6"/>
      <c r="J914" s="43"/>
      <c r="K914" s="51"/>
      <c r="L914" s="86"/>
    </row>
    <row r="915" spans="1:15" ht="15" x14ac:dyDescent="0.25">
      <c r="A915" s="1">
        <v>906</v>
      </c>
      <c r="B915" s="1" t="s">
        <v>129</v>
      </c>
      <c r="C915" s="32">
        <v>1420</v>
      </c>
      <c r="D915" s="1">
        <v>25000</v>
      </c>
      <c r="E915" s="1"/>
      <c r="F915" s="1">
        <v>278.83</v>
      </c>
      <c r="G915" s="1">
        <v>25000</v>
      </c>
      <c r="H915" s="5">
        <f t="shared" si="31"/>
        <v>0</v>
      </c>
      <c r="I915" s="6"/>
      <c r="J915" s="43"/>
      <c r="K915" s="51"/>
      <c r="L915" s="86"/>
    </row>
    <row r="916" spans="1:15" ht="15" x14ac:dyDescent="0.25">
      <c r="A916" s="1">
        <v>907</v>
      </c>
      <c r="B916" s="1" t="s">
        <v>129</v>
      </c>
      <c r="C916" s="32">
        <v>2000</v>
      </c>
      <c r="D916" s="1">
        <v>20000</v>
      </c>
      <c r="E916" s="1"/>
      <c r="F916" s="1">
        <v>223.06</v>
      </c>
      <c r="G916" s="1">
        <v>20000</v>
      </c>
      <c r="H916" s="5">
        <f t="shared" si="31"/>
        <v>0</v>
      </c>
      <c r="I916" s="6"/>
      <c r="J916" s="43"/>
      <c r="K916" s="51"/>
      <c r="L916" s="86"/>
    </row>
    <row r="917" spans="1:15" ht="15" x14ac:dyDescent="0.25">
      <c r="A917" s="1">
        <v>908</v>
      </c>
      <c r="B917" s="1" t="s">
        <v>129</v>
      </c>
      <c r="C917" s="32">
        <v>1336</v>
      </c>
      <c r="D917" s="1">
        <v>27000</v>
      </c>
      <c r="E917" s="1"/>
      <c r="F917" s="1">
        <v>280</v>
      </c>
      <c r="G917" s="1">
        <v>27000</v>
      </c>
      <c r="H917" s="5">
        <f t="shared" si="31"/>
        <v>0</v>
      </c>
      <c r="I917" s="6"/>
      <c r="J917" s="43"/>
      <c r="K917" s="51"/>
      <c r="L917" s="86"/>
    </row>
    <row r="918" spans="1:15" ht="15" x14ac:dyDescent="0.25">
      <c r="A918" s="1">
        <v>909</v>
      </c>
      <c r="B918" s="1" t="s">
        <v>129</v>
      </c>
      <c r="C918" s="32">
        <v>2393</v>
      </c>
      <c r="D918" s="1">
        <v>17086</v>
      </c>
      <c r="E918" s="1"/>
      <c r="F918" s="1">
        <v>190</v>
      </c>
      <c r="G918" s="1">
        <v>17086</v>
      </c>
      <c r="H918" s="5">
        <f t="shared" si="31"/>
        <v>0</v>
      </c>
      <c r="I918" s="6"/>
      <c r="J918" s="43"/>
      <c r="K918" s="51"/>
      <c r="L918" s="86">
        <f>2124820-2056053</f>
        <v>68767</v>
      </c>
      <c r="M918">
        <f>68767-69448</f>
        <v>-681</v>
      </c>
    </row>
    <row r="919" spans="1:15" ht="15" x14ac:dyDescent="0.25">
      <c r="A919" s="1">
        <v>910</v>
      </c>
      <c r="B919" s="1" t="s">
        <v>131</v>
      </c>
      <c r="C919" s="32">
        <v>124</v>
      </c>
      <c r="D919" s="1">
        <v>17000</v>
      </c>
      <c r="E919" s="1"/>
      <c r="F919" s="1">
        <v>189.61</v>
      </c>
      <c r="G919" s="1">
        <v>17000</v>
      </c>
      <c r="H919" s="5">
        <f t="shared" si="31"/>
        <v>0</v>
      </c>
      <c r="I919" s="6"/>
      <c r="J919" s="43"/>
      <c r="K919" s="51"/>
      <c r="L919" s="86"/>
    </row>
    <row r="920" spans="1:15" ht="15" x14ac:dyDescent="0.25">
      <c r="A920" s="1">
        <v>911</v>
      </c>
      <c r="B920" s="1" t="s">
        <v>131</v>
      </c>
      <c r="C920" s="32">
        <v>128</v>
      </c>
      <c r="D920" s="1">
        <v>17000</v>
      </c>
      <c r="E920" s="1"/>
      <c r="F920" s="1">
        <v>189.61</v>
      </c>
      <c r="G920" s="1">
        <v>17000</v>
      </c>
      <c r="H920" s="5">
        <f t="shared" si="31"/>
        <v>0</v>
      </c>
      <c r="I920" s="6"/>
      <c r="J920" s="43"/>
      <c r="K920" s="51"/>
      <c r="L920" s="86"/>
    </row>
    <row r="921" spans="1:15" ht="15" x14ac:dyDescent="0.25">
      <c r="A921" s="1">
        <v>912</v>
      </c>
      <c r="B921" s="1" t="s">
        <v>131</v>
      </c>
      <c r="C921" s="32" t="s">
        <v>61</v>
      </c>
      <c r="D921" s="106">
        <v>4500</v>
      </c>
      <c r="E921" s="1"/>
      <c r="F921" s="1">
        <v>50.19</v>
      </c>
      <c r="G921" s="1">
        <v>4500</v>
      </c>
      <c r="H921" s="5">
        <f t="shared" si="31"/>
        <v>0</v>
      </c>
      <c r="I921" s="6"/>
      <c r="J921" s="43"/>
      <c r="K921" s="51"/>
      <c r="L921" s="86"/>
    </row>
    <row r="922" spans="1:15" ht="15" x14ac:dyDescent="0.25">
      <c r="A922" s="1">
        <v>913</v>
      </c>
      <c r="B922" s="1" t="s">
        <v>131</v>
      </c>
      <c r="C922" s="32" t="s">
        <v>61</v>
      </c>
      <c r="D922" s="106">
        <v>5000</v>
      </c>
      <c r="E922" s="1"/>
      <c r="F922" s="1">
        <v>55.76</v>
      </c>
      <c r="G922" s="1">
        <v>5000</v>
      </c>
      <c r="H922" s="5">
        <f t="shared" si="31"/>
        <v>0</v>
      </c>
      <c r="I922" s="6"/>
      <c r="J922" s="43"/>
      <c r="K922" s="51"/>
      <c r="L922" s="86"/>
    </row>
    <row r="923" spans="1:15" ht="15" x14ac:dyDescent="0.25">
      <c r="A923" s="1">
        <v>914</v>
      </c>
      <c r="B923" s="1" t="s">
        <v>131</v>
      </c>
      <c r="C923" s="32" t="s">
        <v>63</v>
      </c>
      <c r="D923" s="1">
        <v>3500</v>
      </c>
      <c r="E923" s="1"/>
      <c r="F923" s="1">
        <v>39.04</v>
      </c>
      <c r="G923" s="1">
        <v>3500</v>
      </c>
      <c r="H923" s="5">
        <f t="shared" si="31"/>
        <v>0</v>
      </c>
      <c r="I923" s="6"/>
      <c r="J923" s="43"/>
      <c r="K923" s="51"/>
      <c r="L923" s="86"/>
      <c r="O923" t="s">
        <v>133</v>
      </c>
    </row>
    <row r="924" spans="1:15" ht="15" x14ac:dyDescent="0.25">
      <c r="A924" s="1">
        <v>915</v>
      </c>
      <c r="B924" s="1" t="s">
        <v>131</v>
      </c>
      <c r="C924" s="32">
        <v>788</v>
      </c>
      <c r="D924" s="1">
        <v>14000</v>
      </c>
      <c r="E924" s="1"/>
      <c r="F924" s="1">
        <v>156.15</v>
      </c>
      <c r="G924" s="1">
        <v>14000</v>
      </c>
      <c r="H924" s="5">
        <f t="shared" ref="H924:H987" si="32">D924-G924</f>
        <v>0</v>
      </c>
      <c r="I924" s="6"/>
      <c r="J924" s="43"/>
      <c r="K924" s="51"/>
      <c r="L924" s="86"/>
    </row>
    <row r="925" spans="1:15" ht="15" x14ac:dyDescent="0.25">
      <c r="A925" s="1">
        <v>916</v>
      </c>
      <c r="B925" s="1" t="s">
        <v>131</v>
      </c>
      <c r="C925" s="32">
        <v>637</v>
      </c>
      <c r="D925" s="1">
        <v>10000</v>
      </c>
      <c r="E925" s="1"/>
      <c r="F925" s="1">
        <v>111.53</v>
      </c>
      <c r="G925" s="1">
        <v>10000</v>
      </c>
      <c r="H925" s="5">
        <f t="shared" si="32"/>
        <v>0</v>
      </c>
      <c r="I925" s="6"/>
      <c r="J925" s="43"/>
      <c r="K925" s="51"/>
      <c r="L925" s="86"/>
    </row>
    <row r="926" spans="1:15" ht="15" x14ac:dyDescent="0.25">
      <c r="A926" s="1">
        <v>917</v>
      </c>
      <c r="B926" s="1" t="s">
        <v>131</v>
      </c>
      <c r="C926" s="32">
        <v>3415</v>
      </c>
      <c r="D926" s="1">
        <v>20000</v>
      </c>
      <c r="E926" s="1"/>
      <c r="F926" s="1">
        <v>218.61</v>
      </c>
      <c r="G926" s="1">
        <v>20000</v>
      </c>
      <c r="H926" s="5">
        <f t="shared" si="32"/>
        <v>0</v>
      </c>
      <c r="I926" s="6"/>
      <c r="J926" s="43"/>
      <c r="K926" s="51"/>
      <c r="L926" s="86"/>
    </row>
    <row r="927" spans="1:15" ht="15" x14ac:dyDescent="0.25">
      <c r="A927" s="1">
        <v>918</v>
      </c>
      <c r="B927" s="1" t="s">
        <v>131</v>
      </c>
      <c r="C927" s="32">
        <v>8671</v>
      </c>
      <c r="D927" s="1">
        <v>30000</v>
      </c>
      <c r="E927" s="1"/>
      <c r="F927" s="1">
        <v>312.3</v>
      </c>
      <c r="G927" s="1">
        <v>30000</v>
      </c>
      <c r="H927" s="5">
        <f t="shared" si="32"/>
        <v>0</v>
      </c>
      <c r="I927" s="6"/>
      <c r="J927" s="43"/>
      <c r="K927" s="51"/>
      <c r="L927" s="86"/>
    </row>
    <row r="928" spans="1:15" ht="15" x14ac:dyDescent="0.25">
      <c r="A928" s="1">
        <v>919</v>
      </c>
      <c r="B928" s="1" t="s">
        <v>131</v>
      </c>
      <c r="C928" s="32">
        <v>126</v>
      </c>
      <c r="D928" s="1">
        <v>16000</v>
      </c>
      <c r="E928" s="1"/>
      <c r="F928" s="1">
        <v>178.45</v>
      </c>
      <c r="G928" s="1">
        <v>16000</v>
      </c>
      <c r="H928" s="5">
        <f t="shared" si="32"/>
        <v>0</v>
      </c>
      <c r="I928" s="6"/>
      <c r="J928" s="43"/>
      <c r="K928" s="51"/>
      <c r="L928" s="86"/>
    </row>
    <row r="929" spans="1:12" ht="15" x14ac:dyDescent="0.25">
      <c r="A929" s="1">
        <v>920</v>
      </c>
      <c r="B929" s="1" t="s">
        <v>131</v>
      </c>
      <c r="C929" s="32">
        <v>1741</v>
      </c>
      <c r="D929" s="1">
        <v>15000</v>
      </c>
      <c r="E929" s="1"/>
      <c r="F929" s="1">
        <v>167.3</v>
      </c>
      <c r="G929" s="1">
        <v>15000</v>
      </c>
      <c r="H929" s="5">
        <f t="shared" si="32"/>
        <v>0</v>
      </c>
      <c r="I929" s="6"/>
      <c r="J929" s="43"/>
      <c r="K929" s="51"/>
      <c r="L929" s="86"/>
    </row>
    <row r="930" spans="1:12" ht="15" x14ac:dyDescent="0.25">
      <c r="A930" s="1">
        <v>921</v>
      </c>
      <c r="B930" s="1" t="s">
        <v>131</v>
      </c>
      <c r="C930" s="32">
        <v>8813</v>
      </c>
      <c r="D930" s="1">
        <v>25000</v>
      </c>
      <c r="E930" s="1"/>
      <c r="F930" s="1">
        <v>247.39</v>
      </c>
      <c r="G930" s="1">
        <v>25000</v>
      </c>
      <c r="H930" s="5">
        <f t="shared" si="32"/>
        <v>0</v>
      </c>
      <c r="I930" s="6"/>
      <c r="J930" s="43"/>
      <c r="K930" s="51"/>
      <c r="L930" s="86"/>
    </row>
    <row r="931" spans="1:12" ht="15" x14ac:dyDescent="0.25">
      <c r="A931" s="1">
        <v>922</v>
      </c>
      <c r="B931" s="1" t="s">
        <v>131</v>
      </c>
      <c r="C931" s="32">
        <v>4608</v>
      </c>
      <c r="D931" s="1">
        <v>10000</v>
      </c>
      <c r="E931" s="1"/>
      <c r="F931" s="1">
        <v>111.53</v>
      </c>
      <c r="G931" s="1">
        <v>10000</v>
      </c>
      <c r="H931" s="5">
        <f t="shared" si="32"/>
        <v>0</v>
      </c>
      <c r="I931" s="6"/>
      <c r="J931" s="43"/>
      <c r="K931" s="51"/>
      <c r="L931" s="86"/>
    </row>
    <row r="932" spans="1:12" ht="15" x14ac:dyDescent="0.25">
      <c r="A932" s="1">
        <v>923</v>
      </c>
      <c r="B932" s="1" t="s">
        <v>131</v>
      </c>
      <c r="C932" s="32">
        <v>6453</v>
      </c>
      <c r="D932" s="1">
        <v>25000</v>
      </c>
      <c r="E932" s="1"/>
      <c r="F932" s="1">
        <v>278.83</v>
      </c>
      <c r="G932" s="1">
        <v>25000</v>
      </c>
      <c r="H932" s="5">
        <f t="shared" si="32"/>
        <v>0</v>
      </c>
      <c r="I932" s="6"/>
      <c r="J932" s="43"/>
      <c r="K932" s="51"/>
      <c r="L932" s="86"/>
    </row>
    <row r="933" spans="1:12" ht="15" x14ac:dyDescent="0.25">
      <c r="A933" s="1">
        <v>924</v>
      </c>
      <c r="B933" s="36" t="s">
        <v>132</v>
      </c>
      <c r="C933" s="35">
        <v>4426</v>
      </c>
      <c r="D933" s="36">
        <v>10000</v>
      </c>
      <c r="E933" s="1"/>
      <c r="F933" s="1">
        <v>111.53</v>
      </c>
      <c r="G933" s="1">
        <v>10000</v>
      </c>
      <c r="H933" s="5">
        <f t="shared" si="32"/>
        <v>0</v>
      </c>
      <c r="I933" s="6"/>
      <c r="J933" s="43"/>
      <c r="K933" s="51"/>
      <c r="L933" s="86"/>
    </row>
    <row r="934" spans="1:12" ht="15" x14ac:dyDescent="0.25">
      <c r="A934" s="1">
        <v>925</v>
      </c>
      <c r="B934" s="36" t="s">
        <v>132</v>
      </c>
      <c r="C934" s="35">
        <v>8039</v>
      </c>
      <c r="D934" s="36">
        <v>30000</v>
      </c>
      <c r="E934" s="1"/>
      <c r="F934" s="1">
        <v>334.6</v>
      </c>
      <c r="G934" s="1">
        <v>30000</v>
      </c>
      <c r="H934" s="5">
        <f t="shared" si="32"/>
        <v>0</v>
      </c>
      <c r="I934" s="6"/>
      <c r="J934" s="43"/>
      <c r="K934" s="51"/>
      <c r="L934" s="86"/>
    </row>
    <row r="935" spans="1:12" ht="15" x14ac:dyDescent="0.25">
      <c r="A935" s="1">
        <v>926</v>
      </c>
      <c r="B935" s="36" t="s">
        <v>132</v>
      </c>
      <c r="C935" s="35">
        <v>643</v>
      </c>
      <c r="D935" s="36">
        <v>20000</v>
      </c>
      <c r="E935" s="1"/>
      <c r="F935" s="1">
        <v>223.06</v>
      </c>
      <c r="G935" s="1">
        <v>20000</v>
      </c>
      <c r="H935" s="5">
        <f t="shared" si="32"/>
        <v>0</v>
      </c>
      <c r="I935" s="6"/>
      <c r="J935" s="43"/>
      <c r="K935" s="51"/>
      <c r="L935" s="86"/>
    </row>
    <row r="936" spans="1:12" ht="15" x14ac:dyDescent="0.25">
      <c r="A936" s="1">
        <v>927</v>
      </c>
      <c r="B936" s="1" t="s">
        <v>132</v>
      </c>
      <c r="C936" s="32">
        <v>4311</v>
      </c>
      <c r="D936" s="1">
        <v>25000</v>
      </c>
      <c r="E936" s="1"/>
      <c r="F936" s="1">
        <v>278.83</v>
      </c>
      <c r="G936" s="1">
        <v>25000</v>
      </c>
      <c r="H936" s="5">
        <f t="shared" si="32"/>
        <v>0</v>
      </c>
      <c r="I936" s="6"/>
      <c r="J936" s="43"/>
      <c r="K936" s="51"/>
      <c r="L936" s="86"/>
    </row>
    <row r="937" spans="1:12" ht="15" x14ac:dyDescent="0.25">
      <c r="A937" s="1">
        <v>928</v>
      </c>
      <c r="B937" s="36" t="s">
        <v>132</v>
      </c>
      <c r="C937" s="35">
        <v>8545</v>
      </c>
      <c r="D937" s="36">
        <v>25000</v>
      </c>
      <c r="E937" s="1"/>
      <c r="F937" s="1">
        <v>278.83</v>
      </c>
      <c r="G937" s="1">
        <v>25000</v>
      </c>
      <c r="H937" s="5">
        <f t="shared" si="32"/>
        <v>0</v>
      </c>
      <c r="I937" s="6"/>
      <c r="J937" s="43"/>
      <c r="K937" s="51"/>
      <c r="L937" s="86"/>
    </row>
    <row r="938" spans="1:12" ht="15" x14ac:dyDescent="0.25">
      <c r="A938" s="1">
        <v>929</v>
      </c>
      <c r="B938" s="36" t="s">
        <v>132</v>
      </c>
      <c r="C938" s="35">
        <v>8993</v>
      </c>
      <c r="D938" s="36">
        <v>25000</v>
      </c>
      <c r="E938" s="1"/>
      <c r="F938" s="1">
        <v>246.68</v>
      </c>
      <c r="G938" s="1">
        <v>25000</v>
      </c>
      <c r="H938" s="5">
        <f t="shared" si="32"/>
        <v>0</v>
      </c>
      <c r="I938" s="6"/>
      <c r="J938" s="43"/>
      <c r="K938" s="51"/>
      <c r="L938" s="86"/>
    </row>
    <row r="939" spans="1:12" ht="15" x14ac:dyDescent="0.25">
      <c r="A939" s="1">
        <v>930</v>
      </c>
      <c r="B939" s="1" t="s">
        <v>132</v>
      </c>
      <c r="C939" s="32">
        <v>1343</v>
      </c>
      <c r="D939" s="1">
        <v>5000</v>
      </c>
      <c r="E939" s="1"/>
      <c r="F939" s="1">
        <v>55.77</v>
      </c>
      <c r="G939" s="1">
        <v>5000</v>
      </c>
      <c r="H939" s="5">
        <f t="shared" si="32"/>
        <v>0</v>
      </c>
      <c r="I939" s="6"/>
      <c r="J939" s="43"/>
      <c r="K939" s="51"/>
      <c r="L939" s="86"/>
    </row>
    <row r="940" spans="1:12" ht="15" x14ac:dyDescent="0.25">
      <c r="A940" s="1">
        <v>931</v>
      </c>
      <c r="B940" s="1" t="s">
        <v>132</v>
      </c>
      <c r="C940" s="32">
        <v>5655</v>
      </c>
      <c r="D940" s="1">
        <v>5000</v>
      </c>
      <c r="E940" s="1"/>
      <c r="F940" s="1">
        <v>55.77</v>
      </c>
      <c r="G940" s="1">
        <v>5000</v>
      </c>
      <c r="H940" s="5">
        <f t="shared" si="32"/>
        <v>0</v>
      </c>
      <c r="I940" s="6"/>
      <c r="J940" s="43"/>
      <c r="K940" s="51"/>
      <c r="L940" s="86"/>
    </row>
    <row r="941" spans="1:12" ht="15" x14ac:dyDescent="0.25">
      <c r="A941" s="1">
        <v>932</v>
      </c>
      <c r="B941" s="1" t="s">
        <v>132</v>
      </c>
      <c r="C941" s="32">
        <v>756</v>
      </c>
      <c r="D941" s="1">
        <v>24000</v>
      </c>
      <c r="E941" s="1"/>
      <c r="F941" s="1">
        <v>267.68</v>
      </c>
      <c r="G941" s="1">
        <v>24000</v>
      </c>
      <c r="H941" s="5">
        <f t="shared" si="32"/>
        <v>0</v>
      </c>
      <c r="I941" s="6"/>
      <c r="J941" s="43"/>
      <c r="K941" s="51"/>
      <c r="L941" s="86"/>
    </row>
    <row r="942" spans="1:12" ht="15" x14ac:dyDescent="0.25">
      <c r="A942" s="1">
        <v>933</v>
      </c>
      <c r="B942" s="1" t="s">
        <v>132</v>
      </c>
      <c r="C942" s="32">
        <v>7090</v>
      </c>
      <c r="D942" s="1">
        <v>12000</v>
      </c>
      <c r="E942" s="1"/>
      <c r="F942" s="1">
        <v>133.84</v>
      </c>
      <c r="G942" s="1">
        <v>12000</v>
      </c>
      <c r="H942" s="5">
        <f t="shared" si="32"/>
        <v>0</v>
      </c>
      <c r="I942" s="6"/>
      <c r="J942" s="43"/>
      <c r="K942" s="51"/>
      <c r="L942" s="86"/>
    </row>
    <row r="943" spans="1:12" ht="15" x14ac:dyDescent="0.25">
      <c r="A943" s="1">
        <v>934</v>
      </c>
      <c r="B943" s="1" t="s">
        <v>132</v>
      </c>
      <c r="C943" s="32">
        <v>9898</v>
      </c>
      <c r="D943" s="1">
        <v>15000</v>
      </c>
      <c r="E943" s="1"/>
      <c r="F943" s="1">
        <v>167.3</v>
      </c>
      <c r="G943" s="1">
        <v>15000</v>
      </c>
      <c r="H943" s="5">
        <f t="shared" si="32"/>
        <v>0</v>
      </c>
      <c r="I943" s="6"/>
      <c r="J943" s="43"/>
      <c r="K943" s="51"/>
      <c r="L943" s="86"/>
    </row>
    <row r="944" spans="1:12" ht="15" x14ac:dyDescent="0.25">
      <c r="A944" s="1">
        <v>935</v>
      </c>
      <c r="B944" s="1" t="s">
        <v>132</v>
      </c>
      <c r="C944" s="32">
        <v>8508</v>
      </c>
      <c r="D944" s="1">
        <v>9000</v>
      </c>
      <c r="E944" s="1"/>
      <c r="F944" s="1">
        <v>167.3</v>
      </c>
      <c r="G944" s="1">
        <v>9000</v>
      </c>
      <c r="H944" s="5">
        <f t="shared" si="32"/>
        <v>0</v>
      </c>
      <c r="I944" s="6"/>
      <c r="J944" s="43"/>
      <c r="K944" s="51"/>
      <c r="L944" s="86"/>
    </row>
    <row r="945" spans="1:12" ht="15" x14ac:dyDescent="0.25">
      <c r="A945" s="1">
        <v>936</v>
      </c>
      <c r="B945" s="1" t="s">
        <v>132</v>
      </c>
      <c r="C945" s="32">
        <v>3677</v>
      </c>
      <c r="D945" s="1">
        <v>25000</v>
      </c>
      <c r="E945" s="1"/>
      <c r="F945" s="1">
        <v>298.83</v>
      </c>
      <c r="G945" s="1">
        <v>25000</v>
      </c>
      <c r="H945" s="5">
        <f t="shared" si="32"/>
        <v>0</v>
      </c>
      <c r="I945" s="6"/>
      <c r="J945" s="43"/>
      <c r="K945" s="51"/>
      <c r="L945" s="86"/>
    </row>
    <row r="946" spans="1:12" ht="15" x14ac:dyDescent="0.25">
      <c r="A946" s="1">
        <v>937</v>
      </c>
      <c r="B946" s="1" t="s">
        <v>132</v>
      </c>
      <c r="C946" s="32">
        <v>6454</v>
      </c>
      <c r="D946" s="1">
        <v>24000</v>
      </c>
      <c r="E946" s="1"/>
      <c r="F946" s="1">
        <v>251.83</v>
      </c>
      <c r="G946" s="1">
        <v>24000</v>
      </c>
      <c r="H946" s="5">
        <f t="shared" si="32"/>
        <v>0</v>
      </c>
      <c r="I946" s="6"/>
      <c r="J946" s="43"/>
      <c r="K946" s="51"/>
      <c r="L946" s="86"/>
    </row>
    <row r="947" spans="1:12" ht="15" x14ac:dyDescent="0.25">
      <c r="A947" s="1">
        <v>938</v>
      </c>
      <c r="B947" s="1" t="s">
        <v>132</v>
      </c>
      <c r="C947" s="32">
        <v>4204</v>
      </c>
      <c r="D947" s="1">
        <v>14000</v>
      </c>
      <c r="E947" s="1"/>
      <c r="F947" s="1">
        <v>156.15</v>
      </c>
      <c r="G947" s="1">
        <v>14000</v>
      </c>
      <c r="H947" s="5">
        <f t="shared" si="32"/>
        <v>0</v>
      </c>
      <c r="I947" s="6"/>
      <c r="J947" s="43"/>
      <c r="K947" s="51"/>
      <c r="L947" s="86"/>
    </row>
    <row r="948" spans="1:12" ht="15" x14ac:dyDescent="0.25">
      <c r="A948" s="1">
        <v>939</v>
      </c>
      <c r="B948" s="1" t="s">
        <v>132</v>
      </c>
      <c r="C948" s="32">
        <v>1518</v>
      </c>
      <c r="D948" s="1">
        <v>14000</v>
      </c>
      <c r="E948" s="1"/>
      <c r="F948" s="1">
        <v>156.15</v>
      </c>
      <c r="G948" s="1">
        <v>14000</v>
      </c>
      <c r="H948" s="5">
        <f t="shared" si="32"/>
        <v>0</v>
      </c>
      <c r="I948" s="6"/>
      <c r="J948" s="43"/>
      <c r="K948" s="51"/>
      <c r="L948" s="86"/>
    </row>
    <row r="949" spans="1:12" ht="15" x14ac:dyDescent="0.25">
      <c r="A949" s="1">
        <v>940</v>
      </c>
      <c r="B949" s="1" t="s">
        <v>132</v>
      </c>
      <c r="C949" s="32">
        <v>795</v>
      </c>
      <c r="D949" s="1">
        <v>25000</v>
      </c>
      <c r="E949" s="1"/>
      <c r="F949" s="1">
        <v>278.83</v>
      </c>
      <c r="G949" s="1">
        <v>25000</v>
      </c>
      <c r="H949" s="5">
        <f t="shared" si="32"/>
        <v>0</v>
      </c>
      <c r="I949" s="6"/>
      <c r="J949" s="43"/>
      <c r="K949" s="51"/>
      <c r="L949" s="86">
        <f>2053820-1934326</f>
        <v>119494</v>
      </c>
    </row>
    <row r="950" spans="1:12" ht="15" x14ac:dyDescent="0.25">
      <c r="A950" s="1">
        <v>941</v>
      </c>
      <c r="B950" s="1" t="s">
        <v>135</v>
      </c>
      <c r="C950" s="32">
        <v>2808</v>
      </c>
      <c r="D950" s="1">
        <v>25000</v>
      </c>
      <c r="E950" s="1"/>
      <c r="F950" s="1">
        <v>278.83</v>
      </c>
      <c r="G950" s="1">
        <v>25000</v>
      </c>
      <c r="H950" s="5">
        <f t="shared" si="32"/>
        <v>0</v>
      </c>
      <c r="I950" s="6"/>
      <c r="J950" s="43"/>
      <c r="K950" s="51"/>
      <c r="L950" s="86"/>
    </row>
    <row r="951" spans="1:12" ht="15" x14ac:dyDescent="0.25">
      <c r="A951" s="1">
        <v>942</v>
      </c>
      <c r="B951" s="1" t="s">
        <v>135</v>
      </c>
      <c r="C951" s="32">
        <v>6993</v>
      </c>
      <c r="D951" s="1">
        <v>15000</v>
      </c>
      <c r="E951" s="1"/>
      <c r="F951" s="1">
        <v>167.3</v>
      </c>
      <c r="G951" s="1">
        <v>15000</v>
      </c>
      <c r="H951" s="5">
        <f t="shared" si="32"/>
        <v>0</v>
      </c>
      <c r="I951" s="6"/>
      <c r="J951" s="43"/>
      <c r="K951" s="51"/>
      <c r="L951" s="86"/>
    </row>
    <row r="952" spans="1:12" ht="15" x14ac:dyDescent="0.25">
      <c r="A952" s="1">
        <v>943</v>
      </c>
      <c r="B952" s="1" t="s">
        <v>135</v>
      </c>
      <c r="C952" s="32">
        <v>293</v>
      </c>
      <c r="D952" s="1">
        <v>15000</v>
      </c>
      <c r="E952" s="1"/>
      <c r="F952" s="1">
        <v>167.3</v>
      </c>
      <c r="G952" s="1">
        <v>15000</v>
      </c>
      <c r="H952" s="5">
        <f t="shared" si="32"/>
        <v>0</v>
      </c>
      <c r="I952" s="6"/>
      <c r="J952" s="43"/>
      <c r="K952" s="51"/>
      <c r="L952" s="86"/>
    </row>
    <row r="953" spans="1:12" ht="15" x14ac:dyDescent="0.25">
      <c r="A953" s="1">
        <v>944</v>
      </c>
      <c r="B953" s="1" t="s">
        <v>135</v>
      </c>
      <c r="C953" s="32">
        <v>35</v>
      </c>
      <c r="D953" s="1">
        <v>15000</v>
      </c>
      <c r="E953" s="1"/>
      <c r="F953" s="1">
        <v>167.3</v>
      </c>
      <c r="G953" s="1">
        <v>15000</v>
      </c>
      <c r="H953" s="5">
        <f t="shared" si="32"/>
        <v>0</v>
      </c>
      <c r="I953" s="6"/>
      <c r="J953" s="43"/>
      <c r="K953" s="51"/>
      <c r="L953" s="86"/>
    </row>
    <row r="954" spans="1:12" ht="15" x14ac:dyDescent="0.25">
      <c r="A954" s="1">
        <v>945</v>
      </c>
      <c r="B954" s="1" t="s">
        <v>135</v>
      </c>
      <c r="C954" s="32">
        <v>9925</v>
      </c>
      <c r="D954" s="1">
        <v>15000</v>
      </c>
      <c r="E954" s="1"/>
      <c r="F954" s="1">
        <v>167.3</v>
      </c>
      <c r="G954" s="1">
        <v>15000</v>
      </c>
      <c r="H954" s="5">
        <f t="shared" si="32"/>
        <v>0</v>
      </c>
      <c r="I954" s="6"/>
      <c r="J954" s="43"/>
      <c r="K954" s="51"/>
      <c r="L954" s="86"/>
    </row>
    <row r="955" spans="1:12" ht="15" x14ac:dyDescent="0.25">
      <c r="A955" s="1">
        <v>946</v>
      </c>
      <c r="B955" s="1" t="s">
        <v>135</v>
      </c>
      <c r="C955" s="32">
        <v>4936</v>
      </c>
      <c r="D955" s="1">
        <v>15000</v>
      </c>
      <c r="E955" s="1"/>
      <c r="F955" s="1">
        <v>167.3</v>
      </c>
      <c r="G955" s="1">
        <v>15000</v>
      </c>
      <c r="H955" s="5">
        <f t="shared" si="32"/>
        <v>0</v>
      </c>
      <c r="I955" s="6"/>
      <c r="J955" s="43"/>
      <c r="K955" s="51"/>
      <c r="L955" s="86"/>
    </row>
    <row r="956" spans="1:12" ht="15" x14ac:dyDescent="0.25">
      <c r="A956" s="1">
        <v>947</v>
      </c>
      <c r="B956" s="1" t="s">
        <v>135</v>
      </c>
      <c r="C956" s="32" t="s">
        <v>63</v>
      </c>
      <c r="D956" s="1">
        <v>3500</v>
      </c>
      <c r="E956" s="1"/>
      <c r="F956" s="1">
        <v>39.04</v>
      </c>
      <c r="G956" s="1">
        <v>3500</v>
      </c>
      <c r="H956" s="5">
        <f t="shared" si="32"/>
        <v>0</v>
      </c>
      <c r="I956" s="6"/>
      <c r="J956" s="43"/>
      <c r="K956" s="51"/>
      <c r="L956" s="86"/>
    </row>
    <row r="957" spans="1:12" ht="15" x14ac:dyDescent="0.25">
      <c r="A957" s="1">
        <v>948</v>
      </c>
      <c r="B957" s="1" t="s">
        <v>135</v>
      </c>
      <c r="C957" s="32">
        <v>4349</v>
      </c>
      <c r="D957" s="1">
        <v>20000</v>
      </c>
      <c r="E957" s="1"/>
      <c r="F957" s="1">
        <v>223.06</v>
      </c>
      <c r="G957" s="1">
        <v>20000</v>
      </c>
      <c r="H957" s="5">
        <f t="shared" si="32"/>
        <v>0</v>
      </c>
      <c r="I957" s="6"/>
      <c r="J957" s="43"/>
      <c r="K957" s="51"/>
      <c r="L957" s="86"/>
    </row>
    <row r="958" spans="1:12" ht="15" x14ac:dyDescent="0.25">
      <c r="A958" s="1">
        <v>949</v>
      </c>
      <c r="B958" s="1" t="s">
        <v>135</v>
      </c>
      <c r="C958" s="32">
        <v>7766</v>
      </c>
      <c r="D958" s="1">
        <v>16000</v>
      </c>
      <c r="E958" s="1"/>
      <c r="F958" s="1">
        <v>174.62</v>
      </c>
      <c r="G958" s="1">
        <v>16000</v>
      </c>
      <c r="H958" s="5">
        <f t="shared" si="32"/>
        <v>0</v>
      </c>
      <c r="I958" s="6"/>
      <c r="J958" s="43"/>
      <c r="K958" s="51"/>
      <c r="L958" s="86"/>
    </row>
    <row r="959" spans="1:12" ht="15" x14ac:dyDescent="0.25">
      <c r="A959" s="1">
        <v>950</v>
      </c>
      <c r="B959" s="1" t="s">
        <v>135</v>
      </c>
      <c r="C959" s="32">
        <v>756</v>
      </c>
      <c r="D959" s="1">
        <v>23000</v>
      </c>
      <c r="E959" s="1"/>
      <c r="F959" s="1">
        <v>256.52</v>
      </c>
      <c r="G959" s="1">
        <v>23000</v>
      </c>
      <c r="H959" s="5">
        <f t="shared" si="32"/>
        <v>0</v>
      </c>
      <c r="I959" s="6"/>
      <c r="J959" s="43"/>
      <c r="K959" s="51"/>
      <c r="L959" s="86"/>
    </row>
    <row r="960" spans="1:12" ht="15" x14ac:dyDescent="0.25">
      <c r="A960" s="1">
        <v>951</v>
      </c>
      <c r="B960" s="1" t="s">
        <v>135</v>
      </c>
      <c r="C960" s="32">
        <v>291</v>
      </c>
      <c r="D960" s="1">
        <v>15000</v>
      </c>
      <c r="E960" s="1"/>
      <c r="F960" s="1">
        <v>167.3</v>
      </c>
      <c r="G960" s="1">
        <v>15000</v>
      </c>
      <c r="H960" s="5">
        <f t="shared" si="32"/>
        <v>0</v>
      </c>
      <c r="I960" s="6"/>
      <c r="J960" s="43"/>
      <c r="K960" s="51"/>
      <c r="L960" s="86"/>
    </row>
    <row r="961" spans="1:12" ht="15" x14ac:dyDescent="0.25">
      <c r="A961" s="1">
        <v>952</v>
      </c>
      <c r="B961" s="1" t="s">
        <v>135</v>
      </c>
      <c r="C961" s="32">
        <v>3600</v>
      </c>
      <c r="D961" s="1">
        <v>18000</v>
      </c>
      <c r="E961" s="1"/>
      <c r="F961" s="1">
        <v>200.76</v>
      </c>
      <c r="G961" s="1">
        <v>18000</v>
      </c>
      <c r="H961" s="5">
        <f t="shared" si="32"/>
        <v>0</v>
      </c>
      <c r="I961" s="6"/>
      <c r="J961" s="43"/>
      <c r="K961" s="51"/>
      <c r="L961" s="86"/>
    </row>
    <row r="962" spans="1:12" ht="15" x14ac:dyDescent="0.25">
      <c r="A962" s="1">
        <v>953</v>
      </c>
      <c r="B962" s="1" t="s">
        <v>135</v>
      </c>
      <c r="C962" s="32">
        <v>6284</v>
      </c>
      <c r="D962" s="1">
        <v>15000</v>
      </c>
      <c r="E962" s="1"/>
      <c r="F962" s="1">
        <v>167.5</v>
      </c>
      <c r="G962" s="1">
        <v>15000</v>
      </c>
      <c r="H962" s="5">
        <f t="shared" si="32"/>
        <v>0</v>
      </c>
      <c r="I962" s="6"/>
      <c r="J962" s="43"/>
      <c r="K962" s="51"/>
      <c r="L962" s="86"/>
    </row>
    <row r="963" spans="1:12" ht="15" x14ac:dyDescent="0.25">
      <c r="A963" s="1">
        <v>954</v>
      </c>
      <c r="B963" s="70" t="s">
        <v>135</v>
      </c>
      <c r="C963" s="85">
        <v>7491</v>
      </c>
      <c r="D963" s="1">
        <v>32000</v>
      </c>
      <c r="E963" s="1"/>
      <c r="F963" s="1">
        <v>329.02</v>
      </c>
      <c r="G963" s="1">
        <v>32000</v>
      </c>
      <c r="H963" s="5">
        <f t="shared" si="32"/>
        <v>0</v>
      </c>
      <c r="I963" s="6"/>
      <c r="J963" s="43"/>
      <c r="K963" s="51"/>
      <c r="L963" s="86"/>
    </row>
    <row r="964" spans="1:12" ht="15" x14ac:dyDescent="0.25">
      <c r="A964" s="1">
        <v>955</v>
      </c>
      <c r="B964" s="1" t="s">
        <v>135</v>
      </c>
      <c r="C964" s="32">
        <v>2131</v>
      </c>
      <c r="D964" s="1">
        <v>25000</v>
      </c>
      <c r="E964" s="1"/>
      <c r="F964" s="1">
        <v>240.29</v>
      </c>
      <c r="G964" s="1">
        <v>25000</v>
      </c>
      <c r="H964" s="5">
        <f t="shared" si="32"/>
        <v>0</v>
      </c>
      <c r="I964" s="6"/>
      <c r="J964" s="43"/>
      <c r="K964" s="51"/>
      <c r="L964" s="86"/>
    </row>
    <row r="965" spans="1:12" ht="15" x14ac:dyDescent="0.25">
      <c r="A965" s="1">
        <v>956</v>
      </c>
      <c r="B965" s="1" t="s">
        <v>135</v>
      </c>
      <c r="C965" s="32">
        <v>7461</v>
      </c>
      <c r="D965" s="1">
        <v>24000</v>
      </c>
      <c r="E965" s="1"/>
      <c r="F965" s="1">
        <v>267.67</v>
      </c>
      <c r="G965" s="1">
        <v>24000</v>
      </c>
      <c r="H965" s="5">
        <f t="shared" si="32"/>
        <v>0</v>
      </c>
      <c r="I965" s="6"/>
      <c r="J965" s="43"/>
      <c r="K965" s="51"/>
      <c r="L965" s="86"/>
    </row>
    <row r="966" spans="1:12" ht="15" x14ac:dyDescent="0.25">
      <c r="A966" s="1">
        <v>957</v>
      </c>
      <c r="B966" s="1" t="s">
        <v>135</v>
      </c>
      <c r="C966" s="32">
        <v>3947</v>
      </c>
      <c r="D966" s="1">
        <v>20000</v>
      </c>
      <c r="E966" s="1"/>
      <c r="F966" s="1">
        <v>223.06</v>
      </c>
      <c r="G966" s="1">
        <v>20000</v>
      </c>
      <c r="H966" s="5">
        <f t="shared" si="32"/>
        <v>0</v>
      </c>
      <c r="I966" s="6"/>
      <c r="J966" s="43"/>
      <c r="K966" s="51"/>
      <c r="L966" s="86"/>
    </row>
    <row r="967" spans="1:12" ht="15" x14ac:dyDescent="0.25">
      <c r="A967" s="1">
        <v>958</v>
      </c>
      <c r="B967" s="1" t="s">
        <v>135</v>
      </c>
      <c r="C967" s="32">
        <v>8574</v>
      </c>
      <c r="D967" s="1">
        <v>24000</v>
      </c>
      <c r="E967" s="1"/>
      <c r="F967" s="1">
        <v>267.67</v>
      </c>
      <c r="G967" s="1">
        <v>24000</v>
      </c>
      <c r="H967" s="5">
        <f t="shared" si="32"/>
        <v>0</v>
      </c>
      <c r="I967" s="6"/>
      <c r="J967" s="43"/>
      <c r="K967" s="51"/>
      <c r="L967" s="86">
        <f>2269826-500000</f>
        <v>1769826</v>
      </c>
    </row>
    <row r="968" spans="1:12" ht="15" x14ac:dyDescent="0.25">
      <c r="A968" s="1">
        <v>959</v>
      </c>
      <c r="B968" s="1" t="s">
        <v>134</v>
      </c>
      <c r="C968" s="32">
        <v>5384</v>
      </c>
      <c r="D968" s="1">
        <v>25000</v>
      </c>
      <c r="E968" s="1"/>
      <c r="F968" s="1">
        <v>226.41</v>
      </c>
      <c r="G968" s="1">
        <v>25000</v>
      </c>
      <c r="H968" s="5">
        <f t="shared" si="32"/>
        <v>0</v>
      </c>
      <c r="I968" s="6"/>
      <c r="J968" s="43"/>
      <c r="K968" s="51"/>
      <c r="L968" s="86"/>
    </row>
    <row r="969" spans="1:12" ht="15" x14ac:dyDescent="0.25">
      <c r="A969" s="1">
        <v>960</v>
      </c>
      <c r="B969" s="1" t="s">
        <v>134</v>
      </c>
      <c r="C969" s="32">
        <v>3297</v>
      </c>
      <c r="D969" s="1">
        <v>7000</v>
      </c>
      <c r="E969" s="1"/>
      <c r="F969" s="1">
        <v>50.19</v>
      </c>
      <c r="G969" s="1">
        <v>7000</v>
      </c>
      <c r="H969" s="5">
        <f t="shared" si="32"/>
        <v>0</v>
      </c>
      <c r="I969" s="6"/>
      <c r="J969" s="43"/>
      <c r="K969" s="51"/>
      <c r="L969" s="86"/>
    </row>
    <row r="970" spans="1:12" ht="15" x14ac:dyDescent="0.25">
      <c r="A970" s="1">
        <v>961</v>
      </c>
      <c r="B970" s="1" t="s">
        <v>134</v>
      </c>
      <c r="C970" s="32" t="s">
        <v>61</v>
      </c>
      <c r="D970" s="1">
        <v>4500</v>
      </c>
      <c r="E970" s="1"/>
      <c r="F970" s="1">
        <v>50.19</v>
      </c>
      <c r="G970" s="1">
        <v>4500</v>
      </c>
      <c r="H970" s="5">
        <f t="shared" si="32"/>
        <v>0</v>
      </c>
      <c r="I970" s="6"/>
      <c r="J970" s="43"/>
      <c r="K970" s="51"/>
      <c r="L970" s="86"/>
    </row>
    <row r="971" spans="1:12" ht="15" x14ac:dyDescent="0.25">
      <c r="A971" s="1">
        <v>962</v>
      </c>
      <c r="B971" s="1" t="s">
        <v>134</v>
      </c>
      <c r="C971" s="32">
        <v>2740</v>
      </c>
      <c r="D971" s="1">
        <v>25000</v>
      </c>
      <c r="E971" s="1"/>
      <c r="F971" s="1">
        <v>234.22</v>
      </c>
      <c r="G971" s="1">
        <v>25000</v>
      </c>
      <c r="H971" s="5">
        <f t="shared" si="32"/>
        <v>0</v>
      </c>
      <c r="I971" s="6"/>
      <c r="J971" s="43"/>
      <c r="K971" s="51"/>
      <c r="L971" s="86"/>
    </row>
    <row r="972" spans="1:12" ht="15" x14ac:dyDescent="0.25">
      <c r="A972" s="1">
        <v>963</v>
      </c>
      <c r="B972" s="1" t="s">
        <v>134</v>
      </c>
      <c r="C972" s="32">
        <v>292</v>
      </c>
      <c r="D972" s="1">
        <v>15000</v>
      </c>
      <c r="E972" s="1"/>
      <c r="F972" s="1">
        <v>167.3</v>
      </c>
      <c r="G972" s="1">
        <v>15000</v>
      </c>
      <c r="H972" s="5">
        <f t="shared" si="32"/>
        <v>0</v>
      </c>
      <c r="I972" s="6"/>
      <c r="J972" s="43"/>
      <c r="K972" s="51"/>
      <c r="L972" s="86"/>
    </row>
    <row r="973" spans="1:12" ht="15" x14ac:dyDescent="0.25">
      <c r="A973" s="1">
        <v>964</v>
      </c>
      <c r="B973" s="1" t="s">
        <v>134</v>
      </c>
      <c r="C973" s="32">
        <v>611</v>
      </c>
      <c r="D973" s="1">
        <v>20000</v>
      </c>
      <c r="E973" s="1"/>
      <c r="F973" s="1">
        <v>223.06</v>
      </c>
      <c r="G973" s="1">
        <v>20000</v>
      </c>
      <c r="H973" s="5">
        <f t="shared" si="32"/>
        <v>0</v>
      </c>
      <c r="I973" s="6"/>
      <c r="J973" s="43"/>
      <c r="K973" s="51"/>
      <c r="L973" s="86"/>
    </row>
    <row r="974" spans="1:12" ht="15" x14ac:dyDescent="0.25">
      <c r="A974" s="1">
        <v>965</v>
      </c>
      <c r="B974" s="1" t="s">
        <v>134</v>
      </c>
      <c r="C974" s="32">
        <v>1386</v>
      </c>
      <c r="D974" s="1">
        <v>13100</v>
      </c>
      <c r="E974" s="1"/>
      <c r="F974" s="1">
        <v>146.11000000000001</v>
      </c>
      <c r="G974" s="1">
        <v>13100</v>
      </c>
      <c r="H974" s="5">
        <f t="shared" si="32"/>
        <v>0</v>
      </c>
      <c r="I974" s="6"/>
      <c r="J974" s="43"/>
      <c r="K974" s="51"/>
      <c r="L974" s="86"/>
    </row>
    <row r="975" spans="1:12" ht="15" x14ac:dyDescent="0.25">
      <c r="A975" s="1">
        <v>966</v>
      </c>
      <c r="B975" s="1" t="s">
        <v>134</v>
      </c>
      <c r="C975" s="32">
        <v>127</v>
      </c>
      <c r="D975" s="1">
        <v>15000</v>
      </c>
      <c r="E975" s="1"/>
      <c r="F975" s="1">
        <v>167.3</v>
      </c>
      <c r="G975" s="1">
        <v>15000</v>
      </c>
      <c r="H975" s="5">
        <f t="shared" si="32"/>
        <v>0</v>
      </c>
      <c r="I975" s="6"/>
      <c r="J975" s="43"/>
      <c r="K975" s="51"/>
      <c r="L975" s="86"/>
    </row>
    <row r="976" spans="1:12" ht="15" x14ac:dyDescent="0.25">
      <c r="A976" s="1">
        <v>967</v>
      </c>
      <c r="B976" s="1" t="s">
        <v>134</v>
      </c>
      <c r="C976" s="32">
        <v>121</v>
      </c>
      <c r="D976" s="1">
        <v>16000</v>
      </c>
      <c r="E976" s="1"/>
      <c r="F976" s="1">
        <v>178.45</v>
      </c>
      <c r="G976" s="1">
        <v>16000</v>
      </c>
      <c r="H976" s="5">
        <f t="shared" si="32"/>
        <v>0</v>
      </c>
      <c r="I976" s="6"/>
      <c r="J976" s="43"/>
      <c r="K976" s="51"/>
      <c r="L976" s="86"/>
    </row>
    <row r="977" spans="1:12" ht="15" x14ac:dyDescent="0.25">
      <c r="A977" s="1">
        <v>968</v>
      </c>
      <c r="B977" s="1" t="s">
        <v>134</v>
      </c>
      <c r="C977" s="32">
        <v>119</v>
      </c>
      <c r="D977" s="1">
        <v>16000</v>
      </c>
      <c r="E977" s="1"/>
      <c r="F977" s="1">
        <v>178.45</v>
      </c>
      <c r="G977" s="1">
        <v>16000</v>
      </c>
      <c r="H977" s="5">
        <f t="shared" si="32"/>
        <v>0</v>
      </c>
      <c r="I977" s="6"/>
      <c r="J977" s="43"/>
      <c r="K977" s="51"/>
      <c r="L977" s="86"/>
    </row>
    <row r="978" spans="1:12" ht="15" x14ac:dyDescent="0.25">
      <c r="A978" s="1">
        <v>969</v>
      </c>
      <c r="B978" s="1" t="s">
        <v>134</v>
      </c>
      <c r="C978" s="32">
        <v>9510</v>
      </c>
      <c r="D978" s="1">
        <v>10000</v>
      </c>
      <c r="E978" s="1"/>
      <c r="F978" s="1">
        <v>111.53</v>
      </c>
      <c r="G978" s="1">
        <v>10000</v>
      </c>
      <c r="H978" s="5">
        <f t="shared" si="32"/>
        <v>0</v>
      </c>
      <c r="I978" s="6"/>
      <c r="J978" s="43"/>
      <c r="K978" s="51"/>
      <c r="L978" s="86"/>
    </row>
    <row r="979" spans="1:12" ht="15" x14ac:dyDescent="0.25">
      <c r="A979" s="1">
        <v>970</v>
      </c>
      <c r="B979" s="1" t="s">
        <v>134</v>
      </c>
      <c r="C979" s="32">
        <v>9269</v>
      </c>
      <c r="D979" s="1">
        <v>30000</v>
      </c>
      <c r="E979" s="1"/>
      <c r="F979" s="1">
        <v>334.6</v>
      </c>
      <c r="G979" s="1">
        <v>30000</v>
      </c>
      <c r="H979" s="5">
        <f t="shared" si="32"/>
        <v>0</v>
      </c>
      <c r="I979" s="6"/>
      <c r="J979" s="43"/>
      <c r="K979" s="51"/>
      <c r="L979" s="86"/>
    </row>
    <row r="980" spans="1:12" ht="15" x14ac:dyDescent="0.25">
      <c r="A980" s="1">
        <v>971</v>
      </c>
      <c r="B980" s="1" t="s">
        <v>134</v>
      </c>
      <c r="C980" s="32" t="s">
        <v>66</v>
      </c>
      <c r="D980" s="1">
        <v>400</v>
      </c>
      <c r="E980" s="1"/>
      <c r="F980" s="1">
        <v>4.46</v>
      </c>
      <c r="G980" s="1">
        <v>400</v>
      </c>
      <c r="H980" s="5">
        <f t="shared" si="32"/>
        <v>0</v>
      </c>
      <c r="I980" s="6"/>
      <c r="J980" s="43"/>
      <c r="K980" s="51"/>
      <c r="L980" s="86"/>
    </row>
    <row r="981" spans="1:12" ht="15" x14ac:dyDescent="0.25">
      <c r="A981" s="1">
        <v>972</v>
      </c>
      <c r="B981" s="1" t="s">
        <v>134</v>
      </c>
      <c r="C981" s="32">
        <v>2979</v>
      </c>
      <c r="D981" s="1">
        <v>27000</v>
      </c>
      <c r="E981" s="1"/>
      <c r="F981" s="1">
        <v>272.14</v>
      </c>
      <c r="G981" s="1">
        <v>27000</v>
      </c>
      <c r="H981" s="5">
        <f t="shared" si="32"/>
        <v>0</v>
      </c>
      <c r="I981" s="6"/>
      <c r="J981" s="43"/>
      <c r="K981" s="51"/>
      <c r="L981" s="86">
        <f>2113320-1983284</f>
        <v>130036</v>
      </c>
    </row>
    <row r="982" spans="1:12" ht="15" x14ac:dyDescent="0.25">
      <c r="A982" s="1">
        <v>973</v>
      </c>
      <c r="B982" s="1" t="s">
        <v>136</v>
      </c>
      <c r="C982" s="32">
        <v>9708</v>
      </c>
      <c r="D982" s="1">
        <v>20000</v>
      </c>
      <c r="E982" s="1"/>
      <c r="F982" s="1">
        <v>218.05</v>
      </c>
      <c r="G982" s="1">
        <v>20000</v>
      </c>
      <c r="H982" s="5">
        <f t="shared" si="32"/>
        <v>0</v>
      </c>
      <c r="I982" s="6"/>
      <c r="J982" s="43"/>
      <c r="K982" s="51"/>
      <c r="L982" s="86"/>
    </row>
    <row r="983" spans="1:12" ht="15" x14ac:dyDescent="0.25">
      <c r="A983" s="1">
        <v>974</v>
      </c>
      <c r="B983" s="1" t="s">
        <v>136</v>
      </c>
      <c r="C983" s="32">
        <v>1725</v>
      </c>
      <c r="D983" s="1">
        <v>22000</v>
      </c>
      <c r="E983" s="1"/>
      <c r="F983" s="1">
        <v>213.02</v>
      </c>
      <c r="G983" s="1">
        <v>22000</v>
      </c>
      <c r="H983" s="5">
        <f t="shared" si="32"/>
        <v>0</v>
      </c>
      <c r="I983" s="6"/>
      <c r="J983" s="43"/>
      <c r="K983" s="51"/>
      <c r="L983" s="86"/>
    </row>
    <row r="984" spans="1:12" ht="15" x14ac:dyDescent="0.25">
      <c r="A984" s="1">
        <v>975</v>
      </c>
      <c r="B984" s="1" t="s">
        <v>136</v>
      </c>
      <c r="C984" s="32">
        <v>4015</v>
      </c>
      <c r="D984" s="1">
        <v>28000</v>
      </c>
      <c r="E984" s="1"/>
      <c r="F984" s="1">
        <v>298.92</v>
      </c>
      <c r="G984" s="1">
        <v>28000</v>
      </c>
      <c r="H984" s="5">
        <f t="shared" si="32"/>
        <v>0</v>
      </c>
      <c r="I984" s="6"/>
      <c r="J984" s="43"/>
      <c r="K984" s="51"/>
      <c r="L984" s="86"/>
    </row>
    <row r="985" spans="1:12" ht="15" x14ac:dyDescent="0.25">
      <c r="A985" s="1">
        <v>976</v>
      </c>
      <c r="B985" s="1" t="s">
        <v>136</v>
      </c>
      <c r="C985" s="32" t="s">
        <v>61</v>
      </c>
      <c r="D985" s="1">
        <v>5000</v>
      </c>
      <c r="E985" s="1"/>
      <c r="F985" s="1">
        <v>55.76</v>
      </c>
      <c r="G985" s="1">
        <v>5000</v>
      </c>
      <c r="H985" s="5">
        <f t="shared" si="32"/>
        <v>0</v>
      </c>
      <c r="I985" s="6"/>
      <c r="J985" s="43"/>
      <c r="K985" s="51"/>
      <c r="L985" s="86"/>
    </row>
    <row r="986" spans="1:12" ht="15" x14ac:dyDescent="0.25">
      <c r="A986" s="1">
        <v>977</v>
      </c>
      <c r="B986" s="1" t="s">
        <v>136</v>
      </c>
      <c r="C986" s="32">
        <v>7119</v>
      </c>
      <c r="D986" s="1">
        <v>23000</v>
      </c>
      <c r="E986" s="1"/>
      <c r="F986" s="1">
        <v>256.52</v>
      </c>
      <c r="G986" s="1">
        <v>23000</v>
      </c>
      <c r="H986" s="5">
        <f t="shared" si="32"/>
        <v>0</v>
      </c>
      <c r="I986" s="6"/>
      <c r="J986" s="43"/>
      <c r="K986" s="51"/>
      <c r="L986" s="86"/>
    </row>
    <row r="987" spans="1:12" ht="15" x14ac:dyDescent="0.25">
      <c r="A987" s="1">
        <v>978</v>
      </c>
      <c r="B987" s="1" t="s">
        <v>136</v>
      </c>
      <c r="C987" s="32">
        <v>3030</v>
      </c>
      <c r="D987" s="1">
        <v>30000</v>
      </c>
      <c r="E987" s="1"/>
      <c r="F987" s="1">
        <v>317.87</v>
      </c>
      <c r="G987" s="1">
        <v>30000</v>
      </c>
      <c r="H987" s="5">
        <f t="shared" si="32"/>
        <v>0</v>
      </c>
      <c r="I987" s="6"/>
      <c r="J987" s="43"/>
      <c r="K987" s="51"/>
      <c r="L987" s="86"/>
    </row>
    <row r="988" spans="1:12" ht="15" x14ac:dyDescent="0.25">
      <c r="A988" s="1">
        <v>979</v>
      </c>
      <c r="B988" s="1" t="s">
        <v>136</v>
      </c>
      <c r="C988" s="32">
        <v>3505</v>
      </c>
      <c r="D988" s="1">
        <v>28000</v>
      </c>
      <c r="E988" s="1"/>
      <c r="F988" s="1">
        <v>312.29000000000002</v>
      </c>
      <c r="G988" s="1">
        <v>28000</v>
      </c>
      <c r="H988" s="5">
        <f t="shared" ref="H988:H1051" si="33">D988-G988</f>
        <v>0</v>
      </c>
      <c r="I988" s="6"/>
      <c r="J988" s="43"/>
      <c r="K988" s="51"/>
      <c r="L988" s="86"/>
    </row>
    <row r="989" spans="1:12" ht="15" x14ac:dyDescent="0.25">
      <c r="A989" s="1">
        <v>980</v>
      </c>
      <c r="B989" s="1" t="s">
        <v>136</v>
      </c>
      <c r="C989" s="32">
        <v>5079</v>
      </c>
      <c r="D989" s="1">
        <v>30000</v>
      </c>
      <c r="E989" s="1"/>
      <c r="F989" s="1">
        <v>334.6</v>
      </c>
      <c r="G989" s="1">
        <v>30000</v>
      </c>
      <c r="H989" s="5">
        <f t="shared" si="33"/>
        <v>0</v>
      </c>
      <c r="I989" s="6"/>
      <c r="J989" s="43"/>
      <c r="K989" s="51"/>
      <c r="L989" s="86"/>
    </row>
    <row r="990" spans="1:12" ht="15" x14ac:dyDescent="0.25">
      <c r="A990" s="1">
        <v>981</v>
      </c>
      <c r="B990" s="1" t="s">
        <v>136</v>
      </c>
      <c r="C990" s="32">
        <v>2683</v>
      </c>
      <c r="D990" s="1">
        <v>23000</v>
      </c>
      <c r="E990" s="1"/>
      <c r="F990" s="1">
        <v>256.52</v>
      </c>
      <c r="G990" s="1">
        <v>23000</v>
      </c>
      <c r="H990" s="5">
        <f t="shared" si="33"/>
        <v>0</v>
      </c>
      <c r="I990" s="6"/>
      <c r="J990" s="43"/>
      <c r="K990" s="51"/>
      <c r="L990" s="86"/>
    </row>
    <row r="991" spans="1:12" ht="15" x14ac:dyDescent="0.25">
      <c r="A991" s="1">
        <v>982</v>
      </c>
      <c r="B991" s="1" t="s">
        <v>136</v>
      </c>
      <c r="C991" s="32">
        <v>6405</v>
      </c>
      <c r="D991" s="1">
        <v>15000</v>
      </c>
      <c r="E991" s="1"/>
      <c r="F991" s="1">
        <v>167.3</v>
      </c>
      <c r="G991" s="1">
        <v>15000</v>
      </c>
      <c r="H991" s="5">
        <f t="shared" si="33"/>
        <v>0</v>
      </c>
      <c r="I991" s="6"/>
      <c r="J991" s="43"/>
      <c r="K991" s="51"/>
      <c r="L991" s="86"/>
    </row>
    <row r="992" spans="1:12" ht="15" x14ac:dyDescent="0.25">
      <c r="A992" s="1">
        <v>983</v>
      </c>
      <c r="B992" s="1" t="s">
        <v>136</v>
      </c>
      <c r="C992" s="32" t="s">
        <v>61</v>
      </c>
      <c r="D992" s="1">
        <v>3500</v>
      </c>
      <c r="E992" s="1"/>
      <c r="F992" s="1">
        <v>39.4</v>
      </c>
      <c r="G992" s="1">
        <v>3500</v>
      </c>
      <c r="H992" s="5">
        <f t="shared" si="33"/>
        <v>0</v>
      </c>
      <c r="I992" s="6"/>
      <c r="J992" s="43"/>
      <c r="K992" s="51"/>
      <c r="L992" s="86"/>
    </row>
    <row r="993" spans="1:12" ht="15" x14ac:dyDescent="0.25">
      <c r="A993" s="1">
        <v>984</v>
      </c>
      <c r="B993" s="1" t="s">
        <v>137</v>
      </c>
      <c r="C993" s="32" t="s">
        <v>66</v>
      </c>
      <c r="D993" s="1">
        <v>100</v>
      </c>
      <c r="E993" s="1"/>
      <c r="F993" s="1">
        <v>1.05</v>
      </c>
      <c r="G993" s="1">
        <v>100</v>
      </c>
      <c r="H993" s="5">
        <f t="shared" si="33"/>
        <v>0</v>
      </c>
      <c r="I993" s="6"/>
      <c r="J993" s="43"/>
      <c r="K993" s="51"/>
      <c r="L993" s="86"/>
    </row>
    <row r="994" spans="1:12" ht="15" x14ac:dyDescent="0.25">
      <c r="A994" s="1">
        <v>985</v>
      </c>
      <c r="B994" s="1" t="s">
        <v>137</v>
      </c>
      <c r="C994" s="32">
        <v>245</v>
      </c>
      <c r="D994" s="1">
        <v>25000</v>
      </c>
      <c r="E994" s="1"/>
      <c r="F994" s="1">
        <v>278.83</v>
      </c>
      <c r="G994" s="1">
        <v>25000</v>
      </c>
      <c r="H994" s="5">
        <f t="shared" si="33"/>
        <v>0</v>
      </c>
      <c r="I994" s="6"/>
      <c r="J994" s="43"/>
      <c r="K994" s="51"/>
      <c r="L994" s="86"/>
    </row>
    <row r="995" spans="1:12" ht="15" x14ac:dyDescent="0.25">
      <c r="A995" s="1">
        <v>986</v>
      </c>
      <c r="B995" s="1" t="s">
        <v>137</v>
      </c>
      <c r="C995" s="32">
        <v>2972</v>
      </c>
      <c r="D995" s="1">
        <v>15000</v>
      </c>
      <c r="E995" s="1"/>
      <c r="F995" s="1">
        <v>167.3</v>
      </c>
      <c r="G995" s="1">
        <v>15000</v>
      </c>
      <c r="H995" s="5">
        <f t="shared" si="33"/>
        <v>0</v>
      </c>
      <c r="I995" s="6"/>
      <c r="J995" s="43"/>
      <c r="K995" s="51"/>
      <c r="L995" s="86"/>
    </row>
    <row r="996" spans="1:12" ht="15" x14ac:dyDescent="0.25">
      <c r="A996" s="1">
        <v>987</v>
      </c>
      <c r="B996" s="1" t="s">
        <v>137</v>
      </c>
      <c r="C996" s="32">
        <v>7959</v>
      </c>
      <c r="D996" s="1">
        <v>15000</v>
      </c>
      <c r="E996" s="1"/>
      <c r="F996" s="1">
        <v>167.3</v>
      </c>
      <c r="G996" s="1">
        <v>15000</v>
      </c>
      <c r="H996" s="5">
        <f t="shared" si="33"/>
        <v>0</v>
      </c>
      <c r="I996" s="6"/>
      <c r="J996" s="43"/>
      <c r="K996" s="51"/>
      <c r="L996" s="86"/>
    </row>
    <row r="997" spans="1:12" ht="15" x14ac:dyDescent="0.25">
      <c r="A997" s="1">
        <v>988</v>
      </c>
      <c r="B997" s="1" t="s">
        <v>137</v>
      </c>
      <c r="C997" s="32">
        <v>2852</v>
      </c>
      <c r="D997" s="1">
        <v>22000</v>
      </c>
      <c r="E997" s="1"/>
      <c r="F997" s="1">
        <v>245.37</v>
      </c>
      <c r="G997" s="1">
        <v>22000</v>
      </c>
      <c r="H997" s="5">
        <f t="shared" si="33"/>
        <v>0</v>
      </c>
      <c r="I997" s="6"/>
      <c r="J997" s="43"/>
      <c r="K997" s="51"/>
      <c r="L997" s="86"/>
    </row>
    <row r="998" spans="1:12" ht="15" x14ac:dyDescent="0.25">
      <c r="A998" s="1">
        <v>989</v>
      </c>
      <c r="B998" s="1" t="s">
        <v>137</v>
      </c>
      <c r="C998" s="32">
        <v>7469</v>
      </c>
      <c r="D998" s="1">
        <v>22000</v>
      </c>
      <c r="E998" s="1"/>
      <c r="F998" s="1">
        <v>245.37</v>
      </c>
      <c r="G998" s="1">
        <v>22000</v>
      </c>
      <c r="H998" s="5">
        <f t="shared" si="33"/>
        <v>0</v>
      </c>
      <c r="I998" s="6"/>
      <c r="J998" s="43"/>
      <c r="K998" s="51"/>
      <c r="L998" s="86"/>
    </row>
    <row r="999" spans="1:12" ht="15" x14ac:dyDescent="0.25">
      <c r="A999" s="1">
        <v>990</v>
      </c>
      <c r="B999" s="1" t="s">
        <v>137</v>
      </c>
      <c r="C999" s="32">
        <v>7996</v>
      </c>
      <c r="D999" s="1">
        <v>8000</v>
      </c>
      <c r="E999" s="1"/>
      <c r="F999" s="1">
        <v>89.23</v>
      </c>
      <c r="G999" s="1">
        <v>8000</v>
      </c>
      <c r="H999" s="5">
        <f t="shared" si="33"/>
        <v>0</v>
      </c>
      <c r="I999" s="6"/>
      <c r="J999" s="43"/>
      <c r="K999" s="51"/>
      <c r="L999" s="86"/>
    </row>
    <row r="1000" spans="1:12" ht="15" x14ac:dyDescent="0.25">
      <c r="A1000" s="1">
        <v>991</v>
      </c>
      <c r="B1000" s="1" t="s">
        <v>137</v>
      </c>
      <c r="C1000" s="32">
        <v>2795</v>
      </c>
      <c r="D1000" s="1">
        <v>8000</v>
      </c>
      <c r="E1000" s="1"/>
      <c r="F1000" s="1">
        <v>89.23</v>
      </c>
      <c r="G1000" s="1">
        <v>8000</v>
      </c>
      <c r="H1000" s="5">
        <f t="shared" si="33"/>
        <v>0</v>
      </c>
      <c r="I1000" s="6"/>
      <c r="J1000" s="43"/>
      <c r="K1000" s="51"/>
      <c r="L1000" s="86">
        <f>1845920-1812031</f>
        <v>33889</v>
      </c>
    </row>
    <row r="1001" spans="1:12" ht="15" x14ac:dyDescent="0.25">
      <c r="A1001" s="1">
        <v>992</v>
      </c>
      <c r="B1001" s="1" t="s">
        <v>139</v>
      </c>
      <c r="C1001" s="32" t="s">
        <v>61</v>
      </c>
      <c r="D1001" s="1">
        <v>4500</v>
      </c>
      <c r="E1001" s="1"/>
      <c r="F1001" s="1">
        <v>50.19</v>
      </c>
      <c r="G1001" s="1">
        <v>4500</v>
      </c>
      <c r="H1001" s="5">
        <f t="shared" si="33"/>
        <v>0</v>
      </c>
      <c r="I1001" s="6"/>
      <c r="J1001" s="43"/>
      <c r="K1001" s="51"/>
      <c r="L1001" s="86"/>
    </row>
    <row r="1002" spans="1:12" ht="15" x14ac:dyDescent="0.25">
      <c r="A1002" s="1">
        <v>993</v>
      </c>
      <c r="B1002" s="1" t="s">
        <v>139</v>
      </c>
      <c r="C1002" s="32">
        <v>6333</v>
      </c>
      <c r="D1002" s="1">
        <v>25000</v>
      </c>
      <c r="E1002" s="1"/>
      <c r="F1002" s="1">
        <v>253.17</v>
      </c>
      <c r="G1002" s="1">
        <v>25000</v>
      </c>
      <c r="H1002" s="5">
        <f t="shared" si="33"/>
        <v>0</v>
      </c>
      <c r="I1002" s="6"/>
      <c r="J1002" s="43"/>
      <c r="K1002" s="51"/>
      <c r="L1002" s="86"/>
    </row>
    <row r="1003" spans="1:12" ht="15" x14ac:dyDescent="0.25">
      <c r="A1003" s="1">
        <v>994</v>
      </c>
      <c r="B1003" s="1" t="s">
        <v>139</v>
      </c>
      <c r="C1003" s="32">
        <v>9138</v>
      </c>
      <c r="D1003" s="1">
        <v>15000</v>
      </c>
      <c r="E1003" s="1"/>
      <c r="F1003" s="1">
        <v>167.3</v>
      </c>
      <c r="G1003" s="1">
        <v>15000</v>
      </c>
      <c r="H1003" s="5">
        <f t="shared" si="33"/>
        <v>0</v>
      </c>
      <c r="I1003" s="6"/>
      <c r="J1003" s="43"/>
      <c r="K1003" s="51"/>
      <c r="L1003" s="86"/>
    </row>
    <row r="1004" spans="1:12" ht="15" x14ac:dyDescent="0.25">
      <c r="A1004" s="1">
        <v>995</v>
      </c>
      <c r="B1004" s="1" t="s">
        <v>139</v>
      </c>
      <c r="C1004" s="32">
        <v>4450</v>
      </c>
      <c r="D1004" s="1">
        <v>15000</v>
      </c>
      <c r="E1004" s="1"/>
      <c r="F1004" s="1">
        <v>167.3</v>
      </c>
      <c r="G1004" s="1">
        <v>15000</v>
      </c>
      <c r="H1004" s="5">
        <f t="shared" si="33"/>
        <v>0</v>
      </c>
      <c r="I1004" s="6"/>
      <c r="J1004" s="43"/>
      <c r="K1004" s="51"/>
      <c r="L1004" s="86"/>
    </row>
    <row r="1005" spans="1:12" ht="15" x14ac:dyDescent="0.25">
      <c r="A1005" s="1">
        <v>996</v>
      </c>
      <c r="B1005" s="1" t="s">
        <v>139</v>
      </c>
      <c r="C1005" s="32">
        <v>7877</v>
      </c>
      <c r="D1005" s="1">
        <v>10000</v>
      </c>
      <c r="E1005" s="1"/>
      <c r="F1005" s="1">
        <v>111.53</v>
      </c>
      <c r="G1005" s="1">
        <v>10000</v>
      </c>
      <c r="H1005" s="5">
        <f t="shared" si="33"/>
        <v>0</v>
      </c>
      <c r="I1005" s="6"/>
      <c r="J1005" s="43"/>
      <c r="K1005" s="51"/>
      <c r="L1005" s="86"/>
    </row>
    <row r="1006" spans="1:12" ht="15" x14ac:dyDescent="0.25">
      <c r="A1006" s="1">
        <v>997</v>
      </c>
      <c r="B1006" s="1" t="s">
        <v>139</v>
      </c>
      <c r="C1006" s="32">
        <v>3005</v>
      </c>
      <c r="D1006" s="1">
        <v>12000</v>
      </c>
      <c r="E1006" s="1"/>
      <c r="F1006" s="1">
        <v>133.84</v>
      </c>
      <c r="G1006" s="1">
        <v>12000</v>
      </c>
      <c r="H1006" s="5">
        <f t="shared" si="33"/>
        <v>0</v>
      </c>
      <c r="I1006" s="6"/>
      <c r="J1006" s="43"/>
      <c r="K1006" s="51"/>
      <c r="L1006" s="86"/>
    </row>
    <row r="1007" spans="1:12" ht="15" x14ac:dyDescent="0.25">
      <c r="A1007" s="1">
        <v>998</v>
      </c>
      <c r="B1007" s="1" t="s">
        <v>139</v>
      </c>
      <c r="C1007" s="32">
        <v>5357</v>
      </c>
      <c r="D1007" s="1">
        <v>20000</v>
      </c>
      <c r="E1007" s="1"/>
      <c r="F1007" s="1">
        <v>223.06</v>
      </c>
      <c r="G1007" s="1">
        <v>20000</v>
      </c>
      <c r="H1007" s="5">
        <f t="shared" si="33"/>
        <v>0</v>
      </c>
      <c r="I1007" s="6"/>
      <c r="J1007" s="43"/>
      <c r="K1007" s="51"/>
      <c r="L1007" s="86"/>
    </row>
    <row r="1008" spans="1:12" ht="15" x14ac:dyDescent="0.25">
      <c r="A1008" s="1">
        <v>999</v>
      </c>
      <c r="B1008" s="1" t="s">
        <v>139</v>
      </c>
      <c r="C1008" s="32">
        <v>5872</v>
      </c>
      <c r="D1008" s="1">
        <v>16000</v>
      </c>
      <c r="E1008" s="1"/>
      <c r="F1008" s="1">
        <v>178.45</v>
      </c>
      <c r="G1008" s="1">
        <v>16000</v>
      </c>
      <c r="H1008" s="5">
        <f t="shared" si="33"/>
        <v>0</v>
      </c>
      <c r="I1008" s="6"/>
      <c r="J1008" s="43"/>
      <c r="K1008" s="51"/>
      <c r="L1008" s="86"/>
    </row>
    <row r="1009" spans="1:13" ht="15" x14ac:dyDescent="0.25">
      <c r="A1009" s="1">
        <v>1000</v>
      </c>
      <c r="B1009" s="1" t="s">
        <v>139</v>
      </c>
      <c r="C1009" s="32" t="s">
        <v>66</v>
      </c>
      <c r="D1009" s="1">
        <v>100</v>
      </c>
      <c r="E1009" s="1"/>
      <c r="F1009" s="1">
        <v>1.05</v>
      </c>
      <c r="G1009" s="1">
        <v>100</v>
      </c>
      <c r="H1009" s="5">
        <f t="shared" si="33"/>
        <v>0</v>
      </c>
      <c r="I1009" s="6"/>
      <c r="J1009" s="43"/>
      <c r="K1009" s="51"/>
      <c r="L1009" s="86"/>
    </row>
    <row r="1010" spans="1:13" ht="15" x14ac:dyDescent="0.25">
      <c r="A1010" s="1">
        <v>1001</v>
      </c>
      <c r="B1010" s="1" t="s">
        <v>140</v>
      </c>
      <c r="C1010" s="32">
        <v>4135</v>
      </c>
      <c r="D1010" s="1">
        <v>23000</v>
      </c>
      <c r="E1010" s="1"/>
      <c r="F1010" s="1">
        <v>256.52</v>
      </c>
      <c r="G1010" s="1">
        <v>23000</v>
      </c>
      <c r="H1010" s="5">
        <f t="shared" si="33"/>
        <v>0</v>
      </c>
      <c r="I1010" s="6"/>
      <c r="J1010" s="43"/>
      <c r="K1010" s="51"/>
      <c r="L1010" s="86"/>
    </row>
    <row r="1011" spans="1:13" ht="15" x14ac:dyDescent="0.25">
      <c r="A1011" s="1">
        <v>1002</v>
      </c>
      <c r="B1011" s="1" t="s">
        <v>140</v>
      </c>
      <c r="C1011" s="32" t="s">
        <v>61</v>
      </c>
      <c r="D1011" s="1">
        <v>3500</v>
      </c>
      <c r="E1011" s="1"/>
      <c r="F1011" s="1">
        <v>39.04</v>
      </c>
      <c r="G1011" s="1">
        <v>3500</v>
      </c>
      <c r="H1011" s="5">
        <f t="shared" si="33"/>
        <v>0</v>
      </c>
      <c r="I1011" s="6"/>
      <c r="J1011" s="43"/>
      <c r="K1011" s="51"/>
      <c r="L1011" s="86"/>
    </row>
    <row r="1012" spans="1:13" ht="15" x14ac:dyDescent="0.25">
      <c r="A1012" s="1">
        <v>1003</v>
      </c>
      <c r="B1012" s="1" t="s">
        <v>140</v>
      </c>
      <c r="C1012" s="32">
        <v>2021</v>
      </c>
      <c r="D1012" s="1">
        <v>10000</v>
      </c>
      <c r="E1012" s="1"/>
      <c r="F1012" s="1">
        <v>111.53</v>
      </c>
      <c r="G1012" s="1">
        <v>10000</v>
      </c>
      <c r="H1012" s="5">
        <f t="shared" si="33"/>
        <v>0</v>
      </c>
      <c r="I1012" s="6"/>
      <c r="J1012" s="43"/>
      <c r="K1012" s="51"/>
      <c r="L1012" s="86"/>
    </row>
    <row r="1013" spans="1:13" ht="15" x14ac:dyDescent="0.25">
      <c r="A1013" s="1">
        <v>1004</v>
      </c>
      <c r="B1013" s="1" t="s">
        <v>140</v>
      </c>
      <c r="C1013" s="32">
        <v>2597</v>
      </c>
      <c r="D1013" s="1">
        <v>10000</v>
      </c>
      <c r="E1013" s="1"/>
      <c r="F1013" s="1">
        <v>111.53</v>
      </c>
      <c r="G1013" s="1">
        <v>10000</v>
      </c>
      <c r="H1013" s="5">
        <f t="shared" si="33"/>
        <v>0</v>
      </c>
      <c r="I1013" s="6"/>
      <c r="J1013" s="43"/>
      <c r="K1013" s="51"/>
      <c r="L1013" s="86"/>
    </row>
    <row r="1014" spans="1:13" ht="15" x14ac:dyDescent="0.25">
      <c r="A1014" s="1">
        <v>1005</v>
      </c>
      <c r="B1014" s="1" t="s">
        <v>140</v>
      </c>
      <c r="C1014" s="32">
        <v>3877</v>
      </c>
      <c r="D1014" s="1">
        <v>20000</v>
      </c>
      <c r="E1014" s="1"/>
      <c r="F1014" s="1">
        <v>223.06</v>
      </c>
      <c r="G1014" s="1">
        <v>20000</v>
      </c>
      <c r="H1014" s="5">
        <f t="shared" si="33"/>
        <v>0</v>
      </c>
      <c r="I1014" s="6"/>
      <c r="J1014" s="43"/>
      <c r="K1014" s="51"/>
      <c r="L1014" s="86"/>
    </row>
    <row r="1015" spans="1:13" ht="15" x14ac:dyDescent="0.25">
      <c r="A1015" s="1">
        <v>1006</v>
      </c>
      <c r="B1015" s="1" t="s">
        <v>140</v>
      </c>
      <c r="C1015" s="32">
        <v>21</v>
      </c>
      <c r="D1015" s="1">
        <v>26000</v>
      </c>
      <c r="E1015" s="1"/>
      <c r="F1015" s="1">
        <v>250.95</v>
      </c>
      <c r="G1015" s="1">
        <v>26000</v>
      </c>
      <c r="H1015" s="5">
        <f t="shared" si="33"/>
        <v>0</v>
      </c>
      <c r="I1015" s="6"/>
      <c r="J1015" s="43"/>
      <c r="K1015" s="51"/>
      <c r="L1015" s="86"/>
    </row>
    <row r="1016" spans="1:13" ht="15" x14ac:dyDescent="0.25">
      <c r="A1016" s="1">
        <v>1007</v>
      </c>
      <c r="B1016" s="1" t="s">
        <v>140</v>
      </c>
      <c r="C1016" s="32">
        <v>1121</v>
      </c>
      <c r="D1016" s="1">
        <v>30000</v>
      </c>
      <c r="E1016" s="1"/>
      <c r="F1016" s="1">
        <v>326.79000000000002</v>
      </c>
      <c r="G1016" s="1">
        <v>30000</v>
      </c>
      <c r="H1016" s="5">
        <f t="shared" si="33"/>
        <v>0</v>
      </c>
      <c r="I1016" s="6"/>
      <c r="J1016" s="43"/>
      <c r="K1016" s="51"/>
      <c r="L1016" s="86"/>
    </row>
    <row r="1017" spans="1:13" ht="15" x14ac:dyDescent="0.25">
      <c r="A1017" s="1">
        <v>1008</v>
      </c>
      <c r="B1017" s="1" t="s">
        <v>140</v>
      </c>
      <c r="C1017" s="32">
        <v>6457</v>
      </c>
      <c r="D1017" s="1">
        <v>30000</v>
      </c>
      <c r="E1017" s="1"/>
      <c r="F1017" s="1">
        <v>326.79000000000002</v>
      </c>
      <c r="G1017" s="1">
        <v>30000</v>
      </c>
      <c r="H1017" s="5">
        <f t="shared" si="33"/>
        <v>0</v>
      </c>
      <c r="I1017" s="6"/>
      <c r="J1017" s="43"/>
      <c r="K1017" s="51"/>
      <c r="L1017" s="86"/>
    </row>
    <row r="1018" spans="1:13" ht="15" x14ac:dyDescent="0.25">
      <c r="A1018" s="1">
        <v>1009</v>
      </c>
      <c r="B1018" s="1" t="s">
        <v>140</v>
      </c>
      <c r="C1018" s="32">
        <v>9539</v>
      </c>
      <c r="D1018" s="1">
        <v>5000</v>
      </c>
      <c r="E1018" s="1"/>
      <c r="F1018" s="1">
        <v>55.77</v>
      </c>
      <c r="G1018" s="1">
        <v>5000</v>
      </c>
      <c r="H1018" s="5">
        <f t="shared" si="33"/>
        <v>0</v>
      </c>
      <c r="I1018" s="6"/>
      <c r="J1018" s="43"/>
      <c r="K1018" s="51"/>
      <c r="L1018" s="86">
        <f>1780958-1749301</f>
        <v>31657</v>
      </c>
    </row>
    <row r="1019" spans="1:13" ht="15" x14ac:dyDescent="0.25">
      <c r="A1019" s="1">
        <v>1010</v>
      </c>
      <c r="B1019" s="1" t="s">
        <v>151</v>
      </c>
      <c r="C1019" s="32">
        <v>2445</v>
      </c>
      <c r="D1019" s="1">
        <v>25000</v>
      </c>
      <c r="E1019" s="1"/>
      <c r="F1019" s="1">
        <v>278.83</v>
      </c>
      <c r="G1019" s="1">
        <v>25000</v>
      </c>
      <c r="H1019" s="5">
        <f t="shared" si="33"/>
        <v>0</v>
      </c>
      <c r="I1019" s="6"/>
      <c r="J1019" s="43"/>
      <c r="K1019" s="51"/>
      <c r="L1019" s="86"/>
    </row>
    <row r="1020" spans="1:13" ht="15" x14ac:dyDescent="0.25">
      <c r="A1020" s="1">
        <v>1011</v>
      </c>
      <c r="B1020" s="1" t="s">
        <v>151</v>
      </c>
      <c r="C1020" s="32">
        <v>7179</v>
      </c>
      <c r="D1020" s="1">
        <v>20000</v>
      </c>
      <c r="E1020" s="1"/>
      <c r="F1020" s="1">
        <v>224.29</v>
      </c>
      <c r="G1020" s="1">
        <v>20000</v>
      </c>
      <c r="H1020" s="5">
        <f t="shared" si="33"/>
        <v>0</v>
      </c>
      <c r="I1020" s="6"/>
      <c r="J1020" s="43"/>
      <c r="K1020" s="51"/>
      <c r="L1020" s="86"/>
    </row>
    <row r="1021" spans="1:13" ht="15" x14ac:dyDescent="0.25">
      <c r="A1021" s="1">
        <v>1012</v>
      </c>
      <c r="B1021" s="1" t="s">
        <v>151</v>
      </c>
      <c r="C1021" s="32">
        <v>5600</v>
      </c>
      <c r="D1021" s="1">
        <v>29000</v>
      </c>
      <c r="E1021" s="1"/>
      <c r="F1021" s="1">
        <v>323.48</v>
      </c>
      <c r="G1021" s="1">
        <v>29000</v>
      </c>
      <c r="H1021" s="5">
        <f t="shared" si="33"/>
        <v>0</v>
      </c>
      <c r="I1021" s="6"/>
      <c r="J1021" s="43"/>
      <c r="K1021" s="51"/>
      <c r="L1021" s="86"/>
    </row>
    <row r="1022" spans="1:13" ht="15" x14ac:dyDescent="0.25">
      <c r="A1022" s="1">
        <v>1013</v>
      </c>
      <c r="B1022" s="1" t="s">
        <v>153</v>
      </c>
      <c r="C1022" s="32" t="s">
        <v>66</v>
      </c>
      <c r="D1022" s="1">
        <v>100</v>
      </c>
      <c r="E1022" s="1"/>
      <c r="F1022" s="1">
        <v>1.0409999999999999</v>
      </c>
      <c r="G1022" s="1">
        <v>100</v>
      </c>
      <c r="H1022" s="5">
        <f t="shared" si="33"/>
        <v>0</v>
      </c>
      <c r="I1022" s="6"/>
      <c r="J1022" s="43"/>
      <c r="K1022" s="51"/>
      <c r="L1022" s="86"/>
      <c r="M1022">
        <f>100/96</f>
        <v>1.0416666666666667</v>
      </c>
    </row>
    <row r="1023" spans="1:13" ht="15" x14ac:dyDescent="0.25">
      <c r="A1023" s="1">
        <v>1014</v>
      </c>
      <c r="B1023" s="1" t="s">
        <v>153</v>
      </c>
      <c r="C1023" s="32">
        <v>3561</v>
      </c>
      <c r="D1023" s="1">
        <v>25000</v>
      </c>
      <c r="E1023" s="1"/>
      <c r="F1023" s="1">
        <v>278</v>
      </c>
      <c r="G1023" s="1">
        <v>25000</v>
      </c>
      <c r="H1023" s="5">
        <f t="shared" si="33"/>
        <v>0</v>
      </c>
      <c r="I1023" s="6"/>
      <c r="J1023" s="43"/>
      <c r="K1023" s="51"/>
      <c r="L1023" s="86"/>
    </row>
    <row r="1024" spans="1:13" ht="15" x14ac:dyDescent="0.25">
      <c r="A1024" s="1">
        <v>1015</v>
      </c>
      <c r="B1024" s="1" t="s">
        <v>153</v>
      </c>
      <c r="C1024" s="32" t="s">
        <v>61</v>
      </c>
      <c r="D1024" s="1">
        <v>4500</v>
      </c>
      <c r="E1024" s="1"/>
      <c r="F1024" s="1">
        <v>50</v>
      </c>
      <c r="G1024" s="1">
        <v>4500</v>
      </c>
      <c r="H1024" s="5">
        <f t="shared" si="33"/>
        <v>0</v>
      </c>
      <c r="I1024" s="6"/>
      <c r="J1024" s="43"/>
      <c r="K1024" s="51"/>
      <c r="L1024" s="86"/>
    </row>
    <row r="1025" spans="1:12" ht="15" x14ac:dyDescent="0.25">
      <c r="A1025" s="1">
        <v>1016</v>
      </c>
      <c r="B1025" s="1" t="s">
        <v>153</v>
      </c>
      <c r="C1025" s="32" t="s">
        <v>63</v>
      </c>
      <c r="D1025" s="1">
        <v>3500</v>
      </c>
      <c r="E1025" s="1"/>
      <c r="F1025" s="1">
        <v>34.03</v>
      </c>
      <c r="G1025" s="1">
        <v>3500</v>
      </c>
      <c r="H1025" s="5">
        <f t="shared" si="33"/>
        <v>0</v>
      </c>
      <c r="I1025" s="6"/>
      <c r="J1025" s="43"/>
      <c r="K1025" s="51"/>
      <c r="L1025" s="86"/>
    </row>
    <row r="1026" spans="1:12" ht="15" x14ac:dyDescent="0.25">
      <c r="A1026" s="1">
        <v>1017</v>
      </c>
      <c r="B1026" s="1" t="s">
        <v>153</v>
      </c>
      <c r="C1026" s="32">
        <v>3606</v>
      </c>
      <c r="D1026" s="1">
        <v>20000</v>
      </c>
      <c r="E1026" s="1"/>
      <c r="F1026" s="1">
        <v>223</v>
      </c>
      <c r="G1026" s="1">
        <v>20000</v>
      </c>
      <c r="H1026" s="5">
        <f t="shared" si="33"/>
        <v>0</v>
      </c>
      <c r="I1026" s="6"/>
      <c r="J1026" s="43"/>
      <c r="K1026" s="51"/>
      <c r="L1026" s="86"/>
    </row>
    <row r="1027" spans="1:12" ht="15" x14ac:dyDescent="0.25">
      <c r="A1027" s="1">
        <v>1018</v>
      </c>
      <c r="B1027" s="1" t="s">
        <v>153</v>
      </c>
      <c r="C1027" s="32">
        <v>9311</v>
      </c>
      <c r="D1027" s="1">
        <v>25000</v>
      </c>
      <c r="E1027" s="1"/>
      <c r="F1027" s="1">
        <v>278</v>
      </c>
      <c r="G1027" s="1">
        <v>25000</v>
      </c>
      <c r="H1027" s="5">
        <f t="shared" si="33"/>
        <v>0</v>
      </c>
      <c r="I1027" s="6"/>
      <c r="J1027" s="43"/>
      <c r="K1027" s="51"/>
      <c r="L1027" s="86"/>
    </row>
    <row r="1028" spans="1:12" ht="15" x14ac:dyDescent="0.25">
      <c r="A1028" s="1">
        <v>1019</v>
      </c>
      <c r="B1028" s="1" t="s">
        <v>153</v>
      </c>
      <c r="C1028" s="32">
        <v>7846</v>
      </c>
      <c r="D1028" s="1">
        <v>24000</v>
      </c>
      <c r="E1028" s="1"/>
      <c r="F1028" s="1">
        <v>267.67</v>
      </c>
      <c r="G1028" s="1">
        <v>24000</v>
      </c>
      <c r="H1028" s="5">
        <f t="shared" si="33"/>
        <v>0</v>
      </c>
      <c r="I1028" s="6"/>
      <c r="J1028" s="43"/>
      <c r="K1028" s="51"/>
      <c r="L1028" s="86">
        <f>1778093-1775401</f>
        <v>2692</v>
      </c>
    </row>
    <row r="1029" spans="1:12" ht="15" x14ac:dyDescent="0.25">
      <c r="A1029" s="1">
        <v>1020</v>
      </c>
      <c r="B1029" s="1" t="s">
        <v>154</v>
      </c>
      <c r="C1029" s="32">
        <v>8370</v>
      </c>
      <c r="D1029" s="1">
        <v>16000</v>
      </c>
      <c r="E1029" s="1"/>
      <c r="F1029" s="1">
        <v>178.45</v>
      </c>
      <c r="G1029" s="1">
        <v>16000</v>
      </c>
      <c r="H1029" s="5">
        <f t="shared" si="33"/>
        <v>0</v>
      </c>
      <c r="I1029" s="6"/>
      <c r="J1029" s="43"/>
      <c r="K1029" s="51"/>
      <c r="L1029" s="86"/>
    </row>
    <row r="1030" spans="1:12" ht="15" x14ac:dyDescent="0.25">
      <c r="A1030" s="1">
        <v>1021</v>
      </c>
      <c r="B1030" s="1" t="s">
        <v>154</v>
      </c>
      <c r="C1030" s="32">
        <v>8470</v>
      </c>
      <c r="D1030" s="1">
        <v>16000</v>
      </c>
      <c r="E1030" s="1"/>
      <c r="F1030" s="1">
        <v>178.45</v>
      </c>
      <c r="G1030" s="1">
        <v>16000</v>
      </c>
      <c r="H1030" s="5">
        <f t="shared" si="33"/>
        <v>0</v>
      </c>
      <c r="I1030" s="6"/>
      <c r="J1030" s="43"/>
      <c r="K1030" s="51"/>
      <c r="L1030" s="86"/>
    </row>
    <row r="1031" spans="1:12" ht="15" x14ac:dyDescent="0.25">
      <c r="A1031" s="1">
        <v>1022</v>
      </c>
      <c r="B1031" s="1" t="s">
        <v>154</v>
      </c>
      <c r="C1031" s="32">
        <v>1382</v>
      </c>
      <c r="D1031" s="1">
        <v>15000</v>
      </c>
      <c r="E1031" s="1"/>
      <c r="F1031" s="1">
        <v>167.24</v>
      </c>
      <c r="G1031" s="1">
        <v>15000</v>
      </c>
      <c r="H1031" s="5">
        <f t="shared" si="33"/>
        <v>0</v>
      </c>
      <c r="I1031" s="6"/>
      <c r="J1031" s="43"/>
      <c r="K1031" s="51"/>
      <c r="L1031" s="86"/>
    </row>
    <row r="1032" spans="1:12" ht="15" x14ac:dyDescent="0.25">
      <c r="A1032" s="1">
        <v>1023</v>
      </c>
      <c r="B1032" s="1" t="s">
        <v>154</v>
      </c>
      <c r="C1032" s="32">
        <v>8404</v>
      </c>
      <c r="D1032" s="1">
        <v>26000</v>
      </c>
      <c r="E1032" s="1"/>
      <c r="F1032" s="1">
        <v>286.60000000000002</v>
      </c>
      <c r="G1032" s="1">
        <v>26000</v>
      </c>
      <c r="H1032" s="5">
        <f t="shared" si="33"/>
        <v>0</v>
      </c>
      <c r="I1032" s="6"/>
      <c r="J1032" s="43"/>
      <c r="K1032" s="51"/>
      <c r="L1032" s="86"/>
    </row>
    <row r="1033" spans="1:12" ht="15" x14ac:dyDescent="0.25">
      <c r="A1033" s="1">
        <v>1024</v>
      </c>
      <c r="B1033" s="1" t="s">
        <v>154</v>
      </c>
      <c r="C1033" s="32">
        <v>8696</v>
      </c>
      <c r="D1033" s="1">
        <v>30000</v>
      </c>
      <c r="E1033" s="1"/>
      <c r="F1033" s="1">
        <v>282.74</v>
      </c>
      <c r="G1033" s="1">
        <v>30000</v>
      </c>
      <c r="H1033" s="5">
        <f t="shared" si="33"/>
        <v>0</v>
      </c>
      <c r="I1033" s="6"/>
      <c r="J1033" s="43"/>
      <c r="K1033" s="51"/>
      <c r="L1033" s="86"/>
    </row>
    <row r="1034" spans="1:12" ht="15" x14ac:dyDescent="0.25">
      <c r="A1034" s="1">
        <v>1025</v>
      </c>
      <c r="B1034" s="1" t="s">
        <v>154</v>
      </c>
      <c r="C1034" s="32">
        <v>1651</v>
      </c>
      <c r="D1034" s="1">
        <v>30000</v>
      </c>
      <c r="E1034" s="1"/>
      <c r="F1034" s="1">
        <v>323.44</v>
      </c>
      <c r="G1034" s="1">
        <v>30000</v>
      </c>
      <c r="H1034" s="5">
        <f t="shared" si="33"/>
        <v>0</v>
      </c>
      <c r="I1034" s="6"/>
      <c r="J1034" s="43"/>
      <c r="K1034" s="51"/>
      <c r="L1034" s="86">
        <f>1758401-1751885</f>
        <v>6516</v>
      </c>
    </row>
    <row r="1035" spans="1:12" ht="15" x14ac:dyDescent="0.25">
      <c r="A1035" s="1">
        <v>1026</v>
      </c>
      <c r="B1035" s="1" t="s">
        <v>155</v>
      </c>
      <c r="C1035" s="32">
        <v>2868</v>
      </c>
      <c r="D1035" s="1">
        <v>26000</v>
      </c>
      <c r="E1035" s="1"/>
      <c r="F1035" s="1">
        <v>273.76</v>
      </c>
      <c r="G1035" s="1">
        <v>26000</v>
      </c>
      <c r="H1035" s="5">
        <f t="shared" si="33"/>
        <v>0</v>
      </c>
      <c r="I1035" s="6"/>
      <c r="J1035" s="43"/>
      <c r="K1035" s="51"/>
      <c r="L1035" s="86"/>
    </row>
    <row r="1036" spans="1:12" ht="15" x14ac:dyDescent="0.25">
      <c r="A1036" s="1">
        <v>1027</v>
      </c>
      <c r="B1036" s="1" t="s">
        <v>155</v>
      </c>
      <c r="C1036" s="32" t="s">
        <v>63</v>
      </c>
      <c r="D1036" s="1">
        <v>3500</v>
      </c>
      <c r="E1036" s="1"/>
      <c r="F1036" s="1">
        <v>39.04</v>
      </c>
      <c r="G1036" s="1">
        <v>3500</v>
      </c>
      <c r="H1036" s="5">
        <f t="shared" si="33"/>
        <v>0</v>
      </c>
      <c r="I1036" s="6"/>
      <c r="J1036" s="43"/>
      <c r="K1036" s="51"/>
      <c r="L1036" s="86"/>
    </row>
    <row r="1037" spans="1:12" ht="15" x14ac:dyDescent="0.25">
      <c r="A1037" s="1">
        <v>1028</v>
      </c>
      <c r="B1037" s="1" t="s">
        <v>155</v>
      </c>
      <c r="C1037" s="32">
        <v>1948</v>
      </c>
      <c r="D1037" s="1">
        <v>20000</v>
      </c>
      <c r="E1037" s="1"/>
      <c r="F1037" s="1">
        <v>223.06</v>
      </c>
      <c r="G1037" s="1">
        <v>20000</v>
      </c>
      <c r="H1037" s="5">
        <f t="shared" si="33"/>
        <v>0</v>
      </c>
      <c r="I1037" s="6"/>
      <c r="J1037" s="43"/>
      <c r="K1037" s="51"/>
      <c r="L1037" s="86"/>
    </row>
    <row r="1038" spans="1:12" ht="15" x14ac:dyDescent="0.25">
      <c r="A1038" s="1">
        <v>1029</v>
      </c>
      <c r="B1038" s="1" t="s">
        <v>155</v>
      </c>
      <c r="C1038" s="32" t="s">
        <v>61</v>
      </c>
      <c r="D1038" s="1">
        <v>4500</v>
      </c>
      <c r="E1038" s="1"/>
      <c r="F1038" s="1">
        <v>50.19</v>
      </c>
      <c r="G1038" s="1">
        <v>4500</v>
      </c>
      <c r="H1038" s="5">
        <f t="shared" si="33"/>
        <v>0</v>
      </c>
      <c r="I1038" s="6"/>
      <c r="J1038" s="43"/>
      <c r="K1038" s="51"/>
      <c r="L1038" s="86"/>
    </row>
    <row r="1039" spans="1:12" ht="15" x14ac:dyDescent="0.25">
      <c r="A1039" s="1">
        <v>1030</v>
      </c>
      <c r="B1039" s="1" t="s">
        <v>155</v>
      </c>
      <c r="C1039" s="32">
        <v>7125</v>
      </c>
      <c r="D1039" s="1">
        <v>35000</v>
      </c>
      <c r="E1039" s="1"/>
      <c r="F1039" s="1">
        <v>390.36</v>
      </c>
      <c r="G1039" s="1">
        <v>35000</v>
      </c>
      <c r="H1039" s="5">
        <f t="shared" si="33"/>
        <v>0</v>
      </c>
      <c r="I1039" s="6"/>
      <c r="J1039" s="43"/>
      <c r="K1039" s="51"/>
      <c r="L1039" s="86"/>
    </row>
    <row r="1040" spans="1:12" ht="15" x14ac:dyDescent="0.25">
      <c r="A1040" s="1">
        <v>1031</v>
      </c>
      <c r="B1040" s="1" t="s">
        <v>155</v>
      </c>
      <c r="C1040" s="32">
        <v>1726</v>
      </c>
      <c r="D1040" s="1">
        <v>12000</v>
      </c>
      <c r="E1040" s="1"/>
      <c r="F1040" s="1">
        <v>130.83000000000001</v>
      </c>
      <c r="G1040" s="1">
        <v>12000</v>
      </c>
      <c r="H1040" s="5">
        <f t="shared" si="33"/>
        <v>0</v>
      </c>
      <c r="I1040" s="6"/>
      <c r="J1040" s="43"/>
      <c r="K1040" s="51"/>
      <c r="L1040" s="86"/>
    </row>
    <row r="1041" spans="1:12" ht="15" x14ac:dyDescent="0.25">
      <c r="A1041" s="1">
        <v>1032</v>
      </c>
      <c r="B1041" s="1" t="s">
        <v>156</v>
      </c>
      <c r="C1041" s="32">
        <v>6021</v>
      </c>
      <c r="D1041" s="1">
        <v>19000</v>
      </c>
      <c r="E1041" s="1"/>
      <c r="F1041" s="1">
        <v>211.91</v>
      </c>
      <c r="G1041" s="1">
        <v>19000</v>
      </c>
      <c r="H1041" s="5">
        <f t="shared" si="33"/>
        <v>0</v>
      </c>
      <c r="I1041" s="6"/>
      <c r="J1041" s="43"/>
      <c r="K1041" s="51"/>
      <c r="L1041" s="86"/>
    </row>
    <row r="1042" spans="1:12" ht="15" x14ac:dyDescent="0.25">
      <c r="A1042" s="1">
        <v>1033</v>
      </c>
      <c r="B1042" s="1" t="s">
        <v>156</v>
      </c>
      <c r="C1042" s="32">
        <v>35</v>
      </c>
      <c r="D1042" s="1">
        <v>16000</v>
      </c>
      <c r="E1042" s="1"/>
      <c r="F1042" s="1">
        <v>178.45</v>
      </c>
      <c r="G1042" s="1">
        <v>16000</v>
      </c>
      <c r="H1042" s="5">
        <f t="shared" si="33"/>
        <v>0</v>
      </c>
      <c r="I1042" s="6"/>
      <c r="J1042" s="43"/>
      <c r="K1042" s="51"/>
      <c r="L1042" s="86"/>
    </row>
    <row r="1043" spans="1:12" ht="15" x14ac:dyDescent="0.25">
      <c r="A1043" s="1">
        <v>1034</v>
      </c>
      <c r="B1043" s="1" t="s">
        <v>156</v>
      </c>
      <c r="C1043" s="32">
        <v>6711</v>
      </c>
      <c r="D1043" s="1">
        <v>12000</v>
      </c>
      <c r="E1043" s="1"/>
      <c r="F1043" s="1">
        <v>133.84</v>
      </c>
      <c r="G1043" s="1">
        <v>12000</v>
      </c>
      <c r="H1043" s="5">
        <f t="shared" si="33"/>
        <v>0</v>
      </c>
      <c r="I1043" s="6"/>
      <c r="J1043" s="43"/>
      <c r="K1043" s="51"/>
      <c r="L1043" s="86"/>
    </row>
    <row r="1044" spans="1:12" ht="15" x14ac:dyDescent="0.25">
      <c r="A1044" s="1">
        <v>1035</v>
      </c>
      <c r="B1044" s="1" t="s">
        <v>156</v>
      </c>
      <c r="C1044" s="32">
        <v>9925</v>
      </c>
      <c r="D1044" s="1">
        <v>15000</v>
      </c>
      <c r="E1044" s="1"/>
      <c r="F1044" s="1">
        <v>167.3</v>
      </c>
      <c r="G1044" s="1">
        <v>15000</v>
      </c>
      <c r="H1044" s="5">
        <f t="shared" si="33"/>
        <v>0</v>
      </c>
      <c r="I1044" s="6"/>
      <c r="J1044" s="43"/>
      <c r="K1044" s="51"/>
      <c r="L1044" s="86"/>
    </row>
    <row r="1045" spans="1:12" ht="15" x14ac:dyDescent="0.25">
      <c r="A1045" s="1">
        <v>1036</v>
      </c>
      <c r="B1045" s="1" t="s">
        <v>156</v>
      </c>
      <c r="C1045" s="32">
        <v>6284</v>
      </c>
      <c r="D1045" s="1">
        <v>15000</v>
      </c>
      <c r="E1045" s="1"/>
      <c r="F1045" s="1">
        <v>167.3</v>
      </c>
      <c r="G1045" s="1">
        <v>15000</v>
      </c>
      <c r="H1045" s="5">
        <f t="shared" si="33"/>
        <v>0</v>
      </c>
      <c r="I1045" s="6"/>
      <c r="J1045" s="43"/>
      <c r="K1045" s="51"/>
      <c r="L1045" s="86"/>
    </row>
    <row r="1046" spans="1:12" ht="15" x14ac:dyDescent="0.25">
      <c r="A1046" s="1">
        <v>1037</v>
      </c>
      <c r="B1046" s="1" t="s">
        <v>156</v>
      </c>
      <c r="C1046" s="32">
        <v>1220</v>
      </c>
      <c r="D1046" s="1">
        <v>13000</v>
      </c>
      <c r="E1046" s="1"/>
      <c r="F1046" s="1">
        <v>144.99</v>
      </c>
      <c r="G1046" s="1">
        <v>13000</v>
      </c>
      <c r="H1046" s="5">
        <f t="shared" si="33"/>
        <v>0</v>
      </c>
      <c r="I1046" s="6"/>
      <c r="J1046" s="43"/>
      <c r="K1046" s="51"/>
      <c r="L1046" s="86"/>
    </row>
    <row r="1047" spans="1:12" ht="15" x14ac:dyDescent="0.25">
      <c r="A1047" s="1">
        <v>1038</v>
      </c>
      <c r="B1047" s="1" t="s">
        <v>156</v>
      </c>
      <c r="C1047" s="32">
        <v>3450</v>
      </c>
      <c r="D1047" s="1">
        <v>13000</v>
      </c>
      <c r="E1047" s="1"/>
      <c r="F1047" s="1">
        <v>144.99</v>
      </c>
      <c r="G1047" s="1">
        <v>13000</v>
      </c>
      <c r="H1047" s="5">
        <f t="shared" si="33"/>
        <v>0</v>
      </c>
      <c r="I1047" s="6"/>
      <c r="J1047" s="43"/>
      <c r="K1047" s="51"/>
      <c r="L1047" s="86"/>
    </row>
    <row r="1048" spans="1:12" ht="15" x14ac:dyDescent="0.25">
      <c r="A1048" s="1">
        <v>1039</v>
      </c>
      <c r="B1048" s="1" t="s">
        <v>156</v>
      </c>
      <c r="C1048" s="32">
        <v>8975</v>
      </c>
      <c r="D1048" s="1">
        <v>22000</v>
      </c>
      <c r="E1048" s="1"/>
      <c r="F1048" s="1">
        <v>245.37</v>
      </c>
      <c r="G1048" s="1">
        <v>22000</v>
      </c>
      <c r="H1048" s="5">
        <f t="shared" si="33"/>
        <v>0</v>
      </c>
      <c r="I1048" s="6"/>
      <c r="J1048" s="43"/>
      <c r="K1048" s="51"/>
      <c r="L1048" s="86"/>
    </row>
    <row r="1049" spans="1:12" ht="15" x14ac:dyDescent="0.25">
      <c r="A1049" s="1">
        <v>1040</v>
      </c>
      <c r="B1049" s="1" t="s">
        <v>156</v>
      </c>
      <c r="C1049" s="32">
        <v>1901</v>
      </c>
      <c r="D1049" s="1">
        <v>23000</v>
      </c>
      <c r="E1049" s="1"/>
      <c r="F1049" s="1">
        <v>248.72</v>
      </c>
      <c r="G1049" s="1">
        <v>23000</v>
      </c>
      <c r="H1049" s="5">
        <f t="shared" si="33"/>
        <v>0</v>
      </c>
      <c r="I1049" s="6"/>
      <c r="J1049" s="43"/>
      <c r="K1049" s="51"/>
      <c r="L1049" s="86"/>
    </row>
    <row r="1050" spans="1:12" ht="15" x14ac:dyDescent="0.25">
      <c r="A1050" s="1">
        <v>1041</v>
      </c>
      <c r="B1050" s="1" t="s">
        <v>156</v>
      </c>
      <c r="C1050" s="32">
        <v>5046</v>
      </c>
      <c r="D1050" s="1">
        <v>20000</v>
      </c>
      <c r="E1050" s="1"/>
      <c r="F1050" s="1">
        <v>223.06</v>
      </c>
      <c r="G1050" s="1">
        <v>20000</v>
      </c>
      <c r="H1050" s="5">
        <f t="shared" si="33"/>
        <v>0</v>
      </c>
      <c r="I1050" s="6"/>
      <c r="J1050" s="43"/>
      <c r="K1050" s="51"/>
      <c r="L1050" s="86"/>
    </row>
    <row r="1051" spans="1:12" ht="15" x14ac:dyDescent="0.25">
      <c r="A1051" s="1">
        <v>1042</v>
      </c>
      <c r="B1051" s="1" t="s">
        <v>156</v>
      </c>
      <c r="C1051" s="32">
        <v>735</v>
      </c>
      <c r="D1051" s="1">
        <v>8000</v>
      </c>
      <c r="E1051" s="1"/>
      <c r="F1051" s="1">
        <v>89.23</v>
      </c>
      <c r="G1051" s="1">
        <v>8000</v>
      </c>
      <c r="H1051" s="5">
        <f t="shared" si="33"/>
        <v>0</v>
      </c>
      <c r="I1051" s="6"/>
      <c r="J1051" s="43"/>
      <c r="K1051" s="51"/>
      <c r="L1051" s="86"/>
    </row>
    <row r="1052" spans="1:12" ht="15" x14ac:dyDescent="0.25">
      <c r="A1052" s="1">
        <v>1043</v>
      </c>
      <c r="B1052" s="1" t="s">
        <v>156</v>
      </c>
      <c r="C1052" s="32">
        <v>7971</v>
      </c>
      <c r="D1052" s="1">
        <v>20000</v>
      </c>
      <c r="E1052" s="1"/>
      <c r="F1052" s="1">
        <v>185.3</v>
      </c>
      <c r="G1052" s="1">
        <v>20000</v>
      </c>
      <c r="H1052" s="5">
        <f t="shared" ref="H1052:H1115" si="34">D1052-G1052</f>
        <v>0</v>
      </c>
      <c r="I1052" s="6"/>
      <c r="J1052" s="43"/>
      <c r="K1052" s="51"/>
      <c r="L1052" s="86"/>
    </row>
    <row r="1053" spans="1:12" ht="15" x14ac:dyDescent="0.25">
      <c r="A1053" s="1">
        <v>1044</v>
      </c>
      <c r="B1053" s="1" t="s">
        <v>156</v>
      </c>
      <c r="C1053" s="32">
        <v>2246</v>
      </c>
      <c r="D1053" s="1">
        <v>14000</v>
      </c>
      <c r="E1053" s="1"/>
      <c r="F1053" s="1">
        <v>156.15</v>
      </c>
      <c r="G1053" s="1">
        <v>14000</v>
      </c>
      <c r="H1053" s="5">
        <f t="shared" si="34"/>
        <v>0</v>
      </c>
      <c r="I1053" s="6"/>
      <c r="J1053" s="43"/>
      <c r="K1053" s="51"/>
      <c r="L1053" s="86"/>
    </row>
    <row r="1054" spans="1:12" ht="15" x14ac:dyDescent="0.25">
      <c r="A1054" s="1">
        <v>1045</v>
      </c>
      <c r="B1054" s="1" t="s">
        <v>156</v>
      </c>
      <c r="C1054" s="32">
        <v>5943</v>
      </c>
      <c r="D1054" s="1">
        <v>33000</v>
      </c>
      <c r="E1054" s="1"/>
      <c r="F1054" s="1">
        <v>356.91</v>
      </c>
      <c r="G1054" s="1">
        <v>33000</v>
      </c>
      <c r="H1054" s="5">
        <f t="shared" si="34"/>
        <v>0</v>
      </c>
      <c r="I1054" s="6"/>
      <c r="J1054" s="43"/>
      <c r="K1054" s="51"/>
      <c r="L1054" s="86">
        <f>1809636-1802401</f>
        <v>7235</v>
      </c>
    </row>
    <row r="1055" spans="1:12" ht="15" x14ac:dyDescent="0.25">
      <c r="A1055" s="1">
        <v>1046</v>
      </c>
      <c r="B1055" s="1" t="s">
        <v>157</v>
      </c>
      <c r="C1055" s="32">
        <v>323</v>
      </c>
      <c r="D1055" s="1">
        <v>1500</v>
      </c>
      <c r="E1055" s="1"/>
      <c r="F1055" s="1">
        <v>167.3</v>
      </c>
      <c r="G1055" s="1">
        <v>1500</v>
      </c>
      <c r="H1055" s="5">
        <f t="shared" si="34"/>
        <v>0</v>
      </c>
      <c r="I1055" s="6"/>
      <c r="J1055" s="43"/>
      <c r="K1055" s="51"/>
      <c r="L1055" s="86"/>
    </row>
    <row r="1056" spans="1:12" ht="15" x14ac:dyDescent="0.25">
      <c r="A1056" s="1">
        <v>1047</v>
      </c>
      <c r="B1056" s="1" t="s">
        <v>157</v>
      </c>
      <c r="C1056" s="32">
        <v>7272</v>
      </c>
      <c r="D1056" s="1">
        <v>13000</v>
      </c>
      <c r="E1056" s="1"/>
      <c r="F1056" s="1">
        <v>144.99</v>
      </c>
      <c r="G1056" s="1">
        <v>13000</v>
      </c>
      <c r="H1056" s="5">
        <f t="shared" si="34"/>
        <v>0</v>
      </c>
      <c r="I1056" s="6"/>
      <c r="J1056" s="43"/>
      <c r="K1056" s="51"/>
      <c r="L1056" s="86"/>
    </row>
    <row r="1057" spans="1:12" ht="15" x14ac:dyDescent="0.25">
      <c r="A1057" s="1">
        <v>1048</v>
      </c>
      <c r="B1057" s="1" t="s">
        <v>157</v>
      </c>
      <c r="C1057" s="32">
        <v>5280</v>
      </c>
      <c r="D1057" s="1">
        <v>13000</v>
      </c>
      <c r="E1057" s="1"/>
      <c r="F1057" s="1">
        <v>144.99</v>
      </c>
      <c r="G1057" s="1">
        <v>13000</v>
      </c>
      <c r="H1057" s="5">
        <f t="shared" si="34"/>
        <v>0</v>
      </c>
      <c r="I1057" s="6"/>
      <c r="J1057" s="43"/>
      <c r="K1057" s="51"/>
      <c r="L1057" s="86"/>
    </row>
    <row r="1058" spans="1:12" ht="15" x14ac:dyDescent="0.25">
      <c r="A1058" s="1">
        <v>1049</v>
      </c>
      <c r="B1058" s="1" t="s">
        <v>157</v>
      </c>
      <c r="C1058" s="32">
        <v>5952</v>
      </c>
      <c r="D1058" s="1">
        <v>13000</v>
      </c>
      <c r="E1058" s="1"/>
      <c r="F1058" s="1">
        <v>144.99</v>
      </c>
      <c r="G1058" s="1">
        <v>13000</v>
      </c>
      <c r="H1058" s="5">
        <f t="shared" si="34"/>
        <v>0</v>
      </c>
      <c r="I1058" s="6"/>
      <c r="J1058" s="43"/>
      <c r="K1058" s="51"/>
      <c r="L1058" s="86"/>
    </row>
    <row r="1059" spans="1:12" ht="15" x14ac:dyDescent="0.25">
      <c r="A1059" s="1">
        <v>1050</v>
      </c>
      <c r="B1059" s="1" t="s">
        <v>157</v>
      </c>
      <c r="C1059" s="32" t="s">
        <v>61</v>
      </c>
      <c r="D1059" s="1">
        <v>5000</v>
      </c>
      <c r="E1059" s="1"/>
      <c r="F1059" s="1">
        <v>55.77</v>
      </c>
      <c r="G1059" s="1">
        <v>5000</v>
      </c>
      <c r="H1059" s="5">
        <f t="shared" si="34"/>
        <v>0</v>
      </c>
      <c r="I1059" s="6"/>
      <c r="J1059" s="43"/>
      <c r="K1059" s="51"/>
      <c r="L1059" s="86"/>
    </row>
    <row r="1060" spans="1:12" ht="15" x14ac:dyDescent="0.25">
      <c r="A1060" s="1">
        <v>1051</v>
      </c>
      <c r="B1060" s="1" t="s">
        <v>157</v>
      </c>
      <c r="C1060" s="32">
        <v>4791</v>
      </c>
      <c r="D1060" s="1">
        <v>13000</v>
      </c>
      <c r="E1060" s="1"/>
      <c r="F1060" s="1">
        <v>144.99</v>
      </c>
      <c r="G1060" s="1">
        <v>13000</v>
      </c>
      <c r="H1060" s="5">
        <f t="shared" si="34"/>
        <v>0</v>
      </c>
      <c r="I1060" s="6"/>
      <c r="J1060" s="43"/>
      <c r="K1060" s="51"/>
      <c r="L1060" s="86"/>
    </row>
    <row r="1061" spans="1:12" ht="15" x14ac:dyDescent="0.25">
      <c r="A1061" s="1">
        <v>1052</v>
      </c>
      <c r="B1061" s="1" t="s">
        <v>157</v>
      </c>
      <c r="C1061" s="32" t="s">
        <v>66</v>
      </c>
      <c r="D1061" s="1">
        <v>200</v>
      </c>
      <c r="E1061" s="1"/>
      <c r="F1061" s="1">
        <v>2.08</v>
      </c>
      <c r="G1061" s="1">
        <v>200</v>
      </c>
      <c r="H1061" s="5">
        <f t="shared" si="34"/>
        <v>0</v>
      </c>
      <c r="I1061" s="6"/>
      <c r="J1061" s="43"/>
      <c r="K1061" s="51"/>
      <c r="L1061" s="86"/>
    </row>
    <row r="1062" spans="1:12" ht="15" x14ac:dyDescent="0.25">
      <c r="A1062" s="1">
        <v>1053</v>
      </c>
      <c r="B1062" s="1" t="s">
        <v>157</v>
      </c>
      <c r="C1062" s="32">
        <v>1884</v>
      </c>
      <c r="D1062" s="1">
        <v>19000</v>
      </c>
      <c r="E1062" s="1"/>
      <c r="F1062" s="1">
        <v>211.91</v>
      </c>
      <c r="G1062" s="1">
        <v>19000</v>
      </c>
      <c r="H1062" s="5">
        <f t="shared" si="34"/>
        <v>0</v>
      </c>
      <c r="I1062" s="6"/>
      <c r="J1062" s="43"/>
      <c r="K1062" s="51"/>
      <c r="L1062" s="86"/>
    </row>
    <row r="1063" spans="1:12" ht="15" x14ac:dyDescent="0.25">
      <c r="A1063" s="1">
        <v>1054</v>
      </c>
      <c r="B1063" s="1" t="s">
        <v>157</v>
      </c>
      <c r="C1063" s="32">
        <v>1162</v>
      </c>
      <c r="D1063" s="1">
        <v>14000</v>
      </c>
      <c r="E1063" s="1"/>
      <c r="F1063" s="1">
        <v>156.15</v>
      </c>
      <c r="G1063" s="1">
        <v>14000</v>
      </c>
      <c r="H1063" s="5">
        <f t="shared" si="34"/>
        <v>0</v>
      </c>
      <c r="I1063" s="6"/>
      <c r="J1063" s="43"/>
      <c r="K1063" s="51"/>
      <c r="L1063" s="86"/>
    </row>
    <row r="1064" spans="1:12" ht="15" x14ac:dyDescent="0.25">
      <c r="A1064" s="1">
        <v>1055</v>
      </c>
      <c r="B1064" s="1" t="s">
        <v>157</v>
      </c>
      <c r="C1064" s="32">
        <v>7073</v>
      </c>
      <c r="D1064" s="1">
        <v>12000</v>
      </c>
      <c r="E1064" s="1"/>
      <c r="F1064" s="1">
        <v>133.84</v>
      </c>
      <c r="G1064" s="1">
        <v>12000</v>
      </c>
      <c r="H1064" s="5">
        <f t="shared" si="34"/>
        <v>0</v>
      </c>
      <c r="I1064" s="6"/>
      <c r="J1064" s="43"/>
      <c r="K1064" s="51"/>
      <c r="L1064" s="86"/>
    </row>
    <row r="1065" spans="1:12" ht="15" x14ac:dyDescent="0.25">
      <c r="A1065" s="1">
        <v>1056</v>
      </c>
      <c r="B1065" s="1" t="s">
        <v>157</v>
      </c>
      <c r="C1065" s="32">
        <v>5324</v>
      </c>
      <c r="D1065" s="1">
        <v>10000</v>
      </c>
      <c r="E1065" s="1"/>
      <c r="F1065" s="1">
        <v>111.53</v>
      </c>
      <c r="G1065" s="1">
        <v>10000</v>
      </c>
      <c r="H1065" s="5">
        <f t="shared" si="34"/>
        <v>0</v>
      </c>
      <c r="I1065" s="6"/>
      <c r="J1065" s="43"/>
      <c r="K1065" s="51"/>
      <c r="L1065" s="86"/>
    </row>
    <row r="1066" spans="1:12" ht="15" x14ac:dyDescent="0.25">
      <c r="A1066" s="1">
        <v>1057</v>
      </c>
      <c r="B1066" s="1" t="s">
        <v>157</v>
      </c>
      <c r="C1066" s="32">
        <v>2056</v>
      </c>
      <c r="D1066" s="1">
        <v>18000</v>
      </c>
      <c r="E1066" s="1"/>
      <c r="F1066" s="1">
        <v>200.76</v>
      </c>
      <c r="G1066" s="1">
        <v>18000</v>
      </c>
      <c r="H1066" s="5">
        <f t="shared" si="34"/>
        <v>0</v>
      </c>
      <c r="I1066" s="6"/>
      <c r="J1066" s="43"/>
      <c r="K1066" s="51"/>
      <c r="L1066" s="86"/>
    </row>
    <row r="1067" spans="1:12" ht="15" x14ac:dyDescent="0.25">
      <c r="A1067" s="1">
        <v>1058</v>
      </c>
      <c r="B1067" s="1" t="s">
        <v>157</v>
      </c>
      <c r="C1067" s="32">
        <v>3983</v>
      </c>
      <c r="D1067" s="1">
        <v>13000</v>
      </c>
      <c r="E1067" s="1"/>
      <c r="F1067" s="1">
        <v>144.09</v>
      </c>
      <c r="G1067" s="1">
        <v>13000</v>
      </c>
      <c r="H1067" s="5">
        <f t="shared" si="34"/>
        <v>0</v>
      </c>
      <c r="I1067" s="6"/>
      <c r="J1067" s="43"/>
      <c r="K1067" s="51"/>
      <c r="L1067" s="86"/>
    </row>
    <row r="1068" spans="1:12" ht="15" x14ac:dyDescent="0.25">
      <c r="A1068" s="1">
        <v>1059</v>
      </c>
      <c r="B1068" s="1" t="s">
        <v>157</v>
      </c>
      <c r="C1068" s="32">
        <v>209</v>
      </c>
      <c r="D1068" s="1">
        <v>13600</v>
      </c>
      <c r="E1068" s="1"/>
      <c r="F1068" s="1">
        <v>157.63</v>
      </c>
      <c r="G1068" s="1">
        <v>13600</v>
      </c>
      <c r="H1068" s="5">
        <f t="shared" si="34"/>
        <v>0</v>
      </c>
      <c r="I1068" s="6"/>
      <c r="J1068" s="43"/>
      <c r="K1068" s="51"/>
      <c r="L1068" s="86"/>
    </row>
    <row r="1069" spans="1:12" ht="15" x14ac:dyDescent="0.25">
      <c r="A1069" s="1">
        <v>1060</v>
      </c>
      <c r="B1069" s="1" t="s">
        <v>157</v>
      </c>
      <c r="C1069" s="32">
        <v>7347</v>
      </c>
      <c r="D1069" s="1">
        <v>20000</v>
      </c>
      <c r="E1069" s="1"/>
      <c r="F1069" s="1">
        <v>196.31</v>
      </c>
      <c r="G1069" s="1">
        <v>20000</v>
      </c>
      <c r="H1069" s="5">
        <f t="shared" si="34"/>
        <v>0</v>
      </c>
      <c r="I1069" s="6"/>
      <c r="J1069" s="43"/>
      <c r="K1069" s="51"/>
      <c r="L1069" s="86"/>
    </row>
    <row r="1070" spans="1:12" ht="15" x14ac:dyDescent="0.25">
      <c r="A1070" s="1">
        <v>1061</v>
      </c>
      <c r="B1070" s="1" t="s">
        <v>157</v>
      </c>
      <c r="C1070" s="32">
        <v>6805</v>
      </c>
      <c r="D1070" s="1">
        <v>35000</v>
      </c>
      <c r="E1070" s="1"/>
      <c r="F1070" s="1">
        <v>352.46</v>
      </c>
      <c r="G1070" s="1">
        <v>35000</v>
      </c>
      <c r="H1070" s="5">
        <f t="shared" si="34"/>
        <v>0</v>
      </c>
      <c r="I1070" s="6"/>
      <c r="J1070" s="43"/>
      <c r="K1070" s="51"/>
      <c r="L1070" s="86"/>
    </row>
    <row r="1071" spans="1:12" ht="15" x14ac:dyDescent="0.25">
      <c r="A1071" s="1">
        <v>1062</v>
      </c>
      <c r="B1071" s="1" t="s">
        <v>157</v>
      </c>
      <c r="C1071" s="32">
        <v>6205</v>
      </c>
      <c r="D1071" s="1">
        <v>35000</v>
      </c>
      <c r="E1071" s="1"/>
      <c r="F1071" s="1">
        <v>352.46</v>
      </c>
      <c r="G1071" s="1">
        <v>35000</v>
      </c>
      <c r="H1071" s="5">
        <f t="shared" si="34"/>
        <v>0</v>
      </c>
      <c r="I1071" s="6"/>
      <c r="J1071" s="43"/>
      <c r="K1071" s="51"/>
      <c r="L1071" s="86"/>
    </row>
    <row r="1072" spans="1:12" ht="15" x14ac:dyDescent="0.25">
      <c r="A1072" s="1">
        <v>1063</v>
      </c>
      <c r="B1072" s="1" t="s">
        <v>157</v>
      </c>
      <c r="C1072" s="32">
        <v>4655</v>
      </c>
      <c r="D1072" s="1">
        <v>25000</v>
      </c>
      <c r="E1072" s="1"/>
      <c r="F1072" s="1">
        <v>253.17</v>
      </c>
      <c r="G1072" s="1">
        <v>25000</v>
      </c>
      <c r="H1072" s="5">
        <f t="shared" si="34"/>
        <v>0</v>
      </c>
      <c r="I1072" s="6"/>
      <c r="J1072" s="43"/>
      <c r="K1072" s="51"/>
      <c r="L1072" s="86"/>
    </row>
    <row r="1073" spans="1:12" ht="15" x14ac:dyDescent="0.25">
      <c r="A1073" s="1">
        <v>1064</v>
      </c>
      <c r="B1073" s="1" t="s">
        <v>157</v>
      </c>
      <c r="C1073" s="32">
        <v>3775</v>
      </c>
      <c r="D1073" s="1">
        <v>30000</v>
      </c>
      <c r="E1073" s="1"/>
      <c r="F1073" s="1">
        <v>280.62</v>
      </c>
      <c r="G1073" s="1">
        <v>30000</v>
      </c>
      <c r="H1073" s="5">
        <f t="shared" si="34"/>
        <v>0</v>
      </c>
      <c r="I1073" s="6"/>
      <c r="J1073" s="43"/>
      <c r="K1073" s="51"/>
      <c r="L1073" s="86"/>
    </row>
    <row r="1074" spans="1:12" ht="15" x14ac:dyDescent="0.25">
      <c r="A1074" s="1">
        <v>1065</v>
      </c>
      <c r="B1074" s="1" t="s">
        <v>157</v>
      </c>
      <c r="C1074" s="32">
        <v>2447</v>
      </c>
      <c r="D1074" s="1">
        <v>28000</v>
      </c>
      <c r="E1074" s="1"/>
      <c r="F1074" s="1">
        <v>312.29000000000002</v>
      </c>
      <c r="G1074" s="1">
        <v>28000</v>
      </c>
      <c r="H1074" s="5">
        <f t="shared" si="34"/>
        <v>0</v>
      </c>
      <c r="I1074" s="6"/>
      <c r="J1074" s="43"/>
      <c r="K1074" s="51"/>
      <c r="L1074" s="86"/>
    </row>
    <row r="1075" spans="1:12" ht="15" x14ac:dyDescent="0.25">
      <c r="A1075" s="1">
        <v>1066</v>
      </c>
      <c r="B1075" s="1" t="s">
        <v>157</v>
      </c>
      <c r="C1075" s="32">
        <v>8671</v>
      </c>
      <c r="D1075" s="1">
        <v>25000</v>
      </c>
      <c r="E1075" s="1"/>
      <c r="F1075" s="1">
        <v>253.17</v>
      </c>
      <c r="G1075" s="1">
        <v>25000</v>
      </c>
      <c r="H1075" s="5">
        <f t="shared" si="34"/>
        <v>0</v>
      </c>
      <c r="I1075" s="6"/>
      <c r="J1075" s="43"/>
      <c r="K1075" s="51"/>
      <c r="L1075" s="86"/>
    </row>
    <row r="1076" spans="1:12" ht="15" x14ac:dyDescent="0.25">
      <c r="A1076" s="1">
        <v>1067</v>
      </c>
      <c r="B1076" s="1" t="s">
        <v>157</v>
      </c>
      <c r="C1076" s="32">
        <v>5281</v>
      </c>
      <c r="D1076" s="1">
        <v>13000</v>
      </c>
      <c r="E1076" s="1"/>
      <c r="F1076" s="1">
        <v>144.09</v>
      </c>
      <c r="G1076" s="1">
        <v>13000</v>
      </c>
      <c r="H1076" s="5">
        <f t="shared" si="34"/>
        <v>0</v>
      </c>
      <c r="I1076" s="6"/>
      <c r="J1076" s="43"/>
      <c r="K1076" s="51"/>
      <c r="L1076" s="86">
        <f>1985201-1973434</f>
        <v>11767</v>
      </c>
    </row>
    <row r="1077" spans="1:12" ht="15" x14ac:dyDescent="0.25">
      <c r="A1077" s="1">
        <v>1068</v>
      </c>
      <c r="B1077" s="1" t="s">
        <v>159</v>
      </c>
      <c r="C1077" s="32">
        <v>511</v>
      </c>
      <c r="D1077" s="1">
        <v>30000</v>
      </c>
      <c r="E1077" s="1"/>
      <c r="F1077" s="1">
        <v>280.62</v>
      </c>
      <c r="G1077" s="1">
        <v>30000</v>
      </c>
      <c r="H1077" s="5">
        <f t="shared" si="34"/>
        <v>0</v>
      </c>
      <c r="I1077" s="6"/>
      <c r="J1077" s="43"/>
      <c r="K1077" s="51"/>
      <c r="L1077" s="86"/>
    </row>
    <row r="1078" spans="1:12" ht="15" x14ac:dyDescent="0.25">
      <c r="A1078" s="1">
        <v>1069</v>
      </c>
      <c r="B1078" s="1" t="s">
        <v>159</v>
      </c>
      <c r="C1078" s="32" t="s">
        <v>30</v>
      </c>
      <c r="D1078" s="1">
        <v>3500</v>
      </c>
      <c r="E1078" s="1"/>
      <c r="F1078" s="1">
        <v>39.24</v>
      </c>
      <c r="G1078" s="1">
        <v>3500</v>
      </c>
      <c r="H1078" s="5">
        <f t="shared" si="34"/>
        <v>0</v>
      </c>
      <c r="I1078" s="6"/>
      <c r="J1078" s="43"/>
      <c r="K1078" s="51"/>
      <c r="L1078" s="86"/>
    </row>
    <row r="1079" spans="1:12" ht="15" x14ac:dyDescent="0.25">
      <c r="A1079" s="1">
        <v>1070</v>
      </c>
      <c r="B1079" s="1" t="s">
        <v>159</v>
      </c>
      <c r="C1079" s="32">
        <v>4326</v>
      </c>
      <c r="D1079" s="1">
        <v>15000</v>
      </c>
      <c r="E1079" s="1"/>
      <c r="F1079" s="1">
        <v>167.3</v>
      </c>
      <c r="G1079" s="1">
        <v>15000</v>
      </c>
      <c r="H1079" s="5">
        <f t="shared" si="34"/>
        <v>0</v>
      </c>
      <c r="I1079" s="6"/>
      <c r="J1079" s="43"/>
      <c r="K1079" s="51"/>
      <c r="L1079" s="86"/>
    </row>
    <row r="1080" spans="1:12" ht="15" x14ac:dyDescent="0.25">
      <c r="A1080" s="1">
        <v>1071</v>
      </c>
      <c r="B1080" s="1" t="s">
        <v>159</v>
      </c>
      <c r="C1080" s="32">
        <v>2526</v>
      </c>
      <c r="D1080" s="1">
        <v>16000</v>
      </c>
      <c r="E1080" s="1"/>
      <c r="F1080" s="1">
        <v>178</v>
      </c>
      <c r="G1080" s="1">
        <v>16000</v>
      </c>
      <c r="H1080" s="5">
        <f t="shared" si="34"/>
        <v>0</v>
      </c>
      <c r="I1080" s="6"/>
      <c r="J1080" s="43"/>
      <c r="K1080" s="51"/>
      <c r="L1080" s="86"/>
    </row>
    <row r="1081" spans="1:12" ht="15" x14ac:dyDescent="0.25">
      <c r="A1081" s="1">
        <v>1072</v>
      </c>
      <c r="B1081" s="1" t="s">
        <v>159</v>
      </c>
      <c r="C1081" s="32">
        <v>9050</v>
      </c>
      <c r="D1081" s="1">
        <v>13000</v>
      </c>
      <c r="E1081" s="1"/>
      <c r="F1081" s="1">
        <v>144.99</v>
      </c>
      <c r="G1081" s="1">
        <v>13000</v>
      </c>
      <c r="H1081" s="5">
        <f t="shared" si="34"/>
        <v>0</v>
      </c>
      <c r="I1081" s="6"/>
      <c r="J1081" s="43"/>
      <c r="K1081" s="51"/>
      <c r="L1081" s="86"/>
    </row>
    <row r="1082" spans="1:12" ht="15" x14ac:dyDescent="0.25">
      <c r="A1082" s="1">
        <v>1073</v>
      </c>
      <c r="B1082" s="1" t="s">
        <v>159</v>
      </c>
      <c r="C1082" s="32">
        <v>7385</v>
      </c>
      <c r="D1082" s="1">
        <v>15000</v>
      </c>
      <c r="E1082" s="1"/>
      <c r="F1082" s="1">
        <v>167.3</v>
      </c>
      <c r="G1082" s="1">
        <v>15000</v>
      </c>
      <c r="H1082" s="5">
        <f t="shared" si="34"/>
        <v>0</v>
      </c>
      <c r="I1082" s="6"/>
      <c r="J1082" s="43"/>
      <c r="K1082" s="51"/>
      <c r="L1082" s="86"/>
    </row>
    <row r="1083" spans="1:12" ht="15" x14ac:dyDescent="0.25">
      <c r="A1083" s="1">
        <v>1074</v>
      </c>
      <c r="B1083" s="1" t="s">
        <v>159</v>
      </c>
      <c r="C1083" s="32">
        <v>5065</v>
      </c>
      <c r="D1083" s="1">
        <v>5000</v>
      </c>
      <c r="E1083" s="1"/>
      <c r="F1083" s="1">
        <v>55.77</v>
      </c>
      <c r="G1083" s="1">
        <v>5000</v>
      </c>
      <c r="H1083" s="5">
        <f t="shared" si="34"/>
        <v>0</v>
      </c>
      <c r="I1083" s="6"/>
      <c r="J1083" s="43"/>
      <c r="K1083" s="51"/>
      <c r="L1083" s="86"/>
    </row>
    <row r="1084" spans="1:12" ht="15" x14ac:dyDescent="0.25">
      <c r="A1084" s="1">
        <v>1075</v>
      </c>
      <c r="B1084" s="1" t="s">
        <v>159</v>
      </c>
      <c r="C1084" s="32">
        <v>1352</v>
      </c>
      <c r="D1084" s="1">
        <v>13000</v>
      </c>
      <c r="E1084" s="1"/>
      <c r="F1084" s="1">
        <v>144.99</v>
      </c>
      <c r="G1084" s="1">
        <v>13000</v>
      </c>
      <c r="H1084" s="5">
        <f t="shared" si="34"/>
        <v>0</v>
      </c>
      <c r="I1084" s="6"/>
      <c r="J1084" s="43"/>
      <c r="K1084" s="51"/>
      <c r="L1084" s="86"/>
    </row>
    <row r="1085" spans="1:12" ht="15" x14ac:dyDescent="0.25">
      <c r="A1085" s="1">
        <v>1076</v>
      </c>
      <c r="B1085" s="1" t="s">
        <v>159</v>
      </c>
      <c r="C1085" s="32">
        <v>1097</v>
      </c>
      <c r="D1085" s="1">
        <v>15000</v>
      </c>
      <c r="E1085" s="1"/>
      <c r="F1085" s="1">
        <v>167.3</v>
      </c>
      <c r="G1085" s="1">
        <v>15000</v>
      </c>
      <c r="H1085" s="5">
        <f t="shared" si="34"/>
        <v>0</v>
      </c>
      <c r="I1085" s="6"/>
      <c r="J1085" s="43"/>
      <c r="K1085" s="51"/>
      <c r="L1085" s="86"/>
    </row>
    <row r="1086" spans="1:12" ht="15" x14ac:dyDescent="0.25">
      <c r="A1086" s="1">
        <v>1077</v>
      </c>
      <c r="B1086" s="1" t="s">
        <v>159</v>
      </c>
      <c r="C1086" s="32" t="s">
        <v>61</v>
      </c>
      <c r="D1086" s="1">
        <v>4500</v>
      </c>
      <c r="E1086" s="1"/>
      <c r="F1086" s="1">
        <v>50.19</v>
      </c>
      <c r="G1086" s="1">
        <v>4500</v>
      </c>
      <c r="H1086" s="5">
        <f t="shared" si="34"/>
        <v>0</v>
      </c>
      <c r="I1086" s="6"/>
      <c r="J1086" s="43"/>
      <c r="K1086" s="51"/>
      <c r="L1086" s="86"/>
    </row>
    <row r="1087" spans="1:12" ht="15" x14ac:dyDescent="0.25">
      <c r="A1087" s="1">
        <v>1078</v>
      </c>
      <c r="B1087" s="1" t="s">
        <v>159</v>
      </c>
      <c r="C1087" s="32">
        <v>8526</v>
      </c>
      <c r="D1087" s="1">
        <v>13000</v>
      </c>
      <c r="E1087" s="1"/>
      <c r="F1087" s="1">
        <v>144.99</v>
      </c>
      <c r="G1087" s="1">
        <v>13000</v>
      </c>
      <c r="H1087" s="5">
        <f t="shared" si="34"/>
        <v>0</v>
      </c>
      <c r="I1087" s="6"/>
      <c r="J1087" s="43"/>
      <c r="K1087" s="51"/>
      <c r="L1087" s="86"/>
    </row>
    <row r="1088" spans="1:12" ht="15" x14ac:dyDescent="0.25">
      <c r="A1088" s="1">
        <v>1079</v>
      </c>
      <c r="B1088" s="1" t="s">
        <v>159</v>
      </c>
      <c r="C1088" s="32">
        <v>3005</v>
      </c>
      <c r="D1088" s="1">
        <v>12000</v>
      </c>
      <c r="E1088" s="1"/>
      <c r="F1088" s="1">
        <v>133.84</v>
      </c>
      <c r="G1088" s="1">
        <v>12000</v>
      </c>
      <c r="H1088" s="5">
        <f t="shared" si="34"/>
        <v>0</v>
      </c>
      <c r="I1088" s="6"/>
      <c r="J1088" s="43"/>
      <c r="K1088" s="51"/>
      <c r="L1088" s="86"/>
    </row>
    <row r="1089" spans="1:13" ht="15" x14ac:dyDescent="0.25">
      <c r="A1089" s="1">
        <v>1080</v>
      </c>
      <c r="B1089" s="1" t="s">
        <v>159</v>
      </c>
      <c r="C1089" s="32">
        <v>9363</v>
      </c>
      <c r="D1089" s="1">
        <v>30000</v>
      </c>
      <c r="E1089" s="1"/>
      <c r="F1089" s="1">
        <v>289.98</v>
      </c>
      <c r="G1089" s="1">
        <v>30000</v>
      </c>
      <c r="H1089" s="5">
        <f t="shared" si="34"/>
        <v>0</v>
      </c>
      <c r="I1089" s="6"/>
      <c r="J1089" s="43"/>
      <c r="K1089" s="51"/>
      <c r="L1089" s="86"/>
    </row>
    <row r="1090" spans="1:13" ht="15" x14ac:dyDescent="0.25">
      <c r="A1090" s="1">
        <v>1081</v>
      </c>
      <c r="B1090" s="1" t="s">
        <v>159</v>
      </c>
      <c r="C1090" s="32">
        <v>2703</v>
      </c>
      <c r="D1090" s="1">
        <v>23000</v>
      </c>
      <c r="E1090" s="1"/>
      <c r="F1090" s="1">
        <v>249.78</v>
      </c>
      <c r="G1090" s="1">
        <v>23000</v>
      </c>
      <c r="H1090" s="5">
        <f t="shared" si="34"/>
        <v>0</v>
      </c>
      <c r="I1090" s="6"/>
      <c r="J1090" s="43"/>
      <c r="K1090" s="51"/>
      <c r="L1090" s="86"/>
    </row>
    <row r="1091" spans="1:13" ht="15" x14ac:dyDescent="0.25">
      <c r="A1091" s="1">
        <v>1082</v>
      </c>
      <c r="B1091" s="1" t="s">
        <v>159</v>
      </c>
      <c r="C1091" s="32">
        <v>1051</v>
      </c>
      <c r="D1091" s="1">
        <v>25000</v>
      </c>
      <c r="E1091" s="1"/>
      <c r="F1091" s="1">
        <v>252.06</v>
      </c>
      <c r="G1091" s="1">
        <v>25000</v>
      </c>
      <c r="H1091" s="5">
        <f t="shared" si="34"/>
        <v>0</v>
      </c>
      <c r="I1091" s="6"/>
      <c r="J1091" s="43"/>
      <c r="K1091" s="51"/>
      <c r="L1091" s="86"/>
    </row>
    <row r="1092" spans="1:13" ht="15" x14ac:dyDescent="0.25">
      <c r="A1092" s="1">
        <v>1083</v>
      </c>
      <c r="B1092" s="1" t="s">
        <v>159</v>
      </c>
      <c r="C1092" s="32">
        <v>9436</v>
      </c>
      <c r="D1092" s="1">
        <v>20000</v>
      </c>
      <c r="E1092" s="1"/>
      <c r="F1092" s="1">
        <v>223.06</v>
      </c>
      <c r="G1092" s="1">
        <v>20000</v>
      </c>
      <c r="H1092" s="5">
        <f t="shared" si="34"/>
        <v>0</v>
      </c>
      <c r="I1092" s="6"/>
      <c r="J1092" s="43"/>
      <c r="K1092" s="51"/>
      <c r="L1092" s="86"/>
    </row>
    <row r="1093" spans="1:13" ht="15" x14ac:dyDescent="0.25">
      <c r="A1093" s="1">
        <v>1084</v>
      </c>
      <c r="B1093" s="1" t="s">
        <v>159</v>
      </c>
      <c r="C1093" s="32">
        <v>5714</v>
      </c>
      <c r="D1093" s="1">
        <v>22000</v>
      </c>
      <c r="E1093" s="1"/>
      <c r="F1093" s="1">
        <v>245.37</v>
      </c>
      <c r="G1093" s="1">
        <v>22000</v>
      </c>
      <c r="H1093" s="5">
        <f t="shared" si="34"/>
        <v>0</v>
      </c>
      <c r="I1093" s="6"/>
      <c r="J1093" s="43"/>
      <c r="K1093" s="51"/>
      <c r="L1093" s="86"/>
    </row>
    <row r="1094" spans="1:13" ht="15" x14ac:dyDescent="0.25">
      <c r="A1094" s="1">
        <v>1085</v>
      </c>
      <c r="B1094" s="1" t="s">
        <v>159</v>
      </c>
      <c r="C1094" s="32">
        <v>5080</v>
      </c>
      <c r="D1094" s="1">
        <v>25000</v>
      </c>
      <c r="E1094" s="1"/>
      <c r="F1094" s="1">
        <v>273.26</v>
      </c>
      <c r="G1094" s="1">
        <v>25000</v>
      </c>
      <c r="H1094" s="5">
        <f t="shared" si="34"/>
        <v>0</v>
      </c>
      <c r="I1094" s="6"/>
      <c r="J1094" s="43"/>
      <c r="K1094" s="51"/>
      <c r="L1094" s="86"/>
    </row>
    <row r="1095" spans="1:13" ht="15" x14ac:dyDescent="0.25">
      <c r="A1095" s="1">
        <v>1086</v>
      </c>
      <c r="B1095" s="1" t="s">
        <v>159</v>
      </c>
      <c r="C1095" s="32">
        <v>2685</v>
      </c>
      <c r="D1095" s="1">
        <v>20000</v>
      </c>
      <c r="E1095" s="1"/>
      <c r="F1095" s="1">
        <v>223.06</v>
      </c>
      <c r="G1095" s="1">
        <v>20000</v>
      </c>
      <c r="H1095" s="5">
        <f t="shared" si="34"/>
        <v>0</v>
      </c>
      <c r="I1095" s="6"/>
      <c r="J1095" s="43"/>
      <c r="K1095" s="51"/>
      <c r="L1095" s="86">
        <f>2005201-1993434</f>
        <v>11767</v>
      </c>
      <c r="M1095">
        <f>2293434-300000</f>
        <v>1993434</v>
      </c>
    </row>
    <row r="1096" spans="1:13" ht="15" x14ac:dyDescent="0.25">
      <c r="A1096" s="1">
        <v>1087</v>
      </c>
      <c r="B1096" s="1" t="s">
        <v>158</v>
      </c>
      <c r="C1096" s="32">
        <v>7349</v>
      </c>
      <c r="D1096" s="1">
        <v>14000</v>
      </c>
      <c r="E1096" s="1"/>
      <c r="F1096" s="1">
        <v>167.39</v>
      </c>
      <c r="G1096" s="1">
        <v>14000</v>
      </c>
      <c r="H1096" s="5">
        <f t="shared" si="34"/>
        <v>0</v>
      </c>
      <c r="I1096" s="6"/>
      <c r="J1096" s="43"/>
      <c r="K1096" s="51"/>
      <c r="L1096" s="86"/>
    </row>
    <row r="1097" spans="1:13" ht="15" x14ac:dyDescent="0.25">
      <c r="A1097" s="1">
        <v>1088</v>
      </c>
      <c r="B1097" s="1" t="s">
        <v>158</v>
      </c>
      <c r="C1097" s="32">
        <v>2972</v>
      </c>
      <c r="D1097" s="1">
        <v>15000</v>
      </c>
      <c r="E1097" s="1"/>
      <c r="F1097" s="1">
        <v>167.39</v>
      </c>
      <c r="G1097" s="1">
        <v>15000</v>
      </c>
      <c r="H1097" s="5">
        <f t="shared" si="34"/>
        <v>0</v>
      </c>
      <c r="I1097" s="6"/>
      <c r="J1097" s="43"/>
      <c r="K1097" s="51"/>
      <c r="L1097" s="86"/>
    </row>
    <row r="1098" spans="1:13" ht="15" x14ac:dyDescent="0.25">
      <c r="A1098" s="1">
        <v>1089</v>
      </c>
      <c r="B1098" s="1" t="s">
        <v>158</v>
      </c>
      <c r="C1098" s="32">
        <v>4204</v>
      </c>
      <c r="D1098" s="1">
        <v>15000</v>
      </c>
      <c r="E1098" s="1"/>
      <c r="F1098" s="1">
        <v>167.39</v>
      </c>
      <c r="G1098" s="1">
        <v>15000</v>
      </c>
      <c r="H1098" s="5">
        <f t="shared" si="34"/>
        <v>0</v>
      </c>
      <c r="I1098" s="6"/>
      <c r="J1098" s="43"/>
      <c r="K1098" s="51"/>
      <c r="L1098" s="86"/>
    </row>
    <row r="1099" spans="1:13" ht="15" x14ac:dyDescent="0.25">
      <c r="A1099" s="1">
        <v>1090</v>
      </c>
      <c r="B1099" s="1" t="s">
        <v>158</v>
      </c>
      <c r="C1099" s="32">
        <v>9300</v>
      </c>
      <c r="D1099" s="1">
        <v>10000</v>
      </c>
      <c r="E1099" s="1"/>
      <c r="F1099" s="1">
        <v>111.53</v>
      </c>
      <c r="G1099" s="1">
        <v>10000</v>
      </c>
      <c r="H1099" s="5">
        <f t="shared" si="34"/>
        <v>0</v>
      </c>
      <c r="I1099" s="6"/>
      <c r="J1099" s="43"/>
      <c r="K1099" s="51"/>
      <c r="L1099" s="86"/>
    </row>
    <row r="1100" spans="1:13" ht="15" x14ac:dyDescent="0.25">
      <c r="A1100" s="1">
        <v>1091</v>
      </c>
      <c r="B1100" s="1" t="s">
        <v>158</v>
      </c>
      <c r="C1100" s="32">
        <v>1996</v>
      </c>
      <c r="D1100" s="1">
        <v>25000</v>
      </c>
      <c r="E1100" s="1"/>
      <c r="F1100" s="1">
        <v>225.3</v>
      </c>
      <c r="G1100" s="1">
        <v>25000</v>
      </c>
      <c r="H1100" s="5">
        <f t="shared" si="34"/>
        <v>0</v>
      </c>
      <c r="I1100" s="6"/>
      <c r="J1100" s="43"/>
      <c r="K1100" s="51"/>
      <c r="L1100" s="86"/>
    </row>
    <row r="1101" spans="1:13" ht="15" x14ac:dyDescent="0.25">
      <c r="A1101" s="1">
        <v>1092</v>
      </c>
      <c r="B1101" s="1" t="s">
        <v>158</v>
      </c>
      <c r="C1101" s="32" t="s">
        <v>61</v>
      </c>
      <c r="D1101" s="1">
        <v>4500</v>
      </c>
      <c r="E1101" s="1"/>
      <c r="F1101" s="1">
        <v>50.19</v>
      </c>
      <c r="G1101" s="1">
        <v>4500</v>
      </c>
      <c r="H1101" s="5">
        <f t="shared" si="34"/>
        <v>0</v>
      </c>
      <c r="I1101" s="6"/>
      <c r="J1101" s="43"/>
      <c r="K1101" s="51"/>
      <c r="L1101" s="86"/>
    </row>
    <row r="1102" spans="1:13" ht="15" x14ac:dyDescent="0.25">
      <c r="A1102" s="1">
        <v>1093</v>
      </c>
      <c r="B1102" s="1" t="s">
        <v>158</v>
      </c>
      <c r="C1102" s="32">
        <v>1193</v>
      </c>
      <c r="D1102" s="1">
        <v>15000</v>
      </c>
      <c r="E1102" s="1"/>
      <c r="F1102" s="1">
        <v>167.3</v>
      </c>
      <c r="G1102" s="1">
        <v>15000</v>
      </c>
      <c r="H1102" s="5">
        <f t="shared" si="34"/>
        <v>0</v>
      </c>
      <c r="I1102" s="6"/>
      <c r="J1102" s="43"/>
      <c r="K1102" s="51"/>
      <c r="L1102" s="86"/>
    </row>
    <row r="1103" spans="1:13" ht="15" x14ac:dyDescent="0.25">
      <c r="A1103" s="1">
        <v>1094</v>
      </c>
      <c r="B1103" s="1" t="s">
        <v>158</v>
      </c>
      <c r="C1103" s="32">
        <v>5839</v>
      </c>
      <c r="D1103" s="1">
        <v>22000</v>
      </c>
      <c r="E1103" s="1"/>
      <c r="F1103" s="1">
        <v>245.37</v>
      </c>
      <c r="G1103" s="1">
        <v>22000</v>
      </c>
      <c r="H1103" s="5">
        <f t="shared" si="34"/>
        <v>0</v>
      </c>
      <c r="I1103" s="6"/>
      <c r="J1103" s="43"/>
      <c r="K1103" s="51"/>
      <c r="L1103" s="86"/>
    </row>
    <row r="1104" spans="1:13" ht="15" x14ac:dyDescent="0.25">
      <c r="A1104" s="1">
        <v>1095</v>
      </c>
      <c r="B1104" s="1" t="s">
        <v>158</v>
      </c>
      <c r="C1104" s="32">
        <v>1893</v>
      </c>
      <c r="D1104" s="1">
        <v>13000</v>
      </c>
      <c r="E1104" s="1"/>
      <c r="F1104" s="1">
        <v>144.99</v>
      </c>
      <c r="G1104" s="1">
        <v>13000</v>
      </c>
      <c r="H1104" s="5">
        <f t="shared" si="34"/>
        <v>0</v>
      </c>
      <c r="I1104" s="6"/>
      <c r="J1104" s="43"/>
      <c r="K1104" s="51"/>
      <c r="L1104" s="86"/>
    </row>
    <row r="1105" spans="1:12" ht="15" x14ac:dyDescent="0.25">
      <c r="A1105" s="1">
        <v>1096</v>
      </c>
      <c r="B1105" s="1" t="s">
        <v>158</v>
      </c>
      <c r="C1105" s="32">
        <v>1220</v>
      </c>
      <c r="D1105" s="1">
        <v>13000</v>
      </c>
      <c r="E1105" s="1"/>
      <c r="F1105" s="1">
        <v>144.99</v>
      </c>
      <c r="G1105" s="1">
        <v>13000</v>
      </c>
      <c r="H1105" s="5">
        <f t="shared" si="34"/>
        <v>0</v>
      </c>
      <c r="I1105" s="6"/>
      <c r="J1105" s="43"/>
      <c r="K1105" s="51"/>
      <c r="L1105" s="86"/>
    </row>
    <row r="1106" spans="1:12" ht="15" x14ac:dyDescent="0.25">
      <c r="A1106" s="1">
        <v>1097</v>
      </c>
      <c r="B1106" s="1" t="s">
        <v>158</v>
      </c>
      <c r="C1106" s="32">
        <v>386</v>
      </c>
      <c r="D1106" s="1">
        <v>18000</v>
      </c>
      <c r="E1106" s="1"/>
      <c r="F1106" s="1">
        <v>200.76</v>
      </c>
      <c r="G1106" s="1">
        <v>18000</v>
      </c>
      <c r="H1106" s="5">
        <f t="shared" si="34"/>
        <v>0</v>
      </c>
      <c r="I1106" s="6"/>
      <c r="J1106" s="43"/>
      <c r="K1106" s="51"/>
      <c r="L1106" s="86"/>
    </row>
    <row r="1107" spans="1:12" ht="15" x14ac:dyDescent="0.25">
      <c r="A1107" s="1">
        <v>1098</v>
      </c>
      <c r="B1107" s="1" t="s">
        <v>158</v>
      </c>
      <c r="C1107" s="32">
        <v>6711</v>
      </c>
      <c r="D1107" s="1">
        <v>13000</v>
      </c>
      <c r="E1107" s="1"/>
      <c r="F1107" s="1">
        <v>144.99</v>
      </c>
      <c r="G1107" s="1">
        <v>13000</v>
      </c>
      <c r="H1107" s="5">
        <f t="shared" si="34"/>
        <v>0</v>
      </c>
      <c r="I1107" s="6"/>
      <c r="J1107" s="43"/>
      <c r="K1107" s="51"/>
      <c r="L1107" s="86"/>
    </row>
    <row r="1108" spans="1:12" ht="15" x14ac:dyDescent="0.25">
      <c r="A1108" s="1">
        <v>1099</v>
      </c>
      <c r="B1108" s="1" t="s">
        <v>158</v>
      </c>
      <c r="C1108" s="32">
        <v>1290</v>
      </c>
      <c r="D1108" s="1">
        <v>30000</v>
      </c>
      <c r="E1108" s="1"/>
      <c r="F1108" s="1">
        <v>289.98</v>
      </c>
      <c r="G1108" s="1">
        <v>30000</v>
      </c>
      <c r="H1108" s="5">
        <f t="shared" si="34"/>
        <v>0</v>
      </c>
      <c r="I1108" s="6"/>
      <c r="J1108" s="43"/>
      <c r="K1108" s="51"/>
      <c r="L1108" s="86"/>
    </row>
    <row r="1109" spans="1:12" ht="15" x14ac:dyDescent="0.25">
      <c r="A1109" s="1">
        <v>1100</v>
      </c>
      <c r="B1109" s="1" t="s">
        <v>158</v>
      </c>
      <c r="C1109" s="32">
        <v>9539</v>
      </c>
      <c r="D1109" s="1">
        <v>3000</v>
      </c>
      <c r="E1109" s="1"/>
      <c r="F1109" s="1">
        <v>33.46</v>
      </c>
      <c r="G1109" s="1">
        <v>3000</v>
      </c>
      <c r="H1109" s="5">
        <f t="shared" si="34"/>
        <v>0</v>
      </c>
      <c r="I1109" s="6"/>
      <c r="J1109" s="43"/>
      <c r="K1109" s="51"/>
      <c r="L1109" s="86"/>
    </row>
    <row r="1110" spans="1:12" ht="15" x14ac:dyDescent="0.25">
      <c r="A1110" s="1">
        <v>1101</v>
      </c>
      <c r="B1110" s="1" t="s">
        <v>158</v>
      </c>
      <c r="C1110" s="32">
        <v>3150</v>
      </c>
      <c r="D1110" s="1">
        <v>10000</v>
      </c>
      <c r="E1110" s="1"/>
      <c r="F1110" s="1">
        <v>111.53</v>
      </c>
      <c r="G1110" s="1">
        <v>10000</v>
      </c>
      <c r="H1110" s="5">
        <f t="shared" si="34"/>
        <v>0</v>
      </c>
      <c r="I1110" s="6"/>
      <c r="J1110" s="43"/>
      <c r="K1110" s="51"/>
      <c r="L1110" s="86"/>
    </row>
    <row r="1111" spans="1:12" ht="15" x14ac:dyDescent="0.25">
      <c r="A1111" s="1">
        <v>1102</v>
      </c>
      <c r="B1111" s="1" t="s">
        <v>158</v>
      </c>
      <c r="C1111" s="32">
        <v>8443</v>
      </c>
      <c r="D1111" s="1">
        <v>28000</v>
      </c>
      <c r="E1111" s="1"/>
      <c r="F1111" s="1">
        <v>312.29000000000002</v>
      </c>
      <c r="G1111" s="1">
        <v>28000</v>
      </c>
      <c r="H1111" s="5">
        <f t="shared" si="34"/>
        <v>0</v>
      </c>
      <c r="I1111" s="6"/>
      <c r="J1111" s="43"/>
      <c r="K1111" s="51"/>
      <c r="L1111" s="86"/>
    </row>
    <row r="1112" spans="1:12" ht="15" x14ac:dyDescent="0.25">
      <c r="A1112" s="1">
        <v>1103</v>
      </c>
      <c r="B1112" s="1" t="s">
        <v>158</v>
      </c>
      <c r="C1112" s="32">
        <v>3446</v>
      </c>
      <c r="D1112" s="1">
        <v>25000</v>
      </c>
      <c r="E1112" s="1"/>
      <c r="F1112" s="1">
        <v>245.37</v>
      </c>
      <c r="G1112" s="1">
        <v>25000</v>
      </c>
      <c r="H1112" s="5">
        <f t="shared" si="34"/>
        <v>0</v>
      </c>
      <c r="I1112" s="6"/>
      <c r="J1112" s="43"/>
      <c r="K1112" s="51"/>
      <c r="L1112" s="86"/>
    </row>
    <row r="1113" spans="1:12" ht="15" x14ac:dyDescent="0.25">
      <c r="A1113" s="1">
        <v>1104</v>
      </c>
      <c r="B1113" s="1" t="s">
        <v>158</v>
      </c>
      <c r="C1113" s="32">
        <v>6021</v>
      </c>
      <c r="D1113" s="1">
        <v>5000</v>
      </c>
      <c r="E1113" s="1"/>
      <c r="F1113" s="1">
        <v>55.37</v>
      </c>
      <c r="G1113" s="1">
        <v>5000</v>
      </c>
      <c r="H1113" s="5">
        <f t="shared" si="34"/>
        <v>0</v>
      </c>
      <c r="I1113" s="6"/>
      <c r="J1113" s="43"/>
      <c r="K1113" s="51"/>
      <c r="L1113" s="86"/>
    </row>
    <row r="1114" spans="1:12" ht="15" x14ac:dyDescent="0.25">
      <c r="A1114" s="1">
        <v>1105</v>
      </c>
      <c r="B1114" s="1" t="s">
        <v>158</v>
      </c>
      <c r="C1114" s="32">
        <v>4693</v>
      </c>
      <c r="D1114" s="1">
        <v>15000</v>
      </c>
      <c r="E1114" s="1"/>
      <c r="F1114" s="1">
        <v>167.3</v>
      </c>
      <c r="G1114" s="1">
        <v>15000</v>
      </c>
      <c r="H1114" s="5">
        <f t="shared" si="34"/>
        <v>0</v>
      </c>
      <c r="I1114" s="6"/>
      <c r="J1114" s="43"/>
      <c r="K1114" s="51"/>
      <c r="L1114" s="86"/>
    </row>
    <row r="1115" spans="1:12" ht="15" x14ac:dyDescent="0.25">
      <c r="A1115" s="1">
        <v>1106</v>
      </c>
      <c r="B1115" s="1" t="s">
        <v>158</v>
      </c>
      <c r="C1115" s="32">
        <v>3850</v>
      </c>
      <c r="D1115" s="1">
        <v>28000</v>
      </c>
      <c r="E1115" s="1"/>
      <c r="F1115" s="1">
        <v>278.83</v>
      </c>
      <c r="G1115" s="1">
        <v>28000</v>
      </c>
      <c r="H1115" s="5">
        <f t="shared" si="34"/>
        <v>0</v>
      </c>
      <c r="I1115" s="6"/>
      <c r="J1115" s="43"/>
      <c r="K1115" s="51"/>
      <c r="L1115" s="86"/>
    </row>
    <row r="1116" spans="1:12" ht="15" x14ac:dyDescent="0.25">
      <c r="A1116" s="1">
        <v>1107</v>
      </c>
      <c r="B1116" s="1" t="s">
        <v>158</v>
      </c>
      <c r="C1116" s="32">
        <v>5988</v>
      </c>
      <c r="D1116" s="1">
        <v>22000</v>
      </c>
      <c r="E1116" s="1"/>
      <c r="F1116" s="1">
        <v>227.59</v>
      </c>
      <c r="G1116" s="1">
        <v>22000</v>
      </c>
      <c r="H1116" s="5">
        <f t="shared" ref="H1116:H1190" si="35">D1116-G1116</f>
        <v>0</v>
      </c>
      <c r="I1116" s="6"/>
      <c r="J1116" s="43"/>
      <c r="K1116" s="51"/>
      <c r="L1116" s="86"/>
    </row>
    <row r="1117" spans="1:12" ht="15" x14ac:dyDescent="0.25">
      <c r="A1117" s="1">
        <v>1108</v>
      </c>
      <c r="B1117" s="1" t="s">
        <v>158</v>
      </c>
      <c r="C1117" s="32">
        <v>4603</v>
      </c>
      <c r="D1117" s="1">
        <v>15000</v>
      </c>
      <c r="E1117" s="1"/>
      <c r="F1117" s="1">
        <v>167.3</v>
      </c>
      <c r="G1117" s="1">
        <v>15000</v>
      </c>
      <c r="H1117" s="5">
        <f t="shared" si="35"/>
        <v>0</v>
      </c>
      <c r="I1117" s="6"/>
      <c r="J1117" s="43"/>
      <c r="K1117" s="51"/>
      <c r="L1117" s="86"/>
    </row>
    <row r="1118" spans="1:12" ht="15" x14ac:dyDescent="0.25">
      <c r="A1118" s="1">
        <v>1109</v>
      </c>
      <c r="B1118" s="1" t="s">
        <v>160</v>
      </c>
      <c r="C1118" s="32" t="s">
        <v>66</v>
      </c>
      <c r="D1118" s="1">
        <v>100</v>
      </c>
      <c r="E1118" s="1"/>
      <c r="F1118" s="1"/>
      <c r="G1118" s="1">
        <v>100</v>
      </c>
      <c r="H1118" s="5">
        <f t="shared" si="35"/>
        <v>0</v>
      </c>
      <c r="I1118" s="6"/>
      <c r="J1118" s="43"/>
      <c r="K1118" s="51"/>
      <c r="L1118" s="86"/>
    </row>
    <row r="1119" spans="1:12" ht="15" x14ac:dyDescent="0.25">
      <c r="A1119" s="1">
        <v>1110</v>
      </c>
      <c r="B1119" s="1" t="s">
        <v>160</v>
      </c>
      <c r="C1119" s="32" t="s">
        <v>63</v>
      </c>
      <c r="D1119" s="1">
        <v>3500</v>
      </c>
      <c r="E1119" s="1"/>
      <c r="F1119" s="1">
        <v>39.04</v>
      </c>
      <c r="G1119" s="1">
        <v>3500</v>
      </c>
      <c r="H1119" s="5">
        <f t="shared" si="35"/>
        <v>0</v>
      </c>
      <c r="I1119" s="6"/>
      <c r="J1119" s="43"/>
      <c r="K1119" s="51"/>
      <c r="L1119" s="86"/>
    </row>
    <row r="1120" spans="1:12" ht="15" x14ac:dyDescent="0.25">
      <c r="A1120" s="1">
        <v>1111</v>
      </c>
      <c r="B1120" s="1" t="s">
        <v>160</v>
      </c>
      <c r="C1120" s="32">
        <v>1741</v>
      </c>
      <c r="D1120" s="1">
        <v>20000</v>
      </c>
      <c r="E1120" s="1"/>
      <c r="F1120" s="1">
        <v>221.33</v>
      </c>
      <c r="G1120" s="1">
        <v>20000</v>
      </c>
      <c r="H1120" s="5">
        <f t="shared" si="35"/>
        <v>0</v>
      </c>
      <c r="I1120" s="6"/>
      <c r="J1120" s="43"/>
      <c r="K1120" s="51"/>
      <c r="L1120" s="86"/>
    </row>
    <row r="1121" spans="1:12" ht="15" x14ac:dyDescent="0.25">
      <c r="A1121" s="1">
        <v>1112</v>
      </c>
      <c r="B1121" s="1" t="s">
        <v>160</v>
      </c>
      <c r="C1121" s="32">
        <v>4137</v>
      </c>
      <c r="D1121" s="1">
        <v>20000</v>
      </c>
      <c r="E1121" s="1"/>
      <c r="F1121" s="1">
        <v>221.33</v>
      </c>
      <c r="G1121" s="1">
        <v>20000</v>
      </c>
      <c r="H1121" s="5">
        <f t="shared" si="35"/>
        <v>0</v>
      </c>
      <c r="I1121" s="6"/>
      <c r="J1121" s="43"/>
      <c r="K1121" s="51"/>
      <c r="L1121" s="86"/>
    </row>
    <row r="1122" spans="1:12" ht="15" x14ac:dyDescent="0.25">
      <c r="A1122" s="1">
        <v>1113</v>
      </c>
      <c r="B1122" s="1" t="s">
        <v>160</v>
      </c>
      <c r="C1122" s="32">
        <v>5952</v>
      </c>
      <c r="D1122" s="1">
        <v>13000</v>
      </c>
      <c r="E1122" s="1"/>
      <c r="F1122" s="1">
        <v>144.94</v>
      </c>
      <c r="G1122" s="1">
        <v>13000</v>
      </c>
      <c r="H1122" s="5">
        <f t="shared" si="35"/>
        <v>0</v>
      </c>
      <c r="I1122" s="6"/>
      <c r="J1122" s="43"/>
      <c r="K1122" s="51"/>
      <c r="L1122" s="86"/>
    </row>
    <row r="1123" spans="1:12" ht="15" x14ac:dyDescent="0.25">
      <c r="A1123" s="1">
        <v>1114</v>
      </c>
      <c r="B1123" s="1" t="s">
        <v>160</v>
      </c>
      <c r="C1123" s="32">
        <v>4791</v>
      </c>
      <c r="D1123" s="1">
        <v>13000</v>
      </c>
      <c r="E1123" s="1"/>
      <c r="F1123" s="1">
        <v>144.94</v>
      </c>
      <c r="G1123" s="1">
        <v>13000</v>
      </c>
      <c r="H1123" s="5">
        <f t="shared" si="35"/>
        <v>0</v>
      </c>
      <c r="I1123" s="6"/>
      <c r="J1123" s="43"/>
      <c r="K1123" s="51"/>
      <c r="L1123" s="86"/>
    </row>
    <row r="1124" spans="1:12" ht="15" x14ac:dyDescent="0.25">
      <c r="A1124" s="1">
        <v>1115</v>
      </c>
      <c r="B1124" s="1" t="s">
        <v>160</v>
      </c>
      <c r="C1124" s="32">
        <v>5280</v>
      </c>
      <c r="D1124" s="1">
        <v>13000</v>
      </c>
      <c r="E1124" s="1"/>
      <c r="F1124" s="1">
        <v>137.74</v>
      </c>
      <c r="G1124" s="1">
        <v>13000</v>
      </c>
      <c r="H1124" s="5">
        <f t="shared" si="35"/>
        <v>0</v>
      </c>
      <c r="I1124" s="6"/>
      <c r="J1124" s="43"/>
      <c r="K1124" s="51"/>
      <c r="L1124" s="86"/>
    </row>
    <row r="1125" spans="1:12" ht="15" x14ac:dyDescent="0.25">
      <c r="A1125" s="1">
        <v>1116</v>
      </c>
      <c r="B1125" s="1" t="s">
        <v>160</v>
      </c>
      <c r="C1125" s="32">
        <v>3450</v>
      </c>
      <c r="D1125" s="1">
        <v>12500</v>
      </c>
      <c r="E1125" s="1"/>
      <c r="F1125" s="1">
        <v>132.41</v>
      </c>
      <c r="G1125" s="1">
        <v>12500</v>
      </c>
      <c r="H1125" s="5">
        <f t="shared" si="35"/>
        <v>0</v>
      </c>
      <c r="I1125" s="6"/>
      <c r="J1125" s="43"/>
      <c r="K1125" s="51"/>
      <c r="L1125" s="86"/>
    </row>
    <row r="1126" spans="1:12" ht="15" x14ac:dyDescent="0.25">
      <c r="A1126" s="1">
        <v>1117</v>
      </c>
      <c r="B1126" s="1" t="s">
        <v>160</v>
      </c>
      <c r="C1126" s="32">
        <v>5281</v>
      </c>
      <c r="D1126" s="1">
        <v>13000</v>
      </c>
      <c r="E1126" s="1"/>
      <c r="F1126" s="1">
        <v>144.94</v>
      </c>
      <c r="G1126" s="1">
        <v>13000</v>
      </c>
      <c r="H1126" s="5">
        <f t="shared" si="35"/>
        <v>0</v>
      </c>
      <c r="I1126" s="6"/>
      <c r="J1126" s="43"/>
      <c r="K1126" s="51"/>
      <c r="L1126" s="86"/>
    </row>
    <row r="1127" spans="1:12" ht="15" x14ac:dyDescent="0.25">
      <c r="A1127" s="1">
        <v>1118</v>
      </c>
      <c r="B1127" s="1" t="s">
        <v>160</v>
      </c>
      <c r="C1127" s="32">
        <v>2415</v>
      </c>
      <c r="D1127" s="1">
        <v>12500</v>
      </c>
      <c r="E1127" s="1"/>
      <c r="F1127" s="1">
        <v>132.41</v>
      </c>
      <c r="G1127" s="1">
        <v>12500</v>
      </c>
      <c r="H1127" s="5">
        <f t="shared" si="35"/>
        <v>0</v>
      </c>
      <c r="I1127" s="6"/>
      <c r="J1127" s="43"/>
      <c r="K1127" s="51"/>
      <c r="L1127" s="86"/>
    </row>
    <row r="1128" spans="1:12" ht="15" x14ac:dyDescent="0.25">
      <c r="A1128" s="1">
        <v>1119</v>
      </c>
      <c r="B1128" s="1" t="s">
        <v>160</v>
      </c>
      <c r="C1128" s="32">
        <v>6939</v>
      </c>
      <c r="D1128" s="1">
        <v>10000</v>
      </c>
      <c r="E1128" s="1"/>
      <c r="F1128" s="1">
        <v>111.59</v>
      </c>
      <c r="G1128" s="1">
        <v>10000</v>
      </c>
      <c r="H1128" s="5">
        <f t="shared" si="35"/>
        <v>0</v>
      </c>
      <c r="I1128" s="6"/>
      <c r="J1128" s="43"/>
      <c r="K1128" s="51"/>
      <c r="L1128" s="86"/>
    </row>
    <row r="1129" spans="1:12" ht="15" x14ac:dyDescent="0.25">
      <c r="A1129" s="1">
        <v>1120</v>
      </c>
      <c r="B1129" s="1" t="s">
        <v>160</v>
      </c>
      <c r="C1129" s="32">
        <v>2229</v>
      </c>
      <c r="D1129" s="1">
        <v>13000</v>
      </c>
      <c r="E1129" s="1"/>
      <c r="F1129" s="1">
        <v>144.99</v>
      </c>
      <c r="G1129" s="1">
        <v>13000</v>
      </c>
      <c r="H1129" s="5">
        <f t="shared" si="35"/>
        <v>0</v>
      </c>
      <c r="I1129" s="6"/>
      <c r="J1129" s="43"/>
      <c r="K1129" s="51"/>
      <c r="L1129" s="86"/>
    </row>
    <row r="1130" spans="1:12" ht="15" x14ac:dyDescent="0.25">
      <c r="A1130" s="1">
        <v>1121</v>
      </c>
      <c r="B1130" s="1" t="s">
        <v>160</v>
      </c>
      <c r="C1130" s="32">
        <v>9346</v>
      </c>
      <c r="D1130" s="1">
        <v>18000</v>
      </c>
      <c r="E1130" s="1"/>
      <c r="F1130" s="1">
        <v>200.76</v>
      </c>
      <c r="G1130" s="1">
        <v>18000</v>
      </c>
      <c r="H1130" s="5">
        <f t="shared" si="35"/>
        <v>0</v>
      </c>
      <c r="I1130" s="6"/>
      <c r="J1130" s="43"/>
      <c r="K1130" s="51"/>
      <c r="L1130" s="86"/>
    </row>
    <row r="1131" spans="1:12" ht="15" x14ac:dyDescent="0.25">
      <c r="A1131" s="1">
        <v>1122</v>
      </c>
      <c r="B1131" s="1" t="s">
        <v>160</v>
      </c>
      <c r="C1131" s="32">
        <v>2973</v>
      </c>
      <c r="D1131" s="1">
        <v>15000</v>
      </c>
      <c r="E1131" s="1"/>
      <c r="F1131" s="1">
        <v>167.3</v>
      </c>
      <c r="G1131" s="1">
        <v>15000</v>
      </c>
      <c r="H1131" s="5">
        <f t="shared" si="35"/>
        <v>0</v>
      </c>
      <c r="I1131" s="6"/>
      <c r="J1131" s="43"/>
      <c r="K1131" s="51"/>
      <c r="L1131" s="86"/>
    </row>
    <row r="1132" spans="1:12" ht="15" x14ac:dyDescent="0.25">
      <c r="A1132" s="1">
        <v>1123</v>
      </c>
      <c r="B1132" s="1" t="s">
        <v>160</v>
      </c>
      <c r="C1132" s="32">
        <v>8682</v>
      </c>
      <c r="D1132" s="1">
        <v>17000</v>
      </c>
      <c r="E1132" s="1"/>
      <c r="F1132" s="1">
        <v>189.6</v>
      </c>
      <c r="G1132" s="1">
        <v>17000</v>
      </c>
      <c r="H1132" s="5">
        <f t="shared" si="35"/>
        <v>0</v>
      </c>
      <c r="I1132" s="6"/>
      <c r="J1132" s="43"/>
      <c r="K1132" s="51"/>
      <c r="L1132" s="86"/>
    </row>
    <row r="1133" spans="1:12" ht="15" x14ac:dyDescent="0.25">
      <c r="A1133" s="1">
        <v>1124</v>
      </c>
      <c r="B1133" s="1" t="s">
        <v>160</v>
      </c>
      <c r="C1133" s="32">
        <v>2577</v>
      </c>
      <c r="D1133" s="1">
        <v>23000</v>
      </c>
      <c r="E1133" s="1"/>
      <c r="F1133" s="1">
        <v>256.22000000000003</v>
      </c>
      <c r="G1133" s="1">
        <v>23000</v>
      </c>
      <c r="H1133" s="5">
        <f t="shared" si="35"/>
        <v>0</v>
      </c>
      <c r="I1133" s="6"/>
      <c r="J1133" s="43"/>
      <c r="K1133" s="51"/>
      <c r="L1133" s="86"/>
    </row>
    <row r="1134" spans="1:12" ht="15" x14ac:dyDescent="0.25">
      <c r="A1134" s="1">
        <v>1125</v>
      </c>
      <c r="B1134" s="1" t="s">
        <v>160</v>
      </c>
      <c r="C1134" s="32" t="s">
        <v>61</v>
      </c>
      <c r="D1134" s="1">
        <v>5000</v>
      </c>
      <c r="E1134" s="1"/>
      <c r="F1134" s="1">
        <v>55.77</v>
      </c>
      <c r="G1134" s="1">
        <v>5000</v>
      </c>
      <c r="H1134" s="5">
        <f t="shared" si="35"/>
        <v>0</v>
      </c>
      <c r="I1134" s="6"/>
      <c r="J1134" s="43"/>
      <c r="K1134" s="51"/>
      <c r="L1134" s="86"/>
    </row>
    <row r="1135" spans="1:12" ht="15" x14ac:dyDescent="0.25">
      <c r="A1135" s="1">
        <v>1126</v>
      </c>
      <c r="B1135" s="1" t="s">
        <v>160</v>
      </c>
      <c r="C1135" s="32">
        <v>2804</v>
      </c>
      <c r="D1135" s="1">
        <v>16000</v>
      </c>
      <c r="E1135" s="1"/>
      <c r="F1135" s="1">
        <v>178.45</v>
      </c>
      <c r="G1135" s="1">
        <v>16000</v>
      </c>
      <c r="H1135" s="5">
        <f t="shared" si="35"/>
        <v>0</v>
      </c>
      <c r="I1135" s="6"/>
      <c r="J1135" s="43"/>
      <c r="K1135" s="51"/>
      <c r="L1135" s="86"/>
    </row>
    <row r="1136" spans="1:12" ht="15" x14ac:dyDescent="0.25">
      <c r="A1136" s="1">
        <v>1127</v>
      </c>
      <c r="B1136" s="1" t="s">
        <v>160</v>
      </c>
      <c r="C1136" s="32">
        <v>3222</v>
      </c>
      <c r="D1136" s="1">
        <v>32000</v>
      </c>
      <c r="E1136" s="1"/>
      <c r="F1136" s="1">
        <v>356.4</v>
      </c>
      <c r="G1136" s="1">
        <v>32000</v>
      </c>
      <c r="H1136" s="5">
        <f t="shared" si="35"/>
        <v>0</v>
      </c>
      <c r="I1136" s="6"/>
      <c r="J1136" s="43"/>
      <c r="K1136" s="51"/>
      <c r="L1136" s="86"/>
    </row>
    <row r="1137" spans="1:12" ht="15" x14ac:dyDescent="0.25">
      <c r="A1137" s="1">
        <v>1128</v>
      </c>
      <c r="B1137" s="1" t="s">
        <v>160</v>
      </c>
      <c r="C1137" s="32">
        <v>3765</v>
      </c>
      <c r="D1137" s="1">
        <v>15000</v>
      </c>
      <c r="E1137" s="1"/>
      <c r="F1137" s="1">
        <v>167.3</v>
      </c>
      <c r="G1137" s="1">
        <v>15000</v>
      </c>
      <c r="H1137" s="5">
        <f t="shared" si="35"/>
        <v>0</v>
      </c>
      <c r="I1137" s="6"/>
      <c r="J1137" s="43"/>
      <c r="K1137" s="51"/>
      <c r="L1137" s="86"/>
    </row>
    <row r="1138" spans="1:12" ht="15" x14ac:dyDescent="0.25">
      <c r="A1138" s="1">
        <v>1129</v>
      </c>
      <c r="B1138" s="1" t="s">
        <v>160</v>
      </c>
      <c r="C1138" s="32">
        <v>4279</v>
      </c>
      <c r="D1138" s="1">
        <v>22000</v>
      </c>
      <c r="E1138" s="1"/>
      <c r="F1138" s="1">
        <v>245.37</v>
      </c>
      <c r="G1138" s="1">
        <v>22000</v>
      </c>
      <c r="H1138" s="5">
        <f t="shared" si="35"/>
        <v>0</v>
      </c>
      <c r="I1138" s="6"/>
      <c r="J1138" s="43"/>
      <c r="K1138" s="51"/>
      <c r="L1138" s="86"/>
    </row>
    <row r="1139" spans="1:12" ht="15" x14ac:dyDescent="0.25">
      <c r="A1139" s="1">
        <v>1130</v>
      </c>
      <c r="B1139" s="1" t="s">
        <v>160</v>
      </c>
      <c r="C1139" s="32">
        <v>8751</v>
      </c>
      <c r="D1139" s="1">
        <v>25000</v>
      </c>
      <c r="E1139" s="1"/>
      <c r="F1139" s="1">
        <v>278.83</v>
      </c>
      <c r="G1139" s="1">
        <v>25000</v>
      </c>
      <c r="H1139" s="5">
        <f t="shared" si="35"/>
        <v>0</v>
      </c>
      <c r="I1139" s="6"/>
      <c r="J1139" s="43"/>
      <c r="K1139" s="51"/>
      <c r="L1139" s="86"/>
    </row>
    <row r="1140" spans="1:12" ht="15" x14ac:dyDescent="0.25">
      <c r="A1140" s="1">
        <v>1131</v>
      </c>
      <c r="B1140" s="1" t="s">
        <v>160</v>
      </c>
      <c r="C1140" s="32">
        <v>2328</v>
      </c>
      <c r="D1140" s="1">
        <v>15000</v>
      </c>
      <c r="E1140" s="1"/>
      <c r="F1140" s="1">
        <v>167.3</v>
      </c>
      <c r="G1140" s="1">
        <v>15000</v>
      </c>
      <c r="H1140" s="5">
        <f t="shared" si="35"/>
        <v>0</v>
      </c>
      <c r="I1140" s="6"/>
      <c r="J1140" s="43"/>
      <c r="K1140" s="51"/>
      <c r="L1140" s="86"/>
    </row>
    <row r="1141" spans="1:12" ht="15" x14ac:dyDescent="0.25">
      <c r="A1141" s="1">
        <v>1132</v>
      </c>
      <c r="B1141" s="1" t="s">
        <v>160</v>
      </c>
      <c r="C1141" s="32">
        <v>844</v>
      </c>
      <c r="D1141" s="1">
        <v>15000</v>
      </c>
      <c r="E1141" s="1"/>
      <c r="F1141" s="1">
        <v>329.02</v>
      </c>
      <c r="G1141" s="1">
        <v>15000</v>
      </c>
      <c r="H1141" s="5">
        <f t="shared" si="35"/>
        <v>0</v>
      </c>
      <c r="I1141" s="6"/>
      <c r="J1141" s="43"/>
      <c r="K1141" s="51"/>
      <c r="L1141" s="86">
        <f>2414660-2411801</f>
        <v>2859</v>
      </c>
    </row>
    <row r="1142" spans="1:12" ht="15" x14ac:dyDescent="0.25">
      <c r="A1142" s="1">
        <v>1133</v>
      </c>
      <c r="B1142" s="1" t="s">
        <v>161</v>
      </c>
      <c r="C1142" s="32">
        <v>4135</v>
      </c>
      <c r="D1142" s="1">
        <v>24000</v>
      </c>
      <c r="E1142" s="1"/>
      <c r="F1142" s="1">
        <v>267.67</v>
      </c>
      <c r="G1142" s="1">
        <v>24000</v>
      </c>
      <c r="H1142" s="5">
        <f t="shared" si="35"/>
        <v>0</v>
      </c>
      <c r="I1142" s="6"/>
      <c r="J1142" s="43"/>
      <c r="K1142" s="51"/>
      <c r="L1142" s="86"/>
    </row>
    <row r="1143" spans="1:12" ht="15" x14ac:dyDescent="0.25">
      <c r="A1143" s="1">
        <v>1134</v>
      </c>
      <c r="B1143" s="1" t="s">
        <v>161</v>
      </c>
      <c r="C1143" s="32">
        <v>9337</v>
      </c>
      <c r="D1143" s="1">
        <v>27000</v>
      </c>
      <c r="E1143" s="1"/>
      <c r="F1143" s="1">
        <v>278.83</v>
      </c>
      <c r="G1143" s="1">
        <v>27000</v>
      </c>
      <c r="H1143" s="5">
        <f t="shared" si="35"/>
        <v>0</v>
      </c>
      <c r="I1143" s="6"/>
      <c r="J1143" s="43"/>
      <c r="K1143" s="51"/>
      <c r="L1143" s="86"/>
    </row>
    <row r="1144" spans="1:12" ht="15" x14ac:dyDescent="0.25">
      <c r="A1144" s="1">
        <v>1135</v>
      </c>
      <c r="B1144" s="1" t="s">
        <v>161</v>
      </c>
      <c r="C1144" s="32">
        <v>7864</v>
      </c>
      <c r="D1144" s="1">
        <v>10000</v>
      </c>
      <c r="E1144" s="1"/>
      <c r="F1144" s="1">
        <v>111.53</v>
      </c>
      <c r="G1144" s="1">
        <v>10000</v>
      </c>
      <c r="H1144" s="5">
        <f t="shared" si="35"/>
        <v>0</v>
      </c>
      <c r="I1144" s="6"/>
      <c r="J1144" s="43"/>
      <c r="K1144" s="51"/>
      <c r="L1144" s="86"/>
    </row>
    <row r="1145" spans="1:12" ht="15" x14ac:dyDescent="0.25">
      <c r="A1145" s="1">
        <v>1136</v>
      </c>
      <c r="B1145" s="1" t="s">
        <v>161</v>
      </c>
      <c r="C1145" s="32">
        <v>1220</v>
      </c>
      <c r="D1145" s="1">
        <v>12500</v>
      </c>
      <c r="E1145" s="1"/>
      <c r="F1145" s="1">
        <v>139.41999999999999</v>
      </c>
      <c r="G1145" s="1">
        <v>12500</v>
      </c>
      <c r="H1145" s="5">
        <f t="shared" si="35"/>
        <v>0</v>
      </c>
      <c r="I1145" s="6"/>
      <c r="J1145" s="43"/>
      <c r="K1145" s="51"/>
      <c r="L1145" s="86"/>
    </row>
    <row r="1146" spans="1:12" ht="15" x14ac:dyDescent="0.25">
      <c r="A1146" s="1">
        <v>1137</v>
      </c>
      <c r="B1146" s="1" t="s">
        <v>161</v>
      </c>
      <c r="C1146" s="32">
        <v>2057</v>
      </c>
      <c r="D1146" s="1">
        <v>25000</v>
      </c>
      <c r="E1146" s="1"/>
      <c r="F1146" s="1">
        <v>278.83</v>
      </c>
      <c r="G1146" s="1">
        <v>25000</v>
      </c>
      <c r="H1146" s="5">
        <f t="shared" si="35"/>
        <v>0</v>
      </c>
      <c r="I1146" s="6"/>
      <c r="J1146" s="43"/>
      <c r="K1146" s="51"/>
      <c r="L1146" s="86"/>
    </row>
    <row r="1147" spans="1:12" ht="15" x14ac:dyDescent="0.25">
      <c r="A1147" s="1">
        <v>1138</v>
      </c>
      <c r="B1147" s="1" t="s">
        <v>161</v>
      </c>
      <c r="C1147" s="32">
        <v>1352</v>
      </c>
      <c r="D1147" s="1">
        <v>13000</v>
      </c>
      <c r="E1147" s="1"/>
      <c r="F1147" s="1">
        <v>144.94</v>
      </c>
      <c r="G1147" s="1">
        <v>13000</v>
      </c>
      <c r="H1147" s="5">
        <f t="shared" si="35"/>
        <v>0</v>
      </c>
      <c r="I1147" s="6"/>
      <c r="J1147" s="43"/>
      <c r="K1147" s="51"/>
      <c r="L1147" s="86"/>
    </row>
    <row r="1148" spans="1:12" ht="15" x14ac:dyDescent="0.25">
      <c r="A1148" s="1">
        <v>1139</v>
      </c>
      <c r="B1148" s="1" t="s">
        <v>161</v>
      </c>
      <c r="C1148" s="32" t="s">
        <v>61</v>
      </c>
      <c r="D1148" s="1">
        <v>4500</v>
      </c>
      <c r="E1148" s="1"/>
      <c r="F1148" s="1">
        <v>50.14</v>
      </c>
      <c r="G1148" s="1">
        <v>4500</v>
      </c>
      <c r="H1148" s="5">
        <f t="shared" si="35"/>
        <v>0</v>
      </c>
      <c r="I1148" s="6"/>
      <c r="J1148" s="43"/>
      <c r="K1148" s="51"/>
      <c r="L1148" s="86"/>
    </row>
    <row r="1149" spans="1:12" ht="15" x14ac:dyDescent="0.25">
      <c r="A1149" s="1">
        <v>1140</v>
      </c>
      <c r="B1149" s="1" t="s">
        <v>161</v>
      </c>
      <c r="C1149" s="32">
        <v>9752</v>
      </c>
      <c r="D1149" s="1">
        <v>25000</v>
      </c>
      <c r="E1149" s="1"/>
      <c r="F1149" s="1">
        <v>278.83</v>
      </c>
      <c r="G1149" s="1">
        <v>25000</v>
      </c>
      <c r="H1149" s="5">
        <f t="shared" si="35"/>
        <v>0</v>
      </c>
      <c r="I1149" s="6"/>
      <c r="J1149" s="43"/>
      <c r="K1149" s="51"/>
      <c r="L1149" s="86"/>
    </row>
    <row r="1150" spans="1:12" ht="15" x14ac:dyDescent="0.25">
      <c r="A1150" s="1">
        <v>1141</v>
      </c>
      <c r="B1150" s="1" t="s">
        <v>161</v>
      </c>
      <c r="C1150" s="32">
        <v>2379</v>
      </c>
      <c r="D1150" s="1">
        <v>25000</v>
      </c>
      <c r="E1150" s="1"/>
      <c r="F1150" s="1">
        <v>278.83</v>
      </c>
      <c r="G1150" s="1">
        <v>25000</v>
      </c>
      <c r="H1150" s="5">
        <f t="shared" si="35"/>
        <v>0</v>
      </c>
      <c r="I1150" s="6"/>
      <c r="J1150" s="43"/>
      <c r="K1150" s="51"/>
      <c r="L1150" s="86"/>
    </row>
    <row r="1151" spans="1:12" ht="15" x14ac:dyDescent="0.25">
      <c r="A1151" s="1">
        <v>1142</v>
      </c>
      <c r="B1151" s="1" t="s">
        <v>161</v>
      </c>
      <c r="C1151" s="32">
        <v>5575</v>
      </c>
      <c r="D1151" s="1">
        <v>13000</v>
      </c>
      <c r="E1151" s="1"/>
      <c r="F1151" s="1">
        <v>144.94</v>
      </c>
      <c r="G1151" s="1">
        <v>13000</v>
      </c>
      <c r="H1151" s="5">
        <f t="shared" si="35"/>
        <v>0</v>
      </c>
      <c r="I1151" s="6"/>
      <c r="J1151" s="43"/>
      <c r="K1151" s="51"/>
      <c r="L1151" s="86"/>
    </row>
    <row r="1152" spans="1:12" ht="15" x14ac:dyDescent="0.25">
      <c r="A1152" s="1">
        <v>1143</v>
      </c>
      <c r="B1152" s="1" t="s">
        <v>161</v>
      </c>
      <c r="C1152" s="32" t="s">
        <v>63</v>
      </c>
      <c r="D1152" s="1">
        <v>3500</v>
      </c>
      <c r="E1152" s="1"/>
      <c r="F1152" s="1">
        <v>39.15</v>
      </c>
      <c r="G1152" s="1">
        <v>3500</v>
      </c>
      <c r="H1152" s="5">
        <f t="shared" si="35"/>
        <v>0</v>
      </c>
      <c r="I1152" s="6"/>
      <c r="J1152" s="43"/>
      <c r="K1152" s="51"/>
      <c r="L1152" s="86"/>
    </row>
    <row r="1153" spans="1:12" ht="15" x14ac:dyDescent="0.25">
      <c r="A1153" s="1">
        <v>1144</v>
      </c>
      <c r="B1153" s="1" t="s">
        <v>161</v>
      </c>
      <c r="C1153" s="32">
        <v>3107</v>
      </c>
      <c r="D1153" s="1">
        <v>10000</v>
      </c>
      <c r="E1153" s="1"/>
      <c r="F1153" s="1">
        <v>111.53</v>
      </c>
      <c r="G1153" s="1">
        <v>10000</v>
      </c>
      <c r="H1153" s="5">
        <f t="shared" si="35"/>
        <v>0</v>
      </c>
      <c r="I1153" s="6"/>
      <c r="J1153" s="43"/>
      <c r="K1153" s="51"/>
      <c r="L1153" s="86"/>
    </row>
    <row r="1154" spans="1:12" ht="15" x14ac:dyDescent="0.25">
      <c r="A1154" s="1">
        <v>1145</v>
      </c>
      <c r="B1154" s="1" t="s">
        <v>161</v>
      </c>
      <c r="C1154" s="32" t="s">
        <v>66</v>
      </c>
      <c r="D1154" s="1">
        <v>200</v>
      </c>
      <c r="E1154" s="1"/>
      <c r="F1154" s="1">
        <v>2.0499999999999998</v>
      </c>
      <c r="G1154" s="1">
        <v>200</v>
      </c>
      <c r="H1154" s="5">
        <f t="shared" si="35"/>
        <v>0</v>
      </c>
      <c r="I1154" s="6"/>
      <c r="J1154" s="43"/>
      <c r="K1154" s="51"/>
      <c r="L1154" s="86"/>
    </row>
    <row r="1155" spans="1:12" ht="15" x14ac:dyDescent="0.25">
      <c r="A1155" s="1">
        <v>1146</v>
      </c>
      <c r="B1155" s="1" t="s">
        <v>161</v>
      </c>
      <c r="C1155" s="32">
        <v>5488</v>
      </c>
      <c r="D1155" s="1">
        <v>33000</v>
      </c>
      <c r="E1155" s="1"/>
      <c r="F1155" s="1">
        <v>291.45</v>
      </c>
      <c r="G1155" s="1">
        <v>33000</v>
      </c>
      <c r="H1155" s="5">
        <f t="shared" si="35"/>
        <v>0</v>
      </c>
      <c r="I1155" s="6"/>
      <c r="J1155" s="43"/>
      <c r="K1155" s="51"/>
      <c r="L1155" s="86"/>
    </row>
    <row r="1156" spans="1:12" ht="15" x14ac:dyDescent="0.25">
      <c r="A1156" s="1">
        <v>1147</v>
      </c>
      <c r="B1156" s="1" t="s">
        <v>161</v>
      </c>
      <c r="C1156" s="32">
        <v>5656</v>
      </c>
      <c r="D1156" s="1">
        <v>19000</v>
      </c>
      <c r="E1156" s="1"/>
      <c r="F1156" s="1">
        <v>211.91</v>
      </c>
      <c r="G1156" s="1">
        <v>19000</v>
      </c>
      <c r="H1156" s="5">
        <f t="shared" si="35"/>
        <v>0</v>
      </c>
      <c r="I1156" s="6"/>
      <c r="J1156" s="43"/>
      <c r="K1156" s="51"/>
      <c r="L1156" s="86"/>
    </row>
    <row r="1157" spans="1:12" ht="15" x14ac:dyDescent="0.25">
      <c r="A1157" s="1">
        <v>1148</v>
      </c>
      <c r="B1157" s="1" t="s">
        <v>161</v>
      </c>
      <c r="C1157" s="32">
        <v>3504</v>
      </c>
      <c r="D1157" s="1">
        <v>25000</v>
      </c>
      <c r="E1157" s="1"/>
      <c r="F1157" s="1">
        <v>278.83</v>
      </c>
      <c r="G1157" s="1">
        <v>25000</v>
      </c>
      <c r="H1157" s="5">
        <f t="shared" si="35"/>
        <v>0</v>
      </c>
      <c r="I1157" s="6"/>
      <c r="J1157" s="43"/>
      <c r="K1157" s="51"/>
      <c r="L1157" s="86"/>
    </row>
    <row r="1158" spans="1:12" ht="15" x14ac:dyDescent="0.25">
      <c r="A1158" s="1">
        <v>1149</v>
      </c>
      <c r="B1158" s="1" t="s">
        <v>161</v>
      </c>
      <c r="C1158" s="32">
        <v>5172</v>
      </c>
      <c r="D1158" s="1">
        <v>20000</v>
      </c>
      <c r="E1158" s="1"/>
      <c r="F1158" s="1">
        <v>223.06</v>
      </c>
      <c r="G1158" s="1">
        <v>20000</v>
      </c>
      <c r="H1158" s="5">
        <f t="shared" si="35"/>
        <v>0</v>
      </c>
      <c r="I1158" s="6"/>
      <c r="J1158" s="43"/>
      <c r="K1158" s="51"/>
      <c r="L1158" s="86"/>
    </row>
    <row r="1159" spans="1:12" ht="15" x14ac:dyDescent="0.25">
      <c r="A1159" s="1">
        <v>1150</v>
      </c>
      <c r="B1159" s="1" t="s">
        <v>161</v>
      </c>
      <c r="C1159" s="32">
        <v>1901</v>
      </c>
      <c r="D1159" s="1">
        <v>23000</v>
      </c>
      <c r="E1159" s="1"/>
      <c r="F1159" s="1">
        <v>256.52</v>
      </c>
      <c r="G1159" s="1">
        <v>23000</v>
      </c>
      <c r="H1159" s="5">
        <f t="shared" si="35"/>
        <v>0</v>
      </c>
      <c r="I1159" s="6"/>
      <c r="J1159" s="43"/>
      <c r="K1159" s="51"/>
      <c r="L1159" s="86"/>
    </row>
    <row r="1160" spans="1:12" ht="15" x14ac:dyDescent="0.25">
      <c r="A1160" s="1">
        <v>1151</v>
      </c>
      <c r="B1160" s="1" t="s">
        <v>161</v>
      </c>
      <c r="C1160" s="32">
        <v>5981</v>
      </c>
      <c r="D1160" s="1">
        <v>20000</v>
      </c>
      <c r="E1160" s="1"/>
      <c r="F1160" s="1">
        <v>223.06</v>
      </c>
      <c r="G1160" s="1">
        <v>20000</v>
      </c>
      <c r="H1160" s="5">
        <f t="shared" si="35"/>
        <v>0</v>
      </c>
      <c r="I1160" s="6"/>
      <c r="J1160" s="43"/>
      <c r="K1160" s="51"/>
      <c r="L1160" s="86"/>
    </row>
    <row r="1161" spans="1:12" ht="15" x14ac:dyDescent="0.25">
      <c r="A1161" s="1">
        <v>1152</v>
      </c>
      <c r="B1161" s="1" t="s">
        <v>161</v>
      </c>
      <c r="C1161" s="32">
        <v>5046</v>
      </c>
      <c r="D1161" s="1">
        <v>25000</v>
      </c>
      <c r="E1161" s="1"/>
      <c r="F1161" s="1">
        <v>278.83</v>
      </c>
      <c r="G1161" s="1">
        <v>25000</v>
      </c>
      <c r="H1161" s="5">
        <f t="shared" si="35"/>
        <v>0</v>
      </c>
      <c r="I1161" s="6"/>
      <c r="J1161" s="43"/>
      <c r="K1161" s="51"/>
      <c r="L1161" s="86"/>
    </row>
    <row r="1162" spans="1:12" ht="15" x14ac:dyDescent="0.25">
      <c r="A1162" s="1">
        <v>1153</v>
      </c>
      <c r="B1162" s="1" t="s">
        <v>161</v>
      </c>
      <c r="C1162" s="32">
        <v>3963</v>
      </c>
      <c r="D1162" s="1">
        <v>20000</v>
      </c>
      <c r="E1162" s="1"/>
      <c r="F1162" s="1">
        <v>223.06</v>
      </c>
      <c r="G1162" s="1">
        <v>20000</v>
      </c>
      <c r="H1162" s="5">
        <f t="shared" si="35"/>
        <v>0</v>
      </c>
      <c r="I1162" s="6"/>
      <c r="J1162" s="43"/>
      <c r="K1162" s="51"/>
      <c r="L1162" s="86"/>
    </row>
    <row r="1163" spans="1:12" ht="15" x14ac:dyDescent="0.25">
      <c r="A1163" s="1">
        <v>1154</v>
      </c>
      <c r="B1163" s="1" t="s">
        <v>161</v>
      </c>
      <c r="C1163" s="32">
        <v>2121</v>
      </c>
      <c r="D1163" s="1">
        <v>15000</v>
      </c>
      <c r="E1163" s="1"/>
      <c r="F1163" s="1">
        <v>161.72</v>
      </c>
      <c r="G1163" s="1">
        <v>15000</v>
      </c>
      <c r="H1163" s="5">
        <f t="shared" si="35"/>
        <v>0</v>
      </c>
      <c r="I1163" s="6"/>
      <c r="J1163" s="43"/>
      <c r="K1163" s="51"/>
      <c r="L1163" s="86"/>
    </row>
    <row r="1164" spans="1:12" ht="15" x14ac:dyDescent="0.25">
      <c r="A1164" s="1">
        <v>1155</v>
      </c>
      <c r="B1164" s="1" t="s">
        <v>162</v>
      </c>
      <c r="C1164" s="32">
        <v>8975</v>
      </c>
      <c r="D1164" s="1">
        <v>23000</v>
      </c>
      <c r="E1164" s="1"/>
      <c r="F1164" s="1">
        <v>256.52</v>
      </c>
      <c r="G1164" s="1">
        <v>23000</v>
      </c>
      <c r="H1164" s="5">
        <f t="shared" si="35"/>
        <v>0</v>
      </c>
      <c r="I1164" s="6"/>
      <c r="J1164" s="43"/>
      <c r="K1164" s="51"/>
      <c r="L1164" s="86"/>
    </row>
    <row r="1165" spans="1:12" ht="15" x14ac:dyDescent="0.25">
      <c r="A1165" s="1">
        <v>1156</v>
      </c>
      <c r="B1165" s="1" t="s">
        <v>162</v>
      </c>
      <c r="C1165" s="32">
        <v>35</v>
      </c>
      <c r="D1165" s="1">
        <v>15000</v>
      </c>
      <c r="E1165" s="1"/>
      <c r="F1165" s="1">
        <v>167.3</v>
      </c>
      <c r="G1165" s="1">
        <v>15000</v>
      </c>
      <c r="H1165" s="5">
        <f t="shared" si="35"/>
        <v>0</v>
      </c>
      <c r="I1165" s="6"/>
      <c r="J1165" s="43"/>
      <c r="K1165" s="51"/>
      <c r="L1165" s="86"/>
    </row>
    <row r="1166" spans="1:12" ht="15" x14ac:dyDescent="0.25">
      <c r="A1166" s="1">
        <v>1157</v>
      </c>
      <c r="B1166" s="1" t="s">
        <v>162</v>
      </c>
      <c r="C1166" s="32">
        <v>926</v>
      </c>
      <c r="D1166" s="1">
        <v>32000</v>
      </c>
      <c r="E1166" s="1"/>
      <c r="F1166" s="1">
        <v>354.68</v>
      </c>
      <c r="G1166" s="1">
        <v>32000</v>
      </c>
      <c r="H1166" s="5">
        <f t="shared" si="35"/>
        <v>0</v>
      </c>
      <c r="I1166" s="6"/>
      <c r="J1166" s="43"/>
      <c r="K1166" s="51"/>
      <c r="L1166" s="86"/>
    </row>
    <row r="1167" spans="1:12" ht="15" x14ac:dyDescent="0.25">
      <c r="A1167" s="1">
        <v>1158</v>
      </c>
      <c r="B1167" s="1" t="s">
        <v>162</v>
      </c>
      <c r="C1167" s="32">
        <v>1884</v>
      </c>
      <c r="D1167" s="1">
        <v>19000</v>
      </c>
      <c r="E1167" s="1"/>
      <c r="F1167" s="1">
        <v>211.91</v>
      </c>
      <c r="G1167" s="1">
        <v>19000</v>
      </c>
      <c r="H1167" s="5">
        <f t="shared" si="35"/>
        <v>0</v>
      </c>
      <c r="I1167" s="6"/>
      <c r="J1167" s="43"/>
      <c r="K1167" s="51"/>
      <c r="L1167" s="86"/>
    </row>
    <row r="1168" spans="1:12" ht="15" x14ac:dyDescent="0.25">
      <c r="A1168" s="1">
        <v>1159</v>
      </c>
      <c r="B1168" s="1" t="s">
        <v>162</v>
      </c>
      <c r="C1168" s="32">
        <v>6021</v>
      </c>
      <c r="D1168" s="1">
        <v>13000</v>
      </c>
      <c r="E1168" s="1"/>
      <c r="F1168" s="1">
        <v>142.99</v>
      </c>
      <c r="G1168" s="1">
        <v>13000</v>
      </c>
      <c r="H1168" s="5">
        <f t="shared" si="35"/>
        <v>0</v>
      </c>
      <c r="I1168" s="6"/>
      <c r="J1168" s="43"/>
      <c r="K1168" s="51"/>
      <c r="L1168" s="86"/>
    </row>
    <row r="1169" spans="1:12" ht="15" x14ac:dyDescent="0.25">
      <c r="A1169" s="1">
        <v>1160</v>
      </c>
      <c r="B1169" s="1" t="s">
        <v>162</v>
      </c>
      <c r="C1169" s="32">
        <v>6768</v>
      </c>
      <c r="D1169" s="1">
        <v>18000</v>
      </c>
      <c r="E1169" s="1"/>
      <c r="F1169" s="1">
        <v>200.76</v>
      </c>
      <c r="G1169" s="1">
        <v>18000</v>
      </c>
      <c r="H1169" s="5">
        <f t="shared" si="35"/>
        <v>0</v>
      </c>
      <c r="I1169" s="6"/>
      <c r="J1169" s="43"/>
      <c r="K1169" s="51"/>
      <c r="L1169" s="86"/>
    </row>
    <row r="1170" spans="1:12" ht="15" x14ac:dyDescent="0.25">
      <c r="A1170" s="1">
        <v>1161</v>
      </c>
      <c r="B1170" s="1" t="s">
        <v>162</v>
      </c>
      <c r="C1170" s="32">
        <v>9127</v>
      </c>
      <c r="D1170" s="1">
        <v>10100</v>
      </c>
      <c r="E1170" s="1"/>
      <c r="F1170" s="1">
        <v>112.65</v>
      </c>
      <c r="G1170" s="1">
        <v>10100</v>
      </c>
      <c r="H1170" s="5">
        <f t="shared" si="35"/>
        <v>0</v>
      </c>
      <c r="I1170" s="6"/>
      <c r="J1170" s="43"/>
      <c r="K1170" s="51"/>
      <c r="L1170" s="86"/>
    </row>
    <row r="1171" spans="1:12" ht="15" x14ac:dyDescent="0.25">
      <c r="A1171" s="1">
        <v>1162</v>
      </c>
      <c r="B1171" s="1" t="s">
        <v>162</v>
      </c>
      <c r="C1171" s="32">
        <v>2122</v>
      </c>
      <c r="D1171" s="1">
        <v>30000</v>
      </c>
      <c r="E1171" s="1"/>
      <c r="F1171" s="1">
        <v>325.68</v>
      </c>
      <c r="G1171" s="1">
        <v>30000</v>
      </c>
      <c r="H1171" s="5">
        <f t="shared" si="35"/>
        <v>0</v>
      </c>
      <c r="I1171" s="6"/>
      <c r="J1171" s="43"/>
      <c r="K1171" s="51"/>
      <c r="L1171" s="86"/>
    </row>
    <row r="1172" spans="1:12" ht="15" x14ac:dyDescent="0.25">
      <c r="A1172" s="1">
        <v>1163</v>
      </c>
      <c r="B1172" s="1" t="s">
        <v>162</v>
      </c>
      <c r="C1172" s="32">
        <v>5477</v>
      </c>
      <c r="D1172" s="1">
        <v>10000</v>
      </c>
      <c r="E1172" s="1"/>
      <c r="F1172" s="1">
        <v>111.53</v>
      </c>
      <c r="G1172" s="1">
        <v>10000</v>
      </c>
      <c r="H1172" s="5">
        <f t="shared" si="35"/>
        <v>0</v>
      </c>
      <c r="I1172" s="6"/>
      <c r="J1172" s="43"/>
      <c r="K1172" s="51"/>
      <c r="L1172" s="86"/>
    </row>
    <row r="1173" spans="1:12" ht="15" x14ac:dyDescent="0.25">
      <c r="A1173" s="1">
        <v>1164</v>
      </c>
      <c r="B1173" s="1" t="s">
        <v>162</v>
      </c>
      <c r="C1173" s="32">
        <v>5044</v>
      </c>
      <c r="D1173" s="1">
        <v>25000</v>
      </c>
      <c r="E1173" s="1"/>
      <c r="F1173" s="1">
        <v>295.55</v>
      </c>
      <c r="G1173" s="1">
        <v>25000</v>
      </c>
      <c r="H1173" s="5">
        <f t="shared" si="35"/>
        <v>0</v>
      </c>
      <c r="I1173" s="6"/>
      <c r="J1173" s="43"/>
      <c r="K1173" s="51"/>
      <c r="L1173" s="86"/>
    </row>
    <row r="1174" spans="1:12" ht="15" x14ac:dyDescent="0.25">
      <c r="A1174" s="1">
        <v>1165</v>
      </c>
      <c r="B1174" s="1" t="s">
        <v>162</v>
      </c>
      <c r="C1174" s="32" t="s">
        <v>63</v>
      </c>
      <c r="D1174" s="1">
        <v>3500</v>
      </c>
      <c r="E1174" s="1"/>
      <c r="F1174" s="1">
        <v>39.04</v>
      </c>
      <c r="G1174" s="1">
        <v>3500</v>
      </c>
      <c r="H1174" s="5">
        <f t="shared" si="35"/>
        <v>0</v>
      </c>
      <c r="I1174" s="6"/>
      <c r="J1174" s="43"/>
      <c r="K1174" s="51"/>
      <c r="L1174" s="86"/>
    </row>
    <row r="1175" spans="1:12" ht="15" x14ac:dyDescent="0.25">
      <c r="A1175" s="1">
        <v>1166</v>
      </c>
      <c r="B1175" s="1" t="s">
        <v>162</v>
      </c>
      <c r="C1175" s="32" t="s">
        <v>66</v>
      </c>
      <c r="D1175" s="1">
        <v>100</v>
      </c>
      <c r="E1175" s="1"/>
      <c r="F1175" s="1"/>
      <c r="G1175" s="1">
        <v>100</v>
      </c>
      <c r="H1175" s="5">
        <f t="shared" si="35"/>
        <v>0</v>
      </c>
      <c r="I1175" s="6"/>
      <c r="J1175" s="43"/>
      <c r="K1175" s="51"/>
      <c r="L1175" s="86"/>
    </row>
    <row r="1176" spans="1:12" ht="15" x14ac:dyDescent="0.25">
      <c r="A1176" s="1">
        <v>1167</v>
      </c>
      <c r="B1176" s="1" t="s">
        <v>162</v>
      </c>
      <c r="C1176" s="32">
        <v>1121</v>
      </c>
      <c r="D1176" s="1">
        <v>30000</v>
      </c>
      <c r="E1176" s="1"/>
      <c r="F1176" s="1">
        <v>334.6</v>
      </c>
      <c r="G1176" s="1">
        <v>30000</v>
      </c>
      <c r="H1176" s="5">
        <f t="shared" si="35"/>
        <v>0</v>
      </c>
      <c r="I1176" s="6"/>
      <c r="J1176" s="43"/>
      <c r="K1176" s="51"/>
      <c r="L1176" s="86"/>
    </row>
    <row r="1177" spans="1:12" ht="15" x14ac:dyDescent="0.25">
      <c r="A1177" s="1">
        <v>1168</v>
      </c>
      <c r="B1177" s="1" t="s">
        <v>163</v>
      </c>
      <c r="C1177" s="85">
        <v>6969</v>
      </c>
      <c r="D1177" s="1">
        <v>5000</v>
      </c>
      <c r="E1177" s="1"/>
      <c r="F1177" s="1">
        <v>55.77</v>
      </c>
      <c r="G1177" s="1">
        <v>5000</v>
      </c>
      <c r="H1177" s="5">
        <f t="shared" si="35"/>
        <v>0</v>
      </c>
      <c r="I1177" s="6"/>
      <c r="J1177" s="43"/>
      <c r="K1177" s="51"/>
      <c r="L1177" s="86"/>
    </row>
    <row r="1178" spans="1:12" ht="15" x14ac:dyDescent="0.25">
      <c r="A1178" s="1">
        <v>1169</v>
      </c>
      <c r="B1178" s="1" t="s">
        <v>163</v>
      </c>
      <c r="C1178" s="85">
        <v>1552</v>
      </c>
      <c r="D1178" s="1">
        <v>15000</v>
      </c>
      <c r="E1178" s="1"/>
      <c r="F1178" s="1">
        <v>167.3</v>
      </c>
      <c r="G1178" s="1">
        <v>15000</v>
      </c>
      <c r="H1178" s="5">
        <f t="shared" si="35"/>
        <v>0</v>
      </c>
      <c r="I1178" s="6"/>
      <c r="J1178" s="43"/>
      <c r="K1178" s="51"/>
      <c r="L1178" s="86"/>
    </row>
    <row r="1179" spans="1:12" ht="15" x14ac:dyDescent="0.25">
      <c r="A1179" s="1">
        <v>1170</v>
      </c>
      <c r="B1179" s="1" t="s">
        <v>163</v>
      </c>
      <c r="C1179" s="85">
        <v>8771</v>
      </c>
      <c r="D1179" s="1">
        <v>15000</v>
      </c>
      <c r="E1179" s="1"/>
      <c r="F1179" s="1">
        <v>167.3</v>
      </c>
      <c r="G1179" s="1">
        <v>15000</v>
      </c>
      <c r="H1179" s="5">
        <f t="shared" si="35"/>
        <v>0</v>
      </c>
      <c r="I1179" s="6"/>
      <c r="J1179" s="43"/>
      <c r="K1179" s="51"/>
      <c r="L1179" s="86"/>
    </row>
    <row r="1180" spans="1:12" ht="15" x14ac:dyDescent="0.25">
      <c r="A1180" s="1">
        <v>1171</v>
      </c>
      <c r="B1180" s="1" t="s">
        <v>163</v>
      </c>
      <c r="C1180" s="85">
        <v>889</v>
      </c>
      <c r="D1180" s="1">
        <v>13000</v>
      </c>
      <c r="E1180" s="1"/>
      <c r="F1180" s="1">
        <v>144.99</v>
      </c>
      <c r="G1180" s="1">
        <v>13000</v>
      </c>
      <c r="H1180" s="5">
        <f t="shared" si="35"/>
        <v>0</v>
      </c>
      <c r="I1180" s="6"/>
      <c r="J1180" s="43"/>
      <c r="K1180" s="51"/>
      <c r="L1180" s="86"/>
    </row>
    <row r="1181" spans="1:12" ht="15" x14ac:dyDescent="0.25">
      <c r="A1181" s="1">
        <v>1172</v>
      </c>
      <c r="B1181" s="1" t="s">
        <v>163</v>
      </c>
      <c r="C1181" s="85" t="s">
        <v>66</v>
      </c>
      <c r="D1181" s="1">
        <v>100</v>
      </c>
      <c r="E1181" s="1"/>
      <c r="F1181" s="1">
        <v>1.115</v>
      </c>
      <c r="G1181" s="1">
        <v>100</v>
      </c>
      <c r="H1181" s="5">
        <f t="shared" si="35"/>
        <v>0</v>
      </c>
      <c r="I1181" s="6"/>
      <c r="J1181" s="43"/>
      <c r="K1181" s="51"/>
      <c r="L1181" s="86"/>
    </row>
    <row r="1182" spans="1:12" ht="15" x14ac:dyDescent="0.25">
      <c r="A1182" s="1">
        <v>1173</v>
      </c>
      <c r="B1182" s="1" t="s">
        <v>163</v>
      </c>
      <c r="C1182" s="85" t="s">
        <v>61</v>
      </c>
      <c r="D1182" s="1">
        <v>4500</v>
      </c>
      <c r="E1182" s="1"/>
      <c r="F1182" s="1">
        <v>50.19</v>
      </c>
      <c r="G1182" s="1">
        <v>4500</v>
      </c>
      <c r="H1182" s="5">
        <f t="shared" si="35"/>
        <v>0</v>
      </c>
      <c r="I1182" s="6"/>
      <c r="J1182" s="43"/>
      <c r="K1182" s="51"/>
      <c r="L1182" s="86"/>
    </row>
    <row r="1183" spans="1:12" ht="15" x14ac:dyDescent="0.25">
      <c r="A1183" s="1">
        <v>1174</v>
      </c>
      <c r="B1183" s="1" t="s">
        <v>163</v>
      </c>
      <c r="C1183" s="85">
        <v>1332</v>
      </c>
      <c r="D1183" s="1">
        <v>13500</v>
      </c>
      <c r="E1183" s="1"/>
      <c r="F1183" s="1">
        <v>150.57</v>
      </c>
      <c r="G1183" s="1">
        <v>13500</v>
      </c>
      <c r="H1183" s="5">
        <f t="shared" si="35"/>
        <v>0</v>
      </c>
      <c r="I1183" s="6"/>
      <c r="J1183" s="43"/>
      <c r="K1183" s="51"/>
      <c r="L1183" s="86"/>
    </row>
    <row r="1184" spans="1:12" ht="15" x14ac:dyDescent="0.25">
      <c r="A1184" s="1">
        <v>1175</v>
      </c>
      <c r="B1184" s="1" t="s">
        <v>163</v>
      </c>
      <c r="C1184" s="85">
        <v>3158</v>
      </c>
      <c r="D1184" s="1">
        <v>30000</v>
      </c>
      <c r="E1184" s="1"/>
      <c r="F1184" s="1">
        <v>324.55</v>
      </c>
      <c r="G1184" s="1">
        <v>30000</v>
      </c>
      <c r="H1184" s="5">
        <f t="shared" si="35"/>
        <v>0</v>
      </c>
      <c r="I1184" s="6"/>
      <c r="J1184" s="43"/>
      <c r="K1184" s="51"/>
      <c r="L1184" s="86"/>
    </row>
    <row r="1185" spans="1:12" ht="15" x14ac:dyDescent="0.25">
      <c r="A1185" s="1">
        <v>1176</v>
      </c>
      <c r="B1185" s="1" t="s">
        <v>163</v>
      </c>
      <c r="C1185" s="85">
        <v>2943</v>
      </c>
      <c r="D1185" s="1">
        <v>30000</v>
      </c>
      <c r="E1185" s="1"/>
      <c r="F1185" s="1">
        <v>324.55</v>
      </c>
      <c r="G1185" s="1">
        <v>30000</v>
      </c>
      <c r="H1185" s="5">
        <f t="shared" si="35"/>
        <v>0</v>
      </c>
      <c r="I1185" s="6"/>
      <c r="J1185" s="43"/>
      <c r="K1185" s="51"/>
      <c r="L1185" s="86"/>
    </row>
    <row r="1186" spans="1:12" ht="15" x14ac:dyDescent="0.25">
      <c r="A1186" s="1">
        <v>1177</v>
      </c>
      <c r="B1186" s="1" t="s">
        <v>163</v>
      </c>
      <c r="C1186" s="85" t="s">
        <v>61</v>
      </c>
      <c r="D1186" s="1">
        <v>7000</v>
      </c>
      <c r="E1186" s="1"/>
      <c r="F1186" s="1">
        <v>78.069999999999993</v>
      </c>
      <c r="G1186" s="1">
        <v>7000</v>
      </c>
      <c r="H1186" s="5">
        <f t="shared" si="35"/>
        <v>0</v>
      </c>
      <c r="I1186" s="6"/>
      <c r="J1186" s="43"/>
      <c r="K1186" s="51"/>
      <c r="L1186" s="86"/>
    </row>
    <row r="1187" spans="1:12" ht="15" x14ac:dyDescent="0.25">
      <c r="A1187" s="1">
        <v>1178</v>
      </c>
      <c r="B1187" s="1" t="s">
        <v>163</v>
      </c>
      <c r="C1187" s="85">
        <v>9831</v>
      </c>
      <c r="D1187" s="1">
        <v>20000</v>
      </c>
      <c r="E1187" s="1"/>
      <c r="F1187" s="1">
        <v>223.06</v>
      </c>
      <c r="G1187" s="1">
        <v>20000</v>
      </c>
      <c r="H1187" s="5">
        <f t="shared" si="35"/>
        <v>0</v>
      </c>
      <c r="I1187" s="6"/>
      <c r="J1187" s="43"/>
      <c r="K1187" s="51"/>
      <c r="L1187" s="86"/>
    </row>
    <row r="1188" spans="1:12" ht="15" x14ac:dyDescent="0.25">
      <c r="A1188" s="1">
        <v>1179</v>
      </c>
      <c r="B1188" s="1" t="s">
        <v>163</v>
      </c>
      <c r="C1188" s="85">
        <v>1009</v>
      </c>
      <c r="D1188" s="1">
        <v>20000</v>
      </c>
      <c r="E1188" s="1"/>
      <c r="F1188" s="1">
        <v>223.06</v>
      </c>
      <c r="G1188" s="1">
        <v>20000</v>
      </c>
      <c r="H1188" s="5">
        <f t="shared" si="35"/>
        <v>0</v>
      </c>
      <c r="I1188" s="6"/>
      <c r="J1188" s="43"/>
      <c r="K1188" s="51"/>
      <c r="L1188" s="86"/>
    </row>
    <row r="1189" spans="1:12" ht="15" x14ac:dyDescent="0.25">
      <c r="A1189" s="1">
        <v>1180</v>
      </c>
      <c r="B1189" s="1" t="s">
        <v>163</v>
      </c>
      <c r="C1189" s="85">
        <v>111</v>
      </c>
      <c r="D1189" s="1">
        <v>20000</v>
      </c>
      <c r="E1189" s="1"/>
      <c r="F1189" s="1">
        <v>223.06</v>
      </c>
      <c r="G1189" s="1">
        <v>20000</v>
      </c>
      <c r="H1189" s="5">
        <f t="shared" si="35"/>
        <v>0</v>
      </c>
      <c r="I1189" s="6"/>
      <c r="J1189" s="43"/>
      <c r="K1189" s="51"/>
      <c r="L1189" s="86"/>
    </row>
    <row r="1190" spans="1:12" ht="15" x14ac:dyDescent="0.25">
      <c r="A1190" s="1">
        <v>1181</v>
      </c>
      <c r="B1190" s="1" t="s">
        <v>163</v>
      </c>
      <c r="C1190" s="85">
        <v>6751</v>
      </c>
      <c r="D1190" s="1">
        <v>25000</v>
      </c>
      <c r="E1190" s="1"/>
      <c r="F1190" s="1">
        <v>278.83</v>
      </c>
      <c r="G1190" s="1">
        <v>25000</v>
      </c>
      <c r="H1190" s="5">
        <f t="shared" si="35"/>
        <v>0</v>
      </c>
      <c r="I1190" s="6"/>
      <c r="J1190" s="43"/>
      <c r="K1190" s="51"/>
      <c r="L1190" s="86"/>
    </row>
    <row r="1191" spans="1:12" ht="15" x14ac:dyDescent="0.25">
      <c r="A1191" s="1">
        <v>1182</v>
      </c>
      <c r="B1191" s="1" t="s">
        <v>163</v>
      </c>
      <c r="C1191" s="85">
        <v>6267</v>
      </c>
      <c r="D1191" s="1">
        <v>22000</v>
      </c>
      <c r="E1191" s="1"/>
      <c r="F1191" s="1">
        <v>245.37</v>
      </c>
      <c r="G1191" s="1">
        <v>22000</v>
      </c>
      <c r="H1191" s="5">
        <f t="shared" ref="H1191:H1259" si="36">D1191-G1191</f>
        <v>0</v>
      </c>
      <c r="I1191" s="6"/>
      <c r="J1191" s="43"/>
      <c r="K1191" s="51"/>
      <c r="L1191" s="86"/>
    </row>
    <row r="1192" spans="1:12" ht="15" x14ac:dyDescent="0.25">
      <c r="A1192" s="1">
        <v>1183</v>
      </c>
      <c r="B1192" s="1" t="s">
        <v>163</v>
      </c>
      <c r="C1192" s="85">
        <v>4702</v>
      </c>
      <c r="D1192" s="1">
        <v>17000</v>
      </c>
      <c r="E1192" s="1"/>
      <c r="F1192" s="1">
        <v>163.44999999999999</v>
      </c>
      <c r="G1192" s="1">
        <v>17000</v>
      </c>
      <c r="H1192" s="5">
        <f t="shared" si="36"/>
        <v>0</v>
      </c>
      <c r="I1192" s="6"/>
      <c r="J1192" s="43"/>
      <c r="K1192" s="51"/>
      <c r="L1192" s="86"/>
    </row>
    <row r="1193" spans="1:12" ht="15" x14ac:dyDescent="0.25">
      <c r="A1193" s="1">
        <v>1184</v>
      </c>
      <c r="B1193" s="1" t="s">
        <v>163</v>
      </c>
      <c r="C1193" s="85">
        <v>202</v>
      </c>
      <c r="D1193" s="1">
        <v>30000</v>
      </c>
      <c r="E1193" s="1"/>
      <c r="F1193" s="1">
        <v>324.55</v>
      </c>
      <c r="G1193" s="1">
        <v>30000</v>
      </c>
      <c r="H1193" s="5">
        <f t="shared" si="36"/>
        <v>0</v>
      </c>
      <c r="I1193" s="6"/>
      <c r="J1193" s="43"/>
      <c r="K1193" s="51"/>
      <c r="L1193" s="86"/>
    </row>
    <row r="1194" spans="1:12" ht="15" x14ac:dyDescent="0.25">
      <c r="A1194" s="1">
        <v>1185</v>
      </c>
      <c r="B1194" s="1" t="s">
        <v>163</v>
      </c>
      <c r="C1194" s="85">
        <v>7491</v>
      </c>
      <c r="D1194" s="1">
        <v>30000</v>
      </c>
      <c r="E1194" s="1"/>
      <c r="F1194" s="1">
        <v>324.55</v>
      </c>
      <c r="G1194" s="1">
        <v>30000</v>
      </c>
      <c r="H1194" s="5">
        <f t="shared" si="36"/>
        <v>0</v>
      </c>
      <c r="I1194" s="6"/>
      <c r="J1194" s="43"/>
      <c r="K1194" s="51"/>
      <c r="L1194" s="86"/>
    </row>
    <row r="1195" spans="1:12" ht="15" x14ac:dyDescent="0.25">
      <c r="A1195" s="1">
        <v>1186</v>
      </c>
      <c r="B1195" s="1" t="s">
        <v>163</v>
      </c>
      <c r="C1195" s="85">
        <v>8039</v>
      </c>
      <c r="D1195" s="1">
        <v>30000</v>
      </c>
      <c r="E1195" s="1"/>
      <c r="F1195" s="1">
        <v>324.55</v>
      </c>
      <c r="G1195" s="1">
        <v>30000</v>
      </c>
      <c r="H1195" s="5">
        <f t="shared" si="36"/>
        <v>0</v>
      </c>
      <c r="I1195" s="6"/>
      <c r="J1195" s="43"/>
      <c r="K1195" s="51"/>
      <c r="L1195" s="86">
        <f>2399394-2280301</f>
        <v>119093</v>
      </c>
    </row>
    <row r="1196" spans="1:12" ht="15" x14ac:dyDescent="0.25">
      <c r="A1196" s="1">
        <v>1187</v>
      </c>
      <c r="B1196" s="1" t="s">
        <v>163</v>
      </c>
      <c r="C1196" s="85">
        <v>8254</v>
      </c>
      <c r="D1196" s="1">
        <v>25000</v>
      </c>
      <c r="E1196" s="1"/>
      <c r="F1196" s="1">
        <v>278.83</v>
      </c>
      <c r="G1196" s="1">
        <v>25000</v>
      </c>
      <c r="H1196" s="5">
        <f t="shared" si="36"/>
        <v>0</v>
      </c>
      <c r="I1196" s="6"/>
      <c r="J1196" s="43"/>
      <c r="K1196" s="51"/>
      <c r="L1196" s="86"/>
    </row>
    <row r="1197" spans="1:12" ht="15" x14ac:dyDescent="0.25">
      <c r="A1197" s="1">
        <v>1188</v>
      </c>
      <c r="B1197" s="1" t="s">
        <v>164</v>
      </c>
      <c r="C1197" s="85" t="s">
        <v>61</v>
      </c>
      <c r="D1197" s="1">
        <v>4500</v>
      </c>
      <c r="E1197" s="1"/>
      <c r="F1197" s="1">
        <v>50.19</v>
      </c>
      <c r="G1197" s="1">
        <v>4500</v>
      </c>
      <c r="H1197" s="5">
        <f t="shared" si="36"/>
        <v>0</v>
      </c>
      <c r="I1197" s="6"/>
      <c r="J1197" s="43"/>
      <c r="K1197" s="51"/>
      <c r="L1197" s="86"/>
    </row>
    <row r="1198" spans="1:12" ht="15" x14ac:dyDescent="0.25">
      <c r="A1198" s="1">
        <v>1189</v>
      </c>
      <c r="B1198" s="1" t="s">
        <v>164</v>
      </c>
      <c r="C1198" s="85">
        <v>1550</v>
      </c>
      <c r="D1198" s="1">
        <v>12000</v>
      </c>
      <c r="E1198" s="1"/>
      <c r="F1198" s="1">
        <v>133.83000000000001</v>
      </c>
      <c r="G1198" s="1">
        <v>12000</v>
      </c>
      <c r="H1198" s="5">
        <f t="shared" si="36"/>
        <v>0</v>
      </c>
      <c r="I1198" s="6"/>
      <c r="J1198" s="43"/>
      <c r="K1198" s="51"/>
      <c r="L1198" s="86"/>
    </row>
    <row r="1199" spans="1:12" ht="15" x14ac:dyDescent="0.25">
      <c r="A1199" s="1">
        <v>1190</v>
      </c>
      <c r="B1199" s="1" t="s">
        <v>164</v>
      </c>
      <c r="C1199" s="85">
        <v>4156</v>
      </c>
      <c r="D1199" s="1">
        <v>30000</v>
      </c>
      <c r="E1199" s="1"/>
      <c r="F1199" s="1">
        <v>324.55</v>
      </c>
      <c r="G1199" s="1">
        <v>30000</v>
      </c>
      <c r="H1199" s="5">
        <f t="shared" si="36"/>
        <v>0</v>
      </c>
      <c r="I1199" s="6"/>
      <c r="J1199" s="43"/>
      <c r="K1199" s="51"/>
      <c r="L1199" s="86"/>
    </row>
    <row r="1200" spans="1:12" ht="15" x14ac:dyDescent="0.25">
      <c r="A1200" s="1">
        <v>1191</v>
      </c>
      <c r="B1200" s="1" t="s">
        <v>164</v>
      </c>
      <c r="C1200" s="85">
        <v>6206</v>
      </c>
      <c r="D1200" s="1">
        <v>22000</v>
      </c>
      <c r="E1200" s="1"/>
      <c r="F1200" s="1">
        <v>245.37</v>
      </c>
      <c r="G1200" s="1">
        <v>22000</v>
      </c>
      <c r="H1200" s="5">
        <f t="shared" si="36"/>
        <v>0</v>
      </c>
      <c r="I1200" s="6"/>
      <c r="J1200" s="43"/>
      <c r="K1200" s="51"/>
      <c r="L1200" s="86"/>
    </row>
    <row r="1201" spans="1:12" ht="15" x14ac:dyDescent="0.25">
      <c r="A1201" s="1">
        <v>1192</v>
      </c>
      <c r="B1201" s="1" t="s">
        <v>164</v>
      </c>
      <c r="C1201" s="32">
        <v>8113</v>
      </c>
      <c r="D1201" s="1">
        <v>18000</v>
      </c>
      <c r="E1201" s="1"/>
      <c r="F1201" s="1">
        <v>200.76</v>
      </c>
      <c r="G1201" s="1">
        <v>18000</v>
      </c>
      <c r="H1201" s="5">
        <f t="shared" si="36"/>
        <v>0</v>
      </c>
      <c r="I1201" s="6"/>
      <c r="J1201" s="43"/>
      <c r="K1201" s="51"/>
      <c r="L1201" s="86"/>
    </row>
    <row r="1202" spans="1:12" ht="15" x14ac:dyDescent="0.25">
      <c r="A1202" s="1">
        <v>1193</v>
      </c>
      <c r="B1202" s="1" t="s">
        <v>164</v>
      </c>
      <c r="C1202" s="32">
        <v>2829</v>
      </c>
      <c r="D1202" s="1">
        <v>18000</v>
      </c>
      <c r="E1202" s="1"/>
      <c r="F1202" s="1">
        <v>200.76</v>
      </c>
      <c r="G1202" s="1">
        <v>18000</v>
      </c>
      <c r="H1202" s="5">
        <f t="shared" si="36"/>
        <v>0</v>
      </c>
      <c r="I1202" s="6"/>
      <c r="J1202" s="43"/>
      <c r="K1202" s="51"/>
      <c r="L1202" s="86"/>
    </row>
    <row r="1203" spans="1:12" ht="15" x14ac:dyDescent="0.25">
      <c r="A1203" s="1">
        <v>1194</v>
      </c>
      <c r="B1203" s="1" t="s">
        <v>164</v>
      </c>
      <c r="C1203" s="32">
        <v>7940</v>
      </c>
      <c r="D1203" s="1">
        <v>18000</v>
      </c>
      <c r="E1203" s="1"/>
      <c r="F1203" s="1">
        <v>200.76</v>
      </c>
      <c r="G1203" s="1">
        <v>18000</v>
      </c>
      <c r="H1203" s="5">
        <f t="shared" si="36"/>
        <v>0</v>
      </c>
      <c r="I1203" s="6"/>
      <c r="J1203" s="43"/>
      <c r="K1203" s="51"/>
      <c r="L1203" s="86"/>
    </row>
    <row r="1204" spans="1:12" ht="15" x14ac:dyDescent="0.25">
      <c r="A1204" s="1">
        <v>1195</v>
      </c>
      <c r="B1204" s="1" t="s">
        <v>164</v>
      </c>
      <c r="C1204" s="32">
        <v>5566</v>
      </c>
      <c r="D1204" s="1">
        <v>22000</v>
      </c>
      <c r="E1204" s="1"/>
      <c r="F1204" s="1">
        <v>245.37</v>
      </c>
      <c r="G1204" s="1">
        <v>22000</v>
      </c>
      <c r="H1204" s="5">
        <f t="shared" si="36"/>
        <v>0</v>
      </c>
      <c r="I1204" s="6"/>
      <c r="J1204" s="43"/>
      <c r="K1204" s="51"/>
      <c r="L1204" s="86"/>
    </row>
    <row r="1205" spans="1:12" ht="15" x14ac:dyDescent="0.25">
      <c r="A1205" s="1">
        <v>1196</v>
      </c>
      <c r="B1205" s="1" t="s">
        <v>164</v>
      </c>
      <c r="C1205" s="32">
        <v>389</v>
      </c>
      <c r="D1205" s="1">
        <v>22000</v>
      </c>
      <c r="E1205" s="1"/>
      <c r="F1205" s="1">
        <v>245.37</v>
      </c>
      <c r="G1205" s="1">
        <v>22000</v>
      </c>
      <c r="H1205" s="5">
        <f t="shared" si="36"/>
        <v>0</v>
      </c>
      <c r="I1205" s="6"/>
      <c r="J1205" s="43"/>
      <c r="K1205" s="51"/>
      <c r="L1205" s="86"/>
    </row>
    <row r="1206" spans="1:12" ht="15" x14ac:dyDescent="0.25">
      <c r="A1206" s="1">
        <v>1197</v>
      </c>
      <c r="B1206" s="1" t="s">
        <v>164</v>
      </c>
      <c r="C1206" s="32">
        <v>4093</v>
      </c>
      <c r="D1206" s="1">
        <v>10000</v>
      </c>
      <c r="E1206" s="1"/>
      <c r="F1206" s="1">
        <v>111.53</v>
      </c>
      <c r="G1206" s="1">
        <v>10000</v>
      </c>
      <c r="H1206" s="5">
        <f t="shared" si="36"/>
        <v>0</v>
      </c>
      <c r="I1206" s="6"/>
      <c r="J1206" s="43"/>
      <c r="K1206" s="51"/>
      <c r="L1206" s="86"/>
    </row>
    <row r="1207" spans="1:12" ht="15" x14ac:dyDescent="0.25">
      <c r="A1207" s="1">
        <v>1198</v>
      </c>
      <c r="B1207" s="1" t="s">
        <v>164</v>
      </c>
      <c r="C1207" s="32">
        <v>7071</v>
      </c>
      <c r="D1207" s="1">
        <v>26000</v>
      </c>
      <c r="E1207" s="1"/>
      <c r="F1207" s="1">
        <v>289</v>
      </c>
      <c r="G1207" s="1">
        <v>26000</v>
      </c>
      <c r="H1207" s="5">
        <f t="shared" si="36"/>
        <v>0</v>
      </c>
      <c r="I1207" s="6"/>
      <c r="J1207" s="43"/>
      <c r="K1207" s="51"/>
      <c r="L1207" s="86"/>
    </row>
    <row r="1208" spans="1:12" ht="15" x14ac:dyDescent="0.25">
      <c r="A1208" s="1">
        <v>1199</v>
      </c>
      <c r="B1208" s="1" t="s">
        <v>164</v>
      </c>
      <c r="C1208" s="32">
        <v>8705</v>
      </c>
      <c r="D1208" s="1">
        <v>25000</v>
      </c>
      <c r="E1208" s="1"/>
      <c r="F1208" s="1">
        <v>278.83</v>
      </c>
      <c r="G1208" s="1">
        <v>25000</v>
      </c>
      <c r="H1208" s="5">
        <f t="shared" si="36"/>
        <v>0</v>
      </c>
      <c r="I1208" s="6"/>
      <c r="J1208" s="43"/>
      <c r="K1208" s="51"/>
      <c r="L1208" s="86"/>
    </row>
    <row r="1209" spans="1:12" ht="15" x14ac:dyDescent="0.25">
      <c r="A1209" s="1">
        <v>1200</v>
      </c>
      <c r="B1209" s="1" t="s">
        <v>164</v>
      </c>
      <c r="C1209" s="32">
        <v>1476</v>
      </c>
      <c r="D1209" s="1">
        <v>30000</v>
      </c>
      <c r="E1209" s="1"/>
      <c r="F1209" s="1">
        <v>334.6</v>
      </c>
      <c r="G1209" s="1">
        <v>30000</v>
      </c>
      <c r="H1209" s="5">
        <f t="shared" si="36"/>
        <v>0</v>
      </c>
      <c r="I1209" s="6"/>
      <c r="J1209" s="43"/>
      <c r="K1209" s="51"/>
      <c r="L1209" s="86"/>
    </row>
    <row r="1210" spans="1:12" ht="15" x14ac:dyDescent="0.25">
      <c r="A1210" s="1">
        <v>1201</v>
      </c>
      <c r="B1210" s="1" t="s">
        <v>164</v>
      </c>
      <c r="C1210" s="32">
        <v>4729</v>
      </c>
      <c r="D1210" s="1">
        <v>30000</v>
      </c>
      <c r="E1210" s="1"/>
      <c r="F1210" s="1">
        <v>334.6</v>
      </c>
      <c r="G1210" s="1">
        <v>30000</v>
      </c>
      <c r="H1210" s="5">
        <f t="shared" si="36"/>
        <v>0</v>
      </c>
      <c r="I1210" s="6"/>
      <c r="J1210" s="43"/>
      <c r="K1210" s="51"/>
      <c r="L1210" s="86">
        <v>19184</v>
      </c>
    </row>
    <row r="1211" spans="1:12" ht="15" x14ac:dyDescent="0.25">
      <c r="A1211" s="1">
        <v>1202</v>
      </c>
      <c r="B1211" s="1" t="s">
        <v>165</v>
      </c>
      <c r="C1211" s="32">
        <v>4204</v>
      </c>
      <c r="D1211" s="1">
        <v>14000</v>
      </c>
      <c r="E1211" s="1"/>
      <c r="F1211" s="1">
        <v>156.15</v>
      </c>
      <c r="G1211" s="1">
        <v>14000</v>
      </c>
      <c r="H1211" s="5">
        <f t="shared" si="36"/>
        <v>0</v>
      </c>
      <c r="I1211" s="6"/>
      <c r="J1211" s="43"/>
      <c r="K1211" s="51"/>
      <c r="L1211" s="86"/>
    </row>
    <row r="1212" spans="1:12" ht="15" x14ac:dyDescent="0.25">
      <c r="A1212" s="1">
        <v>1203</v>
      </c>
      <c r="B1212" s="1" t="s">
        <v>165</v>
      </c>
      <c r="C1212" s="32">
        <v>209</v>
      </c>
      <c r="D1212" s="1">
        <v>20000</v>
      </c>
      <c r="E1212" s="1"/>
      <c r="F1212" s="1">
        <v>223.06</v>
      </c>
      <c r="G1212" s="1">
        <v>20000</v>
      </c>
      <c r="H1212" s="5">
        <f t="shared" si="36"/>
        <v>0</v>
      </c>
      <c r="I1212" s="6"/>
      <c r="J1212" s="43"/>
      <c r="K1212" s="51"/>
      <c r="L1212" s="86"/>
    </row>
    <row r="1213" spans="1:12" ht="15" x14ac:dyDescent="0.25">
      <c r="A1213" s="1">
        <v>1204</v>
      </c>
      <c r="B1213" s="1" t="s">
        <v>165</v>
      </c>
      <c r="C1213" s="32">
        <v>4608</v>
      </c>
      <c r="D1213" s="1">
        <v>22000</v>
      </c>
      <c r="E1213" s="1"/>
      <c r="F1213" s="1">
        <v>245.37</v>
      </c>
      <c r="G1213" s="1">
        <v>22000</v>
      </c>
      <c r="H1213" s="5">
        <f t="shared" si="36"/>
        <v>0</v>
      </c>
      <c r="I1213" s="6"/>
      <c r="J1213" s="43"/>
      <c r="K1213" s="51"/>
      <c r="L1213" s="86"/>
    </row>
    <row r="1214" spans="1:12" ht="15" x14ac:dyDescent="0.25">
      <c r="A1214" s="1">
        <v>1205</v>
      </c>
      <c r="B1214" s="1" t="s">
        <v>165</v>
      </c>
      <c r="C1214" s="32">
        <v>7347</v>
      </c>
      <c r="D1214" s="1">
        <v>20000</v>
      </c>
      <c r="E1214" s="1"/>
      <c r="F1214" s="1">
        <v>223.06</v>
      </c>
      <c r="G1214" s="1">
        <v>20000</v>
      </c>
      <c r="H1214" s="5">
        <f t="shared" si="36"/>
        <v>0</v>
      </c>
      <c r="I1214" s="6"/>
      <c r="J1214" s="43"/>
      <c r="K1214" s="51"/>
      <c r="L1214" s="86"/>
    </row>
    <row r="1215" spans="1:12" ht="15" x14ac:dyDescent="0.25">
      <c r="A1215" s="1">
        <v>1206</v>
      </c>
      <c r="B1215" s="1" t="s">
        <v>165</v>
      </c>
      <c r="C1215" s="32">
        <v>9409</v>
      </c>
      <c r="D1215" s="1">
        <v>18000</v>
      </c>
      <c r="E1215" s="1"/>
      <c r="F1215" s="1">
        <v>191</v>
      </c>
      <c r="G1215" s="1">
        <v>18000</v>
      </c>
      <c r="H1215" s="5">
        <f t="shared" si="36"/>
        <v>0</v>
      </c>
      <c r="I1215" s="6"/>
      <c r="J1215" s="43"/>
      <c r="K1215" s="51"/>
      <c r="L1215" s="86"/>
    </row>
    <row r="1216" spans="1:12" ht="15" x14ac:dyDescent="0.25">
      <c r="A1216" s="1">
        <v>1207</v>
      </c>
      <c r="B1216" s="1" t="s">
        <v>165</v>
      </c>
      <c r="C1216" s="32">
        <v>65</v>
      </c>
      <c r="D1216" s="1">
        <v>5000</v>
      </c>
      <c r="E1216" s="1"/>
      <c r="F1216" s="1">
        <v>55.76</v>
      </c>
      <c r="G1216" s="1">
        <v>5000</v>
      </c>
      <c r="H1216" s="5">
        <f t="shared" si="36"/>
        <v>0</v>
      </c>
      <c r="I1216" s="6"/>
      <c r="J1216" s="43"/>
      <c r="K1216" s="51"/>
      <c r="L1216" s="86"/>
    </row>
    <row r="1217" spans="1:12" ht="15" x14ac:dyDescent="0.25">
      <c r="A1217" s="1">
        <v>1208</v>
      </c>
      <c r="B1217" s="1" t="s">
        <v>165</v>
      </c>
      <c r="C1217" s="32">
        <v>6461</v>
      </c>
      <c r="D1217" s="1">
        <v>30000</v>
      </c>
      <c r="E1217" s="1"/>
      <c r="F1217" s="1">
        <v>324.55</v>
      </c>
      <c r="G1217" s="1">
        <v>30000</v>
      </c>
      <c r="H1217" s="5">
        <f t="shared" si="36"/>
        <v>0</v>
      </c>
      <c r="I1217" s="6"/>
      <c r="J1217" s="43"/>
      <c r="K1217" s="51"/>
      <c r="L1217" s="86"/>
    </row>
    <row r="1218" spans="1:12" ht="15" x14ac:dyDescent="0.25">
      <c r="A1218" s="1">
        <v>1209</v>
      </c>
      <c r="B1218" s="1" t="s">
        <v>165</v>
      </c>
      <c r="C1218" s="32" t="s">
        <v>61</v>
      </c>
      <c r="D1218" s="1">
        <v>4500</v>
      </c>
      <c r="E1218" s="1"/>
      <c r="F1218" s="1">
        <v>50.14</v>
      </c>
      <c r="G1218" s="1">
        <v>4500</v>
      </c>
      <c r="H1218" s="5">
        <f t="shared" si="36"/>
        <v>0</v>
      </c>
      <c r="I1218" s="6"/>
      <c r="J1218" s="43"/>
      <c r="K1218" s="51"/>
      <c r="L1218" s="86"/>
    </row>
    <row r="1219" spans="1:12" ht="15" x14ac:dyDescent="0.25">
      <c r="A1219" s="1">
        <v>1210</v>
      </c>
      <c r="B1219" s="1" t="s">
        <v>165</v>
      </c>
      <c r="C1219" s="32">
        <v>1313</v>
      </c>
      <c r="D1219" s="1">
        <v>29000</v>
      </c>
      <c r="E1219" s="1"/>
      <c r="F1219" s="1">
        <v>312</v>
      </c>
      <c r="G1219" s="1">
        <v>29000</v>
      </c>
      <c r="H1219" s="5">
        <f t="shared" si="36"/>
        <v>0</v>
      </c>
      <c r="I1219" s="6"/>
      <c r="J1219" s="43"/>
      <c r="K1219" s="51"/>
      <c r="L1219" s="86"/>
    </row>
    <row r="1220" spans="1:12" ht="15" x14ac:dyDescent="0.25">
      <c r="A1220" s="1">
        <v>1211</v>
      </c>
      <c r="B1220" s="1" t="s">
        <v>165</v>
      </c>
      <c r="C1220" s="32">
        <v>4359</v>
      </c>
      <c r="D1220" s="1">
        <v>18000</v>
      </c>
      <c r="E1220" s="5"/>
      <c r="F1220" s="1">
        <v>165</v>
      </c>
      <c r="G1220" s="1">
        <v>18000</v>
      </c>
      <c r="H1220" s="5">
        <f t="shared" si="36"/>
        <v>0</v>
      </c>
      <c r="I1220" s="6"/>
      <c r="J1220" s="43"/>
      <c r="K1220" s="51"/>
      <c r="L1220" s="86">
        <f>1870985-1851801</f>
        <v>19184</v>
      </c>
    </row>
    <row r="1221" spans="1:12" ht="15" x14ac:dyDescent="0.25">
      <c r="A1221" s="1">
        <v>1212</v>
      </c>
      <c r="B1221" s="1" t="s">
        <v>168</v>
      </c>
      <c r="C1221" s="32" t="s">
        <v>66</v>
      </c>
      <c r="D1221" s="1">
        <v>200</v>
      </c>
      <c r="E1221" s="1"/>
      <c r="F1221" s="1"/>
      <c r="G1221" s="1">
        <v>200</v>
      </c>
      <c r="H1221" s="5">
        <f t="shared" si="36"/>
        <v>0</v>
      </c>
      <c r="I1221" s="6"/>
      <c r="J1221" s="43"/>
      <c r="K1221" s="51"/>
      <c r="L1221" s="86"/>
    </row>
    <row r="1222" spans="1:12" ht="15" x14ac:dyDescent="0.25">
      <c r="A1222" s="1">
        <v>1213</v>
      </c>
      <c r="B1222" s="1" t="s">
        <v>168</v>
      </c>
      <c r="C1222" s="32">
        <v>6581</v>
      </c>
      <c r="D1222" s="1">
        <v>14000</v>
      </c>
      <c r="E1222" s="1"/>
      <c r="F1222" s="1">
        <v>156.15</v>
      </c>
      <c r="G1222" s="1">
        <v>14000</v>
      </c>
      <c r="H1222" s="5">
        <f t="shared" si="36"/>
        <v>0</v>
      </c>
      <c r="I1222" s="6"/>
      <c r="J1222" s="43"/>
      <c r="K1222" s="51"/>
      <c r="L1222" s="86"/>
    </row>
    <row r="1223" spans="1:12" ht="15" x14ac:dyDescent="0.25">
      <c r="A1223" s="1">
        <v>1214</v>
      </c>
      <c r="B1223" s="1" t="s">
        <v>168</v>
      </c>
      <c r="C1223" s="32">
        <v>2328</v>
      </c>
      <c r="D1223" s="1">
        <v>20000</v>
      </c>
      <c r="E1223" s="1"/>
      <c r="F1223" s="1">
        <v>223.06</v>
      </c>
      <c r="G1223" s="1">
        <v>20000</v>
      </c>
      <c r="H1223" s="5">
        <f t="shared" si="36"/>
        <v>0</v>
      </c>
      <c r="I1223" s="6"/>
      <c r="J1223" s="43"/>
      <c r="K1223" s="51"/>
      <c r="L1223" s="86"/>
    </row>
    <row r="1224" spans="1:12" ht="15" x14ac:dyDescent="0.25">
      <c r="A1224" s="1">
        <v>1215</v>
      </c>
      <c r="B1224" s="1" t="s">
        <v>168</v>
      </c>
      <c r="C1224" s="32">
        <v>1767</v>
      </c>
      <c r="D1224" s="1">
        <v>30000</v>
      </c>
      <c r="E1224" s="1"/>
      <c r="F1224" s="1">
        <v>334.6</v>
      </c>
      <c r="G1224" s="1">
        <v>30000</v>
      </c>
      <c r="H1224" s="5">
        <f t="shared" si="36"/>
        <v>0</v>
      </c>
      <c r="I1224" s="6"/>
      <c r="J1224" s="43"/>
      <c r="K1224" s="51"/>
      <c r="L1224" s="86"/>
    </row>
    <row r="1225" spans="1:12" ht="15" x14ac:dyDescent="0.25">
      <c r="A1225" s="1">
        <v>1216</v>
      </c>
      <c r="B1225" s="1" t="s">
        <v>168</v>
      </c>
      <c r="C1225" s="32">
        <v>5028</v>
      </c>
      <c r="D1225" s="1">
        <v>30000</v>
      </c>
      <c r="E1225" s="1"/>
      <c r="F1225" s="1">
        <v>298.58999999999997</v>
      </c>
      <c r="G1225" s="1">
        <v>30000</v>
      </c>
      <c r="H1225" s="5">
        <f t="shared" si="36"/>
        <v>0</v>
      </c>
      <c r="I1225" s="6"/>
      <c r="J1225" s="43"/>
      <c r="K1225" s="51"/>
      <c r="L1225" s="86"/>
    </row>
    <row r="1226" spans="1:12" ht="15" x14ac:dyDescent="0.25">
      <c r="A1226" s="1">
        <v>1217</v>
      </c>
      <c r="B1226" s="1" t="s">
        <v>168</v>
      </c>
      <c r="C1226" s="32">
        <v>5601</v>
      </c>
      <c r="D1226" s="1">
        <v>24000</v>
      </c>
      <c r="E1226" s="1"/>
      <c r="F1226" s="1">
        <v>237</v>
      </c>
      <c r="G1226" s="1">
        <v>24000</v>
      </c>
      <c r="H1226" s="5">
        <f t="shared" si="36"/>
        <v>0</v>
      </c>
      <c r="I1226" s="6"/>
      <c r="J1226" s="43"/>
      <c r="K1226" s="51"/>
      <c r="L1226" s="86"/>
    </row>
    <row r="1227" spans="1:12" ht="15" x14ac:dyDescent="0.25">
      <c r="A1227" s="1">
        <v>1218</v>
      </c>
      <c r="B1227" s="1" t="s">
        <v>168</v>
      </c>
      <c r="C1227" s="32">
        <v>5821</v>
      </c>
      <c r="D1227" s="1">
        <v>18000</v>
      </c>
      <c r="E1227" s="1"/>
      <c r="F1227" s="1">
        <v>220.75</v>
      </c>
      <c r="G1227" s="1">
        <v>18000</v>
      </c>
      <c r="H1227" s="5">
        <f t="shared" si="36"/>
        <v>0</v>
      </c>
      <c r="I1227" s="6"/>
      <c r="J1227" s="43"/>
      <c r="K1227" s="51"/>
      <c r="L1227" s="86"/>
    </row>
    <row r="1228" spans="1:12" ht="15" x14ac:dyDescent="0.25">
      <c r="A1228" s="1">
        <v>1219</v>
      </c>
      <c r="B1228" s="1" t="s">
        <v>169</v>
      </c>
      <c r="C1228" s="32" t="s">
        <v>61</v>
      </c>
      <c r="D1228" s="1">
        <v>4500</v>
      </c>
      <c r="E1228" s="1"/>
      <c r="F1228" s="1">
        <v>50.19</v>
      </c>
      <c r="G1228" s="1">
        <v>4500</v>
      </c>
      <c r="H1228" s="5">
        <f t="shared" si="36"/>
        <v>0</v>
      </c>
      <c r="I1228" s="6"/>
      <c r="J1228" s="43"/>
      <c r="K1228" s="51"/>
      <c r="L1228" s="86"/>
    </row>
    <row r="1229" spans="1:12" ht="15" x14ac:dyDescent="0.25">
      <c r="A1229" s="1">
        <v>1220</v>
      </c>
      <c r="B1229" s="1" t="s">
        <v>169</v>
      </c>
      <c r="C1229" s="32" t="s">
        <v>61</v>
      </c>
      <c r="D1229" s="1">
        <v>5000</v>
      </c>
      <c r="E1229" s="1"/>
      <c r="F1229" s="1">
        <v>55.77</v>
      </c>
      <c r="G1229" s="1">
        <v>5000</v>
      </c>
      <c r="H1229" s="5">
        <f t="shared" si="36"/>
        <v>0</v>
      </c>
      <c r="I1229" s="6"/>
      <c r="J1229" s="43"/>
      <c r="K1229" s="51"/>
      <c r="L1229" s="86"/>
    </row>
    <row r="1230" spans="1:12" ht="15" x14ac:dyDescent="0.25">
      <c r="A1230" s="1">
        <v>1221</v>
      </c>
      <c r="B1230" s="1" t="s">
        <v>169</v>
      </c>
      <c r="C1230" s="32">
        <v>5172</v>
      </c>
      <c r="D1230" s="1">
        <v>30000</v>
      </c>
      <c r="E1230" s="1"/>
      <c r="F1230" s="1">
        <v>310.06</v>
      </c>
      <c r="G1230" s="1">
        <v>30000</v>
      </c>
      <c r="H1230" s="5">
        <f t="shared" si="36"/>
        <v>0</v>
      </c>
      <c r="I1230" s="6"/>
      <c r="J1230" s="43"/>
      <c r="K1230" s="51"/>
      <c r="L1230" s="86"/>
    </row>
    <row r="1231" spans="1:12" ht="15" x14ac:dyDescent="0.25">
      <c r="A1231" s="1">
        <v>1222</v>
      </c>
      <c r="B1231" s="1" t="s">
        <v>169</v>
      </c>
      <c r="C1231" s="32">
        <v>5490</v>
      </c>
      <c r="D1231" s="1">
        <v>25000</v>
      </c>
      <c r="E1231" s="1"/>
      <c r="F1231" s="1">
        <v>278.83</v>
      </c>
      <c r="G1231" s="1">
        <v>25000</v>
      </c>
      <c r="H1231" s="5">
        <f t="shared" si="36"/>
        <v>0</v>
      </c>
      <c r="I1231" s="6"/>
      <c r="J1231" s="43"/>
      <c r="K1231" s="51"/>
      <c r="L1231" s="86"/>
    </row>
    <row r="1232" spans="1:12" ht="15" x14ac:dyDescent="0.25">
      <c r="A1232" s="1">
        <v>1223</v>
      </c>
      <c r="B1232" s="1" t="s">
        <v>169</v>
      </c>
      <c r="C1232" s="32">
        <v>8989</v>
      </c>
      <c r="D1232" s="1">
        <v>25000</v>
      </c>
      <c r="E1232" s="1"/>
      <c r="F1232" s="1">
        <v>278.83</v>
      </c>
      <c r="G1232" s="1">
        <v>25000</v>
      </c>
      <c r="H1232" s="5">
        <f t="shared" si="36"/>
        <v>0</v>
      </c>
      <c r="I1232" s="6"/>
      <c r="J1232" s="43"/>
      <c r="K1232" s="51"/>
      <c r="L1232" s="86"/>
    </row>
    <row r="1233" spans="1:12" ht="15" x14ac:dyDescent="0.25">
      <c r="A1233" s="1">
        <v>1224</v>
      </c>
      <c r="B1233" s="1" t="s">
        <v>169</v>
      </c>
      <c r="C1233" s="32">
        <v>7351</v>
      </c>
      <c r="D1233" s="1">
        <v>24000</v>
      </c>
      <c r="E1233" s="1"/>
      <c r="F1233" s="1">
        <v>267.68</v>
      </c>
      <c r="G1233" s="1">
        <v>24000</v>
      </c>
      <c r="H1233" s="5">
        <f t="shared" si="36"/>
        <v>0</v>
      </c>
      <c r="I1233" s="6"/>
      <c r="J1233" s="43"/>
      <c r="K1233" s="51"/>
      <c r="L1233" s="86"/>
    </row>
    <row r="1234" spans="1:12" ht="15" x14ac:dyDescent="0.25">
      <c r="A1234" s="1">
        <v>1225</v>
      </c>
      <c r="B1234" s="1" t="s">
        <v>169</v>
      </c>
      <c r="C1234" s="32">
        <v>3828</v>
      </c>
      <c r="D1234" s="1">
        <v>20000</v>
      </c>
      <c r="E1234" s="1"/>
      <c r="F1234" s="1">
        <v>223.06</v>
      </c>
      <c r="G1234" s="1">
        <v>20000</v>
      </c>
      <c r="H1234" s="5">
        <f t="shared" si="36"/>
        <v>0</v>
      </c>
      <c r="I1234" s="6"/>
      <c r="J1234" s="43"/>
      <c r="K1234" s="51"/>
      <c r="L1234" s="86"/>
    </row>
    <row r="1235" spans="1:12" ht="15" x14ac:dyDescent="0.25">
      <c r="A1235" s="1">
        <v>1226</v>
      </c>
      <c r="B1235" s="1" t="s">
        <v>169</v>
      </c>
      <c r="C1235" s="32">
        <v>9155</v>
      </c>
      <c r="D1235" s="1">
        <v>12000</v>
      </c>
      <c r="E1235" s="1"/>
      <c r="F1235" s="1">
        <v>150.57</v>
      </c>
      <c r="G1235" s="1">
        <v>12000</v>
      </c>
      <c r="H1235" s="5">
        <f t="shared" si="36"/>
        <v>0</v>
      </c>
      <c r="I1235" s="6"/>
      <c r="J1235" s="43"/>
      <c r="K1235" s="51"/>
      <c r="L1235" s="86"/>
    </row>
    <row r="1236" spans="1:12" ht="15" x14ac:dyDescent="0.25">
      <c r="A1236" s="1">
        <v>1227</v>
      </c>
      <c r="B1236" s="1" t="s">
        <v>169</v>
      </c>
      <c r="C1236" s="32">
        <v>9539</v>
      </c>
      <c r="D1236" s="1">
        <v>3000</v>
      </c>
      <c r="E1236" s="1"/>
      <c r="F1236" s="1">
        <v>33.46</v>
      </c>
      <c r="G1236" s="1">
        <v>3000</v>
      </c>
      <c r="H1236" s="5">
        <f t="shared" si="36"/>
        <v>0</v>
      </c>
      <c r="I1236" s="6"/>
      <c r="J1236" s="43"/>
      <c r="K1236" s="51"/>
      <c r="L1236" s="86">
        <f>1836501+77264</f>
        <v>1913765</v>
      </c>
    </row>
    <row r="1237" spans="1:12" ht="15" x14ac:dyDescent="0.25">
      <c r="A1237" s="1">
        <v>1228</v>
      </c>
      <c r="B1237" s="1" t="s">
        <v>170</v>
      </c>
      <c r="C1237" s="32">
        <v>2216</v>
      </c>
      <c r="D1237" s="1">
        <v>30000</v>
      </c>
      <c r="E1237" s="1"/>
      <c r="F1237" s="1">
        <v>334.6</v>
      </c>
      <c r="G1237" s="1">
        <v>30000</v>
      </c>
      <c r="H1237" s="5">
        <f t="shared" si="36"/>
        <v>0</v>
      </c>
      <c r="I1237" s="6"/>
      <c r="J1237" s="43"/>
      <c r="K1237" s="51"/>
      <c r="L1237" s="86"/>
    </row>
    <row r="1238" spans="1:12" ht="15" x14ac:dyDescent="0.25">
      <c r="A1238" s="1">
        <v>1229</v>
      </c>
      <c r="B1238" s="1" t="s">
        <v>170</v>
      </c>
      <c r="C1238" s="32">
        <v>5993</v>
      </c>
      <c r="D1238" s="1">
        <v>35000</v>
      </c>
      <c r="E1238" s="1"/>
      <c r="F1238" s="1">
        <v>390.36</v>
      </c>
      <c r="G1238" s="1">
        <v>35000</v>
      </c>
      <c r="H1238" s="5">
        <f t="shared" si="36"/>
        <v>0</v>
      </c>
      <c r="I1238" s="6"/>
      <c r="J1238" s="43"/>
      <c r="K1238" s="51"/>
      <c r="L1238" s="86"/>
    </row>
    <row r="1239" spans="1:12" ht="15" x14ac:dyDescent="0.25">
      <c r="A1239" s="1">
        <v>1230</v>
      </c>
      <c r="B1239" s="1" t="s">
        <v>170</v>
      </c>
      <c r="C1239" s="32" t="s">
        <v>61</v>
      </c>
      <c r="D1239" s="1">
        <v>4500</v>
      </c>
      <c r="E1239" s="1"/>
      <c r="F1239" s="1">
        <v>50.14</v>
      </c>
      <c r="G1239" s="1">
        <v>4500</v>
      </c>
      <c r="H1239" s="5">
        <f t="shared" si="36"/>
        <v>0</v>
      </c>
      <c r="I1239" s="6"/>
      <c r="J1239" s="43"/>
      <c r="K1239" s="51"/>
      <c r="L1239" s="86">
        <f>1706001+77264</f>
        <v>1783265</v>
      </c>
    </row>
    <row r="1240" spans="1:12" ht="15" x14ac:dyDescent="0.25">
      <c r="A1240" s="1">
        <v>1231</v>
      </c>
      <c r="B1240" s="1" t="s">
        <v>171</v>
      </c>
      <c r="C1240" s="32">
        <v>6533</v>
      </c>
      <c r="D1240" s="1">
        <v>10000</v>
      </c>
      <c r="E1240" s="1"/>
      <c r="F1240" s="1">
        <v>111.53</v>
      </c>
      <c r="G1240" s="1">
        <v>10000</v>
      </c>
      <c r="H1240" s="5">
        <f t="shared" si="36"/>
        <v>0</v>
      </c>
      <c r="I1240" s="6"/>
      <c r="J1240" s="43"/>
      <c r="K1240" s="51"/>
      <c r="L1240" s="86"/>
    </row>
    <row r="1241" spans="1:12" ht="15" x14ac:dyDescent="0.25">
      <c r="A1241" s="1">
        <v>1232</v>
      </c>
      <c r="B1241" s="1" t="s">
        <v>171</v>
      </c>
      <c r="C1241" s="32">
        <v>7451</v>
      </c>
      <c r="D1241" s="1">
        <v>10000</v>
      </c>
      <c r="E1241" s="1"/>
      <c r="F1241" s="1">
        <v>111.53</v>
      </c>
      <c r="G1241" s="1">
        <v>10000</v>
      </c>
      <c r="H1241" s="5">
        <f t="shared" si="36"/>
        <v>0</v>
      </c>
      <c r="I1241" s="6"/>
      <c r="J1241" s="43"/>
      <c r="K1241" s="51"/>
      <c r="L1241" s="86"/>
    </row>
    <row r="1242" spans="1:12" ht="15" x14ac:dyDescent="0.25">
      <c r="A1242" s="1">
        <v>1233</v>
      </c>
      <c r="B1242" s="1" t="s">
        <v>171</v>
      </c>
      <c r="C1242" s="32" t="s">
        <v>66</v>
      </c>
      <c r="D1242" s="1">
        <v>300</v>
      </c>
      <c r="E1242" s="1"/>
      <c r="F1242" s="1"/>
      <c r="G1242" s="1">
        <v>300</v>
      </c>
      <c r="H1242" s="5">
        <f t="shared" si="36"/>
        <v>0</v>
      </c>
      <c r="I1242" s="6"/>
      <c r="J1242" s="43"/>
      <c r="K1242" s="51"/>
      <c r="L1242" s="86"/>
    </row>
    <row r="1243" spans="1:12" ht="15" x14ac:dyDescent="0.25">
      <c r="A1243" s="1">
        <v>1234</v>
      </c>
      <c r="B1243" s="1" t="s">
        <v>171</v>
      </c>
      <c r="C1243" s="32">
        <v>4936</v>
      </c>
      <c r="D1243" s="1">
        <v>15000</v>
      </c>
      <c r="E1243" s="1"/>
      <c r="F1243" s="1">
        <v>167.3</v>
      </c>
      <c r="G1243" s="1">
        <v>15000</v>
      </c>
      <c r="H1243" s="5">
        <f t="shared" si="36"/>
        <v>0</v>
      </c>
      <c r="I1243" s="6"/>
      <c r="J1243" s="43"/>
      <c r="K1243" s="51"/>
      <c r="L1243" s="86"/>
    </row>
    <row r="1244" spans="1:12" ht="15" x14ac:dyDescent="0.25">
      <c r="A1244" s="1">
        <v>1235</v>
      </c>
      <c r="B1244" s="1" t="s">
        <v>171</v>
      </c>
      <c r="C1244" s="32">
        <v>3124</v>
      </c>
      <c r="D1244" s="1">
        <v>25000</v>
      </c>
      <c r="E1244" s="1"/>
      <c r="F1244" s="1">
        <v>278.87</v>
      </c>
      <c r="G1244" s="1">
        <v>25000</v>
      </c>
      <c r="H1244" s="5">
        <f t="shared" si="36"/>
        <v>0</v>
      </c>
      <c r="I1244" s="6"/>
      <c r="J1244" s="43"/>
      <c r="K1244" s="51"/>
      <c r="L1244" s="86"/>
    </row>
    <row r="1245" spans="1:12" ht="15" x14ac:dyDescent="0.25">
      <c r="A1245" s="1">
        <v>1236</v>
      </c>
      <c r="B1245" s="1" t="s">
        <v>171</v>
      </c>
      <c r="C1245" s="32">
        <v>65</v>
      </c>
      <c r="D1245" s="1">
        <v>5000</v>
      </c>
      <c r="E1245" s="1"/>
      <c r="F1245" s="1">
        <v>55.77</v>
      </c>
      <c r="G1245" s="1">
        <v>5000</v>
      </c>
      <c r="H1245" s="5">
        <f t="shared" si="36"/>
        <v>0</v>
      </c>
      <c r="I1245" s="6"/>
      <c r="J1245" s="43"/>
      <c r="K1245" s="51"/>
      <c r="L1245" s="86"/>
    </row>
    <row r="1246" spans="1:12" ht="15" x14ac:dyDescent="0.25">
      <c r="A1246" s="1">
        <v>1237</v>
      </c>
      <c r="B1246" s="1" t="s">
        <v>171</v>
      </c>
      <c r="C1246" s="32" t="s">
        <v>61</v>
      </c>
      <c r="D1246" s="1">
        <v>5000</v>
      </c>
      <c r="E1246" s="1"/>
      <c r="F1246" s="1">
        <v>55.77</v>
      </c>
      <c r="G1246" s="1">
        <v>5000</v>
      </c>
      <c r="H1246" s="5">
        <f t="shared" si="36"/>
        <v>0</v>
      </c>
      <c r="I1246" s="6"/>
      <c r="J1246" s="43"/>
      <c r="K1246" s="51"/>
      <c r="L1246" s="86"/>
    </row>
    <row r="1247" spans="1:12" ht="15" x14ac:dyDescent="0.25">
      <c r="A1247" s="1">
        <v>1238</v>
      </c>
      <c r="B1247" s="1" t="s">
        <v>171</v>
      </c>
      <c r="C1247" s="32" t="s">
        <v>61</v>
      </c>
      <c r="D1247" s="1">
        <v>4500</v>
      </c>
      <c r="E1247" s="1"/>
      <c r="F1247" s="1">
        <v>50.14</v>
      </c>
      <c r="G1247" s="1">
        <v>4500</v>
      </c>
      <c r="H1247" s="5">
        <f t="shared" si="36"/>
        <v>0</v>
      </c>
      <c r="I1247" s="6"/>
      <c r="J1247" s="43"/>
      <c r="K1247" s="51"/>
      <c r="L1247" s="86"/>
    </row>
    <row r="1248" spans="1:12" ht="15" x14ac:dyDescent="0.25">
      <c r="A1248" s="1">
        <v>1239</v>
      </c>
      <c r="B1248" s="1" t="s">
        <v>171</v>
      </c>
      <c r="C1248" s="32">
        <v>4311</v>
      </c>
      <c r="D1248" s="1">
        <v>20000</v>
      </c>
      <c r="E1248" s="1"/>
      <c r="F1248" s="1">
        <v>223.06</v>
      </c>
      <c r="G1248" s="1">
        <v>20000</v>
      </c>
      <c r="H1248" s="5">
        <f t="shared" si="36"/>
        <v>0</v>
      </c>
      <c r="I1248" s="6"/>
      <c r="J1248" s="43"/>
      <c r="K1248" s="51"/>
      <c r="L1248" s="86"/>
    </row>
    <row r="1249" spans="1:12" ht="15" x14ac:dyDescent="0.25">
      <c r="A1249" s="1">
        <v>1240</v>
      </c>
      <c r="B1249" s="1" t="s">
        <v>171</v>
      </c>
      <c r="C1249" s="32">
        <v>2085</v>
      </c>
      <c r="D1249" s="1">
        <v>27000</v>
      </c>
      <c r="E1249" s="1"/>
      <c r="F1249" s="1">
        <v>274</v>
      </c>
      <c r="G1249" s="1">
        <v>27000</v>
      </c>
      <c r="H1249" s="5">
        <f t="shared" si="36"/>
        <v>0</v>
      </c>
      <c r="I1249" s="6"/>
      <c r="J1249" s="43"/>
      <c r="K1249" s="51"/>
      <c r="L1249" s="86"/>
    </row>
    <row r="1250" spans="1:12" ht="15" x14ac:dyDescent="0.25">
      <c r="A1250" s="1">
        <v>1241</v>
      </c>
      <c r="B1250" s="1" t="s">
        <v>171</v>
      </c>
      <c r="C1250" s="32">
        <v>8562</v>
      </c>
      <c r="D1250" s="1">
        <v>26000</v>
      </c>
      <c r="E1250" s="1"/>
      <c r="F1250" s="1">
        <v>285.27999999999997</v>
      </c>
      <c r="G1250" s="1">
        <v>26000</v>
      </c>
      <c r="H1250" s="5">
        <f t="shared" si="36"/>
        <v>0</v>
      </c>
      <c r="I1250" s="6"/>
      <c r="J1250" s="43"/>
      <c r="K1250" s="51"/>
      <c r="L1250" s="86">
        <f>1797532-1795071</f>
        <v>2461</v>
      </c>
    </row>
    <row r="1251" spans="1:12" ht="15" x14ac:dyDescent="0.25">
      <c r="A1251" s="1">
        <v>1242</v>
      </c>
      <c r="B1251" s="1" t="s">
        <v>171</v>
      </c>
      <c r="C1251" s="32">
        <v>3366</v>
      </c>
      <c r="D1251" s="1">
        <v>16467</v>
      </c>
      <c r="E1251" s="1"/>
      <c r="F1251" s="1">
        <v>183.67</v>
      </c>
      <c r="G1251" s="1">
        <v>16467</v>
      </c>
      <c r="H1251" s="5">
        <f t="shared" si="36"/>
        <v>0</v>
      </c>
      <c r="I1251" s="6"/>
      <c r="J1251" s="43"/>
      <c r="K1251" s="51"/>
      <c r="L1251" s="86"/>
    </row>
    <row r="1252" spans="1:12" ht="15" x14ac:dyDescent="0.25">
      <c r="A1252" s="1">
        <v>1243</v>
      </c>
      <c r="B1252" s="1" t="s">
        <v>174</v>
      </c>
      <c r="C1252" s="32" t="s">
        <v>63</v>
      </c>
      <c r="D1252" s="1">
        <v>3500</v>
      </c>
      <c r="E1252" s="1"/>
      <c r="F1252" s="1">
        <v>39.04</v>
      </c>
      <c r="G1252" s="1">
        <v>3500</v>
      </c>
      <c r="H1252" s="5">
        <f t="shared" si="36"/>
        <v>0</v>
      </c>
      <c r="I1252" s="6"/>
      <c r="J1252" s="43"/>
      <c r="K1252" s="51"/>
      <c r="L1252" s="86"/>
    </row>
    <row r="1253" spans="1:12" ht="15" x14ac:dyDescent="0.25">
      <c r="A1253" s="1">
        <v>1244</v>
      </c>
      <c r="B1253" s="1" t="s">
        <v>174</v>
      </c>
      <c r="C1253" s="32">
        <v>2445</v>
      </c>
      <c r="D1253" s="1">
        <v>48865</v>
      </c>
      <c r="E1253" s="1"/>
      <c r="F1253" s="1">
        <v>545.01</v>
      </c>
      <c r="G1253" s="1">
        <v>48865</v>
      </c>
      <c r="H1253" s="5">
        <f t="shared" si="36"/>
        <v>0</v>
      </c>
      <c r="I1253" s="6"/>
      <c r="J1253" s="43"/>
      <c r="K1253" s="51"/>
      <c r="L1253" s="86"/>
    </row>
    <row r="1254" spans="1:12" ht="15" x14ac:dyDescent="0.25">
      <c r="A1254" s="1">
        <v>1245</v>
      </c>
      <c r="B1254" s="1" t="s">
        <v>174</v>
      </c>
      <c r="C1254" s="32">
        <v>6878</v>
      </c>
      <c r="D1254" s="1">
        <v>20000</v>
      </c>
      <c r="E1254" s="1"/>
      <c r="F1254" s="1">
        <v>223.06</v>
      </c>
      <c r="G1254" s="1">
        <v>20000</v>
      </c>
      <c r="H1254" s="5">
        <f t="shared" si="36"/>
        <v>0</v>
      </c>
      <c r="I1254" s="6"/>
      <c r="J1254" s="43"/>
      <c r="K1254" s="51"/>
      <c r="L1254" s="86"/>
    </row>
    <row r="1255" spans="1:12" ht="15" x14ac:dyDescent="0.25">
      <c r="A1255" s="1">
        <v>1246</v>
      </c>
      <c r="B1255" s="1" t="s">
        <v>174</v>
      </c>
      <c r="C1255" s="32">
        <v>7247</v>
      </c>
      <c r="D1255" s="1">
        <v>22000</v>
      </c>
      <c r="E1255" s="1"/>
      <c r="F1255" s="1">
        <v>239.8</v>
      </c>
      <c r="G1255" s="1">
        <v>22000</v>
      </c>
      <c r="H1255" s="5">
        <f t="shared" si="36"/>
        <v>0</v>
      </c>
      <c r="I1255" s="6"/>
      <c r="J1255" s="43"/>
      <c r="K1255" s="51"/>
      <c r="L1255" s="86"/>
    </row>
    <row r="1256" spans="1:12" ht="15" x14ac:dyDescent="0.25">
      <c r="A1256" s="1">
        <v>1247</v>
      </c>
      <c r="B1256" s="1" t="s">
        <v>174</v>
      </c>
      <c r="C1256" s="32">
        <v>3501</v>
      </c>
      <c r="D1256" s="1">
        <v>24000</v>
      </c>
      <c r="E1256" s="1"/>
      <c r="F1256" s="1">
        <v>267.68</v>
      </c>
      <c r="G1256" s="1">
        <v>24000</v>
      </c>
      <c r="H1256" s="5">
        <f t="shared" si="36"/>
        <v>0</v>
      </c>
      <c r="I1256" s="6"/>
      <c r="J1256" s="43"/>
      <c r="K1256" s="51"/>
      <c r="L1256" s="86"/>
    </row>
    <row r="1257" spans="1:12" ht="15" x14ac:dyDescent="0.25">
      <c r="A1257" s="1">
        <v>1248</v>
      </c>
      <c r="B1257" s="1" t="s">
        <v>174</v>
      </c>
      <c r="C1257" s="32">
        <v>9905</v>
      </c>
      <c r="D1257" s="1">
        <v>18000</v>
      </c>
      <c r="E1257" s="1"/>
      <c r="F1257" s="1">
        <v>200.76</v>
      </c>
      <c r="G1257" s="1">
        <v>18000</v>
      </c>
      <c r="H1257" s="5">
        <f t="shared" si="36"/>
        <v>0</v>
      </c>
      <c r="I1257" s="6"/>
      <c r="J1257" s="43"/>
      <c r="K1257" s="51"/>
      <c r="L1257" s="86"/>
    </row>
    <row r="1258" spans="1:12" ht="15" x14ac:dyDescent="0.25">
      <c r="A1258" s="1">
        <v>1249</v>
      </c>
      <c r="B1258" s="1" t="s">
        <v>174</v>
      </c>
      <c r="C1258" s="32">
        <v>6556</v>
      </c>
      <c r="D1258" s="1">
        <v>20000</v>
      </c>
      <c r="E1258" s="1"/>
      <c r="F1258" s="1">
        <v>223.06</v>
      </c>
      <c r="G1258" s="1">
        <v>20000</v>
      </c>
      <c r="H1258" s="5">
        <f t="shared" si="36"/>
        <v>0</v>
      </c>
      <c r="I1258" s="6"/>
      <c r="J1258" s="43"/>
      <c r="K1258" s="51"/>
      <c r="L1258" s="86">
        <f>1753897-1779164</f>
        <v>-25267</v>
      </c>
    </row>
    <row r="1259" spans="1:12" ht="15" x14ac:dyDescent="0.25">
      <c r="A1259" s="1">
        <v>1250</v>
      </c>
      <c r="B1259" s="1" t="s">
        <v>194</v>
      </c>
      <c r="C1259" s="32">
        <v>3107</v>
      </c>
      <c r="D1259" s="1">
        <v>15000</v>
      </c>
      <c r="E1259" s="1"/>
      <c r="F1259" s="1">
        <v>167.3</v>
      </c>
      <c r="G1259" s="1">
        <v>15000</v>
      </c>
      <c r="H1259" s="5">
        <f t="shared" si="36"/>
        <v>0</v>
      </c>
      <c r="I1259" s="6"/>
      <c r="J1259" s="43"/>
      <c r="K1259" s="51"/>
      <c r="L1259" s="86"/>
    </row>
    <row r="1260" spans="1:12" ht="15" x14ac:dyDescent="0.25">
      <c r="A1260" s="1">
        <v>1251</v>
      </c>
      <c r="B1260" s="1" t="s">
        <v>194</v>
      </c>
      <c r="C1260" s="32">
        <v>3603</v>
      </c>
      <c r="D1260" s="1">
        <v>30000</v>
      </c>
      <c r="E1260" s="1"/>
      <c r="F1260" s="1">
        <v>324.56</v>
      </c>
      <c r="G1260" s="1">
        <v>30000</v>
      </c>
      <c r="H1260" s="5">
        <f t="shared" ref="H1260:H1323" si="37">D1260-G1260</f>
        <v>0</v>
      </c>
      <c r="I1260" s="6"/>
      <c r="J1260" s="43"/>
      <c r="K1260" s="51"/>
      <c r="L1260" s="86"/>
    </row>
    <row r="1261" spans="1:12" ht="15" x14ac:dyDescent="0.25">
      <c r="A1261" s="1">
        <v>1252</v>
      </c>
      <c r="B1261" s="1" t="s">
        <v>194</v>
      </c>
      <c r="C1261" s="32">
        <v>8434</v>
      </c>
      <c r="D1261" s="1">
        <v>27000</v>
      </c>
      <c r="E1261" s="1"/>
      <c r="F1261" s="1">
        <v>267.68</v>
      </c>
      <c r="G1261" s="1">
        <v>27000</v>
      </c>
      <c r="H1261" s="5">
        <f t="shared" si="37"/>
        <v>0</v>
      </c>
      <c r="I1261" s="6"/>
      <c r="J1261" s="43"/>
      <c r="K1261" s="51"/>
      <c r="L1261" s="86"/>
    </row>
    <row r="1262" spans="1:12" ht="15" x14ac:dyDescent="0.25">
      <c r="A1262" s="1">
        <v>1253</v>
      </c>
      <c r="B1262" s="1" t="s">
        <v>194</v>
      </c>
      <c r="C1262" s="32">
        <v>2117</v>
      </c>
      <c r="D1262" s="1">
        <v>17000</v>
      </c>
      <c r="E1262" s="1"/>
      <c r="F1262" s="1">
        <v>188.19</v>
      </c>
      <c r="G1262" s="1">
        <v>17000</v>
      </c>
      <c r="H1262" s="5">
        <f t="shared" si="37"/>
        <v>0</v>
      </c>
      <c r="I1262" s="6"/>
      <c r="J1262" s="43"/>
      <c r="K1262" s="51"/>
      <c r="L1262" s="86">
        <f>1694919-1692897</f>
        <v>2022</v>
      </c>
    </row>
    <row r="1263" spans="1:12" ht="15" x14ac:dyDescent="0.25">
      <c r="A1263" s="1">
        <v>1254</v>
      </c>
      <c r="B1263" s="1" t="s">
        <v>195</v>
      </c>
      <c r="C1263" s="32">
        <v>7669</v>
      </c>
      <c r="D1263" s="1">
        <v>27000</v>
      </c>
      <c r="E1263" s="1"/>
      <c r="F1263" s="1">
        <v>267.68</v>
      </c>
      <c r="G1263" s="1">
        <v>27000</v>
      </c>
      <c r="H1263" s="5">
        <f t="shared" si="37"/>
        <v>0</v>
      </c>
      <c r="I1263" s="6"/>
      <c r="J1263" s="43"/>
      <c r="K1263" s="51"/>
      <c r="L1263" s="86"/>
    </row>
    <row r="1264" spans="1:12" ht="15" x14ac:dyDescent="0.25">
      <c r="A1264" s="1">
        <v>1255</v>
      </c>
      <c r="B1264" s="1" t="s">
        <v>195</v>
      </c>
      <c r="C1264" s="32" t="s">
        <v>61</v>
      </c>
      <c r="D1264" s="1">
        <v>3500</v>
      </c>
      <c r="E1264" s="1"/>
      <c r="F1264" s="1">
        <v>39.04</v>
      </c>
      <c r="G1264" s="1">
        <v>3500</v>
      </c>
      <c r="H1264" s="5">
        <f t="shared" si="37"/>
        <v>0</v>
      </c>
      <c r="I1264" s="6"/>
      <c r="J1264" s="43"/>
      <c r="K1264" s="51"/>
      <c r="L1264" s="86"/>
    </row>
    <row r="1265" spans="1:12" ht="15" x14ac:dyDescent="0.25">
      <c r="A1265" s="1">
        <v>1256</v>
      </c>
      <c r="B1265" s="1" t="s">
        <v>195</v>
      </c>
      <c r="C1265" s="32" t="s">
        <v>61</v>
      </c>
      <c r="D1265" s="1">
        <v>4500</v>
      </c>
      <c r="E1265" s="1"/>
      <c r="F1265" s="1">
        <v>50.14</v>
      </c>
      <c r="G1265" s="1">
        <v>4500</v>
      </c>
      <c r="H1265" s="5">
        <f t="shared" si="37"/>
        <v>0</v>
      </c>
      <c r="I1265" s="6"/>
      <c r="J1265" s="43"/>
      <c r="K1265" s="51"/>
      <c r="L1265" s="86"/>
    </row>
    <row r="1266" spans="1:12" ht="15" x14ac:dyDescent="0.25">
      <c r="A1266" s="1">
        <v>1257</v>
      </c>
      <c r="B1266" s="1" t="s">
        <v>195</v>
      </c>
      <c r="C1266" s="32">
        <v>1416</v>
      </c>
      <c r="D1266" s="1">
        <v>20000</v>
      </c>
      <c r="E1266" s="1"/>
      <c r="F1266" s="1">
        <v>188.19</v>
      </c>
      <c r="G1266" s="1">
        <v>20000</v>
      </c>
      <c r="H1266" s="5">
        <f t="shared" si="37"/>
        <v>0</v>
      </c>
      <c r="I1266" s="6"/>
      <c r="J1266" s="43"/>
      <c r="K1266" s="51"/>
      <c r="L1266" s="86"/>
    </row>
    <row r="1267" spans="1:12" ht="15" x14ac:dyDescent="0.25">
      <c r="A1267" s="1">
        <v>1258</v>
      </c>
      <c r="B1267" s="1" t="s">
        <v>195</v>
      </c>
      <c r="C1267" s="32">
        <v>8030</v>
      </c>
      <c r="D1267" s="1">
        <v>27000</v>
      </c>
      <c r="E1267" s="1"/>
      <c r="F1267" s="1">
        <v>301.14</v>
      </c>
      <c r="G1267" s="1">
        <v>27000</v>
      </c>
      <c r="H1267" s="5">
        <f t="shared" si="37"/>
        <v>0</v>
      </c>
      <c r="I1267" s="6"/>
      <c r="J1267" s="43"/>
      <c r="K1267" s="51"/>
      <c r="L1267" s="86"/>
    </row>
    <row r="1268" spans="1:12" ht="15" x14ac:dyDescent="0.25">
      <c r="A1268" s="1">
        <v>1259</v>
      </c>
      <c r="B1268" s="1" t="s">
        <v>195</v>
      </c>
      <c r="C1268" s="32">
        <v>8112</v>
      </c>
      <c r="D1268" s="1">
        <v>27000</v>
      </c>
      <c r="E1268" s="1"/>
      <c r="F1268" s="1">
        <v>301.14</v>
      </c>
      <c r="G1268" s="1">
        <v>27000</v>
      </c>
      <c r="H1268" s="5">
        <f t="shared" si="37"/>
        <v>0</v>
      </c>
      <c r="I1268" s="6"/>
      <c r="J1268" s="43"/>
      <c r="K1268" s="51"/>
      <c r="L1268" s="86"/>
    </row>
    <row r="1269" spans="1:12" ht="15" x14ac:dyDescent="0.25">
      <c r="A1269" s="1">
        <v>1260</v>
      </c>
      <c r="B1269" s="1" t="s">
        <v>195</v>
      </c>
      <c r="C1269" s="32">
        <v>2756</v>
      </c>
      <c r="D1269" s="1">
        <v>15000</v>
      </c>
      <c r="E1269" s="1"/>
      <c r="F1269" s="1">
        <v>181.27</v>
      </c>
      <c r="G1269" s="1">
        <v>15000</v>
      </c>
      <c r="H1269" s="5">
        <f t="shared" si="37"/>
        <v>0</v>
      </c>
      <c r="I1269" s="6"/>
      <c r="J1269" s="43"/>
      <c r="K1269" s="51"/>
      <c r="L1269" s="86"/>
    </row>
    <row r="1270" spans="1:12" ht="15" x14ac:dyDescent="0.25">
      <c r="A1270" s="1">
        <v>1261</v>
      </c>
      <c r="B1270" s="1" t="s">
        <v>195</v>
      </c>
      <c r="C1270" s="32">
        <v>7307</v>
      </c>
      <c r="D1270" s="1">
        <v>22000</v>
      </c>
      <c r="E1270" s="1"/>
      <c r="F1270" s="1">
        <v>245.37</v>
      </c>
      <c r="G1270" s="1">
        <v>22000</v>
      </c>
      <c r="H1270" s="5">
        <f t="shared" si="37"/>
        <v>0</v>
      </c>
      <c r="I1270" s="6"/>
      <c r="J1270" s="43"/>
      <c r="K1270" s="51"/>
      <c r="L1270" s="86"/>
    </row>
    <row r="1271" spans="1:12" ht="15" x14ac:dyDescent="0.25">
      <c r="A1271" s="1">
        <v>1262</v>
      </c>
      <c r="B1271" s="1" t="s">
        <v>195</v>
      </c>
      <c r="C1271" s="32">
        <v>8760</v>
      </c>
      <c r="D1271" s="1">
        <v>23000</v>
      </c>
      <c r="E1271" s="1"/>
      <c r="F1271" s="1">
        <v>256.52</v>
      </c>
      <c r="G1271" s="1">
        <v>23000</v>
      </c>
      <c r="H1271" s="5">
        <f t="shared" si="37"/>
        <v>0</v>
      </c>
      <c r="I1271" s="6"/>
      <c r="J1271" s="43"/>
      <c r="K1271" s="51"/>
      <c r="L1271" s="86"/>
    </row>
    <row r="1272" spans="1:12" ht="15" x14ac:dyDescent="0.25">
      <c r="A1272" s="1">
        <v>1263</v>
      </c>
      <c r="B1272" s="1" t="s">
        <v>195</v>
      </c>
      <c r="C1272" s="32">
        <v>9954</v>
      </c>
      <c r="D1272" s="1">
        <v>34000</v>
      </c>
      <c r="E1272" s="1"/>
      <c r="F1272" s="1">
        <v>361.93</v>
      </c>
      <c r="G1272" s="1">
        <v>34000</v>
      </c>
      <c r="H1272" s="5">
        <f t="shared" si="37"/>
        <v>0</v>
      </c>
      <c r="I1272" s="6"/>
      <c r="J1272" s="43"/>
      <c r="K1272" s="51"/>
      <c r="L1272" s="86"/>
    </row>
    <row r="1273" spans="1:12" ht="15" x14ac:dyDescent="0.25">
      <c r="A1273" s="1">
        <v>1264</v>
      </c>
      <c r="B1273" s="1" t="s">
        <v>195</v>
      </c>
      <c r="C1273" s="32">
        <v>3738</v>
      </c>
      <c r="D1273" s="1">
        <v>28000</v>
      </c>
      <c r="E1273" s="1"/>
      <c r="F1273" s="1">
        <v>319.93</v>
      </c>
      <c r="G1273" s="1">
        <v>28000</v>
      </c>
      <c r="H1273" s="5">
        <f t="shared" si="37"/>
        <v>0</v>
      </c>
      <c r="I1273" s="6"/>
      <c r="J1273" s="43"/>
      <c r="K1273" s="51"/>
      <c r="L1273" s="86"/>
    </row>
    <row r="1274" spans="1:12" ht="15" x14ac:dyDescent="0.25">
      <c r="A1274" s="1">
        <v>1265</v>
      </c>
      <c r="B1274" s="1" t="s">
        <v>195</v>
      </c>
      <c r="C1274" s="32">
        <v>8250</v>
      </c>
      <c r="D1274" s="1">
        <v>13000</v>
      </c>
      <c r="E1274" s="1"/>
      <c r="F1274" s="1">
        <v>156</v>
      </c>
      <c r="G1274" s="1">
        <v>13000</v>
      </c>
      <c r="H1274" s="5">
        <f t="shared" si="37"/>
        <v>0</v>
      </c>
      <c r="I1274" s="6"/>
      <c r="J1274" s="43"/>
      <c r="K1274" s="51"/>
      <c r="L1274" s="86">
        <f>1863182-1836897</f>
        <v>26285</v>
      </c>
    </row>
    <row r="1275" spans="1:12" ht="15" x14ac:dyDescent="0.25">
      <c r="A1275" s="1">
        <v>1266</v>
      </c>
      <c r="B1275" s="1" t="s">
        <v>196</v>
      </c>
      <c r="C1275" s="32">
        <v>7109</v>
      </c>
      <c r="D1275" s="1">
        <v>4731</v>
      </c>
      <c r="E1275" s="1"/>
      <c r="F1275" s="1">
        <v>52.77</v>
      </c>
      <c r="G1275" s="1">
        <v>4731</v>
      </c>
      <c r="H1275" s="5">
        <f t="shared" si="37"/>
        <v>0</v>
      </c>
      <c r="I1275" s="6"/>
      <c r="J1275" s="43"/>
      <c r="K1275" s="51"/>
      <c r="L1275" s="86"/>
    </row>
    <row r="1276" spans="1:12" ht="15" x14ac:dyDescent="0.25">
      <c r="A1276" s="1">
        <v>1267</v>
      </c>
      <c r="B1276" s="1" t="s">
        <v>196</v>
      </c>
      <c r="C1276" s="32" t="s">
        <v>61</v>
      </c>
      <c r="D1276" s="1">
        <v>5000</v>
      </c>
      <c r="E1276" s="1"/>
      <c r="F1276" s="1">
        <v>55.77</v>
      </c>
      <c r="G1276" s="1">
        <v>5000</v>
      </c>
      <c r="H1276" s="5">
        <f t="shared" si="37"/>
        <v>0</v>
      </c>
      <c r="I1276" s="6"/>
      <c r="J1276" s="43"/>
      <c r="K1276" s="51"/>
      <c r="L1276" s="86"/>
    </row>
    <row r="1277" spans="1:12" ht="15" x14ac:dyDescent="0.25">
      <c r="A1277" s="1">
        <v>1268</v>
      </c>
      <c r="B1277" s="1" t="s">
        <v>196</v>
      </c>
      <c r="C1277" s="32">
        <v>65</v>
      </c>
      <c r="D1277" s="1">
        <v>5000</v>
      </c>
      <c r="E1277" s="1"/>
      <c r="F1277" s="1">
        <v>55.77</v>
      </c>
      <c r="G1277" s="1">
        <v>5000</v>
      </c>
      <c r="H1277" s="5">
        <f t="shared" si="37"/>
        <v>0</v>
      </c>
      <c r="I1277" s="6"/>
      <c r="J1277" s="43"/>
      <c r="K1277" s="51"/>
      <c r="L1277" s="86"/>
    </row>
    <row r="1278" spans="1:12" ht="15" x14ac:dyDescent="0.25">
      <c r="A1278" s="1">
        <v>1269</v>
      </c>
      <c r="B1278" s="1" t="s">
        <v>196</v>
      </c>
      <c r="C1278" s="32">
        <v>2523</v>
      </c>
      <c r="D1278" s="1">
        <v>12000</v>
      </c>
      <c r="E1278" s="1"/>
      <c r="F1278" s="1">
        <v>133.84</v>
      </c>
      <c r="G1278" s="1">
        <v>12000</v>
      </c>
      <c r="H1278" s="5">
        <f t="shared" si="37"/>
        <v>0</v>
      </c>
      <c r="I1278" s="6"/>
      <c r="J1278" s="43"/>
      <c r="K1278" s="51"/>
      <c r="L1278" s="86"/>
    </row>
    <row r="1279" spans="1:12" ht="15" x14ac:dyDescent="0.25">
      <c r="A1279" s="1">
        <v>1270</v>
      </c>
      <c r="B1279" s="1" t="s">
        <v>196</v>
      </c>
      <c r="C1279" s="32">
        <v>8813</v>
      </c>
      <c r="D1279" s="1">
        <v>26000</v>
      </c>
      <c r="E1279" s="1"/>
      <c r="F1279" s="1">
        <v>245.37</v>
      </c>
      <c r="G1279" s="1">
        <v>26000</v>
      </c>
      <c r="H1279" s="5">
        <f t="shared" si="37"/>
        <v>0</v>
      </c>
      <c r="I1279" s="6"/>
      <c r="J1279" s="43"/>
      <c r="K1279" s="51"/>
      <c r="L1279" s="86"/>
    </row>
    <row r="1280" spans="1:12" ht="15" x14ac:dyDescent="0.25">
      <c r="A1280" s="1">
        <v>1271</v>
      </c>
      <c r="B1280" s="1" t="s">
        <v>196</v>
      </c>
      <c r="C1280" s="32">
        <v>9998</v>
      </c>
      <c r="D1280" s="1">
        <v>18000</v>
      </c>
      <c r="E1280" s="1"/>
      <c r="F1280" s="1">
        <v>179</v>
      </c>
      <c r="G1280" s="1">
        <v>18000</v>
      </c>
      <c r="H1280" s="5">
        <f t="shared" si="37"/>
        <v>0</v>
      </c>
      <c r="I1280" s="6"/>
      <c r="J1280" s="43"/>
      <c r="K1280" s="51"/>
      <c r="L1280" s="86"/>
    </row>
    <row r="1281" spans="1:12" ht="15" x14ac:dyDescent="0.25">
      <c r="A1281" s="1">
        <v>1272</v>
      </c>
      <c r="B1281" s="1" t="s">
        <v>197</v>
      </c>
      <c r="C1281" s="32" t="s">
        <v>61</v>
      </c>
      <c r="D1281" s="1">
        <v>4500</v>
      </c>
      <c r="E1281" s="1"/>
      <c r="F1281" s="1">
        <v>50.19</v>
      </c>
      <c r="G1281" s="1">
        <v>4500</v>
      </c>
      <c r="H1281" s="5">
        <f t="shared" si="37"/>
        <v>0</v>
      </c>
      <c r="I1281" s="6"/>
      <c r="J1281" s="43"/>
      <c r="K1281" s="51"/>
      <c r="L1281" s="86"/>
    </row>
    <row r="1282" spans="1:12" ht="15" x14ac:dyDescent="0.25">
      <c r="A1282" s="1">
        <v>1273</v>
      </c>
      <c r="B1282" s="1" t="s">
        <v>197</v>
      </c>
      <c r="C1282" s="32">
        <v>5686</v>
      </c>
      <c r="D1282" s="1">
        <v>19000</v>
      </c>
      <c r="E1282" s="1"/>
      <c r="F1282" s="1">
        <v>209.13</v>
      </c>
      <c r="G1282" s="1">
        <v>19000</v>
      </c>
      <c r="H1282" s="5">
        <f t="shared" si="37"/>
        <v>0</v>
      </c>
      <c r="I1282" s="6"/>
      <c r="J1282" s="43"/>
      <c r="K1282" s="51"/>
      <c r="L1282" s="86"/>
    </row>
    <row r="1283" spans="1:12" ht="15" x14ac:dyDescent="0.25">
      <c r="A1283" s="1">
        <v>1274</v>
      </c>
      <c r="B1283" s="1" t="s">
        <v>197</v>
      </c>
      <c r="C1283" s="32">
        <v>3042</v>
      </c>
      <c r="D1283" s="1">
        <v>15000</v>
      </c>
      <c r="E1283" s="1"/>
      <c r="F1283" s="1">
        <v>167.3</v>
      </c>
      <c r="G1283" s="1">
        <v>15000</v>
      </c>
      <c r="H1283" s="5">
        <f t="shared" si="37"/>
        <v>0</v>
      </c>
      <c r="I1283" s="6"/>
      <c r="J1283" s="43"/>
      <c r="K1283" s="51"/>
      <c r="L1283" s="86"/>
    </row>
    <row r="1284" spans="1:12" ht="15" x14ac:dyDescent="0.25">
      <c r="A1284" s="1">
        <v>1275</v>
      </c>
      <c r="B1284" s="1" t="s">
        <v>197</v>
      </c>
      <c r="C1284" s="32">
        <v>2542</v>
      </c>
      <c r="D1284" s="1">
        <v>30000</v>
      </c>
      <c r="E1284" s="1"/>
      <c r="F1284" s="1">
        <v>341.39</v>
      </c>
      <c r="G1284" s="1">
        <v>30000</v>
      </c>
      <c r="H1284" s="5">
        <f t="shared" si="37"/>
        <v>0</v>
      </c>
      <c r="I1284" s="6"/>
      <c r="J1284" s="43"/>
      <c r="K1284" s="51"/>
      <c r="L1284" s="86"/>
    </row>
    <row r="1285" spans="1:12" ht="15" x14ac:dyDescent="0.25">
      <c r="A1285" s="1">
        <v>1276</v>
      </c>
      <c r="B1285" s="1" t="s">
        <v>197</v>
      </c>
      <c r="C1285" s="32">
        <v>2545</v>
      </c>
      <c r="D1285" s="1">
        <v>15000</v>
      </c>
      <c r="E1285" s="1"/>
      <c r="F1285" s="1">
        <v>133.83000000000001</v>
      </c>
      <c r="G1285" s="1">
        <v>15000</v>
      </c>
      <c r="H1285" s="5">
        <f t="shared" si="37"/>
        <v>0</v>
      </c>
      <c r="I1285" s="6"/>
      <c r="J1285" s="43"/>
      <c r="K1285" s="51"/>
      <c r="L1285" s="86"/>
    </row>
    <row r="1286" spans="1:12" ht="15" x14ac:dyDescent="0.25">
      <c r="A1286" s="1">
        <v>1277</v>
      </c>
      <c r="B1286" s="1" t="s">
        <v>197</v>
      </c>
      <c r="C1286" s="32">
        <v>6552</v>
      </c>
      <c r="D1286" s="1">
        <v>25000</v>
      </c>
      <c r="E1286" s="1"/>
      <c r="F1286" s="1">
        <v>278.83</v>
      </c>
      <c r="G1286" s="1">
        <v>25000</v>
      </c>
      <c r="H1286" s="5">
        <f t="shared" si="37"/>
        <v>0</v>
      </c>
      <c r="I1286" s="6"/>
      <c r="J1286" s="43"/>
      <c r="K1286" s="51"/>
      <c r="L1286" s="86"/>
    </row>
    <row r="1287" spans="1:12" ht="15" x14ac:dyDescent="0.25">
      <c r="A1287" s="1">
        <v>1278</v>
      </c>
      <c r="B1287" s="1" t="s">
        <v>197</v>
      </c>
      <c r="C1287" s="32">
        <v>1121</v>
      </c>
      <c r="D1287" s="1">
        <v>30000</v>
      </c>
      <c r="E1287" s="1"/>
      <c r="F1287" s="1">
        <v>334.1</v>
      </c>
      <c r="G1287" s="1">
        <v>30000</v>
      </c>
      <c r="H1287" s="5">
        <f t="shared" si="37"/>
        <v>0</v>
      </c>
      <c r="I1287" s="6"/>
      <c r="J1287" s="43"/>
      <c r="K1287" s="51"/>
      <c r="L1287" s="86"/>
    </row>
    <row r="1288" spans="1:12" ht="15" x14ac:dyDescent="0.25">
      <c r="A1288" s="1">
        <v>1279</v>
      </c>
      <c r="B1288" s="1" t="s">
        <v>197</v>
      </c>
      <c r="C1288" s="32">
        <v>9783</v>
      </c>
      <c r="D1288" s="1">
        <v>25000</v>
      </c>
      <c r="E1288" s="1"/>
      <c r="F1288" s="1">
        <v>278.83</v>
      </c>
      <c r="G1288" s="1">
        <v>25000</v>
      </c>
      <c r="H1288" s="5">
        <f t="shared" si="37"/>
        <v>0</v>
      </c>
      <c r="I1288" s="6"/>
      <c r="J1288" s="43"/>
      <c r="K1288" s="51"/>
      <c r="L1288" s="86"/>
    </row>
    <row r="1289" spans="1:12" ht="15" x14ac:dyDescent="0.25">
      <c r="A1289" s="1">
        <v>1280</v>
      </c>
      <c r="B1289" s="1" t="s">
        <v>197</v>
      </c>
      <c r="C1289" s="32">
        <v>6126</v>
      </c>
      <c r="D1289" s="1">
        <v>28000</v>
      </c>
      <c r="E1289" s="1"/>
      <c r="F1289" s="1">
        <v>331.28</v>
      </c>
      <c r="G1289" s="1">
        <v>28000</v>
      </c>
      <c r="H1289" s="5">
        <f t="shared" si="37"/>
        <v>0</v>
      </c>
      <c r="I1289" s="6"/>
      <c r="J1289" s="43"/>
      <c r="K1289" s="51"/>
      <c r="L1289" s="86">
        <f>1899128-1897092</f>
        <v>2036</v>
      </c>
    </row>
    <row r="1290" spans="1:12" ht="15" x14ac:dyDescent="0.25">
      <c r="A1290" s="1">
        <v>1281</v>
      </c>
      <c r="B1290" s="1" t="s">
        <v>198</v>
      </c>
      <c r="C1290" s="32">
        <v>7686</v>
      </c>
      <c r="D1290" s="1">
        <v>20000</v>
      </c>
      <c r="E1290" s="1"/>
      <c r="F1290" s="1">
        <v>223.06</v>
      </c>
      <c r="G1290" s="1">
        <v>20000</v>
      </c>
      <c r="H1290" s="5">
        <f t="shared" si="37"/>
        <v>0</v>
      </c>
      <c r="I1290" s="6"/>
      <c r="J1290" s="43"/>
      <c r="K1290" s="51"/>
      <c r="L1290" s="86"/>
    </row>
    <row r="1291" spans="1:12" ht="15" x14ac:dyDescent="0.25">
      <c r="A1291" s="1">
        <v>1282</v>
      </c>
      <c r="B1291" s="1" t="s">
        <v>198</v>
      </c>
      <c r="C1291" s="32" t="s">
        <v>61</v>
      </c>
      <c r="D1291" s="1">
        <v>5000</v>
      </c>
      <c r="E1291" s="1"/>
      <c r="F1291" s="1">
        <v>55.77</v>
      </c>
      <c r="G1291" s="1">
        <v>5000</v>
      </c>
      <c r="H1291" s="5">
        <f t="shared" si="37"/>
        <v>0</v>
      </c>
      <c r="I1291" s="6"/>
      <c r="J1291" s="43"/>
      <c r="K1291" s="51"/>
      <c r="L1291" s="86"/>
    </row>
    <row r="1292" spans="1:12" ht="15" x14ac:dyDescent="0.25">
      <c r="A1292" s="1">
        <v>1283</v>
      </c>
      <c r="B1292" s="1" t="s">
        <v>198</v>
      </c>
      <c r="C1292" s="32">
        <v>7247</v>
      </c>
      <c r="D1292" s="1">
        <v>21000</v>
      </c>
      <c r="E1292" s="1"/>
      <c r="F1292" s="1">
        <v>221.39</v>
      </c>
      <c r="G1292" s="1">
        <v>21000</v>
      </c>
      <c r="H1292" s="5">
        <f t="shared" si="37"/>
        <v>0</v>
      </c>
      <c r="I1292" s="6"/>
      <c r="J1292" s="43"/>
      <c r="K1292" s="51"/>
      <c r="L1292" s="86"/>
    </row>
    <row r="1293" spans="1:12" ht="15" x14ac:dyDescent="0.25">
      <c r="A1293" s="1">
        <v>1284</v>
      </c>
      <c r="B1293" s="1" t="s">
        <v>198</v>
      </c>
      <c r="C1293" s="32">
        <v>128</v>
      </c>
      <c r="D1293" s="1">
        <v>27000</v>
      </c>
      <c r="E1293" s="1"/>
      <c r="F1293" s="1">
        <v>303.25</v>
      </c>
      <c r="G1293" s="1">
        <v>27000</v>
      </c>
      <c r="H1293" s="5">
        <f t="shared" si="37"/>
        <v>0</v>
      </c>
      <c r="I1293" s="6"/>
      <c r="J1293" s="43"/>
      <c r="K1293" s="51"/>
      <c r="L1293" s="86"/>
    </row>
    <row r="1294" spans="1:12" ht="15" x14ac:dyDescent="0.25">
      <c r="A1294" s="1">
        <v>1285</v>
      </c>
      <c r="B1294" s="1" t="s">
        <v>198</v>
      </c>
      <c r="C1294" s="32">
        <v>5209</v>
      </c>
      <c r="D1294" s="1">
        <v>33000</v>
      </c>
      <c r="E1294" s="1"/>
      <c r="F1294" s="1">
        <v>366</v>
      </c>
      <c r="G1294" s="1">
        <v>33000</v>
      </c>
      <c r="H1294" s="5">
        <f t="shared" si="37"/>
        <v>0</v>
      </c>
      <c r="I1294" s="6"/>
      <c r="J1294" s="43"/>
      <c r="K1294" s="51"/>
      <c r="L1294" s="86"/>
    </row>
    <row r="1295" spans="1:12" ht="15" x14ac:dyDescent="0.25">
      <c r="A1295" s="1">
        <v>1286</v>
      </c>
      <c r="B1295" s="1" t="s">
        <v>198</v>
      </c>
      <c r="C1295" s="32">
        <v>4996</v>
      </c>
      <c r="D1295" s="1">
        <v>25000</v>
      </c>
      <c r="E1295" s="1"/>
      <c r="F1295" s="1">
        <v>278.83</v>
      </c>
      <c r="G1295" s="1">
        <v>25000</v>
      </c>
      <c r="H1295" s="5">
        <f t="shared" si="37"/>
        <v>0</v>
      </c>
      <c r="I1295" s="6"/>
      <c r="J1295" s="43"/>
      <c r="K1295" s="51"/>
      <c r="L1295" s="86">
        <f>1778318-1771528</f>
        <v>6790</v>
      </c>
    </row>
    <row r="1296" spans="1:12" ht="15" x14ac:dyDescent="0.25">
      <c r="A1296" s="1">
        <v>1287</v>
      </c>
      <c r="B1296" s="1" t="s">
        <v>199</v>
      </c>
      <c r="C1296" s="32" t="s">
        <v>61</v>
      </c>
      <c r="D1296" s="1">
        <v>4500</v>
      </c>
      <c r="E1296" s="1"/>
      <c r="F1296" s="1">
        <v>50.14</v>
      </c>
      <c r="G1296" s="1">
        <v>4500</v>
      </c>
      <c r="H1296" s="5">
        <f t="shared" si="37"/>
        <v>0</v>
      </c>
      <c r="I1296" s="6"/>
      <c r="J1296" s="43"/>
      <c r="K1296" s="51"/>
      <c r="L1296" s="86"/>
    </row>
    <row r="1297" spans="1:12" ht="15" x14ac:dyDescent="0.25">
      <c r="A1297" s="1">
        <v>1288</v>
      </c>
      <c r="B1297" s="1" t="s">
        <v>199</v>
      </c>
      <c r="C1297" s="32" t="s">
        <v>66</v>
      </c>
      <c r="D1297" s="1">
        <v>200</v>
      </c>
      <c r="E1297" s="1"/>
      <c r="F1297" s="1"/>
      <c r="G1297" s="1">
        <v>200</v>
      </c>
      <c r="H1297" s="5">
        <f t="shared" si="37"/>
        <v>0</v>
      </c>
      <c r="I1297" s="6"/>
      <c r="J1297" s="43"/>
      <c r="K1297" s="51"/>
      <c r="L1297" s="86"/>
    </row>
    <row r="1298" spans="1:12" ht="15" x14ac:dyDescent="0.25">
      <c r="A1298" s="1">
        <v>1289</v>
      </c>
      <c r="B1298" s="1" t="s">
        <v>199</v>
      </c>
      <c r="C1298" s="32">
        <v>4926</v>
      </c>
      <c r="D1298" s="1">
        <v>22000</v>
      </c>
      <c r="E1298" s="1"/>
      <c r="F1298" s="1">
        <v>275.29000000000002</v>
      </c>
      <c r="G1298" s="1">
        <v>22000</v>
      </c>
      <c r="H1298" s="5">
        <f t="shared" si="37"/>
        <v>0</v>
      </c>
      <c r="I1298" s="6"/>
      <c r="J1298" s="43"/>
      <c r="K1298" s="51"/>
      <c r="L1298" s="86"/>
    </row>
    <row r="1299" spans="1:12" ht="15" x14ac:dyDescent="0.25">
      <c r="A1299" s="1">
        <v>1290</v>
      </c>
      <c r="B1299" s="1" t="s">
        <v>199</v>
      </c>
      <c r="C1299" s="32">
        <v>3763</v>
      </c>
      <c r="D1299" s="1">
        <v>28000</v>
      </c>
      <c r="E1299" s="1"/>
      <c r="F1299" s="1">
        <v>306.72000000000003</v>
      </c>
      <c r="G1299" s="1">
        <v>28000</v>
      </c>
      <c r="H1299" s="5">
        <f t="shared" si="37"/>
        <v>0</v>
      </c>
      <c r="I1299" s="6"/>
      <c r="J1299" s="43"/>
      <c r="K1299" s="51"/>
      <c r="L1299" s="86"/>
    </row>
    <row r="1300" spans="1:12" ht="15" x14ac:dyDescent="0.25">
      <c r="A1300" s="1">
        <v>1291</v>
      </c>
      <c r="B1300" s="1" t="s">
        <v>199</v>
      </c>
      <c r="C1300" s="32" t="s">
        <v>63</v>
      </c>
      <c r="D1300" s="1">
        <v>3500</v>
      </c>
      <c r="E1300" s="1"/>
      <c r="F1300" s="1">
        <v>39.04</v>
      </c>
      <c r="G1300" s="1">
        <v>3500</v>
      </c>
      <c r="H1300" s="5">
        <f t="shared" si="37"/>
        <v>0</v>
      </c>
      <c r="I1300" s="6"/>
      <c r="J1300" s="43"/>
      <c r="K1300" s="51"/>
      <c r="L1300" s="86"/>
    </row>
    <row r="1301" spans="1:12" ht="15" x14ac:dyDescent="0.25">
      <c r="A1301" s="1">
        <v>1292</v>
      </c>
      <c r="B1301" s="1" t="s">
        <v>199</v>
      </c>
      <c r="C1301" s="32">
        <v>491</v>
      </c>
      <c r="D1301" s="1">
        <v>15000</v>
      </c>
      <c r="E1301" s="1"/>
      <c r="F1301" s="1">
        <v>167.3</v>
      </c>
      <c r="G1301" s="1">
        <v>15000</v>
      </c>
      <c r="H1301" s="5">
        <f t="shared" si="37"/>
        <v>0</v>
      </c>
      <c r="I1301" s="6"/>
      <c r="J1301" s="43"/>
      <c r="K1301" s="51"/>
      <c r="L1301" s="86">
        <f>1708129-1694728</f>
        <v>13401</v>
      </c>
    </row>
    <row r="1302" spans="1:12" ht="15" x14ac:dyDescent="0.25">
      <c r="A1302" s="1">
        <v>1293</v>
      </c>
      <c r="B1302" s="1" t="s">
        <v>201</v>
      </c>
      <c r="C1302" s="32">
        <v>65</v>
      </c>
      <c r="D1302" s="1">
        <v>5000</v>
      </c>
      <c r="E1302" s="1"/>
      <c r="F1302" s="1">
        <v>55.76</v>
      </c>
      <c r="G1302" s="1">
        <v>5000</v>
      </c>
      <c r="H1302" s="5">
        <f t="shared" si="37"/>
        <v>0</v>
      </c>
      <c r="I1302" s="6"/>
      <c r="J1302" s="43"/>
      <c r="K1302" s="51"/>
      <c r="L1302" s="86"/>
    </row>
    <row r="1303" spans="1:12" ht="15" x14ac:dyDescent="0.25">
      <c r="A1303" s="1">
        <v>1294</v>
      </c>
      <c r="B1303" s="1" t="s">
        <v>201</v>
      </c>
      <c r="C1303" s="32">
        <v>4755</v>
      </c>
      <c r="D1303" s="1">
        <v>25000</v>
      </c>
      <c r="E1303" s="1"/>
      <c r="F1303" s="1">
        <v>278.83</v>
      </c>
      <c r="G1303" s="1">
        <v>25000</v>
      </c>
      <c r="H1303" s="5">
        <f t="shared" si="37"/>
        <v>0</v>
      </c>
      <c r="I1303" s="6"/>
      <c r="J1303" s="43"/>
      <c r="K1303" s="51"/>
      <c r="L1303" s="86">
        <f>1626305-1624728</f>
        <v>1577</v>
      </c>
    </row>
    <row r="1304" spans="1:12" ht="15" x14ac:dyDescent="0.25">
      <c r="A1304" s="1">
        <v>1295</v>
      </c>
      <c r="B1304" s="1" t="s">
        <v>202</v>
      </c>
      <c r="C1304" s="32">
        <v>4826</v>
      </c>
      <c r="D1304" s="1">
        <v>15000</v>
      </c>
      <c r="E1304" s="1"/>
      <c r="F1304" s="1">
        <v>167.3</v>
      </c>
      <c r="G1304" s="1">
        <v>15000</v>
      </c>
      <c r="H1304" s="5">
        <f t="shared" si="37"/>
        <v>0</v>
      </c>
      <c r="I1304" s="6"/>
      <c r="J1304" s="43"/>
      <c r="K1304" s="51"/>
      <c r="L1304" s="86"/>
    </row>
    <row r="1305" spans="1:12" ht="15" x14ac:dyDescent="0.25">
      <c r="A1305" s="1">
        <v>1296</v>
      </c>
      <c r="B1305" s="1" t="s">
        <v>202</v>
      </c>
      <c r="C1305" s="32">
        <v>3809</v>
      </c>
      <c r="D1305" s="1">
        <v>15000</v>
      </c>
      <c r="E1305" s="1"/>
      <c r="F1305" s="1">
        <v>167.3</v>
      </c>
      <c r="G1305" s="1">
        <v>15000</v>
      </c>
      <c r="H1305" s="5">
        <f t="shared" si="37"/>
        <v>0</v>
      </c>
      <c r="I1305" s="6"/>
      <c r="J1305" s="43"/>
      <c r="K1305" s="51"/>
      <c r="L1305" s="86">
        <f>1504728-1498331</f>
        <v>6397</v>
      </c>
    </row>
    <row r="1306" spans="1:12" ht="15" x14ac:dyDescent="0.25">
      <c r="A1306" s="1">
        <v>1297</v>
      </c>
      <c r="B1306" s="1" t="s">
        <v>203</v>
      </c>
      <c r="C1306" s="32">
        <v>205</v>
      </c>
      <c r="D1306" s="1">
        <v>14000</v>
      </c>
      <c r="E1306" s="1"/>
      <c r="F1306" s="1">
        <v>156.15</v>
      </c>
      <c r="G1306" s="1">
        <v>14000</v>
      </c>
      <c r="H1306" s="5">
        <f t="shared" si="37"/>
        <v>0</v>
      </c>
      <c r="I1306" s="6"/>
      <c r="J1306" s="43"/>
      <c r="K1306" s="51"/>
      <c r="L1306" s="86"/>
    </row>
    <row r="1307" spans="1:12" ht="15" x14ac:dyDescent="0.25">
      <c r="A1307" s="1">
        <v>1298</v>
      </c>
      <c r="B1307" s="1" t="s">
        <v>203</v>
      </c>
      <c r="C1307" s="32" t="s">
        <v>61</v>
      </c>
      <c r="D1307" s="1">
        <v>4500</v>
      </c>
      <c r="E1307" s="1"/>
      <c r="F1307" s="1">
        <v>50.19</v>
      </c>
      <c r="G1307" s="1">
        <v>4500</v>
      </c>
      <c r="H1307" s="5">
        <f t="shared" si="37"/>
        <v>0</v>
      </c>
      <c r="I1307" s="6"/>
      <c r="J1307" s="43"/>
      <c r="K1307" s="51"/>
      <c r="L1307" s="86"/>
    </row>
    <row r="1308" spans="1:12" ht="15" x14ac:dyDescent="0.25">
      <c r="A1308" s="1">
        <v>1299</v>
      </c>
      <c r="B1308" s="1" t="s">
        <v>203</v>
      </c>
      <c r="C1308" s="32">
        <v>4551</v>
      </c>
      <c r="D1308" s="1">
        <v>30000</v>
      </c>
      <c r="E1308" s="1"/>
      <c r="F1308" s="1">
        <v>289.64999999999998</v>
      </c>
      <c r="G1308" s="1">
        <v>30000</v>
      </c>
      <c r="H1308" s="5">
        <f t="shared" si="37"/>
        <v>0</v>
      </c>
      <c r="I1308" s="6"/>
      <c r="J1308" s="43"/>
      <c r="K1308" s="51"/>
      <c r="L1308" s="86"/>
    </row>
    <row r="1309" spans="1:12" ht="15" x14ac:dyDescent="0.25">
      <c r="A1309" s="1">
        <v>1300</v>
      </c>
      <c r="B1309" s="1" t="s">
        <v>203</v>
      </c>
      <c r="C1309" s="32">
        <v>339</v>
      </c>
      <c r="D1309" s="1">
        <v>20000</v>
      </c>
      <c r="E1309" s="1"/>
      <c r="F1309" s="1">
        <v>223.06</v>
      </c>
      <c r="G1309" s="1">
        <v>20000</v>
      </c>
      <c r="H1309" s="5">
        <f t="shared" si="37"/>
        <v>0</v>
      </c>
      <c r="I1309" s="6"/>
      <c r="J1309" s="43"/>
      <c r="K1309" s="51"/>
      <c r="L1309" s="86"/>
    </row>
    <row r="1310" spans="1:12" ht="15" x14ac:dyDescent="0.25">
      <c r="A1310" s="1">
        <v>1301</v>
      </c>
      <c r="B1310" s="1" t="s">
        <v>203</v>
      </c>
      <c r="C1310" s="32">
        <v>3939</v>
      </c>
      <c r="D1310" s="1">
        <v>15000</v>
      </c>
      <c r="E1310" s="1"/>
      <c r="F1310" s="1">
        <v>167.3</v>
      </c>
      <c r="G1310" s="1">
        <v>15000</v>
      </c>
      <c r="H1310" s="5">
        <f t="shared" si="37"/>
        <v>0</v>
      </c>
      <c r="I1310" s="6"/>
      <c r="J1310" s="43"/>
      <c r="K1310" s="51"/>
      <c r="L1310" s="86"/>
    </row>
    <row r="1311" spans="1:12" ht="15" x14ac:dyDescent="0.25">
      <c r="A1311" s="1">
        <v>1302</v>
      </c>
      <c r="B1311" s="1" t="s">
        <v>203</v>
      </c>
      <c r="C1311" s="32">
        <v>3359</v>
      </c>
      <c r="D1311" s="1">
        <v>20000</v>
      </c>
      <c r="E1311" s="1"/>
      <c r="F1311" s="1">
        <v>223.06</v>
      </c>
      <c r="G1311" s="1">
        <v>20000</v>
      </c>
      <c r="H1311" s="5">
        <f t="shared" si="37"/>
        <v>0</v>
      </c>
      <c r="I1311" s="6"/>
      <c r="J1311" s="43"/>
      <c r="K1311" s="51"/>
      <c r="L1311" s="86"/>
    </row>
    <row r="1312" spans="1:12" ht="15" x14ac:dyDescent="0.25">
      <c r="A1312" s="1">
        <v>1303</v>
      </c>
      <c r="B1312" s="1" t="s">
        <v>203</v>
      </c>
      <c r="C1312" s="32">
        <v>2102</v>
      </c>
      <c r="D1312" s="1">
        <v>15000</v>
      </c>
      <c r="E1312" s="1"/>
      <c r="F1312" s="1">
        <v>167.3</v>
      </c>
      <c r="G1312" s="1">
        <v>15000</v>
      </c>
      <c r="H1312" s="5">
        <f t="shared" si="37"/>
        <v>0</v>
      </c>
      <c r="I1312" s="6"/>
      <c r="J1312" s="43"/>
      <c r="K1312" s="51"/>
      <c r="L1312" s="86"/>
    </row>
    <row r="1313" spans="1:13" ht="15" x14ac:dyDescent="0.25">
      <c r="A1313" s="1">
        <v>1304</v>
      </c>
      <c r="B1313" s="1" t="s">
        <v>203</v>
      </c>
      <c r="C1313" s="32">
        <v>3756</v>
      </c>
      <c r="D1313" s="1">
        <v>30000</v>
      </c>
      <c r="E1313" s="1"/>
      <c r="F1313" s="1">
        <v>322.3</v>
      </c>
      <c r="G1313" s="1">
        <v>30000</v>
      </c>
      <c r="H1313" s="5">
        <f t="shared" si="37"/>
        <v>0</v>
      </c>
      <c r="I1313" s="6"/>
      <c r="J1313" s="43"/>
      <c r="K1313" s="51"/>
      <c r="L1313" s="86"/>
    </row>
    <row r="1314" spans="1:13" ht="15" x14ac:dyDescent="0.25">
      <c r="A1314" s="1">
        <v>1305</v>
      </c>
      <c r="B1314" s="1" t="s">
        <v>203</v>
      </c>
      <c r="C1314" s="32">
        <v>3374</v>
      </c>
      <c r="D1314" s="1">
        <v>30000</v>
      </c>
      <c r="E1314" s="1"/>
      <c r="F1314" s="1">
        <v>322.3</v>
      </c>
      <c r="G1314" s="1">
        <v>30000</v>
      </c>
      <c r="H1314" s="5">
        <f t="shared" si="37"/>
        <v>0</v>
      </c>
      <c r="I1314" s="6"/>
      <c r="J1314" s="43"/>
      <c r="K1314" s="51"/>
      <c r="L1314" s="86"/>
    </row>
    <row r="1315" spans="1:13" ht="15" x14ac:dyDescent="0.25">
      <c r="A1315" s="1">
        <v>1306</v>
      </c>
      <c r="B1315" s="1" t="s">
        <v>203</v>
      </c>
      <c r="C1315" s="32">
        <v>3259</v>
      </c>
      <c r="D1315" s="1">
        <v>20000</v>
      </c>
      <c r="E1315" s="1"/>
      <c r="F1315" s="1">
        <v>223.06</v>
      </c>
      <c r="G1315" s="1">
        <v>20000</v>
      </c>
      <c r="H1315" s="5">
        <f t="shared" si="37"/>
        <v>0</v>
      </c>
      <c r="I1315" s="6"/>
      <c r="J1315" s="43"/>
      <c r="K1315" s="51"/>
      <c r="L1315" s="86">
        <f>1476228-1473730</f>
        <v>2498</v>
      </c>
      <c r="M1315">
        <f>1623730-150000</f>
        <v>1473730</v>
      </c>
    </row>
    <row r="1316" spans="1:13" ht="15" x14ac:dyDescent="0.25">
      <c r="A1316" s="1">
        <v>1307</v>
      </c>
      <c r="B1316" s="1" t="s">
        <v>208</v>
      </c>
      <c r="C1316" s="32" t="s">
        <v>66</v>
      </c>
      <c r="D1316" s="1">
        <v>200</v>
      </c>
      <c r="E1316" s="1"/>
      <c r="F1316" s="1"/>
      <c r="G1316" s="1">
        <v>200</v>
      </c>
      <c r="H1316" s="5">
        <f t="shared" si="37"/>
        <v>0</v>
      </c>
      <c r="I1316" s="6"/>
      <c r="J1316" s="43"/>
      <c r="K1316" s="51"/>
      <c r="L1316" s="86"/>
    </row>
    <row r="1317" spans="1:13" ht="15" x14ac:dyDescent="0.25">
      <c r="A1317" s="1">
        <v>1308</v>
      </c>
      <c r="B1317" s="1" t="s">
        <v>208</v>
      </c>
      <c r="C1317" s="32">
        <v>9454</v>
      </c>
      <c r="D1317" s="1">
        <v>34000</v>
      </c>
      <c r="E1317" s="1"/>
      <c r="F1317" s="1">
        <v>245.37</v>
      </c>
      <c r="G1317" s="1">
        <v>34000</v>
      </c>
      <c r="H1317" s="5">
        <f t="shared" si="37"/>
        <v>0</v>
      </c>
      <c r="I1317" s="6"/>
      <c r="J1317" s="43"/>
      <c r="K1317" s="51"/>
      <c r="L1317" s="86"/>
    </row>
    <row r="1318" spans="1:13" ht="15" x14ac:dyDescent="0.25">
      <c r="A1318" s="1">
        <v>1309</v>
      </c>
      <c r="B1318" s="1" t="s">
        <v>208</v>
      </c>
      <c r="C1318" s="32">
        <v>3652</v>
      </c>
      <c r="D1318" s="1">
        <v>28000</v>
      </c>
      <c r="E1318" s="1"/>
      <c r="F1318" s="1">
        <v>377.43</v>
      </c>
      <c r="G1318" s="1">
        <v>28000</v>
      </c>
      <c r="H1318" s="5">
        <f t="shared" si="37"/>
        <v>0</v>
      </c>
      <c r="I1318" s="6"/>
      <c r="J1318" s="43"/>
      <c r="K1318" s="51"/>
      <c r="L1318" s="86"/>
    </row>
    <row r="1319" spans="1:13" ht="15" x14ac:dyDescent="0.25">
      <c r="A1319" s="1">
        <v>1310</v>
      </c>
      <c r="B1319" s="1" t="s">
        <v>208</v>
      </c>
      <c r="C1319" s="32">
        <v>3374</v>
      </c>
      <c r="D1319" s="1">
        <v>40000</v>
      </c>
      <c r="E1319" s="1"/>
      <c r="F1319" s="1">
        <v>312.29000000000002</v>
      </c>
      <c r="G1319" s="1">
        <v>40000</v>
      </c>
      <c r="H1319" s="5">
        <f t="shared" si="37"/>
        <v>0</v>
      </c>
      <c r="I1319" s="6"/>
      <c r="J1319" s="43"/>
      <c r="K1319" s="51"/>
      <c r="L1319" s="86"/>
    </row>
    <row r="1320" spans="1:13" ht="15" x14ac:dyDescent="0.25">
      <c r="A1320" s="1">
        <v>1311</v>
      </c>
      <c r="B1320" s="1" t="s">
        <v>208</v>
      </c>
      <c r="C1320" s="32">
        <v>5898</v>
      </c>
      <c r="D1320" s="1">
        <v>20000</v>
      </c>
      <c r="E1320" s="1"/>
      <c r="F1320" s="1">
        <v>223.06</v>
      </c>
      <c r="G1320" s="1">
        <v>20000</v>
      </c>
      <c r="H1320" s="5">
        <f t="shared" si="37"/>
        <v>0</v>
      </c>
      <c r="I1320" s="6"/>
      <c r="J1320" s="43"/>
      <c r="K1320" s="51"/>
      <c r="L1320" s="86"/>
    </row>
    <row r="1321" spans="1:13" ht="15" x14ac:dyDescent="0.25">
      <c r="A1321" s="1">
        <v>1312</v>
      </c>
      <c r="B1321" s="1" t="s">
        <v>209</v>
      </c>
      <c r="C1321" s="32">
        <v>3341</v>
      </c>
      <c r="D1321" s="1">
        <v>20000</v>
      </c>
      <c r="E1321" s="1"/>
      <c r="F1321" s="1">
        <v>223.06</v>
      </c>
      <c r="G1321" s="1">
        <v>20000</v>
      </c>
      <c r="H1321" s="5">
        <f t="shared" si="37"/>
        <v>0</v>
      </c>
      <c r="I1321" s="6"/>
      <c r="J1321" s="43"/>
      <c r="K1321" s="51"/>
      <c r="L1321" s="86"/>
    </row>
    <row r="1322" spans="1:13" ht="15" x14ac:dyDescent="0.25">
      <c r="A1322" s="1">
        <v>1313</v>
      </c>
      <c r="B1322" s="1" t="s">
        <v>209</v>
      </c>
      <c r="C1322" s="32" t="s">
        <v>61</v>
      </c>
      <c r="D1322" s="1">
        <v>5000</v>
      </c>
      <c r="E1322" s="1"/>
      <c r="F1322" s="1">
        <v>55.77</v>
      </c>
      <c r="G1322" s="1">
        <v>5000</v>
      </c>
      <c r="H1322" s="5">
        <f t="shared" si="37"/>
        <v>0</v>
      </c>
      <c r="I1322" s="6"/>
      <c r="J1322" s="43"/>
      <c r="K1322" s="51"/>
      <c r="L1322" s="86"/>
    </row>
    <row r="1323" spans="1:13" ht="15" x14ac:dyDescent="0.25">
      <c r="A1323" s="1">
        <v>1314</v>
      </c>
      <c r="B1323" s="1" t="s">
        <v>209</v>
      </c>
      <c r="C1323" s="32">
        <v>4713</v>
      </c>
      <c r="D1323" s="1">
        <v>15000</v>
      </c>
      <c r="E1323" s="1"/>
      <c r="F1323" s="1">
        <v>167.3</v>
      </c>
      <c r="G1323" s="1">
        <v>15000</v>
      </c>
      <c r="H1323" s="5">
        <f t="shared" si="37"/>
        <v>0</v>
      </c>
      <c r="I1323" s="6"/>
      <c r="J1323" s="43"/>
      <c r="K1323" s="51"/>
      <c r="L1323" s="86"/>
    </row>
    <row r="1324" spans="1:13" ht="15" x14ac:dyDescent="0.25">
      <c r="A1324" s="1">
        <v>1315</v>
      </c>
      <c r="B1324" s="1" t="s">
        <v>209</v>
      </c>
      <c r="C1324" s="32" t="s">
        <v>63</v>
      </c>
      <c r="D1324" s="1">
        <v>3500</v>
      </c>
      <c r="E1324" s="1"/>
      <c r="F1324" s="1">
        <v>39.03</v>
      </c>
      <c r="G1324" s="1">
        <v>3500</v>
      </c>
      <c r="H1324" s="5">
        <f t="shared" ref="H1324:H1387" si="38">D1324-G1324</f>
        <v>0</v>
      </c>
      <c r="I1324" s="6"/>
      <c r="J1324" s="43"/>
      <c r="K1324" s="51"/>
      <c r="L1324" s="86"/>
    </row>
    <row r="1325" spans="1:13" ht="15" x14ac:dyDescent="0.25">
      <c r="A1325" s="1">
        <v>1316</v>
      </c>
      <c r="B1325" s="1" t="s">
        <v>209</v>
      </c>
      <c r="C1325" s="32">
        <v>8751</v>
      </c>
      <c r="D1325" s="1">
        <v>10000</v>
      </c>
      <c r="E1325" s="1"/>
      <c r="F1325" s="1">
        <v>111.53</v>
      </c>
      <c r="G1325" s="1">
        <v>10000</v>
      </c>
      <c r="H1325" s="5">
        <f t="shared" si="38"/>
        <v>0</v>
      </c>
      <c r="I1325" s="6"/>
      <c r="J1325" s="43"/>
      <c r="K1325" s="51"/>
      <c r="L1325" s="86"/>
    </row>
    <row r="1326" spans="1:13" ht="15" x14ac:dyDescent="0.25">
      <c r="A1326" s="1">
        <v>1317</v>
      </c>
      <c r="B1326" s="1" t="s">
        <v>209</v>
      </c>
      <c r="C1326" s="32">
        <v>7371</v>
      </c>
      <c r="D1326" s="1">
        <v>23000</v>
      </c>
      <c r="E1326" s="1"/>
      <c r="F1326" s="1">
        <v>234.25</v>
      </c>
      <c r="G1326" s="1">
        <v>23000</v>
      </c>
      <c r="H1326" s="5">
        <f t="shared" si="38"/>
        <v>0</v>
      </c>
      <c r="I1326" s="6"/>
      <c r="J1326" s="43"/>
      <c r="K1326" s="51"/>
      <c r="L1326" s="86">
        <f>1674928-1673292</f>
        <v>1636</v>
      </c>
    </row>
    <row r="1327" spans="1:13" ht="15" x14ac:dyDescent="0.25">
      <c r="A1327" s="1">
        <v>1318</v>
      </c>
      <c r="B1327" s="1" t="s">
        <v>211</v>
      </c>
      <c r="C1327" s="32" t="s">
        <v>61</v>
      </c>
      <c r="D1327" s="1">
        <v>4500</v>
      </c>
      <c r="E1327" s="1"/>
      <c r="F1327" s="1">
        <v>50.14</v>
      </c>
      <c r="G1327" s="1">
        <v>4500</v>
      </c>
      <c r="H1327" s="5">
        <f t="shared" si="38"/>
        <v>0</v>
      </c>
      <c r="I1327" s="6"/>
      <c r="J1327" s="43"/>
      <c r="K1327" s="51"/>
      <c r="L1327" s="86"/>
    </row>
    <row r="1328" spans="1:13" ht="15" x14ac:dyDescent="0.25">
      <c r="A1328" s="1">
        <v>1319</v>
      </c>
      <c r="B1328" s="1" t="s">
        <v>211</v>
      </c>
      <c r="C1328" s="32">
        <v>9998</v>
      </c>
      <c r="D1328" s="1">
        <v>17000</v>
      </c>
      <c r="E1328" s="1"/>
      <c r="F1328" s="1">
        <v>189.61</v>
      </c>
      <c r="G1328" s="1">
        <v>17000</v>
      </c>
      <c r="H1328" s="5">
        <f t="shared" si="38"/>
        <v>0</v>
      </c>
      <c r="I1328" s="6"/>
      <c r="J1328" s="43"/>
      <c r="K1328" s="51"/>
      <c r="L1328" s="86"/>
    </row>
    <row r="1329" spans="1:12" ht="15" x14ac:dyDescent="0.25">
      <c r="A1329" s="1">
        <v>1320</v>
      </c>
      <c r="B1329" s="1" t="s">
        <v>211</v>
      </c>
      <c r="C1329" s="32">
        <v>3773</v>
      </c>
      <c r="D1329" s="1">
        <v>28000</v>
      </c>
      <c r="E1329" s="1"/>
      <c r="F1329" s="1">
        <v>312</v>
      </c>
      <c r="G1329" s="1">
        <v>28000</v>
      </c>
      <c r="H1329" s="5">
        <f t="shared" si="38"/>
        <v>0</v>
      </c>
      <c r="I1329" s="6"/>
      <c r="J1329" s="43"/>
      <c r="K1329" s="51"/>
      <c r="L1329" s="86"/>
    </row>
    <row r="1330" spans="1:12" ht="15" x14ac:dyDescent="0.25">
      <c r="A1330" s="1">
        <v>1321</v>
      </c>
      <c r="B1330" s="1" t="s">
        <v>211</v>
      </c>
      <c r="C1330" s="32">
        <v>1912</v>
      </c>
      <c r="D1330" s="1">
        <v>32000</v>
      </c>
      <c r="E1330" s="1"/>
      <c r="F1330" s="1">
        <v>356.2</v>
      </c>
      <c r="G1330" s="1">
        <v>32000</v>
      </c>
      <c r="H1330" s="5">
        <f t="shared" si="38"/>
        <v>0</v>
      </c>
      <c r="I1330" s="6"/>
      <c r="J1330" s="43"/>
      <c r="K1330" s="51"/>
      <c r="L1330" s="86"/>
    </row>
    <row r="1331" spans="1:12" ht="15" x14ac:dyDescent="0.25">
      <c r="A1331" s="1">
        <v>1322</v>
      </c>
      <c r="B1331" s="1" t="s">
        <v>211</v>
      </c>
      <c r="C1331" s="32">
        <v>808</v>
      </c>
      <c r="D1331" s="1">
        <v>15000</v>
      </c>
      <c r="E1331" s="1"/>
      <c r="F1331" s="1">
        <v>167.9</v>
      </c>
      <c r="G1331" s="1">
        <v>15000</v>
      </c>
      <c r="H1331" s="5">
        <f t="shared" si="38"/>
        <v>0</v>
      </c>
      <c r="I1331" s="6"/>
      <c r="J1331" s="43"/>
      <c r="K1331" s="51"/>
      <c r="L1331" s="86"/>
    </row>
    <row r="1332" spans="1:12" ht="15" x14ac:dyDescent="0.25">
      <c r="A1332" s="1">
        <v>1323</v>
      </c>
      <c r="B1332" s="1" t="s">
        <v>211</v>
      </c>
      <c r="C1332" s="32">
        <v>8436</v>
      </c>
      <c r="D1332" s="1">
        <v>29000</v>
      </c>
      <c r="E1332" s="1"/>
      <c r="F1332" s="1">
        <v>323.44</v>
      </c>
      <c r="G1332" s="1">
        <v>29000</v>
      </c>
      <c r="H1332" s="5">
        <f t="shared" si="38"/>
        <v>0</v>
      </c>
      <c r="I1332" s="6"/>
      <c r="J1332" s="43"/>
      <c r="K1332" s="51"/>
      <c r="L1332" s="86">
        <f>1600428-1596228</f>
        <v>4200</v>
      </c>
    </row>
    <row r="1333" spans="1:12" ht="15" x14ac:dyDescent="0.25">
      <c r="A1333" s="1">
        <v>1324</v>
      </c>
      <c r="B1333" s="1" t="s">
        <v>212</v>
      </c>
      <c r="C1333" s="32" t="s">
        <v>63</v>
      </c>
      <c r="D1333" s="1">
        <v>3500</v>
      </c>
      <c r="E1333" s="1"/>
      <c r="F1333" s="1">
        <v>39.03</v>
      </c>
      <c r="G1333" s="1">
        <v>3500</v>
      </c>
      <c r="H1333" s="5">
        <f t="shared" si="38"/>
        <v>0</v>
      </c>
      <c r="I1333" s="6"/>
      <c r="J1333" s="43"/>
      <c r="K1333" s="51"/>
      <c r="L1333" s="86"/>
    </row>
    <row r="1334" spans="1:12" ht="15" x14ac:dyDescent="0.25">
      <c r="A1334" s="1">
        <v>1325</v>
      </c>
      <c r="B1334" s="1" t="s">
        <v>212</v>
      </c>
      <c r="C1334" s="32" t="s">
        <v>66</v>
      </c>
      <c r="D1334" s="1">
        <v>200</v>
      </c>
      <c r="E1334" s="1"/>
      <c r="F1334" s="1"/>
      <c r="G1334" s="1">
        <v>200</v>
      </c>
      <c r="H1334" s="5">
        <f t="shared" ref="H1334" si="39">D1334-G1334</f>
        <v>0</v>
      </c>
      <c r="I1334" s="6"/>
      <c r="J1334" s="43"/>
      <c r="K1334" s="51"/>
      <c r="L1334" s="86"/>
    </row>
    <row r="1335" spans="1:12" ht="15" x14ac:dyDescent="0.25">
      <c r="A1335" s="1">
        <v>1326</v>
      </c>
      <c r="B1335" s="1" t="s">
        <v>212</v>
      </c>
      <c r="C1335" s="32">
        <v>9735</v>
      </c>
      <c r="D1335" s="1">
        <v>23000</v>
      </c>
      <c r="E1335" s="1"/>
      <c r="F1335" s="1">
        <v>236.76</v>
      </c>
      <c r="G1335" s="1">
        <v>23000</v>
      </c>
      <c r="H1335" s="5">
        <f t="shared" si="38"/>
        <v>0</v>
      </c>
      <c r="I1335" s="6"/>
      <c r="J1335" s="43"/>
      <c r="K1335" s="51"/>
      <c r="L1335" s="86">
        <f>1492794-1477128</f>
        <v>15666</v>
      </c>
    </row>
    <row r="1336" spans="1:12" ht="15" x14ac:dyDescent="0.25">
      <c r="A1336" s="1">
        <v>1327</v>
      </c>
      <c r="B1336" s="1" t="s">
        <v>213</v>
      </c>
      <c r="C1336" s="32">
        <v>9795</v>
      </c>
      <c r="D1336" s="1">
        <v>24000</v>
      </c>
      <c r="E1336" s="1"/>
      <c r="F1336" s="1">
        <v>267.68</v>
      </c>
      <c r="G1336" s="1">
        <v>24000</v>
      </c>
      <c r="H1336" s="5">
        <f t="shared" si="38"/>
        <v>0</v>
      </c>
      <c r="I1336" s="6"/>
      <c r="J1336" s="43"/>
      <c r="K1336" s="51"/>
      <c r="L1336" s="86"/>
    </row>
    <row r="1337" spans="1:12" ht="15" x14ac:dyDescent="0.25">
      <c r="A1337" s="1">
        <v>1328</v>
      </c>
      <c r="B1337" s="1" t="s">
        <v>213</v>
      </c>
      <c r="C1337" s="32">
        <v>3597</v>
      </c>
      <c r="D1337" s="1">
        <v>16000</v>
      </c>
      <c r="E1337" s="1"/>
      <c r="F1337" s="1">
        <v>178.45</v>
      </c>
      <c r="G1337" s="1">
        <v>16000</v>
      </c>
      <c r="H1337" s="5">
        <f t="shared" si="38"/>
        <v>0</v>
      </c>
      <c r="I1337" s="6"/>
      <c r="J1337" s="43"/>
      <c r="K1337" s="51"/>
      <c r="L1337" s="86"/>
    </row>
    <row r="1338" spans="1:12" ht="15" x14ac:dyDescent="0.25">
      <c r="A1338" s="1">
        <v>1329</v>
      </c>
      <c r="B1338" s="1" t="s">
        <v>213</v>
      </c>
      <c r="C1338" s="32">
        <v>65</v>
      </c>
      <c r="D1338" s="1">
        <v>5000</v>
      </c>
      <c r="E1338" s="1"/>
      <c r="F1338" s="1">
        <v>55.77</v>
      </c>
      <c r="G1338" s="1">
        <v>5000</v>
      </c>
      <c r="H1338" s="5">
        <f t="shared" si="38"/>
        <v>0</v>
      </c>
      <c r="I1338" s="6"/>
      <c r="J1338" s="43"/>
      <c r="K1338" s="51"/>
      <c r="L1338" s="86"/>
    </row>
    <row r="1339" spans="1:12" ht="15" x14ac:dyDescent="0.25">
      <c r="A1339" s="1">
        <v>1330</v>
      </c>
      <c r="B1339" s="1" t="s">
        <v>213</v>
      </c>
      <c r="C1339" s="32">
        <v>2979</v>
      </c>
      <c r="D1339" s="1">
        <v>28000</v>
      </c>
      <c r="E1339" s="1"/>
      <c r="F1339" s="1">
        <v>296.08999999999997</v>
      </c>
      <c r="G1339" s="1">
        <v>28000</v>
      </c>
      <c r="H1339" s="5">
        <f t="shared" si="38"/>
        <v>0</v>
      </c>
      <c r="I1339" s="6"/>
      <c r="J1339" s="43"/>
      <c r="K1339" s="51"/>
      <c r="L1339" s="86"/>
    </row>
    <row r="1340" spans="1:12" ht="15" x14ac:dyDescent="0.25">
      <c r="A1340" s="1">
        <v>1331</v>
      </c>
      <c r="B1340" s="1" t="s">
        <v>213</v>
      </c>
      <c r="C1340" s="32">
        <v>7538</v>
      </c>
      <c r="D1340" s="1">
        <v>15000</v>
      </c>
      <c r="E1340" s="1"/>
      <c r="F1340" s="1">
        <v>167.3</v>
      </c>
      <c r="G1340" s="1">
        <v>15000</v>
      </c>
      <c r="H1340" s="5">
        <f t="shared" si="38"/>
        <v>0</v>
      </c>
      <c r="I1340" s="6"/>
      <c r="J1340" s="43"/>
      <c r="K1340" s="51"/>
      <c r="L1340" s="86"/>
    </row>
    <row r="1341" spans="1:12" ht="15" x14ac:dyDescent="0.25">
      <c r="A1341" s="1">
        <v>1332</v>
      </c>
      <c r="B1341" s="1" t="s">
        <v>213</v>
      </c>
      <c r="C1341" s="32">
        <v>9931</v>
      </c>
      <c r="D1341" s="1">
        <v>15000</v>
      </c>
      <c r="E1341" s="1"/>
      <c r="F1341" s="1">
        <v>207.46</v>
      </c>
      <c r="G1341" s="1">
        <v>15000</v>
      </c>
      <c r="H1341" s="5">
        <f t="shared" si="38"/>
        <v>0</v>
      </c>
      <c r="I1341" s="6"/>
      <c r="J1341" s="43"/>
      <c r="K1341" s="51"/>
      <c r="L1341" s="86"/>
    </row>
    <row r="1342" spans="1:12" ht="15" x14ac:dyDescent="0.25">
      <c r="A1342" s="1">
        <v>1333</v>
      </c>
      <c r="B1342" s="1" t="s">
        <v>213</v>
      </c>
      <c r="C1342" s="32">
        <v>5450</v>
      </c>
      <c r="D1342" s="1">
        <v>23000</v>
      </c>
      <c r="E1342" s="1"/>
      <c r="F1342" s="1">
        <v>223.06</v>
      </c>
      <c r="G1342" s="1">
        <v>23000</v>
      </c>
      <c r="H1342" s="5">
        <f t="shared" si="38"/>
        <v>0</v>
      </c>
      <c r="I1342" s="6"/>
      <c r="J1342" s="43"/>
      <c r="K1342" s="51"/>
      <c r="L1342" s="86">
        <f>1411549-1403128</f>
        <v>8421</v>
      </c>
    </row>
    <row r="1343" spans="1:12" ht="15" x14ac:dyDescent="0.25">
      <c r="A1343" s="1">
        <v>1334</v>
      </c>
      <c r="B1343" s="1" t="s">
        <v>214</v>
      </c>
      <c r="C1343" s="32" t="s">
        <v>30</v>
      </c>
      <c r="D1343" s="1">
        <v>5000</v>
      </c>
      <c r="E1343" s="1"/>
      <c r="F1343" s="1">
        <v>55.77</v>
      </c>
      <c r="G1343" s="1">
        <v>5000</v>
      </c>
      <c r="H1343" s="5">
        <f t="shared" si="38"/>
        <v>0</v>
      </c>
      <c r="I1343" s="6"/>
      <c r="J1343" s="43"/>
      <c r="K1343" s="51"/>
      <c r="L1343" s="86"/>
    </row>
    <row r="1344" spans="1:12" ht="15" x14ac:dyDescent="0.25">
      <c r="A1344" s="1">
        <v>1335</v>
      </c>
      <c r="B1344" s="1" t="s">
        <v>214</v>
      </c>
      <c r="C1344" s="32">
        <v>3682</v>
      </c>
      <c r="D1344" s="1">
        <v>28000</v>
      </c>
      <c r="E1344" s="1"/>
      <c r="F1344" s="1">
        <v>312.29000000000002</v>
      </c>
      <c r="G1344" s="1">
        <v>28000</v>
      </c>
      <c r="H1344" s="5">
        <f t="shared" si="38"/>
        <v>0</v>
      </c>
      <c r="I1344" s="6"/>
      <c r="J1344" s="43"/>
      <c r="K1344" s="51"/>
      <c r="L1344" s="86"/>
    </row>
    <row r="1345" spans="1:12" ht="15" x14ac:dyDescent="0.25">
      <c r="A1345" s="1">
        <v>1336</v>
      </c>
      <c r="B1345" s="1" t="s">
        <v>214</v>
      </c>
      <c r="C1345" s="32">
        <v>7984</v>
      </c>
      <c r="D1345" s="1">
        <v>15000</v>
      </c>
      <c r="E1345" s="1"/>
      <c r="F1345" s="1">
        <v>190.73</v>
      </c>
      <c r="G1345" s="1">
        <v>15000</v>
      </c>
      <c r="H1345" s="5">
        <f t="shared" si="38"/>
        <v>0</v>
      </c>
      <c r="I1345" s="6"/>
      <c r="J1345" s="43"/>
      <c r="K1345" s="51"/>
      <c r="L1345" s="86"/>
    </row>
    <row r="1346" spans="1:12" ht="15" x14ac:dyDescent="0.25">
      <c r="A1346" s="1">
        <v>1337</v>
      </c>
      <c r="B1346" s="1" t="s">
        <v>214</v>
      </c>
      <c r="C1346" s="32">
        <v>1268</v>
      </c>
      <c r="D1346" s="1">
        <v>32000</v>
      </c>
      <c r="E1346" s="1"/>
      <c r="F1346" s="1">
        <v>349.1</v>
      </c>
      <c r="G1346" s="1">
        <v>32000</v>
      </c>
      <c r="H1346" s="5">
        <f t="shared" si="38"/>
        <v>0</v>
      </c>
      <c r="I1346" s="6"/>
      <c r="J1346" s="43"/>
      <c r="K1346" s="51"/>
      <c r="L1346" s="86">
        <f>1333128-1331638</f>
        <v>1490</v>
      </c>
    </row>
    <row r="1347" spans="1:12" ht="15" x14ac:dyDescent="0.25">
      <c r="A1347" s="1">
        <v>1338</v>
      </c>
      <c r="B1347" s="1" t="s">
        <v>215</v>
      </c>
      <c r="C1347" s="32" t="s">
        <v>30</v>
      </c>
      <c r="D1347" s="1">
        <v>3500</v>
      </c>
      <c r="E1347" s="1"/>
      <c r="F1347" s="1">
        <v>39.03</v>
      </c>
      <c r="G1347" s="1">
        <v>3500</v>
      </c>
      <c r="H1347" s="5">
        <f t="shared" si="38"/>
        <v>0</v>
      </c>
      <c r="I1347" s="6"/>
      <c r="J1347" s="43"/>
      <c r="K1347" s="51"/>
      <c r="L1347" s="86"/>
    </row>
    <row r="1348" spans="1:12" ht="15" x14ac:dyDescent="0.25">
      <c r="A1348" s="1">
        <v>1339</v>
      </c>
      <c r="B1348" s="1" t="s">
        <v>215</v>
      </c>
      <c r="C1348" s="32">
        <v>189</v>
      </c>
      <c r="D1348" s="1">
        <v>20000</v>
      </c>
      <c r="E1348" s="1"/>
      <c r="F1348" s="1">
        <v>223.06</v>
      </c>
      <c r="G1348" s="1">
        <v>20000</v>
      </c>
      <c r="H1348" s="5">
        <f t="shared" si="38"/>
        <v>0</v>
      </c>
      <c r="I1348" s="6"/>
      <c r="J1348" s="43"/>
      <c r="K1348" s="51"/>
      <c r="L1348" s="86"/>
    </row>
    <row r="1349" spans="1:12" ht="15" x14ac:dyDescent="0.25">
      <c r="A1349" s="1">
        <v>1340</v>
      </c>
      <c r="B1349" s="1" t="s">
        <v>215</v>
      </c>
      <c r="C1349" s="32">
        <v>8581</v>
      </c>
      <c r="D1349" s="1">
        <v>20000</v>
      </c>
      <c r="E1349" s="1"/>
      <c r="F1349" s="1">
        <v>223.06</v>
      </c>
      <c r="G1349" s="1">
        <v>20000</v>
      </c>
      <c r="H1349" s="5">
        <f t="shared" si="38"/>
        <v>0</v>
      </c>
      <c r="I1349" s="6"/>
      <c r="J1349" s="43"/>
      <c r="K1349" s="51"/>
      <c r="L1349" s="86"/>
    </row>
    <row r="1350" spans="1:12" ht="15" x14ac:dyDescent="0.25">
      <c r="A1350" s="1">
        <v>1341</v>
      </c>
      <c r="B1350" s="1" t="s">
        <v>215</v>
      </c>
      <c r="C1350" s="32" t="s">
        <v>66</v>
      </c>
      <c r="D1350" s="1">
        <v>200</v>
      </c>
      <c r="E1350" s="1"/>
      <c r="F1350" s="1"/>
      <c r="G1350" s="1">
        <v>200</v>
      </c>
      <c r="H1350" s="5">
        <f t="shared" si="38"/>
        <v>0</v>
      </c>
      <c r="I1350" s="6"/>
      <c r="J1350" s="43"/>
      <c r="K1350" s="51"/>
      <c r="L1350" s="86"/>
    </row>
    <row r="1351" spans="1:12" ht="15" x14ac:dyDescent="0.25">
      <c r="A1351" s="1">
        <v>1342</v>
      </c>
      <c r="B1351" s="1" t="s">
        <v>215</v>
      </c>
      <c r="C1351" s="32">
        <v>9487</v>
      </c>
      <c r="D1351" s="1">
        <v>20000</v>
      </c>
      <c r="E1351" s="1"/>
      <c r="F1351" s="1">
        <v>223.06</v>
      </c>
      <c r="G1351" s="1">
        <v>20000</v>
      </c>
      <c r="H1351" s="5">
        <f t="shared" si="38"/>
        <v>0</v>
      </c>
      <c r="I1351" s="6"/>
      <c r="J1351" s="43"/>
      <c r="K1351" s="51"/>
      <c r="L1351" s="86"/>
    </row>
    <row r="1352" spans="1:12" ht="15" x14ac:dyDescent="0.25">
      <c r="A1352" s="1">
        <v>1343</v>
      </c>
      <c r="B1352" s="1" t="s">
        <v>216</v>
      </c>
      <c r="C1352" s="32">
        <v>6878</v>
      </c>
      <c r="D1352" s="1">
        <v>20000</v>
      </c>
      <c r="E1352" s="1"/>
      <c r="F1352" s="1">
        <v>223.06</v>
      </c>
      <c r="G1352" s="1">
        <v>20000</v>
      </c>
      <c r="H1352" s="5">
        <f t="shared" si="38"/>
        <v>0</v>
      </c>
      <c r="I1352" s="6"/>
      <c r="J1352" s="43"/>
      <c r="K1352" s="51"/>
      <c r="L1352" s="86"/>
    </row>
    <row r="1353" spans="1:12" ht="15" x14ac:dyDescent="0.25">
      <c r="A1353" s="1">
        <v>1344</v>
      </c>
      <c r="B1353" s="1" t="s">
        <v>216</v>
      </c>
      <c r="C1353" s="32">
        <v>5100</v>
      </c>
      <c r="D1353" s="1">
        <v>18000</v>
      </c>
      <c r="E1353" s="1"/>
      <c r="F1353" s="1">
        <v>189</v>
      </c>
      <c r="G1353" s="1">
        <v>18000</v>
      </c>
      <c r="H1353" s="5">
        <f t="shared" si="38"/>
        <v>0</v>
      </c>
      <c r="I1353" s="6"/>
      <c r="J1353" s="43"/>
      <c r="K1353" s="51"/>
      <c r="L1353" s="86"/>
    </row>
    <row r="1354" spans="1:12" ht="15" x14ac:dyDescent="0.25">
      <c r="A1354" s="1">
        <v>1345</v>
      </c>
      <c r="B1354" s="1" t="s">
        <v>216</v>
      </c>
      <c r="C1354" s="32">
        <v>3474</v>
      </c>
      <c r="D1354" s="1">
        <v>20000</v>
      </c>
      <c r="E1354" s="1"/>
      <c r="F1354" s="1">
        <v>223.06</v>
      </c>
      <c r="G1354" s="1">
        <v>20000</v>
      </c>
      <c r="H1354" s="5">
        <f t="shared" si="38"/>
        <v>0</v>
      </c>
      <c r="I1354" s="6"/>
      <c r="J1354" s="43"/>
      <c r="K1354" s="51"/>
      <c r="L1354" s="86"/>
    </row>
    <row r="1355" spans="1:12" ht="15" x14ac:dyDescent="0.25">
      <c r="A1355" s="1">
        <v>1346</v>
      </c>
      <c r="B1355" s="1" t="s">
        <v>216</v>
      </c>
      <c r="C1355" s="32" t="s">
        <v>61</v>
      </c>
      <c r="D1355" s="1">
        <v>4500</v>
      </c>
      <c r="E1355" s="1"/>
      <c r="F1355" s="1">
        <v>50.18</v>
      </c>
      <c r="G1355" s="1">
        <v>4500</v>
      </c>
      <c r="H1355" s="5">
        <f t="shared" si="38"/>
        <v>0</v>
      </c>
      <c r="I1355" s="6"/>
      <c r="J1355" s="43"/>
      <c r="K1355" s="51"/>
      <c r="L1355" s="86"/>
    </row>
    <row r="1356" spans="1:12" ht="15" x14ac:dyDescent="0.25">
      <c r="A1356" s="1">
        <v>1347</v>
      </c>
      <c r="B1356" s="1" t="s">
        <v>216</v>
      </c>
      <c r="C1356" s="32">
        <v>3197</v>
      </c>
      <c r="D1356" s="1">
        <v>20000</v>
      </c>
      <c r="E1356" s="1"/>
      <c r="F1356" s="1">
        <v>223.06</v>
      </c>
      <c r="G1356" s="1">
        <v>20000</v>
      </c>
      <c r="H1356" s="5">
        <f t="shared" si="38"/>
        <v>0</v>
      </c>
      <c r="I1356" s="6"/>
      <c r="J1356" s="43"/>
      <c r="K1356" s="51"/>
      <c r="L1356" s="86"/>
    </row>
    <row r="1357" spans="1:12" ht="15" x14ac:dyDescent="0.25">
      <c r="A1357" s="1">
        <v>1348</v>
      </c>
      <c r="B1357" s="1" t="s">
        <v>216</v>
      </c>
      <c r="C1357" s="32">
        <v>5603</v>
      </c>
      <c r="D1357" s="1">
        <v>5000</v>
      </c>
      <c r="E1357" s="1"/>
      <c r="F1357" s="1">
        <v>55.77</v>
      </c>
      <c r="G1357" s="1">
        <v>5000</v>
      </c>
      <c r="H1357" s="5">
        <f t="shared" si="38"/>
        <v>0</v>
      </c>
      <c r="I1357" s="6"/>
      <c r="J1357" s="43"/>
      <c r="K1357" s="51"/>
      <c r="L1357" s="86">
        <f>1350773-1334328</f>
        <v>16445</v>
      </c>
    </row>
    <row r="1358" spans="1:12" ht="15" x14ac:dyDescent="0.25">
      <c r="A1358" s="1">
        <v>1349</v>
      </c>
      <c r="B1358" s="1" t="s">
        <v>217</v>
      </c>
      <c r="C1358" s="32" t="s">
        <v>30</v>
      </c>
      <c r="D1358" s="1">
        <v>5000</v>
      </c>
      <c r="E1358" s="1"/>
      <c r="F1358" s="1">
        <v>55.77</v>
      </c>
      <c r="G1358" s="1">
        <v>5000</v>
      </c>
      <c r="H1358" s="5">
        <f t="shared" si="38"/>
        <v>0</v>
      </c>
      <c r="I1358" s="6"/>
      <c r="J1358" s="43"/>
      <c r="K1358" s="51"/>
      <c r="L1358" s="86"/>
    </row>
    <row r="1359" spans="1:12" ht="15" x14ac:dyDescent="0.25">
      <c r="A1359" s="1">
        <v>1350</v>
      </c>
      <c r="B1359" s="1" t="s">
        <v>217</v>
      </c>
      <c r="C1359" s="32">
        <v>8696</v>
      </c>
      <c r="D1359" s="1">
        <v>27000</v>
      </c>
      <c r="E1359" s="1"/>
      <c r="F1359" s="1">
        <v>235</v>
      </c>
      <c r="G1359" s="1">
        <v>27000</v>
      </c>
      <c r="H1359" s="5">
        <f t="shared" si="38"/>
        <v>0</v>
      </c>
      <c r="I1359" s="6"/>
      <c r="J1359" s="43"/>
      <c r="K1359" s="51"/>
      <c r="L1359" s="86"/>
    </row>
    <row r="1360" spans="1:12" ht="15" x14ac:dyDescent="0.25">
      <c r="A1360" s="1">
        <v>1351</v>
      </c>
      <c r="B1360" s="1" t="s">
        <v>217</v>
      </c>
      <c r="C1360" s="32">
        <v>3939</v>
      </c>
      <c r="D1360" s="1">
        <v>15000</v>
      </c>
      <c r="E1360" s="1"/>
      <c r="F1360" s="1">
        <v>167.3</v>
      </c>
      <c r="G1360" s="1">
        <v>15000</v>
      </c>
      <c r="H1360" s="5">
        <f t="shared" si="38"/>
        <v>0</v>
      </c>
      <c r="I1360" s="6"/>
      <c r="J1360" s="43"/>
      <c r="K1360" s="51"/>
      <c r="L1360" s="86"/>
    </row>
    <row r="1361" spans="1:12" ht="15" x14ac:dyDescent="0.25">
      <c r="A1361" s="1">
        <v>1352</v>
      </c>
      <c r="B1361" s="1" t="s">
        <v>217</v>
      </c>
      <c r="C1361" s="32" t="s">
        <v>66</v>
      </c>
      <c r="D1361" s="1">
        <v>200</v>
      </c>
      <c r="E1361" s="1"/>
      <c r="F1361" s="1"/>
      <c r="G1361" s="1">
        <v>200</v>
      </c>
      <c r="H1361" s="5">
        <f t="shared" si="38"/>
        <v>0</v>
      </c>
      <c r="I1361" s="6"/>
      <c r="J1361" s="43"/>
      <c r="K1361" s="51"/>
      <c r="L1361" s="86">
        <f>1397973-1381528</f>
        <v>16445</v>
      </c>
    </row>
    <row r="1362" spans="1:12" ht="15" x14ac:dyDescent="0.25">
      <c r="A1362" s="1">
        <v>1353</v>
      </c>
      <c r="B1362" s="1" t="s">
        <v>218</v>
      </c>
      <c r="C1362" s="32">
        <v>8674</v>
      </c>
      <c r="D1362" s="1">
        <v>18000</v>
      </c>
      <c r="E1362" s="1"/>
      <c r="F1362" s="1">
        <v>200.76</v>
      </c>
      <c r="G1362" s="1">
        <v>18000</v>
      </c>
      <c r="H1362" s="5">
        <f t="shared" si="38"/>
        <v>0</v>
      </c>
      <c r="I1362" s="6"/>
      <c r="J1362" s="43"/>
      <c r="K1362" s="51"/>
      <c r="L1362" s="86"/>
    </row>
    <row r="1363" spans="1:12" ht="15" x14ac:dyDescent="0.25">
      <c r="A1363" s="1">
        <v>1354</v>
      </c>
      <c r="B1363" s="1" t="s">
        <v>218</v>
      </c>
      <c r="C1363" s="32">
        <v>5438</v>
      </c>
      <c r="D1363" s="1">
        <v>25000</v>
      </c>
      <c r="E1363" s="1"/>
      <c r="F1363" s="1">
        <v>278.83</v>
      </c>
      <c r="G1363" s="1">
        <v>25000</v>
      </c>
      <c r="H1363" s="5">
        <f t="shared" si="38"/>
        <v>0</v>
      </c>
      <c r="I1363" s="6"/>
      <c r="J1363" s="43"/>
      <c r="K1363" s="51"/>
      <c r="L1363" s="86">
        <f>1224528-1221561</f>
        <v>2967</v>
      </c>
    </row>
    <row r="1364" spans="1:12" ht="15" x14ac:dyDescent="0.25">
      <c r="A1364" s="1">
        <v>1355</v>
      </c>
      <c r="B1364" s="1" t="s">
        <v>219</v>
      </c>
      <c r="C1364" s="32" t="s">
        <v>61</v>
      </c>
      <c r="D1364" s="1">
        <v>3500</v>
      </c>
      <c r="E1364" s="1"/>
      <c r="F1364" s="1">
        <v>39.04</v>
      </c>
      <c r="G1364" s="1">
        <v>3500</v>
      </c>
      <c r="H1364" s="5">
        <f t="shared" si="38"/>
        <v>0</v>
      </c>
      <c r="I1364" s="6"/>
      <c r="J1364" s="43"/>
      <c r="K1364" s="51"/>
      <c r="L1364" s="86"/>
    </row>
    <row r="1365" spans="1:12" ht="15" x14ac:dyDescent="0.25">
      <c r="A1365" s="1">
        <v>1356</v>
      </c>
      <c r="B1365" s="1" t="s">
        <v>219</v>
      </c>
      <c r="C1365" s="32">
        <v>1121</v>
      </c>
      <c r="D1365" s="1">
        <v>25000</v>
      </c>
      <c r="E1365" s="1"/>
      <c r="F1365" s="1">
        <v>278.83</v>
      </c>
      <c r="G1365" s="1">
        <v>25000</v>
      </c>
      <c r="H1365" s="5">
        <f t="shared" si="38"/>
        <v>0</v>
      </c>
      <c r="I1365" s="6"/>
      <c r="J1365" s="43"/>
      <c r="K1365" s="51"/>
      <c r="L1365" s="86"/>
    </row>
    <row r="1366" spans="1:12" ht="15" x14ac:dyDescent="0.25">
      <c r="A1366" s="1">
        <v>1357</v>
      </c>
      <c r="B1366" s="1" t="s">
        <v>219</v>
      </c>
      <c r="C1366" s="32">
        <v>2795</v>
      </c>
      <c r="D1366" s="1">
        <v>20000</v>
      </c>
      <c r="E1366" s="1"/>
      <c r="F1366" s="1">
        <v>223.06</v>
      </c>
      <c r="G1366" s="1">
        <v>20000</v>
      </c>
      <c r="H1366" s="5">
        <f t="shared" si="38"/>
        <v>0</v>
      </c>
      <c r="I1366" s="6"/>
      <c r="J1366" s="43"/>
      <c r="K1366" s="51"/>
      <c r="L1366" s="86"/>
    </row>
    <row r="1367" spans="1:12" ht="15" x14ac:dyDescent="0.25">
      <c r="A1367" s="1">
        <v>1358</v>
      </c>
      <c r="B1367" s="1" t="s">
        <v>219</v>
      </c>
      <c r="C1367" s="32">
        <v>9283</v>
      </c>
      <c r="D1367" s="1">
        <v>33000</v>
      </c>
      <c r="E1367" s="1"/>
      <c r="F1367" s="1">
        <v>368.05</v>
      </c>
      <c r="G1367" s="1">
        <v>33000</v>
      </c>
      <c r="H1367" s="5">
        <f t="shared" si="38"/>
        <v>0</v>
      </c>
      <c r="I1367" s="6"/>
      <c r="J1367" s="43"/>
      <c r="K1367" s="51"/>
      <c r="L1367" s="86"/>
    </row>
    <row r="1368" spans="1:12" ht="15" x14ac:dyDescent="0.25">
      <c r="A1368" s="1">
        <v>1359</v>
      </c>
      <c r="B1368" s="1" t="s">
        <v>219</v>
      </c>
      <c r="C1368" s="32">
        <v>5007</v>
      </c>
      <c r="D1368" s="1">
        <v>18000</v>
      </c>
      <c r="E1368" s="1"/>
      <c r="F1368" s="1">
        <v>200.76</v>
      </c>
      <c r="G1368" s="1">
        <v>18000</v>
      </c>
      <c r="H1368" s="5">
        <f t="shared" si="38"/>
        <v>0</v>
      </c>
      <c r="I1368" s="6"/>
      <c r="J1368" s="43"/>
      <c r="K1368" s="51"/>
      <c r="L1368" s="86"/>
    </row>
    <row r="1369" spans="1:12" ht="15" x14ac:dyDescent="0.25">
      <c r="A1369" s="1">
        <v>1360</v>
      </c>
      <c r="B1369" s="1" t="s">
        <v>219</v>
      </c>
      <c r="C1369" s="32" t="s">
        <v>66</v>
      </c>
      <c r="D1369" s="1">
        <v>200</v>
      </c>
      <c r="E1369" s="1"/>
      <c r="F1369" s="1"/>
      <c r="G1369" s="1">
        <v>200</v>
      </c>
      <c r="H1369" s="5">
        <f t="shared" si="38"/>
        <v>0</v>
      </c>
      <c r="I1369" s="6"/>
      <c r="J1369" s="43"/>
      <c r="K1369" s="51"/>
      <c r="L1369" s="86"/>
    </row>
    <row r="1370" spans="1:12" ht="15" x14ac:dyDescent="0.25">
      <c r="A1370" s="1">
        <v>1361</v>
      </c>
      <c r="B1370" s="1" t="s">
        <v>219</v>
      </c>
      <c r="C1370" s="32">
        <v>8513</v>
      </c>
      <c r="D1370" s="1">
        <v>25000</v>
      </c>
      <c r="E1370" s="1"/>
      <c r="F1370" s="1">
        <v>278.83</v>
      </c>
      <c r="G1370" s="1">
        <v>25000</v>
      </c>
      <c r="H1370" s="5">
        <f t="shared" si="38"/>
        <v>0</v>
      </c>
      <c r="I1370" s="6"/>
      <c r="J1370" s="43"/>
      <c r="K1370" s="51"/>
      <c r="L1370" s="86">
        <f>1249228-1247501</f>
        <v>1727</v>
      </c>
    </row>
    <row r="1371" spans="1:12" ht="15" x14ac:dyDescent="0.25">
      <c r="A1371" s="1">
        <v>1362</v>
      </c>
      <c r="B1371" s="1" t="s">
        <v>220</v>
      </c>
      <c r="C1371" s="32" t="s">
        <v>66</v>
      </c>
      <c r="D1371" s="1">
        <v>200</v>
      </c>
      <c r="E1371" s="1"/>
      <c r="F1371" s="1"/>
      <c r="G1371" s="1">
        <v>200</v>
      </c>
      <c r="H1371" s="5">
        <f t="shared" si="38"/>
        <v>0</v>
      </c>
      <c r="I1371" s="6"/>
      <c r="J1371" s="43"/>
      <c r="K1371" s="51"/>
      <c r="L1371" s="86"/>
    </row>
    <row r="1372" spans="1:12" ht="15" x14ac:dyDescent="0.25">
      <c r="A1372" s="1">
        <v>1363</v>
      </c>
      <c r="B1372" s="1" t="s">
        <v>220</v>
      </c>
      <c r="C1372" s="32" t="s">
        <v>61</v>
      </c>
      <c r="D1372" s="1">
        <v>4500</v>
      </c>
      <c r="E1372" s="1"/>
      <c r="F1372" s="1">
        <v>50.19</v>
      </c>
      <c r="G1372" s="1">
        <v>4500</v>
      </c>
      <c r="H1372" s="5">
        <f t="shared" si="38"/>
        <v>0</v>
      </c>
      <c r="I1372" s="6"/>
      <c r="J1372" s="43"/>
      <c r="K1372" s="51"/>
      <c r="L1372" s="86"/>
    </row>
    <row r="1373" spans="1:12" ht="15" x14ac:dyDescent="0.25">
      <c r="A1373" s="1">
        <v>1364</v>
      </c>
      <c r="B1373" s="1" t="s">
        <v>220</v>
      </c>
      <c r="C1373" s="32">
        <v>5219</v>
      </c>
      <c r="D1373" s="1">
        <v>30000</v>
      </c>
      <c r="E1373" s="1"/>
      <c r="F1373" s="1">
        <v>334.59</v>
      </c>
      <c r="G1373" s="1">
        <v>30000</v>
      </c>
      <c r="H1373" s="5">
        <f t="shared" si="38"/>
        <v>0</v>
      </c>
      <c r="I1373" s="6"/>
      <c r="J1373" s="43"/>
      <c r="K1373" s="51"/>
      <c r="L1373" s="86"/>
    </row>
    <row r="1374" spans="1:12" ht="15" x14ac:dyDescent="0.25">
      <c r="A1374" s="1">
        <v>1365</v>
      </c>
      <c r="B1374" s="1" t="s">
        <v>220</v>
      </c>
      <c r="C1374" s="32">
        <v>9259</v>
      </c>
      <c r="D1374" s="1">
        <v>17000</v>
      </c>
      <c r="E1374" s="1"/>
      <c r="F1374" s="1">
        <v>189.6</v>
      </c>
      <c r="G1374" s="1">
        <v>17000</v>
      </c>
      <c r="H1374" s="5">
        <f t="shared" si="38"/>
        <v>0</v>
      </c>
      <c r="I1374" s="6"/>
      <c r="J1374" s="43"/>
      <c r="K1374" s="51"/>
      <c r="L1374" s="86"/>
    </row>
    <row r="1375" spans="1:12" ht="15" x14ac:dyDescent="0.25">
      <c r="A1375" s="1">
        <v>1366</v>
      </c>
      <c r="B1375" s="1" t="s">
        <v>220</v>
      </c>
      <c r="C1375" s="32">
        <v>321</v>
      </c>
      <c r="D1375" s="1">
        <v>18000</v>
      </c>
      <c r="E1375" s="1"/>
      <c r="F1375" s="1">
        <v>200.76</v>
      </c>
      <c r="G1375" s="1">
        <v>18000</v>
      </c>
      <c r="H1375" s="5">
        <f t="shared" si="38"/>
        <v>0</v>
      </c>
      <c r="I1375" s="6"/>
      <c r="J1375" s="43"/>
      <c r="K1375" s="51"/>
      <c r="L1375" s="86">
        <f>1218175-1168928</f>
        <v>49247</v>
      </c>
    </row>
    <row r="1376" spans="1:12" ht="15" x14ac:dyDescent="0.25">
      <c r="A1376" s="1">
        <v>1367</v>
      </c>
      <c r="B1376" s="1" t="s">
        <v>221</v>
      </c>
      <c r="C1376" s="32">
        <v>5300</v>
      </c>
      <c r="D1376" s="1">
        <v>8000</v>
      </c>
      <c r="E1376" s="1"/>
      <c r="F1376" s="1">
        <v>73.61</v>
      </c>
      <c r="G1376" s="1">
        <v>8000</v>
      </c>
      <c r="H1376" s="5">
        <f t="shared" si="38"/>
        <v>0</v>
      </c>
      <c r="I1376" s="6"/>
      <c r="J1376" s="43"/>
      <c r="K1376" s="51"/>
      <c r="L1376" s="86"/>
    </row>
    <row r="1377" spans="1:12" ht="15" x14ac:dyDescent="0.25">
      <c r="A1377" s="1">
        <v>1368</v>
      </c>
      <c r="B1377" s="1" t="s">
        <v>221</v>
      </c>
      <c r="C1377" s="32">
        <v>6910</v>
      </c>
      <c r="D1377" s="1">
        <v>26000</v>
      </c>
      <c r="E1377" s="1"/>
      <c r="F1377" s="1">
        <v>284.95999999999998</v>
      </c>
      <c r="G1377" s="1">
        <v>26000</v>
      </c>
      <c r="H1377" s="5">
        <f t="shared" si="38"/>
        <v>0</v>
      </c>
      <c r="I1377" s="6"/>
      <c r="J1377" s="43"/>
      <c r="K1377" s="51"/>
      <c r="L1377" s="86"/>
    </row>
    <row r="1378" spans="1:12" ht="15" x14ac:dyDescent="0.25">
      <c r="A1378" s="1">
        <v>1369</v>
      </c>
      <c r="B1378" s="1" t="s">
        <v>221</v>
      </c>
      <c r="C1378" s="32">
        <v>7520</v>
      </c>
      <c r="D1378" s="1">
        <v>14000</v>
      </c>
      <c r="E1378" s="1"/>
      <c r="F1378" s="1">
        <v>151.47999999999999</v>
      </c>
      <c r="G1378" s="1">
        <v>14000</v>
      </c>
      <c r="H1378" s="5">
        <f t="shared" si="38"/>
        <v>0</v>
      </c>
      <c r="I1378" s="6"/>
      <c r="J1378" s="43"/>
      <c r="K1378" s="51"/>
      <c r="L1378" s="86"/>
    </row>
    <row r="1379" spans="1:12" ht="15" x14ac:dyDescent="0.25">
      <c r="A1379" s="1">
        <v>1370</v>
      </c>
      <c r="B1379" s="1" t="s">
        <v>221</v>
      </c>
      <c r="C1379" s="32">
        <v>9385</v>
      </c>
      <c r="D1379" s="1">
        <v>25000</v>
      </c>
      <c r="E1379" s="1"/>
      <c r="F1379" s="1">
        <v>277.20999999999998</v>
      </c>
      <c r="G1379" s="1">
        <v>25000</v>
      </c>
      <c r="H1379" s="5">
        <f t="shared" si="38"/>
        <v>0</v>
      </c>
      <c r="I1379" s="6"/>
      <c r="J1379" s="43"/>
      <c r="K1379" s="51"/>
      <c r="L1379" s="86">
        <f>1157589-1141928</f>
        <v>15661</v>
      </c>
    </row>
    <row r="1380" spans="1:12" ht="15" x14ac:dyDescent="0.25">
      <c r="A1380" s="1">
        <v>1371</v>
      </c>
      <c r="B1380" s="1" t="s">
        <v>222</v>
      </c>
      <c r="C1380" s="32" t="s">
        <v>63</v>
      </c>
      <c r="D1380" s="1">
        <v>3500</v>
      </c>
      <c r="E1380" s="1"/>
      <c r="F1380" s="1">
        <v>39.04</v>
      </c>
      <c r="G1380" s="1">
        <v>3500</v>
      </c>
      <c r="H1380" s="5">
        <f t="shared" si="38"/>
        <v>0</v>
      </c>
      <c r="I1380" s="6"/>
      <c r="J1380" s="43"/>
      <c r="K1380" s="51"/>
      <c r="L1380" s="86"/>
    </row>
    <row r="1381" spans="1:12" ht="15" x14ac:dyDescent="0.25">
      <c r="A1381" s="1">
        <v>1372</v>
      </c>
      <c r="B1381" s="1" t="s">
        <v>222</v>
      </c>
      <c r="C1381" s="32">
        <v>9998</v>
      </c>
      <c r="D1381" s="1">
        <v>18000</v>
      </c>
      <c r="E1381" s="1"/>
      <c r="F1381" s="1">
        <v>199.08</v>
      </c>
      <c r="G1381" s="1">
        <v>18000</v>
      </c>
      <c r="H1381" s="5">
        <f t="shared" si="38"/>
        <v>0</v>
      </c>
      <c r="I1381" s="6"/>
      <c r="J1381" s="43"/>
      <c r="K1381" s="51"/>
      <c r="L1381" s="86"/>
    </row>
    <row r="1382" spans="1:12" ht="15" x14ac:dyDescent="0.25">
      <c r="A1382" s="1">
        <v>1373</v>
      </c>
      <c r="B1382" s="1" t="s">
        <v>222</v>
      </c>
      <c r="C1382" s="32">
        <v>2670</v>
      </c>
      <c r="D1382" s="1">
        <v>15000</v>
      </c>
      <c r="E1382" s="1"/>
      <c r="F1382" s="1">
        <v>167.3</v>
      </c>
      <c r="G1382" s="1">
        <v>15000</v>
      </c>
      <c r="H1382" s="5">
        <f t="shared" si="38"/>
        <v>0</v>
      </c>
      <c r="I1382" s="6"/>
      <c r="J1382" s="43"/>
      <c r="K1382" s="51"/>
      <c r="L1382" s="86"/>
    </row>
    <row r="1383" spans="1:12" ht="15" x14ac:dyDescent="0.25">
      <c r="A1383" s="1">
        <v>1374</v>
      </c>
      <c r="B1383" s="1" t="s">
        <v>222</v>
      </c>
      <c r="C1383" s="32">
        <v>2210</v>
      </c>
      <c r="D1383" s="1">
        <v>17000</v>
      </c>
      <c r="E1383" s="1"/>
      <c r="F1383" s="1">
        <v>189.6</v>
      </c>
      <c r="G1383" s="1">
        <v>17000</v>
      </c>
      <c r="H1383" s="5">
        <f t="shared" si="38"/>
        <v>0</v>
      </c>
      <c r="I1383" s="6"/>
      <c r="J1383" s="43"/>
      <c r="K1383" s="51"/>
      <c r="L1383" s="86"/>
    </row>
    <row r="1384" spans="1:12" ht="15" x14ac:dyDescent="0.25">
      <c r="A1384" s="1">
        <v>1375</v>
      </c>
      <c r="B1384" s="1" t="s">
        <v>222</v>
      </c>
      <c r="C1384" s="32">
        <v>3678</v>
      </c>
      <c r="D1384" s="1">
        <v>19000</v>
      </c>
      <c r="E1384" s="1"/>
      <c r="F1384" s="1">
        <v>211.19</v>
      </c>
      <c r="G1384" s="1">
        <v>19000</v>
      </c>
      <c r="H1384" s="5">
        <f t="shared" si="38"/>
        <v>0</v>
      </c>
      <c r="I1384" s="6"/>
      <c r="J1384" s="43"/>
      <c r="K1384" s="51"/>
      <c r="L1384" s="86">
        <f>1114428-1113631</f>
        <v>797</v>
      </c>
    </row>
    <row r="1385" spans="1:12" ht="15" x14ac:dyDescent="0.25">
      <c r="A1385" s="1">
        <v>1376</v>
      </c>
      <c r="B1385" s="1" t="s">
        <v>223</v>
      </c>
      <c r="C1385" s="32" t="s">
        <v>66</v>
      </c>
      <c r="D1385" s="1">
        <v>210</v>
      </c>
      <c r="E1385" s="1"/>
      <c r="F1385" s="1">
        <v>175</v>
      </c>
      <c r="G1385" s="1">
        <v>210</v>
      </c>
      <c r="H1385" s="5">
        <f t="shared" si="38"/>
        <v>0</v>
      </c>
      <c r="I1385" s="6"/>
      <c r="J1385" s="43"/>
      <c r="K1385" s="51"/>
      <c r="L1385" s="86"/>
    </row>
    <row r="1386" spans="1:12" ht="15" x14ac:dyDescent="0.25">
      <c r="A1386" s="1">
        <v>1377</v>
      </c>
      <c r="B1386" s="1" t="s">
        <v>223</v>
      </c>
      <c r="C1386" s="32" t="s">
        <v>61</v>
      </c>
      <c r="D1386" s="1">
        <v>4500</v>
      </c>
      <c r="E1386" s="1"/>
      <c r="F1386" s="1">
        <v>44.75</v>
      </c>
      <c r="G1386" s="1">
        <v>4500</v>
      </c>
      <c r="H1386" s="5">
        <f t="shared" si="38"/>
        <v>0</v>
      </c>
      <c r="I1386" s="6"/>
      <c r="J1386" s="43"/>
      <c r="K1386" s="51"/>
      <c r="L1386" s="86"/>
    </row>
    <row r="1387" spans="1:12" ht="15" x14ac:dyDescent="0.25">
      <c r="A1387" s="1">
        <v>1378</v>
      </c>
      <c r="B1387" s="1" t="s">
        <v>223</v>
      </c>
      <c r="C1387" s="32">
        <v>4996</v>
      </c>
      <c r="D1387" s="1">
        <v>25000</v>
      </c>
      <c r="E1387" s="1"/>
      <c r="F1387" s="1">
        <v>278.38</v>
      </c>
      <c r="G1387" s="1">
        <v>25000</v>
      </c>
      <c r="H1387" s="5">
        <f t="shared" si="38"/>
        <v>0</v>
      </c>
      <c r="I1387" s="6"/>
      <c r="J1387" s="43"/>
      <c r="K1387" s="51"/>
      <c r="L1387" s="86"/>
    </row>
    <row r="1388" spans="1:12" ht="15" x14ac:dyDescent="0.25">
      <c r="A1388" s="1">
        <v>1379</v>
      </c>
      <c r="B1388" s="1" t="s">
        <v>223</v>
      </c>
      <c r="C1388" s="32">
        <v>4766</v>
      </c>
      <c r="D1388" s="1">
        <v>25000</v>
      </c>
      <c r="E1388" s="1"/>
      <c r="F1388" s="1">
        <v>278.38</v>
      </c>
      <c r="G1388" s="1">
        <v>25000</v>
      </c>
      <c r="H1388" s="5">
        <f t="shared" ref="H1388:H1452" si="40">D1388-G1388</f>
        <v>0</v>
      </c>
      <c r="I1388" s="6"/>
      <c r="J1388" s="43"/>
      <c r="K1388" s="51"/>
      <c r="L1388" s="86"/>
    </row>
    <row r="1389" spans="1:12" ht="15" x14ac:dyDescent="0.25">
      <c r="A1389" s="1">
        <v>1380</v>
      </c>
      <c r="B1389" s="1" t="s">
        <v>223</v>
      </c>
      <c r="C1389" s="32">
        <v>9543</v>
      </c>
      <c r="D1389" s="1">
        <v>7000</v>
      </c>
      <c r="E1389" s="1"/>
      <c r="F1389" s="1">
        <v>78.069999999999993</v>
      </c>
      <c r="G1389" s="1">
        <v>7000</v>
      </c>
      <c r="H1389" s="5">
        <f t="shared" si="40"/>
        <v>0</v>
      </c>
      <c r="I1389" s="6"/>
      <c r="J1389" s="43"/>
      <c r="K1389" s="51"/>
      <c r="L1389" s="86"/>
    </row>
    <row r="1390" spans="1:12" ht="15" x14ac:dyDescent="0.25">
      <c r="A1390" s="1">
        <v>1381</v>
      </c>
      <c r="B1390" s="1" t="s">
        <v>223</v>
      </c>
      <c r="C1390" s="32">
        <v>7892</v>
      </c>
      <c r="D1390" s="1">
        <v>12000</v>
      </c>
      <c r="E1390" s="1"/>
      <c r="F1390" s="1">
        <v>133.84</v>
      </c>
      <c r="G1390" s="1">
        <v>12000</v>
      </c>
      <c r="H1390" s="5">
        <f t="shared" si="40"/>
        <v>0</v>
      </c>
      <c r="I1390" s="6"/>
      <c r="J1390" s="43"/>
      <c r="K1390" s="51"/>
      <c r="L1390" s="86"/>
    </row>
    <row r="1391" spans="1:12" ht="15" x14ac:dyDescent="0.25">
      <c r="A1391" s="1">
        <v>1382</v>
      </c>
      <c r="B1391" s="1" t="s">
        <v>224</v>
      </c>
      <c r="C1391" s="32">
        <v>3877</v>
      </c>
      <c r="D1391" s="1">
        <v>15000</v>
      </c>
      <c r="E1391" s="1"/>
      <c r="F1391" s="1">
        <v>167.3</v>
      </c>
      <c r="G1391" s="1">
        <v>15000</v>
      </c>
      <c r="H1391" s="5">
        <f t="shared" si="40"/>
        <v>0</v>
      </c>
      <c r="I1391" s="6"/>
      <c r="J1391" s="43"/>
      <c r="K1391" s="51"/>
      <c r="L1391" s="86"/>
    </row>
    <row r="1392" spans="1:12" ht="15" x14ac:dyDescent="0.25">
      <c r="A1392" s="1">
        <v>1383</v>
      </c>
      <c r="B1392" s="1" t="s">
        <v>224</v>
      </c>
      <c r="C1392" s="32">
        <v>6187</v>
      </c>
      <c r="D1392" s="1">
        <v>20000</v>
      </c>
      <c r="E1392" s="1"/>
      <c r="F1392" s="1">
        <v>315.64</v>
      </c>
      <c r="G1392" s="1">
        <v>20000</v>
      </c>
      <c r="H1392" s="5">
        <f t="shared" si="40"/>
        <v>0</v>
      </c>
      <c r="I1392" s="6"/>
      <c r="J1392" s="43"/>
      <c r="K1392" s="51"/>
      <c r="L1392" s="86"/>
    </row>
    <row r="1393" spans="1:12" ht="15" x14ac:dyDescent="0.25">
      <c r="A1393" s="1">
        <v>1384</v>
      </c>
      <c r="B1393" s="1" t="s">
        <v>224</v>
      </c>
      <c r="C1393" s="32">
        <v>1826</v>
      </c>
      <c r="D1393" s="1">
        <v>20000</v>
      </c>
      <c r="E1393" s="1"/>
      <c r="F1393" s="1">
        <v>223.06</v>
      </c>
      <c r="G1393" s="1">
        <v>20000</v>
      </c>
      <c r="H1393" s="5">
        <f t="shared" si="40"/>
        <v>0</v>
      </c>
      <c r="I1393" s="6"/>
      <c r="J1393" s="43"/>
      <c r="K1393" s="51"/>
      <c r="L1393" s="86"/>
    </row>
    <row r="1394" spans="1:12" ht="15" x14ac:dyDescent="0.25">
      <c r="A1394" s="1">
        <v>1385</v>
      </c>
      <c r="B1394" s="1" t="s">
        <v>224</v>
      </c>
      <c r="C1394" s="32">
        <v>1723</v>
      </c>
      <c r="D1394" s="1">
        <v>11000</v>
      </c>
      <c r="E1394" s="1"/>
      <c r="F1394" s="1">
        <v>122.69</v>
      </c>
      <c r="G1394" s="1">
        <v>11000</v>
      </c>
      <c r="H1394" s="5">
        <f t="shared" si="40"/>
        <v>0</v>
      </c>
      <c r="I1394" s="6"/>
      <c r="J1394" s="43"/>
      <c r="K1394" s="51"/>
      <c r="L1394" s="86">
        <f>1159410-1154138</f>
        <v>5272</v>
      </c>
    </row>
    <row r="1395" spans="1:12" ht="15" x14ac:dyDescent="0.25">
      <c r="A1395" s="1">
        <v>1386</v>
      </c>
      <c r="B1395" s="1" t="s">
        <v>226</v>
      </c>
      <c r="C1395" s="32" t="s">
        <v>30</v>
      </c>
      <c r="D1395" s="1">
        <v>3500</v>
      </c>
      <c r="E1395" s="1"/>
      <c r="F1395" s="1">
        <v>39.03</v>
      </c>
      <c r="G1395" s="1">
        <v>3500</v>
      </c>
      <c r="H1395" s="5">
        <f t="shared" si="40"/>
        <v>0</v>
      </c>
      <c r="I1395" s="6"/>
      <c r="J1395" s="43"/>
      <c r="K1395" s="51"/>
      <c r="L1395" s="86"/>
    </row>
    <row r="1396" spans="1:12" ht="15" x14ac:dyDescent="0.25">
      <c r="A1396" s="1">
        <v>1387</v>
      </c>
      <c r="B1396" s="1" t="s">
        <v>226</v>
      </c>
      <c r="C1396" s="32">
        <v>8507</v>
      </c>
      <c r="D1396" s="1">
        <v>16000</v>
      </c>
      <c r="E1396" s="1"/>
      <c r="F1396" s="1">
        <v>178.45</v>
      </c>
      <c r="G1396" s="1">
        <v>16000</v>
      </c>
      <c r="H1396" s="5">
        <f t="shared" si="40"/>
        <v>0</v>
      </c>
      <c r="I1396" s="6"/>
      <c r="J1396" s="43"/>
      <c r="K1396" s="51"/>
      <c r="L1396" s="86"/>
    </row>
    <row r="1397" spans="1:12" ht="15" x14ac:dyDescent="0.25">
      <c r="A1397" s="1">
        <v>1388</v>
      </c>
      <c r="B1397" s="1" t="s">
        <v>226</v>
      </c>
      <c r="C1397" s="58" t="s">
        <v>61</v>
      </c>
      <c r="D1397" s="1">
        <v>5000</v>
      </c>
      <c r="E1397" s="1"/>
      <c r="F1397" s="1">
        <v>55.77</v>
      </c>
      <c r="G1397" s="1">
        <v>5000</v>
      </c>
      <c r="H1397" s="5">
        <f t="shared" si="40"/>
        <v>0</v>
      </c>
      <c r="I1397" s="6"/>
      <c r="J1397" s="43"/>
      <c r="K1397" s="51"/>
      <c r="L1397" s="86"/>
    </row>
    <row r="1398" spans="1:12" ht="15" x14ac:dyDescent="0.25">
      <c r="A1398" s="1">
        <v>1389</v>
      </c>
      <c r="B1398" s="1" t="s">
        <v>226</v>
      </c>
      <c r="C1398" s="32">
        <v>1172</v>
      </c>
      <c r="D1398" s="1">
        <v>20000</v>
      </c>
      <c r="E1398" s="1"/>
      <c r="F1398" s="1">
        <v>223.06</v>
      </c>
      <c r="G1398" s="1">
        <v>20000</v>
      </c>
      <c r="H1398" s="5">
        <f t="shared" si="40"/>
        <v>0</v>
      </c>
      <c r="I1398" s="6"/>
      <c r="J1398" s="43"/>
      <c r="K1398" s="51"/>
      <c r="L1398" s="86"/>
    </row>
    <row r="1399" spans="1:12" ht="15" x14ac:dyDescent="0.25">
      <c r="A1399" s="1">
        <v>1390</v>
      </c>
      <c r="B1399" s="1" t="s">
        <v>226</v>
      </c>
      <c r="C1399" s="32">
        <v>3462</v>
      </c>
      <c r="D1399" s="1">
        <v>20000</v>
      </c>
      <c r="E1399" s="1"/>
      <c r="F1399" s="1">
        <v>223.06</v>
      </c>
      <c r="G1399" s="1">
        <v>20000</v>
      </c>
      <c r="H1399" s="5">
        <f t="shared" si="40"/>
        <v>0</v>
      </c>
      <c r="I1399" s="6"/>
      <c r="J1399" s="43"/>
      <c r="K1399" s="51"/>
      <c r="L1399" s="86"/>
    </row>
    <row r="1400" spans="1:12" ht="15" x14ac:dyDescent="0.25">
      <c r="A1400" s="1">
        <v>1391</v>
      </c>
      <c r="B1400" s="1" t="s">
        <v>226</v>
      </c>
      <c r="C1400" s="32">
        <v>249</v>
      </c>
      <c r="D1400" s="1">
        <v>20000</v>
      </c>
      <c r="E1400" s="1"/>
      <c r="F1400" s="1">
        <v>223.06</v>
      </c>
      <c r="G1400" s="1">
        <v>20000</v>
      </c>
      <c r="H1400" s="5">
        <f t="shared" si="40"/>
        <v>0</v>
      </c>
      <c r="I1400" s="6"/>
      <c r="J1400" s="43"/>
      <c r="K1400" s="51"/>
      <c r="L1400" s="86"/>
    </row>
    <row r="1401" spans="1:12" ht="15" x14ac:dyDescent="0.25">
      <c r="A1401" s="1">
        <v>1392</v>
      </c>
      <c r="B1401" s="1" t="s">
        <v>226</v>
      </c>
      <c r="C1401" s="32">
        <v>7833</v>
      </c>
      <c r="D1401" s="1">
        <v>20000</v>
      </c>
      <c r="E1401" s="1"/>
      <c r="F1401" s="1">
        <v>223.06</v>
      </c>
      <c r="G1401" s="1">
        <v>20000</v>
      </c>
      <c r="H1401" s="5">
        <f t="shared" si="40"/>
        <v>0</v>
      </c>
      <c r="I1401" s="6"/>
      <c r="J1401" s="43"/>
      <c r="K1401" s="51"/>
      <c r="L1401" s="86"/>
    </row>
    <row r="1402" spans="1:12" ht="15" x14ac:dyDescent="0.25">
      <c r="A1402" s="1">
        <v>1393</v>
      </c>
      <c r="B1402" s="1" t="s">
        <v>226</v>
      </c>
      <c r="C1402" s="32">
        <v>7512</v>
      </c>
      <c r="D1402" s="1">
        <v>25000</v>
      </c>
      <c r="E1402" s="1"/>
      <c r="F1402" s="1">
        <v>278</v>
      </c>
      <c r="G1402" s="1">
        <v>25000</v>
      </c>
      <c r="H1402" s="5">
        <f t="shared" si="40"/>
        <v>0</v>
      </c>
      <c r="I1402" s="6"/>
      <c r="J1402" s="43"/>
      <c r="K1402" s="51"/>
      <c r="L1402" s="86"/>
    </row>
    <row r="1403" spans="1:12" ht="15" x14ac:dyDescent="0.25">
      <c r="A1403" s="1">
        <v>1394</v>
      </c>
      <c r="B1403" s="1" t="s">
        <v>226</v>
      </c>
      <c r="C1403" s="32">
        <v>9347</v>
      </c>
      <c r="D1403" s="1">
        <v>22000</v>
      </c>
      <c r="E1403" s="1"/>
      <c r="F1403" s="1">
        <v>245.34</v>
      </c>
      <c r="G1403" s="1">
        <v>22000</v>
      </c>
      <c r="H1403" s="5">
        <f t="shared" si="40"/>
        <v>0</v>
      </c>
      <c r="I1403" s="6"/>
      <c r="J1403" s="43"/>
      <c r="K1403" s="51"/>
      <c r="L1403" s="86"/>
    </row>
    <row r="1404" spans="1:12" ht="15" x14ac:dyDescent="0.25">
      <c r="A1404" s="1">
        <v>1395</v>
      </c>
      <c r="B1404" s="1" t="s">
        <v>226</v>
      </c>
      <c r="C1404" s="32">
        <v>19</v>
      </c>
      <c r="D1404" s="1">
        <v>22000</v>
      </c>
      <c r="E1404" s="1"/>
      <c r="F1404" s="1">
        <v>245.34</v>
      </c>
      <c r="G1404" s="1">
        <v>22000</v>
      </c>
      <c r="H1404" s="5">
        <f t="shared" si="40"/>
        <v>0</v>
      </c>
      <c r="I1404" s="6"/>
      <c r="J1404" s="43"/>
      <c r="K1404" s="51"/>
      <c r="L1404" s="86"/>
    </row>
    <row r="1405" spans="1:12" ht="15" x14ac:dyDescent="0.25">
      <c r="A1405" s="1">
        <v>1396</v>
      </c>
      <c r="B1405" s="1" t="s">
        <v>226</v>
      </c>
      <c r="C1405" s="32">
        <v>3071</v>
      </c>
      <c r="D1405" s="1">
        <v>21000</v>
      </c>
      <c r="E1405" s="1"/>
      <c r="F1405" s="1">
        <v>234.22</v>
      </c>
      <c r="G1405" s="1">
        <v>21000</v>
      </c>
      <c r="H1405" s="5">
        <f t="shared" si="40"/>
        <v>0</v>
      </c>
      <c r="I1405" s="6"/>
      <c r="J1405" s="43"/>
      <c r="K1405" s="51"/>
      <c r="L1405" s="86"/>
    </row>
    <row r="1406" spans="1:12" ht="15" x14ac:dyDescent="0.25">
      <c r="A1406" s="1">
        <v>1397</v>
      </c>
      <c r="B1406" s="1" t="s">
        <v>226</v>
      </c>
      <c r="C1406" s="32">
        <v>8579</v>
      </c>
      <c r="D1406" s="1">
        <v>20000</v>
      </c>
      <c r="E1406" s="1"/>
      <c r="F1406" s="1">
        <v>223.06</v>
      </c>
      <c r="G1406" s="1">
        <v>20000</v>
      </c>
      <c r="H1406" s="5">
        <f t="shared" si="40"/>
        <v>0</v>
      </c>
      <c r="I1406" s="6"/>
      <c r="J1406" s="43"/>
      <c r="K1406" s="51"/>
      <c r="L1406" s="86"/>
    </row>
    <row r="1407" spans="1:12" ht="15" x14ac:dyDescent="0.25">
      <c r="A1407" s="1">
        <v>1398</v>
      </c>
      <c r="B1407" s="1" t="s">
        <v>226</v>
      </c>
      <c r="C1407" s="32">
        <v>5812</v>
      </c>
      <c r="D1407" s="1">
        <v>22000</v>
      </c>
      <c r="E1407" s="1"/>
      <c r="F1407" s="1">
        <v>245.35</v>
      </c>
      <c r="G1407" s="1">
        <v>22000</v>
      </c>
      <c r="H1407" s="5">
        <f t="shared" si="40"/>
        <v>0</v>
      </c>
      <c r="I1407" s="6"/>
      <c r="J1407" s="43"/>
      <c r="K1407" s="51"/>
      <c r="L1407" s="86"/>
    </row>
    <row r="1408" spans="1:12" ht="15" x14ac:dyDescent="0.25">
      <c r="A1408" s="1">
        <v>1399</v>
      </c>
      <c r="B1408" s="1" t="s">
        <v>226</v>
      </c>
      <c r="C1408" s="32">
        <v>4776</v>
      </c>
      <c r="D1408" s="1">
        <v>27000</v>
      </c>
      <c r="E1408" s="1"/>
      <c r="F1408" s="1">
        <v>301.14</v>
      </c>
      <c r="G1408" s="1">
        <v>27000</v>
      </c>
      <c r="H1408" s="5">
        <f t="shared" si="40"/>
        <v>0</v>
      </c>
      <c r="I1408" s="6"/>
      <c r="J1408" s="43"/>
      <c r="K1408" s="51"/>
      <c r="L1408" s="86"/>
    </row>
    <row r="1409" spans="1:13" ht="15" x14ac:dyDescent="0.25">
      <c r="A1409" s="1">
        <v>1400</v>
      </c>
      <c r="B1409" s="1" t="s">
        <v>226</v>
      </c>
      <c r="C1409" s="32">
        <v>5808</v>
      </c>
      <c r="D1409" s="1">
        <v>5000</v>
      </c>
      <c r="E1409" s="1"/>
      <c r="F1409" s="1">
        <v>55.77</v>
      </c>
      <c r="G1409" s="1">
        <v>5000</v>
      </c>
      <c r="H1409" s="5">
        <f t="shared" si="40"/>
        <v>0</v>
      </c>
      <c r="I1409" s="6"/>
      <c r="J1409" s="43"/>
      <c r="K1409" s="51"/>
      <c r="L1409" s="86"/>
    </row>
    <row r="1410" spans="1:13" ht="15" x14ac:dyDescent="0.25">
      <c r="A1410" s="1">
        <v>1401</v>
      </c>
      <c r="B1410" s="1" t="s">
        <v>226</v>
      </c>
      <c r="C1410" s="32">
        <v>7217</v>
      </c>
      <c r="D1410" s="1">
        <v>25000</v>
      </c>
      <c r="E1410" s="1"/>
      <c r="F1410" s="1">
        <v>278</v>
      </c>
      <c r="G1410" s="1">
        <v>25000</v>
      </c>
      <c r="H1410" s="5">
        <f t="shared" si="40"/>
        <v>0</v>
      </c>
      <c r="I1410" s="6"/>
      <c r="J1410" s="43"/>
      <c r="K1410" s="51"/>
      <c r="L1410" s="86"/>
    </row>
    <row r="1411" spans="1:13" ht="15" x14ac:dyDescent="0.25">
      <c r="A1411" s="1">
        <v>1402</v>
      </c>
      <c r="B1411" s="1" t="s">
        <v>226</v>
      </c>
      <c r="C1411" s="32">
        <v>7905</v>
      </c>
      <c r="D1411" s="1">
        <v>22000</v>
      </c>
      <c r="E1411" s="1"/>
      <c r="F1411" s="1">
        <v>245.35</v>
      </c>
      <c r="G1411" s="1">
        <v>22000</v>
      </c>
      <c r="H1411" s="5">
        <f t="shared" si="40"/>
        <v>0</v>
      </c>
      <c r="I1411" s="6"/>
      <c r="J1411" s="43"/>
      <c r="K1411" s="51"/>
      <c r="L1411" s="86"/>
    </row>
    <row r="1412" spans="1:13" ht="15" x14ac:dyDescent="0.25">
      <c r="A1412" s="1">
        <v>1403</v>
      </c>
      <c r="B1412" s="1" t="s">
        <v>226</v>
      </c>
      <c r="C1412" s="32">
        <v>5133</v>
      </c>
      <c r="D1412" s="1">
        <v>15000</v>
      </c>
      <c r="E1412" s="1"/>
      <c r="F1412" s="1">
        <v>167.3</v>
      </c>
      <c r="G1412" s="1">
        <v>15000</v>
      </c>
      <c r="H1412" s="5">
        <f t="shared" si="40"/>
        <v>0</v>
      </c>
      <c r="I1412" s="6"/>
      <c r="J1412" s="43"/>
      <c r="K1412" s="51"/>
      <c r="L1412" s="86"/>
    </row>
    <row r="1413" spans="1:13" ht="15" x14ac:dyDescent="0.25">
      <c r="A1413" s="1">
        <v>1404</v>
      </c>
      <c r="B1413" s="1" t="s">
        <v>226</v>
      </c>
      <c r="C1413" s="32">
        <v>4162</v>
      </c>
      <c r="D1413" s="1">
        <v>29000</v>
      </c>
      <c r="E1413" s="1"/>
      <c r="F1413" s="1">
        <v>323.44</v>
      </c>
      <c r="G1413" s="1">
        <v>29000</v>
      </c>
      <c r="H1413" s="5">
        <f t="shared" si="40"/>
        <v>0</v>
      </c>
      <c r="I1413" s="6"/>
      <c r="J1413" s="43"/>
      <c r="K1413" s="51"/>
      <c r="L1413" s="86"/>
    </row>
    <row r="1414" spans="1:13" ht="15" x14ac:dyDescent="0.25">
      <c r="A1414" s="1">
        <v>1405</v>
      </c>
      <c r="B1414" s="1" t="s">
        <v>226</v>
      </c>
      <c r="C1414" s="32">
        <v>5645</v>
      </c>
      <c r="D1414" s="1">
        <v>29000</v>
      </c>
      <c r="E1414" s="1"/>
      <c r="F1414" s="1">
        <v>323.44</v>
      </c>
      <c r="G1414" s="1">
        <v>29000</v>
      </c>
      <c r="H1414" s="5">
        <f t="shared" si="40"/>
        <v>0</v>
      </c>
      <c r="I1414" s="6"/>
      <c r="J1414" s="43"/>
      <c r="K1414" s="51"/>
      <c r="L1414" s="86"/>
    </row>
    <row r="1415" spans="1:13" ht="15" x14ac:dyDescent="0.25">
      <c r="A1415" s="1">
        <v>1406</v>
      </c>
      <c r="B1415" s="1" t="s">
        <v>226</v>
      </c>
      <c r="C1415" s="32">
        <v>3315</v>
      </c>
      <c r="D1415" s="1">
        <v>15000</v>
      </c>
      <c r="E1415" s="1"/>
      <c r="F1415" s="1">
        <v>167.3</v>
      </c>
      <c r="G1415" s="1">
        <v>15000</v>
      </c>
      <c r="H1415" s="5">
        <f t="shared" si="40"/>
        <v>0</v>
      </c>
      <c r="I1415" s="6"/>
      <c r="J1415" s="43"/>
      <c r="K1415" s="51"/>
      <c r="L1415" s="86"/>
    </row>
    <row r="1416" spans="1:13" ht="15" x14ac:dyDescent="0.25">
      <c r="A1416" s="1">
        <v>1407</v>
      </c>
      <c r="B1416" s="1" t="s">
        <v>226</v>
      </c>
      <c r="C1416" s="32">
        <v>5521</v>
      </c>
      <c r="D1416" s="1">
        <v>8000</v>
      </c>
      <c r="E1416" s="1"/>
      <c r="F1416" s="1">
        <v>88.23</v>
      </c>
      <c r="G1416" s="1">
        <v>8000</v>
      </c>
      <c r="H1416" s="5">
        <f t="shared" si="40"/>
        <v>0</v>
      </c>
      <c r="I1416" s="6"/>
      <c r="J1416" s="43"/>
      <c r="K1416" s="51"/>
      <c r="L1416" s="86">
        <f>1374387-1365638</f>
        <v>8749</v>
      </c>
    </row>
    <row r="1417" spans="1:13" ht="15" x14ac:dyDescent="0.25">
      <c r="A1417" s="1">
        <v>1408</v>
      </c>
      <c r="B1417" s="1" t="s">
        <v>226</v>
      </c>
      <c r="C1417" s="32">
        <v>8973</v>
      </c>
      <c r="D1417" s="1">
        <v>20000</v>
      </c>
      <c r="E1417" s="1"/>
      <c r="F1417" s="1">
        <v>218.6</v>
      </c>
      <c r="G1417" s="1">
        <v>20000</v>
      </c>
      <c r="H1417" s="5">
        <f t="shared" si="40"/>
        <v>0</v>
      </c>
      <c r="I1417" s="6"/>
      <c r="J1417" s="43"/>
      <c r="K1417" s="51"/>
      <c r="L1417" s="86"/>
    </row>
    <row r="1418" spans="1:13" ht="15" x14ac:dyDescent="0.25">
      <c r="A1418" s="1">
        <v>1409</v>
      </c>
      <c r="B1418" s="1" t="s">
        <v>227</v>
      </c>
      <c r="C1418" s="32" t="s">
        <v>66</v>
      </c>
      <c r="D1418" s="1">
        <v>200</v>
      </c>
      <c r="E1418" s="1"/>
      <c r="F1418" s="1">
        <v>2.08</v>
      </c>
      <c r="G1418" s="1">
        <v>200</v>
      </c>
      <c r="H1418" s="5">
        <f t="shared" si="40"/>
        <v>0</v>
      </c>
      <c r="I1418" s="6"/>
      <c r="J1418" s="43"/>
      <c r="K1418" s="51"/>
      <c r="L1418" s="86"/>
      <c r="M1418">
        <f>200/96</f>
        <v>2.0833333333333335</v>
      </c>
    </row>
    <row r="1419" spans="1:13" ht="15" x14ac:dyDescent="0.25">
      <c r="A1419" s="1">
        <v>1410</v>
      </c>
      <c r="B1419" s="1" t="s">
        <v>227</v>
      </c>
      <c r="C1419" s="32">
        <v>298</v>
      </c>
      <c r="D1419" s="1">
        <v>15000</v>
      </c>
      <c r="E1419" s="1"/>
      <c r="F1419" s="1">
        <v>167.3</v>
      </c>
      <c r="G1419" s="1">
        <v>15000</v>
      </c>
      <c r="H1419" s="5">
        <f t="shared" si="40"/>
        <v>0</v>
      </c>
      <c r="I1419" s="6"/>
      <c r="J1419" s="43"/>
      <c r="K1419" s="51"/>
      <c r="L1419" s="86"/>
    </row>
    <row r="1420" spans="1:13" ht="15" x14ac:dyDescent="0.25">
      <c r="A1420" s="1">
        <v>1411</v>
      </c>
      <c r="B1420" s="1" t="s">
        <v>227</v>
      </c>
      <c r="C1420" s="32" t="s">
        <v>30</v>
      </c>
      <c r="D1420" s="1">
        <v>4500</v>
      </c>
      <c r="E1420" s="1"/>
      <c r="F1420" s="1">
        <v>50.19</v>
      </c>
      <c r="G1420" s="1">
        <v>4500</v>
      </c>
      <c r="H1420" s="5">
        <f t="shared" si="40"/>
        <v>0</v>
      </c>
      <c r="I1420" s="6"/>
      <c r="J1420" s="43"/>
      <c r="K1420" s="51"/>
      <c r="L1420" s="86"/>
    </row>
    <row r="1421" spans="1:13" ht="15" x14ac:dyDescent="0.25">
      <c r="A1421" s="1">
        <v>1412</v>
      </c>
      <c r="B1421" s="1" t="s">
        <v>227</v>
      </c>
      <c r="C1421" s="32">
        <v>5339</v>
      </c>
      <c r="D1421" s="1">
        <v>31000</v>
      </c>
      <c r="E1421" s="1"/>
      <c r="F1421" s="1">
        <v>335.71</v>
      </c>
      <c r="G1421" s="1">
        <v>31000</v>
      </c>
      <c r="H1421" s="5">
        <f t="shared" si="40"/>
        <v>0</v>
      </c>
      <c r="I1421" s="6"/>
      <c r="J1421" s="43"/>
      <c r="K1421" s="51"/>
      <c r="L1421" s="86"/>
    </row>
    <row r="1422" spans="1:13" ht="15" x14ac:dyDescent="0.25">
      <c r="A1422" s="1">
        <v>1413</v>
      </c>
      <c r="B1422" s="1" t="s">
        <v>227</v>
      </c>
      <c r="C1422" s="32">
        <v>1727</v>
      </c>
      <c r="D1422" s="1">
        <v>31000</v>
      </c>
      <c r="E1422" s="1"/>
      <c r="F1422" s="1">
        <v>335.71</v>
      </c>
      <c r="G1422" s="1">
        <v>31000</v>
      </c>
      <c r="H1422" s="5">
        <f t="shared" si="40"/>
        <v>0</v>
      </c>
      <c r="I1422" s="6"/>
      <c r="J1422" s="43"/>
      <c r="K1422" s="51"/>
      <c r="L1422" s="86"/>
    </row>
    <row r="1423" spans="1:13" ht="15" x14ac:dyDescent="0.25">
      <c r="A1423" s="1">
        <v>1414</v>
      </c>
      <c r="B1423" s="1" t="s">
        <v>227</v>
      </c>
      <c r="C1423" s="32">
        <v>693</v>
      </c>
      <c r="D1423" s="1">
        <v>32000</v>
      </c>
      <c r="E1423" s="1"/>
      <c r="F1423" s="1">
        <v>356</v>
      </c>
      <c r="G1423" s="1">
        <v>32000</v>
      </c>
      <c r="H1423" s="5">
        <f t="shared" si="40"/>
        <v>0</v>
      </c>
      <c r="I1423" s="6"/>
      <c r="J1423" s="43"/>
      <c r="K1423" s="51"/>
      <c r="L1423" s="86"/>
    </row>
    <row r="1424" spans="1:13" ht="15" x14ac:dyDescent="0.25">
      <c r="A1424" s="1">
        <v>1415</v>
      </c>
      <c r="B1424" s="1" t="s">
        <v>227</v>
      </c>
      <c r="C1424" s="32">
        <v>3470</v>
      </c>
      <c r="D1424" s="1">
        <v>24000</v>
      </c>
      <c r="E1424" s="1"/>
      <c r="F1424" s="1">
        <v>267.68</v>
      </c>
      <c r="G1424" s="1">
        <v>24000</v>
      </c>
      <c r="H1424" s="5">
        <f t="shared" si="40"/>
        <v>0</v>
      </c>
      <c r="I1424" s="6"/>
      <c r="J1424" s="43"/>
      <c r="K1424" s="51"/>
      <c r="L1424" s="86"/>
    </row>
    <row r="1425" spans="1:12" ht="15" x14ac:dyDescent="0.25">
      <c r="A1425" s="1">
        <v>1416</v>
      </c>
      <c r="B1425" s="1" t="s">
        <v>227</v>
      </c>
      <c r="C1425" s="32">
        <v>9025</v>
      </c>
      <c r="D1425" s="1">
        <v>20000</v>
      </c>
      <c r="E1425" s="1"/>
      <c r="F1425" s="1">
        <v>223.06</v>
      </c>
      <c r="G1425" s="1">
        <v>20000</v>
      </c>
      <c r="H1425" s="5">
        <f t="shared" si="40"/>
        <v>0</v>
      </c>
      <c r="I1425" s="6"/>
      <c r="J1425" s="43"/>
      <c r="K1425" s="51"/>
      <c r="L1425" s="86"/>
    </row>
    <row r="1426" spans="1:12" ht="15" x14ac:dyDescent="0.25">
      <c r="A1426" s="1">
        <v>1417</v>
      </c>
      <c r="B1426" s="1" t="s">
        <v>227</v>
      </c>
      <c r="C1426" s="32">
        <v>2151</v>
      </c>
      <c r="D1426" s="1">
        <v>18000</v>
      </c>
      <c r="E1426" s="1"/>
      <c r="F1426" s="1">
        <v>200.76</v>
      </c>
      <c r="G1426" s="1">
        <v>18000</v>
      </c>
      <c r="H1426" s="5">
        <f t="shared" si="40"/>
        <v>0</v>
      </c>
      <c r="I1426" s="6"/>
      <c r="J1426" s="43"/>
      <c r="K1426" s="51"/>
      <c r="L1426" s="86"/>
    </row>
    <row r="1427" spans="1:12" ht="15" x14ac:dyDescent="0.25">
      <c r="A1427" s="1">
        <v>1418</v>
      </c>
      <c r="B1427" s="1" t="s">
        <v>227</v>
      </c>
      <c r="C1427" s="32">
        <v>3156</v>
      </c>
      <c r="D1427" s="1">
        <v>15000</v>
      </c>
      <c r="E1427" s="1"/>
      <c r="F1427" s="1">
        <v>167.3</v>
      </c>
      <c r="G1427" s="1">
        <v>15000</v>
      </c>
      <c r="H1427" s="5">
        <f t="shared" si="40"/>
        <v>0</v>
      </c>
      <c r="I1427" s="6"/>
      <c r="J1427" s="43"/>
      <c r="K1427" s="51"/>
      <c r="L1427" s="86"/>
    </row>
    <row r="1428" spans="1:12" ht="15" x14ac:dyDescent="0.25">
      <c r="A1428" s="1">
        <v>1419</v>
      </c>
      <c r="B1428" s="1" t="s">
        <v>227</v>
      </c>
      <c r="C1428" s="32">
        <v>3580</v>
      </c>
      <c r="D1428" s="1">
        <v>15000</v>
      </c>
      <c r="E1428" s="1"/>
      <c r="F1428" s="1">
        <v>167.3</v>
      </c>
      <c r="G1428" s="1">
        <v>15000</v>
      </c>
      <c r="H1428" s="5">
        <f t="shared" si="40"/>
        <v>0</v>
      </c>
      <c r="I1428" s="6"/>
      <c r="J1428" s="43"/>
      <c r="K1428" s="51"/>
      <c r="L1428" s="86"/>
    </row>
    <row r="1429" spans="1:12" ht="15" x14ac:dyDescent="0.25">
      <c r="A1429" s="1">
        <v>1420</v>
      </c>
      <c r="B1429" s="1" t="s">
        <v>227</v>
      </c>
      <c r="C1429" s="32">
        <v>1406</v>
      </c>
      <c r="D1429" s="1">
        <v>24000</v>
      </c>
      <c r="E1429" s="1"/>
      <c r="F1429" s="1">
        <v>267.18</v>
      </c>
      <c r="G1429" s="1">
        <v>24000</v>
      </c>
      <c r="H1429" s="5">
        <f t="shared" si="40"/>
        <v>0</v>
      </c>
      <c r="I1429" s="6"/>
      <c r="J1429" s="43"/>
      <c r="K1429" s="51"/>
      <c r="L1429" s="86"/>
    </row>
    <row r="1430" spans="1:12" ht="15" x14ac:dyDescent="0.25">
      <c r="A1430" s="1">
        <v>1421</v>
      </c>
      <c r="B1430" s="1" t="s">
        <v>227</v>
      </c>
      <c r="C1430" s="32">
        <v>1718</v>
      </c>
      <c r="D1430" s="1">
        <v>7000</v>
      </c>
      <c r="E1430" s="1"/>
      <c r="F1430" s="1">
        <v>78.069999999999993</v>
      </c>
      <c r="G1430" s="1">
        <v>7000</v>
      </c>
      <c r="H1430" s="5">
        <f t="shared" si="40"/>
        <v>0</v>
      </c>
      <c r="I1430" s="6"/>
      <c r="J1430" s="43"/>
      <c r="K1430" s="51"/>
      <c r="L1430" s="86"/>
    </row>
    <row r="1431" spans="1:12" ht="15" x14ac:dyDescent="0.25">
      <c r="A1431" s="1">
        <v>1422</v>
      </c>
      <c r="B1431" s="1" t="s">
        <v>227</v>
      </c>
      <c r="C1431" s="32">
        <v>2068</v>
      </c>
      <c r="D1431" s="1">
        <v>20000</v>
      </c>
      <c r="E1431" s="1"/>
      <c r="F1431" s="1">
        <v>218.6</v>
      </c>
      <c r="G1431" s="1">
        <v>20000</v>
      </c>
      <c r="H1431" s="5">
        <f t="shared" si="40"/>
        <v>0</v>
      </c>
      <c r="I1431" s="6"/>
      <c r="J1431" s="43"/>
      <c r="K1431" s="51"/>
      <c r="L1431" s="86"/>
    </row>
    <row r="1432" spans="1:12" ht="15" x14ac:dyDescent="0.25">
      <c r="A1432" s="1">
        <v>1423</v>
      </c>
      <c r="B1432" s="1" t="s">
        <v>227</v>
      </c>
      <c r="C1432" s="32">
        <v>7761</v>
      </c>
      <c r="D1432" s="1">
        <v>22000</v>
      </c>
      <c r="E1432" s="1"/>
      <c r="F1432" s="1">
        <v>246.49</v>
      </c>
      <c r="G1432" s="1">
        <v>22000</v>
      </c>
      <c r="H1432" s="5">
        <f t="shared" si="40"/>
        <v>0</v>
      </c>
      <c r="I1432" s="6"/>
      <c r="J1432" s="43"/>
      <c r="K1432" s="51"/>
      <c r="L1432" s="86"/>
    </row>
    <row r="1433" spans="1:12" ht="15" x14ac:dyDescent="0.25">
      <c r="A1433" s="1">
        <v>1424</v>
      </c>
      <c r="B1433" s="1" t="s">
        <v>227</v>
      </c>
      <c r="C1433" s="32">
        <v>8033</v>
      </c>
      <c r="D1433" s="1">
        <v>21000</v>
      </c>
      <c r="E1433" s="1"/>
      <c r="F1433" s="1">
        <v>234.22</v>
      </c>
      <c r="G1433" s="1">
        <v>21000</v>
      </c>
      <c r="H1433" s="5">
        <f t="shared" si="40"/>
        <v>0</v>
      </c>
      <c r="I1433" s="6"/>
      <c r="J1433" s="43"/>
      <c r="K1433" s="51"/>
      <c r="L1433" s="86"/>
    </row>
    <row r="1434" spans="1:12" ht="15" x14ac:dyDescent="0.25">
      <c r="A1434" s="1">
        <v>1425</v>
      </c>
      <c r="B1434" s="1" t="s">
        <v>227</v>
      </c>
      <c r="C1434" s="32">
        <v>4811</v>
      </c>
      <c r="D1434" s="1">
        <v>5000</v>
      </c>
      <c r="E1434" s="1"/>
      <c r="F1434" s="1">
        <v>55.77</v>
      </c>
      <c r="G1434" s="1">
        <v>5000</v>
      </c>
      <c r="H1434" s="5">
        <f t="shared" si="40"/>
        <v>0</v>
      </c>
      <c r="I1434" s="6"/>
      <c r="J1434" s="43"/>
      <c r="K1434" s="51"/>
      <c r="L1434" s="86">
        <f>1420338-1419500</f>
        <v>838</v>
      </c>
    </row>
    <row r="1435" spans="1:12" ht="15" x14ac:dyDescent="0.25">
      <c r="A1435" s="1">
        <v>1426</v>
      </c>
      <c r="B1435" s="1" t="s">
        <v>228</v>
      </c>
      <c r="C1435" s="32">
        <v>4542</v>
      </c>
      <c r="D1435" s="1">
        <v>25000</v>
      </c>
      <c r="E1435" s="1"/>
      <c r="F1435" s="1">
        <v>278.83</v>
      </c>
      <c r="G1435" s="1">
        <v>25000</v>
      </c>
      <c r="H1435" s="5">
        <f t="shared" si="40"/>
        <v>0</v>
      </c>
      <c r="I1435" s="6"/>
      <c r="J1435" s="43"/>
      <c r="K1435" s="51"/>
      <c r="L1435" s="86"/>
    </row>
    <row r="1436" spans="1:12" ht="15" x14ac:dyDescent="0.25">
      <c r="A1436" s="1">
        <v>1427</v>
      </c>
      <c r="B1436" s="1" t="s">
        <v>228</v>
      </c>
      <c r="C1436" s="32">
        <v>145</v>
      </c>
      <c r="D1436" s="1">
        <v>24000</v>
      </c>
      <c r="E1436" s="1"/>
      <c r="F1436" s="1">
        <v>256.52999999999997</v>
      </c>
      <c r="G1436" s="1">
        <v>24000</v>
      </c>
      <c r="H1436" s="5">
        <f t="shared" si="40"/>
        <v>0</v>
      </c>
      <c r="I1436" s="6"/>
      <c r="J1436" s="43"/>
      <c r="K1436" s="51"/>
      <c r="L1436" s="86"/>
    </row>
    <row r="1437" spans="1:12" ht="15" x14ac:dyDescent="0.25">
      <c r="A1437" s="1">
        <v>1428</v>
      </c>
      <c r="B1437" s="1" t="s">
        <v>228</v>
      </c>
      <c r="C1437" s="32">
        <v>9952</v>
      </c>
      <c r="D1437" s="1">
        <v>20000</v>
      </c>
      <c r="E1437" s="1"/>
      <c r="F1437" s="1">
        <v>223.06</v>
      </c>
      <c r="G1437" s="1">
        <v>20000</v>
      </c>
      <c r="H1437" s="5">
        <f t="shared" si="40"/>
        <v>0</v>
      </c>
      <c r="I1437" s="6"/>
      <c r="J1437" s="43"/>
      <c r="K1437" s="51"/>
      <c r="L1437" s="86"/>
    </row>
    <row r="1438" spans="1:12" ht="15" x14ac:dyDescent="0.25">
      <c r="A1438" s="1">
        <v>1429</v>
      </c>
      <c r="B1438" s="1" t="s">
        <v>228</v>
      </c>
      <c r="C1438" s="32">
        <v>4591</v>
      </c>
      <c r="D1438" s="1">
        <v>27000</v>
      </c>
      <c r="E1438" s="1"/>
      <c r="F1438" s="1">
        <v>301.14</v>
      </c>
      <c r="G1438" s="1">
        <v>27000</v>
      </c>
      <c r="H1438" s="5">
        <f t="shared" si="40"/>
        <v>0</v>
      </c>
      <c r="I1438" s="6"/>
      <c r="J1438" s="43"/>
      <c r="K1438" s="51"/>
      <c r="L1438" s="86"/>
    </row>
    <row r="1439" spans="1:12" ht="15" x14ac:dyDescent="0.25">
      <c r="A1439" s="1">
        <v>1430</v>
      </c>
      <c r="B1439" s="1" t="s">
        <v>228</v>
      </c>
      <c r="C1439" s="32">
        <v>2339</v>
      </c>
      <c r="D1439" s="1">
        <v>30000</v>
      </c>
      <c r="E1439" s="1"/>
      <c r="F1439" s="1">
        <v>344.6</v>
      </c>
      <c r="G1439" s="1">
        <v>30000</v>
      </c>
      <c r="H1439" s="5">
        <f t="shared" si="40"/>
        <v>0</v>
      </c>
      <c r="I1439" s="6"/>
      <c r="J1439" s="43"/>
      <c r="K1439" s="51"/>
      <c r="L1439" s="86"/>
    </row>
    <row r="1440" spans="1:12" ht="15" x14ac:dyDescent="0.25">
      <c r="A1440" s="1">
        <v>1431</v>
      </c>
      <c r="B1440" s="1" t="s">
        <v>228</v>
      </c>
      <c r="C1440" s="32">
        <v>3152</v>
      </c>
      <c r="D1440" s="1">
        <v>22000</v>
      </c>
      <c r="E1440" s="1"/>
      <c r="F1440" s="1">
        <v>244.52</v>
      </c>
      <c r="G1440" s="1">
        <v>22000</v>
      </c>
      <c r="H1440" s="5">
        <f t="shared" si="40"/>
        <v>0</v>
      </c>
      <c r="I1440" s="6"/>
      <c r="J1440" s="43"/>
      <c r="K1440" s="51"/>
      <c r="L1440" s="86"/>
    </row>
    <row r="1441" spans="1:12" ht="15" x14ac:dyDescent="0.25">
      <c r="A1441" s="1">
        <v>1432</v>
      </c>
      <c r="B1441" s="1" t="s">
        <v>228</v>
      </c>
      <c r="C1441" s="32">
        <v>9741</v>
      </c>
      <c r="D1441" s="1">
        <v>5000</v>
      </c>
      <c r="E1441" s="1"/>
      <c r="F1441" s="1">
        <v>55.77</v>
      </c>
      <c r="G1441" s="1">
        <v>5000</v>
      </c>
      <c r="H1441" s="5">
        <f t="shared" si="40"/>
        <v>0</v>
      </c>
      <c r="I1441" s="6"/>
      <c r="J1441" s="43"/>
      <c r="K1441" s="51"/>
      <c r="L1441" s="86"/>
    </row>
    <row r="1442" spans="1:12" ht="15" x14ac:dyDescent="0.25">
      <c r="A1442" s="1">
        <v>1433</v>
      </c>
      <c r="B1442" s="1" t="s">
        <v>228</v>
      </c>
      <c r="C1442" s="32">
        <v>8651</v>
      </c>
      <c r="D1442" s="1">
        <v>12000</v>
      </c>
      <c r="E1442" s="1"/>
      <c r="F1442" s="1">
        <v>133.84</v>
      </c>
      <c r="G1442" s="1">
        <v>12000</v>
      </c>
      <c r="H1442" s="5">
        <f t="shared" si="40"/>
        <v>0</v>
      </c>
      <c r="I1442" s="6"/>
      <c r="J1442" s="43"/>
      <c r="K1442" s="51"/>
      <c r="L1442" s="86"/>
    </row>
    <row r="1443" spans="1:12" ht="15" x14ac:dyDescent="0.25">
      <c r="A1443" s="1">
        <v>1434</v>
      </c>
      <c r="B1443" s="1" t="s">
        <v>228</v>
      </c>
      <c r="C1443" s="32">
        <v>9751</v>
      </c>
      <c r="D1443" s="1">
        <v>12000</v>
      </c>
      <c r="E1443" s="1"/>
      <c r="F1443" s="1">
        <v>133.84</v>
      </c>
      <c r="G1443" s="1">
        <v>12000</v>
      </c>
      <c r="H1443" s="5">
        <f t="shared" si="40"/>
        <v>0</v>
      </c>
      <c r="I1443" s="6"/>
      <c r="J1443" s="43"/>
      <c r="K1443" s="51"/>
      <c r="L1443" s="86"/>
    </row>
    <row r="1444" spans="1:12" ht="15" x14ac:dyDescent="0.25">
      <c r="A1444" s="1">
        <v>1435</v>
      </c>
      <c r="B1444" s="1" t="s">
        <v>228</v>
      </c>
      <c r="C1444" s="32">
        <v>779</v>
      </c>
      <c r="D1444" s="1">
        <v>22000</v>
      </c>
      <c r="E1444" s="1"/>
      <c r="F1444" s="1">
        <v>245.37</v>
      </c>
      <c r="G1444" s="1">
        <v>22000</v>
      </c>
      <c r="H1444" s="5">
        <f t="shared" si="40"/>
        <v>0</v>
      </c>
      <c r="I1444" s="6"/>
      <c r="J1444" s="43"/>
      <c r="K1444" s="51"/>
      <c r="L1444" s="86"/>
    </row>
    <row r="1445" spans="1:12" ht="15" x14ac:dyDescent="0.25">
      <c r="A1445" s="1">
        <v>1436</v>
      </c>
      <c r="B1445" s="1" t="s">
        <v>228</v>
      </c>
      <c r="C1445" s="32">
        <v>3886</v>
      </c>
      <c r="D1445" s="1">
        <v>15000</v>
      </c>
      <c r="E1445" s="1"/>
      <c r="F1445" s="1">
        <v>167.3</v>
      </c>
      <c r="G1445" s="1">
        <v>15000</v>
      </c>
      <c r="H1445" s="5">
        <f t="shared" si="40"/>
        <v>0</v>
      </c>
      <c r="I1445" s="6"/>
      <c r="J1445" s="43"/>
      <c r="K1445" s="51"/>
      <c r="L1445" s="86"/>
    </row>
    <row r="1446" spans="1:12" ht="15" x14ac:dyDescent="0.25">
      <c r="A1446" s="1">
        <v>1437</v>
      </c>
      <c r="B1446" s="1" t="s">
        <v>228</v>
      </c>
      <c r="C1446" s="32">
        <v>9916</v>
      </c>
      <c r="D1446" s="1">
        <v>10000</v>
      </c>
      <c r="E1446" s="1"/>
      <c r="F1446" s="1">
        <v>111.53</v>
      </c>
      <c r="G1446" s="1">
        <v>10000</v>
      </c>
      <c r="H1446" s="5">
        <f t="shared" si="40"/>
        <v>0</v>
      </c>
      <c r="I1446" s="6"/>
      <c r="J1446" s="43"/>
      <c r="K1446" s="51"/>
      <c r="L1446" s="86"/>
    </row>
    <row r="1447" spans="1:12" ht="15" x14ac:dyDescent="0.25">
      <c r="A1447" s="1">
        <v>1438</v>
      </c>
      <c r="B1447" s="1" t="s">
        <v>228</v>
      </c>
      <c r="C1447" s="32">
        <v>4290</v>
      </c>
      <c r="D1447" s="1">
        <v>10000</v>
      </c>
      <c r="E1447" s="1"/>
      <c r="F1447" s="1">
        <v>111.53</v>
      </c>
      <c r="G1447" s="1">
        <v>10000</v>
      </c>
      <c r="H1447" s="5">
        <f t="shared" si="40"/>
        <v>0</v>
      </c>
      <c r="I1447" s="6"/>
      <c r="J1447" s="43"/>
      <c r="K1447" s="51"/>
      <c r="L1447" s="86"/>
    </row>
    <row r="1448" spans="1:12" ht="15" x14ac:dyDescent="0.25">
      <c r="A1448" s="1">
        <v>1439</v>
      </c>
      <c r="B1448" s="1" t="s">
        <v>228</v>
      </c>
      <c r="C1448" s="32">
        <v>8348</v>
      </c>
      <c r="D1448" s="1">
        <v>20000</v>
      </c>
      <c r="E1448" s="1"/>
      <c r="F1448" s="1">
        <v>223.06</v>
      </c>
      <c r="G1448" s="1">
        <v>20000</v>
      </c>
      <c r="H1448" s="5">
        <f t="shared" si="40"/>
        <v>0</v>
      </c>
      <c r="I1448" s="6"/>
      <c r="J1448" s="43"/>
      <c r="K1448" s="51"/>
      <c r="L1448" s="86"/>
    </row>
    <row r="1449" spans="1:12" ht="15" x14ac:dyDescent="0.25">
      <c r="A1449" s="1">
        <v>1440</v>
      </c>
      <c r="B1449" s="1" t="s">
        <v>228</v>
      </c>
      <c r="C1449" s="32">
        <v>3531</v>
      </c>
      <c r="D1449" s="1">
        <v>21000</v>
      </c>
      <c r="E1449" s="1"/>
      <c r="F1449" s="1">
        <v>234.22</v>
      </c>
      <c r="G1449" s="1">
        <v>21000</v>
      </c>
      <c r="H1449" s="5">
        <f t="shared" si="40"/>
        <v>0</v>
      </c>
      <c r="I1449" s="6"/>
      <c r="J1449" s="43"/>
      <c r="K1449" s="51"/>
      <c r="L1449" s="86">
        <f>1345338-1344500</f>
        <v>838</v>
      </c>
    </row>
    <row r="1450" spans="1:12" ht="15" x14ac:dyDescent="0.25">
      <c r="A1450" s="1">
        <v>1441</v>
      </c>
      <c r="B1450" s="1" t="s">
        <v>228</v>
      </c>
      <c r="C1450" s="32">
        <v>5100</v>
      </c>
      <c r="D1450" s="1">
        <v>20000</v>
      </c>
      <c r="E1450" s="1"/>
      <c r="F1450" s="1">
        <v>223.06</v>
      </c>
      <c r="G1450" s="1">
        <v>20000</v>
      </c>
      <c r="H1450" s="5">
        <f t="shared" si="40"/>
        <v>0</v>
      </c>
      <c r="I1450" s="6"/>
      <c r="J1450" s="43"/>
      <c r="K1450" s="51"/>
      <c r="L1450" s="86"/>
    </row>
    <row r="1451" spans="1:12" ht="15" x14ac:dyDescent="0.25">
      <c r="A1451" s="1">
        <v>1442</v>
      </c>
      <c r="B1451" s="1" t="s">
        <v>228</v>
      </c>
      <c r="C1451" s="32">
        <v>2786</v>
      </c>
      <c r="D1451" s="1">
        <v>30000</v>
      </c>
      <c r="E1451" s="1"/>
      <c r="F1451" s="1">
        <v>334.59</v>
      </c>
      <c r="G1451" s="1">
        <v>30000</v>
      </c>
      <c r="H1451" s="5">
        <f t="shared" si="40"/>
        <v>0</v>
      </c>
      <c r="I1451" s="6"/>
      <c r="J1451" s="43"/>
      <c r="K1451" s="51"/>
      <c r="L1451" s="86"/>
    </row>
    <row r="1452" spans="1:12" ht="15" x14ac:dyDescent="0.25">
      <c r="A1452" s="1">
        <v>1443</v>
      </c>
      <c r="B1452" s="1" t="s">
        <v>228</v>
      </c>
      <c r="C1452" s="32">
        <v>9686</v>
      </c>
      <c r="D1452" s="1">
        <v>30000</v>
      </c>
      <c r="E1452" s="1"/>
      <c r="F1452" s="1">
        <v>334.59</v>
      </c>
      <c r="G1452" s="1">
        <v>30000</v>
      </c>
      <c r="H1452" s="5">
        <f t="shared" si="40"/>
        <v>0</v>
      </c>
      <c r="I1452" s="6"/>
      <c r="J1452" s="43"/>
      <c r="K1452" s="51"/>
      <c r="L1452" s="86"/>
    </row>
    <row r="1453" spans="1:12" ht="15" x14ac:dyDescent="0.25">
      <c r="A1453" s="1">
        <v>1444</v>
      </c>
      <c r="B1453" s="1" t="s">
        <v>228</v>
      </c>
      <c r="C1453" s="32">
        <v>7311</v>
      </c>
      <c r="D1453" s="1">
        <v>20000</v>
      </c>
      <c r="E1453" s="1"/>
      <c r="F1453" s="1">
        <v>194.07</v>
      </c>
      <c r="G1453" s="1">
        <v>20000</v>
      </c>
      <c r="H1453" s="5">
        <f t="shared" ref="H1453:H1516" si="41">D1453-G1453</f>
        <v>0</v>
      </c>
      <c r="I1453" s="6"/>
      <c r="J1453" s="43"/>
      <c r="K1453" s="51"/>
      <c r="L1453" s="86"/>
    </row>
    <row r="1454" spans="1:12" ht="15" x14ac:dyDescent="0.25">
      <c r="A1454" s="1">
        <v>1445</v>
      </c>
      <c r="B1454" s="1" t="s">
        <v>228</v>
      </c>
      <c r="C1454" s="32">
        <v>4786</v>
      </c>
      <c r="D1454" s="1">
        <v>30000</v>
      </c>
      <c r="E1454" s="1"/>
      <c r="F1454" s="1">
        <v>329.02</v>
      </c>
      <c r="G1454" s="1">
        <v>30000</v>
      </c>
      <c r="H1454" s="5">
        <f t="shared" si="41"/>
        <v>0</v>
      </c>
      <c r="I1454" s="6"/>
      <c r="J1454" s="43"/>
      <c r="K1454" s="51"/>
      <c r="L1454" s="86"/>
    </row>
    <row r="1455" spans="1:12" ht="15" x14ac:dyDescent="0.25">
      <c r="A1455" s="1">
        <v>1446</v>
      </c>
      <c r="B1455" s="1" t="s">
        <v>228</v>
      </c>
      <c r="C1455" s="32">
        <v>5851</v>
      </c>
      <c r="D1455" s="1">
        <v>30000</v>
      </c>
      <c r="E1455" s="1"/>
      <c r="F1455" s="1">
        <v>329.02</v>
      </c>
      <c r="G1455" s="1">
        <v>30000</v>
      </c>
      <c r="H1455" s="5">
        <f t="shared" si="41"/>
        <v>0</v>
      </c>
      <c r="I1455" s="6"/>
      <c r="J1455" s="43"/>
      <c r="K1455" s="51"/>
      <c r="L1455" s="86">
        <f>1505338-1502222</f>
        <v>3116</v>
      </c>
    </row>
    <row r="1456" spans="1:12" ht="15" x14ac:dyDescent="0.25">
      <c r="A1456" s="1">
        <v>1447</v>
      </c>
      <c r="B1456" s="1" t="s">
        <v>230</v>
      </c>
      <c r="C1456" s="32" t="s">
        <v>63</v>
      </c>
      <c r="D1456" s="1">
        <v>3500</v>
      </c>
      <c r="E1456" s="1"/>
      <c r="F1456" s="1">
        <v>39.04</v>
      </c>
      <c r="G1456" s="1">
        <v>3500</v>
      </c>
      <c r="H1456" s="5">
        <f t="shared" si="41"/>
        <v>0</v>
      </c>
      <c r="I1456" s="6"/>
      <c r="J1456" s="43"/>
      <c r="K1456" s="51"/>
      <c r="L1456" s="86"/>
    </row>
    <row r="1457" spans="1:13" ht="15" x14ac:dyDescent="0.25">
      <c r="A1457" s="1">
        <v>1448</v>
      </c>
      <c r="B1457" s="1" t="s">
        <v>230</v>
      </c>
      <c r="C1457" s="32" t="s">
        <v>30</v>
      </c>
      <c r="D1457" s="1">
        <v>4500</v>
      </c>
      <c r="E1457" s="1"/>
      <c r="F1457" s="1">
        <v>50.19</v>
      </c>
      <c r="G1457" s="1">
        <v>4500</v>
      </c>
      <c r="H1457" s="5">
        <f t="shared" si="41"/>
        <v>0</v>
      </c>
      <c r="I1457" s="6"/>
      <c r="J1457" s="43"/>
      <c r="K1457" s="51"/>
      <c r="L1457" s="86"/>
    </row>
    <row r="1458" spans="1:13" ht="15" x14ac:dyDescent="0.25">
      <c r="A1458" s="1">
        <v>1449</v>
      </c>
      <c r="B1458" s="1" t="s">
        <v>230</v>
      </c>
      <c r="C1458" s="32">
        <v>1468</v>
      </c>
      <c r="D1458" s="1">
        <v>26000</v>
      </c>
      <c r="E1458" s="1"/>
      <c r="F1458" s="1">
        <v>289.98</v>
      </c>
      <c r="G1458" s="1">
        <v>26000</v>
      </c>
      <c r="H1458" s="5">
        <f t="shared" si="41"/>
        <v>0</v>
      </c>
      <c r="I1458" s="6"/>
      <c r="J1458" s="43"/>
      <c r="K1458" s="51"/>
      <c r="L1458" s="86"/>
    </row>
    <row r="1459" spans="1:13" ht="15" x14ac:dyDescent="0.25">
      <c r="A1459" s="1">
        <v>1450</v>
      </c>
      <c r="B1459" s="1" t="s">
        <v>230</v>
      </c>
      <c r="C1459" s="32">
        <v>5817</v>
      </c>
      <c r="D1459" s="1">
        <v>26000</v>
      </c>
      <c r="E1459" s="1"/>
      <c r="F1459" s="1">
        <v>289.98</v>
      </c>
      <c r="G1459" s="1">
        <v>26000</v>
      </c>
      <c r="H1459" s="5">
        <f t="shared" si="41"/>
        <v>0</v>
      </c>
      <c r="I1459" s="6"/>
      <c r="J1459" s="43"/>
      <c r="K1459" s="51"/>
      <c r="L1459" s="86"/>
    </row>
    <row r="1460" spans="1:13" ht="15" x14ac:dyDescent="0.25">
      <c r="A1460" s="1">
        <v>1451</v>
      </c>
      <c r="B1460" s="1" t="s">
        <v>230</v>
      </c>
      <c r="C1460" s="32">
        <v>5386</v>
      </c>
      <c r="D1460" s="1">
        <v>27000</v>
      </c>
      <c r="E1460" s="1"/>
      <c r="F1460" s="1">
        <v>301.14</v>
      </c>
      <c r="G1460" s="1">
        <v>27000</v>
      </c>
      <c r="H1460" s="5">
        <f t="shared" si="41"/>
        <v>0</v>
      </c>
      <c r="I1460" s="6"/>
      <c r="J1460" s="43"/>
      <c r="K1460" s="51"/>
      <c r="L1460" s="86"/>
    </row>
    <row r="1461" spans="1:13" ht="15" x14ac:dyDescent="0.25">
      <c r="A1461" s="1">
        <v>1452</v>
      </c>
      <c r="B1461" s="1" t="s">
        <v>230</v>
      </c>
      <c r="C1461" s="32">
        <v>405</v>
      </c>
      <c r="D1461" s="1">
        <v>27000</v>
      </c>
      <c r="E1461" s="1"/>
      <c r="F1461" s="1">
        <v>301.14</v>
      </c>
      <c r="G1461" s="1">
        <v>27000</v>
      </c>
      <c r="H1461" s="5">
        <f t="shared" si="41"/>
        <v>0</v>
      </c>
      <c r="I1461" s="6"/>
      <c r="J1461" s="43"/>
      <c r="K1461" s="51"/>
      <c r="L1461" s="86"/>
    </row>
    <row r="1462" spans="1:13" ht="15" x14ac:dyDescent="0.25">
      <c r="A1462" s="1">
        <v>1453</v>
      </c>
      <c r="B1462" s="1" t="s">
        <v>230</v>
      </c>
      <c r="C1462" s="32">
        <v>7269</v>
      </c>
      <c r="D1462" s="1">
        <v>25000</v>
      </c>
      <c r="E1462" s="1"/>
      <c r="F1462" s="1">
        <v>278.04000000000002</v>
      </c>
      <c r="G1462" s="1">
        <v>25000</v>
      </c>
      <c r="H1462" s="5">
        <f t="shared" si="41"/>
        <v>0</v>
      </c>
      <c r="I1462" s="6"/>
      <c r="J1462" s="43"/>
      <c r="K1462" s="51"/>
      <c r="L1462" s="86"/>
    </row>
    <row r="1463" spans="1:13" ht="15" x14ac:dyDescent="0.25">
      <c r="A1463" s="1">
        <v>1454</v>
      </c>
      <c r="B1463" s="1" t="s">
        <v>230</v>
      </c>
      <c r="C1463" s="32">
        <v>6457</v>
      </c>
      <c r="D1463" s="1">
        <v>30000</v>
      </c>
      <c r="E1463" s="1"/>
      <c r="F1463" s="1">
        <v>334.59</v>
      </c>
      <c r="G1463" s="1">
        <v>30000</v>
      </c>
      <c r="H1463" s="5">
        <f t="shared" si="41"/>
        <v>0</v>
      </c>
      <c r="I1463" s="6"/>
      <c r="J1463" s="43"/>
      <c r="K1463" s="51"/>
      <c r="L1463" s="86"/>
    </row>
    <row r="1464" spans="1:13" ht="15" x14ac:dyDescent="0.25">
      <c r="A1464" s="1">
        <v>1455</v>
      </c>
      <c r="B1464" s="1" t="s">
        <v>230</v>
      </c>
      <c r="C1464" s="32">
        <v>8735</v>
      </c>
      <c r="D1464" s="1">
        <v>21000</v>
      </c>
      <c r="E1464" s="1"/>
      <c r="F1464" s="1">
        <v>235.3</v>
      </c>
      <c r="G1464" s="1">
        <v>21000</v>
      </c>
      <c r="H1464" s="5">
        <f t="shared" si="41"/>
        <v>0</v>
      </c>
      <c r="I1464" s="6"/>
      <c r="J1464" s="43"/>
      <c r="K1464" s="51"/>
      <c r="L1464" s="86"/>
    </row>
    <row r="1465" spans="1:13" ht="15" x14ac:dyDescent="0.25">
      <c r="A1465" s="1">
        <v>1456</v>
      </c>
      <c r="B1465" s="1" t="s">
        <v>230</v>
      </c>
      <c r="C1465" s="32">
        <v>3918</v>
      </c>
      <c r="D1465" s="1">
        <v>20000</v>
      </c>
      <c r="E1465" s="1"/>
      <c r="F1465" s="1">
        <v>234.89</v>
      </c>
      <c r="G1465" s="1">
        <v>20000</v>
      </c>
      <c r="H1465" s="5">
        <f t="shared" si="41"/>
        <v>0</v>
      </c>
      <c r="I1465" s="6"/>
      <c r="J1465" s="43"/>
      <c r="K1465" s="51"/>
      <c r="L1465" s="86"/>
    </row>
    <row r="1466" spans="1:13" ht="15" x14ac:dyDescent="0.25">
      <c r="A1466" s="1">
        <v>1457</v>
      </c>
      <c r="B1466" s="1" t="s">
        <v>230</v>
      </c>
      <c r="C1466" s="32">
        <v>4786</v>
      </c>
      <c r="D1466" s="1">
        <v>18000</v>
      </c>
      <c r="E1466" s="1"/>
      <c r="F1466" s="1">
        <v>192.29</v>
      </c>
      <c r="G1466" s="1">
        <v>18000</v>
      </c>
      <c r="H1466" s="5">
        <f t="shared" si="41"/>
        <v>0</v>
      </c>
      <c r="I1466" s="6"/>
      <c r="J1466" s="43"/>
      <c r="K1466" s="51"/>
      <c r="L1466" s="86"/>
    </row>
    <row r="1467" spans="1:13" ht="15" x14ac:dyDescent="0.25">
      <c r="A1467" s="1">
        <v>1458</v>
      </c>
      <c r="B1467" s="1" t="s">
        <v>230</v>
      </c>
      <c r="C1467" s="32">
        <v>7452</v>
      </c>
      <c r="D1467" s="1">
        <v>12000</v>
      </c>
      <c r="E1467" s="1"/>
      <c r="F1467" s="1">
        <v>133.84</v>
      </c>
      <c r="G1467" s="1">
        <v>12000</v>
      </c>
      <c r="H1467" s="5">
        <f t="shared" si="41"/>
        <v>0</v>
      </c>
      <c r="I1467" s="6"/>
      <c r="J1467" s="43"/>
      <c r="K1467" s="51"/>
      <c r="L1467" s="86">
        <f>1345338-1342222</f>
        <v>3116</v>
      </c>
    </row>
    <row r="1468" spans="1:13" ht="15" x14ac:dyDescent="0.25">
      <c r="A1468" s="1">
        <v>1459</v>
      </c>
      <c r="B1468" s="1" t="s">
        <v>231</v>
      </c>
      <c r="C1468" s="32">
        <v>6904</v>
      </c>
      <c r="D1468" s="1">
        <v>24000</v>
      </c>
      <c r="E1468" s="1"/>
      <c r="F1468" s="1">
        <v>244.83</v>
      </c>
      <c r="G1468" s="1">
        <v>24000</v>
      </c>
      <c r="H1468" s="5">
        <f t="shared" si="41"/>
        <v>0</v>
      </c>
      <c r="I1468" s="6"/>
      <c r="J1468" s="43"/>
      <c r="K1468" s="51"/>
      <c r="L1468" s="86"/>
    </row>
    <row r="1469" spans="1:13" ht="15" x14ac:dyDescent="0.25">
      <c r="A1469" s="1">
        <v>1460</v>
      </c>
      <c r="B1469" s="1" t="s">
        <v>231</v>
      </c>
      <c r="C1469" s="32">
        <v>3891</v>
      </c>
      <c r="D1469" s="1">
        <v>30000</v>
      </c>
      <c r="E1469" s="1"/>
      <c r="F1469" s="1">
        <v>334.6</v>
      </c>
      <c r="G1469" s="1">
        <v>30000</v>
      </c>
      <c r="H1469" s="5">
        <f t="shared" si="41"/>
        <v>0</v>
      </c>
      <c r="I1469" s="6"/>
      <c r="J1469" s="43"/>
      <c r="K1469" s="51"/>
      <c r="L1469" s="86"/>
    </row>
    <row r="1470" spans="1:13" ht="15" x14ac:dyDescent="0.25">
      <c r="A1470" s="1">
        <v>1461</v>
      </c>
      <c r="B1470" s="1" t="s">
        <v>231</v>
      </c>
      <c r="C1470" s="32">
        <v>2601</v>
      </c>
      <c r="D1470" s="1">
        <v>16000</v>
      </c>
      <c r="E1470" s="1"/>
      <c r="F1470" s="1">
        <v>178.45</v>
      </c>
      <c r="G1470" s="1">
        <v>16000</v>
      </c>
      <c r="H1470" s="5">
        <f t="shared" si="41"/>
        <v>0</v>
      </c>
      <c r="I1470" s="6"/>
      <c r="J1470" s="43"/>
      <c r="K1470" s="51"/>
      <c r="L1470" s="86"/>
    </row>
    <row r="1471" spans="1:13" ht="15" x14ac:dyDescent="0.25">
      <c r="A1471" s="1">
        <v>1462</v>
      </c>
      <c r="B1471" s="1" t="s">
        <v>231</v>
      </c>
      <c r="C1471" s="32">
        <v>3947</v>
      </c>
      <c r="D1471" s="1">
        <v>25000</v>
      </c>
      <c r="E1471" s="1"/>
      <c r="F1471" s="1">
        <v>278.04000000000002</v>
      </c>
      <c r="G1471" s="1">
        <v>25000</v>
      </c>
      <c r="H1471" s="5">
        <f t="shared" si="41"/>
        <v>0</v>
      </c>
      <c r="I1471" s="6"/>
      <c r="J1471" s="43"/>
      <c r="K1471" s="51"/>
      <c r="L1471" s="86"/>
    </row>
    <row r="1472" spans="1:13" ht="15" x14ac:dyDescent="0.25">
      <c r="A1472" s="1">
        <v>1463</v>
      </c>
      <c r="B1472" s="1" t="s">
        <v>231</v>
      </c>
      <c r="C1472" s="32">
        <v>6759</v>
      </c>
      <c r="D1472" s="1">
        <v>25000</v>
      </c>
      <c r="E1472" s="1"/>
      <c r="F1472" s="1">
        <v>278.04000000000002</v>
      </c>
      <c r="G1472" s="1">
        <v>25000</v>
      </c>
      <c r="H1472" s="5">
        <f t="shared" si="41"/>
        <v>0</v>
      </c>
      <c r="I1472" s="6"/>
      <c r="J1472" s="43"/>
      <c r="K1472" s="51"/>
      <c r="L1472" s="86"/>
      <c r="M1472">
        <f>210/96</f>
        <v>2.1875</v>
      </c>
    </row>
    <row r="1473" spans="1:13" ht="15" x14ac:dyDescent="0.25">
      <c r="A1473" s="1">
        <v>1464</v>
      </c>
      <c r="B1473" s="1" t="s">
        <v>232</v>
      </c>
      <c r="C1473" s="32" t="s">
        <v>66</v>
      </c>
      <c r="D1473" s="1">
        <v>210</v>
      </c>
      <c r="E1473" s="1"/>
      <c r="F1473" s="1">
        <v>2.1800000000000002</v>
      </c>
      <c r="G1473" s="1">
        <v>210</v>
      </c>
      <c r="H1473" s="5">
        <f t="shared" si="41"/>
        <v>0</v>
      </c>
      <c r="I1473" s="6"/>
      <c r="J1473" s="43"/>
      <c r="K1473" s="51"/>
      <c r="L1473" s="86"/>
    </row>
    <row r="1474" spans="1:13" ht="15" x14ac:dyDescent="0.25">
      <c r="A1474" s="1">
        <v>1465</v>
      </c>
      <c r="B1474" s="1" t="s">
        <v>232</v>
      </c>
      <c r="C1474" s="32">
        <v>1288</v>
      </c>
      <c r="D1474" s="1">
        <v>10000</v>
      </c>
      <c r="E1474" s="1"/>
      <c r="F1474" s="1">
        <v>111.53</v>
      </c>
      <c r="G1474" s="1">
        <v>10000</v>
      </c>
      <c r="H1474" s="5">
        <f t="shared" si="41"/>
        <v>0</v>
      </c>
      <c r="I1474" s="6"/>
      <c r="J1474" s="43"/>
      <c r="K1474" s="51"/>
      <c r="L1474" s="86"/>
      <c r="M1474">
        <f>1291498-100000</f>
        <v>1191498</v>
      </c>
    </row>
    <row r="1475" spans="1:13" ht="15" x14ac:dyDescent="0.25">
      <c r="A1475" s="1">
        <v>1466</v>
      </c>
      <c r="B1475" s="1" t="s">
        <v>236</v>
      </c>
      <c r="C1475" s="32" t="s">
        <v>30</v>
      </c>
      <c r="D1475" s="1">
        <v>3500</v>
      </c>
      <c r="E1475" s="1"/>
      <c r="F1475" s="1">
        <v>39.04</v>
      </c>
      <c r="G1475" s="1">
        <v>3500</v>
      </c>
      <c r="H1475" s="5">
        <f t="shared" si="41"/>
        <v>0</v>
      </c>
      <c r="I1475" s="6"/>
      <c r="J1475" s="43"/>
      <c r="K1475" s="51"/>
      <c r="L1475" s="86"/>
    </row>
    <row r="1476" spans="1:13" ht="15" x14ac:dyDescent="0.25">
      <c r="A1476" s="1">
        <v>1467</v>
      </c>
      <c r="B1476" s="1" t="s">
        <v>236</v>
      </c>
      <c r="C1476" s="32">
        <v>3886</v>
      </c>
      <c r="D1476" s="1">
        <v>21500</v>
      </c>
      <c r="E1476" s="1"/>
      <c r="F1476" s="1">
        <v>239.73</v>
      </c>
      <c r="G1476" s="1">
        <v>21500</v>
      </c>
      <c r="H1476" s="5">
        <f t="shared" si="41"/>
        <v>0</v>
      </c>
      <c r="I1476" s="6"/>
      <c r="J1476" s="43"/>
      <c r="K1476" s="51"/>
      <c r="L1476" s="86"/>
    </row>
    <row r="1477" spans="1:13" ht="15" x14ac:dyDescent="0.25">
      <c r="A1477" s="1">
        <v>1468</v>
      </c>
      <c r="B1477" s="1" t="s">
        <v>236</v>
      </c>
      <c r="C1477" s="32">
        <v>2258</v>
      </c>
      <c r="D1477" s="1">
        <v>22000</v>
      </c>
      <c r="E1477" s="1"/>
      <c r="F1477" s="1">
        <v>245.37</v>
      </c>
      <c r="G1477" s="1">
        <v>22000</v>
      </c>
      <c r="H1477" s="5">
        <f t="shared" si="41"/>
        <v>0</v>
      </c>
      <c r="I1477" s="6"/>
      <c r="J1477" s="43"/>
      <c r="K1477" s="51"/>
      <c r="L1477" s="86"/>
    </row>
    <row r="1478" spans="1:13" ht="15" x14ac:dyDescent="0.25">
      <c r="A1478" s="1">
        <v>1469</v>
      </c>
      <c r="B1478" s="1" t="s">
        <v>236</v>
      </c>
      <c r="C1478" s="32">
        <v>225</v>
      </c>
      <c r="D1478" s="1">
        <v>22000</v>
      </c>
      <c r="E1478" s="1"/>
      <c r="F1478" s="1">
        <v>245.37</v>
      </c>
      <c r="G1478" s="1">
        <v>22000</v>
      </c>
      <c r="H1478" s="5">
        <f t="shared" si="41"/>
        <v>0</v>
      </c>
      <c r="I1478" s="6"/>
      <c r="J1478" s="43"/>
      <c r="K1478" s="51"/>
      <c r="L1478" s="86"/>
    </row>
    <row r="1479" spans="1:13" ht="15" x14ac:dyDescent="0.25">
      <c r="A1479" s="1">
        <v>1470</v>
      </c>
      <c r="B1479" s="1" t="s">
        <v>236</v>
      </c>
      <c r="C1479" s="32">
        <v>3124</v>
      </c>
      <c r="D1479" s="1">
        <v>29000</v>
      </c>
      <c r="E1479" s="1"/>
      <c r="F1479" s="1">
        <v>323.44</v>
      </c>
      <c r="G1479" s="1">
        <v>29000</v>
      </c>
      <c r="H1479" s="5">
        <f t="shared" si="41"/>
        <v>0</v>
      </c>
      <c r="I1479" s="6"/>
      <c r="J1479" s="43"/>
      <c r="K1479" s="51"/>
      <c r="L1479" s="86"/>
    </row>
    <row r="1480" spans="1:13" ht="15" x14ac:dyDescent="0.25">
      <c r="A1480" s="1">
        <v>1471</v>
      </c>
      <c r="B1480" s="1" t="s">
        <v>236</v>
      </c>
      <c r="C1480" s="32">
        <v>9998</v>
      </c>
      <c r="D1480" s="1">
        <v>18000</v>
      </c>
      <c r="E1480" s="1"/>
      <c r="F1480" s="1">
        <v>200.76</v>
      </c>
      <c r="G1480" s="1">
        <v>18000</v>
      </c>
      <c r="H1480" s="5">
        <f t="shared" si="41"/>
        <v>0</v>
      </c>
      <c r="I1480" s="6"/>
      <c r="J1480" s="43"/>
      <c r="K1480" s="51"/>
      <c r="L1480" s="86"/>
    </row>
    <row r="1481" spans="1:13" ht="15" x14ac:dyDescent="0.25">
      <c r="A1481" s="1">
        <v>1472</v>
      </c>
      <c r="B1481" s="1" t="s">
        <v>236</v>
      </c>
      <c r="C1481" s="32">
        <v>9347</v>
      </c>
      <c r="D1481" s="1">
        <v>21000</v>
      </c>
      <c r="E1481" s="1"/>
      <c r="F1481" s="1">
        <v>234.22</v>
      </c>
      <c r="G1481" s="1">
        <v>21000</v>
      </c>
      <c r="H1481" s="5">
        <f t="shared" si="41"/>
        <v>0</v>
      </c>
      <c r="I1481" s="6"/>
      <c r="J1481" s="43"/>
      <c r="K1481" s="51"/>
      <c r="L1481" s="86"/>
    </row>
    <row r="1482" spans="1:13" ht="15" x14ac:dyDescent="0.25">
      <c r="A1482" s="1">
        <v>1473</v>
      </c>
      <c r="B1482" s="1" t="s">
        <v>236</v>
      </c>
      <c r="C1482" s="32">
        <v>9307</v>
      </c>
      <c r="D1482" s="1">
        <v>17000</v>
      </c>
      <c r="E1482" s="1"/>
      <c r="F1482" s="1">
        <v>189.72</v>
      </c>
      <c r="G1482" s="1">
        <v>17000</v>
      </c>
      <c r="H1482" s="5">
        <f t="shared" si="41"/>
        <v>0</v>
      </c>
      <c r="I1482" s="6"/>
      <c r="J1482" s="43"/>
      <c r="K1482" s="51"/>
      <c r="L1482" s="86"/>
    </row>
    <row r="1483" spans="1:13" ht="15" x14ac:dyDescent="0.25">
      <c r="A1483" s="1">
        <v>1474</v>
      </c>
      <c r="B1483" s="1" t="s">
        <v>236</v>
      </c>
      <c r="C1483" s="32">
        <v>4556</v>
      </c>
      <c r="D1483" s="1">
        <v>15000</v>
      </c>
      <c r="E1483" s="1"/>
      <c r="F1483" s="1">
        <v>167.3</v>
      </c>
      <c r="G1483" s="1">
        <v>15000</v>
      </c>
      <c r="H1483" s="5">
        <f t="shared" si="41"/>
        <v>0</v>
      </c>
      <c r="I1483" s="6"/>
      <c r="J1483" s="43"/>
      <c r="K1483" s="51"/>
      <c r="L1483" s="86"/>
    </row>
    <row r="1484" spans="1:13" ht="15" x14ac:dyDescent="0.25">
      <c r="A1484" s="1">
        <v>1475</v>
      </c>
      <c r="B1484" s="1" t="s">
        <v>236</v>
      </c>
      <c r="C1484" s="32" t="s">
        <v>30</v>
      </c>
      <c r="D1484" s="1">
        <v>4500</v>
      </c>
      <c r="E1484" s="1"/>
      <c r="F1484" s="1">
        <v>50.19</v>
      </c>
      <c r="G1484" s="1">
        <v>4500</v>
      </c>
      <c r="H1484" s="5">
        <f t="shared" si="41"/>
        <v>0</v>
      </c>
      <c r="I1484" s="6"/>
      <c r="J1484" s="43"/>
      <c r="K1484" s="51"/>
      <c r="L1484" s="86"/>
    </row>
    <row r="1485" spans="1:13" ht="15" x14ac:dyDescent="0.25">
      <c r="A1485" s="1">
        <v>1476</v>
      </c>
      <c r="B1485" s="1" t="s">
        <v>236</v>
      </c>
      <c r="C1485" s="32">
        <v>2506</v>
      </c>
      <c r="D1485" s="1">
        <v>17000</v>
      </c>
      <c r="E1485" s="1"/>
      <c r="F1485" s="1">
        <v>162.30000000000001</v>
      </c>
      <c r="G1485" s="1">
        <v>17000</v>
      </c>
      <c r="H1485" s="5">
        <f t="shared" si="41"/>
        <v>0</v>
      </c>
      <c r="I1485" s="6"/>
      <c r="J1485" s="43"/>
      <c r="K1485" s="51"/>
      <c r="L1485" s="86"/>
    </row>
    <row r="1486" spans="1:13" ht="15" x14ac:dyDescent="0.25">
      <c r="A1486" s="1">
        <v>1477</v>
      </c>
      <c r="B1486" s="1" t="s">
        <v>236</v>
      </c>
      <c r="C1486" s="32">
        <v>6019</v>
      </c>
      <c r="D1486" s="1">
        <v>15000</v>
      </c>
      <c r="E1486" s="1"/>
      <c r="F1486" s="1">
        <v>167.3</v>
      </c>
      <c r="G1486" s="1">
        <v>15000</v>
      </c>
      <c r="H1486" s="5">
        <f t="shared" si="41"/>
        <v>0</v>
      </c>
      <c r="I1486" s="6"/>
      <c r="J1486" s="43"/>
      <c r="K1486" s="51"/>
      <c r="L1486" s="86"/>
    </row>
    <row r="1487" spans="1:13" ht="15" x14ac:dyDescent="0.25">
      <c r="A1487" s="1">
        <v>1478</v>
      </c>
      <c r="B1487" s="1" t="s">
        <v>236</v>
      </c>
      <c r="C1487" s="32">
        <v>2187</v>
      </c>
      <c r="D1487" s="1">
        <v>25000</v>
      </c>
      <c r="E1487" s="1"/>
      <c r="F1487" s="1">
        <v>278.83</v>
      </c>
      <c r="G1487" s="1">
        <v>25000</v>
      </c>
      <c r="H1487" s="5">
        <f t="shared" si="41"/>
        <v>0</v>
      </c>
      <c r="I1487" s="6"/>
      <c r="J1487" s="43"/>
      <c r="K1487" s="51"/>
      <c r="L1487" s="86"/>
    </row>
    <row r="1488" spans="1:13" ht="15" x14ac:dyDescent="0.25">
      <c r="A1488" s="1">
        <v>1479</v>
      </c>
      <c r="B1488" s="1" t="s">
        <v>236</v>
      </c>
      <c r="C1488" s="32">
        <v>8017</v>
      </c>
      <c r="D1488" s="1">
        <v>17000</v>
      </c>
      <c r="E1488" s="1"/>
      <c r="F1488" s="1">
        <v>137.63</v>
      </c>
      <c r="G1488" s="1">
        <v>17000</v>
      </c>
      <c r="H1488" s="5">
        <f t="shared" si="41"/>
        <v>0</v>
      </c>
      <c r="I1488" s="6"/>
      <c r="J1488" s="43"/>
      <c r="K1488" s="51"/>
      <c r="L1488" s="86"/>
    </row>
    <row r="1489" spans="1:12" ht="15" x14ac:dyDescent="0.25">
      <c r="A1489" s="1">
        <v>1480</v>
      </c>
      <c r="B1489" s="1" t="s">
        <v>236</v>
      </c>
      <c r="C1489" s="32">
        <v>7359</v>
      </c>
      <c r="D1489" s="1">
        <v>25000</v>
      </c>
      <c r="E1489" s="1"/>
      <c r="F1489" s="1">
        <v>278.83</v>
      </c>
      <c r="G1489" s="1">
        <v>25000</v>
      </c>
      <c r="H1489" s="5">
        <f t="shared" si="41"/>
        <v>0</v>
      </c>
      <c r="I1489" s="6"/>
      <c r="J1489" s="43"/>
      <c r="K1489" s="51"/>
      <c r="L1489" s="86"/>
    </row>
    <row r="1490" spans="1:12" ht="15" x14ac:dyDescent="0.25">
      <c r="A1490" s="1">
        <v>1481</v>
      </c>
      <c r="B1490" s="1" t="s">
        <v>236</v>
      </c>
      <c r="C1490" s="32">
        <v>3462</v>
      </c>
      <c r="D1490" s="1">
        <v>25000</v>
      </c>
      <c r="E1490" s="1"/>
      <c r="F1490" s="1">
        <v>278.83</v>
      </c>
      <c r="G1490" s="1">
        <v>25000</v>
      </c>
      <c r="H1490" s="5">
        <f t="shared" si="41"/>
        <v>0</v>
      </c>
      <c r="I1490" s="6"/>
      <c r="J1490" s="43"/>
      <c r="K1490" s="51"/>
      <c r="L1490" s="86"/>
    </row>
    <row r="1491" spans="1:12" ht="15" x14ac:dyDescent="0.25">
      <c r="A1491" s="1">
        <v>1482</v>
      </c>
      <c r="B1491" s="1" t="s">
        <v>236</v>
      </c>
      <c r="C1491" s="32">
        <v>2651</v>
      </c>
      <c r="D1491" s="1">
        <v>25000</v>
      </c>
      <c r="E1491" s="1"/>
      <c r="F1491" s="1">
        <v>278.83</v>
      </c>
      <c r="G1491" s="1">
        <v>25000</v>
      </c>
      <c r="H1491" s="5">
        <f t="shared" si="41"/>
        <v>0</v>
      </c>
      <c r="I1491" s="6"/>
      <c r="J1491" s="43"/>
      <c r="K1491" s="51"/>
      <c r="L1491" s="86"/>
    </row>
    <row r="1492" spans="1:12" ht="15" x14ac:dyDescent="0.25">
      <c r="A1492" s="1">
        <v>1483</v>
      </c>
      <c r="B1492" s="1" t="s">
        <v>236</v>
      </c>
      <c r="C1492" s="32">
        <v>4249</v>
      </c>
      <c r="D1492" s="1">
        <v>26000</v>
      </c>
      <c r="E1492" s="1"/>
      <c r="F1492" s="1">
        <v>289.98</v>
      </c>
      <c r="G1492" s="1">
        <v>26000</v>
      </c>
      <c r="H1492" s="5">
        <f t="shared" si="41"/>
        <v>0</v>
      </c>
      <c r="I1492" s="6"/>
      <c r="J1492" s="43"/>
      <c r="K1492" s="51"/>
      <c r="L1492" s="86"/>
    </row>
    <row r="1493" spans="1:12" ht="15" x14ac:dyDescent="0.25">
      <c r="A1493" s="1">
        <v>1484</v>
      </c>
      <c r="B1493" s="1" t="s">
        <v>236</v>
      </c>
      <c r="C1493" s="32">
        <v>5812</v>
      </c>
      <c r="D1493" s="1">
        <v>24000</v>
      </c>
      <c r="E1493" s="1"/>
      <c r="F1493" s="1">
        <v>267.68</v>
      </c>
      <c r="G1493" s="1">
        <v>24000</v>
      </c>
      <c r="H1493" s="5">
        <f t="shared" si="41"/>
        <v>0</v>
      </c>
      <c r="I1493" s="6"/>
      <c r="J1493" s="43"/>
      <c r="K1493" s="51"/>
      <c r="L1493" s="86"/>
    </row>
    <row r="1494" spans="1:12" ht="15" x14ac:dyDescent="0.25">
      <c r="A1494" s="1">
        <v>1485</v>
      </c>
      <c r="B1494" s="1" t="s">
        <v>236</v>
      </c>
      <c r="C1494" s="32">
        <v>3686</v>
      </c>
      <c r="D1494" s="1">
        <v>24000</v>
      </c>
      <c r="E1494" s="1"/>
      <c r="F1494" s="1">
        <v>268.68</v>
      </c>
      <c r="G1494" s="1">
        <v>24000</v>
      </c>
      <c r="H1494" s="5">
        <f t="shared" si="41"/>
        <v>0</v>
      </c>
      <c r="I1494" s="6"/>
      <c r="J1494" s="43"/>
      <c r="K1494" s="51"/>
      <c r="L1494" s="86"/>
    </row>
    <row r="1495" spans="1:12" ht="15" x14ac:dyDescent="0.25">
      <c r="A1495" s="1">
        <v>1486</v>
      </c>
      <c r="B1495" s="1" t="s">
        <v>236</v>
      </c>
      <c r="C1495" s="32">
        <v>249</v>
      </c>
      <c r="D1495" s="1">
        <v>25000</v>
      </c>
      <c r="E1495" s="1"/>
      <c r="F1495" s="1">
        <v>278.83</v>
      </c>
      <c r="G1495" s="1">
        <v>25000</v>
      </c>
      <c r="H1495" s="5">
        <f t="shared" si="41"/>
        <v>0</v>
      </c>
      <c r="I1495" s="6"/>
      <c r="J1495" s="43"/>
      <c r="K1495" s="51"/>
      <c r="L1495" s="86"/>
    </row>
    <row r="1496" spans="1:12" ht="15" x14ac:dyDescent="0.25">
      <c r="A1496" s="1">
        <v>1487</v>
      </c>
      <c r="B1496" s="1" t="s">
        <v>236</v>
      </c>
      <c r="C1496" s="32">
        <v>7007</v>
      </c>
      <c r="D1496" s="1">
        <v>25000</v>
      </c>
      <c r="E1496" s="1"/>
      <c r="F1496" s="1">
        <v>278.83</v>
      </c>
      <c r="G1496" s="1">
        <v>25000</v>
      </c>
      <c r="H1496" s="5">
        <f t="shared" si="41"/>
        <v>0</v>
      </c>
      <c r="I1496" s="6"/>
      <c r="J1496" s="43"/>
      <c r="K1496" s="51"/>
      <c r="L1496" s="86"/>
    </row>
    <row r="1497" spans="1:12" ht="15" x14ac:dyDescent="0.25">
      <c r="A1497" s="1">
        <v>1488</v>
      </c>
      <c r="B1497" s="1" t="s">
        <v>236</v>
      </c>
      <c r="C1497" s="32">
        <v>3893</v>
      </c>
      <c r="D1497" s="1">
        <v>15000</v>
      </c>
      <c r="E1497" s="1"/>
      <c r="F1497" s="1">
        <v>167.3</v>
      </c>
      <c r="G1497" s="1">
        <v>15000</v>
      </c>
      <c r="H1497" s="5">
        <f t="shared" si="41"/>
        <v>0</v>
      </c>
      <c r="I1497" s="6"/>
      <c r="J1497" s="43"/>
      <c r="K1497" s="51"/>
      <c r="L1497" s="86"/>
    </row>
    <row r="1498" spans="1:12" ht="15" x14ac:dyDescent="0.25">
      <c r="A1498" s="1">
        <v>1489</v>
      </c>
      <c r="B1498" s="1" t="s">
        <v>236</v>
      </c>
      <c r="C1498" s="32">
        <v>717</v>
      </c>
      <c r="D1498" s="1">
        <v>20000</v>
      </c>
      <c r="E1498" s="1"/>
      <c r="F1498" s="1">
        <v>223.06</v>
      </c>
      <c r="G1498" s="1">
        <v>20000</v>
      </c>
      <c r="H1498" s="5">
        <f t="shared" si="41"/>
        <v>0</v>
      </c>
      <c r="I1498" s="6"/>
      <c r="J1498" s="43"/>
      <c r="K1498" s="51"/>
      <c r="L1498" s="86">
        <f>1477048-1472433</f>
        <v>4615</v>
      </c>
    </row>
    <row r="1499" spans="1:12" ht="15" x14ac:dyDescent="0.25">
      <c r="A1499" s="1">
        <v>1490</v>
      </c>
      <c r="B1499" s="1" t="s">
        <v>237</v>
      </c>
      <c r="C1499" s="32">
        <v>5946</v>
      </c>
      <c r="D1499" s="1">
        <v>5000</v>
      </c>
      <c r="E1499" s="1"/>
      <c r="F1499" s="1">
        <v>55.76</v>
      </c>
      <c r="G1499" s="1">
        <v>5000</v>
      </c>
      <c r="H1499" s="5">
        <f t="shared" si="41"/>
        <v>0</v>
      </c>
      <c r="I1499" s="6"/>
      <c r="J1499" s="43"/>
      <c r="K1499" s="51"/>
      <c r="L1499" s="86"/>
    </row>
    <row r="1500" spans="1:12" ht="15" x14ac:dyDescent="0.25">
      <c r="A1500" s="1">
        <v>1491</v>
      </c>
      <c r="B1500" s="1" t="s">
        <v>237</v>
      </c>
      <c r="C1500" s="32">
        <v>4595</v>
      </c>
      <c r="D1500" s="1">
        <v>22000</v>
      </c>
      <c r="E1500" s="1"/>
      <c r="F1500" s="1">
        <v>245.37</v>
      </c>
      <c r="G1500" s="1">
        <v>22000</v>
      </c>
      <c r="H1500" s="5">
        <f t="shared" si="41"/>
        <v>0</v>
      </c>
      <c r="I1500" s="6"/>
      <c r="J1500" s="43"/>
      <c r="K1500" s="51"/>
      <c r="L1500" s="86"/>
    </row>
    <row r="1501" spans="1:12" ht="15" x14ac:dyDescent="0.25">
      <c r="A1501" s="1">
        <v>1492</v>
      </c>
      <c r="B1501" s="1" t="s">
        <v>237</v>
      </c>
      <c r="C1501" s="32" t="s">
        <v>66</v>
      </c>
      <c r="D1501" s="1">
        <v>210</v>
      </c>
      <c r="E1501" s="1"/>
      <c r="F1501" s="1">
        <v>2.0830000000000002</v>
      </c>
      <c r="G1501" s="1">
        <v>210</v>
      </c>
      <c r="H1501" s="5">
        <f t="shared" si="41"/>
        <v>0</v>
      </c>
      <c r="I1501" s="6"/>
      <c r="J1501" s="43"/>
      <c r="K1501" s="51"/>
      <c r="L1501" s="86"/>
    </row>
    <row r="1502" spans="1:12" ht="15" x14ac:dyDescent="0.25">
      <c r="A1502" s="1">
        <v>1493</v>
      </c>
      <c r="B1502" s="1" t="s">
        <v>237</v>
      </c>
      <c r="C1502" s="32">
        <v>4665</v>
      </c>
      <c r="D1502" s="1">
        <v>22000</v>
      </c>
      <c r="E1502" s="1"/>
      <c r="F1502" s="1">
        <v>245.37</v>
      </c>
      <c r="G1502" s="1">
        <v>22000</v>
      </c>
      <c r="H1502" s="5">
        <f t="shared" si="41"/>
        <v>0</v>
      </c>
      <c r="I1502" s="6"/>
      <c r="J1502" s="43"/>
      <c r="K1502" s="51"/>
      <c r="L1502" s="86"/>
    </row>
    <row r="1503" spans="1:12" ht="15" x14ac:dyDescent="0.25">
      <c r="A1503" s="1">
        <v>1494</v>
      </c>
      <c r="B1503" s="1" t="s">
        <v>237</v>
      </c>
      <c r="C1503" s="32">
        <v>9751</v>
      </c>
      <c r="D1503" s="1">
        <v>12000</v>
      </c>
      <c r="E1503" s="1"/>
      <c r="F1503" s="1">
        <v>133.84</v>
      </c>
      <c r="G1503" s="1">
        <v>12000</v>
      </c>
      <c r="H1503" s="5">
        <f t="shared" si="41"/>
        <v>0</v>
      </c>
      <c r="I1503" s="6"/>
      <c r="J1503" s="43"/>
      <c r="K1503" s="51"/>
      <c r="L1503" s="86"/>
    </row>
    <row r="1504" spans="1:12" ht="15" x14ac:dyDescent="0.25">
      <c r="A1504" s="1">
        <v>1495</v>
      </c>
      <c r="B1504" s="1" t="s">
        <v>237</v>
      </c>
      <c r="C1504" s="32">
        <v>1562</v>
      </c>
      <c r="D1504" s="1">
        <v>22000</v>
      </c>
      <c r="E1504" s="1"/>
      <c r="F1504" s="1">
        <v>245.37</v>
      </c>
      <c r="G1504" s="1">
        <v>22000</v>
      </c>
      <c r="H1504" s="5">
        <f t="shared" si="41"/>
        <v>0</v>
      </c>
      <c r="I1504" s="6"/>
      <c r="J1504" s="43"/>
      <c r="K1504" s="51"/>
      <c r="L1504" s="86"/>
    </row>
    <row r="1505" spans="1:12" ht="15" x14ac:dyDescent="0.25">
      <c r="A1505" s="1">
        <v>1496</v>
      </c>
      <c r="B1505" s="1" t="s">
        <v>237</v>
      </c>
      <c r="C1505" s="32">
        <v>4030</v>
      </c>
      <c r="D1505" s="1">
        <v>18000</v>
      </c>
      <c r="E1505" s="1"/>
      <c r="F1505" s="1">
        <v>216</v>
      </c>
      <c r="G1505" s="1">
        <v>18000</v>
      </c>
      <c r="H1505" s="5">
        <f t="shared" si="41"/>
        <v>0</v>
      </c>
      <c r="I1505" s="6"/>
      <c r="J1505" s="43"/>
      <c r="K1505" s="51"/>
      <c r="L1505" s="86"/>
    </row>
    <row r="1506" spans="1:12" ht="15" x14ac:dyDescent="0.25">
      <c r="A1506" s="1">
        <v>1497</v>
      </c>
      <c r="B1506" s="1" t="s">
        <v>237</v>
      </c>
      <c r="C1506" s="32">
        <v>6104</v>
      </c>
      <c r="D1506" s="1">
        <v>28000</v>
      </c>
      <c r="E1506" s="1"/>
      <c r="F1506" s="1">
        <v>305</v>
      </c>
      <c r="G1506" s="1">
        <v>28000</v>
      </c>
      <c r="H1506" s="5">
        <f t="shared" si="41"/>
        <v>0</v>
      </c>
      <c r="I1506" s="6"/>
      <c r="J1506" s="43"/>
      <c r="K1506" s="51"/>
      <c r="L1506" s="86"/>
    </row>
    <row r="1507" spans="1:12" ht="15" x14ac:dyDescent="0.25">
      <c r="A1507" s="1">
        <v>1498</v>
      </c>
      <c r="B1507" s="1" t="s">
        <v>237</v>
      </c>
      <c r="C1507" s="32">
        <v>5430</v>
      </c>
      <c r="D1507" s="1">
        <v>25000</v>
      </c>
      <c r="E1507" s="1"/>
      <c r="F1507" s="1">
        <v>278.83</v>
      </c>
      <c r="G1507" s="1">
        <v>25000</v>
      </c>
      <c r="H1507" s="5">
        <f t="shared" si="41"/>
        <v>0</v>
      </c>
      <c r="I1507" s="6"/>
      <c r="J1507" s="43"/>
      <c r="K1507" s="51"/>
      <c r="L1507" s="86"/>
    </row>
    <row r="1508" spans="1:12" ht="15" x14ac:dyDescent="0.25">
      <c r="A1508" s="1">
        <v>1499</v>
      </c>
      <c r="B1508" s="1" t="s">
        <v>237</v>
      </c>
      <c r="C1508" s="32">
        <v>7183</v>
      </c>
      <c r="D1508" s="1">
        <v>25000</v>
      </c>
      <c r="E1508" s="1"/>
      <c r="F1508" s="1">
        <v>278.83</v>
      </c>
      <c r="G1508" s="1">
        <v>25000</v>
      </c>
      <c r="H1508" s="5">
        <f t="shared" si="41"/>
        <v>0</v>
      </c>
      <c r="I1508" s="6"/>
      <c r="J1508" s="43"/>
      <c r="K1508" s="51"/>
      <c r="L1508" s="86"/>
    </row>
    <row r="1509" spans="1:12" ht="15" x14ac:dyDescent="0.25">
      <c r="A1509" s="1">
        <v>1500</v>
      </c>
      <c r="B1509" s="1" t="s">
        <v>237</v>
      </c>
      <c r="C1509" s="32">
        <v>8869</v>
      </c>
      <c r="D1509" s="1">
        <v>23000</v>
      </c>
      <c r="E1509" s="1"/>
      <c r="F1509" s="1">
        <v>256.52</v>
      </c>
      <c r="G1509" s="1">
        <v>23000</v>
      </c>
      <c r="H1509" s="5">
        <f t="shared" si="41"/>
        <v>0</v>
      </c>
      <c r="I1509" s="6"/>
      <c r="J1509" s="43"/>
      <c r="K1509" s="51"/>
      <c r="L1509" s="86"/>
    </row>
    <row r="1510" spans="1:12" ht="15" x14ac:dyDescent="0.25">
      <c r="A1510" s="1">
        <v>1501</v>
      </c>
      <c r="B1510" s="1" t="s">
        <v>237</v>
      </c>
      <c r="C1510" s="32">
        <v>5563</v>
      </c>
      <c r="D1510" s="1">
        <v>23000</v>
      </c>
      <c r="E1510" s="1"/>
      <c r="F1510" s="1">
        <v>256.52</v>
      </c>
      <c r="G1510" s="1">
        <v>23000</v>
      </c>
      <c r="H1510" s="5">
        <f t="shared" si="41"/>
        <v>0</v>
      </c>
      <c r="I1510" s="6"/>
      <c r="J1510" s="43"/>
      <c r="K1510" s="51"/>
      <c r="L1510" s="86"/>
    </row>
    <row r="1511" spans="1:12" ht="15" x14ac:dyDescent="0.25">
      <c r="A1511" s="1">
        <v>1502</v>
      </c>
      <c r="B1511" s="1" t="s">
        <v>237</v>
      </c>
      <c r="C1511" s="32">
        <v>3121</v>
      </c>
      <c r="D1511" s="1">
        <v>30000</v>
      </c>
      <c r="E1511" s="1"/>
      <c r="F1511" s="1">
        <v>334.6</v>
      </c>
      <c r="G1511" s="1">
        <v>30000</v>
      </c>
      <c r="H1511" s="5">
        <f t="shared" si="41"/>
        <v>0</v>
      </c>
      <c r="I1511" s="6"/>
      <c r="J1511" s="43"/>
      <c r="K1511" s="51"/>
      <c r="L1511" s="86"/>
    </row>
    <row r="1512" spans="1:12" ht="15" x14ac:dyDescent="0.25">
      <c r="A1512" s="1">
        <v>1503</v>
      </c>
      <c r="B1512" s="1" t="s">
        <v>237</v>
      </c>
      <c r="C1512" s="32">
        <v>1121</v>
      </c>
      <c r="D1512" s="1">
        <v>30000</v>
      </c>
      <c r="E1512" s="1"/>
      <c r="F1512" s="1">
        <v>334.6</v>
      </c>
      <c r="G1512" s="1">
        <v>30000</v>
      </c>
      <c r="H1512" s="5">
        <f t="shared" si="41"/>
        <v>0</v>
      </c>
      <c r="I1512" s="6"/>
      <c r="J1512" s="43"/>
      <c r="K1512" s="51"/>
      <c r="L1512" s="86"/>
    </row>
    <row r="1513" spans="1:12" ht="15" x14ac:dyDescent="0.25">
      <c r="A1513" s="1">
        <v>1504</v>
      </c>
      <c r="B1513" s="1" t="s">
        <v>237</v>
      </c>
      <c r="C1513" s="32">
        <v>8466</v>
      </c>
      <c r="D1513" s="1">
        <v>30000</v>
      </c>
      <c r="E1513" s="1"/>
      <c r="F1513" s="1">
        <v>334.6</v>
      </c>
      <c r="G1513" s="1">
        <v>30000</v>
      </c>
      <c r="H1513" s="5">
        <f t="shared" si="41"/>
        <v>0</v>
      </c>
      <c r="I1513" s="6"/>
      <c r="J1513" s="43"/>
      <c r="K1513" s="51"/>
      <c r="L1513" s="86">
        <f>1501498-1492258</f>
        <v>9240</v>
      </c>
    </row>
    <row r="1514" spans="1:12" ht="15" x14ac:dyDescent="0.25">
      <c r="A1514" s="1">
        <v>1505</v>
      </c>
      <c r="B1514" s="1" t="s">
        <v>238</v>
      </c>
      <c r="C1514" s="32">
        <v>2633</v>
      </c>
      <c r="D1514" s="1">
        <v>18000</v>
      </c>
      <c r="E1514" s="1"/>
      <c r="F1514" s="1">
        <v>200.75</v>
      </c>
      <c r="G1514" s="1">
        <v>18000</v>
      </c>
      <c r="H1514" s="5">
        <f t="shared" si="41"/>
        <v>0</v>
      </c>
      <c r="I1514" s="6"/>
      <c r="J1514" s="43"/>
      <c r="K1514" s="51"/>
      <c r="L1514" s="86"/>
    </row>
    <row r="1515" spans="1:12" ht="15" x14ac:dyDescent="0.25">
      <c r="A1515" s="1">
        <v>1506</v>
      </c>
      <c r="B1515" s="1" t="s">
        <v>238</v>
      </c>
      <c r="C1515" s="32">
        <v>7833</v>
      </c>
      <c r="D1515" s="1">
        <v>22000</v>
      </c>
      <c r="E1515" s="1"/>
      <c r="F1515" s="1">
        <v>245.37</v>
      </c>
      <c r="G1515" s="1">
        <v>22000</v>
      </c>
      <c r="H1515" s="5">
        <f t="shared" si="41"/>
        <v>0</v>
      </c>
      <c r="I1515" s="6"/>
      <c r="J1515" s="43"/>
      <c r="K1515" s="51"/>
      <c r="L1515" s="86"/>
    </row>
    <row r="1516" spans="1:12" ht="15" x14ac:dyDescent="0.25">
      <c r="A1516" s="1">
        <v>1507</v>
      </c>
      <c r="B1516" s="1" t="s">
        <v>238</v>
      </c>
      <c r="C1516" s="32">
        <v>1172</v>
      </c>
      <c r="D1516" s="1">
        <v>24000</v>
      </c>
      <c r="E1516" s="1"/>
      <c r="F1516" s="1">
        <v>273.26</v>
      </c>
      <c r="G1516" s="1">
        <v>24000</v>
      </c>
      <c r="H1516" s="5">
        <f t="shared" si="41"/>
        <v>0</v>
      </c>
      <c r="I1516" s="6"/>
      <c r="J1516" s="43"/>
      <c r="K1516" s="51"/>
      <c r="L1516" s="86"/>
    </row>
    <row r="1517" spans="1:12" ht="15" x14ac:dyDescent="0.25">
      <c r="A1517" s="1">
        <v>1508</v>
      </c>
      <c r="B1517" s="1" t="s">
        <v>238</v>
      </c>
      <c r="C1517" s="32">
        <v>1889</v>
      </c>
      <c r="D1517" s="1">
        <v>26000</v>
      </c>
      <c r="E1517" s="1"/>
      <c r="F1517" s="1">
        <v>289.87</v>
      </c>
      <c r="G1517" s="1">
        <v>26000</v>
      </c>
      <c r="H1517" s="5">
        <f t="shared" ref="H1517:H1581" si="42">D1517-G1517</f>
        <v>0</v>
      </c>
      <c r="I1517" s="6"/>
      <c r="J1517" s="43"/>
      <c r="K1517" s="51"/>
      <c r="L1517" s="86"/>
    </row>
    <row r="1518" spans="1:12" ht="15" x14ac:dyDescent="0.25">
      <c r="A1518" s="1">
        <v>1509</v>
      </c>
      <c r="B1518" s="1" t="s">
        <v>238</v>
      </c>
      <c r="C1518" s="32">
        <v>6930</v>
      </c>
      <c r="D1518" s="1">
        <v>22000</v>
      </c>
      <c r="E1518" s="1"/>
      <c r="F1518" s="1">
        <v>245.3</v>
      </c>
      <c r="G1518" s="1">
        <v>22000</v>
      </c>
      <c r="H1518" s="5">
        <f t="shared" si="42"/>
        <v>0</v>
      </c>
      <c r="I1518" s="6"/>
      <c r="J1518" s="43"/>
      <c r="K1518" s="51"/>
      <c r="L1518" s="86"/>
    </row>
    <row r="1519" spans="1:12" ht="15" x14ac:dyDescent="0.25">
      <c r="A1519" s="1">
        <v>1510</v>
      </c>
      <c r="B1519" s="1" t="s">
        <v>238</v>
      </c>
      <c r="C1519" s="32" t="s">
        <v>30</v>
      </c>
      <c r="D1519" s="1">
        <v>4500</v>
      </c>
      <c r="E1519" s="1"/>
      <c r="F1519" s="1">
        <v>50.19</v>
      </c>
      <c r="G1519" s="1">
        <v>4500</v>
      </c>
      <c r="H1519" s="5">
        <f t="shared" si="42"/>
        <v>0</v>
      </c>
      <c r="I1519" s="6"/>
      <c r="J1519" s="43"/>
      <c r="K1519" s="51"/>
      <c r="L1519" s="86"/>
    </row>
    <row r="1520" spans="1:12" ht="15" x14ac:dyDescent="0.25">
      <c r="A1520" s="1">
        <v>1511</v>
      </c>
      <c r="B1520" s="1" t="s">
        <v>238</v>
      </c>
      <c r="C1520" s="32" t="s">
        <v>30</v>
      </c>
      <c r="D1520" s="1">
        <v>3500</v>
      </c>
      <c r="E1520" s="1"/>
      <c r="F1520" s="1">
        <v>39.03</v>
      </c>
      <c r="G1520" s="1">
        <v>3500</v>
      </c>
      <c r="H1520" s="5">
        <f t="shared" si="42"/>
        <v>0</v>
      </c>
      <c r="I1520" s="6"/>
      <c r="J1520" s="43"/>
      <c r="K1520" s="51"/>
      <c r="L1520" s="86"/>
    </row>
    <row r="1521" spans="1:13" ht="15" x14ac:dyDescent="0.25">
      <c r="A1521" s="1">
        <v>1512</v>
      </c>
      <c r="B1521" s="1" t="s">
        <v>238</v>
      </c>
      <c r="C1521" s="32">
        <v>2316</v>
      </c>
      <c r="D1521" s="1">
        <v>29000</v>
      </c>
      <c r="E1521" s="1"/>
      <c r="F1521" s="1">
        <v>333</v>
      </c>
      <c r="G1521" s="1">
        <v>29000</v>
      </c>
      <c r="H1521" s="5">
        <f t="shared" si="42"/>
        <v>0</v>
      </c>
      <c r="I1521" s="6"/>
      <c r="J1521" s="43"/>
      <c r="K1521" s="51"/>
      <c r="L1521" s="86"/>
    </row>
    <row r="1522" spans="1:13" ht="15" x14ac:dyDescent="0.25">
      <c r="A1522" s="1">
        <v>1513</v>
      </c>
      <c r="B1522" s="1" t="s">
        <v>238</v>
      </c>
      <c r="C1522" s="32">
        <v>8154</v>
      </c>
      <c r="D1522" s="1">
        <v>24000</v>
      </c>
      <c r="E1522" s="1"/>
      <c r="F1522" s="1">
        <v>267.27999999999997</v>
      </c>
      <c r="G1522" s="1">
        <v>24000</v>
      </c>
      <c r="H1522" s="5">
        <f t="shared" si="42"/>
        <v>0</v>
      </c>
      <c r="I1522" s="6"/>
      <c r="J1522" s="43"/>
      <c r="K1522" s="51"/>
      <c r="L1522" s="86"/>
    </row>
    <row r="1523" spans="1:13" ht="15" x14ac:dyDescent="0.25">
      <c r="A1523" s="1">
        <v>1514</v>
      </c>
      <c r="B1523" s="1" t="s">
        <v>238</v>
      </c>
      <c r="C1523" s="32">
        <v>7678</v>
      </c>
      <c r="D1523" s="1">
        <v>33000</v>
      </c>
      <c r="E1523" s="1"/>
      <c r="F1523" s="1">
        <v>368</v>
      </c>
      <c r="G1523" s="1">
        <v>33000</v>
      </c>
      <c r="H1523" s="5">
        <f t="shared" si="42"/>
        <v>0</v>
      </c>
      <c r="I1523" s="6"/>
      <c r="J1523" s="43"/>
      <c r="K1523" s="51"/>
      <c r="L1523" s="86"/>
    </row>
    <row r="1524" spans="1:13" ht="15" x14ac:dyDescent="0.25">
      <c r="A1524" s="1">
        <v>1515</v>
      </c>
      <c r="B1524" s="1" t="s">
        <v>238</v>
      </c>
      <c r="C1524" s="32">
        <v>9772</v>
      </c>
      <c r="D1524" s="1">
        <v>33000</v>
      </c>
      <c r="E1524" s="1"/>
      <c r="F1524" s="1">
        <v>368</v>
      </c>
      <c r="G1524" s="1">
        <v>33000</v>
      </c>
      <c r="H1524" s="5">
        <f t="shared" si="42"/>
        <v>0</v>
      </c>
      <c r="I1524" s="6"/>
      <c r="J1524" s="43"/>
      <c r="K1524" s="51"/>
      <c r="L1524" s="86"/>
    </row>
    <row r="1525" spans="1:13" ht="15" x14ac:dyDescent="0.25">
      <c r="A1525" s="1">
        <v>1516</v>
      </c>
      <c r="B1525" s="1" t="s">
        <v>238</v>
      </c>
      <c r="C1525" s="32">
        <v>3998</v>
      </c>
      <c r="D1525" s="1">
        <v>25000</v>
      </c>
      <c r="E1525" s="1"/>
      <c r="F1525" s="1">
        <v>242.8</v>
      </c>
      <c r="G1525" s="1">
        <v>25000</v>
      </c>
      <c r="H1525" s="5">
        <f t="shared" si="42"/>
        <v>0</v>
      </c>
      <c r="I1525" s="6"/>
      <c r="J1525" s="43"/>
      <c r="K1525" s="51"/>
      <c r="L1525" s="86"/>
    </row>
    <row r="1526" spans="1:13" ht="15" x14ac:dyDescent="0.25">
      <c r="A1526" s="1">
        <v>1517</v>
      </c>
      <c r="B1526" s="1" t="s">
        <v>238</v>
      </c>
      <c r="C1526" s="32">
        <v>3206</v>
      </c>
      <c r="D1526" s="1">
        <v>17000</v>
      </c>
      <c r="E1526" s="1"/>
      <c r="F1526" s="1">
        <v>189.61</v>
      </c>
      <c r="G1526" s="1">
        <v>17000</v>
      </c>
      <c r="H1526" s="5">
        <f t="shared" si="42"/>
        <v>0</v>
      </c>
      <c r="I1526" s="6"/>
      <c r="J1526" s="43"/>
      <c r="K1526" s="51"/>
      <c r="L1526" s="86"/>
    </row>
    <row r="1527" spans="1:13" ht="15" x14ac:dyDescent="0.25">
      <c r="A1527" s="1">
        <v>1518</v>
      </c>
      <c r="B1527" s="1" t="s">
        <v>238</v>
      </c>
      <c r="C1527" s="32">
        <v>6670</v>
      </c>
      <c r="D1527" s="1">
        <v>18000</v>
      </c>
      <c r="E1527" s="1"/>
      <c r="F1527" s="1">
        <v>187.71</v>
      </c>
      <c r="G1527" s="1">
        <v>18000</v>
      </c>
      <c r="H1527" s="5">
        <f t="shared" si="42"/>
        <v>0</v>
      </c>
      <c r="I1527" s="6"/>
      <c r="J1527" s="43"/>
      <c r="K1527" s="51"/>
      <c r="L1527" s="86">
        <f>1491258-1488451</f>
        <v>2807</v>
      </c>
      <c r="M1527">
        <f>200/96</f>
        <v>2.0833333333333335</v>
      </c>
    </row>
    <row r="1528" spans="1:13" ht="15" x14ac:dyDescent="0.25">
      <c r="A1528" s="1">
        <v>1519</v>
      </c>
      <c r="B1528" s="1" t="s">
        <v>239</v>
      </c>
      <c r="C1528" s="32" t="s">
        <v>66</v>
      </c>
      <c r="D1528" s="1">
        <v>200</v>
      </c>
      <c r="E1528" s="1"/>
      <c r="F1528" s="1">
        <v>2.08</v>
      </c>
      <c r="G1528" s="1">
        <v>200</v>
      </c>
      <c r="H1528" s="5">
        <f t="shared" si="42"/>
        <v>0</v>
      </c>
      <c r="I1528" s="6"/>
      <c r="J1528" s="43"/>
      <c r="K1528" s="51"/>
      <c r="L1528" s="86"/>
    </row>
    <row r="1529" spans="1:13" ht="15" x14ac:dyDescent="0.25">
      <c r="A1529" s="1">
        <v>1520</v>
      </c>
      <c r="B1529" s="1" t="s">
        <v>239</v>
      </c>
      <c r="C1529" s="32">
        <v>2855</v>
      </c>
      <c r="D1529" s="1">
        <v>20000</v>
      </c>
      <c r="E1529" s="1"/>
      <c r="F1529" s="1">
        <v>223.06</v>
      </c>
      <c r="G1529" s="1">
        <v>20000</v>
      </c>
      <c r="H1529" s="5">
        <f t="shared" si="42"/>
        <v>0</v>
      </c>
      <c r="I1529" s="6"/>
      <c r="J1529" s="43"/>
      <c r="K1529" s="51"/>
      <c r="L1529" s="86"/>
    </row>
    <row r="1530" spans="1:13" ht="15" x14ac:dyDescent="0.25">
      <c r="A1530" s="1">
        <v>1521</v>
      </c>
      <c r="B1530" s="1" t="s">
        <v>239</v>
      </c>
      <c r="C1530" s="32">
        <v>8696</v>
      </c>
      <c r="D1530" s="1">
        <v>24000</v>
      </c>
      <c r="E1530" s="1"/>
      <c r="F1530" s="1">
        <v>267.68</v>
      </c>
      <c r="G1530" s="1">
        <v>24000</v>
      </c>
      <c r="H1530" s="5">
        <f t="shared" si="42"/>
        <v>0</v>
      </c>
      <c r="I1530" s="6"/>
      <c r="J1530" s="43"/>
      <c r="K1530" s="51"/>
      <c r="L1530" s="86"/>
    </row>
    <row r="1531" spans="1:13" ht="15" x14ac:dyDescent="0.25">
      <c r="A1531" s="1">
        <v>1522</v>
      </c>
      <c r="B1531" s="1" t="s">
        <v>239</v>
      </c>
      <c r="C1531" s="32">
        <v>1861</v>
      </c>
      <c r="D1531" s="1">
        <v>25000</v>
      </c>
      <c r="E1531" s="1"/>
      <c r="F1531" s="1">
        <v>278.43</v>
      </c>
      <c r="G1531" s="1">
        <v>25000</v>
      </c>
      <c r="H1531" s="5">
        <f t="shared" si="42"/>
        <v>0</v>
      </c>
      <c r="I1531" s="6"/>
      <c r="J1531" s="43"/>
      <c r="K1531" s="51"/>
      <c r="L1531" s="86"/>
    </row>
    <row r="1532" spans="1:13" ht="15" x14ac:dyDescent="0.25">
      <c r="A1532" s="1">
        <v>1523</v>
      </c>
      <c r="B1532" s="1" t="s">
        <v>239</v>
      </c>
      <c r="C1532" s="32">
        <v>6211</v>
      </c>
      <c r="D1532" s="1">
        <v>30000</v>
      </c>
      <c r="E1532" s="1"/>
      <c r="F1532" s="1">
        <v>334.6</v>
      </c>
      <c r="G1532" s="1">
        <v>30000</v>
      </c>
      <c r="H1532" s="5">
        <f t="shared" si="42"/>
        <v>0</v>
      </c>
      <c r="I1532" s="6"/>
      <c r="J1532" s="43"/>
      <c r="K1532" s="51"/>
      <c r="L1532" s="86"/>
    </row>
    <row r="1533" spans="1:13" ht="15" x14ac:dyDescent="0.25">
      <c r="A1533" s="1">
        <v>1524</v>
      </c>
      <c r="B1533" s="1" t="s">
        <v>239</v>
      </c>
      <c r="C1533" s="32">
        <v>2528</v>
      </c>
      <c r="D1533" s="1">
        <v>30000</v>
      </c>
      <c r="E1533" s="1"/>
      <c r="F1533" s="1">
        <v>334.6</v>
      </c>
      <c r="G1533" s="1">
        <v>30000</v>
      </c>
      <c r="H1533" s="5">
        <f t="shared" si="42"/>
        <v>0</v>
      </c>
      <c r="I1533" s="6"/>
      <c r="J1533" s="43"/>
      <c r="K1533" s="51"/>
      <c r="L1533" s="86">
        <f>1228891-1220458</f>
        <v>8433</v>
      </c>
    </row>
    <row r="1534" spans="1:13" ht="15" x14ac:dyDescent="0.25">
      <c r="A1534" s="1">
        <v>1525</v>
      </c>
      <c r="B1534" s="1" t="s">
        <v>240</v>
      </c>
      <c r="C1534" s="32" t="s">
        <v>66</v>
      </c>
      <c r="D1534" s="1">
        <v>100</v>
      </c>
      <c r="E1534" s="1"/>
      <c r="F1534" s="1">
        <v>1.04</v>
      </c>
      <c r="G1534" s="1">
        <v>100</v>
      </c>
      <c r="H1534" s="5">
        <f t="shared" si="42"/>
        <v>0</v>
      </c>
      <c r="I1534" s="6"/>
      <c r="J1534" s="43"/>
      <c r="K1534" s="51"/>
      <c r="L1534" s="86"/>
    </row>
    <row r="1535" spans="1:13" ht="15" x14ac:dyDescent="0.25">
      <c r="A1535" s="1">
        <v>1526</v>
      </c>
      <c r="B1535" s="1" t="s">
        <v>241</v>
      </c>
      <c r="C1535" s="32" t="s">
        <v>63</v>
      </c>
      <c r="D1535" s="1">
        <v>3500</v>
      </c>
      <c r="E1535" s="1"/>
      <c r="F1535" s="1">
        <v>38.99</v>
      </c>
      <c r="G1535" s="1">
        <v>3500</v>
      </c>
      <c r="H1535" s="5">
        <f t="shared" si="42"/>
        <v>0</v>
      </c>
      <c r="I1535" s="6"/>
      <c r="J1535" s="43"/>
      <c r="K1535" s="51"/>
      <c r="L1535" s="86"/>
    </row>
    <row r="1536" spans="1:13" ht="15" x14ac:dyDescent="0.25">
      <c r="A1536" s="1">
        <v>1527</v>
      </c>
      <c r="B1536" s="1" t="s">
        <v>241</v>
      </c>
      <c r="C1536" s="32" t="s">
        <v>30</v>
      </c>
      <c r="D1536" s="1">
        <v>4500</v>
      </c>
      <c r="E1536" s="1"/>
      <c r="F1536" s="1">
        <v>50.13</v>
      </c>
      <c r="G1536" s="1">
        <v>4500</v>
      </c>
      <c r="H1536" s="5">
        <f t="shared" si="42"/>
        <v>0</v>
      </c>
      <c r="I1536" s="6"/>
      <c r="J1536" s="43"/>
      <c r="K1536" s="51"/>
      <c r="L1536" s="86"/>
    </row>
    <row r="1537" spans="1:12" ht="15" x14ac:dyDescent="0.25">
      <c r="A1537" s="1">
        <v>1528</v>
      </c>
      <c r="B1537" s="1" t="s">
        <v>241</v>
      </c>
      <c r="C1537" s="32">
        <v>8760</v>
      </c>
      <c r="D1537" s="1">
        <v>25000</v>
      </c>
      <c r="E1537" s="1"/>
      <c r="F1537" s="1">
        <v>278.52</v>
      </c>
      <c r="G1537" s="1">
        <v>25000</v>
      </c>
      <c r="H1537" s="5">
        <f t="shared" si="42"/>
        <v>0</v>
      </c>
      <c r="I1537" s="6"/>
      <c r="J1537" s="43"/>
      <c r="K1537" s="51"/>
      <c r="L1537" s="86"/>
    </row>
    <row r="1538" spans="1:12" ht="15" x14ac:dyDescent="0.25">
      <c r="A1538" s="1">
        <v>1529</v>
      </c>
      <c r="B1538" s="1" t="s">
        <v>241</v>
      </c>
      <c r="C1538" s="32">
        <v>8756</v>
      </c>
      <c r="D1538" s="1">
        <v>25000</v>
      </c>
      <c r="E1538" s="1"/>
      <c r="F1538" s="1">
        <v>278.52</v>
      </c>
      <c r="G1538" s="1">
        <v>25000</v>
      </c>
      <c r="H1538" s="5">
        <f t="shared" si="42"/>
        <v>0</v>
      </c>
      <c r="I1538" s="6"/>
      <c r="J1538" s="43"/>
      <c r="K1538" s="51"/>
      <c r="L1538" s="86"/>
    </row>
    <row r="1539" spans="1:12" ht="15" x14ac:dyDescent="0.25">
      <c r="A1539" s="1">
        <v>1530</v>
      </c>
      <c r="B1539" s="1" t="s">
        <v>241</v>
      </c>
      <c r="C1539" s="32">
        <v>8758</v>
      </c>
      <c r="D1539" s="1">
        <v>25000</v>
      </c>
      <c r="E1539" s="1"/>
      <c r="F1539" s="1">
        <v>278.52</v>
      </c>
      <c r="G1539" s="1">
        <v>25000</v>
      </c>
      <c r="H1539" s="5">
        <f t="shared" si="42"/>
        <v>0</v>
      </c>
      <c r="I1539" s="6"/>
      <c r="J1539" s="43"/>
      <c r="K1539" s="51"/>
      <c r="L1539" s="86"/>
    </row>
    <row r="1540" spans="1:12" ht="15" x14ac:dyDescent="0.25">
      <c r="A1540" s="1">
        <v>1531</v>
      </c>
      <c r="B1540" s="1" t="s">
        <v>241</v>
      </c>
      <c r="C1540" s="32">
        <v>8815</v>
      </c>
      <c r="D1540" s="1">
        <v>25000</v>
      </c>
      <c r="E1540" s="1"/>
      <c r="F1540" s="1">
        <v>278.52</v>
      </c>
      <c r="G1540" s="1">
        <v>25000</v>
      </c>
      <c r="H1540" s="5">
        <f t="shared" si="42"/>
        <v>0</v>
      </c>
      <c r="I1540" s="6"/>
      <c r="J1540" s="43"/>
      <c r="K1540" s="51"/>
      <c r="L1540" s="86">
        <f>1028781-1028558</f>
        <v>223</v>
      </c>
    </row>
    <row r="1541" spans="1:12" ht="15" x14ac:dyDescent="0.25">
      <c r="A1541" s="1">
        <v>1532</v>
      </c>
      <c r="B1541" s="1" t="s">
        <v>241</v>
      </c>
      <c r="C1541" s="32">
        <v>8585</v>
      </c>
      <c r="D1541" s="1">
        <v>24000</v>
      </c>
      <c r="E1541" s="1"/>
      <c r="F1541" s="1">
        <v>267.38</v>
      </c>
      <c r="G1541" s="1">
        <v>24000</v>
      </c>
      <c r="H1541" s="5">
        <f t="shared" si="42"/>
        <v>0</v>
      </c>
      <c r="I1541" s="6"/>
      <c r="J1541" s="43"/>
      <c r="K1541" s="51"/>
      <c r="L1541" s="86"/>
    </row>
    <row r="1542" spans="1:12" ht="15" x14ac:dyDescent="0.25">
      <c r="A1542" s="1">
        <v>1533</v>
      </c>
      <c r="B1542" s="1" t="s">
        <v>241</v>
      </c>
      <c r="C1542" s="32">
        <v>4373</v>
      </c>
      <c r="D1542" s="1">
        <v>24000</v>
      </c>
      <c r="E1542" s="1"/>
      <c r="F1542" s="1">
        <v>267.38</v>
      </c>
      <c r="G1542" s="1">
        <v>24000</v>
      </c>
      <c r="H1542" s="5">
        <f t="shared" si="42"/>
        <v>0</v>
      </c>
      <c r="I1542" s="6"/>
      <c r="J1542" s="43"/>
      <c r="K1542" s="51"/>
      <c r="L1542" s="86"/>
    </row>
    <row r="1543" spans="1:12" ht="15" x14ac:dyDescent="0.25">
      <c r="A1543" s="1">
        <v>1534</v>
      </c>
      <c r="B1543" s="1" t="s">
        <v>241</v>
      </c>
      <c r="C1543" s="32">
        <v>5435</v>
      </c>
      <c r="D1543" s="1">
        <v>30000</v>
      </c>
      <c r="E1543" s="1"/>
      <c r="F1543" s="1">
        <v>334.6</v>
      </c>
      <c r="G1543" s="1">
        <v>30000</v>
      </c>
      <c r="H1543" s="5">
        <f t="shared" si="42"/>
        <v>0</v>
      </c>
      <c r="I1543" s="6"/>
      <c r="J1543" s="43"/>
      <c r="K1543" s="51"/>
      <c r="L1543" s="86">
        <f>1123429-1106558</f>
        <v>16871</v>
      </c>
    </row>
    <row r="1544" spans="1:12" ht="15" x14ac:dyDescent="0.25">
      <c r="A1544" s="1">
        <v>1535</v>
      </c>
      <c r="B1544" s="1" t="s">
        <v>242</v>
      </c>
      <c r="C1544" s="32">
        <v>6276</v>
      </c>
      <c r="D1544" s="1">
        <v>20000</v>
      </c>
      <c r="E1544" s="1"/>
      <c r="F1544" s="1">
        <v>223.06</v>
      </c>
      <c r="G1544" s="1">
        <v>20000</v>
      </c>
      <c r="H1544" s="5">
        <f t="shared" si="42"/>
        <v>0</v>
      </c>
      <c r="I1544" s="6"/>
      <c r="J1544" s="43"/>
      <c r="K1544" s="51"/>
      <c r="L1544" s="86"/>
    </row>
    <row r="1545" spans="1:12" ht="15" x14ac:dyDescent="0.25">
      <c r="A1545" s="1">
        <v>1536</v>
      </c>
      <c r="B1545" s="1" t="s">
        <v>242</v>
      </c>
      <c r="C1545" s="32">
        <v>1121</v>
      </c>
      <c r="D1545" s="1">
        <v>25000</v>
      </c>
      <c r="E1545" s="1"/>
      <c r="F1545" s="1">
        <v>278.52</v>
      </c>
      <c r="G1545" s="1">
        <v>25000</v>
      </c>
      <c r="H1545" s="5">
        <f t="shared" si="42"/>
        <v>0</v>
      </c>
      <c r="I1545" s="6"/>
      <c r="J1545" s="43"/>
      <c r="K1545" s="51"/>
      <c r="L1545" s="86"/>
    </row>
    <row r="1546" spans="1:12" ht="15" x14ac:dyDescent="0.25">
      <c r="A1546" s="1">
        <v>1537</v>
      </c>
      <c r="B1546" s="1" t="s">
        <v>242</v>
      </c>
      <c r="C1546" s="32">
        <v>1613</v>
      </c>
      <c r="D1546" s="1">
        <v>20000</v>
      </c>
      <c r="E1546" s="1"/>
      <c r="F1546" s="1">
        <v>223.06</v>
      </c>
      <c r="G1546" s="1">
        <v>20000</v>
      </c>
      <c r="H1546" s="5">
        <f t="shared" si="42"/>
        <v>0</v>
      </c>
      <c r="I1546" s="6"/>
      <c r="J1546" s="43"/>
      <c r="K1546" s="51"/>
      <c r="L1546" s="86"/>
    </row>
    <row r="1547" spans="1:12" ht="15" x14ac:dyDescent="0.25">
      <c r="A1547" s="1">
        <v>1538</v>
      </c>
      <c r="B1547" s="1" t="s">
        <v>242</v>
      </c>
      <c r="C1547" s="32">
        <v>437</v>
      </c>
      <c r="D1547" s="1">
        <v>25000</v>
      </c>
      <c r="E1547" s="1"/>
      <c r="F1547" s="1">
        <v>278.52</v>
      </c>
      <c r="G1547" s="1">
        <v>25000</v>
      </c>
      <c r="H1547" s="5">
        <f t="shared" si="42"/>
        <v>0</v>
      </c>
      <c r="I1547" s="6"/>
      <c r="J1547" s="43"/>
      <c r="K1547" s="51"/>
      <c r="L1547" s="86"/>
    </row>
    <row r="1548" spans="1:12" ht="15" x14ac:dyDescent="0.25">
      <c r="A1548" s="1">
        <v>1539</v>
      </c>
      <c r="B1548" s="1" t="s">
        <v>242</v>
      </c>
      <c r="C1548" s="32">
        <v>4782</v>
      </c>
      <c r="D1548" s="1">
        <v>25000</v>
      </c>
      <c r="E1548" s="1"/>
      <c r="F1548" s="1">
        <v>278.52</v>
      </c>
      <c r="G1548" s="1">
        <v>25000</v>
      </c>
      <c r="H1548" s="5">
        <f t="shared" si="42"/>
        <v>0</v>
      </c>
      <c r="I1548" s="6"/>
      <c r="J1548" s="43"/>
      <c r="K1548" s="51"/>
      <c r="L1548" s="86"/>
    </row>
    <row r="1549" spans="1:12" ht="15" x14ac:dyDescent="0.25">
      <c r="A1549" s="1">
        <v>1540</v>
      </c>
      <c r="B1549" s="1" t="s">
        <v>242</v>
      </c>
      <c r="C1549" s="32">
        <v>7695</v>
      </c>
      <c r="D1549" s="1">
        <v>25000</v>
      </c>
      <c r="E1549" s="1"/>
      <c r="F1549" s="1">
        <v>278.52</v>
      </c>
      <c r="G1549" s="1">
        <v>25000</v>
      </c>
      <c r="H1549" s="5">
        <f t="shared" si="42"/>
        <v>0</v>
      </c>
      <c r="I1549" s="6"/>
      <c r="J1549" s="43"/>
      <c r="K1549" s="51"/>
      <c r="L1549" s="86">
        <f>1096558-1091537</f>
        <v>5021</v>
      </c>
    </row>
    <row r="1550" spans="1:12" ht="15" x14ac:dyDescent="0.25">
      <c r="A1550" s="1">
        <v>1541</v>
      </c>
      <c r="B1550" s="1" t="s">
        <v>243</v>
      </c>
      <c r="C1550" s="32" t="s">
        <v>66</v>
      </c>
      <c r="D1550" s="1">
        <v>200</v>
      </c>
      <c r="E1550" s="1"/>
      <c r="F1550" s="1">
        <v>2.08</v>
      </c>
      <c r="G1550" s="1">
        <v>200</v>
      </c>
      <c r="H1550" s="5">
        <f t="shared" si="42"/>
        <v>0</v>
      </c>
      <c r="I1550" s="6"/>
      <c r="J1550" s="43"/>
      <c r="K1550" s="51"/>
      <c r="L1550" s="86"/>
    </row>
    <row r="1551" spans="1:12" ht="15" x14ac:dyDescent="0.25">
      <c r="A1551" s="1">
        <v>1542</v>
      </c>
      <c r="B1551" s="1" t="s">
        <v>243</v>
      </c>
      <c r="C1551" s="32">
        <v>3886</v>
      </c>
      <c r="D1551" s="1">
        <v>22000</v>
      </c>
      <c r="E1551" s="1"/>
      <c r="F1551" s="1">
        <v>245</v>
      </c>
      <c r="G1551" s="1">
        <v>22000</v>
      </c>
      <c r="H1551" s="5">
        <f t="shared" si="42"/>
        <v>0</v>
      </c>
      <c r="I1551" s="6"/>
      <c r="J1551" s="43"/>
      <c r="K1551" s="51"/>
      <c r="L1551" s="86"/>
    </row>
    <row r="1552" spans="1:12" ht="15" x14ac:dyDescent="0.25">
      <c r="A1552" s="1">
        <v>1543</v>
      </c>
      <c r="B1552" s="1" t="s">
        <v>243</v>
      </c>
      <c r="C1552" s="32">
        <v>4685</v>
      </c>
      <c r="D1552" s="1">
        <v>30000</v>
      </c>
      <c r="E1552" s="1"/>
      <c r="F1552" s="1">
        <v>334.6</v>
      </c>
      <c r="G1552" s="1">
        <v>30000</v>
      </c>
      <c r="H1552" s="5">
        <f t="shared" si="42"/>
        <v>0</v>
      </c>
      <c r="I1552" s="6"/>
      <c r="J1552" s="43"/>
      <c r="K1552" s="51"/>
      <c r="L1552" s="86"/>
    </row>
    <row r="1553" spans="1:13" ht="15" x14ac:dyDescent="0.25">
      <c r="A1553" s="1">
        <v>1544</v>
      </c>
      <c r="B1553" s="1" t="s">
        <v>243</v>
      </c>
      <c r="C1553" s="32">
        <v>5406</v>
      </c>
      <c r="D1553" s="1">
        <v>20000</v>
      </c>
      <c r="E1553" s="1"/>
      <c r="F1553" s="1">
        <v>223.06</v>
      </c>
      <c r="G1553" s="1">
        <v>20000</v>
      </c>
      <c r="H1553" s="5">
        <f t="shared" si="42"/>
        <v>0</v>
      </c>
      <c r="I1553" s="6"/>
      <c r="J1553" s="43"/>
      <c r="K1553" s="51"/>
      <c r="L1553" s="86"/>
      <c r="M1553">
        <f>200/96</f>
        <v>2.0833333333333335</v>
      </c>
    </row>
    <row r="1554" spans="1:13" ht="15" x14ac:dyDescent="0.25">
      <c r="A1554" s="1">
        <v>1545</v>
      </c>
      <c r="B1554" s="1" t="s">
        <v>243</v>
      </c>
      <c r="C1554" s="32">
        <v>7225</v>
      </c>
      <c r="D1554" s="1">
        <v>22000</v>
      </c>
      <c r="E1554" s="1"/>
      <c r="F1554" s="1">
        <v>245.1</v>
      </c>
      <c r="G1554" s="1">
        <v>22000</v>
      </c>
      <c r="H1554" s="5">
        <f t="shared" si="42"/>
        <v>0</v>
      </c>
      <c r="I1554" s="6"/>
      <c r="J1554" s="43"/>
      <c r="K1554" s="51"/>
      <c r="L1554" s="86"/>
    </row>
    <row r="1555" spans="1:13" ht="15" x14ac:dyDescent="0.25">
      <c r="A1555" s="1">
        <v>1546</v>
      </c>
      <c r="B1555" s="1" t="s">
        <v>243</v>
      </c>
      <c r="C1555" s="32">
        <v>6821</v>
      </c>
      <c r="D1555" s="1">
        <v>32000</v>
      </c>
      <c r="E1555" s="1"/>
      <c r="F1555" s="1">
        <v>342.58</v>
      </c>
      <c r="G1555" s="1">
        <v>32000</v>
      </c>
      <c r="H1555" s="5">
        <f t="shared" si="42"/>
        <v>0</v>
      </c>
      <c r="I1555" s="6"/>
      <c r="J1555" s="43"/>
      <c r="K1555" s="51"/>
      <c r="L1555" s="86">
        <f>1129754-1122758</f>
        <v>6996</v>
      </c>
    </row>
    <row r="1556" spans="1:13" ht="15" x14ac:dyDescent="0.25">
      <c r="A1556" s="1">
        <v>1547</v>
      </c>
      <c r="B1556" s="1" t="s">
        <v>244</v>
      </c>
      <c r="C1556" s="32">
        <v>9998</v>
      </c>
      <c r="D1556" s="1">
        <v>18000</v>
      </c>
      <c r="E1556" s="1"/>
      <c r="F1556" s="1">
        <v>200.53</v>
      </c>
      <c r="G1556" s="1">
        <v>18000</v>
      </c>
      <c r="H1556" s="5">
        <f t="shared" si="42"/>
        <v>0</v>
      </c>
      <c r="I1556" s="6"/>
      <c r="J1556" s="43"/>
      <c r="K1556" s="51"/>
      <c r="L1556" s="86"/>
    </row>
    <row r="1557" spans="1:13" ht="15" x14ac:dyDescent="0.25">
      <c r="A1557" s="1">
        <v>1548</v>
      </c>
      <c r="B1557" s="1" t="s">
        <v>244</v>
      </c>
      <c r="C1557" s="32" t="s">
        <v>63</v>
      </c>
      <c r="D1557" s="1">
        <v>3500</v>
      </c>
      <c r="E1557" s="1"/>
      <c r="F1557" s="1">
        <v>39.01</v>
      </c>
      <c r="G1557" s="1">
        <v>3500</v>
      </c>
      <c r="H1557" s="5">
        <f t="shared" si="42"/>
        <v>0</v>
      </c>
      <c r="I1557" s="6"/>
      <c r="J1557" s="43"/>
      <c r="K1557" s="51"/>
      <c r="L1557" s="86"/>
    </row>
    <row r="1558" spans="1:13" ht="15" x14ac:dyDescent="0.25">
      <c r="A1558" s="1">
        <v>1549</v>
      </c>
      <c r="B1558" s="1" t="s">
        <v>244</v>
      </c>
      <c r="C1558" s="32" t="s">
        <v>30</v>
      </c>
      <c r="D1558" s="1">
        <v>4500</v>
      </c>
      <c r="E1558" s="1"/>
      <c r="F1558" s="1">
        <v>50.13</v>
      </c>
      <c r="G1558" s="1">
        <v>4500</v>
      </c>
      <c r="H1558" s="5">
        <f t="shared" si="42"/>
        <v>0</v>
      </c>
      <c r="I1558" s="6"/>
      <c r="J1558" s="43"/>
      <c r="K1558" s="51"/>
      <c r="L1558" s="86"/>
    </row>
    <row r="1559" spans="1:13" ht="15" x14ac:dyDescent="0.25">
      <c r="A1559" s="1">
        <v>1550</v>
      </c>
      <c r="B1559" s="1" t="s">
        <v>244</v>
      </c>
      <c r="C1559" s="32" t="s">
        <v>66</v>
      </c>
      <c r="D1559" s="1">
        <v>120</v>
      </c>
      <c r="E1559" s="1"/>
      <c r="F1559" s="1">
        <v>1.25</v>
      </c>
      <c r="G1559" s="1">
        <v>120</v>
      </c>
      <c r="H1559" s="5">
        <f t="shared" si="42"/>
        <v>0</v>
      </c>
      <c r="I1559" s="6"/>
      <c r="J1559" s="43"/>
      <c r="K1559" s="51"/>
      <c r="L1559" s="86"/>
      <c r="M1559">
        <f>120/96</f>
        <v>1.25</v>
      </c>
    </row>
    <row r="1560" spans="1:13" ht="15" x14ac:dyDescent="0.25">
      <c r="A1560" s="1">
        <v>1551</v>
      </c>
      <c r="B1560" s="1" t="s">
        <v>244</v>
      </c>
      <c r="C1560" s="32">
        <v>5445</v>
      </c>
      <c r="D1560" s="1">
        <v>32000</v>
      </c>
      <c r="E1560" s="1"/>
      <c r="F1560" s="1">
        <v>356</v>
      </c>
      <c r="G1560" s="1">
        <v>32000</v>
      </c>
      <c r="H1560" s="5">
        <f t="shared" si="42"/>
        <v>0</v>
      </c>
      <c r="I1560" s="6"/>
      <c r="J1560" s="43"/>
      <c r="K1560" s="51"/>
      <c r="L1560" s="86"/>
    </row>
    <row r="1561" spans="1:13" ht="15" x14ac:dyDescent="0.25">
      <c r="A1561" s="1">
        <v>1552</v>
      </c>
      <c r="B1561" s="1" t="s">
        <v>244</v>
      </c>
      <c r="C1561" s="32">
        <v>9960</v>
      </c>
      <c r="D1561" s="1">
        <v>32000</v>
      </c>
      <c r="E1561" s="1"/>
      <c r="F1561" s="1">
        <v>356</v>
      </c>
      <c r="G1561" s="1">
        <v>32000</v>
      </c>
      <c r="H1561" s="5">
        <f t="shared" si="42"/>
        <v>0</v>
      </c>
      <c r="I1561" s="6"/>
      <c r="J1561" s="43"/>
      <c r="K1561" s="51"/>
      <c r="L1561" s="86"/>
    </row>
    <row r="1562" spans="1:13" ht="15" x14ac:dyDescent="0.25">
      <c r="A1562" s="1">
        <v>1553</v>
      </c>
      <c r="B1562" s="1" t="s">
        <v>244</v>
      </c>
      <c r="C1562" s="32">
        <v>8626</v>
      </c>
      <c r="D1562" s="1">
        <v>10000</v>
      </c>
      <c r="E1562" s="1"/>
      <c r="F1562" s="1">
        <v>111.41</v>
      </c>
      <c r="G1562" s="1">
        <v>10000</v>
      </c>
      <c r="H1562" s="5">
        <f t="shared" si="42"/>
        <v>0</v>
      </c>
      <c r="I1562" s="6"/>
      <c r="J1562" s="43"/>
      <c r="K1562" s="51"/>
      <c r="L1562" s="86"/>
    </row>
    <row r="1563" spans="1:13" ht="15" x14ac:dyDescent="0.25">
      <c r="A1563" s="1">
        <v>1554</v>
      </c>
      <c r="B1563" s="1" t="s">
        <v>244</v>
      </c>
      <c r="C1563" s="32">
        <v>7615</v>
      </c>
      <c r="D1563" s="1">
        <v>25000</v>
      </c>
      <c r="E1563" s="1"/>
      <c r="F1563" s="1">
        <v>278.52</v>
      </c>
      <c r="G1563" s="1">
        <v>25000</v>
      </c>
      <c r="H1563" s="5">
        <f t="shared" si="42"/>
        <v>0</v>
      </c>
      <c r="I1563" s="6"/>
      <c r="J1563" s="43"/>
      <c r="K1563" s="51"/>
      <c r="L1563" s="86"/>
    </row>
    <row r="1564" spans="1:13" ht="15" x14ac:dyDescent="0.25">
      <c r="A1564" s="1">
        <v>1555</v>
      </c>
      <c r="B1564" s="1" t="s">
        <v>244</v>
      </c>
      <c r="C1564" s="32">
        <v>4730</v>
      </c>
      <c r="D1564" s="1">
        <v>25000</v>
      </c>
      <c r="E1564" s="1"/>
      <c r="F1564" s="1">
        <v>278.52</v>
      </c>
      <c r="G1564" s="1">
        <v>25000</v>
      </c>
      <c r="H1564" s="5">
        <f t="shared" si="42"/>
        <v>0</v>
      </c>
      <c r="I1564" s="6"/>
      <c r="J1564" s="43"/>
      <c r="K1564" s="51"/>
      <c r="L1564" s="86">
        <f>1126872-1122878</f>
        <v>3994</v>
      </c>
    </row>
    <row r="1565" spans="1:13" ht="15" x14ac:dyDescent="0.25">
      <c r="A1565" s="1">
        <v>1556</v>
      </c>
      <c r="B1565" s="1" t="s">
        <v>245</v>
      </c>
      <c r="C1565" s="32">
        <v>299</v>
      </c>
      <c r="D1565" s="1">
        <v>20000</v>
      </c>
      <c r="E1565" s="1"/>
      <c r="F1565" s="1">
        <v>223.06</v>
      </c>
      <c r="G1565" s="1">
        <v>20000</v>
      </c>
      <c r="H1565" s="5">
        <f t="shared" si="42"/>
        <v>0</v>
      </c>
      <c r="I1565" s="6"/>
      <c r="J1565" s="43"/>
      <c r="K1565" s="51"/>
      <c r="L1565" s="86"/>
    </row>
    <row r="1566" spans="1:13" ht="15" x14ac:dyDescent="0.25">
      <c r="A1566" s="1">
        <v>1557</v>
      </c>
      <c r="B1566" s="1" t="s">
        <v>245</v>
      </c>
      <c r="C1566" s="32" t="s">
        <v>30</v>
      </c>
      <c r="D1566" s="1">
        <v>2000</v>
      </c>
      <c r="E1566" s="1"/>
      <c r="F1566" s="1">
        <v>22.58</v>
      </c>
      <c r="G1566" s="1">
        <v>2000</v>
      </c>
      <c r="H1566" s="5">
        <f t="shared" si="42"/>
        <v>0</v>
      </c>
      <c r="I1566" s="6"/>
      <c r="J1566" s="43"/>
      <c r="K1566" s="51"/>
      <c r="L1566" s="86"/>
    </row>
    <row r="1567" spans="1:13" ht="15" x14ac:dyDescent="0.25">
      <c r="A1567" s="1">
        <v>1558</v>
      </c>
      <c r="B1567" s="1" t="s">
        <v>245</v>
      </c>
      <c r="C1567" s="32">
        <v>9134</v>
      </c>
      <c r="D1567" s="1">
        <v>20000</v>
      </c>
      <c r="E1567" s="1"/>
      <c r="F1567" s="1">
        <v>223.06</v>
      </c>
      <c r="G1567" s="1">
        <v>20000</v>
      </c>
      <c r="H1567" s="5">
        <f t="shared" si="42"/>
        <v>0</v>
      </c>
      <c r="I1567" s="6"/>
      <c r="J1567" s="43"/>
      <c r="K1567" s="51"/>
      <c r="L1567" s="86"/>
    </row>
    <row r="1568" spans="1:13" ht="15" x14ac:dyDescent="0.25">
      <c r="A1568" s="1">
        <v>1559</v>
      </c>
      <c r="B1568" s="1" t="s">
        <v>245</v>
      </c>
      <c r="C1568" s="32" t="s">
        <v>66</v>
      </c>
      <c r="D1568" s="1">
        <v>200</v>
      </c>
      <c r="E1568" s="1"/>
      <c r="F1568" s="1">
        <v>2.08</v>
      </c>
      <c r="G1568" s="1">
        <v>200</v>
      </c>
      <c r="H1568" s="5">
        <f t="shared" si="42"/>
        <v>0</v>
      </c>
      <c r="I1568" s="6"/>
      <c r="J1568" s="43"/>
      <c r="K1568" s="51"/>
      <c r="L1568" s="86"/>
      <c r="M1568">
        <f>200/96</f>
        <v>2.0833333333333335</v>
      </c>
    </row>
    <row r="1569" spans="1:12" ht="15" x14ac:dyDescent="0.25">
      <c r="A1569" s="1">
        <v>1560</v>
      </c>
      <c r="B1569" s="1" t="s">
        <v>245</v>
      </c>
      <c r="C1569" s="32">
        <v>7109</v>
      </c>
      <c r="D1569" s="1">
        <v>4500</v>
      </c>
      <c r="E1569" s="1"/>
      <c r="F1569" s="1">
        <v>50.13</v>
      </c>
      <c r="G1569" s="1">
        <v>4500</v>
      </c>
      <c r="H1569" s="5">
        <f t="shared" si="42"/>
        <v>0</v>
      </c>
      <c r="I1569" s="6"/>
      <c r="J1569" s="43"/>
      <c r="K1569" s="51"/>
      <c r="L1569" s="86"/>
    </row>
    <row r="1570" spans="1:12" ht="15" x14ac:dyDescent="0.25">
      <c r="A1570" s="1">
        <v>1561</v>
      </c>
      <c r="B1570" s="1" t="s">
        <v>245</v>
      </c>
      <c r="C1570" s="32">
        <v>1631</v>
      </c>
      <c r="D1570" s="1">
        <v>30000</v>
      </c>
      <c r="E1570" s="1"/>
      <c r="F1570" s="1">
        <v>334.22</v>
      </c>
      <c r="G1570" s="1">
        <v>30000</v>
      </c>
      <c r="H1570" s="5">
        <f t="shared" si="42"/>
        <v>0</v>
      </c>
      <c r="I1570" s="6"/>
      <c r="J1570" s="43"/>
      <c r="K1570" s="51"/>
      <c r="L1570" s="86"/>
    </row>
    <row r="1571" spans="1:12" ht="15" x14ac:dyDescent="0.25">
      <c r="A1571" s="1">
        <v>1562</v>
      </c>
      <c r="B1571" s="1" t="s">
        <v>245</v>
      </c>
      <c r="C1571" s="32">
        <v>5342</v>
      </c>
      <c r="D1571" s="1">
        <v>20000</v>
      </c>
      <c r="E1571" s="1"/>
      <c r="F1571" s="1">
        <v>223.06</v>
      </c>
      <c r="G1571" s="1">
        <v>20000</v>
      </c>
      <c r="H1571" s="5">
        <f t="shared" si="42"/>
        <v>0</v>
      </c>
      <c r="I1571" s="6"/>
      <c r="J1571" s="43"/>
      <c r="K1571" s="51"/>
      <c r="L1571" s="86"/>
    </row>
    <row r="1572" spans="1:12" ht="15" x14ac:dyDescent="0.25">
      <c r="A1572" s="1">
        <v>1563</v>
      </c>
      <c r="B1572" s="1" t="s">
        <v>245</v>
      </c>
      <c r="C1572" s="32">
        <v>1905</v>
      </c>
      <c r="D1572" s="1">
        <v>26000</v>
      </c>
      <c r="E1572" s="1"/>
      <c r="F1572" s="1">
        <v>254</v>
      </c>
      <c r="G1572" s="1">
        <v>26000</v>
      </c>
      <c r="H1572" s="5">
        <f t="shared" si="42"/>
        <v>0</v>
      </c>
      <c r="I1572" s="6"/>
      <c r="J1572" s="43"/>
      <c r="K1572" s="51"/>
      <c r="L1572" s="86"/>
    </row>
    <row r="1573" spans="1:12" ht="15" x14ac:dyDescent="0.25">
      <c r="A1573" s="1">
        <v>1564</v>
      </c>
      <c r="B1573" s="1" t="s">
        <v>245</v>
      </c>
      <c r="C1573" s="32">
        <v>1278</v>
      </c>
      <c r="D1573" s="1">
        <v>18000</v>
      </c>
      <c r="E1573" s="1"/>
      <c r="F1573" s="1">
        <v>200.53</v>
      </c>
      <c r="G1573" s="1">
        <v>18000</v>
      </c>
      <c r="H1573" s="5">
        <f t="shared" si="42"/>
        <v>0</v>
      </c>
      <c r="I1573" s="6"/>
      <c r="J1573" s="43"/>
      <c r="K1573" s="51"/>
      <c r="L1573" s="86"/>
    </row>
    <row r="1574" spans="1:12" ht="15" x14ac:dyDescent="0.25">
      <c r="A1574" s="1">
        <v>1565</v>
      </c>
      <c r="B1574" s="1" t="s">
        <v>245</v>
      </c>
      <c r="C1574" s="32">
        <v>5835</v>
      </c>
      <c r="D1574" s="1">
        <v>26000</v>
      </c>
      <c r="E1574" s="1"/>
      <c r="F1574" s="1">
        <v>261.25</v>
      </c>
      <c r="G1574" s="1">
        <v>26000</v>
      </c>
      <c r="H1574" s="5">
        <f t="shared" si="42"/>
        <v>0</v>
      </c>
      <c r="I1574" s="6"/>
      <c r="J1574" s="43"/>
      <c r="K1574" s="51"/>
      <c r="L1574" s="86"/>
    </row>
    <row r="1575" spans="1:12" ht="15" x14ac:dyDescent="0.25">
      <c r="A1575" s="1">
        <v>1566</v>
      </c>
      <c r="B1575" s="1" t="s">
        <v>245</v>
      </c>
      <c r="C1575" s="32">
        <v>7874</v>
      </c>
      <c r="D1575" s="1">
        <v>20000</v>
      </c>
      <c r="E1575" s="1"/>
      <c r="F1575" s="1">
        <v>223.06</v>
      </c>
      <c r="G1575" s="1">
        <v>20000</v>
      </c>
      <c r="H1575" s="5">
        <f t="shared" si="42"/>
        <v>0</v>
      </c>
      <c r="I1575" s="6"/>
      <c r="J1575" s="43"/>
      <c r="K1575" s="51"/>
      <c r="L1575" s="86">
        <f>1110769-1109578</f>
        <v>1191</v>
      </c>
    </row>
    <row r="1576" spans="1:12" ht="15" x14ac:dyDescent="0.25">
      <c r="A1576" s="1">
        <v>1567</v>
      </c>
      <c r="B1576" s="1" t="s">
        <v>248</v>
      </c>
      <c r="C1576" s="32" t="s">
        <v>66</v>
      </c>
      <c r="D1576" s="1">
        <v>100</v>
      </c>
      <c r="E1576" s="1"/>
      <c r="F1576" s="1">
        <v>94.06</v>
      </c>
      <c r="G1576" s="1">
        <v>100</v>
      </c>
      <c r="H1576" s="5">
        <f t="shared" si="42"/>
        <v>0</v>
      </c>
      <c r="I1576" s="6"/>
      <c r="J1576" s="43"/>
      <c r="K1576" s="51"/>
      <c r="L1576" s="86"/>
    </row>
    <row r="1577" spans="1:12" ht="15" x14ac:dyDescent="0.25">
      <c r="A1577" s="1">
        <v>1568</v>
      </c>
      <c r="B1577" s="1" t="s">
        <v>248</v>
      </c>
      <c r="C1577" s="32" t="s">
        <v>30</v>
      </c>
      <c r="D1577" s="1">
        <v>4500</v>
      </c>
      <c r="E1577" s="1"/>
      <c r="F1577" s="1">
        <v>50.13</v>
      </c>
      <c r="G1577" s="1">
        <v>4500</v>
      </c>
      <c r="H1577" s="5">
        <f t="shared" si="42"/>
        <v>0</v>
      </c>
      <c r="I1577" s="6"/>
      <c r="J1577" s="43"/>
      <c r="K1577" s="51"/>
      <c r="L1577" s="86"/>
    </row>
    <row r="1578" spans="1:12" ht="15" x14ac:dyDescent="0.25">
      <c r="A1578" s="1">
        <v>1569</v>
      </c>
      <c r="B1578" s="1" t="s">
        <v>248</v>
      </c>
      <c r="C1578" s="32" t="s">
        <v>63</v>
      </c>
      <c r="D1578" s="1">
        <v>3500</v>
      </c>
      <c r="E1578" s="1"/>
      <c r="F1578" s="1">
        <v>38.99</v>
      </c>
      <c r="G1578" s="1">
        <v>3500</v>
      </c>
      <c r="H1578" s="5">
        <f t="shared" si="42"/>
        <v>0</v>
      </c>
      <c r="I1578" s="6"/>
      <c r="J1578" s="43"/>
      <c r="K1578" s="51"/>
      <c r="L1578" s="86"/>
    </row>
    <row r="1579" spans="1:12" ht="15" x14ac:dyDescent="0.25">
      <c r="A1579" s="1">
        <v>1570</v>
      </c>
      <c r="B1579" s="1" t="s">
        <v>248</v>
      </c>
      <c r="C1579" s="32" t="s">
        <v>66</v>
      </c>
      <c r="D1579" s="1">
        <v>200</v>
      </c>
      <c r="E1579" s="1"/>
      <c r="F1579" s="1">
        <v>2.08</v>
      </c>
      <c r="G1579" s="1">
        <v>200</v>
      </c>
      <c r="H1579" s="5">
        <f t="shared" si="42"/>
        <v>0</v>
      </c>
      <c r="I1579" s="6"/>
      <c r="J1579" s="43"/>
      <c r="K1579" s="51"/>
      <c r="L1579" s="86"/>
    </row>
    <row r="1580" spans="1:12" ht="15" x14ac:dyDescent="0.25">
      <c r="A1580" s="1">
        <v>1571</v>
      </c>
      <c r="B1580" s="1" t="s">
        <v>248</v>
      </c>
      <c r="C1580" s="32">
        <v>7773</v>
      </c>
      <c r="D1580" s="1">
        <v>22000</v>
      </c>
      <c r="E1580" s="1"/>
      <c r="F1580" s="1">
        <v>245.7</v>
      </c>
      <c r="G1580" s="1">
        <v>22000</v>
      </c>
      <c r="H1580" s="5">
        <f t="shared" si="42"/>
        <v>0</v>
      </c>
      <c r="I1580" s="6"/>
      <c r="J1580" s="43"/>
      <c r="K1580" s="51"/>
      <c r="L1580" s="86"/>
    </row>
    <row r="1581" spans="1:12" ht="15" x14ac:dyDescent="0.25">
      <c r="A1581" s="1">
        <v>1572</v>
      </c>
      <c r="B1581" s="1" t="s">
        <v>248</v>
      </c>
      <c r="C1581" s="32">
        <v>8373</v>
      </c>
      <c r="D1581" s="1">
        <v>20000</v>
      </c>
      <c r="E1581" s="1"/>
      <c r="F1581" s="1">
        <v>222.82</v>
      </c>
      <c r="G1581" s="1">
        <v>20000</v>
      </c>
      <c r="H1581" s="5">
        <f t="shared" si="42"/>
        <v>0</v>
      </c>
      <c r="I1581" s="6"/>
      <c r="J1581" s="43"/>
      <c r="K1581" s="51"/>
      <c r="L1581" s="86"/>
    </row>
    <row r="1582" spans="1:12" ht="15" x14ac:dyDescent="0.25">
      <c r="A1582" s="1">
        <v>1573</v>
      </c>
      <c r="B1582" s="1" t="s">
        <v>248</v>
      </c>
      <c r="C1582" s="32">
        <v>4928</v>
      </c>
      <c r="D1582" s="1">
        <v>20000</v>
      </c>
      <c r="E1582" s="1"/>
      <c r="F1582" s="1">
        <v>222.82</v>
      </c>
      <c r="G1582" s="1">
        <v>20000</v>
      </c>
      <c r="H1582" s="5">
        <f t="shared" ref="H1582:H1647" si="43">D1582-G1582</f>
        <v>0</v>
      </c>
      <c r="I1582" s="6"/>
      <c r="J1582" s="43"/>
      <c r="K1582" s="51"/>
      <c r="L1582" s="86"/>
    </row>
    <row r="1583" spans="1:12" ht="15" x14ac:dyDescent="0.25">
      <c r="A1583" s="1">
        <v>1574</v>
      </c>
      <c r="B1583" s="1" t="s">
        <v>248</v>
      </c>
      <c r="C1583" s="32">
        <v>1910</v>
      </c>
      <c r="D1583" s="1">
        <v>25000</v>
      </c>
      <c r="E1583" s="1"/>
      <c r="F1583" s="1">
        <v>286.19</v>
      </c>
      <c r="G1583" s="1">
        <v>25000</v>
      </c>
      <c r="H1583" s="5">
        <f t="shared" si="43"/>
        <v>0</v>
      </c>
      <c r="I1583" s="6"/>
      <c r="J1583" s="43"/>
      <c r="K1583" s="51"/>
      <c r="L1583" s="86"/>
    </row>
    <row r="1584" spans="1:12" ht="15" x14ac:dyDescent="0.25">
      <c r="A1584" s="1">
        <v>1575</v>
      </c>
      <c r="B1584" s="1" t="s">
        <v>248</v>
      </c>
      <c r="C1584" s="32">
        <v>633</v>
      </c>
      <c r="D1584" s="1">
        <v>10000</v>
      </c>
      <c r="E1584" s="1"/>
      <c r="F1584" s="1">
        <v>155.41999999999999</v>
      </c>
      <c r="G1584" s="1">
        <v>10000</v>
      </c>
      <c r="H1584" s="5">
        <f t="shared" si="43"/>
        <v>0</v>
      </c>
      <c r="I1584" s="6"/>
      <c r="J1584" s="43"/>
      <c r="K1584" s="51"/>
      <c r="L1584" s="86">
        <f>964878-962885</f>
        <v>1993</v>
      </c>
    </row>
    <row r="1585" spans="1:12" ht="15" x14ac:dyDescent="0.25">
      <c r="A1585" s="1">
        <v>1576</v>
      </c>
      <c r="B1585" s="1" t="s">
        <v>249</v>
      </c>
      <c r="C1585" s="32">
        <v>9962</v>
      </c>
      <c r="D1585" s="1">
        <v>24000</v>
      </c>
      <c r="E1585" s="1"/>
      <c r="F1585" s="1">
        <v>267.27999999999997</v>
      </c>
      <c r="G1585" s="1">
        <v>24000</v>
      </c>
      <c r="H1585" s="5">
        <f t="shared" si="43"/>
        <v>0</v>
      </c>
      <c r="I1585" s="6"/>
      <c r="J1585" s="43"/>
      <c r="K1585" s="51"/>
      <c r="L1585" s="86"/>
    </row>
    <row r="1586" spans="1:12" ht="15" x14ac:dyDescent="0.25">
      <c r="A1586" s="1">
        <v>1577</v>
      </c>
      <c r="B1586" s="1" t="s">
        <v>249</v>
      </c>
      <c r="C1586" s="32">
        <v>9577</v>
      </c>
      <c r="D1586" s="1">
        <v>19000</v>
      </c>
      <c r="E1586" s="1"/>
      <c r="F1586" s="1">
        <v>211.68</v>
      </c>
      <c r="G1586" s="1">
        <v>19000</v>
      </c>
      <c r="H1586" s="5">
        <f t="shared" si="43"/>
        <v>0</v>
      </c>
      <c r="I1586" s="6"/>
      <c r="J1586" s="43"/>
      <c r="K1586" s="51"/>
      <c r="L1586" s="86"/>
    </row>
    <row r="1587" spans="1:12" ht="15" x14ac:dyDescent="0.25">
      <c r="A1587" s="1">
        <v>1578</v>
      </c>
      <c r="B1587" s="1" t="s">
        <v>249</v>
      </c>
      <c r="C1587" s="32">
        <v>5079</v>
      </c>
      <c r="D1587" s="1">
        <v>30000</v>
      </c>
      <c r="E1587" s="1"/>
      <c r="F1587" s="1">
        <v>334.22</v>
      </c>
      <c r="G1587" s="1">
        <v>30000</v>
      </c>
      <c r="H1587" s="5">
        <f t="shared" si="43"/>
        <v>0</v>
      </c>
      <c r="I1587" s="6"/>
      <c r="J1587" s="43"/>
      <c r="K1587" s="51"/>
      <c r="L1587" s="86"/>
    </row>
    <row r="1588" spans="1:12" ht="15" x14ac:dyDescent="0.25">
      <c r="A1588" s="1">
        <v>1579</v>
      </c>
      <c r="B1588" s="1" t="s">
        <v>249</v>
      </c>
      <c r="C1588" s="32">
        <v>388</v>
      </c>
      <c r="D1588" s="1">
        <v>15000</v>
      </c>
      <c r="E1588" s="1"/>
      <c r="F1588" s="1">
        <v>262.37</v>
      </c>
      <c r="G1588" s="1">
        <v>15000</v>
      </c>
      <c r="H1588" s="5">
        <f t="shared" si="43"/>
        <v>0</v>
      </c>
      <c r="I1588" s="6"/>
      <c r="J1588" s="43"/>
      <c r="K1588" s="51"/>
      <c r="L1588" s="86"/>
    </row>
    <row r="1589" spans="1:12" ht="15" x14ac:dyDescent="0.25">
      <c r="A1589" s="1">
        <v>1580</v>
      </c>
      <c r="B1589" s="1" t="s">
        <v>250</v>
      </c>
      <c r="C1589" s="32" t="s">
        <v>63</v>
      </c>
      <c r="D1589" s="1">
        <v>3500</v>
      </c>
      <c r="E1589" s="1"/>
      <c r="F1589" s="1">
        <v>38.99</v>
      </c>
      <c r="G1589" s="1">
        <v>3500</v>
      </c>
      <c r="H1589" s="5">
        <f t="shared" si="43"/>
        <v>0</v>
      </c>
      <c r="I1589" s="6"/>
      <c r="J1589" s="43"/>
      <c r="K1589" s="51"/>
      <c r="L1589" s="86"/>
    </row>
    <row r="1590" spans="1:12" ht="15" x14ac:dyDescent="0.25">
      <c r="A1590" s="1">
        <v>1581</v>
      </c>
      <c r="B1590" s="1" t="s">
        <v>250</v>
      </c>
      <c r="C1590" s="32" t="s">
        <v>66</v>
      </c>
      <c r="D1590" s="1">
        <v>200</v>
      </c>
      <c r="E1590" s="1"/>
      <c r="F1590" s="1">
        <v>2.08</v>
      </c>
      <c r="G1590" s="1">
        <v>200</v>
      </c>
      <c r="H1590" s="5">
        <f t="shared" si="43"/>
        <v>0</v>
      </c>
      <c r="I1590" s="6"/>
      <c r="J1590" s="43"/>
      <c r="K1590" s="51"/>
      <c r="L1590" s="86"/>
    </row>
    <row r="1591" spans="1:12" ht="15" x14ac:dyDescent="0.25">
      <c r="A1591" s="1">
        <v>1582</v>
      </c>
      <c r="B1591" s="1" t="s">
        <v>250</v>
      </c>
      <c r="C1591" s="32">
        <v>7972</v>
      </c>
      <c r="D1591" s="1">
        <v>20000</v>
      </c>
      <c r="E1591" s="1"/>
      <c r="F1591" s="1">
        <v>309.72000000000003</v>
      </c>
      <c r="G1591" s="1">
        <v>20000</v>
      </c>
      <c r="H1591" s="5">
        <f t="shared" si="43"/>
        <v>0</v>
      </c>
      <c r="I1591" s="6"/>
      <c r="J1591" s="43"/>
      <c r="K1591" s="51"/>
      <c r="L1591" s="86"/>
    </row>
    <row r="1592" spans="1:12" ht="15" x14ac:dyDescent="0.25">
      <c r="A1592" s="1">
        <v>1583</v>
      </c>
      <c r="B1592" s="1" t="s">
        <v>250</v>
      </c>
      <c r="C1592" s="32">
        <v>4692</v>
      </c>
      <c r="D1592" s="1">
        <v>29000</v>
      </c>
      <c r="E1592" s="1"/>
      <c r="F1592" s="1">
        <v>306.38</v>
      </c>
      <c r="G1592" s="1">
        <v>29000</v>
      </c>
      <c r="H1592" s="5">
        <f t="shared" si="43"/>
        <v>0</v>
      </c>
      <c r="I1592" s="6"/>
      <c r="J1592" s="43"/>
      <c r="K1592" s="51"/>
      <c r="L1592" s="86"/>
    </row>
    <row r="1593" spans="1:12" ht="15" x14ac:dyDescent="0.25">
      <c r="A1593" s="1">
        <v>1584</v>
      </c>
      <c r="B1593" s="1" t="s">
        <v>250</v>
      </c>
      <c r="C1593" s="32">
        <v>3992</v>
      </c>
      <c r="D1593" s="1">
        <v>29000</v>
      </c>
      <c r="E1593" s="1"/>
      <c r="F1593" s="1">
        <v>292.44</v>
      </c>
      <c r="G1593" s="1">
        <v>29000</v>
      </c>
      <c r="H1593" s="5">
        <f t="shared" si="43"/>
        <v>0</v>
      </c>
      <c r="I1593" s="6"/>
      <c r="J1593" s="43"/>
      <c r="K1593" s="51"/>
      <c r="L1593" s="86"/>
    </row>
    <row r="1594" spans="1:12" ht="15" x14ac:dyDescent="0.25">
      <c r="A1594" s="1">
        <v>1585</v>
      </c>
      <c r="B1594" s="1" t="s">
        <v>250</v>
      </c>
      <c r="C1594" s="32">
        <v>3598</v>
      </c>
      <c r="D1594" s="1">
        <v>20000</v>
      </c>
      <c r="E1594" s="1"/>
      <c r="F1594" s="1">
        <v>222.82</v>
      </c>
      <c r="G1594" s="1">
        <v>20000</v>
      </c>
      <c r="H1594" s="5">
        <f t="shared" si="43"/>
        <v>0</v>
      </c>
      <c r="I1594" s="6"/>
      <c r="J1594" s="43"/>
      <c r="K1594" s="51"/>
      <c r="L1594" s="86">
        <f>1007230-1004578</f>
        <v>2652</v>
      </c>
    </row>
    <row r="1595" spans="1:12" ht="15" x14ac:dyDescent="0.25">
      <c r="A1595" s="1">
        <v>1586</v>
      </c>
      <c r="B1595" s="1" t="s">
        <v>251</v>
      </c>
      <c r="C1595" s="32">
        <v>2148</v>
      </c>
      <c r="D1595" s="1">
        <v>20000</v>
      </c>
      <c r="E1595" s="1"/>
      <c r="F1595" s="1">
        <v>222.82</v>
      </c>
      <c r="G1595" s="1">
        <v>20000</v>
      </c>
      <c r="H1595" s="5">
        <f t="shared" si="43"/>
        <v>0</v>
      </c>
      <c r="I1595" s="6"/>
      <c r="J1595" s="43"/>
      <c r="K1595" s="51"/>
      <c r="L1595" s="86"/>
    </row>
    <row r="1596" spans="1:12" ht="15" x14ac:dyDescent="0.25">
      <c r="A1596" s="1">
        <v>1587</v>
      </c>
      <c r="B1596" s="1" t="s">
        <v>251</v>
      </c>
      <c r="C1596" s="32" t="s">
        <v>30</v>
      </c>
      <c r="D1596" s="1">
        <v>4500</v>
      </c>
      <c r="E1596" s="1"/>
      <c r="F1596" s="1">
        <v>50.13</v>
      </c>
      <c r="G1596" s="1">
        <v>4500</v>
      </c>
      <c r="H1596" s="5">
        <f t="shared" si="43"/>
        <v>0</v>
      </c>
      <c r="I1596" s="6"/>
      <c r="J1596" s="43"/>
      <c r="K1596" s="51"/>
      <c r="L1596" s="86"/>
    </row>
    <row r="1597" spans="1:12" ht="15" x14ac:dyDescent="0.25">
      <c r="A1597" s="1">
        <v>1588</v>
      </c>
      <c r="B1597" s="1" t="s">
        <v>251</v>
      </c>
      <c r="C1597" s="32">
        <v>9998</v>
      </c>
      <c r="D1597" s="1">
        <v>17000</v>
      </c>
      <c r="E1597" s="1"/>
      <c r="F1597" s="1">
        <v>189.39</v>
      </c>
      <c r="G1597" s="1">
        <v>17000</v>
      </c>
      <c r="H1597" s="5">
        <f t="shared" si="43"/>
        <v>0</v>
      </c>
      <c r="I1597" s="6"/>
      <c r="J1597" s="43"/>
      <c r="K1597" s="51"/>
      <c r="L1597" s="86"/>
    </row>
    <row r="1598" spans="1:12" ht="15" x14ac:dyDescent="0.25">
      <c r="A1598" s="1">
        <v>1589</v>
      </c>
      <c r="B1598" s="1" t="s">
        <v>251</v>
      </c>
      <c r="C1598" s="32">
        <v>8585</v>
      </c>
      <c r="D1598" s="1">
        <v>25000</v>
      </c>
      <c r="E1598" s="1"/>
      <c r="F1598" s="1">
        <v>278.52</v>
      </c>
      <c r="G1598" s="1">
        <v>25000</v>
      </c>
      <c r="H1598" s="5">
        <f t="shared" si="43"/>
        <v>0</v>
      </c>
      <c r="I1598" s="6"/>
      <c r="J1598" s="43"/>
      <c r="K1598" s="51"/>
      <c r="L1598" s="86"/>
    </row>
    <row r="1599" spans="1:12" ht="15" x14ac:dyDescent="0.25">
      <c r="A1599" s="1">
        <v>1590</v>
      </c>
      <c r="B1599" s="1" t="s">
        <v>251</v>
      </c>
      <c r="C1599" s="32">
        <v>6695</v>
      </c>
      <c r="D1599" s="1">
        <v>25000</v>
      </c>
      <c r="E1599" s="1"/>
      <c r="F1599" s="1">
        <v>278.52</v>
      </c>
      <c r="G1599" s="1">
        <v>25000</v>
      </c>
      <c r="H1599" s="5">
        <f t="shared" si="43"/>
        <v>0</v>
      </c>
      <c r="I1599" s="6"/>
      <c r="J1599" s="43"/>
      <c r="K1599" s="51"/>
      <c r="L1599" s="86"/>
    </row>
    <row r="1600" spans="1:12" ht="15" x14ac:dyDescent="0.25">
      <c r="A1600" s="1">
        <v>1591</v>
      </c>
      <c r="B1600" s="1" t="s">
        <v>251</v>
      </c>
      <c r="C1600" s="32">
        <v>4928</v>
      </c>
      <c r="D1600" s="1">
        <v>25000</v>
      </c>
      <c r="E1600" s="1"/>
      <c r="F1600" s="1">
        <v>278.52</v>
      </c>
      <c r="G1600" s="1">
        <v>25000</v>
      </c>
      <c r="H1600" s="5">
        <f t="shared" si="43"/>
        <v>0</v>
      </c>
      <c r="I1600" s="6"/>
      <c r="J1600" s="43"/>
      <c r="K1600" s="51"/>
      <c r="L1600" s="86"/>
    </row>
    <row r="1601" spans="1:13" ht="15" x14ac:dyDescent="0.25">
      <c r="A1601" s="1">
        <v>1592</v>
      </c>
      <c r="B1601" s="1" t="s">
        <v>251</v>
      </c>
      <c r="C1601" s="32">
        <v>2409</v>
      </c>
      <c r="D1601" s="1">
        <v>18000</v>
      </c>
      <c r="E1601" s="1"/>
      <c r="F1601" s="1">
        <v>200.53</v>
      </c>
      <c r="G1601" s="1">
        <v>18000</v>
      </c>
      <c r="H1601" s="5">
        <f t="shared" si="43"/>
        <v>0</v>
      </c>
      <c r="I1601" s="6"/>
      <c r="J1601" s="43"/>
      <c r="K1601" s="51"/>
      <c r="L1601" s="86"/>
    </row>
    <row r="1602" spans="1:13" ht="15" x14ac:dyDescent="0.25">
      <c r="A1602" s="1">
        <v>1593</v>
      </c>
      <c r="B1602" s="1" t="s">
        <v>252</v>
      </c>
      <c r="C1602" s="32">
        <v>1161</v>
      </c>
      <c r="D1602" s="1">
        <v>20000</v>
      </c>
      <c r="E1602" s="1"/>
      <c r="F1602" s="1">
        <v>222.82</v>
      </c>
      <c r="G1602" s="1">
        <v>20000</v>
      </c>
      <c r="H1602" s="5">
        <f t="shared" si="43"/>
        <v>0</v>
      </c>
      <c r="I1602" s="6"/>
      <c r="J1602" s="43"/>
      <c r="K1602" s="51"/>
      <c r="L1602" s="86"/>
    </row>
    <row r="1603" spans="1:13" ht="15" x14ac:dyDescent="0.25">
      <c r="A1603" s="1">
        <v>1594</v>
      </c>
      <c r="B1603" s="1" t="s">
        <v>252</v>
      </c>
      <c r="C1603" s="32" t="s">
        <v>63</v>
      </c>
      <c r="D1603" s="1">
        <v>3500</v>
      </c>
      <c r="E1603" s="1"/>
      <c r="F1603" s="1">
        <v>38.99</v>
      </c>
      <c r="G1603" s="1">
        <v>3500</v>
      </c>
      <c r="H1603" s="5">
        <f t="shared" si="43"/>
        <v>0</v>
      </c>
      <c r="I1603" s="6"/>
      <c r="J1603" s="43"/>
      <c r="K1603" s="51"/>
      <c r="L1603" s="86"/>
    </row>
    <row r="1604" spans="1:13" ht="15" x14ac:dyDescent="0.25">
      <c r="A1604" s="1">
        <v>1595</v>
      </c>
      <c r="B1604" s="1" t="s">
        <v>252</v>
      </c>
      <c r="C1604" s="32">
        <v>1726</v>
      </c>
      <c r="D1604" s="1">
        <v>10000</v>
      </c>
      <c r="E1604" s="1"/>
      <c r="F1604" s="1">
        <v>102.83</v>
      </c>
      <c r="G1604" s="1">
        <v>10000</v>
      </c>
      <c r="H1604" s="5">
        <f t="shared" si="43"/>
        <v>0</v>
      </c>
      <c r="I1604" s="6"/>
      <c r="J1604" s="43"/>
      <c r="K1604" s="51"/>
      <c r="L1604" s="86"/>
    </row>
    <row r="1605" spans="1:13" ht="15" x14ac:dyDescent="0.25">
      <c r="A1605" s="1">
        <v>1596</v>
      </c>
      <c r="B1605" s="1" t="s">
        <v>252</v>
      </c>
      <c r="C1605" s="32">
        <v>2481</v>
      </c>
      <c r="D1605" s="1">
        <v>10000</v>
      </c>
      <c r="E1605" s="1"/>
      <c r="F1605" s="1">
        <v>102.83</v>
      </c>
      <c r="G1605" s="1">
        <v>10000</v>
      </c>
      <c r="H1605" s="5">
        <f t="shared" si="43"/>
        <v>0</v>
      </c>
      <c r="I1605" s="6"/>
      <c r="J1605" s="43"/>
      <c r="K1605" s="51"/>
      <c r="L1605" s="86"/>
    </row>
    <row r="1606" spans="1:13" ht="15" x14ac:dyDescent="0.25">
      <c r="A1606" s="1">
        <v>1597</v>
      </c>
      <c r="B1606" s="1" t="s">
        <v>253</v>
      </c>
      <c r="C1606" s="32">
        <v>4028</v>
      </c>
      <c r="D1606" s="1">
        <v>20000</v>
      </c>
      <c r="E1606" s="1"/>
      <c r="F1606" s="1">
        <v>222.82</v>
      </c>
      <c r="G1606" s="1">
        <v>20000</v>
      </c>
      <c r="H1606" s="5">
        <f t="shared" si="43"/>
        <v>0</v>
      </c>
      <c r="I1606" s="6"/>
      <c r="J1606" s="43"/>
      <c r="K1606" s="51"/>
      <c r="L1606" s="86"/>
    </row>
    <row r="1607" spans="1:13" ht="15" x14ac:dyDescent="0.25">
      <c r="A1607" s="1">
        <v>1598</v>
      </c>
      <c r="B1607" s="1" t="s">
        <v>253</v>
      </c>
      <c r="C1607" s="32" t="s">
        <v>30</v>
      </c>
      <c r="D1607" s="1">
        <v>4500</v>
      </c>
      <c r="E1607" s="1"/>
      <c r="F1607" s="1">
        <v>50.2</v>
      </c>
      <c r="G1607" s="1">
        <v>4500</v>
      </c>
      <c r="H1607" s="5">
        <f t="shared" si="43"/>
        <v>0</v>
      </c>
      <c r="I1607" s="6"/>
      <c r="J1607" s="43"/>
      <c r="K1607" s="51"/>
      <c r="L1607" s="86"/>
    </row>
    <row r="1608" spans="1:13" ht="15" x14ac:dyDescent="0.25">
      <c r="A1608" s="1">
        <v>1599</v>
      </c>
      <c r="B1608" s="1" t="s">
        <v>253</v>
      </c>
      <c r="C1608" s="32" t="s">
        <v>66</v>
      </c>
      <c r="D1608" s="1">
        <v>200</v>
      </c>
      <c r="E1608" s="1"/>
      <c r="F1608" s="1">
        <v>2.08</v>
      </c>
      <c r="G1608" s="1">
        <v>200</v>
      </c>
      <c r="H1608" s="5">
        <f t="shared" si="43"/>
        <v>0</v>
      </c>
      <c r="I1608" s="6"/>
      <c r="J1608" s="43"/>
      <c r="K1608" s="51"/>
      <c r="L1608" s="86"/>
      <c r="M1608">
        <f>200/96</f>
        <v>2.0833333333333335</v>
      </c>
    </row>
    <row r="1609" spans="1:13" ht="15" x14ac:dyDescent="0.25">
      <c r="A1609" s="1">
        <v>1600</v>
      </c>
      <c r="B1609" s="1" t="s">
        <v>253</v>
      </c>
      <c r="C1609" s="32">
        <v>7176</v>
      </c>
      <c r="D1609" s="1">
        <v>20000</v>
      </c>
      <c r="E1609" s="1"/>
      <c r="F1609" s="1">
        <v>222.82</v>
      </c>
      <c r="G1609" s="1">
        <v>20000</v>
      </c>
      <c r="H1609" s="5">
        <f t="shared" si="43"/>
        <v>0</v>
      </c>
      <c r="I1609" s="6"/>
      <c r="J1609" s="43"/>
      <c r="K1609" s="51"/>
      <c r="L1609" s="86"/>
    </row>
    <row r="1610" spans="1:13" ht="15" x14ac:dyDescent="0.25">
      <c r="A1610" s="1">
        <v>1601</v>
      </c>
      <c r="B1610" s="1" t="s">
        <v>253</v>
      </c>
      <c r="C1610" s="32">
        <v>8279</v>
      </c>
      <c r="D1610" s="1">
        <v>20000</v>
      </c>
      <c r="E1610" s="1"/>
      <c r="F1610" s="1">
        <v>222.82</v>
      </c>
      <c r="G1610" s="1">
        <v>20000</v>
      </c>
      <c r="H1610" s="5">
        <f t="shared" si="43"/>
        <v>0</v>
      </c>
      <c r="I1610" s="6"/>
      <c r="J1610" s="43"/>
      <c r="K1610" s="51"/>
      <c r="L1610" s="86"/>
    </row>
    <row r="1611" spans="1:13" ht="15" x14ac:dyDescent="0.25">
      <c r="A1611" s="1">
        <v>1602</v>
      </c>
      <c r="B1611" s="1" t="s">
        <v>253</v>
      </c>
      <c r="C1611" s="32">
        <v>5183</v>
      </c>
      <c r="D1611" s="1">
        <v>25000</v>
      </c>
      <c r="E1611" s="1"/>
      <c r="F1611" s="1">
        <v>278.52</v>
      </c>
      <c r="G1611" s="1">
        <v>25000</v>
      </c>
      <c r="H1611" s="5">
        <f t="shared" si="43"/>
        <v>0</v>
      </c>
      <c r="I1611" s="6"/>
      <c r="J1611" s="43"/>
      <c r="K1611" s="51"/>
      <c r="L1611" s="86"/>
    </row>
    <row r="1612" spans="1:13" ht="15" x14ac:dyDescent="0.25">
      <c r="A1612" s="1">
        <v>1603</v>
      </c>
      <c r="B1612" s="1" t="s">
        <v>253</v>
      </c>
      <c r="C1612" s="32">
        <v>4849</v>
      </c>
      <c r="D1612" s="1">
        <v>23000</v>
      </c>
      <c r="E1612" s="1"/>
      <c r="F1612" s="1">
        <v>256.24</v>
      </c>
      <c r="G1612" s="1">
        <v>23000</v>
      </c>
      <c r="H1612" s="5">
        <f t="shared" si="43"/>
        <v>0</v>
      </c>
      <c r="I1612" s="6"/>
      <c r="J1612" s="43"/>
      <c r="K1612" s="51"/>
      <c r="L1612" s="86">
        <f>1099265-1095278</f>
        <v>3987</v>
      </c>
    </row>
    <row r="1613" spans="1:13" ht="15" x14ac:dyDescent="0.25">
      <c r="A1613" s="1">
        <v>1604</v>
      </c>
      <c r="B1613" s="1" t="s">
        <v>256</v>
      </c>
      <c r="C1613" s="32" t="s">
        <v>63</v>
      </c>
      <c r="D1613" s="1">
        <v>3500</v>
      </c>
      <c r="E1613" s="1"/>
      <c r="F1613" s="1">
        <v>38.99</v>
      </c>
      <c r="G1613" s="1">
        <v>3500</v>
      </c>
      <c r="H1613" s="5">
        <f t="shared" si="43"/>
        <v>0</v>
      </c>
      <c r="I1613" s="6"/>
      <c r="J1613" s="43"/>
      <c r="K1613" s="51"/>
      <c r="L1613" s="86"/>
    </row>
    <row r="1614" spans="1:13" ht="15" x14ac:dyDescent="0.25">
      <c r="A1614" s="1">
        <v>1605</v>
      </c>
      <c r="B1614" s="1" t="s">
        <v>256</v>
      </c>
      <c r="C1614" s="32">
        <v>8931</v>
      </c>
      <c r="D1614" s="1">
        <v>20000</v>
      </c>
      <c r="E1614" s="1"/>
      <c r="F1614" s="1">
        <v>222.82</v>
      </c>
      <c r="G1614" s="1">
        <v>20000</v>
      </c>
      <c r="H1614" s="5">
        <f t="shared" si="43"/>
        <v>0</v>
      </c>
      <c r="I1614" s="6"/>
      <c r="J1614" s="43"/>
      <c r="K1614" s="51"/>
      <c r="L1614" s="86"/>
    </row>
    <row r="1615" spans="1:13" ht="15" x14ac:dyDescent="0.25">
      <c r="A1615" s="1">
        <v>1606</v>
      </c>
      <c r="B1615" s="1" t="s">
        <v>256</v>
      </c>
      <c r="C1615" s="32">
        <v>2094</v>
      </c>
      <c r="D1615" s="1">
        <v>20000</v>
      </c>
      <c r="E1615" s="1"/>
      <c r="F1615" s="1">
        <v>222.82</v>
      </c>
      <c r="G1615" s="1">
        <v>20000</v>
      </c>
      <c r="H1615" s="5">
        <f t="shared" si="43"/>
        <v>0</v>
      </c>
      <c r="I1615" s="6"/>
      <c r="J1615" s="43"/>
      <c r="K1615" s="51"/>
      <c r="L1615" s="86">
        <f>945660-937778</f>
        <v>7882</v>
      </c>
    </row>
    <row r="1616" spans="1:13" ht="15" x14ac:dyDescent="0.25">
      <c r="A1616" s="1">
        <v>1607</v>
      </c>
      <c r="B1616" s="1" t="s">
        <v>257</v>
      </c>
      <c r="C1616" s="32" t="s">
        <v>30</v>
      </c>
      <c r="D1616" s="1">
        <v>4500</v>
      </c>
      <c r="E1616" s="1"/>
      <c r="F1616" s="1">
        <v>50.13</v>
      </c>
      <c r="G1616" s="1">
        <v>4500</v>
      </c>
      <c r="H1616" s="5">
        <f t="shared" si="43"/>
        <v>0</v>
      </c>
      <c r="I1616" s="6"/>
      <c r="J1616" s="43"/>
      <c r="K1616" s="51"/>
      <c r="L1616" s="86"/>
    </row>
    <row r="1617" spans="1:12" ht="15" x14ac:dyDescent="0.25">
      <c r="A1617" s="1">
        <v>1608</v>
      </c>
      <c r="B1617" s="1" t="s">
        <v>257</v>
      </c>
      <c r="C1617" s="32">
        <v>7570</v>
      </c>
      <c r="D1617" s="1">
        <v>18000</v>
      </c>
      <c r="E1617" s="1"/>
      <c r="F1617" s="1">
        <v>200.53</v>
      </c>
      <c r="G1617" s="1">
        <v>18000</v>
      </c>
      <c r="H1617" s="5">
        <f t="shared" si="43"/>
        <v>0</v>
      </c>
      <c r="I1617" s="6"/>
      <c r="J1617" s="43"/>
      <c r="K1617" s="51"/>
      <c r="L1617" s="86"/>
    </row>
    <row r="1618" spans="1:12" ht="15" x14ac:dyDescent="0.25">
      <c r="A1618" s="1">
        <v>1609</v>
      </c>
      <c r="B1618" s="1" t="s">
        <v>257</v>
      </c>
      <c r="C1618" s="32">
        <v>7514</v>
      </c>
      <c r="D1618" s="1">
        <v>20000</v>
      </c>
      <c r="E1618" s="1"/>
      <c r="F1618" s="1">
        <v>200.82</v>
      </c>
      <c r="G1618" s="1">
        <v>20000</v>
      </c>
      <c r="H1618" s="5">
        <f t="shared" si="43"/>
        <v>0</v>
      </c>
      <c r="I1618" s="6"/>
      <c r="J1618" s="43"/>
      <c r="K1618" s="51"/>
      <c r="L1618" s="86"/>
    </row>
    <row r="1619" spans="1:12" ht="15" x14ac:dyDescent="0.25">
      <c r="A1619" s="1">
        <v>1610</v>
      </c>
      <c r="B1619" s="1" t="s">
        <v>257</v>
      </c>
      <c r="C1619" s="32">
        <v>8444</v>
      </c>
      <c r="D1619" s="1">
        <v>20000</v>
      </c>
      <c r="E1619" s="1"/>
      <c r="F1619" s="1">
        <v>200.82</v>
      </c>
      <c r="G1619" s="1">
        <v>20000</v>
      </c>
      <c r="H1619" s="5">
        <f t="shared" si="43"/>
        <v>0</v>
      </c>
      <c r="I1619" s="6"/>
      <c r="J1619" s="43"/>
      <c r="K1619" s="51"/>
      <c r="L1619" s="86">
        <f>901278-898978</f>
        <v>2300</v>
      </c>
    </row>
    <row r="1620" spans="1:12" ht="15" x14ac:dyDescent="0.25">
      <c r="A1620" s="1">
        <v>1611</v>
      </c>
      <c r="B1620" s="1" t="s">
        <v>258</v>
      </c>
      <c r="C1620" s="32" t="s">
        <v>30</v>
      </c>
      <c r="D1620" s="1">
        <v>3500</v>
      </c>
      <c r="E1620" s="1"/>
      <c r="F1620" s="1">
        <v>39.03</v>
      </c>
      <c r="G1620" s="1">
        <v>3500</v>
      </c>
      <c r="H1620" s="5">
        <f t="shared" si="43"/>
        <v>0</v>
      </c>
      <c r="I1620" s="6"/>
      <c r="J1620" s="43"/>
      <c r="K1620" s="51"/>
      <c r="L1620" s="86"/>
    </row>
    <row r="1621" spans="1:12" ht="15" x14ac:dyDescent="0.25">
      <c r="A1621" s="1">
        <v>1612</v>
      </c>
      <c r="B1621" s="1" t="s">
        <v>258</v>
      </c>
      <c r="C1621" s="32">
        <v>262</v>
      </c>
      <c r="D1621" s="1">
        <v>20000</v>
      </c>
      <c r="E1621" s="1"/>
      <c r="F1621" s="1">
        <v>200.82</v>
      </c>
      <c r="G1621" s="1">
        <v>20000</v>
      </c>
      <c r="H1621" s="5">
        <f t="shared" si="43"/>
        <v>0</v>
      </c>
      <c r="I1621" s="6"/>
      <c r="J1621" s="43"/>
      <c r="K1621" s="51"/>
      <c r="L1621" s="86"/>
    </row>
    <row r="1622" spans="1:12" ht="15" x14ac:dyDescent="0.25">
      <c r="A1622" s="1">
        <v>1613</v>
      </c>
      <c r="B1622" s="1" t="s">
        <v>258</v>
      </c>
      <c r="C1622" s="32">
        <v>8571</v>
      </c>
      <c r="D1622" s="1">
        <v>20000</v>
      </c>
      <c r="E1622" s="1"/>
      <c r="F1622" s="1">
        <v>200.82</v>
      </c>
      <c r="G1622" s="1">
        <v>20000</v>
      </c>
      <c r="H1622" s="5">
        <f t="shared" si="43"/>
        <v>0</v>
      </c>
      <c r="I1622" s="6"/>
      <c r="J1622" s="43"/>
      <c r="K1622" s="51"/>
      <c r="L1622" s="86"/>
    </row>
    <row r="1623" spans="1:12" ht="15" x14ac:dyDescent="0.25">
      <c r="A1623" s="1">
        <v>1614</v>
      </c>
      <c r="B1623" s="1" t="s">
        <v>258</v>
      </c>
      <c r="C1623" s="32">
        <v>1528</v>
      </c>
      <c r="D1623" s="1">
        <v>20000</v>
      </c>
      <c r="E1623" s="1"/>
      <c r="F1623" s="1">
        <v>200.82</v>
      </c>
      <c r="G1623" s="1">
        <v>20000</v>
      </c>
      <c r="H1623" s="5">
        <f t="shared" si="43"/>
        <v>0</v>
      </c>
      <c r="I1623" s="6"/>
      <c r="J1623" s="43"/>
      <c r="K1623" s="51"/>
      <c r="L1623" s="86"/>
    </row>
    <row r="1624" spans="1:12" ht="15" x14ac:dyDescent="0.25">
      <c r="A1624" s="1">
        <v>1615</v>
      </c>
      <c r="B1624" s="1" t="s">
        <v>258</v>
      </c>
      <c r="C1624" s="32">
        <v>7815</v>
      </c>
      <c r="D1624" s="1">
        <v>11000</v>
      </c>
      <c r="E1624" s="1"/>
      <c r="F1624" s="1">
        <v>122.53</v>
      </c>
      <c r="G1624" s="1">
        <v>11000</v>
      </c>
      <c r="H1624" s="5">
        <f t="shared" si="43"/>
        <v>0</v>
      </c>
      <c r="I1624" s="6"/>
      <c r="J1624" s="43"/>
      <c r="K1624" s="51"/>
      <c r="L1624" s="86"/>
    </row>
    <row r="1625" spans="1:12" ht="15" x14ac:dyDescent="0.25">
      <c r="A1625" s="1">
        <v>1616</v>
      </c>
      <c r="B1625" s="1" t="s">
        <v>258</v>
      </c>
      <c r="C1625" s="32">
        <v>7776</v>
      </c>
      <c r="D1625" s="1">
        <v>11000</v>
      </c>
      <c r="E1625" s="1"/>
      <c r="F1625" s="1">
        <v>122.53</v>
      </c>
      <c r="G1625" s="1">
        <v>11000</v>
      </c>
      <c r="H1625" s="5">
        <f t="shared" si="43"/>
        <v>0</v>
      </c>
      <c r="I1625" s="6"/>
      <c r="J1625" s="43"/>
      <c r="K1625" s="51"/>
      <c r="L1625" s="86"/>
    </row>
    <row r="1626" spans="1:12" ht="15" x14ac:dyDescent="0.25">
      <c r="A1626" s="1">
        <v>1617</v>
      </c>
      <c r="B1626" s="1" t="s">
        <v>258</v>
      </c>
      <c r="C1626" s="32">
        <v>4207</v>
      </c>
      <c r="D1626" s="1">
        <v>25000</v>
      </c>
      <c r="E1626" s="1"/>
      <c r="F1626" s="1">
        <v>278.52</v>
      </c>
      <c r="G1626" s="1">
        <v>25000</v>
      </c>
      <c r="H1626" s="5">
        <f t="shared" si="43"/>
        <v>0</v>
      </c>
      <c r="I1626" s="6"/>
      <c r="J1626" s="43"/>
      <c r="K1626" s="51"/>
      <c r="L1626" s="86"/>
    </row>
    <row r="1627" spans="1:12" ht="15" x14ac:dyDescent="0.25">
      <c r="A1627" s="1">
        <v>1618</v>
      </c>
      <c r="B1627" s="1" t="s">
        <v>258</v>
      </c>
      <c r="C1627" s="32">
        <v>5833</v>
      </c>
      <c r="D1627" s="1">
        <v>22000</v>
      </c>
      <c r="E1627" s="1"/>
      <c r="F1627" s="1">
        <v>233</v>
      </c>
      <c r="G1627" s="1">
        <v>22000</v>
      </c>
      <c r="H1627" s="5">
        <f t="shared" si="43"/>
        <v>0</v>
      </c>
      <c r="I1627" s="6"/>
      <c r="J1627" s="43"/>
      <c r="K1627" s="51"/>
      <c r="L1627" s="86">
        <f>933778-931478</f>
        <v>2300</v>
      </c>
    </row>
    <row r="1628" spans="1:12" ht="15" x14ac:dyDescent="0.25">
      <c r="A1628" s="1">
        <v>1619</v>
      </c>
      <c r="B1628" s="1" t="s">
        <v>259</v>
      </c>
      <c r="C1628" s="32" t="s">
        <v>30</v>
      </c>
      <c r="D1628" s="1">
        <v>5000</v>
      </c>
      <c r="E1628" s="1"/>
      <c r="F1628" s="1">
        <v>55.7</v>
      </c>
      <c r="G1628" s="1">
        <v>5000</v>
      </c>
      <c r="H1628" s="5">
        <f t="shared" si="43"/>
        <v>0</v>
      </c>
      <c r="I1628" s="6"/>
      <c r="J1628" s="43"/>
      <c r="K1628" s="51"/>
      <c r="L1628" s="86"/>
    </row>
    <row r="1629" spans="1:12" ht="15" x14ac:dyDescent="0.25">
      <c r="A1629" s="1">
        <v>1620</v>
      </c>
      <c r="B1629" s="1" t="s">
        <v>259</v>
      </c>
      <c r="C1629" s="32">
        <v>2228</v>
      </c>
      <c r="D1629" s="1">
        <v>28000</v>
      </c>
      <c r="E1629" s="1"/>
      <c r="F1629" s="1">
        <v>311.94</v>
      </c>
      <c r="G1629" s="1">
        <v>28000</v>
      </c>
      <c r="H1629" s="5">
        <f t="shared" si="43"/>
        <v>0</v>
      </c>
      <c r="I1629" s="6"/>
      <c r="J1629" s="43"/>
      <c r="K1629" s="51"/>
      <c r="L1629" s="86"/>
    </row>
    <row r="1630" spans="1:12" ht="15" x14ac:dyDescent="0.25">
      <c r="A1630" s="1">
        <v>1621</v>
      </c>
      <c r="B1630" s="1" t="s">
        <v>259</v>
      </c>
      <c r="C1630" s="32">
        <v>4702</v>
      </c>
      <c r="D1630" s="1">
        <v>10000</v>
      </c>
      <c r="E1630" s="1"/>
      <c r="F1630" s="1">
        <v>85.12</v>
      </c>
      <c r="G1630" s="1">
        <v>10000</v>
      </c>
      <c r="H1630" s="5">
        <f t="shared" si="43"/>
        <v>0</v>
      </c>
      <c r="I1630" s="6"/>
      <c r="J1630" s="43"/>
      <c r="K1630" s="51"/>
      <c r="L1630" s="86"/>
    </row>
    <row r="1631" spans="1:12" ht="15" x14ac:dyDescent="0.25">
      <c r="A1631" s="1">
        <v>1622</v>
      </c>
      <c r="B1631" s="1" t="s">
        <v>259</v>
      </c>
      <c r="C1631" s="32">
        <v>9346</v>
      </c>
      <c r="D1631" s="1">
        <v>25000</v>
      </c>
      <c r="E1631" s="1"/>
      <c r="F1631" s="1">
        <v>278.52</v>
      </c>
      <c r="G1631" s="1">
        <v>25000</v>
      </c>
      <c r="H1631" s="5">
        <f t="shared" si="43"/>
        <v>0</v>
      </c>
      <c r="I1631" s="6"/>
      <c r="J1631" s="43"/>
      <c r="K1631" s="51"/>
      <c r="L1631" s="86"/>
    </row>
    <row r="1632" spans="1:12" ht="15" x14ac:dyDescent="0.25">
      <c r="A1632" s="1">
        <v>1623</v>
      </c>
      <c r="B1632" s="1" t="s">
        <v>259</v>
      </c>
      <c r="C1632" s="32">
        <v>1256</v>
      </c>
      <c r="D1632" s="1">
        <v>25000</v>
      </c>
      <c r="E1632" s="1"/>
      <c r="F1632" s="1">
        <v>278.52</v>
      </c>
      <c r="G1632" s="1">
        <v>25000</v>
      </c>
      <c r="H1632" s="5">
        <f t="shared" si="43"/>
        <v>0</v>
      </c>
      <c r="I1632" s="6"/>
      <c r="J1632" s="43"/>
      <c r="K1632" s="51"/>
      <c r="L1632" s="86"/>
    </row>
    <row r="1633" spans="1:12" ht="15" x14ac:dyDescent="0.25">
      <c r="A1633" s="1">
        <v>1624</v>
      </c>
      <c r="B1633" s="1" t="s">
        <v>259</v>
      </c>
      <c r="C1633" s="32">
        <v>4481</v>
      </c>
      <c r="D1633" s="1">
        <v>21000</v>
      </c>
      <c r="E1633" s="1"/>
      <c r="F1633" s="1">
        <v>233.91</v>
      </c>
      <c r="G1633" s="1">
        <v>21000</v>
      </c>
      <c r="H1633" s="5">
        <f t="shared" si="43"/>
        <v>0</v>
      </c>
      <c r="I1633" s="6"/>
      <c r="J1633" s="43"/>
      <c r="K1633" s="51"/>
      <c r="L1633" s="86"/>
    </row>
    <row r="1634" spans="1:12" ht="15" x14ac:dyDescent="0.25">
      <c r="A1634" s="1">
        <v>1625</v>
      </c>
      <c r="B1634" s="1" t="s">
        <v>260</v>
      </c>
      <c r="C1634" s="32">
        <v>9998</v>
      </c>
      <c r="D1634" s="1">
        <v>17000</v>
      </c>
      <c r="E1634" s="1"/>
      <c r="F1634" s="1">
        <v>183.82</v>
      </c>
      <c r="G1634" s="1">
        <v>17000</v>
      </c>
      <c r="H1634" s="5">
        <f t="shared" si="43"/>
        <v>0</v>
      </c>
      <c r="I1634" s="6"/>
      <c r="J1634" s="43"/>
      <c r="K1634" s="51"/>
      <c r="L1634" s="86"/>
    </row>
    <row r="1635" spans="1:12" ht="15" x14ac:dyDescent="0.25">
      <c r="A1635" s="1">
        <v>1626</v>
      </c>
      <c r="B1635" s="1" t="s">
        <v>260</v>
      </c>
      <c r="C1635" s="32" t="s">
        <v>63</v>
      </c>
      <c r="D1635" s="1">
        <v>3500</v>
      </c>
      <c r="E1635" s="1"/>
      <c r="F1635" s="1">
        <v>39.03</v>
      </c>
      <c r="G1635" s="1">
        <v>3500</v>
      </c>
      <c r="H1635" s="5">
        <f t="shared" si="43"/>
        <v>0</v>
      </c>
      <c r="I1635" s="6"/>
      <c r="J1635" s="43"/>
      <c r="K1635" s="51"/>
      <c r="L1635" s="86"/>
    </row>
    <row r="1636" spans="1:12" ht="15" x14ac:dyDescent="0.25">
      <c r="A1636" s="1">
        <v>1627</v>
      </c>
      <c r="B1636" s="1" t="s">
        <v>260</v>
      </c>
      <c r="C1636" s="32" t="s">
        <v>30</v>
      </c>
      <c r="D1636" s="1">
        <v>4500</v>
      </c>
      <c r="E1636" s="1"/>
      <c r="F1636" s="1">
        <v>50.13</v>
      </c>
      <c r="G1636" s="1">
        <v>4500</v>
      </c>
      <c r="H1636" s="5">
        <f t="shared" si="43"/>
        <v>0</v>
      </c>
      <c r="I1636" s="6"/>
      <c r="J1636" s="43"/>
      <c r="K1636" s="51"/>
      <c r="L1636" s="86"/>
    </row>
    <row r="1637" spans="1:12" ht="15" x14ac:dyDescent="0.25">
      <c r="A1637" s="1">
        <v>1628</v>
      </c>
      <c r="B1637" s="1" t="s">
        <v>260</v>
      </c>
      <c r="C1637" s="32">
        <v>1206</v>
      </c>
      <c r="D1637" s="1">
        <v>20000</v>
      </c>
      <c r="E1637" s="1"/>
      <c r="F1637" s="1">
        <v>222</v>
      </c>
      <c r="G1637" s="1">
        <v>20000</v>
      </c>
      <c r="H1637" s="5">
        <f t="shared" si="43"/>
        <v>0</v>
      </c>
      <c r="I1637" s="6"/>
      <c r="J1637" s="43"/>
      <c r="K1637" s="51"/>
      <c r="L1637" s="86"/>
    </row>
    <row r="1638" spans="1:12" ht="15" x14ac:dyDescent="0.25">
      <c r="A1638" s="1">
        <v>1629</v>
      </c>
      <c r="B1638" s="1" t="s">
        <v>260</v>
      </c>
      <c r="C1638" s="32">
        <v>3468</v>
      </c>
      <c r="D1638" s="1">
        <v>15000</v>
      </c>
      <c r="E1638" s="1"/>
      <c r="F1638" s="1">
        <v>167.3</v>
      </c>
      <c r="G1638" s="1">
        <v>15000</v>
      </c>
      <c r="H1638" s="5">
        <f t="shared" si="43"/>
        <v>0</v>
      </c>
      <c r="I1638" s="6"/>
      <c r="J1638" s="43"/>
      <c r="K1638" s="51"/>
      <c r="L1638" s="86"/>
    </row>
    <row r="1639" spans="1:12" ht="15" x14ac:dyDescent="0.25">
      <c r="A1639" s="1">
        <v>1630</v>
      </c>
      <c r="B1639" s="1" t="s">
        <v>260</v>
      </c>
      <c r="C1639" s="32">
        <v>4337</v>
      </c>
      <c r="D1639" s="1">
        <v>10000</v>
      </c>
      <c r="E1639" s="1"/>
      <c r="F1639" s="1">
        <v>111.41</v>
      </c>
      <c r="G1639" s="1">
        <v>10000</v>
      </c>
      <c r="H1639" s="5">
        <f t="shared" si="43"/>
        <v>0</v>
      </c>
      <c r="I1639" s="6"/>
      <c r="J1639" s="43"/>
      <c r="K1639" s="51"/>
      <c r="L1639" s="86"/>
    </row>
    <row r="1640" spans="1:12" ht="15" x14ac:dyDescent="0.25">
      <c r="A1640" s="1">
        <v>1631</v>
      </c>
      <c r="B1640" s="1" t="s">
        <v>261</v>
      </c>
      <c r="C1640" s="32">
        <v>2528</v>
      </c>
      <c r="D1640" s="1">
        <v>19200</v>
      </c>
      <c r="E1640" s="1"/>
      <c r="F1640" s="1">
        <v>213</v>
      </c>
      <c r="G1640" s="1">
        <v>19200</v>
      </c>
      <c r="H1640" s="5">
        <f t="shared" si="43"/>
        <v>0</v>
      </c>
      <c r="I1640" s="6"/>
      <c r="J1640" s="43"/>
      <c r="K1640" s="51"/>
      <c r="L1640" s="86"/>
    </row>
    <row r="1641" spans="1:12" ht="15" x14ac:dyDescent="0.25">
      <c r="A1641" s="1">
        <v>1632</v>
      </c>
      <c r="B1641" s="1" t="s">
        <v>261</v>
      </c>
      <c r="C1641" s="32">
        <v>472</v>
      </c>
      <c r="D1641" s="1">
        <v>20000</v>
      </c>
      <c r="E1641" s="1"/>
      <c r="F1641" s="1">
        <v>278</v>
      </c>
      <c r="G1641" s="1">
        <v>20000</v>
      </c>
      <c r="H1641" s="5">
        <f t="shared" si="43"/>
        <v>0</v>
      </c>
      <c r="I1641" s="6"/>
      <c r="J1641" s="43"/>
      <c r="K1641" s="51"/>
      <c r="L1641" s="86"/>
    </row>
    <row r="1642" spans="1:12" ht="15" x14ac:dyDescent="0.25">
      <c r="A1642" s="1">
        <v>1633</v>
      </c>
      <c r="B1642" s="1" t="s">
        <v>261</v>
      </c>
      <c r="C1642" s="32">
        <v>6125</v>
      </c>
      <c r="D1642" s="1">
        <v>10000</v>
      </c>
      <c r="E1642" s="1"/>
      <c r="F1642" s="1">
        <v>111.41</v>
      </c>
      <c r="G1642" s="1">
        <v>10000</v>
      </c>
      <c r="H1642" s="5">
        <f t="shared" si="43"/>
        <v>0</v>
      </c>
      <c r="I1642" s="6"/>
      <c r="J1642" s="43"/>
      <c r="K1642" s="51"/>
      <c r="L1642" s="86"/>
    </row>
    <row r="1643" spans="1:12" ht="15" x14ac:dyDescent="0.25">
      <c r="A1643" s="1">
        <v>1634</v>
      </c>
      <c r="B1643" s="1" t="s">
        <v>261</v>
      </c>
      <c r="C1643" s="32">
        <v>476</v>
      </c>
      <c r="D1643" s="1">
        <v>28000</v>
      </c>
      <c r="E1643" s="1"/>
      <c r="F1643" s="1">
        <v>311.94</v>
      </c>
      <c r="G1643" s="1">
        <v>28000</v>
      </c>
      <c r="H1643" s="5">
        <f t="shared" si="43"/>
        <v>0</v>
      </c>
      <c r="I1643" s="6"/>
      <c r="J1643" s="43"/>
      <c r="K1643" s="51"/>
      <c r="L1643" s="86"/>
    </row>
    <row r="1644" spans="1:12" ht="15" x14ac:dyDescent="0.25">
      <c r="A1644" s="1">
        <v>1635</v>
      </c>
      <c r="B1644" s="1" t="s">
        <v>262</v>
      </c>
      <c r="C1644" s="32" t="s">
        <v>66</v>
      </c>
      <c r="D1644" s="1">
        <v>200</v>
      </c>
      <c r="E1644" s="1"/>
      <c r="F1644" s="1">
        <v>2.08</v>
      </c>
      <c r="G1644" s="1">
        <v>200</v>
      </c>
      <c r="H1644" s="5">
        <f t="shared" si="43"/>
        <v>0</v>
      </c>
      <c r="I1644" s="6"/>
      <c r="J1644" s="43"/>
      <c r="K1644" s="51"/>
      <c r="L1644" s="86"/>
    </row>
    <row r="1645" spans="1:12" ht="15" x14ac:dyDescent="0.25">
      <c r="A1645" s="1">
        <v>1636</v>
      </c>
      <c r="B1645" s="1" t="s">
        <v>262</v>
      </c>
      <c r="C1645" s="32" t="s">
        <v>66</v>
      </c>
      <c r="D1645" s="1">
        <v>100</v>
      </c>
      <c r="E1645" s="1"/>
      <c r="F1645" s="1">
        <v>96.04</v>
      </c>
      <c r="G1645" s="1">
        <v>100</v>
      </c>
      <c r="H1645" s="5">
        <f t="shared" si="43"/>
        <v>0</v>
      </c>
      <c r="I1645" s="6"/>
      <c r="J1645" s="43"/>
      <c r="K1645" s="51"/>
      <c r="L1645" s="86">
        <f>795478-792052</f>
        <v>3426</v>
      </c>
    </row>
    <row r="1646" spans="1:12" ht="15" x14ac:dyDescent="0.25">
      <c r="A1646" s="1">
        <v>1637</v>
      </c>
      <c r="B1646" s="1" t="s">
        <v>263</v>
      </c>
      <c r="C1646" s="32" t="s">
        <v>66</v>
      </c>
      <c r="D1646" s="1">
        <v>200</v>
      </c>
      <c r="E1646" s="1"/>
      <c r="F1646" s="1">
        <v>2.08</v>
      </c>
      <c r="G1646" s="1">
        <v>200</v>
      </c>
      <c r="H1646" s="5">
        <f t="shared" si="43"/>
        <v>0</v>
      </c>
      <c r="I1646" s="6"/>
      <c r="J1646" s="43"/>
      <c r="K1646" s="51"/>
      <c r="L1646" s="86"/>
    </row>
    <row r="1647" spans="1:12" ht="15" x14ac:dyDescent="0.25">
      <c r="A1647" s="1">
        <v>1638</v>
      </c>
      <c r="B1647" s="1" t="s">
        <v>264</v>
      </c>
      <c r="C1647" s="32" t="s">
        <v>30</v>
      </c>
      <c r="D1647" s="1">
        <v>4500</v>
      </c>
      <c r="E1647" s="1"/>
      <c r="F1647" s="1">
        <v>50.13</v>
      </c>
      <c r="G1647" s="1">
        <v>4500</v>
      </c>
      <c r="H1647" s="5">
        <f t="shared" si="43"/>
        <v>0</v>
      </c>
      <c r="I1647" s="6"/>
      <c r="J1647" s="43"/>
      <c r="K1647" s="51"/>
      <c r="L1647" s="86"/>
    </row>
    <row r="1648" spans="1:12" ht="15" x14ac:dyDescent="0.25">
      <c r="A1648" s="1">
        <v>1639</v>
      </c>
      <c r="B1648" s="1" t="s">
        <v>264</v>
      </c>
      <c r="C1648" s="32">
        <v>1467</v>
      </c>
      <c r="D1648" s="1">
        <v>14000</v>
      </c>
      <c r="E1648" s="1"/>
      <c r="F1648" s="1">
        <v>155.77000000000001</v>
      </c>
      <c r="G1648" s="1">
        <v>14000</v>
      </c>
      <c r="H1648" s="5">
        <f t="shared" ref="H1648:H1714" si="44">D1648-G1648</f>
        <v>0</v>
      </c>
      <c r="I1648" s="6"/>
      <c r="J1648" s="43"/>
      <c r="K1648" s="51"/>
      <c r="L1648" s="86">
        <f>673947-672413</f>
        <v>1534</v>
      </c>
    </row>
    <row r="1649" spans="1:12" ht="15" x14ac:dyDescent="0.25">
      <c r="A1649" s="1">
        <v>1640</v>
      </c>
      <c r="B1649" s="1" t="s">
        <v>267</v>
      </c>
      <c r="C1649" s="32">
        <v>8294</v>
      </c>
      <c r="D1649" s="1">
        <v>14000</v>
      </c>
      <c r="E1649" s="1"/>
      <c r="F1649" s="1">
        <v>155.77000000000001</v>
      </c>
      <c r="G1649" s="1">
        <v>14000</v>
      </c>
      <c r="H1649" s="5">
        <f t="shared" si="44"/>
        <v>0</v>
      </c>
      <c r="I1649" s="6"/>
      <c r="J1649" s="43"/>
      <c r="K1649" s="51"/>
      <c r="L1649" s="86"/>
    </row>
    <row r="1650" spans="1:12" ht="15" x14ac:dyDescent="0.25">
      <c r="A1650" s="1">
        <v>1641</v>
      </c>
      <c r="B1650" s="1" t="s">
        <v>267</v>
      </c>
      <c r="C1650" s="32">
        <v>3662</v>
      </c>
      <c r="D1650" s="1">
        <v>20000</v>
      </c>
      <c r="E1650" s="1"/>
      <c r="F1650" s="1">
        <v>222.82</v>
      </c>
      <c r="G1650" s="1">
        <v>20000</v>
      </c>
      <c r="H1650" s="5">
        <f t="shared" si="44"/>
        <v>0</v>
      </c>
      <c r="I1650" s="6"/>
      <c r="J1650" s="43"/>
      <c r="K1650" s="51"/>
      <c r="L1650" s="86"/>
    </row>
    <row r="1651" spans="1:12" ht="15" x14ac:dyDescent="0.25">
      <c r="A1651" s="1">
        <v>1642</v>
      </c>
      <c r="B1651" s="1" t="s">
        <v>267</v>
      </c>
      <c r="C1651" s="32" t="s">
        <v>63</v>
      </c>
      <c r="D1651" s="1">
        <v>3500</v>
      </c>
      <c r="E1651" s="1"/>
      <c r="F1651" s="1">
        <v>38.229999999999997</v>
      </c>
      <c r="G1651" s="1">
        <v>3500</v>
      </c>
      <c r="H1651" s="5">
        <f t="shared" si="44"/>
        <v>0</v>
      </c>
      <c r="I1651" s="6"/>
      <c r="J1651" s="43"/>
      <c r="K1651" s="51"/>
      <c r="L1651" s="86"/>
    </row>
    <row r="1652" spans="1:12" ht="15" x14ac:dyDescent="0.25">
      <c r="A1652" s="1">
        <v>1643</v>
      </c>
      <c r="B1652" s="1" t="s">
        <v>267</v>
      </c>
      <c r="C1652" s="32">
        <v>9998</v>
      </c>
      <c r="D1652" s="1">
        <v>17000</v>
      </c>
      <c r="E1652" s="1"/>
      <c r="F1652" s="1">
        <v>189.39</v>
      </c>
      <c r="G1652" s="1">
        <v>17000</v>
      </c>
      <c r="H1652" s="5">
        <f t="shared" si="44"/>
        <v>0</v>
      </c>
      <c r="I1652" s="6"/>
      <c r="J1652" s="43"/>
      <c r="K1652" s="51"/>
      <c r="L1652" s="86">
        <f>738447-719913</f>
        <v>18534</v>
      </c>
    </row>
    <row r="1653" spans="1:12" ht="15" x14ac:dyDescent="0.25">
      <c r="A1653" s="1">
        <v>1644</v>
      </c>
      <c r="B1653" s="1" t="s">
        <v>267</v>
      </c>
      <c r="C1653" s="32">
        <v>5796</v>
      </c>
      <c r="D1653" s="1">
        <v>10000</v>
      </c>
      <c r="E1653" s="1"/>
      <c r="F1653" s="1"/>
      <c r="G1653" s="1">
        <v>10000</v>
      </c>
      <c r="H1653" s="5">
        <f t="shared" si="44"/>
        <v>0</v>
      </c>
      <c r="I1653" s="6"/>
      <c r="J1653" s="43"/>
      <c r="K1653" s="51"/>
      <c r="L1653" s="86"/>
    </row>
    <row r="1654" spans="1:12" ht="15" x14ac:dyDescent="0.25">
      <c r="A1654" s="1">
        <v>1645</v>
      </c>
      <c r="B1654" s="1" t="s">
        <v>268</v>
      </c>
      <c r="C1654" s="32">
        <v>8868</v>
      </c>
      <c r="D1654" s="1">
        <v>20000</v>
      </c>
      <c r="E1654" s="1"/>
      <c r="F1654" s="1">
        <v>222.82</v>
      </c>
      <c r="G1654" s="1">
        <v>20000</v>
      </c>
      <c r="H1654" s="5">
        <f t="shared" si="44"/>
        <v>0</v>
      </c>
      <c r="I1654" s="6"/>
      <c r="J1654" s="43"/>
      <c r="K1654" s="51"/>
      <c r="L1654" s="86"/>
    </row>
    <row r="1655" spans="1:12" ht="15" x14ac:dyDescent="0.25">
      <c r="A1655" s="1">
        <v>1646</v>
      </c>
      <c r="B1655" s="1" t="s">
        <v>268</v>
      </c>
      <c r="C1655" s="32">
        <v>1842</v>
      </c>
      <c r="D1655" s="1">
        <v>15000</v>
      </c>
      <c r="E1655" s="1"/>
      <c r="F1655" s="1">
        <v>167.32</v>
      </c>
      <c r="G1655" s="1">
        <v>15000</v>
      </c>
      <c r="H1655" s="5">
        <f t="shared" si="44"/>
        <v>0</v>
      </c>
      <c r="I1655" s="6"/>
      <c r="J1655" s="43"/>
      <c r="K1655" s="51"/>
      <c r="L1655" s="86"/>
    </row>
    <row r="1656" spans="1:12" ht="15" x14ac:dyDescent="0.25">
      <c r="A1656" s="1">
        <v>1647</v>
      </c>
      <c r="B1656" s="1" t="s">
        <v>268</v>
      </c>
      <c r="C1656" s="32" t="s">
        <v>66</v>
      </c>
      <c r="D1656" s="1">
        <v>200</v>
      </c>
      <c r="E1656" s="1"/>
      <c r="F1656" s="1">
        <v>2.08</v>
      </c>
      <c r="G1656" s="1">
        <v>200</v>
      </c>
      <c r="H1656" s="5">
        <f t="shared" si="44"/>
        <v>0</v>
      </c>
      <c r="I1656" s="6"/>
      <c r="J1656" s="43"/>
      <c r="K1656" s="51"/>
      <c r="L1656" s="86"/>
    </row>
    <row r="1657" spans="1:12" ht="15" x14ac:dyDescent="0.25">
      <c r="A1657" s="1">
        <v>1648</v>
      </c>
      <c r="B1657" s="1" t="s">
        <v>268</v>
      </c>
      <c r="C1657" s="32">
        <v>2016</v>
      </c>
      <c r="D1657" s="1">
        <v>22000</v>
      </c>
      <c r="E1657" s="1"/>
      <c r="F1657" s="1">
        <v>245</v>
      </c>
      <c r="G1657" s="1">
        <v>22000</v>
      </c>
      <c r="H1657" s="5">
        <f t="shared" si="44"/>
        <v>0</v>
      </c>
      <c r="I1657" s="6"/>
      <c r="J1657" s="43"/>
      <c r="K1657" s="51"/>
      <c r="L1657" s="86">
        <f>677113-624647</f>
        <v>52466</v>
      </c>
    </row>
    <row r="1658" spans="1:12" ht="15" x14ac:dyDescent="0.25">
      <c r="A1658" s="1">
        <v>1649</v>
      </c>
      <c r="B1658" s="1" t="s">
        <v>269</v>
      </c>
      <c r="C1658" s="32">
        <v>8981</v>
      </c>
      <c r="D1658" s="1">
        <v>27000</v>
      </c>
      <c r="E1658" s="1"/>
      <c r="F1658" s="1">
        <v>256</v>
      </c>
      <c r="G1658" s="1">
        <v>27000</v>
      </c>
      <c r="H1658" s="5">
        <f t="shared" si="44"/>
        <v>0</v>
      </c>
      <c r="I1658" s="6"/>
      <c r="J1658" s="43"/>
      <c r="K1658" s="51"/>
      <c r="L1658" s="86"/>
    </row>
    <row r="1659" spans="1:12" ht="15" x14ac:dyDescent="0.25">
      <c r="A1659" s="1">
        <v>1650</v>
      </c>
      <c r="B1659" s="1" t="s">
        <v>269</v>
      </c>
      <c r="C1659" s="32">
        <v>6353</v>
      </c>
      <c r="D1659" s="1">
        <v>14000</v>
      </c>
      <c r="E1659" s="1"/>
      <c r="F1659" s="1">
        <v>155.97</v>
      </c>
      <c r="G1659" s="1">
        <v>14000</v>
      </c>
      <c r="H1659" s="5">
        <f t="shared" si="44"/>
        <v>0</v>
      </c>
      <c r="I1659" s="6"/>
      <c r="J1659" s="43"/>
      <c r="K1659" s="51"/>
      <c r="L1659" s="86"/>
    </row>
    <row r="1660" spans="1:12" ht="15" x14ac:dyDescent="0.25">
      <c r="A1660" s="1">
        <v>1651</v>
      </c>
      <c r="B1660" s="1" t="s">
        <v>269</v>
      </c>
      <c r="C1660" s="32" t="s">
        <v>30</v>
      </c>
      <c r="D1660" s="1">
        <v>4500</v>
      </c>
      <c r="E1660" s="1"/>
      <c r="F1660" s="1">
        <v>50.13</v>
      </c>
      <c r="G1660" s="1">
        <v>4500</v>
      </c>
      <c r="H1660" s="5">
        <f t="shared" si="44"/>
        <v>0</v>
      </c>
      <c r="I1660" s="6"/>
      <c r="J1660" s="43"/>
      <c r="K1660" s="51"/>
      <c r="L1660" s="86"/>
    </row>
    <row r="1661" spans="1:12" ht="15" x14ac:dyDescent="0.25">
      <c r="A1661" s="1">
        <v>1652</v>
      </c>
      <c r="B1661" s="1" t="s">
        <v>269</v>
      </c>
      <c r="C1661" s="32">
        <v>5079</v>
      </c>
      <c r="D1661" s="1">
        <v>25000</v>
      </c>
      <c r="E1661" s="1"/>
      <c r="F1661" s="1">
        <v>278.52</v>
      </c>
      <c r="G1661" s="1">
        <v>25000</v>
      </c>
      <c r="H1661" s="5">
        <f t="shared" si="44"/>
        <v>0</v>
      </c>
      <c r="I1661" s="6"/>
      <c r="J1661" s="43"/>
      <c r="K1661" s="51"/>
      <c r="L1661" s="86"/>
    </row>
    <row r="1662" spans="1:12" ht="15" x14ac:dyDescent="0.25">
      <c r="A1662" s="1">
        <v>1653</v>
      </c>
      <c r="B1662" s="1" t="s">
        <v>269</v>
      </c>
      <c r="C1662" s="32">
        <v>7445</v>
      </c>
      <c r="D1662" s="1">
        <v>26000</v>
      </c>
      <c r="E1662" s="1"/>
      <c r="F1662" s="1">
        <v>289.66000000000003</v>
      </c>
      <c r="G1662" s="1">
        <v>26000</v>
      </c>
      <c r="H1662" s="5">
        <f t="shared" si="44"/>
        <v>0</v>
      </c>
      <c r="I1662" s="6"/>
      <c r="J1662" s="43"/>
      <c r="K1662" s="51"/>
      <c r="L1662" s="86"/>
    </row>
    <row r="1663" spans="1:12" ht="15" x14ac:dyDescent="0.25">
      <c r="A1663" s="1">
        <v>1654</v>
      </c>
      <c r="B1663" s="1" t="s">
        <v>269</v>
      </c>
      <c r="C1663" s="32">
        <v>3828</v>
      </c>
      <c r="D1663" s="1">
        <v>22000</v>
      </c>
      <c r="E1663" s="1"/>
      <c r="F1663" s="1">
        <v>245.1</v>
      </c>
      <c r="G1663" s="1">
        <v>22000</v>
      </c>
      <c r="H1663" s="5">
        <f t="shared" si="44"/>
        <v>0</v>
      </c>
      <c r="I1663" s="6"/>
      <c r="J1663" s="43"/>
      <c r="K1663" s="51"/>
      <c r="L1663" s="86"/>
    </row>
    <row r="1664" spans="1:12" ht="15" x14ac:dyDescent="0.25">
      <c r="A1664" s="1">
        <v>1655</v>
      </c>
      <c r="B1664" s="1" t="s">
        <v>269</v>
      </c>
      <c r="C1664" s="32">
        <v>472</v>
      </c>
      <c r="D1664" s="1">
        <v>20000</v>
      </c>
      <c r="E1664" s="1"/>
      <c r="F1664" s="1">
        <v>278.52</v>
      </c>
      <c r="G1664" s="1">
        <v>20000</v>
      </c>
      <c r="H1664" s="5">
        <f t="shared" si="44"/>
        <v>0</v>
      </c>
      <c r="I1664" s="6"/>
      <c r="J1664" s="43"/>
      <c r="K1664" s="51"/>
      <c r="L1664" s="86"/>
    </row>
    <row r="1665" spans="1:12" ht="15" x14ac:dyDescent="0.25">
      <c r="A1665" s="1">
        <v>1656</v>
      </c>
      <c r="B1665" s="1" t="s">
        <v>269</v>
      </c>
      <c r="C1665" s="32">
        <v>1998</v>
      </c>
      <c r="D1665" s="1">
        <v>15000</v>
      </c>
      <c r="E1665" s="1"/>
      <c r="F1665" s="1">
        <v>167.11</v>
      </c>
      <c r="G1665" s="1">
        <v>15000</v>
      </c>
      <c r="H1665" s="5">
        <f t="shared" si="44"/>
        <v>0</v>
      </c>
      <c r="I1665" s="6"/>
      <c r="J1665" s="43"/>
      <c r="K1665" s="51"/>
      <c r="L1665" s="86"/>
    </row>
    <row r="1666" spans="1:12" ht="15" x14ac:dyDescent="0.25">
      <c r="A1666" s="1">
        <v>1657</v>
      </c>
      <c r="B1666" s="1" t="s">
        <v>269</v>
      </c>
      <c r="C1666" s="32">
        <v>1543</v>
      </c>
      <c r="D1666" s="1">
        <v>15000</v>
      </c>
      <c r="E1666" s="1"/>
      <c r="F1666" s="1">
        <v>167.11</v>
      </c>
      <c r="G1666" s="1">
        <v>15000</v>
      </c>
      <c r="H1666" s="5">
        <f t="shared" si="44"/>
        <v>0</v>
      </c>
      <c r="I1666" s="6"/>
      <c r="J1666" s="43"/>
      <c r="K1666" s="51"/>
      <c r="L1666" s="86">
        <f>893147-795613</f>
        <v>97534</v>
      </c>
    </row>
    <row r="1667" spans="1:12" ht="15" x14ac:dyDescent="0.25">
      <c r="A1667" s="1">
        <v>1658</v>
      </c>
      <c r="B1667" s="1" t="s">
        <v>270</v>
      </c>
      <c r="C1667" s="32">
        <v>2774</v>
      </c>
      <c r="D1667" s="1">
        <v>15000</v>
      </c>
      <c r="E1667" s="1"/>
      <c r="F1667" s="1">
        <v>167.11</v>
      </c>
      <c r="G1667" s="1">
        <v>15000</v>
      </c>
      <c r="H1667" s="5">
        <f t="shared" si="44"/>
        <v>0</v>
      </c>
      <c r="I1667" s="6"/>
      <c r="J1667" s="43"/>
      <c r="K1667" s="51"/>
      <c r="L1667" s="86"/>
    </row>
    <row r="1668" spans="1:12" ht="15" x14ac:dyDescent="0.25">
      <c r="A1668" s="1">
        <v>1659</v>
      </c>
      <c r="B1668" s="1" t="s">
        <v>270</v>
      </c>
      <c r="C1668" s="32" t="s">
        <v>66</v>
      </c>
      <c r="D1668" s="1">
        <v>200</v>
      </c>
      <c r="E1668" s="1"/>
      <c r="F1668" s="1">
        <v>2.08</v>
      </c>
      <c r="G1668" s="1">
        <v>200</v>
      </c>
      <c r="H1668" s="5">
        <f t="shared" si="44"/>
        <v>0</v>
      </c>
      <c r="I1668" s="6"/>
      <c r="J1668" s="43"/>
      <c r="K1668" s="51"/>
      <c r="L1668" s="86"/>
    </row>
    <row r="1669" spans="1:12" ht="15" x14ac:dyDescent="0.25">
      <c r="A1669" s="1">
        <v>1660</v>
      </c>
      <c r="B1669" s="1" t="s">
        <v>270</v>
      </c>
      <c r="C1669" s="32">
        <v>4337</v>
      </c>
      <c r="D1669" s="1">
        <v>12000</v>
      </c>
      <c r="E1669" s="1"/>
      <c r="F1669" s="1">
        <v>133.69</v>
      </c>
      <c r="G1669" s="1">
        <v>12000</v>
      </c>
      <c r="H1669" s="5">
        <f t="shared" si="44"/>
        <v>0</v>
      </c>
      <c r="I1669" s="6"/>
      <c r="J1669" s="43"/>
      <c r="K1669" s="51"/>
      <c r="L1669" s="86">
        <f>750572-722813</f>
        <v>27759</v>
      </c>
    </row>
    <row r="1670" spans="1:12" ht="15" x14ac:dyDescent="0.25">
      <c r="A1670" s="1">
        <v>1661</v>
      </c>
      <c r="B1670" s="1" t="s">
        <v>271</v>
      </c>
      <c r="C1670" s="32" t="s">
        <v>30</v>
      </c>
      <c r="D1670" s="1">
        <v>5000</v>
      </c>
      <c r="E1670" s="1"/>
      <c r="F1670" s="1">
        <v>55.7</v>
      </c>
      <c r="G1670" s="1">
        <v>5000</v>
      </c>
      <c r="H1670" s="5">
        <f t="shared" si="44"/>
        <v>0</v>
      </c>
      <c r="I1670" s="6"/>
      <c r="J1670" s="43"/>
      <c r="K1670" s="51"/>
      <c r="L1670" s="86"/>
    </row>
    <row r="1671" spans="1:12" ht="15" x14ac:dyDescent="0.25">
      <c r="A1671" s="1">
        <v>1662</v>
      </c>
      <c r="B1671" s="1" t="s">
        <v>271</v>
      </c>
      <c r="C1671" s="32" t="s">
        <v>63</v>
      </c>
      <c r="D1671" s="1">
        <v>3500</v>
      </c>
      <c r="E1671" s="1"/>
      <c r="F1671" s="1">
        <v>38.99</v>
      </c>
      <c r="G1671" s="1">
        <v>3500</v>
      </c>
      <c r="H1671" s="5">
        <f t="shared" si="44"/>
        <v>0</v>
      </c>
      <c r="I1671" s="6"/>
      <c r="J1671" s="43"/>
      <c r="K1671" s="51"/>
      <c r="L1671" s="86"/>
    </row>
    <row r="1672" spans="1:12" ht="15" x14ac:dyDescent="0.25">
      <c r="A1672" s="1">
        <v>1663</v>
      </c>
      <c r="B1672" s="1" t="s">
        <v>271</v>
      </c>
      <c r="C1672" s="32">
        <v>6391</v>
      </c>
      <c r="D1672" s="1">
        <v>11000</v>
      </c>
      <c r="E1672" s="1"/>
      <c r="F1672" s="1">
        <v>155.97</v>
      </c>
      <c r="G1672" s="1">
        <v>11000</v>
      </c>
      <c r="H1672" s="5">
        <f t="shared" si="44"/>
        <v>0</v>
      </c>
      <c r="I1672" s="6"/>
      <c r="J1672" s="43"/>
      <c r="K1672" s="51"/>
      <c r="L1672" s="86"/>
    </row>
    <row r="1673" spans="1:12" ht="15" x14ac:dyDescent="0.25">
      <c r="A1673" s="1">
        <v>1664</v>
      </c>
      <c r="B1673" s="1" t="s">
        <v>271</v>
      </c>
      <c r="C1673" s="32">
        <v>9903</v>
      </c>
      <c r="D1673" s="1">
        <v>15000</v>
      </c>
      <c r="E1673" s="1"/>
      <c r="F1673" s="1">
        <v>167.11</v>
      </c>
      <c r="G1673" s="1">
        <v>15000</v>
      </c>
      <c r="H1673" s="5">
        <f t="shared" si="44"/>
        <v>0</v>
      </c>
      <c r="I1673" s="6"/>
      <c r="J1673" s="43"/>
      <c r="K1673" s="51"/>
      <c r="L1673" s="86"/>
    </row>
    <row r="1674" spans="1:12" ht="15" x14ac:dyDescent="0.25">
      <c r="A1674" s="1">
        <v>1665</v>
      </c>
      <c r="B1674" s="1" t="s">
        <v>271</v>
      </c>
      <c r="C1674" s="32">
        <v>4928</v>
      </c>
      <c r="D1674" s="1">
        <v>20000</v>
      </c>
      <c r="E1674" s="1"/>
      <c r="F1674" s="1">
        <v>204.88</v>
      </c>
      <c r="G1674" s="1">
        <v>20000</v>
      </c>
      <c r="H1674" s="5">
        <f t="shared" si="44"/>
        <v>0</v>
      </c>
      <c r="I1674" s="6"/>
      <c r="J1674" s="43"/>
      <c r="K1674" s="51"/>
      <c r="L1674" s="86"/>
    </row>
    <row r="1675" spans="1:12" ht="15" x14ac:dyDescent="0.25">
      <c r="A1675" s="1">
        <v>1666</v>
      </c>
      <c r="B1675" s="1" t="s">
        <v>271</v>
      </c>
      <c r="C1675" s="32">
        <v>6295</v>
      </c>
      <c r="D1675" s="1">
        <v>25000</v>
      </c>
      <c r="E1675" s="1"/>
      <c r="F1675" s="1">
        <v>278.52</v>
      </c>
      <c r="G1675" s="1">
        <v>25000</v>
      </c>
      <c r="H1675" s="5">
        <f t="shared" si="44"/>
        <v>0</v>
      </c>
      <c r="I1675" s="6"/>
      <c r="J1675" s="43"/>
      <c r="K1675" s="51"/>
      <c r="L1675" s="86">
        <f>713316-702313</f>
        <v>11003</v>
      </c>
    </row>
    <row r="1676" spans="1:12" ht="15" x14ac:dyDescent="0.25">
      <c r="A1676" s="1">
        <v>1667</v>
      </c>
      <c r="B1676" s="1" t="s">
        <v>272</v>
      </c>
      <c r="C1676" s="32">
        <v>7109</v>
      </c>
      <c r="D1676" s="1">
        <v>2500</v>
      </c>
      <c r="E1676" s="1"/>
      <c r="F1676" s="1">
        <v>27.86</v>
      </c>
      <c r="G1676" s="1">
        <v>2500</v>
      </c>
      <c r="H1676" s="5">
        <f t="shared" si="44"/>
        <v>0</v>
      </c>
      <c r="I1676" s="6"/>
      <c r="J1676" s="43"/>
      <c r="K1676" s="51"/>
      <c r="L1676" s="86"/>
    </row>
    <row r="1677" spans="1:12" ht="15" x14ac:dyDescent="0.25">
      <c r="A1677" s="1">
        <v>1668</v>
      </c>
      <c r="B1677" s="1" t="s">
        <v>272</v>
      </c>
      <c r="C1677" s="32">
        <v>9975</v>
      </c>
      <c r="D1677" s="1">
        <v>30000</v>
      </c>
      <c r="E1677" s="1"/>
      <c r="F1677" s="1">
        <v>334.22</v>
      </c>
      <c r="G1677" s="1">
        <v>30000</v>
      </c>
      <c r="H1677" s="5">
        <f t="shared" si="44"/>
        <v>0</v>
      </c>
      <c r="I1677" s="6"/>
      <c r="J1677" s="43"/>
      <c r="K1677" s="51"/>
      <c r="L1677" s="86"/>
    </row>
    <row r="1678" spans="1:12" ht="15" x14ac:dyDescent="0.25">
      <c r="A1678" s="1">
        <v>1669</v>
      </c>
      <c r="B1678" s="1" t="s">
        <v>272</v>
      </c>
      <c r="C1678" s="32">
        <v>2216</v>
      </c>
      <c r="D1678" s="1">
        <v>20000</v>
      </c>
      <c r="E1678" s="1"/>
      <c r="F1678" s="1">
        <v>278.52</v>
      </c>
      <c r="G1678" s="1">
        <v>20000</v>
      </c>
      <c r="H1678" s="5">
        <f t="shared" si="44"/>
        <v>0</v>
      </c>
      <c r="I1678" s="6"/>
      <c r="J1678" s="43"/>
      <c r="K1678" s="51"/>
      <c r="L1678" s="86">
        <f>812316-801313</f>
        <v>11003</v>
      </c>
    </row>
    <row r="1679" spans="1:12" ht="15" x14ac:dyDescent="0.25">
      <c r="A1679" s="1">
        <v>1670</v>
      </c>
      <c r="B1679" s="1" t="s">
        <v>273</v>
      </c>
      <c r="C1679" s="32" t="s">
        <v>30</v>
      </c>
      <c r="D1679" s="1">
        <v>4500</v>
      </c>
      <c r="E1679" s="1"/>
      <c r="F1679" s="1">
        <v>50.13</v>
      </c>
      <c r="G1679" s="1">
        <v>4500</v>
      </c>
      <c r="H1679" s="5">
        <f t="shared" si="44"/>
        <v>0</v>
      </c>
      <c r="I1679" s="6"/>
      <c r="J1679" s="43"/>
      <c r="K1679" s="51"/>
      <c r="L1679" s="86"/>
    </row>
    <row r="1680" spans="1:12" ht="15" x14ac:dyDescent="0.25">
      <c r="A1680" s="1">
        <v>1671</v>
      </c>
      <c r="B1680" s="1" t="s">
        <v>273</v>
      </c>
      <c r="C1680" s="32">
        <v>3776</v>
      </c>
      <c r="D1680" s="1">
        <v>15000</v>
      </c>
      <c r="E1680" s="1"/>
      <c r="F1680" s="1">
        <v>167.11</v>
      </c>
      <c r="G1680" s="1">
        <v>15000</v>
      </c>
      <c r="H1680" s="5">
        <f t="shared" si="44"/>
        <v>0</v>
      </c>
      <c r="I1680" s="6"/>
      <c r="J1680" s="43"/>
      <c r="K1680" s="51"/>
      <c r="L1680" s="86"/>
    </row>
    <row r="1681" spans="1:12" ht="15" x14ac:dyDescent="0.25">
      <c r="A1681" s="1">
        <v>1672</v>
      </c>
      <c r="B1681" s="1" t="s">
        <v>273</v>
      </c>
      <c r="C1681" s="32" t="s">
        <v>66</v>
      </c>
      <c r="D1681" s="1">
        <v>200</v>
      </c>
      <c r="E1681" s="1"/>
      <c r="F1681" s="1">
        <v>2.08</v>
      </c>
      <c r="G1681" s="1">
        <v>200</v>
      </c>
      <c r="H1681" s="5">
        <f t="shared" si="44"/>
        <v>0</v>
      </c>
      <c r="I1681" s="6"/>
      <c r="J1681" s="43"/>
      <c r="K1681" s="51"/>
      <c r="L1681" s="86"/>
    </row>
    <row r="1682" spans="1:12" ht="15" x14ac:dyDescent="0.25">
      <c r="A1682" s="1">
        <v>1673</v>
      </c>
      <c r="B1682" s="1" t="s">
        <v>273</v>
      </c>
      <c r="C1682" s="32">
        <v>3662</v>
      </c>
      <c r="D1682" s="1">
        <v>18000</v>
      </c>
      <c r="E1682" s="1"/>
      <c r="F1682" s="1">
        <v>200.57</v>
      </c>
      <c r="G1682" s="1">
        <v>18000</v>
      </c>
      <c r="H1682" s="5">
        <f t="shared" si="44"/>
        <v>0</v>
      </c>
      <c r="I1682" s="6"/>
      <c r="J1682" s="43"/>
      <c r="K1682" s="51"/>
      <c r="L1682" s="86"/>
    </row>
    <row r="1683" spans="1:12" ht="15" x14ac:dyDescent="0.25">
      <c r="A1683" s="1">
        <v>1674</v>
      </c>
      <c r="B1683" s="1" t="s">
        <v>273</v>
      </c>
      <c r="C1683" s="32">
        <v>4612</v>
      </c>
      <c r="D1683" s="1">
        <v>17000</v>
      </c>
      <c r="E1683" s="1"/>
      <c r="F1683" s="1">
        <v>189.39</v>
      </c>
      <c r="G1683" s="1">
        <v>17000</v>
      </c>
      <c r="H1683" s="5">
        <f t="shared" si="44"/>
        <v>0</v>
      </c>
      <c r="I1683" s="6"/>
      <c r="J1683" s="43"/>
      <c r="K1683" s="51"/>
      <c r="L1683" s="86"/>
    </row>
    <row r="1684" spans="1:12" ht="15" x14ac:dyDescent="0.25">
      <c r="A1684" s="1">
        <v>1675</v>
      </c>
      <c r="B1684" s="1" t="s">
        <v>273</v>
      </c>
      <c r="C1684" s="32">
        <v>3158</v>
      </c>
      <c r="D1684" s="1">
        <v>25000</v>
      </c>
      <c r="E1684" s="1"/>
      <c r="F1684" s="1">
        <v>278.52</v>
      </c>
      <c r="G1684" s="1">
        <v>25000</v>
      </c>
      <c r="H1684" s="5">
        <f t="shared" si="44"/>
        <v>0</v>
      </c>
      <c r="I1684" s="6"/>
      <c r="J1684" s="43"/>
      <c r="K1684" s="51"/>
      <c r="L1684" s="86"/>
    </row>
    <row r="1685" spans="1:12" ht="15" x14ac:dyDescent="0.25">
      <c r="A1685" s="1">
        <v>1676</v>
      </c>
      <c r="B1685" s="1" t="s">
        <v>273</v>
      </c>
      <c r="C1685" s="32">
        <v>3871</v>
      </c>
      <c r="D1685" s="1">
        <v>15000</v>
      </c>
      <c r="E1685" s="1"/>
      <c r="F1685" s="1">
        <v>167.11</v>
      </c>
      <c r="G1685" s="1">
        <v>15000</v>
      </c>
      <c r="H1685" s="5">
        <f t="shared" si="44"/>
        <v>0</v>
      </c>
      <c r="I1685" s="6"/>
      <c r="J1685" s="43"/>
      <c r="K1685" s="51"/>
      <c r="L1685" s="86"/>
    </row>
    <row r="1686" spans="1:12" ht="15" x14ac:dyDescent="0.25">
      <c r="A1686" s="1">
        <v>1677</v>
      </c>
      <c r="B1686" s="1" t="s">
        <v>273</v>
      </c>
      <c r="C1686" s="32">
        <v>876</v>
      </c>
      <c r="D1686" s="1">
        <v>17000</v>
      </c>
      <c r="E1686" s="1"/>
      <c r="F1686" s="1">
        <v>189.41</v>
      </c>
      <c r="G1686" s="1">
        <v>17000</v>
      </c>
      <c r="H1686" s="5">
        <f t="shared" si="44"/>
        <v>0</v>
      </c>
      <c r="I1686" s="6"/>
      <c r="J1686" s="43"/>
      <c r="K1686" s="51"/>
      <c r="L1686" s="86"/>
    </row>
    <row r="1687" spans="1:12" ht="15" x14ac:dyDescent="0.25">
      <c r="A1687" s="1">
        <v>1678</v>
      </c>
      <c r="B1687" s="1" t="s">
        <v>273</v>
      </c>
      <c r="C1687" s="32">
        <v>5250</v>
      </c>
      <c r="D1687" s="1">
        <v>23000</v>
      </c>
      <c r="E1687" s="1"/>
      <c r="F1687" s="1">
        <v>235.07</v>
      </c>
      <c r="G1687" s="1">
        <v>23000</v>
      </c>
      <c r="H1687" s="5">
        <f t="shared" si="44"/>
        <v>0</v>
      </c>
      <c r="I1687" s="6"/>
      <c r="J1687" s="43"/>
      <c r="K1687" s="51"/>
      <c r="L1687" s="86"/>
    </row>
    <row r="1688" spans="1:12" ht="15" x14ac:dyDescent="0.25">
      <c r="A1688" s="1">
        <v>1679</v>
      </c>
      <c r="B1688" s="1" t="s">
        <v>273</v>
      </c>
      <c r="C1688" s="32">
        <v>4702</v>
      </c>
      <c r="D1688" s="1">
        <v>18000</v>
      </c>
      <c r="E1688" s="1"/>
      <c r="F1688" s="1">
        <v>161.54</v>
      </c>
      <c r="G1688" s="1">
        <v>18000</v>
      </c>
      <c r="H1688" s="5">
        <f t="shared" si="44"/>
        <v>0</v>
      </c>
      <c r="I1688" s="6"/>
      <c r="J1688" s="43"/>
      <c r="K1688" s="51"/>
      <c r="L1688" s="86"/>
    </row>
    <row r="1689" spans="1:12" ht="15" x14ac:dyDescent="0.25">
      <c r="A1689" s="1">
        <v>1680</v>
      </c>
      <c r="B1689" s="1" t="s">
        <v>275</v>
      </c>
      <c r="C1689" s="32">
        <v>1352</v>
      </c>
      <c r="D1689" s="1">
        <v>13000</v>
      </c>
      <c r="E1689" s="1"/>
      <c r="F1689" s="1">
        <v>144.83000000000001</v>
      </c>
      <c r="G1689" s="1">
        <v>13000</v>
      </c>
      <c r="H1689" s="5">
        <f t="shared" si="44"/>
        <v>0</v>
      </c>
      <c r="I1689" s="6"/>
      <c r="J1689" s="43"/>
      <c r="K1689" s="51"/>
      <c r="L1689" s="86"/>
    </row>
    <row r="1690" spans="1:12" ht="15" x14ac:dyDescent="0.25">
      <c r="A1690" s="1">
        <v>1681</v>
      </c>
      <c r="B1690" s="1" t="s">
        <v>275</v>
      </c>
      <c r="C1690" s="32" t="s">
        <v>63</v>
      </c>
      <c r="D1690" s="1">
        <v>3500</v>
      </c>
      <c r="E1690" s="1"/>
      <c r="F1690" s="1">
        <v>38.99</v>
      </c>
      <c r="G1690" s="1">
        <v>3500</v>
      </c>
      <c r="H1690" s="5">
        <f t="shared" si="44"/>
        <v>0</v>
      </c>
      <c r="I1690" s="6"/>
      <c r="J1690" s="43"/>
      <c r="K1690" s="51"/>
      <c r="L1690" s="86"/>
    </row>
    <row r="1691" spans="1:12" ht="15" x14ac:dyDescent="0.25">
      <c r="A1691" s="1">
        <v>1682</v>
      </c>
      <c r="B1691" s="1" t="s">
        <v>275</v>
      </c>
      <c r="C1691" s="32">
        <v>8105</v>
      </c>
      <c r="D1691" s="1">
        <v>13000</v>
      </c>
      <c r="E1691" s="1"/>
      <c r="F1691" s="1">
        <v>144.83000000000001</v>
      </c>
      <c r="G1691" s="1">
        <v>13000</v>
      </c>
      <c r="H1691" s="5">
        <f t="shared" si="44"/>
        <v>0</v>
      </c>
      <c r="I1691" s="6"/>
      <c r="J1691" s="43"/>
      <c r="K1691" s="51"/>
      <c r="L1691" s="86"/>
    </row>
    <row r="1692" spans="1:12" ht="15" x14ac:dyDescent="0.25">
      <c r="A1692" s="1">
        <v>1683</v>
      </c>
      <c r="B1692" s="1" t="s">
        <v>275</v>
      </c>
      <c r="C1692" s="32">
        <v>6048</v>
      </c>
      <c r="D1692" s="1">
        <v>12000</v>
      </c>
      <c r="E1692" s="1"/>
      <c r="F1692" s="1">
        <v>133.69</v>
      </c>
      <c r="G1692" s="1">
        <v>12000</v>
      </c>
      <c r="H1692" s="5">
        <f t="shared" si="44"/>
        <v>0</v>
      </c>
      <c r="I1692" s="6"/>
      <c r="J1692" s="43"/>
      <c r="K1692" s="51"/>
      <c r="L1692" s="86"/>
    </row>
    <row r="1693" spans="1:12" ht="15" x14ac:dyDescent="0.25">
      <c r="A1693" s="1">
        <v>1684</v>
      </c>
      <c r="B1693" s="1" t="s">
        <v>275</v>
      </c>
      <c r="C1693" s="32">
        <v>1369</v>
      </c>
      <c r="D1693" s="1">
        <v>19000</v>
      </c>
      <c r="E1693" s="1"/>
      <c r="F1693" s="1">
        <v>211.68</v>
      </c>
      <c r="G1693" s="1">
        <v>19000</v>
      </c>
      <c r="H1693" s="5">
        <f t="shared" si="44"/>
        <v>0</v>
      </c>
      <c r="I1693" s="6"/>
      <c r="J1693" s="43"/>
      <c r="K1693" s="51"/>
      <c r="L1693" s="86"/>
    </row>
    <row r="1694" spans="1:12" ht="15" x14ac:dyDescent="0.25">
      <c r="A1694" s="1">
        <v>1685</v>
      </c>
      <c r="B1694" s="1" t="s">
        <v>275</v>
      </c>
      <c r="C1694" s="32">
        <v>2033</v>
      </c>
      <c r="D1694" s="1">
        <v>13000</v>
      </c>
      <c r="E1694" s="1"/>
      <c r="F1694" s="1">
        <v>144.83000000000001</v>
      </c>
      <c r="G1694" s="1">
        <v>13000</v>
      </c>
      <c r="H1694" s="5">
        <f t="shared" si="44"/>
        <v>0</v>
      </c>
      <c r="I1694" s="6"/>
      <c r="J1694" s="43"/>
      <c r="K1694" s="51"/>
      <c r="L1694" s="86"/>
    </row>
    <row r="1695" spans="1:12" ht="15" x14ac:dyDescent="0.25">
      <c r="A1695" s="1">
        <v>1686</v>
      </c>
      <c r="B1695" s="1" t="s">
        <v>275</v>
      </c>
      <c r="C1695" s="32">
        <v>579</v>
      </c>
      <c r="D1695" s="1">
        <v>25000</v>
      </c>
      <c r="E1695" s="1"/>
      <c r="F1695" s="1">
        <v>278.52</v>
      </c>
      <c r="G1695" s="1">
        <v>25000</v>
      </c>
      <c r="H1695" s="5">
        <f t="shared" si="44"/>
        <v>0</v>
      </c>
      <c r="I1695" s="6"/>
      <c r="J1695" s="43"/>
      <c r="K1695" s="51"/>
      <c r="L1695" s="86"/>
    </row>
    <row r="1696" spans="1:12" ht="15" x14ac:dyDescent="0.25">
      <c r="A1696" s="1">
        <v>1687</v>
      </c>
      <c r="B1696" s="1" t="s">
        <v>275</v>
      </c>
      <c r="C1696" s="32">
        <v>7327</v>
      </c>
      <c r="D1696" s="1">
        <v>12000</v>
      </c>
      <c r="E1696" s="1"/>
      <c r="F1696" s="1">
        <v>133.69</v>
      </c>
      <c r="G1696" s="1">
        <v>12000</v>
      </c>
      <c r="H1696" s="5">
        <f t="shared" si="44"/>
        <v>0</v>
      </c>
      <c r="I1696" s="6"/>
      <c r="J1696" s="43"/>
      <c r="K1696" s="51"/>
      <c r="L1696" s="86">
        <f>931416-917419</f>
        <v>13997</v>
      </c>
    </row>
    <row r="1697" spans="1:13" ht="15" x14ac:dyDescent="0.25">
      <c r="A1697" s="1">
        <v>1688</v>
      </c>
      <c r="B1697" s="1" t="s">
        <v>277</v>
      </c>
      <c r="C1697" s="32">
        <v>9998</v>
      </c>
      <c r="D1697" s="1">
        <v>17000</v>
      </c>
      <c r="E1697" s="1"/>
      <c r="F1697" s="1">
        <v>189.41</v>
      </c>
      <c r="G1697" s="1">
        <v>17000</v>
      </c>
      <c r="H1697" s="5">
        <f t="shared" si="44"/>
        <v>0</v>
      </c>
      <c r="I1697" s="6"/>
      <c r="J1697" s="43"/>
      <c r="K1697" s="51"/>
      <c r="L1697" s="86"/>
    </row>
    <row r="1698" spans="1:13" ht="15" x14ac:dyDescent="0.25">
      <c r="A1698" s="1">
        <v>1689</v>
      </c>
      <c r="B1698" s="1" t="s">
        <v>277</v>
      </c>
      <c r="C1698" s="32">
        <v>8595</v>
      </c>
      <c r="D1698" s="1">
        <v>13000</v>
      </c>
      <c r="E1698" s="1"/>
      <c r="F1698" s="1">
        <v>144.83000000000001</v>
      </c>
      <c r="G1698" s="1">
        <v>13000</v>
      </c>
      <c r="H1698" s="5">
        <f t="shared" si="44"/>
        <v>0</v>
      </c>
      <c r="I1698" s="6"/>
      <c r="J1698" s="43"/>
      <c r="K1698" s="51"/>
      <c r="L1698" s="86"/>
    </row>
    <row r="1699" spans="1:13" ht="15" x14ac:dyDescent="0.25">
      <c r="A1699" s="1">
        <v>1690</v>
      </c>
      <c r="B1699" s="1" t="s">
        <v>277</v>
      </c>
      <c r="C1699" s="32" t="s">
        <v>30</v>
      </c>
      <c r="D1699" s="1">
        <v>5000</v>
      </c>
      <c r="E1699" s="1"/>
      <c r="F1699" s="1">
        <v>55.7</v>
      </c>
      <c r="G1699" s="1">
        <v>5000</v>
      </c>
      <c r="H1699" s="5">
        <f t="shared" si="44"/>
        <v>0</v>
      </c>
      <c r="I1699" s="6"/>
      <c r="J1699" s="43"/>
      <c r="K1699" s="51"/>
      <c r="L1699" s="86"/>
    </row>
    <row r="1700" spans="1:13" ht="15" x14ac:dyDescent="0.25">
      <c r="A1700" s="1">
        <v>1691</v>
      </c>
      <c r="B1700" s="1" t="s">
        <v>277</v>
      </c>
      <c r="C1700" s="32">
        <v>4911</v>
      </c>
      <c r="D1700" s="1">
        <v>11000</v>
      </c>
      <c r="E1700" s="1"/>
      <c r="F1700" s="1">
        <v>117</v>
      </c>
      <c r="G1700" s="1">
        <v>11000</v>
      </c>
      <c r="H1700" s="5">
        <f t="shared" si="44"/>
        <v>0</v>
      </c>
      <c r="I1700" s="6"/>
      <c r="J1700" s="43"/>
      <c r="K1700" s="51"/>
      <c r="L1700" s="86"/>
    </row>
    <row r="1701" spans="1:13" ht="15" x14ac:dyDescent="0.25">
      <c r="A1701" s="1">
        <v>1692</v>
      </c>
      <c r="B1701" s="1" t="s">
        <v>277</v>
      </c>
      <c r="C1701" s="32">
        <v>6779</v>
      </c>
      <c r="D1701" s="1">
        <v>11000</v>
      </c>
      <c r="E1701" s="1"/>
      <c r="F1701" s="1">
        <v>117</v>
      </c>
      <c r="G1701" s="1">
        <v>11000</v>
      </c>
      <c r="H1701" s="5">
        <f t="shared" si="44"/>
        <v>0</v>
      </c>
      <c r="I1701" s="6"/>
      <c r="J1701" s="43"/>
      <c r="K1701" s="51"/>
      <c r="L1701" s="86">
        <f>906515-838416</f>
        <v>68099</v>
      </c>
    </row>
    <row r="1702" spans="1:13" ht="15" x14ac:dyDescent="0.25">
      <c r="A1702" s="1">
        <v>1693</v>
      </c>
      <c r="B1702" s="1" t="s">
        <v>278</v>
      </c>
      <c r="C1702" s="32">
        <v>5225</v>
      </c>
      <c r="D1702" s="1">
        <v>13000</v>
      </c>
      <c r="E1702" s="1"/>
      <c r="F1702" s="1">
        <v>144.83000000000001</v>
      </c>
      <c r="G1702" s="1">
        <v>13000</v>
      </c>
      <c r="H1702" s="5">
        <f t="shared" si="44"/>
        <v>0</v>
      </c>
      <c r="I1702" s="6"/>
      <c r="J1702" s="43"/>
      <c r="K1702" s="51"/>
      <c r="L1702" s="86"/>
    </row>
    <row r="1703" spans="1:13" ht="15" x14ac:dyDescent="0.25">
      <c r="A1703" s="1">
        <v>1694</v>
      </c>
      <c r="B1703" s="1" t="s">
        <v>278</v>
      </c>
      <c r="C1703" s="32">
        <v>496</v>
      </c>
      <c r="D1703" s="1">
        <v>17000</v>
      </c>
      <c r="E1703" s="1"/>
      <c r="F1703" s="1">
        <v>189.41</v>
      </c>
      <c r="G1703" s="1">
        <v>17000</v>
      </c>
      <c r="H1703" s="5">
        <f t="shared" si="44"/>
        <v>0</v>
      </c>
      <c r="I1703" s="6"/>
      <c r="J1703" s="43"/>
      <c r="K1703" s="51"/>
      <c r="L1703" s="86"/>
    </row>
    <row r="1704" spans="1:13" ht="15" x14ac:dyDescent="0.25">
      <c r="A1704" s="1">
        <v>1695</v>
      </c>
      <c r="B1704" s="1" t="s">
        <v>278</v>
      </c>
      <c r="C1704" s="32" t="s">
        <v>30</v>
      </c>
      <c r="D1704" s="1">
        <v>4500</v>
      </c>
      <c r="E1704" s="1"/>
      <c r="F1704" s="1">
        <v>50.13</v>
      </c>
      <c r="G1704" s="1">
        <v>4500</v>
      </c>
      <c r="H1704" s="5">
        <f t="shared" si="44"/>
        <v>0</v>
      </c>
      <c r="I1704" s="6"/>
      <c r="J1704" s="43"/>
      <c r="K1704" s="51"/>
      <c r="L1704" s="86"/>
    </row>
    <row r="1705" spans="1:13" ht="15" x14ac:dyDescent="0.25">
      <c r="A1705" s="1">
        <v>1696</v>
      </c>
      <c r="B1705" s="1" t="s">
        <v>278</v>
      </c>
      <c r="C1705" s="32">
        <v>2345</v>
      </c>
      <c r="D1705" s="1">
        <v>23000</v>
      </c>
      <c r="E1705" s="1"/>
      <c r="F1705" s="1">
        <v>256.22000000000003</v>
      </c>
      <c r="G1705" s="1">
        <v>23000</v>
      </c>
      <c r="H1705" s="5">
        <f t="shared" si="44"/>
        <v>0</v>
      </c>
      <c r="I1705" s="6"/>
      <c r="J1705" s="43"/>
      <c r="K1705" s="51"/>
      <c r="L1705" s="86"/>
    </row>
    <row r="1706" spans="1:13" ht="15" x14ac:dyDescent="0.25">
      <c r="A1706" s="1">
        <v>1697</v>
      </c>
      <c r="B1706" s="1" t="s">
        <v>278</v>
      </c>
      <c r="C1706" s="32">
        <v>1143</v>
      </c>
      <c r="D1706" s="1">
        <v>14000</v>
      </c>
      <c r="E1706" s="1"/>
      <c r="F1706" s="1">
        <v>155.97</v>
      </c>
      <c r="G1706" s="1">
        <v>14000</v>
      </c>
      <c r="H1706" s="5">
        <f t="shared" si="44"/>
        <v>0</v>
      </c>
      <c r="I1706" s="6"/>
      <c r="J1706" s="43"/>
      <c r="K1706" s="51"/>
      <c r="L1706" s="86">
        <f>978015-150000-776916</f>
        <v>51099</v>
      </c>
      <c r="M1706">
        <f>978015-150000</f>
        <v>828015</v>
      </c>
    </row>
    <row r="1707" spans="1:13" ht="15" x14ac:dyDescent="0.25">
      <c r="A1707" s="1">
        <v>1698</v>
      </c>
      <c r="B1707" s="1" t="s">
        <v>280</v>
      </c>
      <c r="C1707" s="32">
        <v>5331</v>
      </c>
      <c r="D1707" s="1">
        <v>15000</v>
      </c>
      <c r="E1707" s="1"/>
      <c r="F1707" s="1">
        <v>167.11</v>
      </c>
      <c r="G1707" s="1">
        <v>15000</v>
      </c>
      <c r="H1707" s="5">
        <f t="shared" si="44"/>
        <v>0</v>
      </c>
      <c r="I1707" s="6"/>
      <c r="J1707" s="43"/>
      <c r="K1707" s="51"/>
      <c r="L1707" s="86"/>
    </row>
    <row r="1708" spans="1:13" ht="15" x14ac:dyDescent="0.25">
      <c r="A1708" s="1">
        <v>1699</v>
      </c>
      <c r="B1708" s="1" t="s">
        <v>280</v>
      </c>
      <c r="C1708" s="32">
        <v>7109</v>
      </c>
      <c r="D1708" s="1">
        <v>4400</v>
      </c>
      <c r="E1708" s="1"/>
      <c r="F1708" s="1">
        <v>49.02</v>
      </c>
      <c r="G1708" s="1">
        <v>4400</v>
      </c>
      <c r="H1708" s="5">
        <f t="shared" si="44"/>
        <v>0</v>
      </c>
      <c r="I1708" s="6"/>
      <c r="J1708" s="43"/>
      <c r="K1708" s="51"/>
      <c r="L1708" s="86"/>
    </row>
    <row r="1709" spans="1:13" ht="15" x14ac:dyDescent="0.25">
      <c r="A1709" s="1">
        <v>1700</v>
      </c>
      <c r="B1709" s="1" t="s">
        <v>280</v>
      </c>
      <c r="C1709" s="32">
        <v>445</v>
      </c>
      <c r="D1709" s="1">
        <v>10000</v>
      </c>
      <c r="E1709" s="1"/>
      <c r="F1709" s="1">
        <v>111.41</v>
      </c>
      <c r="G1709" s="1">
        <v>10000</v>
      </c>
      <c r="H1709" s="5">
        <f t="shared" si="44"/>
        <v>0</v>
      </c>
      <c r="I1709" s="6"/>
      <c r="J1709" s="43"/>
      <c r="K1709" s="51"/>
      <c r="L1709" s="86"/>
    </row>
    <row r="1710" spans="1:13" ht="15" x14ac:dyDescent="0.25">
      <c r="A1710" s="1">
        <v>1701</v>
      </c>
      <c r="B1710" s="1" t="s">
        <v>280</v>
      </c>
      <c r="C1710" s="32" t="s">
        <v>63</v>
      </c>
      <c r="D1710" s="1">
        <v>3500</v>
      </c>
      <c r="E1710" s="1"/>
      <c r="F1710" s="1">
        <v>38.99</v>
      </c>
      <c r="G1710" s="1">
        <v>3500</v>
      </c>
      <c r="H1710" s="5">
        <f t="shared" si="44"/>
        <v>0</v>
      </c>
      <c r="I1710" s="6"/>
      <c r="J1710" s="43"/>
      <c r="K1710" s="51"/>
      <c r="L1710" s="86"/>
    </row>
    <row r="1711" spans="1:13" ht="15" x14ac:dyDescent="0.25">
      <c r="A1711" s="1">
        <v>1702</v>
      </c>
      <c r="B1711" s="1" t="s">
        <v>280</v>
      </c>
      <c r="C1711" s="32">
        <v>5258</v>
      </c>
      <c r="D1711" s="1">
        <v>20000</v>
      </c>
      <c r="E1711" s="1"/>
      <c r="F1711" s="1">
        <v>222.82</v>
      </c>
      <c r="G1711" s="1">
        <v>20000</v>
      </c>
      <c r="H1711" s="5">
        <f t="shared" si="44"/>
        <v>0</v>
      </c>
      <c r="I1711" s="6"/>
      <c r="J1711" s="43"/>
      <c r="K1711" s="51"/>
      <c r="L1711" s="86"/>
    </row>
    <row r="1712" spans="1:13" ht="15" x14ac:dyDescent="0.25">
      <c r="A1712" s="1">
        <v>1703</v>
      </c>
      <c r="B1712" s="1" t="s">
        <v>280</v>
      </c>
      <c r="C1712" s="32">
        <v>9253</v>
      </c>
      <c r="D1712" s="1">
        <v>30000</v>
      </c>
      <c r="E1712" s="1"/>
      <c r="F1712" s="1">
        <v>334.42</v>
      </c>
      <c r="G1712" s="1">
        <v>30000</v>
      </c>
      <c r="H1712" s="5">
        <f t="shared" si="44"/>
        <v>0</v>
      </c>
      <c r="I1712" s="6"/>
      <c r="J1712" s="43"/>
      <c r="K1712" s="51"/>
      <c r="L1712" s="86"/>
    </row>
    <row r="1713" spans="1:13" ht="15" x14ac:dyDescent="0.25">
      <c r="A1713" s="1">
        <v>1704</v>
      </c>
      <c r="B1713" s="1" t="s">
        <v>280</v>
      </c>
      <c r="C1713" s="32">
        <v>7509</v>
      </c>
      <c r="D1713" s="1">
        <v>12000</v>
      </c>
      <c r="E1713" s="1"/>
      <c r="F1713" s="1">
        <v>133.68</v>
      </c>
      <c r="G1713" s="1">
        <v>12000</v>
      </c>
      <c r="H1713" s="5">
        <f t="shared" si="44"/>
        <v>0</v>
      </c>
      <c r="I1713" s="6"/>
      <c r="J1713" s="43"/>
      <c r="K1713" s="51"/>
      <c r="L1713" s="86"/>
    </row>
    <row r="1714" spans="1:13" ht="15" x14ac:dyDescent="0.25">
      <c r="A1714" s="1">
        <v>1705</v>
      </c>
      <c r="B1714" s="1" t="s">
        <v>280</v>
      </c>
      <c r="C1714" s="32">
        <v>4692</v>
      </c>
      <c r="D1714" s="1">
        <v>22000</v>
      </c>
      <c r="E1714" s="1"/>
      <c r="F1714" s="1">
        <v>245.1</v>
      </c>
      <c r="G1714" s="1">
        <v>22000</v>
      </c>
      <c r="H1714" s="5">
        <f t="shared" si="44"/>
        <v>0</v>
      </c>
      <c r="I1714" s="6"/>
      <c r="J1714" s="43"/>
      <c r="K1714" s="51"/>
      <c r="L1714" s="86"/>
    </row>
    <row r="1715" spans="1:13" ht="15" x14ac:dyDescent="0.25">
      <c r="A1715" s="1">
        <v>1706</v>
      </c>
      <c r="B1715" s="1" t="s">
        <v>280</v>
      </c>
      <c r="C1715" s="32">
        <v>4492</v>
      </c>
      <c r="D1715" s="1">
        <v>22000</v>
      </c>
      <c r="E1715" s="1"/>
      <c r="F1715" s="1">
        <v>245.1</v>
      </c>
      <c r="G1715" s="1">
        <v>22000</v>
      </c>
      <c r="H1715" s="5">
        <f t="shared" ref="H1715:H1778" si="45">D1715-G1715</f>
        <v>0</v>
      </c>
      <c r="I1715" s="6"/>
      <c r="J1715" s="43"/>
      <c r="K1715" s="51"/>
      <c r="L1715" s="86"/>
    </row>
    <row r="1716" spans="1:13" ht="15" x14ac:dyDescent="0.25">
      <c r="A1716" s="1">
        <v>1707</v>
      </c>
      <c r="B1716" s="1" t="s">
        <v>280</v>
      </c>
      <c r="C1716" s="32">
        <v>6650</v>
      </c>
      <c r="D1716" s="1">
        <v>10000</v>
      </c>
      <c r="E1716" s="1"/>
      <c r="F1716" s="1">
        <v>111.41</v>
      </c>
      <c r="G1716" s="1">
        <v>10000</v>
      </c>
      <c r="H1716" s="5">
        <f t="shared" si="45"/>
        <v>0</v>
      </c>
      <c r="I1716" s="6"/>
      <c r="J1716" s="43"/>
      <c r="K1716" s="51"/>
      <c r="L1716" s="86"/>
    </row>
    <row r="1717" spans="1:13" ht="15" x14ac:dyDescent="0.25">
      <c r="A1717" s="1">
        <v>1708</v>
      </c>
      <c r="B1717" s="1" t="s">
        <v>280</v>
      </c>
      <c r="C1717" s="32">
        <v>9762</v>
      </c>
      <c r="D1717" s="1">
        <v>13000</v>
      </c>
      <c r="E1717" s="1"/>
      <c r="F1717" s="1">
        <v>144.83000000000001</v>
      </c>
      <c r="G1717" s="1">
        <v>13000</v>
      </c>
      <c r="H1717" s="5">
        <f t="shared" si="45"/>
        <v>0</v>
      </c>
      <c r="I1717" s="6"/>
      <c r="J1717" s="43"/>
      <c r="K1717" s="51"/>
      <c r="L1717" s="86"/>
    </row>
    <row r="1718" spans="1:13" ht="15" x14ac:dyDescent="0.25">
      <c r="A1718" s="1">
        <v>1709</v>
      </c>
      <c r="B1718" s="1" t="s">
        <v>280</v>
      </c>
      <c r="C1718" s="32">
        <v>3594</v>
      </c>
      <c r="D1718" s="1">
        <v>6000</v>
      </c>
      <c r="E1718" s="1"/>
      <c r="F1718" s="1">
        <v>100.27</v>
      </c>
      <c r="G1718" s="1">
        <v>6000</v>
      </c>
      <c r="H1718" s="5">
        <f t="shared" si="45"/>
        <v>0</v>
      </c>
      <c r="I1718" s="6"/>
      <c r="J1718" s="43"/>
      <c r="K1718" s="51"/>
      <c r="L1718" s="86">
        <f>852275-851816</f>
        <v>459</v>
      </c>
    </row>
    <row r="1719" spans="1:13" ht="15" x14ac:dyDescent="0.25">
      <c r="A1719" s="1">
        <v>1710</v>
      </c>
      <c r="B1719" s="1" t="s">
        <v>281</v>
      </c>
      <c r="C1719" s="32">
        <v>6615</v>
      </c>
      <c r="D1719" s="1">
        <v>26000</v>
      </c>
      <c r="E1719" s="1"/>
      <c r="F1719" s="1">
        <v>289.66000000000003</v>
      </c>
      <c r="G1719" s="1">
        <v>26000</v>
      </c>
      <c r="H1719" s="5">
        <f t="shared" si="45"/>
        <v>0</v>
      </c>
      <c r="I1719" s="6"/>
      <c r="J1719" s="43"/>
      <c r="K1719" s="51"/>
      <c r="L1719" s="86"/>
    </row>
    <row r="1720" spans="1:13" ht="15" x14ac:dyDescent="0.25">
      <c r="A1720" s="1">
        <v>1711</v>
      </c>
      <c r="B1720" s="1" t="s">
        <v>281</v>
      </c>
      <c r="C1720" s="32">
        <v>6393</v>
      </c>
      <c r="D1720" s="1">
        <v>15000</v>
      </c>
      <c r="E1720" s="1"/>
      <c r="F1720" s="1">
        <v>167.11</v>
      </c>
      <c r="G1720" s="1">
        <v>15000</v>
      </c>
      <c r="H1720" s="5">
        <f t="shared" si="45"/>
        <v>0</v>
      </c>
      <c r="I1720" s="6"/>
      <c r="J1720" s="43"/>
      <c r="K1720" s="51"/>
      <c r="L1720" s="86"/>
    </row>
    <row r="1721" spans="1:13" ht="15" x14ac:dyDescent="0.25">
      <c r="A1721" s="1">
        <v>1712</v>
      </c>
      <c r="B1721" s="1" t="s">
        <v>281</v>
      </c>
      <c r="C1721" s="32">
        <v>8565</v>
      </c>
      <c r="D1721" s="1">
        <v>13000</v>
      </c>
      <c r="E1721" s="1"/>
      <c r="F1721" s="1">
        <v>144.83000000000001</v>
      </c>
      <c r="G1721" s="1">
        <v>13000</v>
      </c>
      <c r="H1721" s="5">
        <f t="shared" si="45"/>
        <v>0</v>
      </c>
      <c r="I1721" s="6"/>
      <c r="J1721" s="43"/>
      <c r="K1721" s="51"/>
      <c r="L1721" s="86"/>
    </row>
    <row r="1722" spans="1:13" ht="15" x14ac:dyDescent="0.25">
      <c r="A1722" s="1">
        <v>1713</v>
      </c>
      <c r="B1722" s="1" t="s">
        <v>281</v>
      </c>
      <c r="C1722" s="32">
        <v>2152</v>
      </c>
      <c r="D1722" s="1">
        <v>15000</v>
      </c>
      <c r="E1722" s="1"/>
      <c r="F1722" s="1">
        <v>167.11</v>
      </c>
      <c r="G1722" s="1">
        <v>15000</v>
      </c>
      <c r="H1722" s="5">
        <f t="shared" si="45"/>
        <v>0</v>
      </c>
      <c r="I1722" s="6"/>
      <c r="J1722" s="43"/>
      <c r="K1722" s="51"/>
      <c r="L1722" s="86"/>
    </row>
    <row r="1723" spans="1:13" ht="15" x14ac:dyDescent="0.25">
      <c r="A1723" s="1">
        <v>1714</v>
      </c>
      <c r="B1723" s="1" t="s">
        <v>281</v>
      </c>
      <c r="C1723" s="32" t="s">
        <v>30</v>
      </c>
      <c r="D1723" s="1">
        <v>4500</v>
      </c>
      <c r="E1723" s="1"/>
      <c r="F1723" s="1">
        <v>50.13</v>
      </c>
      <c r="G1723" s="1">
        <v>4500</v>
      </c>
      <c r="H1723" s="5">
        <f t="shared" si="45"/>
        <v>0</v>
      </c>
      <c r="I1723" s="6"/>
      <c r="J1723" s="43"/>
      <c r="K1723" s="51"/>
      <c r="L1723" s="86"/>
    </row>
    <row r="1724" spans="1:13" ht="15" x14ac:dyDescent="0.25">
      <c r="A1724" s="1">
        <v>1715</v>
      </c>
      <c r="B1724" s="1" t="s">
        <v>281</v>
      </c>
      <c r="C1724" s="32">
        <v>266</v>
      </c>
      <c r="D1724" s="1">
        <v>20000</v>
      </c>
      <c r="E1724" s="1"/>
      <c r="F1724" s="1">
        <v>222.82</v>
      </c>
      <c r="G1724" s="1">
        <v>20000</v>
      </c>
      <c r="H1724" s="5">
        <f t="shared" si="45"/>
        <v>0</v>
      </c>
      <c r="I1724" s="6"/>
      <c r="J1724" s="43"/>
      <c r="K1724" s="51"/>
      <c r="L1724" s="86"/>
    </row>
    <row r="1725" spans="1:13" ht="15" x14ac:dyDescent="0.25">
      <c r="A1725" s="1">
        <v>1716</v>
      </c>
      <c r="B1725" s="1" t="s">
        <v>281</v>
      </c>
      <c r="C1725" s="32">
        <v>6744</v>
      </c>
      <c r="D1725" s="1">
        <v>20000</v>
      </c>
      <c r="E1725" s="1"/>
      <c r="F1725" s="1">
        <v>222.82</v>
      </c>
      <c r="G1725" s="1">
        <v>20000</v>
      </c>
      <c r="H1725" s="5">
        <f t="shared" si="45"/>
        <v>0</v>
      </c>
      <c r="I1725" s="6"/>
      <c r="J1725" s="43"/>
      <c r="K1725" s="51"/>
      <c r="L1725" s="86"/>
      <c r="M1725">
        <f>4500/50.13</f>
        <v>89.766606822262119</v>
      </c>
    </row>
    <row r="1726" spans="1:13" ht="15" x14ac:dyDescent="0.25">
      <c r="A1726" s="1">
        <v>1717</v>
      </c>
      <c r="B1726" s="1" t="s">
        <v>281</v>
      </c>
      <c r="C1726" s="32">
        <v>5266</v>
      </c>
      <c r="D1726" s="1">
        <v>20000</v>
      </c>
      <c r="E1726" s="1"/>
      <c r="F1726" s="1">
        <v>222.82</v>
      </c>
      <c r="G1726" s="1">
        <v>20000</v>
      </c>
      <c r="H1726" s="5">
        <f t="shared" si="45"/>
        <v>0</v>
      </c>
      <c r="I1726" s="6"/>
      <c r="J1726" s="43"/>
      <c r="K1726" s="51"/>
      <c r="L1726" s="86"/>
      <c r="M1726">
        <f>3000/89.76</f>
        <v>33.422459893048128</v>
      </c>
    </row>
    <row r="1727" spans="1:13" ht="15" x14ac:dyDescent="0.25">
      <c r="A1727" s="1">
        <v>1718</v>
      </c>
      <c r="B1727" s="1" t="s">
        <v>281</v>
      </c>
      <c r="C1727" s="32">
        <v>3992</v>
      </c>
      <c r="D1727" s="1">
        <v>20000</v>
      </c>
      <c r="E1727" s="1"/>
      <c r="F1727" s="1">
        <v>222.82</v>
      </c>
      <c r="G1727" s="1">
        <v>20000</v>
      </c>
      <c r="H1727" s="5">
        <f t="shared" si="45"/>
        <v>0</v>
      </c>
      <c r="I1727" s="6"/>
      <c r="J1727" s="43"/>
      <c r="K1727" s="51"/>
      <c r="L1727" s="86">
        <f>876687-855316</f>
        <v>21371</v>
      </c>
    </row>
    <row r="1728" spans="1:13" ht="15" x14ac:dyDescent="0.25">
      <c r="A1728" s="1">
        <v>1719</v>
      </c>
      <c r="B1728" s="1" t="s">
        <v>282</v>
      </c>
      <c r="C1728" s="32" t="s">
        <v>63</v>
      </c>
      <c r="D1728" s="1">
        <v>3500</v>
      </c>
      <c r="E1728" s="1"/>
      <c r="F1728" s="1">
        <v>38.99</v>
      </c>
      <c r="G1728" s="1">
        <v>3500</v>
      </c>
      <c r="H1728" s="5">
        <f t="shared" si="45"/>
        <v>0</v>
      </c>
      <c r="I1728" s="6"/>
      <c r="J1728" s="43"/>
      <c r="K1728" s="51"/>
      <c r="L1728" s="86"/>
    </row>
    <row r="1729" spans="1:12" ht="15" x14ac:dyDescent="0.25">
      <c r="A1729" s="1">
        <v>1720</v>
      </c>
      <c r="B1729" s="1" t="s">
        <v>282</v>
      </c>
      <c r="C1729" s="32" t="s">
        <v>66</v>
      </c>
      <c r="D1729" s="1">
        <v>200</v>
      </c>
      <c r="E1729" s="1"/>
      <c r="F1729" s="1">
        <v>2.08</v>
      </c>
      <c r="G1729" s="1">
        <v>200</v>
      </c>
      <c r="H1729" s="5">
        <f t="shared" si="45"/>
        <v>0</v>
      </c>
      <c r="I1729" s="6"/>
      <c r="J1729" s="43"/>
      <c r="K1729" s="51"/>
      <c r="L1729" s="86"/>
    </row>
    <row r="1730" spans="1:12" ht="15" x14ac:dyDescent="0.25">
      <c r="A1730" s="1">
        <v>1721</v>
      </c>
      <c r="B1730" s="1" t="s">
        <v>282</v>
      </c>
      <c r="C1730" s="32">
        <v>4832</v>
      </c>
      <c r="D1730" s="1">
        <v>10000</v>
      </c>
      <c r="E1730" s="1"/>
      <c r="F1730" s="1">
        <v>111.41</v>
      </c>
      <c r="G1730" s="1">
        <v>10000</v>
      </c>
      <c r="H1730" s="5">
        <f t="shared" si="45"/>
        <v>0</v>
      </c>
      <c r="I1730" s="6"/>
      <c r="J1730" s="43"/>
      <c r="K1730" s="51"/>
      <c r="L1730" s="86"/>
    </row>
    <row r="1731" spans="1:12" ht="15" x14ac:dyDescent="0.25">
      <c r="A1731" s="1">
        <v>1722</v>
      </c>
      <c r="B1731" s="1" t="s">
        <v>282</v>
      </c>
      <c r="C1731" s="32">
        <v>5260</v>
      </c>
      <c r="D1731" s="1">
        <v>23000</v>
      </c>
      <c r="E1731" s="1"/>
      <c r="F1731" s="1">
        <v>256.24</v>
      </c>
      <c r="G1731" s="1">
        <v>23000</v>
      </c>
      <c r="H1731" s="5">
        <f t="shared" si="45"/>
        <v>0</v>
      </c>
      <c r="I1731" s="6"/>
      <c r="J1731" s="43"/>
      <c r="K1731" s="51"/>
      <c r="L1731" s="86"/>
    </row>
    <row r="1732" spans="1:12" ht="15" x14ac:dyDescent="0.25">
      <c r="A1732" s="1">
        <v>1723</v>
      </c>
      <c r="B1732" s="1" t="s">
        <v>282</v>
      </c>
      <c r="C1732" s="32">
        <v>777</v>
      </c>
      <c r="D1732" s="1">
        <v>23000</v>
      </c>
      <c r="E1732" s="1"/>
      <c r="F1732" s="1">
        <v>256.24</v>
      </c>
      <c r="G1732" s="1">
        <v>23000</v>
      </c>
      <c r="H1732" s="5">
        <f t="shared" si="45"/>
        <v>0</v>
      </c>
      <c r="I1732" s="6"/>
      <c r="J1732" s="43"/>
      <c r="K1732" s="51"/>
      <c r="L1732" s="86"/>
    </row>
    <row r="1733" spans="1:12" ht="15" x14ac:dyDescent="0.25">
      <c r="A1733" s="1">
        <v>1724</v>
      </c>
      <c r="B1733" s="1" t="s">
        <v>283</v>
      </c>
      <c r="C1733" s="32" t="s">
        <v>30</v>
      </c>
      <c r="D1733" s="1">
        <v>3000</v>
      </c>
      <c r="E1733" s="1"/>
      <c r="F1733" s="1">
        <v>33.42</v>
      </c>
      <c r="G1733" s="1">
        <v>3000</v>
      </c>
      <c r="H1733" s="5">
        <f t="shared" si="45"/>
        <v>0</v>
      </c>
      <c r="I1733" s="6"/>
      <c r="J1733" s="43"/>
      <c r="K1733" s="51"/>
      <c r="L1733" s="86"/>
    </row>
    <row r="1734" spans="1:12" ht="15" x14ac:dyDescent="0.25">
      <c r="A1734" s="1">
        <v>1725</v>
      </c>
      <c r="B1734" s="1" t="s">
        <v>283</v>
      </c>
      <c r="C1734" s="32">
        <v>941</v>
      </c>
      <c r="D1734" s="1">
        <v>22000</v>
      </c>
      <c r="E1734" s="1"/>
      <c r="F1734" s="1">
        <v>245.1</v>
      </c>
      <c r="G1734" s="1">
        <v>22000</v>
      </c>
      <c r="H1734" s="5">
        <f t="shared" si="45"/>
        <v>0</v>
      </c>
      <c r="I1734" s="6"/>
      <c r="J1734" s="43"/>
      <c r="K1734" s="51"/>
      <c r="L1734" s="86"/>
    </row>
    <row r="1735" spans="1:12" ht="15" x14ac:dyDescent="0.25">
      <c r="A1735" s="1">
        <v>1726</v>
      </c>
      <c r="B1735" s="1" t="s">
        <v>284</v>
      </c>
      <c r="C1735" s="32">
        <v>9971</v>
      </c>
      <c r="D1735" s="1">
        <v>9000</v>
      </c>
      <c r="E1735" s="1"/>
      <c r="F1735" s="1">
        <v>100.27</v>
      </c>
      <c r="G1735" s="1">
        <v>9000</v>
      </c>
      <c r="H1735" s="5">
        <f t="shared" si="45"/>
        <v>0</v>
      </c>
      <c r="I1735" s="6"/>
      <c r="J1735" s="43"/>
      <c r="K1735" s="51"/>
      <c r="L1735" s="86"/>
    </row>
    <row r="1736" spans="1:12" ht="15" x14ac:dyDescent="0.25">
      <c r="A1736" s="1">
        <v>1727</v>
      </c>
      <c r="B1736" s="1" t="s">
        <v>284</v>
      </c>
      <c r="C1736" s="32">
        <v>4565</v>
      </c>
      <c r="D1736" s="1">
        <v>13000</v>
      </c>
      <c r="E1736" s="1"/>
      <c r="F1736" s="1">
        <v>144.83000000000001</v>
      </c>
      <c r="G1736" s="1">
        <v>13000</v>
      </c>
      <c r="H1736" s="5">
        <f t="shared" si="45"/>
        <v>0</v>
      </c>
      <c r="I1736" s="6"/>
      <c r="J1736" s="43"/>
      <c r="K1736" s="51"/>
      <c r="L1736" s="86"/>
    </row>
    <row r="1737" spans="1:12" ht="15" x14ac:dyDescent="0.25">
      <c r="A1737" s="1">
        <v>1728</v>
      </c>
      <c r="B1737" s="1" t="s">
        <v>284</v>
      </c>
      <c r="C1737" s="32" t="s">
        <v>30</v>
      </c>
      <c r="D1737" s="1">
        <v>4500</v>
      </c>
      <c r="E1737" s="1"/>
      <c r="F1737" s="1">
        <v>50.13</v>
      </c>
      <c r="G1737" s="1">
        <v>4500</v>
      </c>
      <c r="H1737" s="5">
        <f t="shared" si="45"/>
        <v>0</v>
      </c>
      <c r="I1737" s="6"/>
      <c r="J1737" s="43"/>
      <c r="K1737" s="51"/>
      <c r="L1737" s="86"/>
    </row>
    <row r="1738" spans="1:12" ht="15" x14ac:dyDescent="0.25">
      <c r="A1738" s="1">
        <v>1729</v>
      </c>
      <c r="B1738" s="1" t="s">
        <v>284</v>
      </c>
      <c r="C1738" s="32">
        <v>7311</v>
      </c>
      <c r="D1738" s="1">
        <v>20000</v>
      </c>
      <c r="E1738" s="1"/>
      <c r="F1738" s="1">
        <v>222.19</v>
      </c>
      <c r="G1738" s="1">
        <v>20000</v>
      </c>
      <c r="H1738" s="5">
        <f t="shared" si="45"/>
        <v>0</v>
      </c>
      <c r="I1738" s="6"/>
      <c r="J1738" s="43"/>
      <c r="K1738" s="51"/>
      <c r="L1738" s="86"/>
    </row>
    <row r="1739" spans="1:12" ht="15" x14ac:dyDescent="0.25">
      <c r="A1739" s="1">
        <v>1730</v>
      </c>
      <c r="B1739" s="1" t="s">
        <v>284</v>
      </c>
      <c r="C1739" s="32">
        <v>7637</v>
      </c>
      <c r="D1739" s="1">
        <v>20000</v>
      </c>
      <c r="E1739" s="1"/>
      <c r="F1739" s="1">
        <v>222.19</v>
      </c>
      <c r="G1739" s="1">
        <v>20000</v>
      </c>
      <c r="H1739" s="5">
        <f t="shared" si="45"/>
        <v>0</v>
      </c>
      <c r="I1739" s="6"/>
      <c r="J1739" s="43"/>
      <c r="K1739" s="51"/>
      <c r="L1739" s="86"/>
    </row>
    <row r="1740" spans="1:12" ht="15" x14ac:dyDescent="0.25">
      <c r="A1740" s="1">
        <v>1731</v>
      </c>
      <c r="B1740" s="1" t="s">
        <v>284</v>
      </c>
      <c r="C1740" s="32">
        <v>3176</v>
      </c>
      <c r="D1740" s="1">
        <v>15000</v>
      </c>
      <c r="E1740" s="1"/>
      <c r="F1740" s="1">
        <v>167.11</v>
      </c>
      <c r="G1740" s="1">
        <v>15000</v>
      </c>
      <c r="H1740" s="5">
        <f t="shared" si="45"/>
        <v>0</v>
      </c>
      <c r="I1740" s="6"/>
      <c r="J1740" s="43"/>
      <c r="K1740" s="51"/>
      <c r="L1740" s="86"/>
    </row>
    <row r="1741" spans="1:12" ht="15" x14ac:dyDescent="0.25">
      <c r="A1741" s="1">
        <v>1732</v>
      </c>
      <c r="B1741" s="1" t="s">
        <v>284</v>
      </c>
      <c r="C1741" s="32">
        <v>4724</v>
      </c>
      <c r="D1741" s="1">
        <v>10000</v>
      </c>
      <c r="E1741" s="1"/>
      <c r="F1741" s="1">
        <v>111.41</v>
      </c>
      <c r="G1741" s="1">
        <v>10000</v>
      </c>
      <c r="H1741" s="5">
        <f t="shared" si="45"/>
        <v>0</v>
      </c>
      <c r="I1741" s="6"/>
      <c r="J1741" s="43"/>
      <c r="K1741" s="51"/>
      <c r="L1741" s="86"/>
    </row>
    <row r="1742" spans="1:12" ht="15" x14ac:dyDescent="0.25">
      <c r="A1742" s="1">
        <v>1733</v>
      </c>
      <c r="B1742" s="1" t="s">
        <v>284</v>
      </c>
      <c r="C1742" s="32">
        <v>2802</v>
      </c>
      <c r="D1742" s="1">
        <v>11000</v>
      </c>
      <c r="E1742" s="1"/>
      <c r="F1742" s="1">
        <v>122</v>
      </c>
      <c r="G1742" s="1">
        <v>11000</v>
      </c>
      <c r="H1742" s="5">
        <f t="shared" si="45"/>
        <v>0</v>
      </c>
      <c r="I1742" s="6"/>
      <c r="J1742" s="43"/>
      <c r="K1742" s="51"/>
      <c r="L1742" s="86"/>
    </row>
    <row r="1743" spans="1:12" ht="15" x14ac:dyDescent="0.25">
      <c r="A1743" s="1">
        <v>1734</v>
      </c>
      <c r="B1743" s="1" t="s">
        <v>284</v>
      </c>
      <c r="C1743" s="32">
        <v>5611</v>
      </c>
      <c r="D1743" s="1">
        <v>20000</v>
      </c>
      <c r="E1743" s="1"/>
      <c r="F1743" s="1">
        <v>222.82</v>
      </c>
      <c r="G1743" s="1">
        <v>20000</v>
      </c>
      <c r="H1743" s="5">
        <f t="shared" si="45"/>
        <v>0</v>
      </c>
      <c r="I1743" s="6"/>
      <c r="J1743" s="43"/>
      <c r="K1743" s="51"/>
      <c r="L1743" s="86"/>
    </row>
    <row r="1744" spans="1:12" ht="15" x14ac:dyDescent="0.25">
      <c r="A1744" s="1">
        <v>1735</v>
      </c>
      <c r="B1744" s="1" t="s">
        <v>284</v>
      </c>
      <c r="C1744" s="32">
        <v>4849</v>
      </c>
      <c r="D1744" s="1">
        <v>23000</v>
      </c>
      <c r="E1744" s="1"/>
      <c r="F1744" s="1">
        <v>256.24</v>
      </c>
      <c r="G1744" s="1">
        <v>23000</v>
      </c>
      <c r="H1744" s="5">
        <f t="shared" si="45"/>
        <v>0</v>
      </c>
      <c r="I1744" s="6"/>
      <c r="J1744" s="43"/>
      <c r="K1744" s="51"/>
      <c r="L1744" s="86"/>
    </row>
    <row r="1745" spans="1:12" ht="15" x14ac:dyDescent="0.25">
      <c r="A1745" s="1">
        <v>1736</v>
      </c>
      <c r="B1745" s="1" t="s">
        <v>284</v>
      </c>
      <c r="C1745" s="32">
        <v>6144</v>
      </c>
      <c r="D1745" s="1">
        <v>23000</v>
      </c>
      <c r="E1745" s="1"/>
      <c r="F1745" s="1">
        <v>256.24</v>
      </c>
      <c r="G1745" s="1">
        <v>23000</v>
      </c>
      <c r="H1745" s="5">
        <f t="shared" si="45"/>
        <v>0</v>
      </c>
      <c r="I1745" s="6"/>
      <c r="J1745" s="43"/>
      <c r="K1745" s="51"/>
      <c r="L1745" s="86">
        <f>974887-958516</f>
        <v>16371</v>
      </c>
    </row>
    <row r="1746" spans="1:12" ht="15" x14ac:dyDescent="0.25">
      <c r="A1746" s="1">
        <v>1737</v>
      </c>
      <c r="B1746" s="1" t="s">
        <v>285</v>
      </c>
      <c r="C1746" s="32" t="s">
        <v>30</v>
      </c>
      <c r="D1746" s="1">
        <v>5000</v>
      </c>
      <c r="E1746" s="1"/>
      <c r="F1746" s="1">
        <v>55.7</v>
      </c>
      <c r="G1746" s="1">
        <v>5000</v>
      </c>
      <c r="H1746" s="5">
        <f t="shared" si="45"/>
        <v>0</v>
      </c>
      <c r="I1746" s="6"/>
      <c r="J1746" s="43"/>
      <c r="K1746" s="51"/>
      <c r="L1746" s="86"/>
    </row>
    <row r="1747" spans="1:12" ht="15" x14ac:dyDescent="0.25">
      <c r="A1747" s="1">
        <v>1738</v>
      </c>
      <c r="B1747" s="1" t="s">
        <v>285</v>
      </c>
      <c r="C1747" s="32">
        <v>6012</v>
      </c>
      <c r="D1747" s="1">
        <v>12000</v>
      </c>
      <c r="E1747" s="1"/>
      <c r="F1747" s="1">
        <v>133.69</v>
      </c>
      <c r="G1747" s="1">
        <v>12000</v>
      </c>
      <c r="H1747" s="5">
        <f t="shared" si="45"/>
        <v>0</v>
      </c>
      <c r="I1747" s="6"/>
      <c r="J1747" s="43"/>
      <c r="K1747" s="51"/>
      <c r="L1747" s="86"/>
    </row>
    <row r="1748" spans="1:12" ht="15" x14ac:dyDescent="0.25">
      <c r="A1748" s="1">
        <v>1739</v>
      </c>
      <c r="B1748" s="1" t="s">
        <v>285</v>
      </c>
      <c r="C1748" s="32" t="s">
        <v>63</v>
      </c>
      <c r="D1748" s="1">
        <v>3500</v>
      </c>
      <c r="E1748" s="1"/>
      <c r="F1748" s="1">
        <v>38.99</v>
      </c>
      <c r="G1748" s="1">
        <v>3500</v>
      </c>
      <c r="H1748" s="5">
        <f t="shared" si="45"/>
        <v>0</v>
      </c>
      <c r="I1748" s="6"/>
      <c r="J1748" s="43"/>
      <c r="K1748" s="51"/>
      <c r="L1748" s="86"/>
    </row>
    <row r="1749" spans="1:12" ht="15" x14ac:dyDescent="0.25">
      <c r="A1749" s="1">
        <v>1740</v>
      </c>
      <c r="B1749" s="1" t="s">
        <v>285</v>
      </c>
      <c r="C1749" s="32" t="s">
        <v>66</v>
      </c>
      <c r="D1749" s="1">
        <v>200</v>
      </c>
      <c r="E1749" s="1"/>
      <c r="F1749" s="1">
        <v>2.08</v>
      </c>
      <c r="G1749" s="1">
        <v>200</v>
      </c>
      <c r="H1749" s="5">
        <f t="shared" si="45"/>
        <v>0</v>
      </c>
      <c r="I1749" s="6"/>
      <c r="J1749" s="43"/>
      <c r="K1749" s="51"/>
      <c r="L1749" s="86"/>
    </row>
    <row r="1750" spans="1:12" ht="15" x14ac:dyDescent="0.25">
      <c r="A1750" s="1">
        <v>1741</v>
      </c>
      <c r="B1750" s="1" t="s">
        <v>285</v>
      </c>
      <c r="C1750" s="32">
        <v>4823</v>
      </c>
      <c r="D1750" s="1">
        <v>18750</v>
      </c>
      <c r="E1750" s="1"/>
      <c r="F1750" s="1">
        <v>208.7</v>
      </c>
      <c r="G1750" s="1">
        <v>18750</v>
      </c>
      <c r="H1750" s="5">
        <f t="shared" si="45"/>
        <v>0</v>
      </c>
      <c r="I1750" s="6"/>
      <c r="J1750" s="43"/>
      <c r="K1750" s="51"/>
      <c r="L1750" s="86"/>
    </row>
    <row r="1751" spans="1:12" ht="15" x14ac:dyDescent="0.25">
      <c r="A1751" s="1">
        <v>1742</v>
      </c>
      <c r="B1751" s="1" t="s">
        <v>285</v>
      </c>
      <c r="C1751" s="32">
        <v>4156</v>
      </c>
      <c r="D1751" s="1">
        <v>24000</v>
      </c>
      <c r="E1751" s="1"/>
      <c r="F1751" s="1">
        <v>252</v>
      </c>
      <c r="G1751" s="1">
        <v>24000</v>
      </c>
      <c r="H1751" s="5">
        <f t="shared" si="45"/>
        <v>0</v>
      </c>
      <c r="I1751" s="6"/>
      <c r="J1751" s="43"/>
      <c r="K1751" s="51"/>
      <c r="L1751" s="86"/>
    </row>
    <row r="1752" spans="1:12" ht="15" x14ac:dyDescent="0.25">
      <c r="A1752" s="1">
        <v>1743</v>
      </c>
      <c r="B1752" s="1" t="s">
        <v>285</v>
      </c>
      <c r="C1752" s="32">
        <v>1842</v>
      </c>
      <c r="D1752" s="1">
        <v>15000</v>
      </c>
      <c r="E1752" s="1"/>
      <c r="F1752" s="1">
        <v>167.11</v>
      </c>
      <c r="G1752" s="1">
        <v>15000</v>
      </c>
      <c r="H1752" s="5">
        <f t="shared" si="45"/>
        <v>0</v>
      </c>
      <c r="I1752" s="6"/>
      <c r="J1752" s="43"/>
      <c r="K1752" s="51"/>
      <c r="L1752" s="86"/>
    </row>
    <row r="1753" spans="1:12" ht="15" x14ac:dyDescent="0.25">
      <c r="A1753" s="1">
        <v>1744</v>
      </c>
      <c r="B1753" s="1" t="s">
        <v>285</v>
      </c>
      <c r="C1753" s="32">
        <v>1162</v>
      </c>
      <c r="D1753" s="1">
        <v>14000</v>
      </c>
      <c r="E1753" s="1"/>
      <c r="F1753" s="1">
        <v>155.97</v>
      </c>
      <c r="G1753" s="1">
        <v>14000</v>
      </c>
      <c r="H1753" s="5">
        <f t="shared" si="45"/>
        <v>0</v>
      </c>
      <c r="I1753" s="6"/>
      <c r="J1753" s="43"/>
      <c r="K1753" s="51"/>
      <c r="L1753" s="86"/>
    </row>
    <row r="1754" spans="1:12" ht="15" x14ac:dyDescent="0.25">
      <c r="A1754" s="1">
        <v>1745</v>
      </c>
      <c r="B1754" s="1" t="s">
        <v>285</v>
      </c>
      <c r="C1754" s="32">
        <v>4135</v>
      </c>
      <c r="D1754" s="1">
        <v>22000</v>
      </c>
      <c r="E1754" s="1"/>
      <c r="F1754" s="1">
        <v>245.1</v>
      </c>
      <c r="G1754" s="1">
        <v>22000</v>
      </c>
      <c r="H1754" s="5">
        <f t="shared" si="45"/>
        <v>0</v>
      </c>
      <c r="I1754" s="6"/>
      <c r="J1754" s="43"/>
      <c r="K1754" s="51"/>
      <c r="L1754" s="86"/>
    </row>
    <row r="1755" spans="1:12" ht="15" x14ac:dyDescent="0.25">
      <c r="A1755" s="1">
        <v>1746</v>
      </c>
      <c r="B1755" s="1" t="s">
        <v>285</v>
      </c>
      <c r="C1755" s="32">
        <v>9903</v>
      </c>
      <c r="D1755" s="1">
        <v>15000</v>
      </c>
      <c r="E1755" s="1"/>
      <c r="F1755" s="1">
        <v>167.11</v>
      </c>
      <c r="G1755" s="1">
        <v>15000</v>
      </c>
      <c r="H1755" s="5">
        <f t="shared" si="45"/>
        <v>0</v>
      </c>
      <c r="I1755" s="6"/>
      <c r="J1755" s="43"/>
      <c r="K1755" s="51"/>
      <c r="L1755" s="86"/>
    </row>
    <row r="1756" spans="1:12" ht="15" x14ac:dyDescent="0.25">
      <c r="A1756" s="1">
        <v>1747</v>
      </c>
      <c r="B1756" s="1" t="s">
        <v>286</v>
      </c>
      <c r="C1756" s="32" t="s">
        <v>30</v>
      </c>
      <c r="D1756" s="1">
        <v>4500</v>
      </c>
      <c r="E1756" s="1"/>
      <c r="F1756" s="1">
        <v>50.14</v>
      </c>
      <c r="G1756" s="1">
        <v>4500</v>
      </c>
      <c r="H1756" s="5">
        <f t="shared" si="45"/>
        <v>0</v>
      </c>
      <c r="I1756" s="6"/>
      <c r="J1756" s="43"/>
      <c r="K1756" s="51"/>
      <c r="L1756" s="86"/>
    </row>
    <row r="1757" spans="1:12" ht="15" x14ac:dyDescent="0.25">
      <c r="A1757" s="1">
        <v>1748</v>
      </c>
      <c r="B1757" s="1" t="s">
        <v>286</v>
      </c>
      <c r="C1757" s="32">
        <v>645</v>
      </c>
      <c r="D1757" s="1">
        <v>10000</v>
      </c>
      <c r="E1757" s="1"/>
      <c r="F1757" s="1">
        <v>111.41</v>
      </c>
      <c r="G1757" s="1">
        <v>10000</v>
      </c>
      <c r="H1757" s="5">
        <f t="shared" si="45"/>
        <v>0</v>
      </c>
      <c r="I1757" s="6"/>
      <c r="J1757" s="43"/>
      <c r="K1757" s="51"/>
      <c r="L1757" s="86"/>
    </row>
    <row r="1758" spans="1:12" ht="15" x14ac:dyDescent="0.25">
      <c r="A1758" s="1">
        <v>1749</v>
      </c>
      <c r="B1758" s="1" t="s">
        <v>286</v>
      </c>
      <c r="C1758" s="32">
        <v>1552</v>
      </c>
      <c r="D1758" s="1">
        <v>15000</v>
      </c>
      <c r="E1758" s="1"/>
      <c r="F1758" s="1">
        <v>167.11</v>
      </c>
      <c r="G1758" s="1">
        <v>15000</v>
      </c>
      <c r="H1758" s="5">
        <f t="shared" si="45"/>
        <v>0</v>
      </c>
      <c r="I1758" s="6"/>
      <c r="J1758" s="43"/>
      <c r="K1758" s="51"/>
      <c r="L1758" s="86"/>
    </row>
    <row r="1759" spans="1:12" ht="15" x14ac:dyDescent="0.25">
      <c r="A1759" s="1">
        <v>1750</v>
      </c>
      <c r="B1759" s="1" t="s">
        <v>286</v>
      </c>
      <c r="C1759" s="32">
        <v>9668</v>
      </c>
      <c r="D1759" s="1">
        <v>13000</v>
      </c>
      <c r="E1759" s="1"/>
      <c r="F1759" s="1">
        <v>144</v>
      </c>
      <c r="G1759" s="1">
        <v>13000</v>
      </c>
      <c r="H1759" s="5">
        <f t="shared" si="45"/>
        <v>0</v>
      </c>
      <c r="I1759" s="6"/>
      <c r="J1759" s="43"/>
      <c r="K1759" s="51"/>
      <c r="L1759" s="86"/>
    </row>
    <row r="1760" spans="1:12" ht="15" x14ac:dyDescent="0.25">
      <c r="A1760" s="1">
        <v>1751</v>
      </c>
      <c r="B1760" s="1" t="s">
        <v>286</v>
      </c>
      <c r="C1760" s="32">
        <v>2660</v>
      </c>
      <c r="D1760" s="1">
        <v>15000</v>
      </c>
      <c r="E1760" s="1"/>
      <c r="F1760" s="1">
        <v>167.11</v>
      </c>
      <c r="G1760" s="1">
        <v>15000</v>
      </c>
      <c r="H1760" s="5">
        <f t="shared" si="45"/>
        <v>0</v>
      </c>
      <c r="I1760" s="6"/>
      <c r="J1760" s="43"/>
      <c r="K1760" s="51"/>
      <c r="L1760" s="86"/>
    </row>
    <row r="1761" spans="1:12" ht="15" x14ac:dyDescent="0.25">
      <c r="A1761" s="1">
        <v>1752</v>
      </c>
      <c r="B1761" s="1" t="s">
        <v>286</v>
      </c>
      <c r="C1761" s="32">
        <v>4553</v>
      </c>
      <c r="D1761" s="1">
        <v>15000</v>
      </c>
      <c r="E1761" s="1"/>
      <c r="F1761" s="1">
        <v>167.11</v>
      </c>
      <c r="G1761" s="1">
        <v>15000</v>
      </c>
      <c r="H1761" s="5">
        <f t="shared" si="45"/>
        <v>0</v>
      </c>
      <c r="I1761" s="6"/>
      <c r="J1761" s="43"/>
      <c r="K1761" s="51"/>
      <c r="L1761" s="86"/>
    </row>
    <row r="1762" spans="1:12" ht="15" x14ac:dyDescent="0.25">
      <c r="A1762" s="1">
        <v>1753</v>
      </c>
      <c r="B1762" s="1" t="s">
        <v>286</v>
      </c>
      <c r="C1762" s="32">
        <v>5744</v>
      </c>
      <c r="D1762" s="1">
        <v>18000</v>
      </c>
      <c r="E1762" s="1"/>
      <c r="F1762" s="1">
        <v>200.53</v>
      </c>
      <c r="G1762" s="1">
        <v>18000</v>
      </c>
      <c r="H1762" s="5">
        <f t="shared" si="45"/>
        <v>0</v>
      </c>
      <c r="I1762" s="6"/>
      <c r="J1762" s="43"/>
      <c r="K1762" s="51"/>
      <c r="L1762" s="86"/>
    </row>
    <row r="1763" spans="1:12" ht="15" x14ac:dyDescent="0.25">
      <c r="A1763" s="1">
        <v>1754</v>
      </c>
      <c r="B1763" s="1" t="s">
        <v>286</v>
      </c>
      <c r="C1763" s="32">
        <v>3164</v>
      </c>
      <c r="D1763" s="1">
        <v>20000</v>
      </c>
      <c r="E1763" s="1"/>
      <c r="F1763" s="1">
        <v>222.82</v>
      </c>
      <c r="G1763" s="1">
        <v>20000</v>
      </c>
      <c r="H1763" s="5">
        <f t="shared" si="45"/>
        <v>0</v>
      </c>
      <c r="I1763" s="6"/>
      <c r="J1763" s="43"/>
      <c r="K1763" s="51"/>
      <c r="L1763" s="86"/>
    </row>
    <row r="1764" spans="1:12" ht="15" x14ac:dyDescent="0.25">
      <c r="A1764" s="1">
        <v>1755</v>
      </c>
      <c r="B1764" s="1" t="s">
        <v>286</v>
      </c>
      <c r="C1764" s="32">
        <v>5079</v>
      </c>
      <c r="D1764" s="1">
        <v>24000</v>
      </c>
      <c r="E1764" s="1"/>
      <c r="F1764" s="1">
        <v>267.38</v>
      </c>
      <c r="G1764" s="1">
        <v>24000</v>
      </c>
      <c r="H1764" s="5">
        <f t="shared" si="45"/>
        <v>0</v>
      </c>
      <c r="I1764" s="6"/>
      <c r="J1764" s="43"/>
      <c r="K1764" s="51"/>
      <c r="L1764" s="86"/>
    </row>
    <row r="1765" spans="1:12" ht="15" x14ac:dyDescent="0.25">
      <c r="A1765" s="1">
        <v>1756</v>
      </c>
      <c r="B1765" s="1" t="s">
        <v>286</v>
      </c>
      <c r="C1765" s="32">
        <v>767</v>
      </c>
      <c r="D1765" s="1">
        <v>25000</v>
      </c>
      <c r="E1765" s="1"/>
      <c r="F1765" s="1">
        <v>278.52</v>
      </c>
      <c r="G1765" s="1">
        <v>25000</v>
      </c>
      <c r="H1765" s="5">
        <f t="shared" si="45"/>
        <v>0</v>
      </c>
      <c r="I1765" s="6"/>
      <c r="J1765" s="43"/>
      <c r="K1765" s="51"/>
      <c r="L1765" s="86"/>
    </row>
    <row r="1766" spans="1:12" ht="15" x14ac:dyDescent="0.25">
      <c r="A1766" s="1">
        <v>1757</v>
      </c>
      <c r="B1766" s="1" t="s">
        <v>286</v>
      </c>
      <c r="C1766" s="32">
        <v>1386</v>
      </c>
      <c r="D1766" s="1">
        <v>25000</v>
      </c>
      <c r="E1766" s="1"/>
      <c r="F1766" s="1">
        <v>278.52</v>
      </c>
      <c r="G1766" s="1">
        <v>25000</v>
      </c>
      <c r="H1766" s="5">
        <f t="shared" si="45"/>
        <v>0</v>
      </c>
      <c r="I1766" s="6"/>
      <c r="J1766" s="43"/>
      <c r="K1766" s="51"/>
      <c r="L1766" s="86">
        <f>878719-872466</f>
        <v>6253</v>
      </c>
    </row>
    <row r="1767" spans="1:12" ht="15" x14ac:dyDescent="0.25">
      <c r="A1767" s="1">
        <v>1758</v>
      </c>
      <c r="B1767" s="1" t="s">
        <v>287</v>
      </c>
      <c r="C1767" s="32">
        <v>9666</v>
      </c>
      <c r="D1767" s="1">
        <v>13000</v>
      </c>
      <c r="E1767" s="1"/>
      <c r="F1767" s="1">
        <v>144</v>
      </c>
      <c r="G1767" s="1">
        <v>13000</v>
      </c>
      <c r="H1767" s="5">
        <f t="shared" si="45"/>
        <v>0</v>
      </c>
      <c r="I1767" s="6"/>
      <c r="J1767" s="43"/>
      <c r="K1767" s="51"/>
      <c r="L1767" s="86"/>
    </row>
    <row r="1768" spans="1:12" ht="15" x14ac:dyDescent="0.25">
      <c r="A1768" s="1">
        <v>1759</v>
      </c>
      <c r="B1768" s="1" t="s">
        <v>287</v>
      </c>
      <c r="C1768" s="32">
        <v>7995</v>
      </c>
      <c r="D1768" s="1">
        <v>25000</v>
      </c>
      <c r="E1768" s="1"/>
      <c r="F1768" s="1">
        <v>278.52</v>
      </c>
      <c r="G1768" s="1">
        <v>25000</v>
      </c>
      <c r="H1768" s="5">
        <f t="shared" si="45"/>
        <v>0</v>
      </c>
      <c r="I1768" s="6"/>
      <c r="J1768" s="43"/>
      <c r="K1768" s="51"/>
      <c r="L1768" s="86"/>
    </row>
    <row r="1769" spans="1:12" ht="15" x14ac:dyDescent="0.25">
      <c r="A1769" s="1">
        <v>1760</v>
      </c>
      <c r="B1769" s="1" t="s">
        <v>287</v>
      </c>
      <c r="C1769" s="32" t="s">
        <v>63</v>
      </c>
      <c r="D1769" s="1">
        <v>3500</v>
      </c>
      <c r="E1769" s="1"/>
      <c r="F1769" s="1">
        <v>39.94</v>
      </c>
      <c r="G1769" s="1">
        <v>3500</v>
      </c>
      <c r="H1769" s="5">
        <f t="shared" si="45"/>
        <v>0</v>
      </c>
      <c r="I1769" s="6"/>
      <c r="J1769" s="43"/>
      <c r="K1769" s="51"/>
      <c r="L1769" s="86"/>
    </row>
    <row r="1770" spans="1:12" ht="15" x14ac:dyDescent="0.25">
      <c r="A1770" s="1">
        <v>1761</v>
      </c>
      <c r="B1770" s="1" t="s">
        <v>287</v>
      </c>
      <c r="C1770" s="32">
        <v>1945</v>
      </c>
      <c r="D1770" s="1">
        <v>20000</v>
      </c>
      <c r="E1770" s="1"/>
      <c r="F1770" s="1">
        <v>222.82</v>
      </c>
      <c r="G1770" s="1">
        <v>20000</v>
      </c>
      <c r="H1770" s="5">
        <f t="shared" si="45"/>
        <v>0</v>
      </c>
      <c r="I1770" s="6"/>
      <c r="J1770" s="43"/>
      <c r="K1770" s="51"/>
      <c r="L1770" s="86"/>
    </row>
    <row r="1771" spans="1:12" ht="15" x14ac:dyDescent="0.25">
      <c r="A1771" s="1">
        <v>1762</v>
      </c>
      <c r="B1771" s="1" t="s">
        <v>287</v>
      </c>
      <c r="C1771" s="32">
        <v>9998</v>
      </c>
      <c r="D1771" s="1">
        <v>17000</v>
      </c>
      <c r="E1771" s="1"/>
      <c r="F1771" s="1">
        <v>189</v>
      </c>
      <c r="G1771" s="1">
        <v>17000</v>
      </c>
      <c r="H1771" s="5">
        <f t="shared" si="45"/>
        <v>0</v>
      </c>
      <c r="I1771" s="6"/>
      <c r="J1771" s="43"/>
      <c r="K1771" s="51"/>
      <c r="L1771" s="86"/>
    </row>
    <row r="1772" spans="1:12" ht="15" x14ac:dyDescent="0.25">
      <c r="A1772" s="1">
        <v>1763</v>
      </c>
      <c r="B1772" s="1" t="s">
        <v>287</v>
      </c>
      <c r="C1772" s="32">
        <v>472</v>
      </c>
      <c r="D1772" s="1">
        <v>20000</v>
      </c>
      <c r="E1772" s="1"/>
      <c r="F1772" s="1">
        <v>222.82</v>
      </c>
      <c r="G1772" s="1">
        <v>20000</v>
      </c>
      <c r="H1772" s="5">
        <f t="shared" si="45"/>
        <v>0</v>
      </c>
      <c r="I1772" s="6"/>
      <c r="J1772" s="43"/>
      <c r="K1772" s="51"/>
      <c r="L1772" s="86"/>
    </row>
    <row r="1773" spans="1:12" ht="15" x14ac:dyDescent="0.25">
      <c r="A1773" s="1">
        <v>1764</v>
      </c>
      <c r="B1773" s="1" t="s">
        <v>287</v>
      </c>
      <c r="C1773" s="32">
        <v>9979</v>
      </c>
      <c r="D1773" s="1">
        <v>13000</v>
      </c>
      <c r="E1773" s="1"/>
      <c r="F1773" s="1">
        <v>144</v>
      </c>
      <c r="G1773" s="1">
        <v>13000</v>
      </c>
      <c r="H1773" s="5">
        <f t="shared" si="45"/>
        <v>0</v>
      </c>
      <c r="I1773" s="6"/>
      <c r="J1773" s="43"/>
      <c r="K1773" s="51"/>
      <c r="L1773" s="86"/>
    </row>
    <row r="1774" spans="1:12" ht="15" x14ac:dyDescent="0.25">
      <c r="A1774" s="1">
        <v>1765</v>
      </c>
      <c r="B1774" s="1" t="s">
        <v>287</v>
      </c>
      <c r="C1774" s="32">
        <v>104</v>
      </c>
      <c r="D1774" s="1">
        <v>19000</v>
      </c>
      <c r="E1774" s="1"/>
      <c r="F1774" s="1">
        <v>211</v>
      </c>
      <c r="G1774" s="1">
        <v>19000</v>
      </c>
      <c r="H1774" s="5">
        <f t="shared" si="45"/>
        <v>0</v>
      </c>
      <c r="I1774" s="6"/>
      <c r="J1774" s="43"/>
      <c r="K1774" s="51"/>
      <c r="L1774" s="86"/>
    </row>
    <row r="1775" spans="1:12" ht="15" x14ac:dyDescent="0.25">
      <c r="A1775" s="1">
        <v>1766</v>
      </c>
      <c r="B1775" s="1" t="s">
        <v>287</v>
      </c>
      <c r="C1775" s="32">
        <v>5548</v>
      </c>
      <c r="D1775" s="1">
        <v>20000</v>
      </c>
      <c r="E1775" s="1"/>
      <c r="F1775" s="1">
        <v>222.82</v>
      </c>
      <c r="G1775" s="1">
        <v>20000</v>
      </c>
      <c r="H1775" s="5">
        <f t="shared" si="45"/>
        <v>0</v>
      </c>
      <c r="I1775" s="6"/>
      <c r="J1775" s="43"/>
      <c r="K1775" s="51"/>
      <c r="L1775" s="86"/>
    </row>
    <row r="1776" spans="1:12" ht="15" x14ac:dyDescent="0.25">
      <c r="A1776" s="1">
        <v>1767</v>
      </c>
      <c r="B1776" s="1" t="s">
        <v>287</v>
      </c>
      <c r="C1776" s="32">
        <v>4032</v>
      </c>
      <c r="D1776" s="1">
        <v>20000</v>
      </c>
      <c r="E1776" s="1"/>
      <c r="F1776" s="1">
        <v>222.82</v>
      </c>
      <c r="G1776" s="1">
        <v>20000</v>
      </c>
      <c r="H1776" s="5">
        <f t="shared" si="45"/>
        <v>0</v>
      </c>
      <c r="I1776" s="6"/>
      <c r="J1776" s="43"/>
      <c r="K1776" s="51"/>
      <c r="L1776" s="86"/>
    </row>
    <row r="1777" spans="1:12" ht="15" x14ac:dyDescent="0.25">
      <c r="A1777" s="1">
        <v>1768</v>
      </c>
      <c r="B1777" s="1" t="s">
        <v>287</v>
      </c>
      <c r="C1777" s="32">
        <v>5613</v>
      </c>
      <c r="D1777" s="1">
        <v>20000</v>
      </c>
      <c r="E1777" s="1"/>
      <c r="F1777" s="1">
        <v>222.82</v>
      </c>
      <c r="G1777" s="1">
        <v>20000</v>
      </c>
      <c r="H1777" s="5">
        <f t="shared" si="45"/>
        <v>0</v>
      </c>
      <c r="I1777" s="6"/>
      <c r="J1777" s="43"/>
      <c r="K1777" s="51"/>
      <c r="L1777" s="86"/>
    </row>
    <row r="1778" spans="1:12" ht="15" x14ac:dyDescent="0.25">
      <c r="A1778" s="1">
        <v>1769</v>
      </c>
      <c r="B1778" s="1" t="s">
        <v>287</v>
      </c>
      <c r="C1778" s="32">
        <v>5674</v>
      </c>
      <c r="D1778" s="1">
        <v>18000</v>
      </c>
      <c r="E1778" s="1"/>
      <c r="F1778" s="1">
        <v>200</v>
      </c>
      <c r="G1778" s="1">
        <v>18000</v>
      </c>
      <c r="H1778" s="5">
        <f t="shared" si="45"/>
        <v>0</v>
      </c>
      <c r="I1778" s="6"/>
      <c r="J1778" s="43"/>
      <c r="K1778" s="51"/>
      <c r="L1778" s="86"/>
    </row>
    <row r="1779" spans="1:12" ht="15" x14ac:dyDescent="0.25">
      <c r="A1779" s="1">
        <v>1770</v>
      </c>
      <c r="B1779" s="1" t="s">
        <v>287</v>
      </c>
      <c r="C1779" s="32">
        <v>604</v>
      </c>
      <c r="D1779" s="1">
        <v>8000</v>
      </c>
      <c r="E1779" s="1"/>
      <c r="F1779" s="1">
        <v>89</v>
      </c>
      <c r="G1779" s="1">
        <v>8000</v>
      </c>
      <c r="H1779" s="5">
        <f t="shared" ref="H1779:H1842" si="46">D1779-G1779</f>
        <v>0</v>
      </c>
      <c r="I1779" s="6"/>
      <c r="J1779" s="43"/>
      <c r="K1779" s="51"/>
      <c r="L1779" s="86"/>
    </row>
    <row r="1780" spans="1:12" ht="15" x14ac:dyDescent="0.25">
      <c r="A1780" s="1">
        <v>1771</v>
      </c>
      <c r="B1780" s="1" t="s">
        <v>287</v>
      </c>
      <c r="C1780" s="32">
        <v>2574</v>
      </c>
      <c r="D1780" s="1">
        <v>15000</v>
      </c>
      <c r="E1780" s="1"/>
      <c r="F1780" s="1">
        <v>167.11</v>
      </c>
      <c r="G1780" s="1">
        <v>15000</v>
      </c>
      <c r="H1780" s="5">
        <f t="shared" si="46"/>
        <v>0</v>
      </c>
      <c r="I1780" s="6"/>
      <c r="J1780" s="43"/>
      <c r="K1780" s="51"/>
      <c r="L1780" s="86"/>
    </row>
    <row r="1781" spans="1:12" ht="15" x14ac:dyDescent="0.25">
      <c r="A1781" s="1">
        <v>1772</v>
      </c>
      <c r="B1781" s="1" t="s">
        <v>287</v>
      </c>
      <c r="C1781" s="32">
        <v>6577</v>
      </c>
      <c r="D1781" s="1">
        <v>15000</v>
      </c>
      <c r="E1781" s="1"/>
      <c r="F1781" s="1">
        <v>167.11</v>
      </c>
      <c r="G1781" s="1">
        <v>15000</v>
      </c>
      <c r="H1781" s="5">
        <f t="shared" si="46"/>
        <v>0</v>
      </c>
      <c r="I1781" s="6"/>
      <c r="J1781" s="43"/>
      <c r="K1781" s="51"/>
      <c r="L1781" s="86"/>
    </row>
    <row r="1782" spans="1:12" ht="15" x14ac:dyDescent="0.25">
      <c r="A1782" s="1">
        <v>1773</v>
      </c>
      <c r="B1782" s="1" t="s">
        <v>287</v>
      </c>
      <c r="C1782" s="32">
        <v>5137</v>
      </c>
      <c r="D1782" s="1">
        <v>18000</v>
      </c>
      <c r="E1782" s="1"/>
      <c r="F1782" s="1">
        <v>200.53</v>
      </c>
      <c r="G1782" s="1">
        <v>18000</v>
      </c>
      <c r="H1782" s="5">
        <f t="shared" si="46"/>
        <v>0</v>
      </c>
      <c r="I1782" s="6"/>
      <c r="J1782" s="43"/>
      <c r="K1782" s="51"/>
      <c r="L1782" s="86"/>
    </row>
    <row r="1783" spans="1:12" ht="15" x14ac:dyDescent="0.25">
      <c r="A1783" s="1">
        <v>1774</v>
      </c>
      <c r="B1783" s="1" t="s">
        <v>287</v>
      </c>
      <c r="C1783" s="32">
        <v>2345</v>
      </c>
      <c r="D1783" s="1">
        <v>22000</v>
      </c>
      <c r="E1783" s="1"/>
      <c r="F1783" s="1">
        <v>245.05</v>
      </c>
      <c r="G1783" s="1">
        <v>22000</v>
      </c>
      <c r="H1783" s="5">
        <f t="shared" si="46"/>
        <v>0</v>
      </c>
      <c r="I1783" s="6"/>
      <c r="J1783" s="43"/>
      <c r="K1783" s="51"/>
      <c r="L1783" s="86"/>
    </row>
    <row r="1784" spans="1:12" ht="15" x14ac:dyDescent="0.25">
      <c r="A1784" s="1">
        <v>1775</v>
      </c>
      <c r="B1784" s="1" t="s">
        <v>287</v>
      </c>
      <c r="C1784" s="32">
        <v>4304</v>
      </c>
      <c r="D1784" s="1">
        <v>22234</v>
      </c>
      <c r="E1784" s="1"/>
      <c r="F1784" s="1">
        <v>247</v>
      </c>
      <c r="G1784" s="1">
        <v>22234</v>
      </c>
      <c r="H1784" s="5">
        <f t="shared" si="46"/>
        <v>0</v>
      </c>
      <c r="I1784" s="6"/>
      <c r="J1784" s="43"/>
      <c r="K1784" s="51"/>
      <c r="L1784" s="86"/>
    </row>
    <row r="1785" spans="1:12" ht="15" x14ac:dyDescent="0.25">
      <c r="A1785" s="1">
        <v>1776</v>
      </c>
      <c r="B1785" s="1" t="s">
        <v>287</v>
      </c>
      <c r="C1785" s="32">
        <v>5772</v>
      </c>
      <c r="D1785" s="1">
        <v>25000</v>
      </c>
      <c r="E1785" s="1"/>
      <c r="F1785" s="1">
        <v>278.52</v>
      </c>
      <c r="G1785" s="1">
        <v>25000</v>
      </c>
      <c r="H1785" s="5">
        <f t="shared" si="46"/>
        <v>0</v>
      </c>
      <c r="I1785" s="6"/>
      <c r="J1785" s="43"/>
      <c r="K1785" s="51"/>
      <c r="L1785" s="86"/>
    </row>
    <row r="1786" spans="1:12" ht="15" x14ac:dyDescent="0.25">
      <c r="A1786" s="1">
        <v>1777</v>
      </c>
      <c r="B1786" s="1" t="s">
        <v>287</v>
      </c>
      <c r="C1786" s="32">
        <v>4750</v>
      </c>
      <c r="D1786" s="1">
        <v>25000</v>
      </c>
      <c r="E1786" s="1"/>
      <c r="F1786" s="1">
        <v>278.52</v>
      </c>
      <c r="G1786" s="1">
        <v>25000</v>
      </c>
      <c r="H1786" s="5">
        <f t="shared" si="46"/>
        <v>0</v>
      </c>
      <c r="I1786" s="6"/>
      <c r="J1786" s="43"/>
      <c r="K1786" s="51"/>
      <c r="L1786" s="86"/>
    </row>
    <row r="1787" spans="1:12" ht="15" x14ac:dyDescent="0.25">
      <c r="A1787" s="1">
        <v>1778</v>
      </c>
      <c r="B1787" s="1" t="s">
        <v>287</v>
      </c>
      <c r="C1787" s="32">
        <v>4976</v>
      </c>
      <c r="D1787" s="1">
        <v>40000</v>
      </c>
      <c r="E1787" s="1"/>
      <c r="F1787" s="1">
        <v>445.64</v>
      </c>
      <c r="G1787" s="1">
        <v>40000</v>
      </c>
      <c r="H1787" s="5">
        <f t="shared" si="46"/>
        <v>0</v>
      </c>
      <c r="I1787" s="6"/>
      <c r="J1787" s="43"/>
      <c r="K1787" s="51"/>
      <c r="L1787" s="86">
        <f>1127443-1121200</f>
        <v>6243</v>
      </c>
    </row>
    <row r="1788" spans="1:12" ht="15" x14ac:dyDescent="0.25">
      <c r="A1788" s="1">
        <v>1779</v>
      </c>
      <c r="B1788" s="1" t="s">
        <v>288</v>
      </c>
      <c r="C1788" s="32" t="s">
        <v>63</v>
      </c>
      <c r="D1788" s="1">
        <v>3500</v>
      </c>
      <c r="E1788" s="1"/>
      <c r="F1788" s="1">
        <v>39.94</v>
      </c>
      <c r="G1788" s="1">
        <v>3500</v>
      </c>
      <c r="H1788" s="5">
        <f t="shared" si="46"/>
        <v>0</v>
      </c>
      <c r="I1788" s="6"/>
      <c r="J1788" s="43"/>
      <c r="K1788" s="51"/>
      <c r="L1788" s="86"/>
    </row>
    <row r="1789" spans="1:12" ht="15" x14ac:dyDescent="0.25">
      <c r="A1789" s="1">
        <v>1780</v>
      </c>
      <c r="B1789" s="1" t="s">
        <v>288</v>
      </c>
      <c r="C1789" s="32" t="s">
        <v>30</v>
      </c>
      <c r="D1789" s="1">
        <v>4500</v>
      </c>
      <c r="E1789" s="1"/>
      <c r="F1789" s="1">
        <v>50.13</v>
      </c>
      <c r="G1789" s="1">
        <v>4500</v>
      </c>
      <c r="H1789" s="5">
        <f t="shared" si="46"/>
        <v>0</v>
      </c>
      <c r="I1789" s="6"/>
      <c r="J1789" s="43"/>
      <c r="K1789" s="51"/>
      <c r="L1789" s="86"/>
    </row>
    <row r="1790" spans="1:12" ht="15" x14ac:dyDescent="0.25">
      <c r="A1790" s="1">
        <v>1781</v>
      </c>
      <c r="B1790" s="1" t="s">
        <v>288</v>
      </c>
      <c r="C1790" s="32" t="s">
        <v>30</v>
      </c>
      <c r="D1790" s="1">
        <v>5000</v>
      </c>
      <c r="E1790" s="1"/>
      <c r="F1790" s="1">
        <v>55.7</v>
      </c>
      <c r="G1790" s="1">
        <v>5000</v>
      </c>
      <c r="H1790" s="5">
        <f t="shared" si="46"/>
        <v>0</v>
      </c>
      <c r="I1790" s="6"/>
      <c r="J1790" s="43"/>
      <c r="K1790" s="51"/>
      <c r="L1790" s="86"/>
    </row>
    <row r="1791" spans="1:12" ht="15" x14ac:dyDescent="0.25">
      <c r="A1791" s="1">
        <v>1782</v>
      </c>
      <c r="B1791" s="1" t="s">
        <v>288</v>
      </c>
      <c r="C1791" s="32">
        <v>9665</v>
      </c>
      <c r="D1791" s="1">
        <v>13000</v>
      </c>
      <c r="E1791" s="1"/>
      <c r="F1791" s="1">
        <v>144</v>
      </c>
      <c r="G1791" s="1">
        <v>13000</v>
      </c>
      <c r="H1791" s="5">
        <f t="shared" si="46"/>
        <v>0</v>
      </c>
      <c r="I1791" s="6"/>
      <c r="J1791" s="43"/>
      <c r="K1791" s="51"/>
      <c r="L1791" s="86"/>
    </row>
    <row r="1792" spans="1:12" ht="15" x14ac:dyDescent="0.25">
      <c r="A1792" s="1">
        <v>1783</v>
      </c>
      <c r="B1792" s="1" t="s">
        <v>288</v>
      </c>
      <c r="C1792" s="32">
        <v>4754</v>
      </c>
      <c r="D1792" s="1">
        <v>16000</v>
      </c>
      <c r="E1792" s="1"/>
      <c r="F1792" s="1">
        <v>178</v>
      </c>
      <c r="G1792" s="1">
        <v>16000</v>
      </c>
      <c r="H1792" s="5">
        <f t="shared" si="46"/>
        <v>0</v>
      </c>
      <c r="I1792" s="6"/>
      <c r="J1792" s="43"/>
      <c r="K1792" s="51"/>
      <c r="L1792" s="86"/>
    </row>
    <row r="1793" spans="1:12" ht="15" x14ac:dyDescent="0.25">
      <c r="A1793" s="1">
        <v>1784</v>
      </c>
      <c r="B1793" s="1" t="s">
        <v>288</v>
      </c>
      <c r="C1793" s="32">
        <v>5808</v>
      </c>
      <c r="D1793" s="1">
        <v>22000</v>
      </c>
      <c r="E1793" s="1"/>
      <c r="F1793" s="1">
        <v>245.05</v>
      </c>
      <c r="G1793" s="1">
        <v>22000</v>
      </c>
      <c r="H1793" s="5">
        <f t="shared" si="46"/>
        <v>0</v>
      </c>
      <c r="I1793" s="6"/>
      <c r="J1793" s="43"/>
      <c r="K1793" s="51"/>
      <c r="L1793" s="86"/>
    </row>
    <row r="1794" spans="1:12" ht="15" x14ac:dyDescent="0.25">
      <c r="A1794" s="1">
        <v>1785</v>
      </c>
      <c r="B1794" s="1" t="s">
        <v>288</v>
      </c>
      <c r="C1794" s="32">
        <v>1843</v>
      </c>
      <c r="D1794" s="1">
        <v>13000</v>
      </c>
      <c r="E1794" s="1"/>
      <c r="F1794" s="1">
        <v>144</v>
      </c>
      <c r="G1794" s="1">
        <v>13000</v>
      </c>
      <c r="H1794" s="5">
        <f t="shared" si="46"/>
        <v>0</v>
      </c>
      <c r="I1794" s="6"/>
      <c r="J1794" s="43"/>
      <c r="K1794" s="51"/>
      <c r="L1794" s="86"/>
    </row>
    <row r="1795" spans="1:12" ht="15" x14ac:dyDescent="0.25">
      <c r="A1795" s="1">
        <v>1786</v>
      </c>
      <c r="B1795" s="1" t="s">
        <v>288</v>
      </c>
      <c r="C1795" s="32">
        <v>4935</v>
      </c>
      <c r="D1795" s="1">
        <v>13000</v>
      </c>
      <c r="E1795" s="1"/>
      <c r="F1795" s="1">
        <v>144</v>
      </c>
      <c r="G1795" s="1">
        <v>13000</v>
      </c>
      <c r="H1795" s="5">
        <f t="shared" si="46"/>
        <v>0</v>
      </c>
      <c r="I1795" s="6"/>
      <c r="J1795" s="43"/>
      <c r="K1795" s="51"/>
      <c r="L1795" s="86"/>
    </row>
    <row r="1796" spans="1:12" ht="15" x14ac:dyDescent="0.25">
      <c r="A1796" s="1">
        <v>1787</v>
      </c>
      <c r="B1796" s="1" t="s">
        <v>288</v>
      </c>
      <c r="C1796" s="32">
        <v>5835</v>
      </c>
      <c r="D1796" s="1">
        <v>13000</v>
      </c>
      <c r="E1796" s="1"/>
      <c r="F1796" s="1">
        <v>144</v>
      </c>
      <c r="G1796" s="1">
        <v>13000</v>
      </c>
      <c r="H1796" s="5">
        <f t="shared" si="46"/>
        <v>0</v>
      </c>
      <c r="I1796" s="6"/>
      <c r="J1796" s="43"/>
      <c r="K1796" s="51"/>
      <c r="L1796" s="86"/>
    </row>
    <row r="1797" spans="1:12" ht="15" x14ac:dyDescent="0.25">
      <c r="A1797" s="1">
        <v>1788</v>
      </c>
      <c r="B1797" s="1" t="s">
        <v>288</v>
      </c>
      <c r="C1797" s="32">
        <v>9669</v>
      </c>
      <c r="D1797" s="1">
        <v>13000</v>
      </c>
      <c r="E1797" s="1"/>
      <c r="F1797" s="1">
        <v>144</v>
      </c>
      <c r="G1797" s="1">
        <v>13000</v>
      </c>
      <c r="H1797" s="5">
        <f t="shared" si="46"/>
        <v>0</v>
      </c>
      <c r="I1797" s="6"/>
      <c r="J1797" s="43"/>
      <c r="K1797" s="51"/>
      <c r="L1797" s="86"/>
    </row>
    <row r="1798" spans="1:12" ht="15" x14ac:dyDescent="0.25">
      <c r="A1798" s="1">
        <v>1789</v>
      </c>
      <c r="B1798" s="1" t="s">
        <v>288</v>
      </c>
      <c r="C1798" s="32">
        <v>6012</v>
      </c>
      <c r="D1798" s="1">
        <v>14000</v>
      </c>
      <c r="E1798" s="1"/>
      <c r="F1798" s="1">
        <v>155</v>
      </c>
      <c r="G1798" s="1">
        <v>14000</v>
      </c>
      <c r="H1798" s="5">
        <f t="shared" si="46"/>
        <v>0</v>
      </c>
      <c r="I1798" s="6"/>
      <c r="J1798" s="43"/>
      <c r="K1798" s="51"/>
      <c r="L1798" s="86"/>
    </row>
    <row r="1799" spans="1:12" ht="15" x14ac:dyDescent="0.25">
      <c r="A1799" s="1">
        <v>1790</v>
      </c>
      <c r="B1799" s="1" t="s">
        <v>288</v>
      </c>
      <c r="C1799" s="32">
        <v>5920</v>
      </c>
      <c r="D1799" s="1">
        <v>13000</v>
      </c>
      <c r="E1799" s="1"/>
      <c r="F1799" s="1">
        <v>144</v>
      </c>
      <c r="G1799" s="1">
        <v>13000</v>
      </c>
      <c r="H1799" s="5">
        <f t="shared" si="46"/>
        <v>0</v>
      </c>
      <c r="I1799" s="6"/>
      <c r="J1799" s="43"/>
      <c r="K1799" s="51"/>
      <c r="L1799" s="86"/>
    </row>
    <row r="1800" spans="1:12" ht="15" x14ac:dyDescent="0.25">
      <c r="A1800" s="1">
        <v>1791</v>
      </c>
      <c r="B1800" s="1" t="s">
        <v>288</v>
      </c>
      <c r="C1800" s="32">
        <v>4740</v>
      </c>
      <c r="D1800" s="1">
        <v>16000</v>
      </c>
      <c r="E1800" s="1"/>
      <c r="F1800" s="1">
        <v>178</v>
      </c>
      <c r="G1800" s="1">
        <v>16000</v>
      </c>
      <c r="H1800" s="5">
        <f t="shared" si="46"/>
        <v>0</v>
      </c>
      <c r="I1800" s="6"/>
      <c r="J1800" s="43"/>
      <c r="K1800" s="51"/>
      <c r="L1800" s="86"/>
    </row>
    <row r="1801" spans="1:12" ht="15" x14ac:dyDescent="0.25">
      <c r="A1801" s="1">
        <v>1792</v>
      </c>
      <c r="B1801" s="1" t="s">
        <v>288</v>
      </c>
      <c r="C1801" s="32" t="s">
        <v>66</v>
      </c>
      <c r="D1801" s="1">
        <v>200</v>
      </c>
      <c r="E1801" s="1"/>
      <c r="F1801" s="1">
        <v>2.08</v>
      </c>
      <c r="G1801" s="1">
        <v>200</v>
      </c>
      <c r="H1801" s="5">
        <f t="shared" si="46"/>
        <v>0</v>
      </c>
      <c r="I1801" s="6"/>
      <c r="J1801" s="43"/>
      <c r="K1801" s="51"/>
      <c r="L1801" s="86"/>
    </row>
    <row r="1802" spans="1:12" ht="15" x14ac:dyDescent="0.25">
      <c r="A1802" s="1">
        <v>1793</v>
      </c>
      <c r="B1802" s="1" t="s">
        <v>288</v>
      </c>
      <c r="C1802" s="32">
        <v>9869</v>
      </c>
      <c r="D1802" s="1">
        <v>15000</v>
      </c>
      <c r="E1802" s="1"/>
      <c r="F1802" s="1">
        <v>167</v>
      </c>
      <c r="G1802" s="1">
        <v>15000</v>
      </c>
      <c r="H1802" s="5">
        <f t="shared" si="46"/>
        <v>0</v>
      </c>
      <c r="I1802" s="6"/>
      <c r="J1802" s="43"/>
      <c r="K1802" s="51"/>
      <c r="L1802" s="86"/>
    </row>
    <row r="1803" spans="1:12" ht="15" x14ac:dyDescent="0.25">
      <c r="A1803" s="1">
        <v>1794</v>
      </c>
      <c r="B1803" s="1" t="s">
        <v>288</v>
      </c>
      <c r="C1803" s="32">
        <v>876</v>
      </c>
      <c r="D1803" s="1">
        <v>16000</v>
      </c>
      <c r="E1803" s="1"/>
      <c r="F1803" s="1">
        <v>178</v>
      </c>
      <c r="G1803" s="1">
        <v>16000</v>
      </c>
      <c r="H1803" s="5">
        <f t="shared" si="46"/>
        <v>0</v>
      </c>
      <c r="I1803" s="6"/>
      <c r="J1803" s="43"/>
      <c r="K1803" s="51"/>
      <c r="L1803" s="86"/>
    </row>
    <row r="1804" spans="1:12" ht="15" x14ac:dyDescent="0.25">
      <c r="A1804" s="1">
        <v>1795</v>
      </c>
      <c r="B1804" s="1" t="s">
        <v>288</v>
      </c>
      <c r="C1804" s="32">
        <v>6529</v>
      </c>
      <c r="D1804" s="1">
        <v>18000</v>
      </c>
      <c r="E1804" s="1"/>
      <c r="F1804" s="1">
        <v>200.53</v>
      </c>
      <c r="G1804" s="1">
        <v>18000</v>
      </c>
      <c r="H1804" s="5">
        <f t="shared" si="46"/>
        <v>0</v>
      </c>
      <c r="I1804" s="6"/>
      <c r="J1804" s="43"/>
      <c r="K1804" s="51"/>
      <c r="L1804" s="86"/>
    </row>
    <row r="1805" spans="1:12" ht="15" x14ac:dyDescent="0.25">
      <c r="A1805" s="1">
        <v>1796</v>
      </c>
      <c r="B1805" s="1" t="s">
        <v>288</v>
      </c>
      <c r="C1805" s="32">
        <v>319</v>
      </c>
      <c r="D1805" s="1">
        <v>20000</v>
      </c>
      <c r="E1805" s="1"/>
      <c r="F1805" s="1">
        <v>222.82</v>
      </c>
      <c r="G1805" s="1">
        <v>20000</v>
      </c>
      <c r="H1805" s="5">
        <f t="shared" si="46"/>
        <v>0</v>
      </c>
      <c r="I1805" s="6"/>
      <c r="J1805" s="43"/>
      <c r="K1805" s="51"/>
      <c r="L1805" s="86"/>
    </row>
    <row r="1806" spans="1:12" ht="15" x14ac:dyDescent="0.25">
      <c r="A1806" s="1">
        <v>1797</v>
      </c>
      <c r="B1806" s="1" t="s">
        <v>288</v>
      </c>
      <c r="C1806" s="32">
        <v>6356</v>
      </c>
      <c r="D1806" s="1">
        <v>24000</v>
      </c>
      <c r="E1806" s="1"/>
      <c r="F1806" s="1">
        <v>260</v>
      </c>
      <c r="G1806" s="1">
        <v>24000</v>
      </c>
      <c r="H1806" s="5">
        <f t="shared" si="46"/>
        <v>0</v>
      </c>
      <c r="I1806" s="6"/>
      <c r="J1806" s="43"/>
      <c r="K1806" s="51"/>
      <c r="L1806" s="86"/>
    </row>
    <row r="1807" spans="1:12" ht="15" x14ac:dyDescent="0.25">
      <c r="A1807" s="1">
        <v>1798</v>
      </c>
      <c r="B1807" s="1" t="s">
        <v>288</v>
      </c>
      <c r="C1807" s="32">
        <v>7482</v>
      </c>
      <c r="D1807" s="1">
        <v>26000</v>
      </c>
      <c r="E1807" s="1"/>
      <c r="F1807" s="1">
        <v>289</v>
      </c>
      <c r="G1807" s="1">
        <v>26000</v>
      </c>
      <c r="H1807" s="5">
        <f t="shared" si="46"/>
        <v>0</v>
      </c>
      <c r="I1807" s="6"/>
      <c r="J1807" s="43"/>
      <c r="K1807" s="51"/>
      <c r="L1807" s="86"/>
    </row>
    <row r="1808" spans="1:12" ht="15" x14ac:dyDescent="0.25">
      <c r="A1808" s="1">
        <v>1799</v>
      </c>
      <c r="B1808" s="1" t="s">
        <v>288</v>
      </c>
      <c r="C1808" s="32">
        <v>6165</v>
      </c>
      <c r="D1808" s="1">
        <v>30000</v>
      </c>
      <c r="E1808" s="1"/>
      <c r="F1808" s="1">
        <v>334.82</v>
      </c>
      <c r="G1808" s="1">
        <v>30000</v>
      </c>
      <c r="H1808" s="5">
        <f t="shared" si="46"/>
        <v>0</v>
      </c>
      <c r="I1808" s="6"/>
      <c r="J1808" s="43"/>
      <c r="K1808" s="51"/>
      <c r="L1808" s="86"/>
    </row>
    <row r="1809" spans="1:13" ht="15" x14ac:dyDescent="0.25">
      <c r="A1809" s="1">
        <v>1800</v>
      </c>
      <c r="B1809" s="1" t="s">
        <v>288</v>
      </c>
      <c r="C1809" s="32" t="s">
        <v>66</v>
      </c>
      <c r="D1809" s="1">
        <v>200</v>
      </c>
      <c r="E1809" s="1"/>
      <c r="F1809" s="1">
        <v>2.08</v>
      </c>
      <c r="G1809" s="1">
        <v>200</v>
      </c>
      <c r="H1809" s="5">
        <f t="shared" si="46"/>
        <v>0</v>
      </c>
      <c r="I1809" s="6"/>
      <c r="J1809" s="43"/>
      <c r="K1809" s="51"/>
      <c r="L1809" s="86">
        <f>1029600-1028023</f>
        <v>1577</v>
      </c>
    </row>
    <row r="1810" spans="1:13" ht="15" x14ac:dyDescent="0.25">
      <c r="A1810" s="1">
        <v>1801</v>
      </c>
      <c r="B1810" s="1" t="s">
        <v>289</v>
      </c>
      <c r="C1810" s="32">
        <v>4626</v>
      </c>
      <c r="D1810" s="1">
        <v>13000</v>
      </c>
      <c r="E1810" s="1"/>
      <c r="F1810" s="1">
        <v>144</v>
      </c>
      <c r="G1810" s="1">
        <v>13000</v>
      </c>
      <c r="H1810" s="5">
        <f t="shared" si="46"/>
        <v>0</v>
      </c>
      <c r="I1810" s="6"/>
      <c r="J1810" s="43"/>
      <c r="K1810" s="51"/>
      <c r="L1810" s="86"/>
    </row>
    <row r="1811" spans="1:13" ht="15" x14ac:dyDescent="0.25">
      <c r="A1811" s="1">
        <v>1802</v>
      </c>
      <c r="B1811" s="1" t="s">
        <v>289</v>
      </c>
      <c r="C1811" s="32">
        <v>645</v>
      </c>
      <c r="D1811" s="1">
        <v>5000</v>
      </c>
      <c r="E1811" s="1"/>
      <c r="F1811" s="1">
        <v>55.7</v>
      </c>
      <c r="G1811" s="1">
        <v>5000</v>
      </c>
      <c r="H1811" s="5">
        <f t="shared" si="46"/>
        <v>0</v>
      </c>
      <c r="I1811" s="6"/>
      <c r="J1811" s="43"/>
      <c r="K1811" s="51"/>
      <c r="L1811" s="86"/>
    </row>
    <row r="1812" spans="1:13" ht="15" x14ac:dyDescent="0.25">
      <c r="A1812" s="1">
        <v>1803</v>
      </c>
      <c r="B1812" s="1" t="s">
        <v>289</v>
      </c>
      <c r="C1812" s="32" t="s">
        <v>30</v>
      </c>
      <c r="D1812" s="1">
        <v>4500</v>
      </c>
      <c r="E1812" s="1"/>
      <c r="F1812" s="1">
        <v>50.13</v>
      </c>
      <c r="G1812" s="1">
        <v>4500</v>
      </c>
      <c r="H1812" s="5">
        <f t="shared" si="46"/>
        <v>0</v>
      </c>
      <c r="I1812" s="6"/>
      <c r="J1812" s="43"/>
      <c r="K1812" s="51"/>
      <c r="L1812" s="86"/>
    </row>
    <row r="1813" spans="1:13" ht="15" x14ac:dyDescent="0.25">
      <c r="A1813" s="1">
        <v>1804</v>
      </c>
      <c r="B1813" s="1" t="s">
        <v>289</v>
      </c>
      <c r="C1813" s="32">
        <v>934</v>
      </c>
      <c r="D1813" s="1">
        <v>15000</v>
      </c>
      <c r="E1813" s="1"/>
      <c r="F1813" s="1">
        <v>167</v>
      </c>
      <c r="G1813" s="1">
        <v>15000</v>
      </c>
      <c r="H1813" s="5">
        <f t="shared" si="46"/>
        <v>0</v>
      </c>
      <c r="I1813" s="6"/>
      <c r="J1813" s="43"/>
      <c r="K1813" s="51"/>
      <c r="L1813" s="86"/>
    </row>
    <row r="1814" spans="1:13" ht="15" x14ac:dyDescent="0.25">
      <c r="A1814" s="1">
        <v>1805</v>
      </c>
      <c r="B1814" s="1" t="s">
        <v>289</v>
      </c>
      <c r="C1814" s="32">
        <v>7785</v>
      </c>
      <c r="D1814" s="1">
        <v>20000</v>
      </c>
      <c r="E1814" s="1"/>
      <c r="F1814" s="1">
        <v>222</v>
      </c>
      <c r="G1814" s="1">
        <v>20000</v>
      </c>
      <c r="H1814" s="5">
        <f t="shared" si="46"/>
        <v>0</v>
      </c>
      <c r="I1814" s="6"/>
      <c r="J1814" s="43"/>
      <c r="K1814" s="51"/>
      <c r="L1814" s="86"/>
    </row>
    <row r="1815" spans="1:13" ht="15" x14ac:dyDescent="0.25">
      <c r="A1815" s="1">
        <v>1806</v>
      </c>
      <c r="B1815" s="1" t="s">
        <v>289</v>
      </c>
      <c r="C1815" s="32">
        <v>9607</v>
      </c>
      <c r="D1815" s="1">
        <v>30000</v>
      </c>
      <c r="E1815" s="1"/>
      <c r="F1815" s="1">
        <v>333</v>
      </c>
      <c r="G1815" s="1">
        <v>30000</v>
      </c>
      <c r="H1815" s="5">
        <f t="shared" si="46"/>
        <v>0</v>
      </c>
      <c r="I1815" s="6"/>
      <c r="J1815" s="43"/>
      <c r="K1815" s="51"/>
      <c r="L1815" s="86"/>
    </row>
    <row r="1816" spans="1:13" ht="15" x14ac:dyDescent="0.25">
      <c r="A1816" s="1">
        <v>1807</v>
      </c>
      <c r="B1816" s="1" t="s">
        <v>289</v>
      </c>
      <c r="C1816" s="32">
        <v>1735</v>
      </c>
      <c r="D1816" s="1">
        <v>20000</v>
      </c>
      <c r="E1816" s="1"/>
      <c r="F1816" s="1">
        <v>222</v>
      </c>
      <c r="G1816" s="1">
        <v>20000</v>
      </c>
      <c r="H1816" s="5">
        <f t="shared" si="46"/>
        <v>0</v>
      </c>
      <c r="I1816" s="6"/>
      <c r="J1816" s="43"/>
      <c r="K1816" s="51"/>
      <c r="L1816" s="86"/>
    </row>
    <row r="1817" spans="1:13" ht="15" x14ac:dyDescent="0.25">
      <c r="A1817" s="1">
        <v>1808</v>
      </c>
      <c r="B1817" s="1" t="s">
        <v>289</v>
      </c>
      <c r="C1817" s="32">
        <v>4826</v>
      </c>
      <c r="D1817" s="1">
        <v>20000</v>
      </c>
      <c r="E1817" s="1"/>
      <c r="F1817" s="1">
        <v>222</v>
      </c>
      <c r="G1817" s="1">
        <v>20000</v>
      </c>
      <c r="H1817" s="5">
        <f t="shared" si="46"/>
        <v>0</v>
      </c>
      <c r="I1817" s="6"/>
      <c r="J1817" s="43"/>
      <c r="K1817" s="51"/>
      <c r="L1817" s="86"/>
    </row>
    <row r="1818" spans="1:13" ht="15" x14ac:dyDescent="0.25">
      <c r="A1818" s="1">
        <v>1809</v>
      </c>
      <c r="B1818" s="1" t="s">
        <v>289</v>
      </c>
      <c r="C1818" s="32">
        <v>1131</v>
      </c>
      <c r="D1818" s="1">
        <v>22000</v>
      </c>
      <c r="E1818" s="1"/>
      <c r="F1818" s="1">
        <v>245</v>
      </c>
      <c r="G1818" s="1">
        <v>22000</v>
      </c>
      <c r="H1818" s="5">
        <f t="shared" si="46"/>
        <v>0</v>
      </c>
      <c r="I1818" s="6"/>
      <c r="J1818" s="43"/>
      <c r="K1818" s="51"/>
      <c r="L1818" s="86"/>
    </row>
    <row r="1819" spans="1:13" ht="15" x14ac:dyDescent="0.25">
      <c r="A1819" s="1">
        <v>1810</v>
      </c>
      <c r="B1819" s="1" t="s">
        <v>289</v>
      </c>
      <c r="C1819" s="32">
        <v>1000</v>
      </c>
      <c r="D1819" s="1">
        <v>25000</v>
      </c>
      <c r="E1819" s="1"/>
      <c r="F1819" s="1">
        <v>278</v>
      </c>
      <c r="G1819" s="1">
        <v>25000</v>
      </c>
      <c r="H1819" s="5">
        <f t="shared" si="46"/>
        <v>0</v>
      </c>
      <c r="I1819" s="6"/>
      <c r="J1819" s="43"/>
      <c r="K1819" s="51"/>
      <c r="L1819" s="86"/>
    </row>
    <row r="1820" spans="1:13" ht="15" x14ac:dyDescent="0.25">
      <c r="A1820" s="1">
        <v>1811</v>
      </c>
      <c r="B1820" s="1" t="s">
        <v>289</v>
      </c>
      <c r="C1820" s="32">
        <v>975</v>
      </c>
      <c r="D1820" s="1">
        <v>25000</v>
      </c>
      <c r="E1820" s="1"/>
      <c r="F1820" s="1">
        <v>278</v>
      </c>
      <c r="G1820" s="1">
        <v>25000</v>
      </c>
      <c r="H1820" s="5">
        <f t="shared" si="46"/>
        <v>0</v>
      </c>
      <c r="I1820" s="6"/>
      <c r="J1820" s="43"/>
      <c r="K1820" s="51"/>
      <c r="L1820" s="86"/>
    </row>
    <row r="1821" spans="1:13" ht="15" x14ac:dyDescent="0.25">
      <c r="A1821" s="1">
        <v>1812</v>
      </c>
      <c r="B1821" s="1" t="s">
        <v>289</v>
      </c>
      <c r="C1821" s="32">
        <v>5132</v>
      </c>
      <c r="D1821" s="1">
        <v>15000</v>
      </c>
      <c r="E1821" s="1"/>
      <c r="F1821" s="1">
        <v>167.11</v>
      </c>
      <c r="G1821" s="1">
        <v>15000</v>
      </c>
      <c r="H1821" s="5">
        <f t="shared" si="46"/>
        <v>0</v>
      </c>
      <c r="I1821" s="6"/>
      <c r="J1821" s="43"/>
      <c r="K1821" s="51"/>
      <c r="L1821" s="86"/>
    </row>
    <row r="1822" spans="1:13" ht="15" x14ac:dyDescent="0.25">
      <c r="A1822" s="1">
        <v>1813</v>
      </c>
      <c r="B1822" s="1" t="s">
        <v>289</v>
      </c>
      <c r="C1822" s="32">
        <v>647</v>
      </c>
      <c r="D1822" s="1">
        <v>13000</v>
      </c>
      <c r="E1822" s="1"/>
      <c r="F1822" s="1">
        <v>144</v>
      </c>
      <c r="G1822" s="1">
        <v>13000</v>
      </c>
      <c r="H1822" s="5">
        <f t="shared" si="46"/>
        <v>0</v>
      </c>
      <c r="I1822" s="6"/>
      <c r="J1822" s="43"/>
      <c r="K1822" s="51"/>
      <c r="L1822" s="86"/>
    </row>
    <row r="1823" spans="1:13" ht="15" x14ac:dyDescent="0.25">
      <c r="A1823" s="1">
        <v>1814</v>
      </c>
      <c r="B1823" s="1" t="s">
        <v>289</v>
      </c>
      <c r="C1823" s="32">
        <v>3131</v>
      </c>
      <c r="D1823" s="1">
        <v>15000</v>
      </c>
      <c r="E1823" s="1"/>
      <c r="F1823" s="1">
        <v>167</v>
      </c>
      <c r="G1823" s="1">
        <v>15000</v>
      </c>
      <c r="H1823" s="5">
        <f t="shared" si="46"/>
        <v>0</v>
      </c>
      <c r="I1823" s="6"/>
      <c r="J1823" s="43"/>
      <c r="K1823" s="51"/>
      <c r="L1823" s="86"/>
      <c r="M1823" t="s">
        <v>295</v>
      </c>
    </row>
    <row r="1824" spans="1:13" ht="15" x14ac:dyDescent="0.25">
      <c r="A1824" s="1">
        <v>1815</v>
      </c>
      <c r="B1824" s="1" t="s">
        <v>289</v>
      </c>
      <c r="C1824" s="32">
        <v>3971</v>
      </c>
      <c r="D1824" s="1">
        <v>20000</v>
      </c>
      <c r="E1824" s="1"/>
      <c r="F1824" s="1">
        <v>222</v>
      </c>
      <c r="G1824" s="1">
        <v>20000</v>
      </c>
      <c r="H1824" s="5">
        <f t="shared" si="46"/>
        <v>0</v>
      </c>
      <c r="I1824" s="6"/>
      <c r="J1824" s="43"/>
      <c r="K1824" s="51"/>
      <c r="L1824" s="86"/>
      <c r="M1824" t="s">
        <v>296</v>
      </c>
    </row>
    <row r="1825" spans="1:12" ht="15" x14ac:dyDescent="0.25">
      <c r="A1825" s="1">
        <v>1816</v>
      </c>
      <c r="B1825" s="1" t="s">
        <v>289</v>
      </c>
      <c r="C1825" s="32">
        <v>4155</v>
      </c>
      <c r="D1825" s="1">
        <v>17000</v>
      </c>
      <c r="E1825" s="1"/>
      <c r="F1825" s="1">
        <v>189</v>
      </c>
      <c r="G1825" s="1">
        <v>17000</v>
      </c>
      <c r="H1825" s="5">
        <f t="shared" si="46"/>
        <v>0</v>
      </c>
      <c r="I1825" s="6"/>
      <c r="J1825" s="43"/>
      <c r="K1825" s="51"/>
      <c r="L1825" s="86">
        <f>1014381-1009100</f>
        <v>5281</v>
      </c>
    </row>
    <row r="1826" spans="1:12" ht="15" x14ac:dyDescent="0.25">
      <c r="A1826" s="1">
        <v>1817</v>
      </c>
      <c r="B1826" s="1" t="s">
        <v>290</v>
      </c>
      <c r="C1826" s="32">
        <v>5798</v>
      </c>
      <c r="D1826" s="1">
        <v>25000</v>
      </c>
      <c r="E1826" s="1"/>
      <c r="F1826" s="1">
        <v>278</v>
      </c>
      <c r="G1826" s="1">
        <v>25000</v>
      </c>
      <c r="H1826" s="5">
        <f t="shared" si="46"/>
        <v>0</v>
      </c>
      <c r="I1826" s="6"/>
      <c r="J1826" s="43"/>
      <c r="K1826" s="51"/>
      <c r="L1826" s="86"/>
    </row>
    <row r="1827" spans="1:12" ht="15" x14ac:dyDescent="0.25">
      <c r="A1827" s="1">
        <v>1818</v>
      </c>
      <c r="B1827" s="1" t="s">
        <v>290</v>
      </c>
      <c r="C1827" s="32" t="s">
        <v>63</v>
      </c>
      <c r="D1827" s="1">
        <v>3500</v>
      </c>
      <c r="E1827" s="1"/>
      <c r="F1827" s="1">
        <v>38.99</v>
      </c>
      <c r="G1827" s="1">
        <v>3500</v>
      </c>
      <c r="H1827" s="5">
        <f t="shared" si="46"/>
        <v>0</v>
      </c>
      <c r="I1827" s="6"/>
      <c r="J1827" s="43"/>
      <c r="K1827" s="51"/>
      <c r="L1827" s="86"/>
    </row>
    <row r="1828" spans="1:12" ht="15" x14ac:dyDescent="0.25">
      <c r="A1828" s="1">
        <v>1819</v>
      </c>
      <c r="B1828" s="1" t="s">
        <v>290</v>
      </c>
      <c r="C1828" s="32">
        <v>889</v>
      </c>
      <c r="D1828" s="1">
        <v>13000</v>
      </c>
      <c r="E1828" s="1"/>
      <c r="F1828" s="1">
        <v>144</v>
      </c>
      <c r="G1828" s="1">
        <v>13000</v>
      </c>
      <c r="H1828" s="5">
        <f t="shared" si="46"/>
        <v>0</v>
      </c>
      <c r="I1828" s="6"/>
      <c r="J1828" s="43"/>
      <c r="K1828" s="51"/>
      <c r="L1828" s="86"/>
    </row>
    <row r="1829" spans="1:12" ht="15" x14ac:dyDescent="0.25">
      <c r="A1829" s="1">
        <v>1820</v>
      </c>
      <c r="B1829" s="1" t="s">
        <v>290</v>
      </c>
      <c r="C1829" s="32" t="s">
        <v>30</v>
      </c>
      <c r="D1829" s="1">
        <v>5000</v>
      </c>
      <c r="E1829" s="1"/>
      <c r="F1829" s="1">
        <v>55</v>
      </c>
      <c r="G1829" s="1">
        <v>5000</v>
      </c>
      <c r="H1829" s="5">
        <f t="shared" si="46"/>
        <v>0</v>
      </c>
      <c r="I1829" s="6"/>
      <c r="J1829" s="43"/>
      <c r="K1829" s="51"/>
      <c r="L1829" s="86"/>
    </row>
    <row r="1830" spans="1:12" ht="15" x14ac:dyDescent="0.25">
      <c r="A1830" s="1">
        <v>1821</v>
      </c>
      <c r="B1830" s="1" t="s">
        <v>290</v>
      </c>
      <c r="C1830" s="32">
        <v>7020</v>
      </c>
      <c r="D1830" s="1">
        <v>18000</v>
      </c>
      <c r="E1830" s="1"/>
      <c r="F1830" s="1">
        <v>200</v>
      </c>
      <c r="G1830" s="1">
        <v>18000</v>
      </c>
      <c r="H1830" s="5">
        <f t="shared" si="46"/>
        <v>0</v>
      </c>
      <c r="I1830" s="6"/>
      <c r="J1830" s="43"/>
      <c r="K1830" s="51"/>
      <c r="L1830" s="86"/>
    </row>
    <row r="1831" spans="1:12" ht="15" x14ac:dyDescent="0.25">
      <c r="A1831" s="1">
        <v>1822</v>
      </c>
      <c r="B1831" s="1" t="s">
        <v>290</v>
      </c>
      <c r="C1831" s="32">
        <v>5688</v>
      </c>
      <c r="D1831" s="1">
        <v>6000</v>
      </c>
      <c r="E1831" s="1"/>
      <c r="F1831" s="1">
        <v>66.84</v>
      </c>
      <c r="G1831" s="1">
        <v>6000</v>
      </c>
      <c r="H1831" s="5">
        <f t="shared" si="46"/>
        <v>0</v>
      </c>
      <c r="I1831" s="6"/>
      <c r="J1831" s="43"/>
      <c r="K1831" s="51"/>
      <c r="L1831" s="86"/>
    </row>
    <row r="1832" spans="1:12" ht="15" x14ac:dyDescent="0.25">
      <c r="A1832" s="1">
        <v>1823</v>
      </c>
      <c r="B1832" s="1" t="s">
        <v>290</v>
      </c>
      <c r="C1832" s="32">
        <v>9713</v>
      </c>
      <c r="D1832" s="1">
        <v>10000</v>
      </c>
      <c r="E1832" s="1"/>
      <c r="F1832" s="1">
        <v>111.41</v>
      </c>
      <c r="G1832" s="1">
        <v>10000</v>
      </c>
      <c r="H1832" s="5">
        <f t="shared" si="46"/>
        <v>0</v>
      </c>
      <c r="I1832" s="6"/>
      <c r="J1832" s="43"/>
      <c r="K1832" s="51"/>
      <c r="L1832" s="86"/>
    </row>
    <row r="1833" spans="1:12" ht="15" x14ac:dyDescent="0.25">
      <c r="A1833" s="1">
        <v>1824</v>
      </c>
      <c r="B1833" s="1" t="s">
        <v>290</v>
      </c>
      <c r="C1833" s="32">
        <v>6333</v>
      </c>
      <c r="D1833" s="1">
        <v>18000</v>
      </c>
      <c r="E1833" s="1"/>
      <c r="F1833" s="1">
        <v>200.53</v>
      </c>
      <c r="G1833" s="1">
        <v>18000</v>
      </c>
      <c r="H1833" s="5">
        <f t="shared" si="46"/>
        <v>0</v>
      </c>
      <c r="I1833" s="6"/>
      <c r="J1833" s="43"/>
      <c r="K1833" s="51"/>
      <c r="L1833" s="86"/>
    </row>
    <row r="1834" spans="1:12" ht="15" x14ac:dyDescent="0.25">
      <c r="A1834" s="1">
        <v>1825</v>
      </c>
      <c r="B1834" s="1" t="s">
        <v>290</v>
      </c>
      <c r="C1834" s="32">
        <v>8442</v>
      </c>
      <c r="D1834" s="1">
        <v>18000</v>
      </c>
      <c r="E1834" s="1"/>
      <c r="F1834" s="1">
        <v>200.53</v>
      </c>
      <c r="G1834" s="1">
        <v>18000</v>
      </c>
      <c r="H1834" s="5">
        <f t="shared" si="46"/>
        <v>0</v>
      </c>
      <c r="I1834" s="6"/>
      <c r="J1834" s="43"/>
      <c r="K1834" s="51"/>
      <c r="L1834" s="86"/>
    </row>
    <row r="1835" spans="1:12" ht="15" x14ac:dyDescent="0.25">
      <c r="A1835" s="1">
        <v>1826</v>
      </c>
      <c r="B1835" s="1" t="s">
        <v>290</v>
      </c>
      <c r="C1835" s="32">
        <v>8531</v>
      </c>
      <c r="D1835" s="1">
        <v>20000</v>
      </c>
      <c r="E1835" s="1"/>
      <c r="F1835" s="1">
        <v>222.82</v>
      </c>
      <c r="G1835" s="1">
        <v>20000</v>
      </c>
      <c r="H1835" s="5">
        <f t="shared" si="46"/>
        <v>0</v>
      </c>
      <c r="I1835" s="6"/>
      <c r="J1835" s="43"/>
      <c r="K1835" s="51"/>
      <c r="L1835" s="86"/>
    </row>
    <row r="1836" spans="1:12" ht="15" x14ac:dyDescent="0.25">
      <c r="A1836" s="1">
        <v>1827</v>
      </c>
      <c r="B1836" s="1" t="s">
        <v>290</v>
      </c>
      <c r="C1836" s="32">
        <v>1844</v>
      </c>
      <c r="D1836" s="1">
        <v>20000</v>
      </c>
      <c r="E1836" s="1"/>
      <c r="F1836" s="1">
        <v>222.82</v>
      </c>
      <c r="G1836" s="1">
        <v>20000</v>
      </c>
      <c r="H1836" s="5">
        <f t="shared" si="46"/>
        <v>0</v>
      </c>
      <c r="I1836" s="6"/>
      <c r="J1836" s="43"/>
      <c r="K1836" s="51"/>
      <c r="L1836" s="86"/>
    </row>
    <row r="1837" spans="1:12" ht="15" x14ac:dyDescent="0.25">
      <c r="A1837" s="1">
        <v>1828</v>
      </c>
      <c r="B1837" s="1" t="s">
        <v>290</v>
      </c>
      <c r="C1837" s="32">
        <v>5100</v>
      </c>
      <c r="D1837" s="1">
        <v>20000</v>
      </c>
      <c r="E1837" s="1"/>
      <c r="F1837" s="1">
        <v>222.82</v>
      </c>
      <c r="G1837" s="1">
        <v>20000</v>
      </c>
      <c r="H1837" s="5">
        <f t="shared" si="46"/>
        <v>0</v>
      </c>
      <c r="I1837" s="6"/>
      <c r="J1837" s="43"/>
      <c r="K1837" s="51"/>
      <c r="L1837" s="86"/>
    </row>
    <row r="1838" spans="1:12" ht="15" x14ac:dyDescent="0.25">
      <c r="A1838" s="1">
        <v>1829</v>
      </c>
      <c r="B1838" s="1" t="s">
        <v>290</v>
      </c>
      <c r="C1838" s="32">
        <v>3923</v>
      </c>
      <c r="D1838" s="1">
        <v>20000</v>
      </c>
      <c r="E1838" s="1"/>
      <c r="F1838" s="1">
        <v>222.82</v>
      </c>
      <c r="G1838" s="1">
        <v>20000</v>
      </c>
      <c r="H1838" s="5">
        <f t="shared" si="46"/>
        <v>0</v>
      </c>
      <c r="I1838" s="6"/>
      <c r="J1838" s="43"/>
      <c r="K1838" s="51"/>
      <c r="L1838" s="86"/>
    </row>
    <row r="1839" spans="1:12" ht="15" x14ac:dyDescent="0.25">
      <c r="A1839" s="1">
        <v>1830</v>
      </c>
      <c r="B1839" s="1" t="s">
        <v>291</v>
      </c>
      <c r="C1839" s="32" t="s">
        <v>66</v>
      </c>
      <c r="D1839" s="1">
        <v>200</v>
      </c>
      <c r="E1839" s="1"/>
      <c r="F1839" s="1">
        <v>2.08</v>
      </c>
      <c r="G1839" s="1">
        <v>200</v>
      </c>
      <c r="H1839" s="5">
        <f t="shared" si="46"/>
        <v>0</v>
      </c>
      <c r="I1839" s="6"/>
      <c r="J1839" s="43"/>
      <c r="K1839" s="51"/>
      <c r="L1839" s="86"/>
    </row>
    <row r="1840" spans="1:12" ht="15" x14ac:dyDescent="0.25">
      <c r="A1840" s="1">
        <v>1831</v>
      </c>
      <c r="B1840" s="1" t="s">
        <v>291</v>
      </c>
      <c r="C1840" s="32">
        <v>3935</v>
      </c>
      <c r="D1840" s="1">
        <v>20000</v>
      </c>
      <c r="E1840" s="1"/>
      <c r="F1840" s="1">
        <v>222.82</v>
      </c>
      <c r="G1840" s="1">
        <v>20000</v>
      </c>
      <c r="H1840" s="5">
        <f t="shared" si="46"/>
        <v>0</v>
      </c>
      <c r="I1840" s="6"/>
      <c r="J1840" s="43"/>
      <c r="K1840" s="51"/>
      <c r="L1840" s="86"/>
    </row>
    <row r="1841" spans="1:12" ht="15" x14ac:dyDescent="0.25">
      <c r="A1841" s="1">
        <v>1832</v>
      </c>
      <c r="B1841" s="1" t="s">
        <v>291</v>
      </c>
      <c r="C1841" s="32">
        <v>4028</v>
      </c>
      <c r="D1841" s="1">
        <v>20000</v>
      </c>
      <c r="E1841" s="1"/>
      <c r="F1841" s="1">
        <v>222.82</v>
      </c>
      <c r="G1841" s="1">
        <v>20000</v>
      </c>
      <c r="H1841" s="5">
        <f t="shared" si="46"/>
        <v>0</v>
      </c>
      <c r="I1841" s="6"/>
      <c r="J1841" s="43"/>
      <c r="K1841" s="51"/>
      <c r="L1841" s="86"/>
    </row>
    <row r="1842" spans="1:12" ht="15" x14ac:dyDescent="0.25">
      <c r="A1842" s="1">
        <v>1833</v>
      </c>
      <c r="B1842" s="1" t="s">
        <v>291</v>
      </c>
      <c r="C1842" s="32">
        <v>8655</v>
      </c>
      <c r="D1842" s="1">
        <v>20000</v>
      </c>
      <c r="E1842" s="1"/>
      <c r="F1842" s="1">
        <v>222.82</v>
      </c>
      <c r="G1842" s="1">
        <v>20000</v>
      </c>
      <c r="H1842" s="5">
        <f t="shared" si="46"/>
        <v>0</v>
      </c>
      <c r="I1842" s="6"/>
      <c r="J1842" s="43"/>
      <c r="K1842" s="51"/>
      <c r="L1842" s="86"/>
    </row>
    <row r="1843" spans="1:12" ht="15" x14ac:dyDescent="0.25">
      <c r="A1843" s="1">
        <v>1834</v>
      </c>
      <c r="B1843" s="1" t="s">
        <v>291</v>
      </c>
      <c r="C1843" s="32">
        <v>1121</v>
      </c>
      <c r="D1843" s="1">
        <v>20000</v>
      </c>
      <c r="E1843" s="1"/>
      <c r="F1843" s="1">
        <v>222.82</v>
      </c>
      <c r="G1843" s="1">
        <v>20000</v>
      </c>
      <c r="H1843" s="5">
        <f t="shared" ref="H1843:H1906" si="47">D1843-G1843</f>
        <v>0</v>
      </c>
      <c r="I1843" s="6"/>
      <c r="J1843" s="43"/>
      <c r="K1843" s="51"/>
      <c r="L1843" s="86"/>
    </row>
    <row r="1844" spans="1:12" ht="15" x14ac:dyDescent="0.25">
      <c r="A1844" s="1">
        <v>1835</v>
      </c>
      <c r="B1844" s="1" t="s">
        <v>291</v>
      </c>
      <c r="C1844" s="32">
        <v>1068</v>
      </c>
      <c r="D1844" s="1">
        <v>30000</v>
      </c>
      <c r="E1844" s="1"/>
      <c r="F1844" s="1">
        <v>334.22</v>
      </c>
      <c r="G1844" s="1">
        <v>30000</v>
      </c>
      <c r="H1844" s="5">
        <f t="shared" si="47"/>
        <v>0</v>
      </c>
      <c r="I1844" s="6"/>
      <c r="J1844" s="43"/>
      <c r="K1844" s="51"/>
      <c r="L1844" s="86"/>
    </row>
    <row r="1845" spans="1:12" ht="15" x14ac:dyDescent="0.25">
      <c r="A1845" s="1">
        <v>1836</v>
      </c>
      <c r="B1845" s="1" t="s">
        <v>291</v>
      </c>
      <c r="C1845" s="32">
        <v>302</v>
      </c>
      <c r="D1845" s="1">
        <v>25000</v>
      </c>
      <c r="E1845" s="1"/>
      <c r="F1845" s="1">
        <v>278.52</v>
      </c>
      <c r="G1845" s="1">
        <v>25000</v>
      </c>
      <c r="H1845" s="5">
        <f t="shared" si="47"/>
        <v>0</v>
      </c>
      <c r="I1845" s="6"/>
      <c r="J1845" s="43"/>
      <c r="K1845" s="51"/>
      <c r="L1845" s="86"/>
    </row>
    <row r="1846" spans="1:12" ht="15" x14ac:dyDescent="0.25">
      <c r="A1846" s="1">
        <v>1837</v>
      </c>
      <c r="B1846" s="1" t="s">
        <v>291</v>
      </c>
      <c r="C1846" s="32">
        <v>7121</v>
      </c>
      <c r="D1846" s="1">
        <v>16000</v>
      </c>
      <c r="E1846" s="1"/>
      <c r="F1846" s="1">
        <v>178</v>
      </c>
      <c r="G1846" s="1">
        <v>16000</v>
      </c>
      <c r="H1846" s="5">
        <f t="shared" si="47"/>
        <v>0</v>
      </c>
      <c r="I1846" s="6"/>
      <c r="J1846" s="43"/>
      <c r="K1846" s="51"/>
      <c r="L1846" s="86"/>
    </row>
    <row r="1847" spans="1:12" ht="15" x14ac:dyDescent="0.25">
      <c r="A1847" s="1">
        <v>1838</v>
      </c>
      <c r="B1847" s="1" t="s">
        <v>291</v>
      </c>
      <c r="C1847" s="32">
        <v>2952</v>
      </c>
      <c r="D1847" s="1">
        <v>12000</v>
      </c>
      <c r="E1847" s="1"/>
      <c r="F1847" s="1">
        <v>133</v>
      </c>
      <c r="G1847" s="1">
        <v>12000</v>
      </c>
      <c r="H1847" s="5">
        <f t="shared" si="47"/>
        <v>0</v>
      </c>
      <c r="I1847" s="6"/>
      <c r="J1847" s="43"/>
      <c r="K1847" s="51"/>
      <c r="L1847" s="86">
        <f>1068800-1065272</f>
        <v>3528</v>
      </c>
    </row>
    <row r="1848" spans="1:12" ht="15" x14ac:dyDescent="0.25">
      <c r="A1848" s="1">
        <v>1839</v>
      </c>
      <c r="B1848" s="1" t="s">
        <v>292</v>
      </c>
      <c r="C1848" s="85">
        <v>9398</v>
      </c>
      <c r="D1848" s="1">
        <v>16600</v>
      </c>
      <c r="E1848" s="1"/>
      <c r="F1848" s="1">
        <v>184</v>
      </c>
      <c r="G1848" s="1">
        <v>16600</v>
      </c>
      <c r="H1848" s="5">
        <f t="shared" si="47"/>
        <v>0</v>
      </c>
      <c r="I1848" s="6"/>
      <c r="J1848" s="43"/>
      <c r="K1848" s="51"/>
      <c r="L1848" s="86"/>
    </row>
    <row r="1849" spans="1:12" ht="15" x14ac:dyDescent="0.25">
      <c r="A1849" s="1">
        <v>1840</v>
      </c>
      <c r="B1849" s="1" t="s">
        <v>292</v>
      </c>
      <c r="C1849" s="32">
        <v>9250</v>
      </c>
      <c r="D1849" s="1">
        <v>26800</v>
      </c>
      <c r="E1849" s="1"/>
      <c r="F1849" s="1">
        <v>298</v>
      </c>
      <c r="G1849" s="1">
        <v>26800</v>
      </c>
      <c r="H1849" s="5">
        <f t="shared" si="47"/>
        <v>0</v>
      </c>
      <c r="I1849" s="6"/>
      <c r="J1849" s="43"/>
      <c r="K1849" s="51"/>
      <c r="L1849" s="86"/>
    </row>
    <row r="1850" spans="1:12" ht="15" x14ac:dyDescent="0.25">
      <c r="A1850" s="1">
        <v>1841</v>
      </c>
      <c r="B1850" s="1" t="s">
        <v>292</v>
      </c>
      <c r="C1850" s="32">
        <v>4625</v>
      </c>
      <c r="D1850" s="1">
        <v>13000</v>
      </c>
      <c r="E1850" s="1"/>
      <c r="F1850" s="1">
        <v>144</v>
      </c>
      <c r="G1850" s="1">
        <v>13000</v>
      </c>
      <c r="H1850" s="5">
        <f t="shared" si="47"/>
        <v>0</v>
      </c>
      <c r="I1850" s="6"/>
      <c r="J1850" s="43"/>
      <c r="K1850" s="51"/>
      <c r="L1850" s="86"/>
    </row>
    <row r="1851" spans="1:12" ht="15" x14ac:dyDescent="0.25">
      <c r="A1851" s="1">
        <v>1842</v>
      </c>
      <c r="B1851" s="1" t="s">
        <v>292</v>
      </c>
      <c r="C1851" s="32" t="s">
        <v>63</v>
      </c>
      <c r="D1851" s="1">
        <v>3010</v>
      </c>
      <c r="E1851" s="1"/>
      <c r="F1851" s="1">
        <v>33.340000000000003</v>
      </c>
      <c r="G1851" s="1">
        <v>3010</v>
      </c>
      <c r="H1851" s="5">
        <f t="shared" si="47"/>
        <v>0</v>
      </c>
      <c r="I1851" s="6"/>
      <c r="J1851" s="43"/>
      <c r="K1851" s="51"/>
      <c r="L1851" s="86"/>
    </row>
    <row r="1852" spans="1:12" ht="15" x14ac:dyDescent="0.25">
      <c r="A1852" s="1">
        <v>1843</v>
      </c>
      <c r="B1852" s="1" t="s">
        <v>292</v>
      </c>
      <c r="C1852" s="32">
        <v>563</v>
      </c>
      <c r="D1852" s="1">
        <v>14000</v>
      </c>
      <c r="E1852" s="1"/>
      <c r="F1852" s="1">
        <v>155</v>
      </c>
      <c r="G1852" s="1">
        <v>14000</v>
      </c>
      <c r="H1852" s="5">
        <f t="shared" si="47"/>
        <v>0</v>
      </c>
      <c r="I1852" s="6"/>
      <c r="J1852" s="43"/>
      <c r="K1852" s="51"/>
      <c r="L1852" s="86"/>
    </row>
    <row r="1853" spans="1:12" ht="15" x14ac:dyDescent="0.25">
      <c r="A1853" s="1">
        <v>1844</v>
      </c>
      <c r="B1853" s="1" t="s">
        <v>292</v>
      </c>
      <c r="C1853" s="32">
        <v>1216</v>
      </c>
      <c r="D1853" s="1">
        <v>18000</v>
      </c>
      <c r="E1853" s="1"/>
      <c r="F1853" s="1">
        <v>200.83</v>
      </c>
      <c r="G1853" s="1">
        <v>18000</v>
      </c>
      <c r="H1853" s="5">
        <f t="shared" si="47"/>
        <v>0</v>
      </c>
      <c r="I1853" s="6"/>
      <c r="J1853" s="43"/>
      <c r="K1853" s="51"/>
      <c r="L1853" s="86"/>
    </row>
    <row r="1854" spans="1:12" ht="15" x14ac:dyDescent="0.25">
      <c r="A1854" s="1">
        <v>1845</v>
      </c>
      <c r="B1854" s="1" t="s">
        <v>292</v>
      </c>
      <c r="C1854" s="32" t="s">
        <v>30</v>
      </c>
      <c r="D1854" s="1">
        <v>4500</v>
      </c>
      <c r="E1854" s="1"/>
      <c r="F1854" s="1">
        <v>50.13</v>
      </c>
      <c r="G1854" s="1">
        <v>4500</v>
      </c>
      <c r="H1854" s="5">
        <f t="shared" si="47"/>
        <v>0</v>
      </c>
      <c r="I1854" s="6"/>
      <c r="J1854" s="43"/>
      <c r="K1854" s="51"/>
      <c r="L1854" s="86"/>
    </row>
    <row r="1855" spans="1:12" ht="15" x14ac:dyDescent="0.25">
      <c r="A1855" s="1">
        <v>1846</v>
      </c>
      <c r="B1855" s="1" t="s">
        <v>292</v>
      </c>
      <c r="C1855" s="32">
        <v>4627</v>
      </c>
      <c r="D1855" s="1">
        <v>13000</v>
      </c>
      <c r="E1855" s="1"/>
      <c r="F1855" s="1">
        <v>144</v>
      </c>
      <c r="G1855" s="1">
        <v>13000</v>
      </c>
      <c r="H1855" s="5">
        <f t="shared" si="47"/>
        <v>0</v>
      </c>
      <c r="I1855" s="6"/>
      <c r="J1855" s="43"/>
      <c r="K1855" s="51"/>
      <c r="L1855" s="86"/>
    </row>
    <row r="1856" spans="1:12" ht="15" x14ac:dyDescent="0.25">
      <c r="A1856" s="1">
        <v>1847</v>
      </c>
      <c r="B1856" s="1" t="s">
        <v>292</v>
      </c>
      <c r="C1856" s="32">
        <v>5906</v>
      </c>
      <c r="D1856" s="1">
        <v>13500</v>
      </c>
      <c r="E1856" s="1"/>
      <c r="F1856" s="1">
        <v>150</v>
      </c>
      <c r="G1856" s="1">
        <v>13500</v>
      </c>
      <c r="H1856" s="5">
        <f t="shared" si="47"/>
        <v>0</v>
      </c>
      <c r="I1856" s="6"/>
      <c r="J1856" s="43"/>
      <c r="K1856" s="51"/>
      <c r="L1856" s="86"/>
    </row>
    <row r="1857" spans="1:12" ht="15" x14ac:dyDescent="0.25">
      <c r="A1857" s="1">
        <v>1848</v>
      </c>
      <c r="B1857" s="1" t="s">
        <v>292</v>
      </c>
      <c r="C1857" s="32">
        <v>2995</v>
      </c>
      <c r="D1857" s="1">
        <v>18000</v>
      </c>
      <c r="E1857" s="1"/>
      <c r="F1857" s="1">
        <v>200.53</v>
      </c>
      <c r="G1857" s="1">
        <v>18000</v>
      </c>
      <c r="H1857" s="5">
        <f t="shared" si="47"/>
        <v>0</v>
      </c>
      <c r="I1857" s="6"/>
      <c r="J1857" s="43"/>
      <c r="K1857" s="51"/>
      <c r="L1857" s="86"/>
    </row>
    <row r="1858" spans="1:12" ht="15" x14ac:dyDescent="0.25">
      <c r="A1858" s="1">
        <v>1849</v>
      </c>
      <c r="B1858" s="1" t="s">
        <v>292</v>
      </c>
      <c r="C1858" s="32">
        <v>1352</v>
      </c>
      <c r="D1858" s="1">
        <v>13000</v>
      </c>
      <c r="E1858" s="1"/>
      <c r="F1858" s="1">
        <v>144</v>
      </c>
      <c r="G1858" s="1">
        <v>13000</v>
      </c>
      <c r="H1858" s="5">
        <f t="shared" si="47"/>
        <v>0</v>
      </c>
      <c r="I1858" s="6"/>
      <c r="J1858" s="43"/>
      <c r="K1858" s="51"/>
      <c r="L1858" s="86"/>
    </row>
    <row r="1859" spans="1:12" ht="15" x14ac:dyDescent="0.25">
      <c r="A1859" s="1">
        <v>1850</v>
      </c>
      <c r="B1859" s="1" t="s">
        <v>292</v>
      </c>
      <c r="C1859" s="32">
        <v>9291</v>
      </c>
      <c r="D1859" s="1">
        <v>20000</v>
      </c>
      <c r="E1859" s="1"/>
      <c r="F1859" s="1">
        <v>222.82</v>
      </c>
      <c r="G1859" s="1">
        <v>20000</v>
      </c>
      <c r="H1859" s="5">
        <f t="shared" si="47"/>
        <v>0</v>
      </c>
      <c r="I1859" s="6"/>
      <c r="J1859" s="43"/>
      <c r="K1859" s="51"/>
      <c r="L1859" s="86"/>
    </row>
    <row r="1860" spans="1:12" ht="15" x14ac:dyDescent="0.25">
      <c r="A1860" s="1">
        <v>1851</v>
      </c>
      <c r="B1860" s="1" t="s">
        <v>292</v>
      </c>
      <c r="C1860" s="32">
        <v>3518</v>
      </c>
      <c r="D1860" s="1">
        <v>20000</v>
      </c>
      <c r="E1860" s="1"/>
      <c r="F1860" s="1">
        <v>222.82</v>
      </c>
      <c r="G1860" s="1">
        <v>20000</v>
      </c>
      <c r="H1860" s="5">
        <f t="shared" si="47"/>
        <v>0</v>
      </c>
      <c r="I1860" s="6"/>
      <c r="J1860" s="43"/>
      <c r="K1860" s="51"/>
      <c r="L1860" s="86"/>
    </row>
    <row r="1861" spans="1:12" ht="15" x14ac:dyDescent="0.25">
      <c r="A1861" s="1">
        <v>1852</v>
      </c>
      <c r="B1861" s="1" t="s">
        <v>292</v>
      </c>
      <c r="C1861" s="32">
        <v>2623</v>
      </c>
      <c r="D1861" s="1">
        <v>20000</v>
      </c>
      <c r="E1861" s="1"/>
      <c r="F1861" s="1">
        <v>222.82</v>
      </c>
      <c r="G1861" s="1">
        <v>20000</v>
      </c>
      <c r="H1861" s="5">
        <f t="shared" si="47"/>
        <v>0</v>
      </c>
      <c r="I1861" s="6"/>
      <c r="J1861" s="43"/>
      <c r="K1861" s="51"/>
      <c r="L1861" s="86"/>
    </row>
    <row r="1862" spans="1:12" ht="15" x14ac:dyDescent="0.25">
      <c r="A1862" s="1">
        <v>1853</v>
      </c>
      <c r="B1862" s="1" t="s">
        <v>292</v>
      </c>
      <c r="C1862" s="32">
        <v>4374</v>
      </c>
      <c r="D1862" s="1">
        <v>20000</v>
      </c>
      <c r="E1862" s="1"/>
      <c r="F1862" s="1">
        <v>222.82</v>
      </c>
      <c r="G1862" s="1">
        <v>20000</v>
      </c>
      <c r="H1862" s="5">
        <f t="shared" si="47"/>
        <v>0</v>
      </c>
      <c r="I1862" s="6"/>
      <c r="J1862" s="43"/>
      <c r="K1862" s="51"/>
      <c r="L1862" s="86"/>
    </row>
    <row r="1863" spans="1:12" ht="15" x14ac:dyDescent="0.25">
      <c r="A1863" s="1">
        <v>1854</v>
      </c>
      <c r="B1863" s="1" t="s">
        <v>292</v>
      </c>
      <c r="C1863" s="32">
        <v>3604</v>
      </c>
      <c r="D1863" s="1">
        <v>15000</v>
      </c>
      <c r="E1863" s="1"/>
      <c r="F1863" s="1">
        <v>167.11</v>
      </c>
      <c r="G1863" s="1">
        <v>15000</v>
      </c>
      <c r="H1863" s="5">
        <f t="shared" si="47"/>
        <v>0</v>
      </c>
      <c r="I1863" s="6"/>
      <c r="J1863" s="43"/>
      <c r="K1863" s="51"/>
      <c r="L1863" s="86"/>
    </row>
    <row r="1864" spans="1:12" ht="15" x14ac:dyDescent="0.25">
      <c r="A1864" s="1">
        <v>1855</v>
      </c>
      <c r="B1864" s="1" t="s">
        <v>292</v>
      </c>
      <c r="C1864" s="32">
        <v>8674</v>
      </c>
      <c r="D1864" s="1">
        <v>19000</v>
      </c>
      <c r="E1864" s="1"/>
      <c r="F1864" s="1">
        <v>211.68</v>
      </c>
      <c r="G1864" s="1">
        <v>19000</v>
      </c>
      <c r="H1864" s="5">
        <f t="shared" si="47"/>
        <v>0</v>
      </c>
      <c r="I1864" s="6"/>
      <c r="J1864" s="43"/>
      <c r="K1864" s="51"/>
      <c r="L1864" s="86"/>
    </row>
    <row r="1865" spans="1:12" ht="15" x14ac:dyDescent="0.25">
      <c r="A1865" s="1">
        <v>1856</v>
      </c>
      <c r="B1865" s="1" t="s">
        <v>292</v>
      </c>
      <c r="C1865" s="32">
        <v>3085</v>
      </c>
      <c r="D1865" s="1">
        <v>25000</v>
      </c>
      <c r="E1865" s="1"/>
      <c r="F1865" s="1">
        <v>278.52</v>
      </c>
      <c r="G1865" s="1">
        <v>25000</v>
      </c>
      <c r="H1865" s="5">
        <f t="shared" si="47"/>
        <v>0</v>
      </c>
      <c r="I1865" s="6"/>
      <c r="J1865" s="43"/>
      <c r="K1865" s="51"/>
      <c r="L1865" s="86">
        <f>1074465-1061210</f>
        <v>13255</v>
      </c>
    </row>
    <row r="1866" spans="1:12" ht="15" x14ac:dyDescent="0.25">
      <c r="A1866" s="1">
        <v>1857</v>
      </c>
      <c r="B1866" s="1" t="s">
        <v>293</v>
      </c>
      <c r="C1866" s="32">
        <v>447</v>
      </c>
      <c r="D1866" s="1">
        <v>23000</v>
      </c>
      <c r="E1866" s="1"/>
      <c r="F1866" s="1">
        <v>213</v>
      </c>
      <c r="G1866" s="1">
        <v>23000</v>
      </c>
      <c r="H1866" s="5">
        <f t="shared" si="47"/>
        <v>0</v>
      </c>
      <c r="I1866" s="6"/>
      <c r="J1866" s="43"/>
      <c r="K1866" s="51"/>
      <c r="L1866" s="86"/>
    </row>
    <row r="1867" spans="1:12" ht="15" x14ac:dyDescent="0.25">
      <c r="A1867" s="1">
        <v>1858</v>
      </c>
      <c r="B1867" s="1" t="s">
        <v>293</v>
      </c>
      <c r="C1867" s="32">
        <v>1299</v>
      </c>
      <c r="D1867" s="1">
        <v>19000</v>
      </c>
      <c r="E1867" s="1"/>
      <c r="F1867" s="1">
        <v>211</v>
      </c>
      <c r="G1867" s="1">
        <v>19000</v>
      </c>
      <c r="H1867" s="5">
        <f t="shared" si="47"/>
        <v>0</v>
      </c>
      <c r="I1867" s="6"/>
      <c r="J1867" s="43"/>
      <c r="K1867" s="51"/>
      <c r="L1867" s="86"/>
    </row>
    <row r="1868" spans="1:12" ht="15" x14ac:dyDescent="0.25">
      <c r="A1868" s="1">
        <v>1859</v>
      </c>
      <c r="B1868" s="1" t="s">
        <v>293</v>
      </c>
      <c r="C1868" s="32" t="s">
        <v>66</v>
      </c>
      <c r="D1868" s="1">
        <v>200</v>
      </c>
      <c r="E1868" s="1"/>
      <c r="F1868" s="1">
        <v>2.08</v>
      </c>
      <c r="G1868" s="1">
        <v>200</v>
      </c>
      <c r="H1868" s="5">
        <f t="shared" si="47"/>
        <v>0</v>
      </c>
      <c r="I1868" s="6"/>
      <c r="J1868" s="43"/>
      <c r="K1868" s="51"/>
      <c r="L1868" s="86"/>
    </row>
    <row r="1869" spans="1:12" ht="15" x14ac:dyDescent="0.25">
      <c r="A1869" s="1">
        <v>1860</v>
      </c>
      <c r="B1869" s="1" t="s">
        <v>293</v>
      </c>
      <c r="C1869" s="32">
        <v>6511</v>
      </c>
      <c r="D1869" s="1">
        <v>28000</v>
      </c>
      <c r="E1869" s="1"/>
      <c r="F1869" s="1">
        <v>213</v>
      </c>
      <c r="G1869" s="1">
        <v>28000</v>
      </c>
      <c r="H1869" s="5">
        <f t="shared" si="47"/>
        <v>0</v>
      </c>
      <c r="I1869" s="6"/>
      <c r="J1869" s="43"/>
      <c r="K1869" s="51"/>
      <c r="L1869" s="86"/>
    </row>
    <row r="1870" spans="1:12" ht="15" x14ac:dyDescent="0.25">
      <c r="A1870" s="1">
        <v>1861</v>
      </c>
      <c r="B1870" s="1" t="s">
        <v>293</v>
      </c>
      <c r="C1870" s="32">
        <v>1590</v>
      </c>
      <c r="D1870" s="1">
        <v>15000</v>
      </c>
      <c r="E1870" s="1"/>
      <c r="F1870" s="1">
        <v>167</v>
      </c>
      <c r="G1870" s="1">
        <v>15000</v>
      </c>
      <c r="H1870" s="5">
        <f t="shared" si="47"/>
        <v>0</v>
      </c>
      <c r="I1870" s="6"/>
      <c r="J1870" s="43"/>
      <c r="K1870" s="51"/>
      <c r="L1870" s="86"/>
    </row>
    <row r="1871" spans="1:12" ht="15" x14ac:dyDescent="0.25">
      <c r="A1871" s="1">
        <v>1862</v>
      </c>
      <c r="B1871" s="1" t="s">
        <v>293</v>
      </c>
      <c r="C1871" s="32">
        <v>4081</v>
      </c>
      <c r="D1871" s="1">
        <v>20000</v>
      </c>
      <c r="E1871" s="1"/>
      <c r="F1871" s="1">
        <v>222.82</v>
      </c>
      <c r="G1871" s="1">
        <v>20000</v>
      </c>
      <c r="H1871" s="5">
        <f t="shared" si="47"/>
        <v>0</v>
      </c>
      <c r="I1871" s="6"/>
      <c r="J1871" s="43"/>
      <c r="K1871" s="51"/>
      <c r="L1871" s="86"/>
    </row>
    <row r="1872" spans="1:12" ht="15" x14ac:dyDescent="0.25">
      <c r="A1872" s="1">
        <v>1863</v>
      </c>
      <c r="B1872" s="1" t="s">
        <v>293</v>
      </c>
      <c r="C1872" s="32" t="s">
        <v>30</v>
      </c>
      <c r="D1872" s="1">
        <v>5000</v>
      </c>
      <c r="E1872" s="1"/>
      <c r="F1872" s="1">
        <v>55.7</v>
      </c>
      <c r="G1872" s="1">
        <v>5000</v>
      </c>
      <c r="H1872" s="5">
        <f t="shared" si="47"/>
        <v>0</v>
      </c>
      <c r="I1872" s="6"/>
      <c r="J1872" s="43"/>
      <c r="K1872" s="51"/>
      <c r="L1872" s="86"/>
    </row>
    <row r="1873" spans="1:12" ht="15" x14ac:dyDescent="0.25">
      <c r="A1873" s="1">
        <v>1864</v>
      </c>
      <c r="B1873" s="1" t="s">
        <v>293</v>
      </c>
      <c r="C1873" s="32">
        <v>9572</v>
      </c>
      <c r="D1873" s="1">
        <v>19000</v>
      </c>
      <c r="E1873" s="1"/>
      <c r="F1873" s="1">
        <v>211.68</v>
      </c>
      <c r="G1873" s="1">
        <v>19000</v>
      </c>
      <c r="H1873" s="5">
        <f t="shared" si="47"/>
        <v>0</v>
      </c>
      <c r="I1873" s="6"/>
      <c r="J1873" s="43"/>
      <c r="K1873" s="51"/>
      <c r="L1873" s="86"/>
    </row>
    <row r="1874" spans="1:12" ht="15" x14ac:dyDescent="0.25">
      <c r="A1874" s="1">
        <v>1865</v>
      </c>
      <c r="B1874" s="1" t="s">
        <v>293</v>
      </c>
      <c r="C1874" s="32">
        <v>5886</v>
      </c>
      <c r="D1874" s="1">
        <v>15000</v>
      </c>
      <c r="E1874" s="1"/>
      <c r="F1874" s="1">
        <v>167.11</v>
      </c>
      <c r="G1874" s="1">
        <v>15000</v>
      </c>
      <c r="H1874" s="5">
        <f t="shared" si="47"/>
        <v>0</v>
      </c>
      <c r="I1874" s="6"/>
      <c r="J1874" s="43"/>
      <c r="K1874" s="51"/>
      <c r="L1874" s="86"/>
    </row>
    <row r="1875" spans="1:12" ht="15" x14ac:dyDescent="0.25">
      <c r="A1875" s="1">
        <v>1866</v>
      </c>
      <c r="B1875" s="1" t="s">
        <v>293</v>
      </c>
      <c r="C1875" s="32">
        <v>1103</v>
      </c>
      <c r="D1875" s="1">
        <v>15000</v>
      </c>
      <c r="E1875" s="1"/>
      <c r="F1875" s="1">
        <v>167.11</v>
      </c>
      <c r="G1875" s="1">
        <v>15000</v>
      </c>
      <c r="H1875" s="5">
        <f t="shared" si="47"/>
        <v>0</v>
      </c>
      <c r="I1875" s="6"/>
      <c r="J1875" s="43"/>
      <c r="K1875" s="51"/>
      <c r="L1875" s="86"/>
    </row>
    <row r="1876" spans="1:12" ht="15" x14ac:dyDescent="0.25">
      <c r="A1876" s="1">
        <v>1867</v>
      </c>
      <c r="B1876" s="1" t="s">
        <v>293</v>
      </c>
      <c r="C1876" s="32">
        <v>4624</v>
      </c>
      <c r="D1876" s="1">
        <v>13000</v>
      </c>
      <c r="E1876" s="1"/>
      <c r="F1876" s="1">
        <v>144</v>
      </c>
      <c r="G1876" s="1">
        <v>13000</v>
      </c>
      <c r="H1876" s="5">
        <f t="shared" si="47"/>
        <v>0</v>
      </c>
      <c r="I1876" s="6"/>
      <c r="J1876" s="43"/>
      <c r="K1876" s="51"/>
      <c r="L1876" s="86"/>
    </row>
    <row r="1877" spans="1:12" ht="15" x14ac:dyDescent="0.25">
      <c r="A1877" s="1">
        <v>1868</v>
      </c>
      <c r="B1877" s="1" t="s">
        <v>293</v>
      </c>
      <c r="C1877" s="32">
        <v>4127</v>
      </c>
      <c r="D1877" s="1">
        <v>20000</v>
      </c>
      <c r="E1877" s="1"/>
      <c r="F1877" s="1">
        <v>222.82</v>
      </c>
      <c r="G1877" s="1">
        <v>20000</v>
      </c>
      <c r="H1877" s="5">
        <f t="shared" si="47"/>
        <v>0</v>
      </c>
      <c r="I1877" s="6"/>
      <c r="J1877" s="43"/>
      <c r="K1877" s="51"/>
      <c r="L1877" s="86"/>
    </row>
    <row r="1878" spans="1:12" ht="15" x14ac:dyDescent="0.25">
      <c r="A1878" s="1">
        <v>1869</v>
      </c>
      <c r="B1878" s="1" t="s">
        <v>293</v>
      </c>
      <c r="C1878" s="32">
        <v>4114</v>
      </c>
      <c r="D1878" s="1">
        <v>20000</v>
      </c>
      <c r="E1878" s="1"/>
      <c r="F1878" s="1">
        <v>222.82</v>
      </c>
      <c r="G1878" s="1">
        <v>20000</v>
      </c>
      <c r="H1878" s="5">
        <f t="shared" si="47"/>
        <v>0</v>
      </c>
      <c r="I1878" s="6"/>
      <c r="J1878" s="43"/>
      <c r="K1878" s="51"/>
      <c r="L1878" s="86"/>
    </row>
    <row r="1879" spans="1:12" ht="15" x14ac:dyDescent="0.25">
      <c r="A1879" s="1">
        <v>1870</v>
      </c>
      <c r="B1879" s="1" t="s">
        <v>293</v>
      </c>
      <c r="C1879" s="32">
        <v>4224</v>
      </c>
      <c r="D1879" s="1">
        <v>20000</v>
      </c>
      <c r="E1879" s="1"/>
      <c r="F1879" s="1">
        <v>222.82</v>
      </c>
      <c r="G1879" s="1">
        <v>20000</v>
      </c>
      <c r="H1879" s="5">
        <f t="shared" si="47"/>
        <v>0</v>
      </c>
      <c r="I1879" s="6"/>
      <c r="J1879" s="43"/>
      <c r="K1879" s="51"/>
      <c r="L1879" s="86"/>
    </row>
    <row r="1880" spans="1:12" ht="15" x14ac:dyDescent="0.25">
      <c r="A1880" s="1">
        <v>1871</v>
      </c>
      <c r="B1880" s="1" t="s">
        <v>293</v>
      </c>
      <c r="C1880" s="32">
        <v>7428</v>
      </c>
      <c r="D1880" s="1">
        <v>20000</v>
      </c>
      <c r="E1880" s="1"/>
      <c r="F1880" s="1">
        <v>222.82</v>
      </c>
      <c r="G1880" s="1">
        <v>20000</v>
      </c>
      <c r="H1880" s="5">
        <f t="shared" si="47"/>
        <v>0</v>
      </c>
      <c r="I1880" s="6"/>
      <c r="J1880" s="43"/>
      <c r="K1880" s="51"/>
      <c r="L1880" s="86"/>
    </row>
    <row r="1881" spans="1:12" ht="15" x14ac:dyDescent="0.25">
      <c r="A1881" s="1">
        <v>1872</v>
      </c>
      <c r="B1881" s="1" t="s">
        <v>293</v>
      </c>
      <c r="C1881" s="32">
        <v>1215</v>
      </c>
      <c r="D1881" s="1">
        <v>20000</v>
      </c>
      <c r="E1881" s="1"/>
      <c r="F1881" s="1">
        <v>222.82</v>
      </c>
      <c r="G1881" s="1">
        <v>20000</v>
      </c>
      <c r="H1881" s="5">
        <f t="shared" si="47"/>
        <v>0</v>
      </c>
      <c r="I1881" s="6"/>
      <c r="J1881" s="43"/>
      <c r="K1881" s="51"/>
      <c r="L1881" s="86"/>
    </row>
    <row r="1882" spans="1:12" ht="15" x14ac:dyDescent="0.25">
      <c r="A1882" s="1">
        <v>1873</v>
      </c>
      <c r="B1882" s="1" t="s">
        <v>293</v>
      </c>
      <c r="C1882" s="32">
        <v>4618</v>
      </c>
      <c r="D1882" s="1">
        <v>20000</v>
      </c>
      <c r="E1882" s="1"/>
      <c r="F1882" s="1">
        <v>222.82</v>
      </c>
      <c r="G1882" s="1">
        <v>20000</v>
      </c>
      <c r="H1882" s="5">
        <f t="shared" si="47"/>
        <v>0</v>
      </c>
      <c r="I1882" s="6"/>
      <c r="J1882" s="43"/>
      <c r="K1882" s="51"/>
      <c r="L1882" s="86"/>
    </row>
    <row r="1883" spans="1:12" ht="15" x14ac:dyDescent="0.25">
      <c r="A1883" s="1">
        <v>1874</v>
      </c>
      <c r="B1883" s="1" t="s">
        <v>293</v>
      </c>
      <c r="C1883" s="32">
        <v>3446</v>
      </c>
      <c r="D1883" s="1">
        <v>20000</v>
      </c>
      <c r="E1883" s="1"/>
      <c r="F1883" s="1">
        <v>222.82</v>
      </c>
      <c r="G1883" s="1">
        <v>20000</v>
      </c>
      <c r="H1883" s="5">
        <f t="shared" si="47"/>
        <v>0</v>
      </c>
      <c r="I1883" s="6"/>
      <c r="J1883" s="43"/>
      <c r="K1883" s="51"/>
      <c r="L1883" s="86">
        <f>1073410-1069267</f>
        <v>4143</v>
      </c>
    </row>
    <row r="1884" spans="1:12" ht="15" x14ac:dyDescent="0.25">
      <c r="A1884" s="1">
        <v>1875</v>
      </c>
      <c r="B1884" s="1" t="s">
        <v>294</v>
      </c>
      <c r="C1884" s="32" t="s">
        <v>30</v>
      </c>
      <c r="D1884" s="1">
        <v>4500</v>
      </c>
      <c r="E1884" s="1"/>
      <c r="F1884" s="1">
        <v>50.13</v>
      </c>
      <c r="G1884" s="1">
        <v>4500</v>
      </c>
      <c r="H1884" s="5">
        <f t="shared" si="47"/>
        <v>0</v>
      </c>
      <c r="I1884" s="6"/>
      <c r="J1884" s="43"/>
      <c r="K1884" s="51"/>
      <c r="L1884" s="86"/>
    </row>
    <row r="1885" spans="1:12" ht="15" x14ac:dyDescent="0.25">
      <c r="A1885" s="1">
        <v>1876</v>
      </c>
      <c r="B1885" s="1" t="s">
        <v>294</v>
      </c>
      <c r="C1885" s="32">
        <v>3676</v>
      </c>
      <c r="D1885" s="1">
        <v>20000</v>
      </c>
      <c r="E1885" s="1"/>
      <c r="F1885" s="1">
        <v>222.82</v>
      </c>
      <c r="G1885" s="1">
        <v>20000</v>
      </c>
      <c r="H1885" s="5">
        <f t="shared" si="47"/>
        <v>0</v>
      </c>
      <c r="I1885" s="6"/>
      <c r="J1885" s="43"/>
      <c r="K1885" s="51"/>
      <c r="L1885" s="86"/>
    </row>
    <row r="1886" spans="1:12" ht="15" x14ac:dyDescent="0.25">
      <c r="A1886" s="1">
        <v>1877</v>
      </c>
      <c r="B1886" s="1" t="s">
        <v>294</v>
      </c>
      <c r="C1886" s="32" t="s">
        <v>63</v>
      </c>
      <c r="D1886" s="1">
        <v>3500</v>
      </c>
      <c r="E1886" s="1"/>
      <c r="F1886" s="1">
        <v>38.93</v>
      </c>
      <c r="G1886" s="1">
        <v>3500</v>
      </c>
      <c r="H1886" s="5">
        <f t="shared" si="47"/>
        <v>0</v>
      </c>
      <c r="I1886" s="6"/>
      <c r="J1886" s="43"/>
      <c r="K1886" s="51"/>
      <c r="L1886" s="86"/>
    </row>
    <row r="1887" spans="1:12" ht="15" x14ac:dyDescent="0.25">
      <c r="A1887" s="1">
        <v>1878</v>
      </c>
      <c r="B1887" s="1" t="s">
        <v>294</v>
      </c>
      <c r="C1887" s="32">
        <v>6012</v>
      </c>
      <c r="D1887" s="1">
        <v>14000</v>
      </c>
      <c r="E1887" s="1"/>
      <c r="F1887" s="1">
        <v>155</v>
      </c>
      <c r="G1887" s="1">
        <v>14000</v>
      </c>
      <c r="H1887" s="5">
        <f t="shared" si="47"/>
        <v>0</v>
      </c>
      <c r="I1887" s="6"/>
      <c r="J1887" s="43"/>
      <c r="K1887" s="51"/>
      <c r="L1887" s="86"/>
    </row>
    <row r="1888" spans="1:12" ht="15" x14ac:dyDescent="0.25">
      <c r="A1888" s="1">
        <v>1879</v>
      </c>
      <c r="B1888" s="1" t="s">
        <v>294</v>
      </c>
      <c r="C1888" s="32">
        <v>1252</v>
      </c>
      <c r="D1888" s="1">
        <v>10000</v>
      </c>
      <c r="E1888" s="1"/>
      <c r="F1888" s="1">
        <v>111</v>
      </c>
      <c r="G1888" s="1">
        <v>10000</v>
      </c>
      <c r="H1888" s="5">
        <f t="shared" si="47"/>
        <v>0</v>
      </c>
      <c r="I1888" s="6"/>
      <c r="J1888" s="43"/>
      <c r="K1888" s="51"/>
      <c r="L1888" s="86"/>
    </row>
    <row r="1889" spans="1:12" ht="15" x14ac:dyDescent="0.25">
      <c r="A1889" s="1">
        <v>1880</v>
      </c>
      <c r="B1889" s="1" t="s">
        <v>294</v>
      </c>
      <c r="C1889" s="32">
        <v>8094</v>
      </c>
      <c r="D1889" s="1">
        <v>24000</v>
      </c>
      <c r="E1889" s="1"/>
      <c r="F1889" s="1">
        <v>267</v>
      </c>
      <c r="G1889" s="1">
        <v>24000</v>
      </c>
      <c r="H1889" s="5">
        <f t="shared" si="47"/>
        <v>0</v>
      </c>
      <c r="I1889" s="6"/>
      <c r="J1889" s="43"/>
      <c r="K1889" s="51"/>
      <c r="L1889" s="86"/>
    </row>
    <row r="1890" spans="1:12" ht="15" x14ac:dyDescent="0.25">
      <c r="A1890" s="1">
        <v>1881</v>
      </c>
      <c r="B1890" s="1" t="s">
        <v>294</v>
      </c>
      <c r="C1890" s="32">
        <v>579</v>
      </c>
      <c r="D1890" s="1">
        <v>25000</v>
      </c>
      <c r="E1890" s="1"/>
      <c r="F1890" s="1">
        <v>278</v>
      </c>
      <c r="G1890" s="1">
        <v>25000</v>
      </c>
      <c r="H1890" s="5">
        <f t="shared" si="47"/>
        <v>0</v>
      </c>
      <c r="I1890" s="6"/>
      <c r="J1890" s="43"/>
      <c r="K1890" s="51"/>
      <c r="L1890" s="86"/>
    </row>
    <row r="1891" spans="1:12" ht="15" x14ac:dyDescent="0.25">
      <c r="A1891" s="1">
        <v>1882</v>
      </c>
      <c r="B1891" s="1" t="s">
        <v>294</v>
      </c>
      <c r="C1891" s="32">
        <v>4506</v>
      </c>
      <c r="D1891" s="1">
        <v>15000</v>
      </c>
      <c r="E1891" s="1"/>
      <c r="F1891" s="1">
        <v>167.11</v>
      </c>
      <c r="G1891" s="1">
        <v>15000</v>
      </c>
      <c r="H1891" s="5">
        <f t="shared" si="47"/>
        <v>0</v>
      </c>
      <c r="I1891" s="6"/>
      <c r="J1891" s="43"/>
      <c r="K1891" s="51"/>
      <c r="L1891" s="86"/>
    </row>
    <row r="1892" spans="1:12" ht="15" x14ac:dyDescent="0.25">
      <c r="A1892" s="1">
        <v>1883</v>
      </c>
      <c r="B1892" s="1" t="s">
        <v>294</v>
      </c>
      <c r="C1892" s="32">
        <v>2152</v>
      </c>
      <c r="D1892" s="1">
        <v>15000</v>
      </c>
      <c r="E1892" s="1"/>
      <c r="F1892" s="1">
        <v>167.11</v>
      </c>
      <c r="G1892" s="1">
        <v>15000</v>
      </c>
      <c r="H1892" s="5">
        <f t="shared" si="47"/>
        <v>0</v>
      </c>
      <c r="I1892" s="6"/>
      <c r="J1892" s="43"/>
      <c r="K1892" s="51"/>
      <c r="L1892" s="86"/>
    </row>
    <row r="1893" spans="1:12" ht="15" x14ac:dyDescent="0.25">
      <c r="A1893" s="1">
        <v>1884</v>
      </c>
      <c r="B1893" s="1" t="s">
        <v>294</v>
      </c>
      <c r="C1893" s="32">
        <v>1212</v>
      </c>
      <c r="D1893" s="1">
        <v>15000</v>
      </c>
      <c r="E1893" s="1"/>
      <c r="F1893" s="1">
        <v>167.11</v>
      </c>
      <c r="G1893" s="1">
        <v>15000</v>
      </c>
      <c r="H1893" s="5">
        <f t="shared" si="47"/>
        <v>0</v>
      </c>
      <c r="I1893" s="6"/>
      <c r="J1893" s="43"/>
      <c r="K1893" s="51"/>
      <c r="L1893" s="86"/>
    </row>
    <row r="1894" spans="1:12" ht="15" x14ac:dyDescent="0.25">
      <c r="A1894" s="1">
        <v>1885</v>
      </c>
      <c r="B1894" s="1" t="s">
        <v>294</v>
      </c>
      <c r="C1894" s="32">
        <v>8167</v>
      </c>
      <c r="D1894" s="1">
        <v>20000</v>
      </c>
      <c r="E1894" s="1"/>
      <c r="F1894" s="1">
        <v>222.82</v>
      </c>
      <c r="G1894" s="1">
        <v>20000</v>
      </c>
      <c r="H1894" s="5">
        <f t="shared" si="47"/>
        <v>0</v>
      </c>
      <c r="I1894" s="6"/>
      <c r="J1894" s="43"/>
      <c r="K1894" s="51"/>
      <c r="L1894" s="86"/>
    </row>
    <row r="1895" spans="1:12" ht="15" x14ac:dyDescent="0.25">
      <c r="A1895" s="1">
        <v>1886</v>
      </c>
      <c r="B1895" s="1" t="s">
        <v>294</v>
      </c>
      <c r="C1895" s="32">
        <v>4520</v>
      </c>
      <c r="D1895" s="1">
        <v>20000</v>
      </c>
      <c r="E1895" s="1"/>
      <c r="F1895" s="1">
        <v>222.82</v>
      </c>
      <c r="G1895" s="1">
        <v>20000</v>
      </c>
      <c r="H1895" s="5">
        <f t="shared" si="47"/>
        <v>0</v>
      </c>
      <c r="I1895" s="6"/>
      <c r="J1895" s="43"/>
      <c r="K1895" s="51"/>
      <c r="L1895" s="86"/>
    </row>
    <row r="1896" spans="1:12" ht="15" x14ac:dyDescent="0.25">
      <c r="A1896" s="1">
        <v>1887</v>
      </c>
      <c r="B1896" s="1" t="s">
        <v>294</v>
      </c>
      <c r="C1896" s="32">
        <v>6495</v>
      </c>
      <c r="D1896" s="1">
        <v>30000</v>
      </c>
      <c r="E1896" s="1"/>
      <c r="F1896" s="1">
        <v>333.2</v>
      </c>
      <c r="G1896" s="1">
        <v>30000</v>
      </c>
      <c r="H1896" s="5">
        <f t="shared" si="47"/>
        <v>0</v>
      </c>
      <c r="I1896" s="6"/>
      <c r="J1896" s="43"/>
      <c r="K1896" s="51"/>
      <c r="L1896" s="86">
        <f>1027986-989410</f>
        <v>38576</v>
      </c>
    </row>
    <row r="1897" spans="1:12" ht="15" x14ac:dyDescent="0.25">
      <c r="A1897" s="1">
        <v>1888</v>
      </c>
      <c r="B1897" s="1" t="s">
        <v>297</v>
      </c>
      <c r="C1897" s="32">
        <v>9998</v>
      </c>
      <c r="D1897" s="1">
        <v>17000</v>
      </c>
      <c r="E1897" s="1"/>
      <c r="F1897" s="1">
        <v>189</v>
      </c>
      <c r="G1897" s="1">
        <v>17000</v>
      </c>
      <c r="H1897" s="5">
        <f t="shared" si="47"/>
        <v>0</v>
      </c>
      <c r="I1897" s="6"/>
      <c r="J1897" s="43"/>
      <c r="K1897" s="51"/>
      <c r="L1897" s="86"/>
    </row>
    <row r="1898" spans="1:12" ht="15" x14ac:dyDescent="0.25">
      <c r="A1898" s="1">
        <v>1889</v>
      </c>
      <c r="B1898" s="1" t="s">
        <v>297</v>
      </c>
      <c r="C1898" s="32">
        <v>505</v>
      </c>
      <c r="D1898" s="1">
        <v>15000</v>
      </c>
      <c r="E1898" s="1"/>
      <c r="F1898" s="1">
        <v>167</v>
      </c>
      <c r="G1898" s="1">
        <v>15000</v>
      </c>
      <c r="H1898" s="5">
        <f t="shared" si="47"/>
        <v>0</v>
      </c>
      <c r="I1898" s="6"/>
      <c r="J1898" s="43"/>
      <c r="K1898" s="51"/>
      <c r="L1898" s="86"/>
    </row>
    <row r="1899" spans="1:12" ht="15" x14ac:dyDescent="0.25">
      <c r="A1899" s="1">
        <v>1890</v>
      </c>
      <c r="B1899" s="1" t="s">
        <v>297</v>
      </c>
      <c r="C1899" s="32">
        <v>334</v>
      </c>
      <c r="D1899" s="1">
        <v>20000</v>
      </c>
      <c r="E1899" s="1"/>
      <c r="F1899" s="1">
        <v>222.82</v>
      </c>
      <c r="G1899" s="1">
        <v>20000</v>
      </c>
      <c r="H1899" s="5">
        <f t="shared" si="47"/>
        <v>0</v>
      </c>
      <c r="I1899" s="6"/>
      <c r="J1899" s="43"/>
      <c r="K1899" s="51"/>
      <c r="L1899" s="86"/>
    </row>
    <row r="1900" spans="1:12" ht="15" x14ac:dyDescent="0.25">
      <c r="A1900" s="1">
        <v>1891</v>
      </c>
      <c r="B1900" s="1" t="s">
        <v>297</v>
      </c>
      <c r="C1900" s="32">
        <v>9179</v>
      </c>
      <c r="D1900" s="1">
        <v>12000</v>
      </c>
      <c r="E1900" s="1"/>
      <c r="F1900" s="1">
        <v>133</v>
      </c>
      <c r="G1900" s="1">
        <v>12000</v>
      </c>
      <c r="H1900" s="5">
        <f t="shared" si="47"/>
        <v>0</v>
      </c>
      <c r="I1900" s="6"/>
      <c r="J1900" s="43"/>
      <c r="K1900" s="51"/>
      <c r="L1900" s="86"/>
    </row>
    <row r="1901" spans="1:12" ht="15" x14ac:dyDescent="0.25">
      <c r="A1901" s="1">
        <v>1892</v>
      </c>
      <c r="B1901" s="1" t="s">
        <v>297</v>
      </c>
      <c r="C1901" s="32">
        <v>645</v>
      </c>
      <c r="D1901" s="1">
        <v>5000</v>
      </c>
      <c r="E1901" s="1"/>
      <c r="F1901" s="1">
        <v>55.7</v>
      </c>
      <c r="G1901" s="1">
        <v>5000</v>
      </c>
      <c r="H1901" s="5">
        <f t="shared" si="47"/>
        <v>0</v>
      </c>
      <c r="I1901" s="6"/>
      <c r="J1901" s="43"/>
      <c r="K1901" s="51"/>
      <c r="L1901" s="86"/>
    </row>
    <row r="1902" spans="1:12" ht="15" x14ac:dyDescent="0.25">
      <c r="A1902" s="1">
        <v>1893</v>
      </c>
      <c r="B1902" s="1" t="s">
        <v>297</v>
      </c>
      <c r="C1902" s="32">
        <v>1332</v>
      </c>
      <c r="D1902" s="1">
        <v>13000</v>
      </c>
      <c r="E1902" s="1"/>
      <c r="F1902" s="1">
        <v>144</v>
      </c>
      <c r="G1902" s="1">
        <v>13000</v>
      </c>
      <c r="H1902" s="5">
        <f t="shared" si="47"/>
        <v>0</v>
      </c>
      <c r="I1902" s="6"/>
      <c r="J1902" s="43"/>
      <c r="K1902" s="51"/>
      <c r="L1902" s="86"/>
    </row>
    <row r="1903" spans="1:12" ht="15" x14ac:dyDescent="0.25">
      <c r="A1903" s="1">
        <v>1894</v>
      </c>
      <c r="B1903" s="1" t="s">
        <v>297</v>
      </c>
      <c r="C1903" s="32">
        <v>3776</v>
      </c>
      <c r="D1903" s="1">
        <v>13000</v>
      </c>
      <c r="E1903" s="1"/>
      <c r="F1903" s="1">
        <v>144</v>
      </c>
      <c r="G1903" s="1">
        <v>13000</v>
      </c>
      <c r="H1903" s="5">
        <f t="shared" si="47"/>
        <v>0</v>
      </c>
      <c r="I1903" s="6"/>
      <c r="J1903" s="43"/>
      <c r="K1903" s="51"/>
      <c r="L1903" s="86"/>
    </row>
    <row r="1904" spans="1:12" ht="15" x14ac:dyDescent="0.25">
      <c r="A1904" s="1">
        <v>1895</v>
      </c>
      <c r="B1904" s="1" t="s">
        <v>297</v>
      </c>
      <c r="C1904" s="32">
        <v>165</v>
      </c>
      <c r="D1904" s="1">
        <v>13000</v>
      </c>
      <c r="E1904" s="1"/>
      <c r="F1904" s="1">
        <v>144</v>
      </c>
      <c r="G1904" s="1">
        <v>13000</v>
      </c>
      <c r="H1904" s="5">
        <f t="shared" si="47"/>
        <v>0</v>
      </c>
      <c r="I1904" s="6"/>
      <c r="J1904" s="43"/>
      <c r="K1904" s="51"/>
      <c r="L1904" s="86"/>
    </row>
    <row r="1905" spans="1:12" ht="15" x14ac:dyDescent="0.25">
      <c r="A1905" s="1">
        <v>1896</v>
      </c>
      <c r="B1905" s="1" t="s">
        <v>297</v>
      </c>
      <c r="C1905" s="32" t="s">
        <v>30</v>
      </c>
      <c r="D1905" s="1">
        <v>5000</v>
      </c>
      <c r="E1905" s="1"/>
      <c r="F1905" s="1">
        <v>55.7</v>
      </c>
      <c r="G1905" s="1">
        <v>5000</v>
      </c>
      <c r="H1905" s="5">
        <f t="shared" si="47"/>
        <v>0</v>
      </c>
      <c r="I1905" s="6"/>
      <c r="J1905" s="43"/>
      <c r="K1905" s="51"/>
      <c r="L1905" s="86"/>
    </row>
    <row r="1906" spans="1:12" ht="15" x14ac:dyDescent="0.25">
      <c r="A1906" s="1">
        <v>1897</v>
      </c>
      <c r="B1906" s="1" t="s">
        <v>297</v>
      </c>
      <c r="C1906" s="32" t="s">
        <v>30</v>
      </c>
      <c r="D1906" s="1">
        <v>7000</v>
      </c>
      <c r="E1906" s="1"/>
      <c r="F1906" s="1">
        <v>77.989999999999995</v>
      </c>
      <c r="G1906" s="1">
        <v>7000</v>
      </c>
      <c r="H1906" s="5">
        <f t="shared" si="47"/>
        <v>0</v>
      </c>
      <c r="I1906" s="6"/>
      <c r="J1906" s="43"/>
      <c r="K1906" s="51"/>
      <c r="L1906" s="86"/>
    </row>
    <row r="1907" spans="1:12" ht="15" x14ac:dyDescent="0.25">
      <c r="A1907" s="1">
        <v>1898</v>
      </c>
      <c r="B1907" s="1" t="s">
        <v>297</v>
      </c>
      <c r="C1907" s="32">
        <v>3175</v>
      </c>
      <c r="D1907" s="1">
        <v>14000</v>
      </c>
      <c r="E1907" s="1"/>
      <c r="F1907" s="1">
        <v>155</v>
      </c>
      <c r="G1907" s="1">
        <v>14000</v>
      </c>
      <c r="H1907" s="5">
        <f t="shared" ref="H1907:H1976" si="48">D1907-G1907</f>
        <v>0</v>
      </c>
      <c r="I1907" s="6"/>
      <c r="J1907" s="43"/>
      <c r="K1907" s="51"/>
      <c r="L1907" s="86"/>
    </row>
    <row r="1908" spans="1:12" ht="15" x14ac:dyDescent="0.25">
      <c r="A1908" s="1">
        <v>1899</v>
      </c>
      <c r="B1908" s="1" t="s">
        <v>297</v>
      </c>
      <c r="C1908" s="32">
        <v>478</v>
      </c>
      <c r="D1908" s="1">
        <v>13000</v>
      </c>
      <c r="E1908" s="1"/>
      <c r="F1908" s="1">
        <v>144</v>
      </c>
      <c r="G1908" s="1">
        <v>13000</v>
      </c>
      <c r="H1908" s="5">
        <f t="shared" si="48"/>
        <v>0</v>
      </c>
      <c r="I1908" s="6"/>
      <c r="J1908" s="43"/>
      <c r="K1908" s="51"/>
      <c r="L1908" s="86"/>
    </row>
    <row r="1909" spans="1:12" ht="15" x14ac:dyDescent="0.25">
      <c r="A1909" s="1">
        <v>1900</v>
      </c>
      <c r="B1909" s="1" t="s">
        <v>297</v>
      </c>
      <c r="C1909" s="32">
        <v>647</v>
      </c>
      <c r="D1909" s="1">
        <v>14500</v>
      </c>
      <c r="E1909" s="1"/>
      <c r="F1909" s="1">
        <v>161</v>
      </c>
      <c r="G1909" s="1">
        <v>14500</v>
      </c>
      <c r="H1909" s="5">
        <f t="shared" si="48"/>
        <v>0</v>
      </c>
      <c r="I1909" s="6"/>
      <c r="J1909" s="43"/>
      <c r="K1909" s="51"/>
      <c r="L1909" s="86"/>
    </row>
    <row r="1910" spans="1:12" ht="15" x14ac:dyDescent="0.25">
      <c r="A1910" s="1">
        <v>1901</v>
      </c>
      <c r="B1910" s="1" t="s">
        <v>297</v>
      </c>
      <c r="C1910" s="32">
        <v>4565</v>
      </c>
      <c r="D1910" s="1">
        <v>13500</v>
      </c>
      <c r="E1910" s="1"/>
      <c r="F1910" s="1">
        <v>150</v>
      </c>
      <c r="G1910" s="1">
        <v>13500</v>
      </c>
      <c r="H1910" s="5">
        <f t="shared" si="48"/>
        <v>0</v>
      </c>
      <c r="I1910" s="6"/>
      <c r="J1910" s="43"/>
      <c r="K1910" s="51"/>
      <c r="L1910" s="86"/>
    </row>
    <row r="1911" spans="1:12" ht="15" x14ac:dyDescent="0.25">
      <c r="A1911" s="1">
        <v>1902</v>
      </c>
      <c r="B1911" s="1" t="s">
        <v>297</v>
      </c>
      <c r="C1911" s="32">
        <v>8170</v>
      </c>
      <c r="D1911" s="1">
        <v>15000</v>
      </c>
      <c r="E1911" s="1"/>
      <c r="F1911" s="1">
        <v>167.11</v>
      </c>
      <c r="G1911" s="1">
        <v>15000</v>
      </c>
      <c r="H1911" s="5">
        <f t="shared" si="48"/>
        <v>0</v>
      </c>
      <c r="I1911" s="6"/>
      <c r="J1911" s="43"/>
      <c r="K1911" s="51"/>
      <c r="L1911" s="86"/>
    </row>
    <row r="1912" spans="1:12" ht="15" x14ac:dyDescent="0.25">
      <c r="A1912" s="1">
        <v>1903</v>
      </c>
      <c r="B1912" s="1" t="s">
        <v>297</v>
      </c>
      <c r="C1912" s="32">
        <v>7878</v>
      </c>
      <c r="D1912" s="1">
        <v>15000</v>
      </c>
      <c r="E1912" s="1"/>
      <c r="F1912" s="1">
        <v>167.11</v>
      </c>
      <c r="G1912" s="1">
        <v>15000</v>
      </c>
      <c r="H1912" s="5">
        <f t="shared" si="48"/>
        <v>0</v>
      </c>
      <c r="I1912" s="6"/>
      <c r="J1912" s="43"/>
      <c r="K1912" s="51"/>
      <c r="L1912" s="86"/>
    </row>
    <row r="1913" spans="1:12" ht="15" x14ac:dyDescent="0.25">
      <c r="A1913" s="1">
        <v>1904</v>
      </c>
      <c r="B1913" s="1" t="s">
        <v>297</v>
      </c>
      <c r="C1913" s="32">
        <v>1051</v>
      </c>
      <c r="D1913" s="1">
        <v>15000</v>
      </c>
      <c r="E1913" s="1"/>
      <c r="F1913" s="1">
        <v>167.11</v>
      </c>
      <c r="G1913" s="1">
        <v>15000</v>
      </c>
      <c r="H1913" s="5">
        <f t="shared" si="48"/>
        <v>0</v>
      </c>
      <c r="I1913" s="6"/>
      <c r="J1913" s="43"/>
      <c r="K1913" s="51"/>
      <c r="L1913" s="86"/>
    </row>
    <row r="1914" spans="1:12" ht="15" x14ac:dyDescent="0.25">
      <c r="A1914" s="1">
        <v>1905</v>
      </c>
      <c r="B1914" s="1" t="s">
        <v>297</v>
      </c>
      <c r="C1914" s="32">
        <v>3578</v>
      </c>
      <c r="D1914" s="1">
        <v>15000</v>
      </c>
      <c r="E1914" s="1"/>
      <c r="F1914" s="1">
        <v>167.11</v>
      </c>
      <c r="G1914" s="1">
        <v>15000</v>
      </c>
      <c r="H1914" s="5">
        <f t="shared" si="48"/>
        <v>0</v>
      </c>
      <c r="I1914" s="6"/>
      <c r="J1914" s="43"/>
      <c r="K1914" s="51"/>
      <c r="L1914" s="86"/>
    </row>
    <row r="1915" spans="1:12" ht="15" x14ac:dyDescent="0.25">
      <c r="A1915" s="1">
        <v>1906</v>
      </c>
      <c r="B1915" s="1" t="s">
        <v>297</v>
      </c>
      <c r="C1915" s="32">
        <v>7538</v>
      </c>
      <c r="D1915" s="1">
        <v>15000</v>
      </c>
      <c r="E1915" s="1"/>
      <c r="F1915" s="1">
        <v>167.11</v>
      </c>
      <c r="G1915" s="1">
        <v>15000</v>
      </c>
      <c r="H1915" s="5">
        <f t="shared" si="48"/>
        <v>0</v>
      </c>
      <c r="I1915" s="6"/>
      <c r="J1915" s="43"/>
      <c r="K1915" s="51"/>
      <c r="L1915" s="86"/>
    </row>
    <row r="1916" spans="1:12" ht="15" x14ac:dyDescent="0.25">
      <c r="A1916" s="1">
        <v>1907</v>
      </c>
      <c r="B1916" s="1" t="s">
        <v>297</v>
      </c>
      <c r="C1916" s="32">
        <v>3847</v>
      </c>
      <c r="D1916" s="1">
        <v>20000</v>
      </c>
      <c r="E1916" s="1"/>
      <c r="F1916" s="1">
        <v>222.82</v>
      </c>
      <c r="G1916" s="1">
        <v>20000</v>
      </c>
      <c r="H1916" s="5">
        <f t="shared" si="48"/>
        <v>0</v>
      </c>
      <c r="I1916" s="6"/>
      <c r="J1916" s="43"/>
      <c r="K1916" s="51"/>
      <c r="L1916" s="86"/>
    </row>
    <row r="1917" spans="1:12" ht="15" x14ac:dyDescent="0.25">
      <c r="A1917" s="1">
        <v>1908</v>
      </c>
      <c r="B1917" s="1" t="s">
        <v>297</v>
      </c>
      <c r="C1917" s="32">
        <v>3372</v>
      </c>
      <c r="D1917" s="1">
        <v>20000</v>
      </c>
      <c r="E1917" s="1"/>
      <c r="F1917" s="1">
        <v>222.82</v>
      </c>
      <c r="G1917" s="1">
        <v>20000</v>
      </c>
      <c r="H1917" s="5">
        <f t="shared" si="48"/>
        <v>0</v>
      </c>
      <c r="I1917" s="6"/>
      <c r="J1917" s="43"/>
      <c r="K1917" s="51"/>
      <c r="L1917" s="86"/>
    </row>
    <row r="1918" spans="1:12" ht="15" x14ac:dyDescent="0.25">
      <c r="A1918" s="1">
        <v>1909</v>
      </c>
      <c r="B1918" s="1" t="s">
        <v>297</v>
      </c>
      <c r="C1918" s="32">
        <v>3992</v>
      </c>
      <c r="D1918" s="1">
        <v>20000</v>
      </c>
      <c r="E1918" s="1"/>
      <c r="F1918" s="1">
        <v>222.82</v>
      </c>
      <c r="G1918" s="1">
        <v>20000</v>
      </c>
      <c r="H1918" s="5">
        <f t="shared" si="48"/>
        <v>0</v>
      </c>
      <c r="I1918" s="6"/>
      <c r="J1918" s="43"/>
      <c r="K1918" s="51"/>
      <c r="L1918" s="86"/>
    </row>
    <row r="1919" spans="1:12" ht="15" x14ac:dyDescent="0.25">
      <c r="A1919" s="1">
        <v>1910</v>
      </c>
      <c r="B1919" s="1" t="s">
        <v>297</v>
      </c>
      <c r="C1919" s="32">
        <v>2016</v>
      </c>
      <c r="D1919" s="1">
        <v>20000</v>
      </c>
      <c r="E1919" s="1"/>
      <c r="F1919" s="1">
        <v>222.82</v>
      </c>
      <c r="G1919" s="1">
        <v>20000</v>
      </c>
      <c r="H1919" s="5">
        <f t="shared" si="48"/>
        <v>0</v>
      </c>
      <c r="I1919" s="6"/>
      <c r="J1919" s="43"/>
      <c r="K1919" s="51"/>
      <c r="L1919" s="86"/>
    </row>
    <row r="1920" spans="1:12" ht="15" x14ac:dyDescent="0.25">
      <c r="A1920" s="1">
        <v>1911</v>
      </c>
      <c r="B1920" s="1" t="s">
        <v>297</v>
      </c>
      <c r="C1920" s="32">
        <v>1266</v>
      </c>
      <c r="D1920" s="1">
        <v>20000</v>
      </c>
      <c r="E1920" s="1"/>
      <c r="F1920" s="1">
        <v>222.82</v>
      </c>
      <c r="G1920" s="1">
        <v>20000</v>
      </c>
      <c r="H1920" s="5">
        <f t="shared" si="48"/>
        <v>0</v>
      </c>
      <c r="I1920" s="6"/>
      <c r="J1920" s="43"/>
      <c r="K1920" s="51"/>
      <c r="L1920" s="86"/>
    </row>
    <row r="1921" spans="1:12" ht="15" x14ac:dyDescent="0.25">
      <c r="A1921" s="1">
        <v>1912</v>
      </c>
      <c r="B1921" s="1" t="s">
        <v>297</v>
      </c>
      <c r="C1921" s="32">
        <v>4135</v>
      </c>
      <c r="D1921" s="1">
        <v>20000</v>
      </c>
      <c r="E1921" s="1"/>
      <c r="F1921" s="1">
        <v>222.82</v>
      </c>
      <c r="G1921" s="1">
        <v>20000</v>
      </c>
      <c r="H1921" s="5">
        <f t="shared" si="48"/>
        <v>0</v>
      </c>
      <c r="I1921" s="6"/>
      <c r="J1921" s="43"/>
      <c r="K1921" s="51"/>
      <c r="L1921" s="86"/>
    </row>
    <row r="1922" spans="1:12" ht="15" x14ac:dyDescent="0.25">
      <c r="A1922" s="1">
        <v>1913</v>
      </c>
      <c r="B1922" s="1" t="s">
        <v>297</v>
      </c>
      <c r="C1922" s="32">
        <v>4174</v>
      </c>
      <c r="D1922" s="1">
        <v>10000</v>
      </c>
      <c r="E1922" s="1"/>
      <c r="F1922" s="1">
        <v>111.41</v>
      </c>
      <c r="G1922" s="1">
        <v>10000</v>
      </c>
      <c r="H1922" s="5">
        <f t="shared" si="48"/>
        <v>0</v>
      </c>
      <c r="I1922" s="6"/>
      <c r="J1922" s="43"/>
      <c r="K1922" s="51"/>
      <c r="L1922" s="86"/>
    </row>
    <row r="1923" spans="1:12" ht="15" x14ac:dyDescent="0.25">
      <c r="A1923" s="1">
        <v>1914</v>
      </c>
      <c r="B1923" s="1" t="s">
        <v>297</v>
      </c>
      <c r="C1923" s="32">
        <v>5370</v>
      </c>
      <c r="D1923" s="1">
        <v>30000</v>
      </c>
      <c r="E1923" s="1"/>
      <c r="F1923" s="1">
        <v>334</v>
      </c>
      <c r="G1923" s="1">
        <v>30000</v>
      </c>
      <c r="H1923" s="5">
        <f t="shared" si="48"/>
        <v>0</v>
      </c>
      <c r="I1923" s="6"/>
      <c r="J1923" s="43"/>
      <c r="K1923" s="51"/>
      <c r="L1923" s="86"/>
    </row>
    <row r="1924" spans="1:12" ht="15" x14ac:dyDescent="0.25">
      <c r="A1924" s="1">
        <v>1915</v>
      </c>
      <c r="B1924" s="1" t="s">
        <v>297</v>
      </c>
      <c r="C1924" s="32">
        <v>7351</v>
      </c>
      <c r="D1924" s="1">
        <v>29000</v>
      </c>
      <c r="E1924" s="1"/>
      <c r="F1924" s="1">
        <v>309</v>
      </c>
      <c r="G1924" s="1">
        <v>29000</v>
      </c>
      <c r="H1924" s="5">
        <f t="shared" si="48"/>
        <v>0</v>
      </c>
      <c r="I1924" s="6"/>
      <c r="J1924" s="43"/>
      <c r="K1924" s="51"/>
      <c r="L1924" s="86"/>
    </row>
    <row r="1925" spans="1:12" ht="15" x14ac:dyDescent="0.25">
      <c r="A1925" s="1">
        <v>1916</v>
      </c>
      <c r="B1925" s="1" t="s">
        <v>297</v>
      </c>
      <c r="C1925" s="32">
        <v>205</v>
      </c>
      <c r="D1925" s="1">
        <v>21000</v>
      </c>
      <c r="E1925" s="1"/>
      <c r="F1925" s="1">
        <v>233</v>
      </c>
      <c r="G1925" s="1">
        <v>21000</v>
      </c>
      <c r="H1925" s="5">
        <f t="shared" si="48"/>
        <v>0</v>
      </c>
      <c r="I1925" s="6"/>
      <c r="J1925" s="43"/>
      <c r="K1925" s="51"/>
      <c r="L1925" s="86"/>
    </row>
    <row r="1926" spans="1:12" ht="15" x14ac:dyDescent="0.25">
      <c r="A1926" s="1">
        <v>1917</v>
      </c>
      <c r="B1926" s="1" t="s">
        <v>297</v>
      </c>
      <c r="C1926" s="32">
        <v>9847</v>
      </c>
      <c r="D1926" s="1">
        <v>12000</v>
      </c>
      <c r="E1926" s="1"/>
      <c r="F1926" s="1">
        <v>133</v>
      </c>
      <c r="G1926" s="1">
        <v>12000</v>
      </c>
      <c r="H1926" s="5">
        <f t="shared" si="48"/>
        <v>0</v>
      </c>
      <c r="I1926" s="6"/>
      <c r="J1926" s="43"/>
      <c r="K1926" s="51"/>
      <c r="L1926" s="86"/>
    </row>
    <row r="1927" spans="1:12" ht="15" x14ac:dyDescent="0.25">
      <c r="A1927" s="1">
        <v>1918</v>
      </c>
      <c r="B1927" s="1" t="s">
        <v>297</v>
      </c>
      <c r="C1927" s="32">
        <v>9776</v>
      </c>
      <c r="D1927" s="1">
        <v>18000</v>
      </c>
      <c r="E1927" s="1"/>
      <c r="F1927" s="1">
        <v>200.82</v>
      </c>
      <c r="G1927" s="1">
        <v>18000</v>
      </c>
      <c r="H1927" s="5">
        <f t="shared" si="48"/>
        <v>0</v>
      </c>
      <c r="I1927" s="6"/>
      <c r="J1927" s="43"/>
      <c r="K1927" s="51"/>
      <c r="L1927" s="86">
        <f>1217986-1179410</f>
        <v>38576</v>
      </c>
    </row>
    <row r="1928" spans="1:12" ht="15" x14ac:dyDescent="0.25">
      <c r="A1928" s="1">
        <v>1919</v>
      </c>
      <c r="B1928" s="1" t="s">
        <v>298</v>
      </c>
      <c r="C1928" s="32">
        <v>4566</v>
      </c>
      <c r="D1928" s="1">
        <v>25000</v>
      </c>
      <c r="E1928" s="1"/>
      <c r="F1928" s="1">
        <v>278</v>
      </c>
      <c r="G1928" s="1">
        <v>25000</v>
      </c>
      <c r="H1928" s="5">
        <f t="shared" si="48"/>
        <v>0</v>
      </c>
      <c r="I1928" s="6"/>
      <c r="J1928" s="43"/>
      <c r="K1928" s="51"/>
      <c r="L1928" s="86"/>
    </row>
    <row r="1929" spans="1:12" ht="15" x14ac:dyDescent="0.25">
      <c r="A1929" s="1">
        <v>1920</v>
      </c>
      <c r="B1929" s="1" t="s">
        <v>298</v>
      </c>
      <c r="C1929" s="32">
        <v>1405</v>
      </c>
      <c r="D1929" s="1">
        <v>13000</v>
      </c>
      <c r="E1929" s="1"/>
      <c r="F1929" s="1">
        <v>144</v>
      </c>
      <c r="G1929" s="1">
        <v>13000</v>
      </c>
      <c r="H1929" s="5">
        <f t="shared" si="48"/>
        <v>0</v>
      </c>
      <c r="I1929" s="6"/>
      <c r="J1929" s="43"/>
      <c r="K1929" s="51"/>
      <c r="L1929" s="86"/>
    </row>
    <row r="1930" spans="1:12" ht="15" x14ac:dyDescent="0.25">
      <c r="A1930" s="1">
        <v>1921</v>
      </c>
      <c r="B1930" s="1" t="s">
        <v>298</v>
      </c>
      <c r="C1930" s="32">
        <v>8565</v>
      </c>
      <c r="D1930" s="1">
        <v>13000</v>
      </c>
      <c r="E1930" s="1"/>
      <c r="F1930" s="1">
        <v>144</v>
      </c>
      <c r="G1930" s="1">
        <v>13000</v>
      </c>
      <c r="H1930" s="5">
        <f t="shared" si="48"/>
        <v>0</v>
      </c>
      <c r="I1930" s="6"/>
      <c r="J1930" s="43"/>
      <c r="K1930" s="51"/>
      <c r="L1930" s="86"/>
    </row>
    <row r="1931" spans="1:12" ht="15" x14ac:dyDescent="0.25">
      <c r="A1931" s="1">
        <v>1922</v>
      </c>
      <c r="B1931" s="1" t="s">
        <v>298</v>
      </c>
      <c r="C1931" s="32">
        <v>3306</v>
      </c>
      <c r="D1931" s="1">
        <v>20000</v>
      </c>
      <c r="E1931" s="1"/>
      <c r="F1931" s="1">
        <v>222</v>
      </c>
      <c r="G1931" s="1">
        <v>20000</v>
      </c>
      <c r="H1931" s="5">
        <f t="shared" si="48"/>
        <v>0</v>
      </c>
      <c r="I1931" s="6"/>
      <c r="J1931" s="43"/>
      <c r="K1931" s="51"/>
      <c r="L1931" s="86"/>
    </row>
    <row r="1932" spans="1:12" ht="15" x14ac:dyDescent="0.25">
      <c r="A1932" s="1">
        <v>1923</v>
      </c>
      <c r="B1932" s="1" t="s">
        <v>298</v>
      </c>
      <c r="C1932" s="32">
        <v>2306</v>
      </c>
      <c r="D1932" s="1">
        <v>13000</v>
      </c>
      <c r="E1932" s="1"/>
      <c r="F1932" s="1">
        <v>144</v>
      </c>
      <c r="G1932" s="1">
        <v>13000</v>
      </c>
      <c r="H1932" s="5">
        <f t="shared" si="48"/>
        <v>0</v>
      </c>
      <c r="I1932" s="6"/>
      <c r="J1932" s="43"/>
      <c r="K1932" s="51"/>
      <c r="L1932" s="86"/>
    </row>
    <row r="1933" spans="1:12" ht="15" x14ac:dyDescent="0.25">
      <c r="A1933" s="1">
        <v>1924</v>
      </c>
      <c r="B1933" s="1" t="s">
        <v>298</v>
      </c>
      <c r="C1933" s="32">
        <v>9859</v>
      </c>
      <c r="D1933" s="1">
        <v>18000</v>
      </c>
      <c r="E1933" s="1"/>
      <c r="F1933" s="1">
        <v>200.82</v>
      </c>
      <c r="G1933" s="1">
        <v>18000</v>
      </c>
      <c r="H1933" s="5">
        <f t="shared" si="48"/>
        <v>0</v>
      </c>
      <c r="I1933" s="6"/>
      <c r="J1933" s="43"/>
      <c r="K1933" s="51"/>
      <c r="L1933" s="86"/>
    </row>
    <row r="1934" spans="1:12" ht="15" x14ac:dyDescent="0.25">
      <c r="A1934" s="1">
        <v>1925</v>
      </c>
      <c r="B1934" s="1" t="s">
        <v>298</v>
      </c>
      <c r="C1934" s="32">
        <v>3280</v>
      </c>
      <c r="D1934" s="1">
        <v>15000</v>
      </c>
      <c r="E1934" s="1"/>
      <c r="F1934" s="1">
        <v>167</v>
      </c>
      <c r="G1934" s="1">
        <v>15000</v>
      </c>
      <c r="H1934" s="5">
        <f t="shared" si="48"/>
        <v>0</v>
      </c>
      <c r="I1934" s="6"/>
      <c r="J1934" s="43"/>
      <c r="K1934" s="51"/>
      <c r="L1934" s="86"/>
    </row>
    <row r="1935" spans="1:12" ht="15" x14ac:dyDescent="0.25">
      <c r="A1935" s="1">
        <v>1926</v>
      </c>
      <c r="B1935" s="1" t="s">
        <v>298</v>
      </c>
      <c r="C1935" s="32">
        <v>1593</v>
      </c>
      <c r="D1935" s="1">
        <v>12000</v>
      </c>
      <c r="E1935" s="1"/>
      <c r="F1935" s="1">
        <v>133</v>
      </c>
      <c r="G1935" s="1">
        <v>12000</v>
      </c>
      <c r="H1935" s="5">
        <f t="shared" si="48"/>
        <v>0</v>
      </c>
      <c r="I1935" s="6"/>
      <c r="J1935" s="43"/>
      <c r="K1935" s="51"/>
      <c r="L1935" s="86"/>
    </row>
    <row r="1936" spans="1:12" ht="15" x14ac:dyDescent="0.25">
      <c r="A1936" s="1">
        <v>1927</v>
      </c>
      <c r="B1936" s="1" t="s">
        <v>298</v>
      </c>
      <c r="C1936" s="32">
        <v>2705</v>
      </c>
      <c r="D1936" s="1">
        <v>12000</v>
      </c>
      <c r="E1936" s="1"/>
      <c r="F1936" s="1">
        <v>133</v>
      </c>
      <c r="G1936" s="1">
        <v>12000</v>
      </c>
      <c r="H1936" s="5">
        <f t="shared" si="48"/>
        <v>0</v>
      </c>
      <c r="I1936" s="6"/>
      <c r="J1936" s="43"/>
      <c r="K1936" s="51"/>
      <c r="L1936" s="86"/>
    </row>
    <row r="1937" spans="1:12" ht="15" x14ac:dyDescent="0.25">
      <c r="A1937" s="1">
        <v>1928</v>
      </c>
      <c r="B1937" s="1" t="s">
        <v>298</v>
      </c>
      <c r="C1937" s="32">
        <v>915</v>
      </c>
      <c r="D1937" s="1">
        <v>13000</v>
      </c>
      <c r="E1937" s="1"/>
      <c r="F1937" s="1">
        <v>144</v>
      </c>
      <c r="G1937" s="1">
        <v>13000</v>
      </c>
      <c r="H1937" s="5">
        <f t="shared" si="48"/>
        <v>0</v>
      </c>
      <c r="I1937" s="6"/>
      <c r="J1937" s="43"/>
      <c r="K1937" s="51"/>
      <c r="L1937" s="86"/>
    </row>
    <row r="1938" spans="1:12" ht="15" x14ac:dyDescent="0.25">
      <c r="A1938" s="1">
        <v>1929</v>
      </c>
      <c r="B1938" s="1" t="s">
        <v>298</v>
      </c>
      <c r="C1938" s="32" t="s">
        <v>63</v>
      </c>
      <c r="D1938" s="1">
        <v>3500</v>
      </c>
      <c r="E1938" s="1"/>
      <c r="F1938" s="1">
        <v>38</v>
      </c>
      <c r="G1938" s="1">
        <v>3500</v>
      </c>
      <c r="H1938" s="5">
        <f t="shared" si="48"/>
        <v>0</v>
      </c>
      <c r="I1938" s="6"/>
      <c r="J1938" s="43"/>
      <c r="K1938" s="51"/>
      <c r="L1938" s="86"/>
    </row>
    <row r="1939" spans="1:12" ht="15" x14ac:dyDescent="0.25">
      <c r="A1939" s="1">
        <v>1930</v>
      </c>
      <c r="B1939" s="1" t="s">
        <v>298</v>
      </c>
      <c r="C1939" s="32">
        <v>4575</v>
      </c>
      <c r="D1939" s="1">
        <v>13000</v>
      </c>
      <c r="E1939" s="1"/>
      <c r="F1939" s="1">
        <v>144</v>
      </c>
      <c r="G1939" s="1">
        <v>13000</v>
      </c>
      <c r="H1939" s="5">
        <f t="shared" si="48"/>
        <v>0</v>
      </c>
      <c r="I1939" s="6"/>
      <c r="J1939" s="43"/>
      <c r="K1939" s="51"/>
      <c r="L1939" s="86"/>
    </row>
    <row r="1940" spans="1:12" ht="15" x14ac:dyDescent="0.25">
      <c r="A1940" s="1">
        <v>1931</v>
      </c>
      <c r="B1940" s="1" t="s">
        <v>298</v>
      </c>
      <c r="C1940" s="32">
        <v>1620</v>
      </c>
      <c r="D1940" s="1">
        <v>13000</v>
      </c>
      <c r="E1940" s="1"/>
      <c r="F1940" s="1">
        <v>144</v>
      </c>
      <c r="G1940" s="1">
        <v>13000</v>
      </c>
      <c r="H1940" s="5">
        <f t="shared" si="48"/>
        <v>0</v>
      </c>
      <c r="I1940" s="6"/>
      <c r="J1940" s="43"/>
      <c r="K1940" s="51"/>
      <c r="L1940" s="86"/>
    </row>
    <row r="1941" spans="1:12" ht="15" x14ac:dyDescent="0.25">
      <c r="A1941" s="1">
        <v>1932</v>
      </c>
      <c r="B1941" s="1" t="s">
        <v>298</v>
      </c>
      <c r="C1941" s="32">
        <v>472</v>
      </c>
      <c r="D1941" s="1">
        <v>18000</v>
      </c>
      <c r="E1941" s="1"/>
      <c r="F1941" s="1">
        <v>200.82</v>
      </c>
      <c r="G1941" s="1">
        <v>18000</v>
      </c>
      <c r="H1941" s="5">
        <f t="shared" si="48"/>
        <v>0</v>
      </c>
      <c r="I1941" s="6"/>
      <c r="J1941" s="43"/>
      <c r="K1941" s="51"/>
      <c r="L1941" s="86"/>
    </row>
    <row r="1942" spans="1:12" ht="15" x14ac:dyDescent="0.25">
      <c r="A1942" s="1">
        <v>1933</v>
      </c>
      <c r="B1942" s="1" t="s">
        <v>298</v>
      </c>
      <c r="C1942" s="32">
        <v>669</v>
      </c>
      <c r="D1942" s="1">
        <v>14000</v>
      </c>
      <c r="E1942" s="1"/>
      <c r="F1942" s="1">
        <v>155</v>
      </c>
      <c r="G1942" s="1">
        <v>14000</v>
      </c>
      <c r="H1942" s="5">
        <f t="shared" si="48"/>
        <v>0</v>
      </c>
      <c r="I1942" s="6"/>
      <c r="J1942" s="43"/>
      <c r="K1942" s="51"/>
      <c r="L1942" s="86"/>
    </row>
    <row r="1943" spans="1:12" ht="15" x14ac:dyDescent="0.25">
      <c r="A1943" s="1">
        <v>1934</v>
      </c>
      <c r="B1943" s="1" t="s">
        <v>298</v>
      </c>
      <c r="C1943" s="32">
        <v>8595</v>
      </c>
      <c r="D1943" s="1">
        <v>13000</v>
      </c>
      <c r="E1943" s="1"/>
      <c r="F1943" s="1">
        <v>144</v>
      </c>
      <c r="G1943" s="1">
        <v>13000</v>
      </c>
      <c r="H1943" s="5">
        <f t="shared" si="48"/>
        <v>0</v>
      </c>
      <c r="I1943" s="6"/>
      <c r="J1943" s="43"/>
      <c r="K1943" s="51"/>
      <c r="L1943" s="86"/>
    </row>
    <row r="1944" spans="1:12" ht="15" x14ac:dyDescent="0.25">
      <c r="A1944" s="1">
        <v>1935</v>
      </c>
      <c r="B1944" s="1" t="s">
        <v>298</v>
      </c>
      <c r="C1944" s="32">
        <v>2872</v>
      </c>
      <c r="D1944" s="1">
        <v>24000</v>
      </c>
      <c r="E1944" s="1"/>
      <c r="F1944" s="1">
        <v>267</v>
      </c>
      <c r="G1944" s="1">
        <v>24000</v>
      </c>
      <c r="H1944" s="5">
        <f t="shared" si="48"/>
        <v>0</v>
      </c>
      <c r="I1944" s="6"/>
      <c r="J1944" s="43"/>
      <c r="K1944" s="51"/>
      <c r="L1944" s="86"/>
    </row>
    <row r="1945" spans="1:12" ht="15" x14ac:dyDescent="0.25">
      <c r="A1945" s="1">
        <v>1936</v>
      </c>
      <c r="B1945" s="1" t="s">
        <v>298</v>
      </c>
      <c r="C1945" s="32">
        <v>6744</v>
      </c>
      <c r="D1945" s="1">
        <v>23000</v>
      </c>
      <c r="E1945" s="1"/>
      <c r="F1945" s="1">
        <v>256</v>
      </c>
      <c r="G1945" s="1">
        <v>23000</v>
      </c>
      <c r="H1945" s="5">
        <f t="shared" si="48"/>
        <v>0</v>
      </c>
      <c r="I1945" s="6"/>
      <c r="J1945" s="43"/>
      <c r="K1945" s="51"/>
      <c r="L1945" s="86"/>
    </row>
    <row r="1946" spans="1:12" ht="15" x14ac:dyDescent="0.25">
      <c r="A1946" s="1">
        <v>1937</v>
      </c>
      <c r="B1946" s="1" t="s">
        <v>298</v>
      </c>
      <c r="C1946" s="32">
        <v>2726</v>
      </c>
      <c r="D1946" s="1">
        <v>20000</v>
      </c>
      <c r="E1946" s="1"/>
      <c r="F1946" s="1">
        <v>222.8</v>
      </c>
      <c r="G1946" s="1">
        <v>20000</v>
      </c>
      <c r="H1946" s="5">
        <f t="shared" si="48"/>
        <v>0</v>
      </c>
      <c r="I1946" s="6"/>
      <c r="J1946" s="43"/>
      <c r="K1946" s="51"/>
      <c r="L1946" s="86"/>
    </row>
    <row r="1947" spans="1:12" ht="15" x14ac:dyDescent="0.25">
      <c r="A1947" s="1">
        <v>1938</v>
      </c>
      <c r="B1947" s="1" t="s">
        <v>298</v>
      </c>
      <c r="C1947" s="32">
        <v>1716</v>
      </c>
      <c r="D1947" s="1">
        <v>10000</v>
      </c>
      <c r="E1947" s="1"/>
      <c r="F1947" s="1">
        <v>111</v>
      </c>
      <c r="G1947" s="1">
        <v>10000</v>
      </c>
      <c r="H1947" s="5">
        <f t="shared" si="48"/>
        <v>0</v>
      </c>
      <c r="I1947" s="6"/>
      <c r="J1947" s="43"/>
      <c r="K1947" s="51"/>
      <c r="L1947" s="86"/>
    </row>
    <row r="1948" spans="1:12" ht="15" x14ac:dyDescent="0.25">
      <c r="A1948" s="1">
        <v>1939</v>
      </c>
      <c r="B1948" s="1" t="s">
        <v>298</v>
      </c>
      <c r="C1948" s="32">
        <v>2199</v>
      </c>
      <c r="D1948" s="1">
        <v>20000</v>
      </c>
      <c r="E1948" s="1"/>
      <c r="F1948" s="1">
        <v>222.8</v>
      </c>
      <c r="G1948" s="1">
        <v>20000</v>
      </c>
      <c r="H1948" s="5">
        <f t="shared" si="48"/>
        <v>0</v>
      </c>
      <c r="I1948" s="6"/>
      <c r="J1948" s="43"/>
      <c r="K1948" s="51"/>
      <c r="L1948" s="86"/>
    </row>
    <row r="1949" spans="1:12" ht="15" x14ac:dyDescent="0.25">
      <c r="A1949" s="1">
        <v>1940</v>
      </c>
      <c r="B1949" s="1" t="s">
        <v>298</v>
      </c>
      <c r="C1949" s="32">
        <v>3704</v>
      </c>
      <c r="D1949" s="1">
        <v>12000</v>
      </c>
      <c r="E1949" s="1"/>
      <c r="F1949" s="1">
        <v>133</v>
      </c>
      <c r="G1949" s="1">
        <v>12000</v>
      </c>
      <c r="H1949" s="5">
        <f t="shared" si="48"/>
        <v>0</v>
      </c>
      <c r="I1949" s="6"/>
      <c r="J1949" s="43"/>
      <c r="K1949" s="51"/>
      <c r="L1949" s="86"/>
    </row>
    <row r="1950" spans="1:12" ht="15" x14ac:dyDescent="0.25">
      <c r="A1950" s="1">
        <v>1941</v>
      </c>
      <c r="B1950" s="1" t="s">
        <v>298</v>
      </c>
      <c r="C1950" s="32">
        <v>2995</v>
      </c>
      <c r="D1950" s="1">
        <v>14000</v>
      </c>
      <c r="E1950" s="1"/>
      <c r="F1950" s="1">
        <v>155</v>
      </c>
      <c r="G1950" s="1">
        <v>14000</v>
      </c>
      <c r="H1950" s="5">
        <f t="shared" si="48"/>
        <v>0</v>
      </c>
      <c r="I1950" s="6"/>
      <c r="J1950" s="43"/>
      <c r="K1950" s="51"/>
      <c r="L1950" s="86"/>
    </row>
    <row r="1951" spans="1:12" ht="15" x14ac:dyDescent="0.25">
      <c r="A1951" s="1">
        <v>1942</v>
      </c>
      <c r="B1951" s="1" t="s">
        <v>298</v>
      </c>
      <c r="C1951" s="32">
        <v>9903</v>
      </c>
      <c r="D1951" s="1">
        <v>15000</v>
      </c>
      <c r="E1951" s="1"/>
      <c r="F1951" s="1">
        <v>167</v>
      </c>
      <c r="G1951" s="1">
        <v>15000</v>
      </c>
      <c r="H1951" s="5">
        <f t="shared" si="48"/>
        <v>0</v>
      </c>
      <c r="I1951" s="6"/>
      <c r="J1951" s="43"/>
      <c r="K1951" s="51"/>
      <c r="L1951" s="86"/>
    </row>
    <row r="1952" spans="1:12" ht="15" x14ac:dyDescent="0.25">
      <c r="A1952" s="1">
        <v>1943</v>
      </c>
      <c r="B1952" s="1" t="s">
        <v>298</v>
      </c>
      <c r="C1952" s="32" t="s">
        <v>30</v>
      </c>
      <c r="D1952" s="1">
        <v>7000</v>
      </c>
      <c r="E1952" s="1"/>
      <c r="F1952" s="1">
        <v>77.930000000000007</v>
      </c>
      <c r="G1952" s="1">
        <v>7000</v>
      </c>
      <c r="H1952" s="5">
        <f t="shared" si="48"/>
        <v>0</v>
      </c>
      <c r="I1952" s="6"/>
      <c r="J1952" s="43"/>
      <c r="K1952" s="51"/>
      <c r="L1952" s="86"/>
    </row>
    <row r="1953" spans="1:12" ht="15" x14ac:dyDescent="0.25">
      <c r="A1953" s="1">
        <v>1944</v>
      </c>
      <c r="B1953" s="1" t="s">
        <v>298</v>
      </c>
      <c r="C1953" s="32">
        <v>9565</v>
      </c>
      <c r="D1953" s="1">
        <v>25000</v>
      </c>
      <c r="E1953" s="1"/>
      <c r="F1953" s="1">
        <v>278</v>
      </c>
      <c r="G1953" s="1">
        <v>25000</v>
      </c>
      <c r="H1953" s="5">
        <f t="shared" si="48"/>
        <v>0</v>
      </c>
      <c r="I1953" s="6"/>
      <c r="J1953" s="43"/>
      <c r="K1953" s="51"/>
      <c r="L1953" s="86"/>
    </row>
    <row r="1954" spans="1:12" ht="15" x14ac:dyDescent="0.25">
      <c r="A1954" s="1">
        <v>1945</v>
      </c>
      <c r="B1954" s="1" t="s">
        <v>298</v>
      </c>
      <c r="C1954" s="32">
        <v>445</v>
      </c>
      <c r="D1954" s="1">
        <v>21000</v>
      </c>
      <c r="E1954" s="1"/>
      <c r="F1954" s="1">
        <v>233</v>
      </c>
      <c r="G1954" s="1">
        <v>21000</v>
      </c>
      <c r="H1954" s="5">
        <f t="shared" si="48"/>
        <v>0</v>
      </c>
      <c r="I1954" s="6"/>
      <c r="J1954" s="43"/>
      <c r="K1954" s="51"/>
      <c r="L1954" s="86">
        <f>1212610-1198910</f>
        <v>13700</v>
      </c>
    </row>
    <row r="1955" spans="1:12" ht="15" x14ac:dyDescent="0.25">
      <c r="A1955" s="1">
        <v>1946</v>
      </c>
      <c r="B1955" s="1" t="s">
        <v>299</v>
      </c>
      <c r="C1955" s="32">
        <v>5613</v>
      </c>
      <c r="D1955" s="1">
        <v>20000</v>
      </c>
      <c r="E1955" s="1"/>
      <c r="F1955" s="1">
        <v>222.82</v>
      </c>
      <c r="G1955" s="1">
        <v>20000</v>
      </c>
      <c r="H1955" s="5">
        <f t="shared" si="48"/>
        <v>0</v>
      </c>
      <c r="I1955" s="6"/>
      <c r="J1955" s="43"/>
      <c r="K1955" s="51"/>
      <c r="L1955" s="86"/>
    </row>
    <row r="1956" spans="1:12" ht="15" x14ac:dyDescent="0.25">
      <c r="A1956" s="1">
        <v>1947</v>
      </c>
      <c r="B1956" s="1" t="s">
        <v>299</v>
      </c>
      <c r="C1956" s="32">
        <v>4565</v>
      </c>
      <c r="D1956" s="1">
        <v>13000</v>
      </c>
      <c r="E1956" s="1"/>
      <c r="F1956" s="1">
        <v>144</v>
      </c>
      <c r="G1956" s="1">
        <v>13000</v>
      </c>
      <c r="H1956" s="5">
        <f t="shared" si="48"/>
        <v>0</v>
      </c>
      <c r="I1956" s="6"/>
      <c r="J1956" s="43"/>
      <c r="K1956" s="51"/>
      <c r="L1956" s="86"/>
    </row>
    <row r="1957" spans="1:12" ht="15" x14ac:dyDescent="0.25">
      <c r="A1957" s="1">
        <v>1948</v>
      </c>
      <c r="B1957" s="1" t="s">
        <v>299</v>
      </c>
      <c r="C1957" s="32">
        <v>1071</v>
      </c>
      <c r="D1957" s="1">
        <v>13000</v>
      </c>
      <c r="E1957" s="1"/>
      <c r="F1957" s="1">
        <v>144</v>
      </c>
      <c r="G1957" s="1">
        <v>13000</v>
      </c>
      <c r="H1957" s="5">
        <f t="shared" si="48"/>
        <v>0</v>
      </c>
      <c r="I1957" s="6"/>
      <c r="J1957" s="43"/>
      <c r="K1957" s="51"/>
      <c r="L1957" s="86"/>
    </row>
    <row r="1958" spans="1:12" ht="15" x14ac:dyDescent="0.25">
      <c r="A1958" s="1">
        <v>1949</v>
      </c>
      <c r="B1958" s="1" t="s">
        <v>299</v>
      </c>
      <c r="C1958" s="32">
        <v>6012</v>
      </c>
      <c r="D1958" s="1">
        <v>14000</v>
      </c>
      <c r="E1958" s="1"/>
      <c r="F1958" s="1">
        <v>14000</v>
      </c>
      <c r="G1958" s="1">
        <v>14000</v>
      </c>
      <c r="H1958" s="5">
        <f t="shared" si="48"/>
        <v>0</v>
      </c>
      <c r="I1958" s="6"/>
      <c r="J1958" s="43"/>
      <c r="K1958" s="51"/>
      <c r="L1958" s="86"/>
    </row>
    <row r="1959" spans="1:12" ht="15" x14ac:dyDescent="0.25">
      <c r="A1959" s="1">
        <v>1950</v>
      </c>
      <c r="B1959" s="1" t="s">
        <v>299</v>
      </c>
      <c r="C1959" s="32" t="s">
        <v>30</v>
      </c>
      <c r="D1959" s="1">
        <v>5000</v>
      </c>
      <c r="E1959" s="1"/>
      <c r="F1959" s="1">
        <v>55.05</v>
      </c>
      <c r="G1959" s="1">
        <v>5000</v>
      </c>
      <c r="H1959" s="5">
        <f t="shared" si="48"/>
        <v>0</v>
      </c>
      <c r="I1959" s="6"/>
      <c r="J1959" s="43"/>
      <c r="K1959" s="51"/>
      <c r="L1959" s="86"/>
    </row>
    <row r="1960" spans="1:12" ht="15" x14ac:dyDescent="0.25">
      <c r="A1960" s="1">
        <v>1951</v>
      </c>
      <c r="B1960" s="1" t="s">
        <v>299</v>
      </c>
      <c r="C1960" s="32">
        <v>4626</v>
      </c>
      <c r="D1960" s="1">
        <v>13000</v>
      </c>
      <c r="E1960" s="1"/>
      <c r="F1960" s="1">
        <v>144</v>
      </c>
      <c r="G1960" s="1">
        <v>13000</v>
      </c>
      <c r="H1960" s="5">
        <f t="shared" si="48"/>
        <v>0</v>
      </c>
      <c r="I1960" s="6"/>
      <c r="J1960" s="43"/>
      <c r="K1960" s="51"/>
      <c r="L1960" s="86"/>
    </row>
    <row r="1961" spans="1:12" ht="15" x14ac:dyDescent="0.25">
      <c r="A1961" s="1">
        <v>1952</v>
      </c>
      <c r="B1961" s="1" t="s">
        <v>299</v>
      </c>
      <c r="C1961" s="32">
        <v>5612</v>
      </c>
      <c r="D1961" s="1">
        <v>23000</v>
      </c>
      <c r="E1961" s="1"/>
      <c r="F1961" s="1">
        <v>250</v>
      </c>
      <c r="G1961" s="1">
        <v>23000</v>
      </c>
      <c r="H1961" s="5">
        <f t="shared" si="48"/>
        <v>0</v>
      </c>
      <c r="I1961" s="6"/>
      <c r="J1961" s="43"/>
      <c r="K1961" s="51"/>
      <c r="L1961" s="86"/>
    </row>
    <row r="1962" spans="1:12" ht="15" x14ac:dyDescent="0.25">
      <c r="A1962" s="1">
        <v>1953</v>
      </c>
      <c r="B1962" s="1" t="s">
        <v>299</v>
      </c>
      <c r="C1962" s="32" t="s">
        <v>66</v>
      </c>
      <c r="D1962" s="1">
        <v>100</v>
      </c>
      <c r="E1962" s="1"/>
      <c r="F1962" s="1">
        <v>1.05</v>
      </c>
      <c r="G1962" s="1">
        <v>100</v>
      </c>
      <c r="H1962" s="5">
        <f t="shared" si="48"/>
        <v>0</v>
      </c>
      <c r="I1962" s="6"/>
      <c r="J1962" s="43"/>
      <c r="K1962" s="51"/>
      <c r="L1962" s="86"/>
    </row>
    <row r="1963" spans="1:12" ht="15" x14ac:dyDescent="0.25">
      <c r="A1963" s="1">
        <v>1954</v>
      </c>
      <c r="B1963" s="1" t="s">
        <v>299</v>
      </c>
      <c r="C1963" s="32">
        <v>645</v>
      </c>
      <c r="D1963" s="1">
        <v>13500</v>
      </c>
      <c r="E1963" s="1"/>
      <c r="F1963" s="1">
        <v>150.4</v>
      </c>
      <c r="G1963" s="1">
        <v>13500</v>
      </c>
      <c r="H1963" s="5">
        <f t="shared" si="48"/>
        <v>0</v>
      </c>
      <c r="I1963" s="6"/>
      <c r="J1963" s="43"/>
      <c r="K1963" s="51"/>
      <c r="L1963" s="86"/>
    </row>
    <row r="1964" spans="1:12" ht="15" x14ac:dyDescent="0.25">
      <c r="A1964" s="1">
        <v>1955</v>
      </c>
      <c r="B1964" s="1" t="s">
        <v>299</v>
      </c>
      <c r="C1964" s="32">
        <v>3671</v>
      </c>
      <c r="D1964" s="1">
        <v>23000</v>
      </c>
      <c r="E1964" s="1"/>
      <c r="F1964" s="1">
        <v>250</v>
      </c>
      <c r="G1964" s="1">
        <v>23000</v>
      </c>
      <c r="H1964" s="5">
        <f t="shared" si="48"/>
        <v>0</v>
      </c>
      <c r="I1964" s="6"/>
      <c r="J1964" s="43"/>
      <c r="K1964" s="51"/>
      <c r="L1964" s="86"/>
    </row>
    <row r="1965" spans="1:12" ht="15" x14ac:dyDescent="0.25">
      <c r="A1965" s="1">
        <v>1956</v>
      </c>
      <c r="B1965" s="1" t="s">
        <v>299</v>
      </c>
      <c r="C1965" s="32">
        <v>777</v>
      </c>
      <c r="D1965" s="1">
        <v>23000</v>
      </c>
      <c r="E1965" s="1"/>
      <c r="F1965" s="1">
        <v>250</v>
      </c>
      <c r="G1965" s="1">
        <v>23000</v>
      </c>
      <c r="H1965" s="5">
        <f t="shared" si="48"/>
        <v>0</v>
      </c>
      <c r="I1965" s="6"/>
      <c r="J1965" s="43"/>
      <c r="K1965" s="51"/>
      <c r="L1965" s="86"/>
    </row>
    <row r="1966" spans="1:12" ht="15" x14ac:dyDescent="0.25">
      <c r="A1966" s="1">
        <v>1957</v>
      </c>
      <c r="B1966" s="1" t="s">
        <v>299</v>
      </c>
      <c r="C1966" s="32">
        <v>1336</v>
      </c>
      <c r="D1966" s="1">
        <v>18000</v>
      </c>
      <c r="E1966" s="1"/>
      <c r="F1966" s="1">
        <v>200.53</v>
      </c>
      <c r="G1966" s="1">
        <v>18000</v>
      </c>
      <c r="H1966" s="5">
        <f t="shared" si="48"/>
        <v>0</v>
      </c>
      <c r="I1966" s="6"/>
      <c r="J1966" s="43"/>
      <c r="K1966" s="51"/>
      <c r="L1966" s="86"/>
    </row>
    <row r="1967" spans="1:12" ht="15" x14ac:dyDescent="0.25">
      <c r="A1967" s="1">
        <v>1958</v>
      </c>
      <c r="B1967" s="1" t="s">
        <v>299</v>
      </c>
      <c r="C1967" s="32">
        <v>7178</v>
      </c>
      <c r="D1967" s="1">
        <v>25000</v>
      </c>
      <c r="E1967" s="1"/>
      <c r="F1967" s="1">
        <v>260.31</v>
      </c>
      <c r="G1967" s="1">
        <v>25000</v>
      </c>
      <c r="H1967" s="5">
        <f t="shared" si="48"/>
        <v>0</v>
      </c>
      <c r="I1967" s="6"/>
      <c r="J1967" s="43"/>
      <c r="K1967" s="51"/>
      <c r="L1967" s="86"/>
    </row>
    <row r="1968" spans="1:12" ht="15" x14ac:dyDescent="0.25">
      <c r="A1968" s="1">
        <v>1959</v>
      </c>
      <c r="B1968" s="1" t="s">
        <v>299</v>
      </c>
      <c r="C1968" s="32">
        <v>1840</v>
      </c>
      <c r="D1968" s="1">
        <v>7000</v>
      </c>
      <c r="E1968" s="1"/>
      <c r="F1968" s="1">
        <v>77.59</v>
      </c>
      <c r="G1968" s="1">
        <v>7000</v>
      </c>
      <c r="H1968" s="5">
        <f t="shared" si="48"/>
        <v>0</v>
      </c>
      <c r="I1968" s="6"/>
      <c r="J1968" s="43"/>
      <c r="K1968" s="51"/>
      <c r="L1968" s="86"/>
    </row>
    <row r="1969" spans="1:12" ht="15" x14ac:dyDescent="0.25">
      <c r="A1969" s="1">
        <v>1960</v>
      </c>
      <c r="B1969" s="1" t="s">
        <v>299</v>
      </c>
      <c r="C1969" s="32">
        <v>1951</v>
      </c>
      <c r="D1969" s="1">
        <v>7000</v>
      </c>
      <c r="E1969" s="1"/>
      <c r="F1969" s="1">
        <v>77.59</v>
      </c>
      <c r="G1969" s="1">
        <v>7000</v>
      </c>
      <c r="H1969" s="5">
        <f t="shared" si="48"/>
        <v>0</v>
      </c>
      <c r="I1969" s="6"/>
      <c r="J1969" s="43"/>
      <c r="K1969" s="51"/>
      <c r="L1969" s="86"/>
    </row>
    <row r="1970" spans="1:12" ht="15" x14ac:dyDescent="0.25">
      <c r="A1970" s="1">
        <v>1961</v>
      </c>
      <c r="B1970" s="1" t="s">
        <v>299</v>
      </c>
      <c r="C1970" s="32">
        <v>9382</v>
      </c>
      <c r="D1970" s="1">
        <v>20000</v>
      </c>
      <c r="E1970" s="1"/>
      <c r="F1970" s="1">
        <v>222.82</v>
      </c>
      <c r="G1970" s="1">
        <v>20000</v>
      </c>
      <c r="H1970" s="5">
        <f t="shared" si="48"/>
        <v>0</v>
      </c>
      <c r="I1970" s="6"/>
      <c r="J1970" s="43"/>
      <c r="K1970" s="51"/>
      <c r="L1970" s="86"/>
    </row>
    <row r="1971" spans="1:12" ht="15" x14ac:dyDescent="0.25">
      <c r="A1971" s="1">
        <v>1962</v>
      </c>
      <c r="B1971" s="1" t="s">
        <v>299</v>
      </c>
      <c r="C1971" s="32">
        <v>5187</v>
      </c>
      <c r="D1971" s="1">
        <v>30000</v>
      </c>
      <c r="E1971" s="1"/>
      <c r="F1971" s="1">
        <v>334.22</v>
      </c>
      <c r="G1971" s="1">
        <v>30000</v>
      </c>
      <c r="H1971" s="5">
        <f t="shared" si="48"/>
        <v>0</v>
      </c>
      <c r="I1971" s="6"/>
      <c r="J1971" s="43"/>
      <c r="K1971" s="51"/>
      <c r="L1971" s="86"/>
    </row>
    <row r="1972" spans="1:12" ht="15" x14ac:dyDescent="0.25">
      <c r="A1972" s="1">
        <v>1963</v>
      </c>
      <c r="B1972" s="1" t="s">
        <v>299</v>
      </c>
      <c r="C1972" s="32">
        <v>7153</v>
      </c>
      <c r="D1972" s="1">
        <v>30000</v>
      </c>
      <c r="E1972" s="1"/>
      <c r="F1972" s="1">
        <v>334.22</v>
      </c>
      <c r="G1972" s="1">
        <v>30000</v>
      </c>
      <c r="H1972" s="5">
        <f t="shared" si="48"/>
        <v>0</v>
      </c>
      <c r="I1972" s="6"/>
      <c r="J1972" s="43"/>
      <c r="K1972" s="51"/>
      <c r="L1972" s="86"/>
    </row>
    <row r="1973" spans="1:12" ht="15" x14ac:dyDescent="0.25">
      <c r="A1973" s="1">
        <v>1964</v>
      </c>
      <c r="B1973" s="1" t="s">
        <v>300</v>
      </c>
      <c r="C1973" s="32">
        <v>8989</v>
      </c>
      <c r="D1973" s="1">
        <v>25700</v>
      </c>
      <c r="E1973" s="1"/>
      <c r="F1973" s="1">
        <v>286</v>
      </c>
      <c r="G1973" s="1">
        <v>25700</v>
      </c>
      <c r="H1973" s="5">
        <f t="shared" si="48"/>
        <v>0</v>
      </c>
      <c r="I1973" s="6"/>
      <c r="J1973" s="43"/>
      <c r="K1973" s="51"/>
      <c r="L1973" s="86"/>
    </row>
    <row r="1974" spans="1:12" ht="15" x14ac:dyDescent="0.25">
      <c r="A1974" s="1">
        <v>1965</v>
      </c>
      <c r="B1974" s="1" t="s">
        <v>300</v>
      </c>
      <c r="C1974" s="32">
        <v>3175</v>
      </c>
      <c r="D1974" s="1">
        <v>15000</v>
      </c>
      <c r="E1974" s="1"/>
      <c r="F1974" s="1">
        <v>167</v>
      </c>
      <c r="G1974" s="1">
        <v>15000</v>
      </c>
      <c r="H1974" s="5">
        <f t="shared" si="48"/>
        <v>0</v>
      </c>
      <c r="I1974" s="6"/>
      <c r="J1974" s="43"/>
      <c r="K1974" s="51"/>
      <c r="L1974" s="86"/>
    </row>
    <row r="1975" spans="1:12" ht="15" x14ac:dyDescent="0.25">
      <c r="A1975" s="1">
        <v>1966</v>
      </c>
      <c r="B1975" s="1" t="s">
        <v>300</v>
      </c>
      <c r="C1975" s="32">
        <v>1287</v>
      </c>
      <c r="D1975" s="1">
        <v>15000</v>
      </c>
      <c r="E1975" s="1"/>
      <c r="F1975" s="1">
        <v>167</v>
      </c>
      <c r="G1975" s="1">
        <v>15000</v>
      </c>
      <c r="H1975" s="5">
        <f t="shared" si="48"/>
        <v>0</v>
      </c>
      <c r="I1975" s="6"/>
      <c r="J1975" s="43"/>
      <c r="K1975" s="51"/>
      <c r="L1975" s="86"/>
    </row>
    <row r="1976" spans="1:12" ht="15" x14ac:dyDescent="0.25">
      <c r="A1976" s="1">
        <v>1967</v>
      </c>
      <c r="B1976" s="1" t="s">
        <v>300</v>
      </c>
      <c r="C1976" s="32">
        <v>4624</v>
      </c>
      <c r="D1976" s="1">
        <v>13000</v>
      </c>
      <c r="E1976" s="1"/>
      <c r="F1976" s="1">
        <v>144</v>
      </c>
      <c r="G1976" s="1">
        <v>13000</v>
      </c>
      <c r="H1976" s="5">
        <f t="shared" si="48"/>
        <v>0</v>
      </c>
      <c r="I1976" s="6"/>
      <c r="J1976" s="43"/>
      <c r="K1976" s="51"/>
      <c r="L1976" s="86"/>
    </row>
    <row r="1977" spans="1:12" ht="15" x14ac:dyDescent="0.25">
      <c r="A1977" s="1">
        <v>1968</v>
      </c>
      <c r="B1977" s="1" t="s">
        <v>300</v>
      </c>
      <c r="C1977" s="32">
        <v>5920</v>
      </c>
      <c r="D1977" s="1">
        <v>15000</v>
      </c>
      <c r="E1977" s="1"/>
      <c r="F1977" s="1">
        <v>167</v>
      </c>
      <c r="G1977" s="1">
        <v>15000</v>
      </c>
      <c r="H1977" s="5">
        <f t="shared" ref="H1977:H2040" si="49">D1977-G1977</f>
        <v>0</v>
      </c>
      <c r="I1977" s="6"/>
      <c r="J1977" s="43"/>
      <c r="K1977" s="51"/>
      <c r="L1977" s="86"/>
    </row>
    <row r="1978" spans="1:12" ht="15" x14ac:dyDescent="0.25">
      <c r="A1978" s="1">
        <v>1969</v>
      </c>
      <c r="B1978" s="1" t="s">
        <v>300</v>
      </c>
      <c r="C1978" s="32">
        <v>1299</v>
      </c>
      <c r="D1978" s="1">
        <v>19000</v>
      </c>
      <c r="E1978" s="1"/>
      <c r="F1978" s="1">
        <v>211</v>
      </c>
      <c r="G1978" s="1">
        <v>19000</v>
      </c>
      <c r="H1978" s="5">
        <f t="shared" si="49"/>
        <v>0</v>
      </c>
      <c r="I1978" s="6"/>
      <c r="J1978" s="43"/>
      <c r="K1978" s="51"/>
      <c r="L1978" s="86"/>
    </row>
    <row r="1979" spans="1:12" ht="15" x14ac:dyDescent="0.25">
      <c r="A1979" s="1">
        <v>1970</v>
      </c>
      <c r="B1979" s="1" t="s">
        <v>300</v>
      </c>
      <c r="C1979" s="32">
        <v>1020</v>
      </c>
      <c r="D1979" s="1">
        <v>30000</v>
      </c>
      <c r="E1979" s="1"/>
      <c r="F1979" s="1">
        <v>334</v>
      </c>
      <c r="G1979" s="1">
        <v>30000</v>
      </c>
      <c r="H1979" s="5">
        <f t="shared" si="49"/>
        <v>0</v>
      </c>
      <c r="I1979" s="6"/>
      <c r="J1979" s="43"/>
      <c r="K1979" s="51"/>
      <c r="L1979" s="86"/>
    </row>
    <row r="1980" spans="1:12" ht="15" x14ac:dyDescent="0.25">
      <c r="A1980" s="1">
        <v>1971</v>
      </c>
      <c r="B1980" s="1" t="s">
        <v>300</v>
      </c>
      <c r="C1980" s="32">
        <v>3887</v>
      </c>
      <c r="D1980" s="1">
        <v>15000</v>
      </c>
      <c r="E1980" s="1"/>
      <c r="F1980" s="1">
        <v>167</v>
      </c>
      <c r="G1980" s="1">
        <v>15000</v>
      </c>
      <c r="H1980" s="5">
        <f t="shared" si="49"/>
        <v>0</v>
      </c>
      <c r="I1980" s="6"/>
      <c r="J1980" s="43"/>
      <c r="K1980" s="51"/>
      <c r="L1980" s="86"/>
    </row>
    <row r="1981" spans="1:12" ht="15" x14ac:dyDescent="0.25">
      <c r="A1981" s="1">
        <v>1972</v>
      </c>
      <c r="B1981" s="1" t="s">
        <v>300</v>
      </c>
      <c r="C1981" s="32">
        <v>226</v>
      </c>
      <c r="D1981" s="1">
        <v>20000</v>
      </c>
      <c r="E1981" s="1"/>
      <c r="F1981" s="1">
        <v>222.82</v>
      </c>
      <c r="G1981" s="1">
        <v>20000</v>
      </c>
      <c r="H1981" s="5">
        <f t="shared" si="49"/>
        <v>0</v>
      </c>
      <c r="I1981" s="6"/>
      <c r="J1981" s="43"/>
      <c r="K1981" s="51"/>
      <c r="L1981" s="86"/>
    </row>
    <row r="1982" spans="1:12" ht="15" x14ac:dyDescent="0.25">
      <c r="A1982" s="1">
        <v>1973</v>
      </c>
      <c r="B1982" s="1" t="s">
        <v>300</v>
      </c>
      <c r="C1982" s="32">
        <v>4424</v>
      </c>
      <c r="D1982" s="1">
        <v>20000</v>
      </c>
      <c r="E1982" s="1"/>
      <c r="F1982" s="1">
        <v>222.82</v>
      </c>
      <c r="G1982" s="1">
        <v>20000</v>
      </c>
      <c r="H1982" s="5">
        <f t="shared" si="49"/>
        <v>0</v>
      </c>
      <c r="I1982" s="6"/>
      <c r="J1982" s="43"/>
      <c r="K1982" s="51"/>
      <c r="L1982" s="86"/>
    </row>
    <row r="1983" spans="1:12" ht="15" x14ac:dyDescent="0.25">
      <c r="A1983" s="1">
        <v>1974</v>
      </c>
      <c r="B1983" s="1" t="s">
        <v>300</v>
      </c>
      <c r="C1983" s="32">
        <v>4869</v>
      </c>
      <c r="D1983" s="1">
        <v>20000</v>
      </c>
      <c r="E1983" s="1"/>
      <c r="F1983" s="1">
        <v>222.82</v>
      </c>
      <c r="G1983" s="1">
        <v>20000</v>
      </c>
      <c r="H1983" s="5">
        <f t="shared" si="49"/>
        <v>0</v>
      </c>
      <c r="I1983" s="6"/>
      <c r="J1983" s="43"/>
      <c r="K1983" s="51"/>
      <c r="L1983" s="86"/>
    </row>
    <row r="1984" spans="1:12" ht="15" x14ac:dyDescent="0.25">
      <c r="A1984" s="1">
        <v>1975</v>
      </c>
      <c r="B1984" s="1" t="s">
        <v>300</v>
      </c>
      <c r="C1984" s="32">
        <v>3433</v>
      </c>
      <c r="D1984" s="1">
        <v>15000</v>
      </c>
      <c r="E1984" s="1"/>
      <c r="F1984" s="1">
        <v>167</v>
      </c>
      <c r="G1984" s="1">
        <v>15000</v>
      </c>
      <c r="H1984" s="5">
        <f t="shared" si="49"/>
        <v>0</v>
      </c>
      <c r="I1984" s="6"/>
      <c r="J1984" s="43"/>
      <c r="K1984" s="51"/>
      <c r="L1984" s="86"/>
    </row>
    <row r="1985" spans="1:14" ht="15" x14ac:dyDescent="0.25">
      <c r="A1985" s="1">
        <v>1976</v>
      </c>
      <c r="B1985" s="1" t="s">
        <v>300</v>
      </c>
      <c r="C1985" s="32">
        <v>4032</v>
      </c>
      <c r="D1985" s="1">
        <v>10000</v>
      </c>
      <c r="E1985" s="1"/>
      <c r="F1985" s="1">
        <v>111.41</v>
      </c>
      <c r="G1985" s="1">
        <v>10000</v>
      </c>
      <c r="H1985" s="5">
        <f t="shared" si="49"/>
        <v>0</v>
      </c>
      <c r="I1985" s="6"/>
      <c r="J1985" s="43"/>
      <c r="K1985" s="51"/>
      <c r="L1985" s="86"/>
    </row>
    <row r="1986" spans="1:14" ht="15" x14ac:dyDescent="0.25">
      <c r="A1986" s="1">
        <v>1977</v>
      </c>
      <c r="B1986" s="1" t="s">
        <v>300</v>
      </c>
      <c r="C1986" s="32">
        <v>7696</v>
      </c>
      <c r="D1986" s="1">
        <v>16000</v>
      </c>
      <c r="E1986" s="1"/>
      <c r="F1986" s="1"/>
      <c r="G1986" s="1">
        <v>16000</v>
      </c>
      <c r="H1986" s="5">
        <f t="shared" si="49"/>
        <v>0</v>
      </c>
      <c r="I1986" s="6"/>
      <c r="J1986" s="43"/>
      <c r="K1986" s="51"/>
      <c r="L1986" s="86"/>
    </row>
    <row r="1987" spans="1:14" ht="15" x14ac:dyDescent="0.25">
      <c r="A1987" s="1">
        <v>1978</v>
      </c>
      <c r="B1987" s="1" t="s">
        <v>300</v>
      </c>
      <c r="C1987" s="32" t="s">
        <v>30</v>
      </c>
      <c r="D1987" s="1">
        <v>4000</v>
      </c>
      <c r="E1987" s="1"/>
      <c r="F1987" s="1">
        <v>45.15</v>
      </c>
      <c r="G1987" s="1">
        <v>4000</v>
      </c>
      <c r="H1987" s="5">
        <f t="shared" si="49"/>
        <v>0</v>
      </c>
      <c r="I1987" s="6"/>
      <c r="J1987" s="43"/>
      <c r="K1987" s="51"/>
      <c r="L1987" s="86"/>
    </row>
    <row r="1988" spans="1:14" ht="15" x14ac:dyDescent="0.25">
      <c r="A1988" s="1">
        <v>1979</v>
      </c>
      <c r="B1988" s="1" t="s">
        <v>300</v>
      </c>
      <c r="C1988" s="32" t="s">
        <v>30</v>
      </c>
      <c r="D1988" s="1">
        <v>3500</v>
      </c>
      <c r="E1988" s="1"/>
      <c r="F1988" s="1">
        <v>39.35</v>
      </c>
      <c r="G1988" s="1">
        <v>3500</v>
      </c>
      <c r="H1988" s="5">
        <f t="shared" si="49"/>
        <v>0</v>
      </c>
      <c r="I1988" s="6"/>
      <c r="J1988" s="43"/>
      <c r="K1988" s="51"/>
      <c r="L1988" s="86">
        <f>1258754-1252710</f>
        <v>6044</v>
      </c>
    </row>
    <row r="1989" spans="1:14" ht="15" x14ac:dyDescent="0.25">
      <c r="A1989" s="1">
        <v>1980</v>
      </c>
      <c r="B1989" s="1" t="s">
        <v>301</v>
      </c>
      <c r="C1989" s="32">
        <v>1332</v>
      </c>
      <c r="D1989" s="1">
        <v>20000</v>
      </c>
      <c r="E1989" s="1"/>
      <c r="F1989" s="1">
        <v>222.82</v>
      </c>
      <c r="G1989" s="1">
        <v>20000</v>
      </c>
      <c r="H1989" s="5">
        <f t="shared" si="49"/>
        <v>0</v>
      </c>
      <c r="I1989" s="6"/>
      <c r="J1989" s="43"/>
      <c r="K1989" s="51"/>
      <c r="L1989" s="86"/>
    </row>
    <row r="1990" spans="1:14" ht="15" x14ac:dyDescent="0.25">
      <c r="A1990" s="1">
        <v>1981</v>
      </c>
      <c r="B1990" s="1" t="s">
        <v>301</v>
      </c>
      <c r="C1990" s="32">
        <v>889</v>
      </c>
      <c r="D1990" s="1">
        <v>13000</v>
      </c>
      <c r="E1990" s="1"/>
      <c r="F1990" s="1">
        <v>144</v>
      </c>
      <c r="G1990" s="1">
        <v>13000</v>
      </c>
      <c r="H1990" s="5">
        <f t="shared" si="49"/>
        <v>0</v>
      </c>
      <c r="I1990" s="6"/>
      <c r="J1990" s="43"/>
      <c r="K1990" s="51"/>
      <c r="L1990" s="86"/>
    </row>
    <row r="1991" spans="1:14" ht="15" x14ac:dyDescent="0.25">
      <c r="A1991" s="1">
        <v>1982</v>
      </c>
      <c r="B1991" s="1" t="s">
        <v>301</v>
      </c>
      <c r="C1991" s="32">
        <v>5971</v>
      </c>
      <c r="D1991" s="1">
        <v>15000</v>
      </c>
      <c r="E1991" s="1"/>
      <c r="F1991" s="1">
        <v>167</v>
      </c>
      <c r="G1991" s="1">
        <v>15000</v>
      </c>
      <c r="H1991" s="5">
        <f t="shared" si="49"/>
        <v>0</v>
      </c>
      <c r="I1991" s="6"/>
      <c r="J1991" s="43"/>
      <c r="K1991" s="51"/>
      <c r="L1991" s="86"/>
    </row>
    <row r="1992" spans="1:14" ht="15" x14ac:dyDescent="0.25">
      <c r="A1992" s="1">
        <v>1983</v>
      </c>
      <c r="B1992" s="1" t="s">
        <v>301</v>
      </c>
      <c r="C1992" s="32">
        <v>2381</v>
      </c>
      <c r="D1992" s="1">
        <v>20000</v>
      </c>
      <c r="E1992" s="1"/>
      <c r="F1992" s="1">
        <v>222.82</v>
      </c>
      <c r="G1992" s="1">
        <v>20000</v>
      </c>
      <c r="H1992" s="5">
        <f t="shared" si="49"/>
        <v>0</v>
      </c>
      <c r="I1992" s="6"/>
      <c r="J1992" s="43"/>
      <c r="K1992" s="51"/>
      <c r="L1992" s="86"/>
    </row>
    <row r="1993" spans="1:14" ht="15" x14ac:dyDescent="0.25">
      <c r="A1993" s="1">
        <v>1984</v>
      </c>
      <c r="B1993" s="1" t="s">
        <v>301</v>
      </c>
      <c r="C1993" s="32">
        <v>1315</v>
      </c>
      <c r="D1993" s="1">
        <v>16000</v>
      </c>
      <c r="E1993" s="1"/>
      <c r="F1993" s="1">
        <v>178</v>
      </c>
      <c r="G1993" s="1">
        <v>16000</v>
      </c>
      <c r="H1993" s="5">
        <f t="shared" si="49"/>
        <v>0</v>
      </c>
      <c r="I1993" s="6"/>
      <c r="J1993" s="43"/>
      <c r="K1993" s="51"/>
      <c r="L1993" s="86"/>
    </row>
    <row r="1994" spans="1:14" ht="15" x14ac:dyDescent="0.25">
      <c r="A1994" s="1">
        <v>1985</v>
      </c>
      <c r="B1994" s="1" t="s">
        <v>301</v>
      </c>
      <c r="C1994" s="32">
        <v>4051</v>
      </c>
      <c r="D1994" s="1">
        <v>10000</v>
      </c>
      <c r="E1994" s="1"/>
      <c r="F1994" s="1">
        <v>111.41</v>
      </c>
      <c r="G1994" s="1">
        <v>10000</v>
      </c>
      <c r="H1994" s="5">
        <f t="shared" si="49"/>
        <v>0</v>
      </c>
      <c r="I1994" s="6"/>
      <c r="J1994" s="43"/>
      <c r="K1994" s="51"/>
      <c r="L1994" s="86"/>
    </row>
    <row r="1995" spans="1:14" ht="15" x14ac:dyDescent="0.25">
      <c r="A1995" s="1">
        <v>1986</v>
      </c>
      <c r="B1995" s="1" t="s">
        <v>301</v>
      </c>
      <c r="C1995" s="32">
        <v>3161</v>
      </c>
      <c r="D1995" s="1">
        <v>16000</v>
      </c>
      <c r="E1995" s="1"/>
      <c r="F1995" s="1">
        <v>178</v>
      </c>
      <c r="G1995" s="1">
        <v>16000</v>
      </c>
      <c r="H1995" s="5">
        <f t="shared" si="49"/>
        <v>0</v>
      </c>
      <c r="I1995" s="6"/>
      <c r="J1995" s="43"/>
      <c r="K1995" s="51"/>
      <c r="L1995" s="86"/>
    </row>
    <row r="1996" spans="1:14" ht="15" x14ac:dyDescent="0.25">
      <c r="A1996" s="1">
        <v>1987</v>
      </c>
      <c r="B1996" s="1" t="s">
        <v>301</v>
      </c>
      <c r="C1996" s="32">
        <v>112</v>
      </c>
      <c r="D1996" s="1">
        <v>10000</v>
      </c>
      <c r="E1996" s="1"/>
      <c r="F1996" s="1">
        <v>111.41</v>
      </c>
      <c r="G1996" s="1">
        <v>10000</v>
      </c>
      <c r="H1996" s="5">
        <f t="shared" si="49"/>
        <v>0</v>
      </c>
      <c r="I1996" s="6"/>
      <c r="J1996" s="43"/>
      <c r="K1996" s="51"/>
      <c r="L1996" s="86"/>
    </row>
    <row r="1997" spans="1:14" ht="15" x14ac:dyDescent="0.25">
      <c r="A1997" s="1">
        <v>1988</v>
      </c>
      <c r="B1997" s="1" t="s">
        <v>301</v>
      </c>
      <c r="C1997" s="32">
        <v>4928</v>
      </c>
      <c r="D1997" s="1">
        <v>23000</v>
      </c>
      <c r="E1997" s="1"/>
      <c r="F1997" s="1">
        <v>256</v>
      </c>
      <c r="G1997" s="1">
        <v>23000</v>
      </c>
      <c r="H1997" s="5">
        <f t="shared" si="49"/>
        <v>0</v>
      </c>
      <c r="I1997" s="6"/>
      <c r="J1997" s="43"/>
      <c r="K1997" s="51"/>
      <c r="L1997" s="86"/>
      <c r="N1997" t="s">
        <v>302</v>
      </c>
    </row>
    <row r="1998" spans="1:14" ht="15" x14ac:dyDescent="0.25">
      <c r="A1998" s="1">
        <v>1989</v>
      </c>
      <c r="B1998" s="1" t="s">
        <v>301</v>
      </c>
      <c r="C1998" s="32">
        <v>7386</v>
      </c>
      <c r="D1998" s="1">
        <v>18000</v>
      </c>
      <c r="E1998" s="1"/>
      <c r="F1998" s="1">
        <v>200</v>
      </c>
      <c r="G1998" s="1">
        <v>18000</v>
      </c>
      <c r="H1998" s="5">
        <f t="shared" si="49"/>
        <v>0</v>
      </c>
      <c r="I1998" s="6"/>
      <c r="J1998" s="43"/>
      <c r="K1998" s="51"/>
      <c r="L1998" s="86"/>
      <c r="N1998" t="s">
        <v>303</v>
      </c>
    </row>
    <row r="1999" spans="1:14" ht="15" x14ac:dyDescent="0.25">
      <c r="A1999" s="1">
        <v>1990</v>
      </c>
      <c r="B1999" s="1" t="s">
        <v>301</v>
      </c>
      <c r="C1999" s="32">
        <v>603</v>
      </c>
      <c r="D1999" s="1">
        <v>18000</v>
      </c>
      <c r="E1999" s="1"/>
      <c r="F1999" s="1">
        <v>200</v>
      </c>
      <c r="G1999" s="1">
        <v>18000</v>
      </c>
      <c r="H1999" s="5">
        <f t="shared" si="49"/>
        <v>0</v>
      </c>
      <c r="I1999" s="6"/>
      <c r="J1999" s="43"/>
      <c r="K1999" s="51"/>
      <c r="L1999" s="86"/>
    </row>
    <row r="2000" spans="1:14" ht="15" x14ac:dyDescent="0.25">
      <c r="A2000" s="1">
        <v>1991</v>
      </c>
      <c r="B2000" s="1" t="s">
        <v>301</v>
      </c>
      <c r="C2000" s="32">
        <v>9942</v>
      </c>
      <c r="D2000" s="1">
        <v>20000</v>
      </c>
      <c r="E2000" s="1"/>
      <c r="F2000" s="1">
        <v>222.82</v>
      </c>
      <c r="G2000" s="1">
        <v>20000</v>
      </c>
      <c r="H2000" s="5">
        <f t="shared" si="49"/>
        <v>0</v>
      </c>
      <c r="I2000" s="6"/>
      <c r="J2000" s="43"/>
      <c r="K2000" s="51"/>
      <c r="L2000" s="86">
        <f>1074710-1071671</f>
        <v>3039</v>
      </c>
    </row>
    <row r="2001" spans="1:12" ht="15" x14ac:dyDescent="0.25">
      <c r="A2001" s="1">
        <v>1992</v>
      </c>
      <c r="B2001" s="1" t="s">
        <v>301</v>
      </c>
      <c r="C2001" s="32">
        <v>1277</v>
      </c>
      <c r="D2001" s="1">
        <v>23000</v>
      </c>
      <c r="E2001" s="1"/>
      <c r="F2001" s="1">
        <v>256</v>
      </c>
      <c r="G2001" s="1">
        <v>23000</v>
      </c>
      <c r="H2001" s="5">
        <f t="shared" si="49"/>
        <v>0</v>
      </c>
      <c r="I2001" s="6"/>
      <c r="J2001" s="43"/>
      <c r="K2001" s="51"/>
      <c r="L2001" s="86"/>
    </row>
    <row r="2002" spans="1:12" ht="15" x14ac:dyDescent="0.25">
      <c r="A2002" s="1">
        <v>1993</v>
      </c>
      <c r="B2002" s="1" t="s">
        <v>304</v>
      </c>
      <c r="C2002" s="32" t="s">
        <v>30</v>
      </c>
      <c r="D2002" s="1">
        <v>4500</v>
      </c>
      <c r="E2002" s="1"/>
      <c r="F2002" s="1">
        <v>50.13</v>
      </c>
      <c r="G2002" s="1">
        <v>4500</v>
      </c>
      <c r="H2002" s="5">
        <f t="shared" si="49"/>
        <v>0</v>
      </c>
      <c r="I2002" s="6"/>
      <c r="J2002" s="43"/>
      <c r="K2002" s="51"/>
      <c r="L2002" s="86"/>
    </row>
    <row r="2003" spans="1:12" ht="15" x14ac:dyDescent="0.25">
      <c r="A2003" s="1">
        <v>1994</v>
      </c>
      <c r="B2003" s="1" t="s">
        <v>304</v>
      </c>
      <c r="C2003" s="32" t="s">
        <v>63</v>
      </c>
      <c r="D2003" s="1">
        <v>3500</v>
      </c>
      <c r="E2003" s="1"/>
      <c r="F2003" s="1">
        <v>38.130000000000003</v>
      </c>
      <c r="G2003" s="1">
        <v>3500</v>
      </c>
      <c r="H2003" s="5">
        <f t="shared" si="49"/>
        <v>0</v>
      </c>
      <c r="I2003" s="6"/>
      <c r="J2003" s="43"/>
      <c r="K2003" s="51"/>
      <c r="L2003" s="86"/>
    </row>
    <row r="2004" spans="1:12" ht="15" x14ac:dyDescent="0.25">
      <c r="A2004" s="1">
        <v>1995</v>
      </c>
      <c r="B2004" s="1" t="s">
        <v>304</v>
      </c>
      <c r="C2004" s="32">
        <v>9398</v>
      </c>
      <c r="D2004" s="1">
        <v>19000</v>
      </c>
      <c r="E2004" s="1"/>
      <c r="F2004" s="1">
        <v>204</v>
      </c>
      <c r="G2004" s="1">
        <v>19000</v>
      </c>
      <c r="H2004" s="5">
        <f t="shared" si="49"/>
        <v>0</v>
      </c>
      <c r="I2004" s="6"/>
      <c r="J2004" s="43"/>
      <c r="K2004" s="51"/>
      <c r="L2004" s="86"/>
    </row>
    <row r="2005" spans="1:12" ht="15" x14ac:dyDescent="0.25">
      <c r="A2005" s="1">
        <v>1996</v>
      </c>
      <c r="B2005" s="1" t="s">
        <v>304</v>
      </c>
      <c r="C2005" s="32">
        <v>9250</v>
      </c>
      <c r="D2005" s="1">
        <v>28000</v>
      </c>
      <c r="E2005" s="1"/>
      <c r="F2005" s="1">
        <v>306</v>
      </c>
      <c r="G2005" s="1">
        <v>28000</v>
      </c>
      <c r="H2005" s="5">
        <f t="shared" si="49"/>
        <v>0</v>
      </c>
      <c r="I2005" s="6"/>
      <c r="J2005" s="43"/>
      <c r="K2005" s="51"/>
      <c r="L2005" s="86"/>
    </row>
    <row r="2006" spans="1:12" ht="15" x14ac:dyDescent="0.25">
      <c r="A2006" s="1">
        <v>1997</v>
      </c>
      <c r="B2006" s="1" t="s">
        <v>304</v>
      </c>
      <c r="C2006" s="32">
        <v>2330</v>
      </c>
      <c r="D2006" s="1">
        <v>16000</v>
      </c>
      <c r="E2006" s="1"/>
      <c r="F2006" s="1">
        <v>178</v>
      </c>
      <c r="G2006" s="1">
        <v>16000</v>
      </c>
      <c r="H2006" s="5">
        <f t="shared" si="49"/>
        <v>0</v>
      </c>
      <c r="I2006" s="6"/>
      <c r="J2006" s="43"/>
      <c r="K2006" s="51"/>
      <c r="L2006" s="86"/>
    </row>
    <row r="2007" spans="1:12" ht="15" x14ac:dyDescent="0.25">
      <c r="A2007" s="1">
        <v>1998</v>
      </c>
      <c r="B2007" s="1" t="s">
        <v>304</v>
      </c>
      <c r="C2007" s="32">
        <v>2677</v>
      </c>
      <c r="D2007" s="1">
        <v>20000</v>
      </c>
      <c r="E2007" s="1"/>
      <c r="F2007" s="1">
        <v>222</v>
      </c>
      <c r="G2007" s="1">
        <v>20000</v>
      </c>
      <c r="H2007" s="5">
        <f t="shared" si="49"/>
        <v>0</v>
      </c>
      <c r="I2007" s="6"/>
      <c r="J2007" s="43"/>
      <c r="K2007" s="51"/>
      <c r="L2007" s="86"/>
    </row>
    <row r="2008" spans="1:12" ht="15" x14ac:dyDescent="0.25">
      <c r="A2008" s="1">
        <v>1999</v>
      </c>
      <c r="B2008" s="1" t="s">
        <v>304</v>
      </c>
      <c r="C2008" s="32">
        <v>6529</v>
      </c>
      <c r="D2008" s="1">
        <v>16000</v>
      </c>
      <c r="E2008" s="1"/>
      <c r="F2008" s="1">
        <v>178</v>
      </c>
      <c r="G2008" s="1">
        <v>16000</v>
      </c>
      <c r="H2008" s="5">
        <f t="shared" si="49"/>
        <v>0</v>
      </c>
      <c r="I2008" s="6"/>
      <c r="J2008" s="43"/>
      <c r="K2008" s="51"/>
      <c r="L2008" s="86"/>
    </row>
    <row r="2009" spans="1:12" ht="15" x14ac:dyDescent="0.25">
      <c r="A2009" s="1">
        <v>2000</v>
      </c>
      <c r="B2009" s="1" t="s">
        <v>304</v>
      </c>
      <c r="C2009" s="32">
        <v>904</v>
      </c>
      <c r="D2009" s="1">
        <v>22000</v>
      </c>
      <c r="E2009" s="1"/>
      <c r="F2009" s="1">
        <v>222</v>
      </c>
      <c r="G2009" s="1">
        <v>22000</v>
      </c>
      <c r="H2009" s="5">
        <f t="shared" si="49"/>
        <v>0</v>
      </c>
      <c r="I2009" s="6"/>
      <c r="J2009" s="43"/>
      <c r="K2009" s="51"/>
      <c r="L2009" s="86"/>
    </row>
    <row r="2010" spans="1:12" ht="15" x14ac:dyDescent="0.25">
      <c r="A2010" s="1">
        <v>2001</v>
      </c>
      <c r="B2010" s="1" t="s">
        <v>304</v>
      </c>
      <c r="C2010" s="32">
        <v>2078</v>
      </c>
      <c r="D2010" s="1">
        <v>18000</v>
      </c>
      <c r="E2010" s="1"/>
      <c r="F2010" s="1">
        <v>200</v>
      </c>
      <c r="G2010" s="1">
        <v>18000</v>
      </c>
      <c r="H2010" s="5">
        <f t="shared" si="49"/>
        <v>0</v>
      </c>
      <c r="I2010" s="6"/>
      <c r="J2010" s="43"/>
      <c r="K2010" s="51"/>
      <c r="L2010" s="86"/>
    </row>
    <row r="2011" spans="1:12" ht="15" x14ac:dyDescent="0.25">
      <c r="A2011" s="1">
        <v>2002</v>
      </c>
      <c r="B2011" s="1" t="s">
        <v>304</v>
      </c>
      <c r="C2011" s="32">
        <v>6262</v>
      </c>
      <c r="D2011" s="1">
        <v>18000</v>
      </c>
      <c r="E2011" s="1"/>
      <c r="F2011" s="1">
        <v>200</v>
      </c>
      <c r="G2011" s="1">
        <v>18000</v>
      </c>
      <c r="H2011" s="5">
        <f t="shared" si="49"/>
        <v>0</v>
      </c>
      <c r="I2011" s="6"/>
      <c r="J2011" s="43"/>
      <c r="K2011" s="51"/>
      <c r="L2011" s="86"/>
    </row>
    <row r="2012" spans="1:12" ht="15" x14ac:dyDescent="0.25">
      <c r="A2012" s="1">
        <v>2003</v>
      </c>
      <c r="B2012" s="1" t="s">
        <v>304</v>
      </c>
      <c r="C2012" s="32">
        <v>8109</v>
      </c>
      <c r="D2012" s="1">
        <v>15000</v>
      </c>
      <c r="E2012" s="1"/>
      <c r="F2012" s="1">
        <v>167</v>
      </c>
      <c r="G2012" s="1">
        <v>15000</v>
      </c>
      <c r="H2012" s="5">
        <f t="shared" si="49"/>
        <v>0</v>
      </c>
      <c r="I2012" s="6"/>
      <c r="J2012" s="43"/>
      <c r="K2012" s="51"/>
      <c r="L2012" s="86"/>
    </row>
    <row r="2013" spans="1:12" ht="15" x14ac:dyDescent="0.25">
      <c r="A2013" s="1">
        <v>2004</v>
      </c>
      <c r="B2013" s="1" t="s">
        <v>304</v>
      </c>
      <c r="C2013" s="32">
        <v>3189</v>
      </c>
      <c r="D2013" s="1">
        <v>27000</v>
      </c>
      <c r="E2013" s="1"/>
      <c r="F2013" s="1">
        <v>334</v>
      </c>
      <c r="G2013" s="1">
        <v>27000</v>
      </c>
      <c r="H2013" s="5">
        <f t="shared" si="49"/>
        <v>0</v>
      </c>
      <c r="I2013" s="6"/>
      <c r="J2013" s="43"/>
      <c r="K2013" s="51"/>
      <c r="L2013" s="86"/>
    </row>
    <row r="2014" spans="1:12" ht="15" x14ac:dyDescent="0.25">
      <c r="A2014" s="1">
        <v>2005</v>
      </c>
      <c r="B2014" s="1" t="s">
        <v>304</v>
      </c>
      <c r="C2014" s="32">
        <v>584</v>
      </c>
      <c r="D2014" s="1">
        <v>22000</v>
      </c>
      <c r="E2014" s="1"/>
      <c r="F2014" s="1">
        <v>222</v>
      </c>
      <c r="G2014" s="1">
        <v>22000</v>
      </c>
      <c r="H2014" s="5">
        <f t="shared" si="49"/>
        <v>0</v>
      </c>
      <c r="I2014" s="6"/>
      <c r="J2014" s="43"/>
      <c r="K2014" s="51"/>
      <c r="L2014" s="86"/>
    </row>
    <row r="2015" spans="1:12" ht="15" x14ac:dyDescent="0.25">
      <c r="A2015" s="1">
        <v>2006</v>
      </c>
      <c r="B2015" s="1" t="s">
        <v>304</v>
      </c>
      <c r="C2015" s="32">
        <v>2948</v>
      </c>
      <c r="D2015" s="1">
        <v>25000</v>
      </c>
      <c r="E2015" s="1"/>
      <c r="F2015" s="1">
        <v>272</v>
      </c>
      <c r="G2015" s="1">
        <v>25000</v>
      </c>
      <c r="H2015" s="5">
        <f t="shared" si="49"/>
        <v>0</v>
      </c>
      <c r="I2015" s="6"/>
      <c r="J2015" s="43"/>
      <c r="K2015" s="51"/>
      <c r="L2015" s="86"/>
    </row>
    <row r="2016" spans="1:12" ht="15" x14ac:dyDescent="0.25">
      <c r="A2016" s="1">
        <v>2007</v>
      </c>
      <c r="B2016" s="1" t="s">
        <v>304</v>
      </c>
      <c r="C2016" s="32">
        <v>4488</v>
      </c>
      <c r="D2016" s="1">
        <v>30000</v>
      </c>
      <c r="E2016" s="1"/>
      <c r="F2016" s="1">
        <v>369</v>
      </c>
      <c r="G2016" s="1">
        <v>30000</v>
      </c>
      <c r="H2016" s="5">
        <f t="shared" si="49"/>
        <v>0</v>
      </c>
      <c r="I2016" s="6"/>
      <c r="J2016" s="43"/>
      <c r="K2016" s="51"/>
      <c r="L2016" s="86" t="s">
        <v>305</v>
      </c>
    </row>
    <row r="2017" spans="1:12" ht="15" x14ac:dyDescent="0.25">
      <c r="A2017" s="1">
        <v>2008</v>
      </c>
      <c r="B2017" s="1" t="s">
        <v>306</v>
      </c>
      <c r="C2017" s="32">
        <v>2271</v>
      </c>
      <c r="D2017" s="1">
        <v>15000</v>
      </c>
      <c r="E2017" s="1"/>
      <c r="F2017" s="1">
        <v>167</v>
      </c>
      <c r="G2017" s="1">
        <v>15000</v>
      </c>
      <c r="H2017" s="5">
        <f t="shared" si="49"/>
        <v>0</v>
      </c>
      <c r="I2017" s="6"/>
      <c r="J2017" s="43"/>
      <c r="K2017" s="51"/>
      <c r="L2017" s="86"/>
    </row>
    <row r="2018" spans="1:12" ht="15" x14ac:dyDescent="0.25">
      <c r="A2018" s="1">
        <v>2009</v>
      </c>
      <c r="B2018" s="1" t="s">
        <v>306</v>
      </c>
      <c r="C2018" s="32">
        <v>6736</v>
      </c>
      <c r="D2018" s="1">
        <v>13000</v>
      </c>
      <c r="E2018" s="1"/>
      <c r="F2018" s="1">
        <v>144</v>
      </c>
      <c r="G2018" s="1">
        <v>13000</v>
      </c>
      <c r="H2018" s="5">
        <f t="shared" si="49"/>
        <v>0</v>
      </c>
      <c r="I2018" s="6"/>
      <c r="J2018" s="43"/>
      <c r="K2018" s="51"/>
      <c r="L2018" s="86"/>
    </row>
    <row r="2019" spans="1:12" ht="15" x14ac:dyDescent="0.25">
      <c r="A2019" s="1">
        <v>2010</v>
      </c>
      <c r="B2019" s="1" t="s">
        <v>306</v>
      </c>
      <c r="C2019" s="32" t="s">
        <v>30</v>
      </c>
      <c r="D2019" s="1">
        <v>5000</v>
      </c>
      <c r="E2019" s="1"/>
      <c r="F2019" s="1">
        <v>50</v>
      </c>
      <c r="G2019" s="1">
        <v>5000</v>
      </c>
      <c r="H2019" s="5">
        <f t="shared" si="49"/>
        <v>0</v>
      </c>
      <c r="I2019" s="6"/>
      <c r="J2019" s="43"/>
      <c r="K2019" s="51"/>
      <c r="L2019" s="86"/>
    </row>
    <row r="2020" spans="1:12" ht="15" x14ac:dyDescent="0.25">
      <c r="A2020" s="1">
        <v>2011</v>
      </c>
      <c r="B2020" s="1" t="s">
        <v>306</v>
      </c>
      <c r="C2020" s="32">
        <v>645</v>
      </c>
      <c r="D2020" s="1">
        <v>10000</v>
      </c>
      <c r="E2020" s="1"/>
      <c r="F2020" s="1">
        <v>111</v>
      </c>
      <c r="G2020" s="1">
        <v>10000</v>
      </c>
      <c r="H2020" s="5">
        <f t="shared" si="49"/>
        <v>0</v>
      </c>
      <c r="I2020" s="6"/>
      <c r="J2020" s="43"/>
      <c r="K2020" s="51"/>
      <c r="L2020" s="86"/>
    </row>
    <row r="2021" spans="1:12" ht="15" x14ac:dyDescent="0.25">
      <c r="A2021" s="1">
        <v>2012</v>
      </c>
      <c r="B2021" s="1" t="s">
        <v>306</v>
      </c>
      <c r="C2021" s="32">
        <v>4626</v>
      </c>
      <c r="D2021" s="1">
        <v>13000</v>
      </c>
      <c r="E2021" s="1"/>
      <c r="F2021" s="1">
        <v>144</v>
      </c>
      <c r="G2021" s="1">
        <v>13000</v>
      </c>
      <c r="H2021" s="5">
        <f t="shared" si="49"/>
        <v>0</v>
      </c>
      <c r="I2021" s="6"/>
      <c r="J2021" s="43"/>
      <c r="K2021" s="51"/>
      <c r="L2021" s="86"/>
    </row>
    <row r="2022" spans="1:12" ht="15" x14ac:dyDescent="0.25">
      <c r="A2022" s="1">
        <v>2013</v>
      </c>
      <c r="B2022" s="1" t="s">
        <v>306</v>
      </c>
      <c r="C2022" s="32">
        <v>647</v>
      </c>
      <c r="D2022" s="1">
        <v>13500</v>
      </c>
      <c r="E2022" s="1"/>
      <c r="F2022" s="1">
        <v>150</v>
      </c>
      <c r="G2022" s="1">
        <v>13500</v>
      </c>
      <c r="H2022" s="5">
        <f t="shared" si="49"/>
        <v>0</v>
      </c>
      <c r="I2022" s="6"/>
      <c r="J2022" s="43"/>
      <c r="K2022" s="51"/>
      <c r="L2022" s="86"/>
    </row>
    <row r="2023" spans="1:12" ht="15" x14ac:dyDescent="0.25">
      <c r="A2023" s="1">
        <v>2014</v>
      </c>
      <c r="B2023" s="1" t="s">
        <v>306</v>
      </c>
      <c r="C2023" s="32">
        <v>5687</v>
      </c>
      <c r="D2023" s="1">
        <v>30000</v>
      </c>
      <c r="E2023" s="1"/>
      <c r="F2023" s="1">
        <v>334</v>
      </c>
      <c r="G2023" s="1">
        <v>30000</v>
      </c>
      <c r="H2023" s="5">
        <f t="shared" si="49"/>
        <v>0</v>
      </c>
      <c r="I2023" s="6"/>
      <c r="J2023" s="43"/>
      <c r="K2023" s="51"/>
      <c r="L2023" s="86"/>
    </row>
    <row r="2024" spans="1:12" ht="15" x14ac:dyDescent="0.25">
      <c r="A2024" s="1">
        <v>2015</v>
      </c>
      <c r="B2024" s="1" t="s">
        <v>306</v>
      </c>
      <c r="C2024" s="32">
        <v>9395</v>
      </c>
      <c r="D2024" s="1">
        <v>27000</v>
      </c>
      <c r="E2024" s="1"/>
      <c r="F2024" s="1">
        <v>334</v>
      </c>
      <c r="G2024" s="1">
        <v>27000</v>
      </c>
      <c r="H2024" s="5">
        <f t="shared" si="49"/>
        <v>0</v>
      </c>
      <c r="I2024" s="6"/>
      <c r="J2024" s="43"/>
      <c r="K2024" s="51"/>
      <c r="L2024" s="86"/>
    </row>
    <row r="2025" spans="1:12" ht="15" x14ac:dyDescent="0.25">
      <c r="A2025" s="1">
        <v>2016</v>
      </c>
      <c r="B2025" s="1" t="s">
        <v>306</v>
      </c>
      <c r="C2025" s="32">
        <v>1912</v>
      </c>
      <c r="D2025" s="1">
        <v>10000</v>
      </c>
      <c r="E2025" s="1"/>
      <c r="F2025" s="1">
        <v>111</v>
      </c>
      <c r="G2025" s="1">
        <v>10000</v>
      </c>
      <c r="H2025" s="5">
        <f t="shared" si="49"/>
        <v>0</v>
      </c>
      <c r="I2025" s="6"/>
      <c r="J2025" s="43"/>
      <c r="K2025" s="51"/>
      <c r="L2025" s="86"/>
    </row>
    <row r="2026" spans="1:12" ht="15" x14ac:dyDescent="0.25">
      <c r="A2026" s="1">
        <v>2017</v>
      </c>
      <c r="B2026" s="1" t="s">
        <v>306</v>
      </c>
      <c r="C2026" s="32">
        <v>4968</v>
      </c>
      <c r="D2026" s="1">
        <v>31000</v>
      </c>
      <c r="E2026" s="1"/>
      <c r="F2026" s="1">
        <v>345</v>
      </c>
      <c r="G2026" s="1">
        <v>31000</v>
      </c>
      <c r="H2026" s="5">
        <f t="shared" si="49"/>
        <v>0</v>
      </c>
      <c r="I2026" s="6"/>
      <c r="J2026" s="43"/>
      <c r="K2026" s="51"/>
      <c r="L2026" s="86"/>
    </row>
    <row r="2027" spans="1:12" ht="15" x14ac:dyDescent="0.25">
      <c r="A2027" s="1">
        <v>2018</v>
      </c>
      <c r="B2027" s="1" t="s">
        <v>306</v>
      </c>
      <c r="C2027" s="32">
        <v>8161</v>
      </c>
      <c r="D2027" s="1">
        <v>27000</v>
      </c>
      <c r="E2027" s="1"/>
      <c r="F2027" s="1">
        <v>334</v>
      </c>
      <c r="G2027" s="1">
        <v>27000</v>
      </c>
      <c r="H2027" s="5">
        <f t="shared" si="49"/>
        <v>0</v>
      </c>
      <c r="I2027" s="6"/>
      <c r="J2027" s="43"/>
      <c r="K2027" s="51"/>
      <c r="L2027" s="86"/>
    </row>
    <row r="2028" spans="1:12" ht="15" x14ac:dyDescent="0.25">
      <c r="A2028" s="1">
        <v>2019</v>
      </c>
      <c r="B2028" s="1" t="s">
        <v>306</v>
      </c>
      <c r="C2028" s="32">
        <v>3923</v>
      </c>
      <c r="D2028" s="1">
        <v>15000</v>
      </c>
      <c r="E2028" s="1"/>
      <c r="F2028" s="1">
        <v>167</v>
      </c>
      <c r="G2028" s="1">
        <v>15000</v>
      </c>
      <c r="H2028" s="5">
        <f t="shared" si="49"/>
        <v>0</v>
      </c>
      <c r="I2028" s="6"/>
      <c r="J2028" s="43"/>
      <c r="K2028" s="51"/>
      <c r="L2028" s="86"/>
    </row>
    <row r="2029" spans="1:12" ht="15" x14ac:dyDescent="0.25">
      <c r="A2029" s="1">
        <v>2020</v>
      </c>
      <c r="B2029" s="1" t="s">
        <v>306</v>
      </c>
      <c r="C2029" s="32">
        <v>4579</v>
      </c>
      <c r="D2029" s="1">
        <v>12000</v>
      </c>
      <c r="E2029" s="1"/>
      <c r="F2029" s="1">
        <v>133</v>
      </c>
      <c r="G2029" s="1">
        <v>12000</v>
      </c>
      <c r="H2029" s="5">
        <f t="shared" si="49"/>
        <v>0</v>
      </c>
      <c r="I2029" s="6"/>
      <c r="J2029" s="43"/>
      <c r="K2029" s="51"/>
      <c r="L2029" s="86"/>
    </row>
    <row r="2030" spans="1:12" ht="15" x14ac:dyDescent="0.25">
      <c r="A2030" s="1">
        <v>2021</v>
      </c>
      <c r="B2030" s="1" t="s">
        <v>306</v>
      </c>
      <c r="C2030" s="32">
        <v>7662</v>
      </c>
      <c r="D2030" s="1">
        <v>14000</v>
      </c>
      <c r="E2030" s="1"/>
      <c r="F2030" s="1">
        <v>155</v>
      </c>
      <c r="G2030" s="1">
        <v>14000</v>
      </c>
      <c r="H2030" s="5">
        <f t="shared" si="49"/>
        <v>0</v>
      </c>
      <c r="I2030" s="6"/>
      <c r="J2030" s="43"/>
      <c r="K2030" s="51"/>
      <c r="L2030" s="86"/>
    </row>
    <row r="2031" spans="1:12" ht="15" x14ac:dyDescent="0.25">
      <c r="A2031" s="1">
        <v>2022</v>
      </c>
      <c r="B2031" s="1" t="s">
        <v>306</v>
      </c>
      <c r="C2031" s="32">
        <v>8702</v>
      </c>
      <c r="D2031" s="1">
        <v>24000</v>
      </c>
      <c r="E2031" s="1"/>
      <c r="F2031" s="1">
        <v>267</v>
      </c>
      <c r="G2031" s="1">
        <v>24000</v>
      </c>
      <c r="H2031" s="5">
        <f t="shared" si="49"/>
        <v>0</v>
      </c>
      <c r="I2031" s="6"/>
      <c r="J2031" s="43"/>
      <c r="K2031" s="51"/>
      <c r="L2031" s="86"/>
    </row>
    <row r="2032" spans="1:12" ht="15" x14ac:dyDescent="0.25">
      <c r="A2032" s="1">
        <v>2023</v>
      </c>
      <c r="B2032" s="1" t="s">
        <v>306</v>
      </c>
      <c r="C2032" s="32">
        <v>1000</v>
      </c>
      <c r="D2032" s="1">
        <v>24000</v>
      </c>
      <c r="E2032" s="1"/>
      <c r="F2032" s="1">
        <v>267</v>
      </c>
      <c r="G2032" s="1">
        <v>24000</v>
      </c>
      <c r="H2032" s="5">
        <f t="shared" si="49"/>
        <v>0</v>
      </c>
      <c r="I2032" s="6"/>
      <c r="J2032" s="43"/>
      <c r="K2032" s="51"/>
      <c r="L2032" s="86"/>
    </row>
    <row r="2033" spans="1:12" ht="15" x14ac:dyDescent="0.25">
      <c r="A2033" s="1">
        <v>2024</v>
      </c>
      <c r="B2033" s="1" t="s">
        <v>306</v>
      </c>
      <c r="C2033" s="32">
        <v>4100</v>
      </c>
      <c r="D2033" s="1">
        <v>20000</v>
      </c>
      <c r="E2033" s="1"/>
      <c r="F2033" s="1">
        <v>222</v>
      </c>
      <c r="G2033" s="1">
        <v>20000</v>
      </c>
      <c r="H2033" s="5">
        <f t="shared" si="49"/>
        <v>0</v>
      </c>
      <c r="I2033" s="6"/>
      <c r="J2033" s="43"/>
      <c r="K2033" s="51"/>
      <c r="L2033" s="86"/>
    </row>
    <row r="2034" spans="1:12" ht="15" x14ac:dyDescent="0.25">
      <c r="A2034" s="1">
        <v>2025</v>
      </c>
      <c r="B2034" s="1" t="s">
        <v>306</v>
      </c>
      <c r="C2034" s="32">
        <v>1071</v>
      </c>
      <c r="D2034" s="1">
        <v>25000</v>
      </c>
      <c r="E2034" s="1"/>
      <c r="F2034" s="1">
        <v>278</v>
      </c>
      <c r="G2034" s="1">
        <v>25000</v>
      </c>
      <c r="H2034" s="5">
        <f t="shared" si="49"/>
        <v>0</v>
      </c>
      <c r="I2034" s="6"/>
      <c r="J2034" s="43"/>
      <c r="K2034" s="51"/>
      <c r="L2034" s="86"/>
    </row>
    <row r="2035" spans="1:12" ht="15" x14ac:dyDescent="0.25">
      <c r="A2035" s="1">
        <v>2026</v>
      </c>
      <c r="B2035" s="1" t="s">
        <v>306</v>
      </c>
      <c r="C2035" s="32">
        <v>1657</v>
      </c>
      <c r="D2035" s="1">
        <v>20000</v>
      </c>
      <c r="E2035" s="1"/>
      <c r="F2035" s="1">
        <v>222</v>
      </c>
      <c r="G2035" s="1">
        <v>20000</v>
      </c>
      <c r="H2035" s="5">
        <f t="shared" si="49"/>
        <v>0</v>
      </c>
      <c r="I2035" s="6"/>
      <c r="J2035" s="43"/>
      <c r="K2035" s="51"/>
      <c r="L2035" s="86"/>
    </row>
    <row r="2036" spans="1:12" ht="15" x14ac:dyDescent="0.25">
      <c r="A2036" s="1">
        <v>2027</v>
      </c>
      <c r="B2036" s="1" t="s">
        <v>306</v>
      </c>
      <c r="C2036" s="32">
        <v>9998</v>
      </c>
      <c r="D2036" s="1">
        <v>17000</v>
      </c>
      <c r="E2036" s="1"/>
      <c r="F2036" s="1">
        <v>189</v>
      </c>
      <c r="G2036" s="1">
        <v>17000</v>
      </c>
      <c r="H2036" s="5">
        <f t="shared" si="49"/>
        <v>0</v>
      </c>
      <c r="I2036" s="6"/>
      <c r="J2036" s="43"/>
      <c r="K2036" s="51"/>
      <c r="L2036" s="86"/>
    </row>
    <row r="2037" spans="1:12" ht="15" x14ac:dyDescent="0.25">
      <c r="A2037" s="1">
        <v>2028</v>
      </c>
      <c r="B2037" s="1" t="s">
        <v>306</v>
      </c>
      <c r="C2037" s="32">
        <v>9582</v>
      </c>
      <c r="D2037" s="1">
        <v>10000</v>
      </c>
      <c r="E2037" s="1"/>
      <c r="F2037" s="1">
        <v>111</v>
      </c>
      <c r="G2037" s="1">
        <v>10000</v>
      </c>
      <c r="H2037" s="5">
        <f t="shared" si="49"/>
        <v>0</v>
      </c>
      <c r="I2037" s="6"/>
      <c r="J2037" s="43"/>
      <c r="K2037" s="51"/>
      <c r="L2037" s="86">
        <f>1142094-1134210</f>
        <v>7884</v>
      </c>
    </row>
    <row r="2038" spans="1:12" ht="15" x14ac:dyDescent="0.25">
      <c r="A2038" s="1">
        <v>2029</v>
      </c>
      <c r="B2038" s="1" t="s">
        <v>307</v>
      </c>
      <c r="C2038" s="32">
        <v>398</v>
      </c>
      <c r="D2038" s="1">
        <v>22000</v>
      </c>
      <c r="E2038" s="1"/>
      <c r="F2038" s="1">
        <v>220</v>
      </c>
      <c r="G2038" s="1">
        <v>22000</v>
      </c>
      <c r="H2038" s="5">
        <f t="shared" si="49"/>
        <v>0</v>
      </c>
      <c r="I2038" s="6"/>
      <c r="J2038" s="43"/>
      <c r="K2038" s="51"/>
      <c r="L2038" s="86"/>
    </row>
    <row r="2039" spans="1:12" ht="15" x14ac:dyDescent="0.25">
      <c r="A2039" s="1">
        <v>2030</v>
      </c>
      <c r="B2039" s="1" t="s">
        <v>307</v>
      </c>
      <c r="C2039" s="32">
        <v>2920</v>
      </c>
      <c r="D2039" s="1">
        <v>15000</v>
      </c>
      <c r="E2039" s="1"/>
      <c r="F2039" s="1">
        <v>167</v>
      </c>
      <c r="G2039" s="1">
        <v>15000</v>
      </c>
      <c r="H2039" s="5">
        <f t="shared" si="49"/>
        <v>0</v>
      </c>
      <c r="I2039" s="6"/>
      <c r="J2039" s="43"/>
      <c r="K2039" s="51"/>
      <c r="L2039" s="86"/>
    </row>
    <row r="2040" spans="1:12" ht="15" x14ac:dyDescent="0.25">
      <c r="A2040" s="1">
        <v>2031</v>
      </c>
      <c r="B2040" s="1" t="s">
        <v>307</v>
      </c>
      <c r="C2040" s="32">
        <v>4625</v>
      </c>
      <c r="D2040" s="1">
        <v>13000</v>
      </c>
      <c r="E2040" s="1"/>
      <c r="F2040" s="1">
        <v>144</v>
      </c>
      <c r="G2040" s="1">
        <v>13000</v>
      </c>
      <c r="H2040" s="5">
        <f t="shared" si="49"/>
        <v>0</v>
      </c>
      <c r="I2040" s="6"/>
      <c r="J2040" s="43"/>
      <c r="K2040" s="51"/>
      <c r="L2040" s="86"/>
    </row>
    <row r="2041" spans="1:12" ht="15" x14ac:dyDescent="0.25">
      <c r="A2041" s="1">
        <v>2032</v>
      </c>
      <c r="B2041" s="1" t="s">
        <v>307</v>
      </c>
      <c r="C2041" s="32">
        <v>5145</v>
      </c>
      <c r="D2041" s="1">
        <v>14000</v>
      </c>
      <c r="E2041" s="1"/>
      <c r="F2041" s="1">
        <v>155</v>
      </c>
      <c r="G2041" s="1">
        <v>14000</v>
      </c>
      <c r="H2041" s="5">
        <f t="shared" ref="H2041:H2104" si="50">D2041-G2041</f>
        <v>0</v>
      </c>
      <c r="I2041" s="6"/>
      <c r="J2041" s="43"/>
      <c r="K2041" s="51"/>
      <c r="L2041" s="86"/>
    </row>
    <row r="2042" spans="1:12" ht="15" x14ac:dyDescent="0.25">
      <c r="A2042" s="1">
        <v>2033</v>
      </c>
      <c r="B2042" s="1" t="s">
        <v>307</v>
      </c>
      <c r="C2042" s="32">
        <v>3662</v>
      </c>
      <c r="D2042" s="1">
        <v>16000</v>
      </c>
      <c r="E2042" s="1"/>
      <c r="F2042" s="1">
        <v>178</v>
      </c>
      <c r="G2042" s="1">
        <v>16000</v>
      </c>
      <c r="H2042" s="5">
        <f t="shared" si="50"/>
        <v>0</v>
      </c>
      <c r="I2042" s="6"/>
      <c r="J2042" s="43"/>
      <c r="K2042" s="51"/>
      <c r="L2042" s="86"/>
    </row>
    <row r="2043" spans="1:12" ht="15" x14ac:dyDescent="0.25">
      <c r="A2043" s="1">
        <v>2034</v>
      </c>
      <c r="B2043" s="1" t="s">
        <v>307</v>
      </c>
      <c r="C2043" s="32">
        <v>4624</v>
      </c>
      <c r="D2043" s="1">
        <v>13000</v>
      </c>
      <c r="E2043" s="1"/>
      <c r="F2043" s="1">
        <v>144</v>
      </c>
      <c r="G2043" s="1">
        <v>13000</v>
      </c>
      <c r="H2043" s="5">
        <f t="shared" si="50"/>
        <v>0</v>
      </c>
      <c r="I2043" s="6"/>
      <c r="J2043" s="43"/>
      <c r="K2043" s="51"/>
      <c r="L2043" s="86"/>
    </row>
    <row r="2044" spans="1:12" ht="15" x14ac:dyDescent="0.25">
      <c r="A2044" s="1">
        <v>2035</v>
      </c>
      <c r="B2044" s="1" t="s">
        <v>307</v>
      </c>
      <c r="C2044" s="32">
        <v>4627</v>
      </c>
      <c r="D2044" s="1">
        <v>13000</v>
      </c>
      <c r="E2044" s="1"/>
      <c r="F2044" s="1">
        <v>144</v>
      </c>
      <c r="G2044" s="1">
        <v>13000</v>
      </c>
      <c r="H2044" s="5">
        <f t="shared" si="50"/>
        <v>0</v>
      </c>
      <c r="I2044" s="6"/>
      <c r="J2044" s="43"/>
      <c r="K2044" s="51"/>
      <c r="L2044" s="86"/>
    </row>
    <row r="2045" spans="1:12" ht="15" x14ac:dyDescent="0.25">
      <c r="A2045" s="1">
        <v>2036</v>
      </c>
      <c r="B2045" s="1" t="s">
        <v>307</v>
      </c>
      <c r="C2045" s="32">
        <v>8543</v>
      </c>
      <c r="D2045" s="1">
        <v>5000</v>
      </c>
      <c r="E2045" s="1"/>
      <c r="F2045" s="1">
        <v>55</v>
      </c>
      <c r="G2045" s="1">
        <v>5000</v>
      </c>
      <c r="H2045" s="5">
        <f t="shared" si="50"/>
        <v>0</v>
      </c>
      <c r="I2045" s="6"/>
      <c r="J2045" s="43"/>
      <c r="K2045" s="51"/>
      <c r="L2045" s="86"/>
    </row>
    <row r="2046" spans="1:12" ht="15" x14ac:dyDescent="0.25">
      <c r="A2046" s="1">
        <v>2037</v>
      </c>
      <c r="B2046" s="1" t="s">
        <v>307</v>
      </c>
      <c r="C2046" s="32" t="s">
        <v>30</v>
      </c>
      <c r="D2046" s="1">
        <v>4500</v>
      </c>
      <c r="E2046" s="1"/>
      <c r="F2046" s="1">
        <v>50</v>
      </c>
      <c r="G2046" s="1">
        <v>4500</v>
      </c>
      <c r="H2046" s="5">
        <f t="shared" si="50"/>
        <v>0</v>
      </c>
      <c r="I2046" s="6"/>
      <c r="J2046" s="43"/>
      <c r="K2046" s="51"/>
      <c r="L2046" s="86"/>
    </row>
    <row r="2047" spans="1:12" ht="15" x14ac:dyDescent="0.25">
      <c r="A2047" s="1">
        <v>2038</v>
      </c>
      <c r="B2047" s="1" t="s">
        <v>307</v>
      </c>
      <c r="C2047" s="32">
        <v>1611</v>
      </c>
      <c r="D2047" s="1">
        <v>22000</v>
      </c>
      <c r="E2047" s="1"/>
      <c r="F2047" s="1">
        <v>222</v>
      </c>
      <c r="G2047" s="1">
        <v>22000</v>
      </c>
      <c r="H2047" s="5">
        <f t="shared" si="50"/>
        <v>0</v>
      </c>
      <c r="I2047" s="6"/>
      <c r="J2047" s="43"/>
      <c r="K2047" s="51"/>
      <c r="L2047" s="86"/>
    </row>
    <row r="2048" spans="1:12" ht="15" x14ac:dyDescent="0.25">
      <c r="A2048" s="1">
        <v>2039</v>
      </c>
      <c r="B2048" s="1" t="s">
        <v>307</v>
      </c>
      <c r="C2048" s="32">
        <v>9148</v>
      </c>
      <c r="D2048" s="1">
        <v>20000</v>
      </c>
      <c r="E2048" s="1"/>
      <c r="F2048" s="1">
        <v>222</v>
      </c>
      <c r="G2048" s="1">
        <v>20000</v>
      </c>
      <c r="H2048" s="5">
        <f t="shared" si="50"/>
        <v>0</v>
      </c>
      <c r="I2048" s="6"/>
      <c r="J2048" s="43"/>
      <c r="K2048" s="51"/>
      <c r="L2048" s="86"/>
    </row>
    <row r="2049" spans="1:12" ht="15" x14ac:dyDescent="0.25">
      <c r="A2049" s="1">
        <v>2040</v>
      </c>
      <c r="B2049" s="1" t="s">
        <v>307</v>
      </c>
      <c r="C2049" s="32">
        <v>2995</v>
      </c>
      <c r="D2049" s="1">
        <v>14000</v>
      </c>
      <c r="E2049" s="1"/>
      <c r="F2049" s="1">
        <v>155</v>
      </c>
      <c r="G2049" s="1">
        <v>14000</v>
      </c>
      <c r="H2049" s="5">
        <f t="shared" si="50"/>
        <v>0</v>
      </c>
      <c r="I2049" s="6"/>
      <c r="J2049" s="43"/>
      <c r="K2049" s="51"/>
      <c r="L2049" s="86"/>
    </row>
    <row r="2050" spans="1:12" ht="15" x14ac:dyDescent="0.25">
      <c r="A2050" s="1">
        <v>2041</v>
      </c>
      <c r="B2050" s="1" t="s">
        <v>307</v>
      </c>
      <c r="C2050" s="32">
        <v>5920</v>
      </c>
      <c r="D2050" s="1">
        <v>15000</v>
      </c>
      <c r="E2050" s="1"/>
      <c r="F2050" s="1">
        <v>167</v>
      </c>
      <c r="G2050" s="1">
        <v>15000</v>
      </c>
      <c r="H2050" s="5">
        <f t="shared" si="50"/>
        <v>0</v>
      </c>
      <c r="I2050" s="6"/>
      <c r="J2050" s="43"/>
      <c r="K2050" s="51"/>
      <c r="L2050" s="86"/>
    </row>
    <row r="2051" spans="1:12" ht="15" x14ac:dyDescent="0.25">
      <c r="A2051" s="1">
        <v>2042</v>
      </c>
      <c r="B2051" s="1" t="s">
        <v>307</v>
      </c>
      <c r="C2051" s="32" t="s">
        <v>63</v>
      </c>
      <c r="D2051" s="1">
        <v>2905</v>
      </c>
      <c r="E2051" s="1"/>
      <c r="F2051" s="1">
        <v>32</v>
      </c>
      <c r="G2051" s="1">
        <v>2905</v>
      </c>
      <c r="H2051" s="5">
        <f t="shared" si="50"/>
        <v>0</v>
      </c>
      <c r="I2051" s="6"/>
      <c r="J2051" s="43"/>
      <c r="K2051" s="51"/>
      <c r="L2051" s="86"/>
    </row>
    <row r="2052" spans="1:12" ht="15" x14ac:dyDescent="0.25">
      <c r="A2052" s="1">
        <v>2043</v>
      </c>
      <c r="B2052" s="1" t="s">
        <v>307</v>
      </c>
      <c r="C2052" s="32">
        <v>4809</v>
      </c>
      <c r="D2052" s="1">
        <v>4000</v>
      </c>
      <c r="E2052" s="1"/>
      <c r="F2052" s="1">
        <v>44</v>
      </c>
      <c r="G2052" s="1">
        <v>4000</v>
      </c>
      <c r="H2052" s="5">
        <f t="shared" si="50"/>
        <v>0</v>
      </c>
      <c r="I2052" s="6"/>
      <c r="J2052" s="43"/>
      <c r="K2052" s="51"/>
      <c r="L2052" s="86"/>
    </row>
    <row r="2053" spans="1:12" ht="15" x14ac:dyDescent="0.25">
      <c r="A2053" s="1">
        <v>2044</v>
      </c>
      <c r="B2053" s="1" t="s">
        <v>307</v>
      </c>
      <c r="C2053" s="32">
        <v>3912</v>
      </c>
      <c r="D2053" s="1">
        <v>15000</v>
      </c>
      <c r="E2053" s="1"/>
      <c r="F2053" s="1">
        <v>167</v>
      </c>
      <c r="G2053" s="1">
        <v>15000</v>
      </c>
      <c r="H2053" s="5">
        <f t="shared" si="50"/>
        <v>0</v>
      </c>
      <c r="I2053" s="6"/>
      <c r="J2053" s="43"/>
      <c r="K2053" s="51"/>
      <c r="L2053" s="86"/>
    </row>
    <row r="2054" spans="1:12" ht="15" x14ac:dyDescent="0.25">
      <c r="A2054" s="1">
        <v>2045</v>
      </c>
      <c r="B2054" s="1" t="s">
        <v>307</v>
      </c>
      <c r="C2054" s="32" t="s">
        <v>66</v>
      </c>
      <c r="D2054" s="1">
        <v>200</v>
      </c>
      <c r="E2054" s="1"/>
      <c r="F2054" s="1">
        <v>2.0499999999999998</v>
      </c>
      <c r="G2054" s="1">
        <v>200</v>
      </c>
      <c r="H2054" s="5">
        <f t="shared" si="50"/>
        <v>0</v>
      </c>
      <c r="I2054" s="6"/>
      <c r="J2054" s="43"/>
      <c r="K2054" s="51"/>
      <c r="L2054" s="86"/>
    </row>
    <row r="2055" spans="1:12" ht="15" x14ac:dyDescent="0.25">
      <c r="A2055" s="1">
        <v>2046</v>
      </c>
      <c r="B2055" s="1" t="s">
        <v>307</v>
      </c>
      <c r="C2055" s="32">
        <v>4839</v>
      </c>
      <c r="D2055" s="1">
        <v>10000</v>
      </c>
      <c r="E2055" s="1"/>
      <c r="F2055" s="1">
        <v>111</v>
      </c>
      <c r="G2055" s="1">
        <v>10000</v>
      </c>
      <c r="H2055" s="5">
        <f t="shared" si="50"/>
        <v>0</v>
      </c>
      <c r="I2055" s="6"/>
      <c r="J2055" s="43"/>
      <c r="K2055" s="51"/>
      <c r="L2055" s="86"/>
    </row>
    <row r="2056" spans="1:12" ht="15" x14ac:dyDescent="0.25">
      <c r="A2056" s="1">
        <v>2047</v>
      </c>
      <c r="B2056" s="1" t="s">
        <v>307</v>
      </c>
      <c r="C2056" s="32">
        <v>536</v>
      </c>
      <c r="D2056" s="1">
        <v>31000</v>
      </c>
      <c r="E2056" s="1"/>
      <c r="F2056" s="1">
        <v>345</v>
      </c>
      <c r="G2056" s="1">
        <v>31000</v>
      </c>
      <c r="H2056" s="5">
        <f t="shared" si="50"/>
        <v>0</v>
      </c>
      <c r="I2056" s="6"/>
      <c r="J2056" s="43"/>
      <c r="K2056" s="51"/>
      <c r="L2056" s="86"/>
    </row>
    <row r="2057" spans="1:12" ht="15" x14ac:dyDescent="0.25">
      <c r="A2057" s="1">
        <v>2048</v>
      </c>
      <c r="B2057" s="1" t="s">
        <v>307</v>
      </c>
      <c r="C2057" s="32">
        <v>3444</v>
      </c>
      <c r="D2057" s="1">
        <v>23000</v>
      </c>
      <c r="E2057" s="1"/>
      <c r="F2057" s="1">
        <v>305</v>
      </c>
      <c r="G2057" s="1">
        <v>23000</v>
      </c>
      <c r="H2057" s="5">
        <f t="shared" si="50"/>
        <v>0</v>
      </c>
      <c r="I2057" s="6"/>
      <c r="J2057" s="43"/>
      <c r="K2057" s="51"/>
      <c r="L2057" s="86"/>
    </row>
    <row r="2058" spans="1:12" ht="15" x14ac:dyDescent="0.25">
      <c r="A2058" s="1">
        <v>2049</v>
      </c>
      <c r="B2058" s="1" t="s">
        <v>307</v>
      </c>
      <c r="C2058" s="32">
        <v>9015</v>
      </c>
      <c r="D2058" s="1">
        <v>10000</v>
      </c>
      <c r="E2058" s="1"/>
      <c r="F2058" s="1">
        <v>111</v>
      </c>
      <c r="G2058" s="1">
        <v>10000</v>
      </c>
      <c r="H2058" s="5">
        <f t="shared" si="50"/>
        <v>0</v>
      </c>
      <c r="I2058" s="6"/>
      <c r="J2058" s="43"/>
      <c r="K2058" s="51"/>
      <c r="L2058" s="86"/>
    </row>
    <row r="2059" spans="1:12" ht="15" x14ac:dyDescent="0.25">
      <c r="A2059" s="1">
        <v>2050</v>
      </c>
      <c r="B2059" s="1" t="s">
        <v>307</v>
      </c>
      <c r="C2059" s="32">
        <v>6867</v>
      </c>
      <c r="D2059" s="1">
        <v>24000</v>
      </c>
      <c r="E2059" s="1"/>
      <c r="F2059" s="1">
        <v>267</v>
      </c>
      <c r="G2059" s="1">
        <v>24000</v>
      </c>
      <c r="H2059" s="5">
        <f t="shared" si="50"/>
        <v>0</v>
      </c>
      <c r="I2059" s="6"/>
      <c r="J2059" s="43"/>
      <c r="K2059" s="51"/>
      <c r="L2059" s="86"/>
    </row>
    <row r="2060" spans="1:12" ht="15" x14ac:dyDescent="0.25">
      <c r="A2060" s="1">
        <v>2051</v>
      </c>
      <c r="B2060" s="1" t="s">
        <v>307</v>
      </c>
      <c r="C2060" s="32">
        <v>9293</v>
      </c>
      <c r="D2060" s="1">
        <v>31000</v>
      </c>
      <c r="E2060" s="1"/>
      <c r="F2060" s="1">
        <v>345</v>
      </c>
      <c r="G2060" s="1">
        <v>31000</v>
      </c>
      <c r="H2060" s="5">
        <f t="shared" si="50"/>
        <v>0</v>
      </c>
      <c r="I2060" s="6"/>
      <c r="J2060" s="43"/>
      <c r="K2060" s="51"/>
      <c r="L2060" s="86">
        <f>1080639-1071815</f>
        <v>8824</v>
      </c>
    </row>
    <row r="2061" spans="1:12" ht="15" x14ac:dyDescent="0.25">
      <c r="A2061" s="1">
        <v>2052</v>
      </c>
      <c r="B2061" s="1" t="s">
        <v>308</v>
      </c>
      <c r="C2061" s="32">
        <v>3672</v>
      </c>
      <c r="D2061" s="1">
        <v>15000</v>
      </c>
      <c r="E2061" s="1"/>
      <c r="F2061" s="1">
        <v>167</v>
      </c>
      <c r="G2061" s="1">
        <v>15000</v>
      </c>
      <c r="H2061" s="5">
        <f t="shared" si="50"/>
        <v>0</v>
      </c>
      <c r="I2061" s="6"/>
      <c r="J2061" s="43"/>
      <c r="K2061" s="51"/>
      <c r="L2061" s="86"/>
    </row>
    <row r="2062" spans="1:12" ht="15" x14ac:dyDescent="0.25">
      <c r="A2062" s="1">
        <v>2053</v>
      </c>
      <c r="B2062" s="1" t="s">
        <v>308</v>
      </c>
      <c r="C2062" s="32">
        <v>4626</v>
      </c>
      <c r="D2062" s="1">
        <v>15000</v>
      </c>
      <c r="E2062" s="1"/>
      <c r="F2062" s="1">
        <v>167</v>
      </c>
      <c r="G2062" s="1">
        <v>15000</v>
      </c>
      <c r="H2062" s="5">
        <f t="shared" si="50"/>
        <v>0</v>
      </c>
      <c r="I2062" s="6"/>
      <c r="J2062" s="43"/>
      <c r="K2062" s="51"/>
      <c r="L2062" s="86"/>
    </row>
    <row r="2063" spans="1:12" ht="15" x14ac:dyDescent="0.25">
      <c r="A2063" s="1">
        <v>2054</v>
      </c>
      <c r="B2063" s="1" t="s">
        <v>308</v>
      </c>
      <c r="C2063" s="32" t="s">
        <v>30</v>
      </c>
      <c r="D2063" s="1">
        <v>5000</v>
      </c>
      <c r="E2063" s="1"/>
      <c r="F2063" s="1">
        <v>55.13</v>
      </c>
      <c r="G2063" s="1">
        <v>5000</v>
      </c>
      <c r="H2063" s="5">
        <f t="shared" si="50"/>
        <v>0</v>
      </c>
      <c r="I2063" s="6"/>
      <c r="J2063" s="43"/>
      <c r="K2063" s="51"/>
      <c r="L2063" s="86"/>
    </row>
    <row r="2064" spans="1:12" ht="15" x14ac:dyDescent="0.25">
      <c r="A2064" s="1">
        <v>2055</v>
      </c>
      <c r="B2064" s="1" t="s">
        <v>308</v>
      </c>
      <c r="C2064" s="32">
        <v>5260</v>
      </c>
      <c r="D2064" s="1">
        <v>23000</v>
      </c>
      <c r="E2064" s="1"/>
      <c r="F2064" s="1">
        <v>250</v>
      </c>
      <c r="G2064" s="1">
        <v>23000</v>
      </c>
      <c r="H2064" s="5">
        <f t="shared" si="50"/>
        <v>0</v>
      </c>
      <c r="I2064" s="6"/>
      <c r="J2064" s="43"/>
      <c r="K2064" s="51"/>
      <c r="L2064" s="86"/>
    </row>
    <row r="2065" spans="1:12" ht="15" x14ac:dyDescent="0.25">
      <c r="A2065" s="1">
        <v>2056</v>
      </c>
      <c r="B2065" s="1" t="s">
        <v>308</v>
      </c>
      <c r="C2065" s="32">
        <v>189</v>
      </c>
      <c r="D2065" s="1">
        <v>25000</v>
      </c>
      <c r="E2065" s="1"/>
      <c r="F2065" s="1">
        <v>278</v>
      </c>
      <c r="G2065" s="1">
        <v>25000</v>
      </c>
      <c r="H2065" s="5">
        <f t="shared" si="50"/>
        <v>0</v>
      </c>
      <c r="I2065" s="6"/>
      <c r="J2065" s="43"/>
      <c r="K2065" s="51"/>
      <c r="L2065" s="86"/>
    </row>
    <row r="2066" spans="1:12" ht="15" x14ac:dyDescent="0.25">
      <c r="A2066" s="1">
        <v>2057</v>
      </c>
      <c r="B2066" s="1" t="s">
        <v>308</v>
      </c>
      <c r="C2066" s="32">
        <v>5072</v>
      </c>
      <c r="D2066" s="1">
        <v>25000</v>
      </c>
      <c r="E2066" s="1"/>
      <c r="F2066" s="1">
        <v>278</v>
      </c>
      <c r="G2066" s="1">
        <v>25000</v>
      </c>
      <c r="H2066" s="5">
        <f t="shared" si="50"/>
        <v>0</v>
      </c>
      <c r="I2066" s="6"/>
      <c r="J2066" s="43"/>
      <c r="K2066" s="51"/>
      <c r="L2066" s="86">
        <f>896191-879815</f>
        <v>16376</v>
      </c>
    </row>
    <row r="2067" spans="1:12" ht="15" x14ac:dyDescent="0.25">
      <c r="A2067" s="1">
        <v>2058</v>
      </c>
      <c r="B2067" s="1" t="s">
        <v>309</v>
      </c>
      <c r="C2067" s="32" t="s">
        <v>30</v>
      </c>
      <c r="D2067" s="1">
        <v>4500</v>
      </c>
      <c r="E2067" s="1"/>
      <c r="F2067" s="1">
        <v>50.13</v>
      </c>
      <c r="G2067" s="1">
        <v>4500</v>
      </c>
      <c r="H2067" s="5">
        <f t="shared" si="50"/>
        <v>0</v>
      </c>
      <c r="I2067" s="6"/>
      <c r="J2067" s="43"/>
      <c r="K2067" s="51"/>
      <c r="L2067" s="86"/>
    </row>
    <row r="2068" spans="1:12" ht="15" x14ac:dyDescent="0.25">
      <c r="A2068" s="1">
        <v>2059</v>
      </c>
      <c r="B2068" s="1" t="s">
        <v>309</v>
      </c>
      <c r="C2068" s="32">
        <v>4237</v>
      </c>
      <c r="D2068" s="1">
        <v>25000</v>
      </c>
      <c r="E2068" s="1"/>
      <c r="F2068" s="1">
        <v>278</v>
      </c>
      <c r="G2068" s="1">
        <v>25000</v>
      </c>
      <c r="H2068" s="5">
        <f t="shared" si="50"/>
        <v>0</v>
      </c>
      <c r="I2068" s="6"/>
      <c r="J2068" s="43"/>
      <c r="K2068" s="51"/>
      <c r="L2068" s="86"/>
    </row>
    <row r="2069" spans="1:12" ht="15" x14ac:dyDescent="0.25">
      <c r="A2069" s="1">
        <v>2060</v>
      </c>
      <c r="B2069" s="1" t="s">
        <v>309</v>
      </c>
      <c r="C2069" s="32">
        <v>8454</v>
      </c>
      <c r="D2069" s="1">
        <v>27000</v>
      </c>
      <c r="E2069" s="1"/>
      <c r="F2069" s="1">
        <v>334</v>
      </c>
      <c r="G2069" s="1">
        <v>27000</v>
      </c>
      <c r="H2069" s="5">
        <f t="shared" si="50"/>
        <v>0</v>
      </c>
      <c r="I2069" s="6"/>
      <c r="J2069" s="43"/>
      <c r="K2069" s="51"/>
      <c r="L2069" s="86"/>
    </row>
    <row r="2070" spans="1:12" ht="15" x14ac:dyDescent="0.25">
      <c r="A2070" s="1">
        <v>2061</v>
      </c>
      <c r="B2070" s="1" t="s">
        <v>309</v>
      </c>
      <c r="C2070" s="32">
        <v>7562</v>
      </c>
      <c r="D2070" s="1">
        <v>27000</v>
      </c>
      <c r="E2070" s="1"/>
      <c r="F2070" s="1">
        <v>334</v>
      </c>
      <c r="G2070" s="1">
        <v>27000</v>
      </c>
      <c r="H2070" s="5">
        <f t="shared" si="50"/>
        <v>0</v>
      </c>
      <c r="I2070" s="6"/>
      <c r="J2070" s="43"/>
      <c r="K2070" s="51"/>
      <c r="L2070" s="86"/>
    </row>
    <row r="2071" spans="1:12" ht="15" x14ac:dyDescent="0.25">
      <c r="A2071" s="1">
        <v>2062</v>
      </c>
      <c r="B2071" s="1" t="s">
        <v>309</v>
      </c>
      <c r="C2071" s="32">
        <v>7077</v>
      </c>
      <c r="D2071" s="1">
        <v>20000</v>
      </c>
      <c r="E2071" s="1"/>
      <c r="F2071" s="1">
        <v>222</v>
      </c>
      <c r="G2071" s="1">
        <v>20000</v>
      </c>
      <c r="H2071" s="5">
        <f t="shared" si="50"/>
        <v>0</v>
      </c>
      <c r="I2071" s="6"/>
      <c r="J2071" s="43"/>
      <c r="K2071" s="51"/>
      <c r="L2071" s="86"/>
    </row>
    <row r="2072" spans="1:12" ht="15" x14ac:dyDescent="0.25">
      <c r="A2072" s="1">
        <v>2063</v>
      </c>
      <c r="B2072" s="1" t="s">
        <v>309</v>
      </c>
      <c r="C2072" s="32">
        <v>4575</v>
      </c>
      <c r="D2072" s="1">
        <v>13000</v>
      </c>
      <c r="E2072" s="1"/>
      <c r="F2072" s="1">
        <v>144</v>
      </c>
      <c r="G2072" s="1">
        <v>13000</v>
      </c>
      <c r="H2072" s="5">
        <f t="shared" si="50"/>
        <v>0</v>
      </c>
      <c r="I2072" s="6"/>
      <c r="J2072" s="43"/>
      <c r="K2072" s="51"/>
      <c r="L2072" s="86"/>
    </row>
    <row r="2073" spans="1:12" ht="15" x14ac:dyDescent="0.25">
      <c r="A2073" s="1">
        <v>2064</v>
      </c>
      <c r="B2073" s="1" t="s">
        <v>309</v>
      </c>
      <c r="C2073" s="32">
        <v>8565</v>
      </c>
      <c r="D2073" s="1">
        <v>13000</v>
      </c>
      <c r="E2073" s="1"/>
      <c r="F2073" s="1">
        <v>144</v>
      </c>
      <c r="G2073" s="1">
        <v>13000</v>
      </c>
      <c r="H2073" s="5">
        <f t="shared" si="50"/>
        <v>0</v>
      </c>
      <c r="I2073" s="6"/>
      <c r="J2073" s="43"/>
      <c r="K2073" s="51"/>
      <c r="L2073" s="86"/>
    </row>
    <row r="2074" spans="1:12" ht="15" x14ac:dyDescent="0.25">
      <c r="A2074" s="1">
        <v>2065</v>
      </c>
      <c r="B2074" s="1" t="s">
        <v>309</v>
      </c>
      <c r="C2074" s="32">
        <v>8595</v>
      </c>
      <c r="D2074" s="1">
        <v>13000</v>
      </c>
      <c r="E2074" s="1"/>
      <c r="F2074" s="1">
        <v>144</v>
      </c>
      <c r="G2074" s="1">
        <v>13000</v>
      </c>
      <c r="H2074" s="5">
        <f t="shared" si="50"/>
        <v>0</v>
      </c>
      <c r="I2074" s="6"/>
      <c r="J2074" s="43"/>
      <c r="K2074" s="51"/>
      <c r="L2074" s="86"/>
    </row>
    <row r="2075" spans="1:12" ht="15" x14ac:dyDescent="0.25">
      <c r="A2075" s="1">
        <v>2066</v>
      </c>
      <c r="B2075" s="1" t="s">
        <v>309</v>
      </c>
      <c r="C2075" s="32">
        <v>5750</v>
      </c>
      <c r="D2075" s="1">
        <v>20000</v>
      </c>
      <c r="E2075" s="1"/>
      <c r="F2075" s="1">
        <v>222</v>
      </c>
      <c r="G2075" s="1">
        <v>20000</v>
      </c>
      <c r="H2075" s="5">
        <f t="shared" si="50"/>
        <v>0</v>
      </c>
      <c r="I2075" s="6"/>
      <c r="J2075" s="43"/>
      <c r="K2075" s="51"/>
      <c r="L2075" s="86"/>
    </row>
    <row r="2076" spans="1:12" ht="15" x14ac:dyDescent="0.25">
      <c r="A2076" s="1">
        <v>2067</v>
      </c>
      <c r="B2076" s="1" t="s">
        <v>309</v>
      </c>
      <c r="C2076" s="32">
        <v>2829</v>
      </c>
      <c r="D2076" s="1">
        <v>17000</v>
      </c>
      <c r="E2076" s="1"/>
      <c r="F2076" s="1">
        <v>189</v>
      </c>
      <c r="G2076" s="1">
        <v>17000</v>
      </c>
      <c r="H2076" s="5">
        <f t="shared" si="50"/>
        <v>0</v>
      </c>
      <c r="I2076" s="6"/>
      <c r="J2076" s="43"/>
      <c r="K2076" s="51"/>
      <c r="L2076" s="86"/>
    </row>
    <row r="2077" spans="1:12" ht="15" x14ac:dyDescent="0.25">
      <c r="A2077" s="1">
        <v>2068</v>
      </c>
      <c r="B2077" s="1" t="s">
        <v>309</v>
      </c>
      <c r="C2077" s="32">
        <v>6782</v>
      </c>
      <c r="D2077" s="1">
        <v>23000</v>
      </c>
      <c r="E2077" s="1"/>
      <c r="F2077" s="1">
        <v>256</v>
      </c>
      <c r="G2077" s="1">
        <v>23000</v>
      </c>
      <c r="H2077" s="5">
        <f t="shared" si="50"/>
        <v>0</v>
      </c>
      <c r="I2077" s="6"/>
      <c r="J2077" s="43"/>
      <c r="K2077" s="51"/>
      <c r="L2077" s="86"/>
    </row>
    <row r="2078" spans="1:12" ht="15" x14ac:dyDescent="0.25">
      <c r="A2078" s="1">
        <v>2069</v>
      </c>
      <c r="B2078" s="1" t="s">
        <v>309</v>
      </c>
      <c r="C2078" s="32">
        <v>672</v>
      </c>
      <c r="D2078" s="1">
        <v>30000</v>
      </c>
      <c r="E2078" s="1"/>
      <c r="F2078" s="1">
        <v>334</v>
      </c>
      <c r="G2078" s="1">
        <v>30000</v>
      </c>
      <c r="H2078" s="5">
        <f t="shared" si="50"/>
        <v>0</v>
      </c>
      <c r="I2078" s="6"/>
      <c r="J2078" s="43"/>
      <c r="K2078" s="51"/>
      <c r="L2078" s="86"/>
    </row>
    <row r="2079" spans="1:12" ht="15" x14ac:dyDescent="0.25">
      <c r="A2079" s="1">
        <v>2070</v>
      </c>
      <c r="B2079" s="1" t="s">
        <v>309</v>
      </c>
      <c r="C2079" s="32">
        <v>4159</v>
      </c>
      <c r="D2079" s="1">
        <v>19000</v>
      </c>
      <c r="E2079" s="1"/>
      <c r="F2079" s="1">
        <v>211</v>
      </c>
      <c r="G2079" s="1">
        <v>19000</v>
      </c>
      <c r="H2079" s="5">
        <f t="shared" si="50"/>
        <v>0</v>
      </c>
      <c r="I2079" s="6"/>
      <c r="J2079" s="43"/>
      <c r="K2079" s="51"/>
      <c r="L2079" s="86"/>
    </row>
    <row r="2080" spans="1:12" ht="15" x14ac:dyDescent="0.25">
      <c r="A2080" s="1">
        <v>2071</v>
      </c>
      <c r="B2080" s="1" t="s">
        <v>310</v>
      </c>
      <c r="C2080" s="32">
        <v>5147</v>
      </c>
      <c r="D2080" s="1">
        <v>16000</v>
      </c>
      <c r="E2080" s="1"/>
      <c r="F2080" s="1">
        <v>178.25</v>
      </c>
      <c r="G2080" s="1">
        <v>16000</v>
      </c>
      <c r="H2080" s="5">
        <f t="shared" si="50"/>
        <v>0</v>
      </c>
      <c r="I2080" s="6"/>
      <c r="J2080" s="43"/>
      <c r="K2080" s="51"/>
      <c r="L2080" s="86"/>
    </row>
    <row r="2081" spans="1:12" ht="15" x14ac:dyDescent="0.25">
      <c r="A2081" s="1">
        <v>2072</v>
      </c>
      <c r="B2081" s="1" t="s">
        <v>310</v>
      </c>
      <c r="C2081" s="32">
        <v>5145</v>
      </c>
      <c r="D2081" s="1">
        <v>16000</v>
      </c>
      <c r="E2081" s="1"/>
      <c r="F2081" s="1">
        <v>178.25</v>
      </c>
      <c r="G2081" s="1">
        <v>16000</v>
      </c>
      <c r="H2081" s="5">
        <f t="shared" si="50"/>
        <v>0</v>
      </c>
      <c r="I2081" s="6"/>
      <c r="J2081" s="43"/>
      <c r="K2081" s="51"/>
      <c r="L2081" s="86"/>
    </row>
    <row r="2082" spans="1:12" ht="15" x14ac:dyDescent="0.25">
      <c r="A2082" s="1">
        <v>2073</v>
      </c>
      <c r="B2082" s="1" t="s">
        <v>310</v>
      </c>
      <c r="C2082" s="32">
        <v>915</v>
      </c>
      <c r="D2082" s="1">
        <v>13000</v>
      </c>
      <c r="E2082" s="1"/>
      <c r="F2082" s="1">
        <v>144</v>
      </c>
      <c r="G2082" s="1">
        <v>13000</v>
      </c>
      <c r="H2082" s="5">
        <f t="shared" si="50"/>
        <v>0</v>
      </c>
      <c r="I2082" s="6"/>
      <c r="J2082" s="43"/>
      <c r="K2082" s="51"/>
      <c r="L2082" s="86"/>
    </row>
    <row r="2083" spans="1:12" ht="15" x14ac:dyDescent="0.25">
      <c r="A2083" s="1">
        <v>2074</v>
      </c>
      <c r="B2083" s="1" t="s">
        <v>310</v>
      </c>
      <c r="C2083" s="32" t="s">
        <v>63</v>
      </c>
      <c r="D2083" s="1">
        <v>3500</v>
      </c>
      <c r="E2083" s="1"/>
      <c r="F2083" s="1">
        <v>38.950000000000003</v>
      </c>
      <c r="G2083" s="1">
        <v>3500</v>
      </c>
      <c r="H2083" s="5">
        <f t="shared" si="50"/>
        <v>0</v>
      </c>
      <c r="I2083" s="6"/>
      <c r="J2083" s="43"/>
      <c r="K2083" s="51"/>
      <c r="L2083" s="86"/>
    </row>
    <row r="2084" spans="1:12" ht="15" x14ac:dyDescent="0.25">
      <c r="A2084" s="1">
        <v>2075</v>
      </c>
      <c r="B2084" s="1" t="s">
        <v>310</v>
      </c>
      <c r="C2084" s="32">
        <v>1405</v>
      </c>
      <c r="D2084" s="1">
        <v>13500</v>
      </c>
      <c r="E2084" s="1"/>
      <c r="F2084" s="1">
        <v>150</v>
      </c>
      <c r="G2084" s="1">
        <v>13500</v>
      </c>
      <c r="H2084" s="5">
        <f t="shared" si="50"/>
        <v>0</v>
      </c>
      <c r="I2084" s="6"/>
      <c r="J2084" s="43"/>
      <c r="K2084" s="51"/>
      <c r="L2084" s="86"/>
    </row>
    <row r="2085" spans="1:12" ht="15" x14ac:dyDescent="0.25">
      <c r="A2085" s="1">
        <v>2076</v>
      </c>
      <c r="B2085" s="1" t="s">
        <v>310</v>
      </c>
      <c r="C2085" s="32">
        <v>2621</v>
      </c>
      <c r="D2085" s="1">
        <v>5000</v>
      </c>
      <c r="E2085" s="1"/>
      <c r="F2085" s="1">
        <v>55.13</v>
      </c>
      <c r="G2085" s="1">
        <v>5000</v>
      </c>
      <c r="H2085" s="5">
        <f t="shared" si="50"/>
        <v>0</v>
      </c>
      <c r="I2085" s="6"/>
      <c r="J2085" s="43"/>
      <c r="K2085" s="51"/>
      <c r="L2085" s="86"/>
    </row>
    <row r="2086" spans="1:12" ht="15" x14ac:dyDescent="0.25">
      <c r="A2086" s="1">
        <v>2077</v>
      </c>
      <c r="B2086" s="1" t="s">
        <v>310</v>
      </c>
      <c r="C2086" s="32">
        <v>6946</v>
      </c>
      <c r="D2086" s="1">
        <v>20000</v>
      </c>
      <c r="E2086" s="1"/>
      <c r="F2086" s="1">
        <v>222</v>
      </c>
      <c r="G2086" s="1">
        <v>20000</v>
      </c>
      <c r="H2086" s="5">
        <f t="shared" si="50"/>
        <v>0</v>
      </c>
      <c r="I2086" s="6"/>
      <c r="J2086" s="43"/>
      <c r="K2086" s="51"/>
      <c r="L2086" s="86"/>
    </row>
    <row r="2087" spans="1:12" ht="15" x14ac:dyDescent="0.25">
      <c r="A2087" s="1">
        <v>2078</v>
      </c>
      <c r="B2087" s="1" t="s">
        <v>310</v>
      </c>
      <c r="C2087" s="32">
        <v>9968</v>
      </c>
      <c r="D2087" s="1">
        <v>7000</v>
      </c>
      <c r="E2087" s="1"/>
      <c r="F2087" s="1">
        <v>77.989999999999995</v>
      </c>
      <c r="G2087" s="1">
        <v>7000</v>
      </c>
      <c r="H2087" s="5">
        <f t="shared" si="50"/>
        <v>0</v>
      </c>
      <c r="I2087" s="6"/>
      <c r="J2087" s="43"/>
      <c r="K2087" s="51"/>
      <c r="L2087" s="86"/>
    </row>
    <row r="2088" spans="1:12" ht="15" x14ac:dyDescent="0.25">
      <c r="A2088" s="1">
        <v>2079</v>
      </c>
      <c r="B2088" s="1" t="s">
        <v>310</v>
      </c>
      <c r="C2088" s="32">
        <v>21</v>
      </c>
      <c r="D2088" s="1">
        <v>8000</v>
      </c>
      <c r="E2088" s="1"/>
      <c r="F2088" s="1">
        <v>89.13</v>
      </c>
      <c r="G2088" s="1">
        <v>8000</v>
      </c>
      <c r="H2088" s="5">
        <f t="shared" si="50"/>
        <v>0</v>
      </c>
      <c r="I2088" s="6"/>
      <c r="J2088" s="43"/>
      <c r="K2088" s="51"/>
      <c r="L2088" s="86"/>
    </row>
    <row r="2089" spans="1:12" ht="15" x14ac:dyDescent="0.25">
      <c r="A2089" s="1">
        <v>2080</v>
      </c>
      <c r="B2089" s="1" t="s">
        <v>310</v>
      </c>
      <c r="C2089" s="32">
        <v>4485</v>
      </c>
      <c r="D2089" s="1">
        <v>15000</v>
      </c>
      <c r="E2089" s="1"/>
      <c r="F2089" s="1">
        <v>167.41</v>
      </c>
      <c r="G2089" s="1">
        <v>15000</v>
      </c>
      <c r="H2089" s="5">
        <f t="shared" si="50"/>
        <v>0</v>
      </c>
      <c r="I2089" s="6"/>
      <c r="J2089" s="43"/>
      <c r="K2089" s="51"/>
      <c r="L2089" s="86"/>
    </row>
    <row r="2090" spans="1:12" ht="15" x14ac:dyDescent="0.25">
      <c r="A2090" s="1">
        <v>2081</v>
      </c>
      <c r="B2090" s="1" t="s">
        <v>310</v>
      </c>
      <c r="C2090" s="32">
        <v>339</v>
      </c>
      <c r="D2090" s="1">
        <v>17000</v>
      </c>
      <c r="E2090" s="1"/>
      <c r="F2090" s="1">
        <v>189</v>
      </c>
      <c r="G2090" s="1">
        <v>17000</v>
      </c>
      <c r="H2090" s="5">
        <f t="shared" si="50"/>
        <v>0</v>
      </c>
      <c r="I2090" s="6"/>
      <c r="J2090" s="43"/>
      <c r="K2090" s="51"/>
      <c r="L2090" s="86"/>
    </row>
    <row r="2091" spans="1:12" ht="15" x14ac:dyDescent="0.25">
      <c r="A2091" s="1">
        <v>2082</v>
      </c>
      <c r="B2091" s="1" t="s">
        <v>310</v>
      </c>
      <c r="C2091" s="32">
        <v>9987</v>
      </c>
      <c r="D2091" s="1">
        <v>10000</v>
      </c>
      <c r="E2091" s="1"/>
      <c r="F2091" s="1">
        <v>111.41</v>
      </c>
      <c r="G2091" s="1">
        <v>10000</v>
      </c>
      <c r="H2091" s="5">
        <f t="shared" si="50"/>
        <v>0</v>
      </c>
      <c r="I2091" s="6"/>
      <c r="J2091" s="43"/>
      <c r="K2091" s="51"/>
      <c r="L2091" s="86"/>
    </row>
    <row r="2092" spans="1:12" ht="15" x14ac:dyDescent="0.25">
      <c r="A2092" s="1">
        <v>2083</v>
      </c>
      <c r="B2092" s="1" t="s">
        <v>310</v>
      </c>
      <c r="C2092" s="32">
        <v>8814</v>
      </c>
      <c r="D2092" s="1">
        <v>20000</v>
      </c>
      <c r="E2092" s="1"/>
      <c r="F2092" s="1">
        <v>222.82</v>
      </c>
      <c r="G2092" s="1">
        <v>20000</v>
      </c>
      <c r="H2092" s="5">
        <f t="shared" si="50"/>
        <v>0</v>
      </c>
      <c r="I2092" s="6"/>
      <c r="J2092" s="43"/>
      <c r="K2092" s="51"/>
      <c r="L2092" s="86"/>
    </row>
    <row r="2093" spans="1:12" ht="15" x14ac:dyDescent="0.25">
      <c r="A2093" s="1">
        <v>2084</v>
      </c>
      <c r="B2093" s="1" t="s">
        <v>310</v>
      </c>
      <c r="C2093" s="32">
        <v>4135</v>
      </c>
      <c r="D2093" s="1">
        <v>22000</v>
      </c>
      <c r="E2093" s="1"/>
      <c r="F2093" s="1">
        <v>245</v>
      </c>
      <c r="G2093" s="1">
        <v>22000</v>
      </c>
      <c r="H2093" s="5">
        <f t="shared" si="50"/>
        <v>0</v>
      </c>
      <c r="I2093" s="6"/>
      <c r="J2093" s="43"/>
      <c r="K2093" s="51"/>
      <c r="L2093" s="86"/>
    </row>
    <row r="2094" spans="1:12" ht="15" x14ac:dyDescent="0.25">
      <c r="A2094" s="1">
        <v>2085</v>
      </c>
      <c r="B2094" s="1" t="s">
        <v>310</v>
      </c>
      <c r="C2094" s="32" t="s">
        <v>66</v>
      </c>
      <c r="D2094" s="1">
        <v>100</v>
      </c>
      <c r="E2094" s="1"/>
      <c r="F2094" s="1">
        <v>96.04</v>
      </c>
      <c r="G2094" s="1">
        <v>100</v>
      </c>
      <c r="H2094" s="5">
        <f t="shared" si="50"/>
        <v>0</v>
      </c>
      <c r="I2094" s="6"/>
      <c r="J2094" s="43"/>
      <c r="K2094" s="51"/>
      <c r="L2094" s="86">
        <f>1125899-1117415</f>
        <v>8484</v>
      </c>
    </row>
    <row r="2095" spans="1:12" ht="15" x14ac:dyDescent="0.25">
      <c r="A2095" s="1">
        <v>2086</v>
      </c>
      <c r="B2095" s="1" t="s">
        <v>311</v>
      </c>
      <c r="C2095" s="32">
        <v>910</v>
      </c>
      <c r="D2095" s="1">
        <v>20000</v>
      </c>
      <c r="E2095" s="1"/>
      <c r="F2095" s="1">
        <v>222.82</v>
      </c>
      <c r="G2095" s="1">
        <v>20000</v>
      </c>
      <c r="H2095" s="5">
        <f t="shared" si="50"/>
        <v>0</v>
      </c>
      <c r="I2095" s="6"/>
      <c r="J2095" s="43"/>
      <c r="K2095" s="51"/>
      <c r="L2095" s="86"/>
    </row>
    <row r="2096" spans="1:12" ht="15" x14ac:dyDescent="0.25">
      <c r="A2096" s="1">
        <v>2087</v>
      </c>
      <c r="B2096" s="1" t="s">
        <v>311</v>
      </c>
      <c r="C2096" s="32">
        <v>5749</v>
      </c>
      <c r="D2096" s="1">
        <v>28000</v>
      </c>
      <c r="E2096" s="1"/>
      <c r="F2096" s="1">
        <v>373</v>
      </c>
      <c r="G2096" s="1">
        <v>28000</v>
      </c>
      <c r="H2096" s="5">
        <f t="shared" si="50"/>
        <v>0</v>
      </c>
      <c r="I2096" s="6"/>
      <c r="J2096" s="43"/>
      <c r="K2096" s="51"/>
      <c r="L2096" s="86"/>
    </row>
    <row r="2097" spans="1:12" ht="15" x14ac:dyDescent="0.25">
      <c r="A2097" s="1">
        <v>2088</v>
      </c>
      <c r="B2097" s="1" t="s">
        <v>311</v>
      </c>
      <c r="C2097" s="32">
        <v>9918</v>
      </c>
      <c r="D2097" s="1">
        <v>20000</v>
      </c>
      <c r="E2097" s="1"/>
      <c r="F2097" s="1">
        <v>222.82</v>
      </c>
      <c r="G2097" s="1">
        <v>20000</v>
      </c>
      <c r="H2097" s="5">
        <f t="shared" si="50"/>
        <v>0</v>
      </c>
      <c r="I2097" s="6"/>
      <c r="J2097" s="43"/>
      <c r="K2097" s="51"/>
      <c r="L2097" s="86"/>
    </row>
    <row r="2098" spans="1:12" ht="15" x14ac:dyDescent="0.25">
      <c r="A2098" s="1">
        <v>2089</v>
      </c>
      <c r="B2098" s="1" t="s">
        <v>311</v>
      </c>
      <c r="C2098" s="32">
        <v>9250</v>
      </c>
      <c r="D2098" s="1">
        <v>26000</v>
      </c>
      <c r="E2098" s="1"/>
      <c r="F2098" s="1">
        <v>289</v>
      </c>
      <c r="G2098" s="1">
        <v>26000</v>
      </c>
      <c r="H2098" s="5">
        <f t="shared" si="50"/>
        <v>0</v>
      </c>
      <c r="I2098" s="6"/>
      <c r="J2098" s="43"/>
      <c r="K2098" s="51"/>
      <c r="L2098" s="86"/>
    </row>
    <row r="2099" spans="1:12" ht="15" x14ac:dyDescent="0.25">
      <c r="A2099" s="1">
        <v>2090</v>
      </c>
      <c r="B2099" s="1" t="s">
        <v>311</v>
      </c>
      <c r="C2099" s="32" t="s">
        <v>30</v>
      </c>
      <c r="D2099" s="1">
        <v>4500</v>
      </c>
      <c r="E2099" s="1"/>
      <c r="F2099" s="1">
        <v>50.13</v>
      </c>
      <c r="G2099" s="1">
        <v>4500</v>
      </c>
      <c r="H2099" s="5">
        <f t="shared" si="50"/>
        <v>0</v>
      </c>
      <c r="I2099" s="6"/>
      <c r="J2099" s="43"/>
      <c r="K2099" s="51"/>
      <c r="L2099" s="86"/>
    </row>
    <row r="2100" spans="1:12" ht="15" x14ac:dyDescent="0.25">
      <c r="A2100" s="1">
        <v>2091</v>
      </c>
      <c r="B2100" s="1" t="s">
        <v>311</v>
      </c>
      <c r="C2100" s="32">
        <v>9998</v>
      </c>
      <c r="D2100" s="1">
        <v>17000</v>
      </c>
      <c r="E2100" s="1"/>
      <c r="F2100" s="1">
        <v>189</v>
      </c>
      <c r="G2100" s="1">
        <v>17000</v>
      </c>
      <c r="H2100" s="5">
        <f t="shared" si="50"/>
        <v>0</v>
      </c>
      <c r="I2100" s="6"/>
      <c r="J2100" s="43"/>
      <c r="K2100" s="51"/>
      <c r="L2100" s="86"/>
    </row>
    <row r="2101" spans="1:12" ht="15" x14ac:dyDescent="0.25">
      <c r="A2101" s="1">
        <v>2092</v>
      </c>
      <c r="B2101" s="1" t="s">
        <v>311</v>
      </c>
      <c r="C2101" s="32">
        <v>9398</v>
      </c>
      <c r="D2101" s="1">
        <v>18000</v>
      </c>
      <c r="E2101" s="1"/>
      <c r="F2101" s="1">
        <v>200.53</v>
      </c>
      <c r="G2101" s="1">
        <v>18000</v>
      </c>
      <c r="H2101" s="5">
        <f t="shared" si="50"/>
        <v>0</v>
      </c>
      <c r="I2101" s="6"/>
      <c r="J2101" s="43"/>
      <c r="K2101" s="51"/>
      <c r="L2101" s="86"/>
    </row>
    <row r="2102" spans="1:12" ht="15" x14ac:dyDescent="0.25">
      <c r="A2102" s="1">
        <v>2093</v>
      </c>
      <c r="B2102" s="1" t="s">
        <v>311</v>
      </c>
      <c r="C2102" s="32">
        <v>1871</v>
      </c>
      <c r="D2102" s="1">
        <v>18000</v>
      </c>
      <c r="E2102" s="1"/>
      <c r="F2102" s="1">
        <v>200.53</v>
      </c>
      <c r="G2102" s="1">
        <v>18000</v>
      </c>
      <c r="H2102" s="5">
        <f t="shared" si="50"/>
        <v>0</v>
      </c>
      <c r="I2102" s="6"/>
      <c r="J2102" s="43"/>
      <c r="K2102" s="51"/>
      <c r="L2102" s="86"/>
    </row>
    <row r="2103" spans="1:12" ht="15" x14ac:dyDescent="0.25">
      <c r="A2103" s="1">
        <v>2094</v>
      </c>
      <c r="B2103" s="1" t="s">
        <v>311</v>
      </c>
      <c r="C2103" s="32">
        <v>9991</v>
      </c>
      <c r="D2103" s="1">
        <v>14000</v>
      </c>
      <c r="E2103" s="1"/>
      <c r="F2103" s="1">
        <v>155.9</v>
      </c>
      <c r="G2103" s="1">
        <v>14000</v>
      </c>
      <c r="H2103" s="5">
        <f t="shared" si="50"/>
        <v>0</v>
      </c>
      <c r="I2103" s="6"/>
      <c r="J2103" s="43"/>
      <c r="K2103" s="51"/>
      <c r="L2103" s="86"/>
    </row>
    <row r="2104" spans="1:12" ht="15" x14ac:dyDescent="0.25">
      <c r="A2104" s="1">
        <v>2095</v>
      </c>
      <c r="B2104" s="1" t="s">
        <v>311</v>
      </c>
      <c r="C2104" s="32">
        <v>2957</v>
      </c>
      <c r="D2104" s="1">
        <v>15000</v>
      </c>
      <c r="E2104" s="1"/>
      <c r="F2104" s="1">
        <v>167.41</v>
      </c>
      <c r="G2104" s="1">
        <v>15000</v>
      </c>
      <c r="H2104" s="5">
        <f t="shared" si="50"/>
        <v>0</v>
      </c>
      <c r="I2104" s="6"/>
      <c r="J2104" s="43"/>
      <c r="K2104" s="51"/>
      <c r="L2104" s="86"/>
    </row>
    <row r="2105" spans="1:12" ht="15" x14ac:dyDescent="0.25">
      <c r="A2105" s="1">
        <v>2096</v>
      </c>
      <c r="B2105" s="1" t="s">
        <v>311</v>
      </c>
      <c r="C2105" s="32">
        <v>7284</v>
      </c>
      <c r="D2105" s="1">
        <v>25000</v>
      </c>
      <c r="E2105" s="1"/>
      <c r="F2105" s="1">
        <v>278</v>
      </c>
      <c r="G2105" s="1">
        <v>25000</v>
      </c>
      <c r="H2105" s="5">
        <f t="shared" ref="H2105:H2168" si="51">D2105-G2105</f>
        <v>0</v>
      </c>
      <c r="I2105" s="6"/>
      <c r="J2105" s="43"/>
      <c r="K2105" s="51"/>
      <c r="L2105" s="86"/>
    </row>
    <row r="2106" spans="1:12" ht="15" x14ac:dyDescent="0.25">
      <c r="A2106" s="1">
        <v>2097</v>
      </c>
      <c r="B2106" s="1" t="s">
        <v>311</v>
      </c>
      <c r="C2106" s="32">
        <v>3097</v>
      </c>
      <c r="D2106" s="1">
        <v>25000</v>
      </c>
      <c r="E2106" s="1"/>
      <c r="F2106" s="1">
        <v>278</v>
      </c>
      <c r="G2106" s="1">
        <v>25000</v>
      </c>
      <c r="H2106" s="5">
        <f t="shared" si="51"/>
        <v>0</v>
      </c>
      <c r="I2106" s="6"/>
      <c r="J2106" s="43"/>
      <c r="K2106" s="51"/>
      <c r="L2106" s="86"/>
    </row>
    <row r="2107" spans="1:12" ht="15" x14ac:dyDescent="0.25">
      <c r="A2107" s="1">
        <v>2098</v>
      </c>
      <c r="B2107" s="1" t="s">
        <v>311</v>
      </c>
      <c r="C2107" s="32">
        <v>6607</v>
      </c>
      <c r="D2107" s="1">
        <v>20000</v>
      </c>
      <c r="E2107" s="1"/>
      <c r="F2107" s="1">
        <v>222.82</v>
      </c>
      <c r="G2107" s="1">
        <v>20000</v>
      </c>
      <c r="H2107" s="5">
        <f t="shared" si="51"/>
        <v>0</v>
      </c>
      <c r="I2107" s="6"/>
      <c r="J2107" s="43"/>
      <c r="K2107" s="51"/>
      <c r="L2107" s="86"/>
    </row>
    <row r="2108" spans="1:12" ht="15" x14ac:dyDescent="0.25">
      <c r="A2108" s="1">
        <v>2099</v>
      </c>
      <c r="B2108" s="1" t="s">
        <v>311</v>
      </c>
      <c r="C2108" s="32">
        <v>7138</v>
      </c>
      <c r="D2108" s="1">
        <v>20000</v>
      </c>
      <c r="E2108" s="1"/>
      <c r="F2108" s="1">
        <v>222.82</v>
      </c>
      <c r="G2108" s="1">
        <v>20000</v>
      </c>
      <c r="H2108" s="5">
        <f t="shared" si="51"/>
        <v>0</v>
      </c>
      <c r="I2108" s="6"/>
      <c r="J2108" s="43"/>
      <c r="K2108" s="51"/>
      <c r="L2108" s="86"/>
    </row>
    <row r="2109" spans="1:12" ht="15" x14ac:dyDescent="0.25">
      <c r="A2109" s="1">
        <v>2100</v>
      </c>
      <c r="B2109" s="1" t="s">
        <v>311</v>
      </c>
      <c r="C2109" s="32">
        <v>3538</v>
      </c>
      <c r="D2109" s="1">
        <v>20000</v>
      </c>
      <c r="E2109" s="1"/>
      <c r="F2109" s="1">
        <v>222.82</v>
      </c>
      <c r="G2109" s="1">
        <v>20000</v>
      </c>
      <c r="H2109" s="5">
        <f t="shared" si="51"/>
        <v>0</v>
      </c>
      <c r="I2109" s="6"/>
      <c r="J2109" s="43"/>
      <c r="K2109" s="51"/>
      <c r="L2109" s="86"/>
    </row>
    <row r="2110" spans="1:12" ht="15" x14ac:dyDescent="0.25">
      <c r="A2110" s="1">
        <v>2101</v>
      </c>
      <c r="B2110" s="1" t="s">
        <v>311</v>
      </c>
      <c r="C2110" s="32">
        <v>534</v>
      </c>
      <c r="D2110" s="1">
        <v>30000</v>
      </c>
      <c r="E2110" s="1"/>
      <c r="F2110" s="1">
        <v>334</v>
      </c>
      <c r="G2110" s="1">
        <v>30000</v>
      </c>
      <c r="H2110" s="5">
        <f t="shared" si="51"/>
        <v>0</v>
      </c>
      <c r="I2110" s="6"/>
      <c r="J2110" s="43"/>
      <c r="K2110" s="51"/>
      <c r="L2110" s="86"/>
    </row>
    <row r="2111" spans="1:12" ht="15" x14ac:dyDescent="0.25">
      <c r="A2111" s="1">
        <v>2102</v>
      </c>
      <c r="B2111" s="1" t="s">
        <v>311</v>
      </c>
      <c r="C2111" s="32">
        <v>6787</v>
      </c>
      <c r="D2111" s="1">
        <v>30000</v>
      </c>
      <c r="E2111" s="1"/>
      <c r="F2111" s="1">
        <v>334</v>
      </c>
      <c r="G2111" s="1">
        <v>30000</v>
      </c>
      <c r="H2111" s="5">
        <f t="shared" si="51"/>
        <v>0</v>
      </c>
      <c r="I2111" s="6"/>
      <c r="J2111" s="43"/>
      <c r="K2111" s="51"/>
      <c r="L2111" s="86">
        <f>1068286-1067915</f>
        <v>371</v>
      </c>
    </row>
    <row r="2112" spans="1:12" ht="15" x14ac:dyDescent="0.25">
      <c r="A2112" s="1">
        <v>2103</v>
      </c>
      <c r="B2112" s="1" t="s">
        <v>314</v>
      </c>
      <c r="C2112" s="32" t="s">
        <v>30</v>
      </c>
      <c r="D2112" s="1">
        <v>3500</v>
      </c>
      <c r="E2112" s="1"/>
      <c r="F2112" s="1">
        <v>38.950000000000003</v>
      </c>
      <c r="G2112" s="1">
        <v>3500</v>
      </c>
      <c r="H2112" s="5">
        <f t="shared" si="51"/>
        <v>0</v>
      </c>
      <c r="I2112" s="6"/>
      <c r="J2112" s="43"/>
      <c r="K2112" s="51"/>
      <c r="L2112" s="86"/>
    </row>
    <row r="2113" spans="1:14" ht="15" x14ac:dyDescent="0.25">
      <c r="A2113" s="1">
        <v>2104</v>
      </c>
      <c r="B2113" s="1" t="s">
        <v>314</v>
      </c>
      <c r="C2113" s="32">
        <v>7597</v>
      </c>
      <c r="D2113" s="1">
        <v>20000</v>
      </c>
      <c r="E2113" s="1"/>
      <c r="F2113" s="1">
        <v>222.82</v>
      </c>
      <c r="G2113" s="1">
        <v>20000</v>
      </c>
      <c r="H2113" s="5">
        <f t="shared" si="51"/>
        <v>0</v>
      </c>
      <c r="I2113" s="6"/>
      <c r="J2113" s="43"/>
      <c r="K2113" s="51"/>
      <c r="L2113" s="86"/>
    </row>
    <row r="2114" spans="1:14" ht="15" x14ac:dyDescent="0.25">
      <c r="A2114" s="1">
        <v>2105</v>
      </c>
      <c r="B2114" s="1" t="s">
        <v>314</v>
      </c>
      <c r="C2114" s="32">
        <v>860</v>
      </c>
      <c r="D2114" s="1">
        <v>25000</v>
      </c>
      <c r="E2114" s="1"/>
      <c r="F2114" s="1">
        <v>278</v>
      </c>
      <c r="G2114" s="1">
        <v>25000</v>
      </c>
      <c r="H2114" s="5">
        <f t="shared" si="51"/>
        <v>0</v>
      </c>
      <c r="I2114" s="6"/>
      <c r="J2114" s="43"/>
      <c r="K2114" s="51"/>
      <c r="L2114" s="86"/>
    </row>
    <row r="2115" spans="1:14" ht="15" x14ac:dyDescent="0.25">
      <c r="A2115" s="1">
        <v>2106</v>
      </c>
      <c r="B2115" s="1" t="s">
        <v>314</v>
      </c>
      <c r="C2115" s="32">
        <v>3662</v>
      </c>
      <c r="D2115" s="1">
        <v>12000</v>
      </c>
      <c r="E2115" s="1"/>
      <c r="F2115" s="1">
        <v>133</v>
      </c>
      <c r="G2115" s="1">
        <v>12000</v>
      </c>
      <c r="H2115" s="5">
        <f t="shared" si="51"/>
        <v>0</v>
      </c>
      <c r="I2115" s="6"/>
      <c r="J2115" s="43"/>
      <c r="K2115" s="51"/>
      <c r="L2115" s="86"/>
    </row>
    <row r="2116" spans="1:14" ht="15" x14ac:dyDescent="0.25">
      <c r="A2116" s="1">
        <v>2107</v>
      </c>
      <c r="B2116" s="1" t="s">
        <v>314</v>
      </c>
      <c r="C2116" s="32">
        <v>6453</v>
      </c>
      <c r="D2116" s="1">
        <v>20000</v>
      </c>
      <c r="E2116" s="1"/>
      <c r="F2116" s="1">
        <v>222.82</v>
      </c>
      <c r="G2116" s="1">
        <v>20000</v>
      </c>
      <c r="H2116" s="5">
        <f t="shared" si="51"/>
        <v>0</v>
      </c>
      <c r="I2116" s="6"/>
      <c r="J2116" s="43"/>
      <c r="K2116" s="51"/>
      <c r="L2116" s="86"/>
    </row>
    <row r="2117" spans="1:14" ht="15" x14ac:dyDescent="0.25">
      <c r="A2117" s="1">
        <v>2108</v>
      </c>
      <c r="B2117" s="1" t="s">
        <v>314</v>
      </c>
      <c r="C2117" s="32">
        <v>226</v>
      </c>
      <c r="D2117" s="1">
        <v>14748</v>
      </c>
      <c r="E2117" s="1"/>
      <c r="F2117" s="1">
        <v>164</v>
      </c>
      <c r="G2117" s="1">
        <v>14748</v>
      </c>
      <c r="H2117" s="5">
        <f t="shared" si="51"/>
        <v>0</v>
      </c>
      <c r="I2117" s="6"/>
      <c r="J2117" s="43"/>
      <c r="K2117" s="51"/>
      <c r="L2117" s="86"/>
    </row>
    <row r="2118" spans="1:14" ht="15" x14ac:dyDescent="0.25">
      <c r="A2118" s="1">
        <v>2109</v>
      </c>
      <c r="B2118" s="1" t="s">
        <v>314</v>
      </c>
      <c r="C2118" s="32">
        <v>5266</v>
      </c>
      <c r="D2118" s="1">
        <v>30000</v>
      </c>
      <c r="E2118" s="1"/>
      <c r="F2118" s="1">
        <v>334</v>
      </c>
      <c r="G2118" s="1">
        <v>30000</v>
      </c>
      <c r="H2118" s="5">
        <f t="shared" si="51"/>
        <v>0</v>
      </c>
      <c r="I2118" s="6"/>
      <c r="J2118" s="43"/>
      <c r="K2118" s="51"/>
      <c r="L2118" s="86"/>
    </row>
    <row r="2119" spans="1:14" ht="15" x14ac:dyDescent="0.25">
      <c r="A2119" s="1">
        <v>2110</v>
      </c>
      <c r="B2119" s="1" t="s">
        <v>314</v>
      </c>
      <c r="C2119" s="32">
        <v>9793</v>
      </c>
      <c r="D2119" s="1">
        <v>25000</v>
      </c>
      <c r="E2119" s="1"/>
      <c r="F2119" s="1">
        <v>278</v>
      </c>
      <c r="G2119" s="1">
        <v>25000</v>
      </c>
      <c r="H2119" s="5">
        <f t="shared" si="51"/>
        <v>0</v>
      </c>
      <c r="I2119" s="6"/>
      <c r="J2119" s="43"/>
      <c r="K2119" s="51"/>
      <c r="L2119" s="86"/>
    </row>
    <row r="2120" spans="1:14" ht="15" x14ac:dyDescent="0.25">
      <c r="A2120" s="1">
        <v>2111</v>
      </c>
      <c r="B2120" s="1" t="s">
        <v>314</v>
      </c>
      <c r="C2120" s="32">
        <v>1717</v>
      </c>
      <c r="D2120" s="1">
        <v>25000</v>
      </c>
      <c r="E2120" s="1"/>
      <c r="F2120" s="1">
        <v>278</v>
      </c>
      <c r="G2120" s="1">
        <v>25000</v>
      </c>
      <c r="H2120" s="5">
        <f t="shared" si="51"/>
        <v>0</v>
      </c>
      <c r="I2120" s="6"/>
      <c r="J2120" s="43"/>
      <c r="K2120" s="51"/>
      <c r="L2120" s="86"/>
    </row>
    <row r="2121" spans="1:14" ht="15" x14ac:dyDescent="0.25">
      <c r="A2121" s="1">
        <v>2112</v>
      </c>
      <c r="B2121" s="1" t="s">
        <v>314</v>
      </c>
      <c r="C2121" s="32">
        <v>6064</v>
      </c>
      <c r="D2121" s="1">
        <v>18000</v>
      </c>
      <c r="E2121" s="1"/>
      <c r="F2121" s="1">
        <v>200.53</v>
      </c>
      <c r="G2121" s="1">
        <v>18000</v>
      </c>
      <c r="H2121" s="5">
        <f t="shared" si="51"/>
        <v>0</v>
      </c>
      <c r="I2121" s="6"/>
      <c r="J2121" s="43"/>
      <c r="K2121" s="51"/>
      <c r="L2121" s="86"/>
    </row>
    <row r="2122" spans="1:14" ht="15" x14ac:dyDescent="0.25">
      <c r="A2122" s="1">
        <v>2113</v>
      </c>
      <c r="B2122" s="1" t="s">
        <v>314</v>
      </c>
      <c r="C2122" s="32">
        <v>1066</v>
      </c>
      <c r="D2122" s="1">
        <v>27000</v>
      </c>
      <c r="E2122" s="1"/>
      <c r="F2122" s="1">
        <v>293</v>
      </c>
      <c r="G2122" s="1">
        <v>27000</v>
      </c>
      <c r="H2122" s="5">
        <f t="shared" si="51"/>
        <v>0</v>
      </c>
      <c r="I2122" s="6"/>
      <c r="J2122" s="43"/>
      <c r="K2122" s="51"/>
      <c r="L2122" s="86"/>
    </row>
    <row r="2123" spans="1:14" ht="15" x14ac:dyDescent="0.25">
      <c r="A2123" s="1">
        <v>2114</v>
      </c>
      <c r="B2123" s="1" t="s">
        <v>313</v>
      </c>
      <c r="C2123" s="32">
        <v>9808</v>
      </c>
      <c r="D2123" s="1">
        <v>18000</v>
      </c>
      <c r="E2123" s="1"/>
      <c r="F2123" s="1">
        <v>200.53</v>
      </c>
      <c r="G2123" s="1">
        <v>18000</v>
      </c>
      <c r="H2123" s="5">
        <f t="shared" si="51"/>
        <v>0</v>
      </c>
      <c r="I2123" s="6"/>
      <c r="J2123" s="43"/>
      <c r="K2123" s="51"/>
      <c r="L2123" s="86"/>
    </row>
    <row r="2124" spans="1:14" ht="15" x14ac:dyDescent="0.25">
      <c r="A2124" s="1">
        <v>2115</v>
      </c>
      <c r="B2124" s="1" t="s">
        <v>313</v>
      </c>
      <c r="C2124" s="32">
        <v>4041</v>
      </c>
      <c r="D2124" s="1">
        <v>30000</v>
      </c>
      <c r="E2124" s="1"/>
      <c r="F2124" s="1">
        <v>334</v>
      </c>
      <c r="G2124" s="1">
        <v>30000</v>
      </c>
      <c r="H2124" s="5">
        <f t="shared" si="51"/>
        <v>0</v>
      </c>
      <c r="I2124" s="6"/>
      <c r="J2124" s="43"/>
      <c r="K2124" s="51"/>
      <c r="L2124" s="86"/>
      <c r="N2124">
        <f>210/96.04</f>
        <v>2.1865889212827985</v>
      </c>
    </row>
    <row r="2125" spans="1:14" ht="15" x14ac:dyDescent="0.25">
      <c r="A2125" s="1">
        <v>2116</v>
      </c>
      <c r="B2125" s="1" t="s">
        <v>313</v>
      </c>
      <c r="C2125" s="32">
        <v>4665</v>
      </c>
      <c r="D2125" s="1">
        <v>20000</v>
      </c>
      <c r="E2125" s="1"/>
      <c r="F2125" s="1">
        <v>222.82</v>
      </c>
      <c r="G2125" s="1">
        <v>20000</v>
      </c>
      <c r="H2125" s="5">
        <f t="shared" si="51"/>
        <v>0</v>
      </c>
      <c r="I2125" s="6"/>
      <c r="J2125" s="43"/>
      <c r="K2125" s="51"/>
      <c r="L2125" s="86"/>
    </row>
    <row r="2126" spans="1:14" ht="15" x14ac:dyDescent="0.25">
      <c r="A2126" s="1">
        <v>2117</v>
      </c>
      <c r="B2126" s="1" t="s">
        <v>313</v>
      </c>
      <c r="C2126" s="32" t="s">
        <v>66</v>
      </c>
      <c r="D2126" s="1">
        <v>210</v>
      </c>
      <c r="E2126" s="1"/>
      <c r="F2126" s="1">
        <v>2.1800000000000002</v>
      </c>
      <c r="G2126" s="1">
        <v>210</v>
      </c>
      <c r="H2126" s="5">
        <f t="shared" si="51"/>
        <v>0</v>
      </c>
      <c r="I2126" s="6"/>
      <c r="J2126" s="43"/>
      <c r="K2126" s="51"/>
      <c r="L2126" s="86">
        <f>1356744-1056373</f>
        <v>300371</v>
      </c>
    </row>
    <row r="2127" spans="1:14" ht="15" x14ac:dyDescent="0.25">
      <c r="A2127" s="1">
        <v>2118</v>
      </c>
      <c r="B2127" s="1" t="s">
        <v>315</v>
      </c>
      <c r="C2127" s="32">
        <v>386</v>
      </c>
      <c r="D2127" s="1">
        <v>24000</v>
      </c>
      <c r="E2127" s="1"/>
      <c r="F2127" s="1">
        <v>253</v>
      </c>
      <c r="G2127" s="1">
        <v>24000</v>
      </c>
      <c r="H2127" s="5">
        <f t="shared" si="51"/>
        <v>0</v>
      </c>
      <c r="I2127" s="6"/>
      <c r="J2127" s="43"/>
      <c r="K2127" s="51"/>
      <c r="L2127" s="86"/>
    </row>
    <row r="2128" spans="1:14" ht="15" x14ac:dyDescent="0.25">
      <c r="A2128" s="1">
        <v>2119</v>
      </c>
      <c r="B2128" s="1" t="s">
        <v>315</v>
      </c>
      <c r="C2128" s="32">
        <v>3106</v>
      </c>
      <c r="D2128" s="1">
        <v>27000</v>
      </c>
      <c r="E2128" s="1"/>
      <c r="F2128" s="1">
        <v>293</v>
      </c>
      <c r="G2128" s="1">
        <v>27000</v>
      </c>
      <c r="H2128" s="5">
        <f t="shared" si="51"/>
        <v>0</v>
      </c>
      <c r="I2128" s="6"/>
      <c r="J2128" s="43"/>
      <c r="K2128" s="51"/>
      <c r="L2128" s="86"/>
    </row>
    <row r="2129" spans="1:12" ht="15" x14ac:dyDescent="0.25">
      <c r="A2129" s="1">
        <v>2120</v>
      </c>
      <c r="B2129" s="1" t="s">
        <v>315</v>
      </c>
      <c r="C2129" s="32" t="s">
        <v>30</v>
      </c>
      <c r="D2129" s="1">
        <v>4500</v>
      </c>
      <c r="E2129" s="1"/>
      <c r="F2129" s="1">
        <v>50.13</v>
      </c>
      <c r="G2129" s="1">
        <v>4500</v>
      </c>
      <c r="H2129" s="5">
        <f t="shared" si="51"/>
        <v>0</v>
      </c>
      <c r="I2129" s="6"/>
      <c r="J2129" s="43"/>
      <c r="K2129" s="51"/>
      <c r="L2129" s="86"/>
    </row>
    <row r="2130" spans="1:12" ht="15" x14ac:dyDescent="0.25">
      <c r="A2130" s="1">
        <v>2121</v>
      </c>
      <c r="B2130" s="1" t="s">
        <v>315</v>
      </c>
      <c r="C2130" s="32" t="s">
        <v>30</v>
      </c>
      <c r="D2130" s="1">
        <v>7000</v>
      </c>
      <c r="E2130" s="1"/>
      <c r="F2130" s="1">
        <v>77.989999999999995</v>
      </c>
      <c r="G2130" s="1">
        <v>7000</v>
      </c>
      <c r="H2130" s="5">
        <f t="shared" si="51"/>
        <v>0</v>
      </c>
      <c r="I2130" s="6"/>
      <c r="J2130" s="43"/>
      <c r="K2130" s="51"/>
      <c r="L2130" s="86"/>
    </row>
    <row r="2131" spans="1:12" ht="15" x14ac:dyDescent="0.25">
      <c r="A2131" s="1">
        <v>2122</v>
      </c>
      <c r="B2131" s="1" t="s">
        <v>315</v>
      </c>
      <c r="C2131" s="32">
        <v>2271</v>
      </c>
      <c r="D2131" s="1">
        <v>15000</v>
      </c>
      <c r="E2131" s="1"/>
      <c r="F2131" s="1">
        <v>167.11</v>
      </c>
      <c r="G2131" s="1">
        <v>15000</v>
      </c>
      <c r="H2131" s="5">
        <f t="shared" si="51"/>
        <v>0</v>
      </c>
      <c r="I2131" s="6"/>
      <c r="J2131" s="43"/>
      <c r="K2131" s="51"/>
      <c r="L2131" s="86"/>
    </row>
    <row r="2132" spans="1:12" ht="15" x14ac:dyDescent="0.25">
      <c r="A2132" s="1">
        <v>2123</v>
      </c>
      <c r="B2132" s="1" t="s">
        <v>315</v>
      </c>
      <c r="C2132" s="32">
        <v>4806</v>
      </c>
      <c r="D2132" s="1">
        <v>20000</v>
      </c>
      <c r="E2132" s="1"/>
      <c r="F2132" s="1">
        <v>222</v>
      </c>
      <c r="G2132" s="1">
        <v>20000</v>
      </c>
      <c r="H2132" s="5">
        <f t="shared" si="51"/>
        <v>0</v>
      </c>
      <c r="I2132" s="6"/>
      <c r="J2132" s="43"/>
      <c r="K2132" s="51"/>
      <c r="L2132" s="86"/>
    </row>
    <row r="2133" spans="1:12" ht="15" x14ac:dyDescent="0.25">
      <c r="A2133" s="1">
        <v>2124</v>
      </c>
      <c r="B2133" s="1" t="s">
        <v>315</v>
      </c>
      <c r="C2133" s="32">
        <v>4566</v>
      </c>
      <c r="D2133" s="1">
        <v>15000</v>
      </c>
      <c r="E2133" s="1"/>
      <c r="F2133" s="1">
        <v>167.11</v>
      </c>
      <c r="G2133" s="1">
        <v>15000</v>
      </c>
      <c r="H2133" s="5">
        <f t="shared" si="51"/>
        <v>0</v>
      </c>
      <c r="I2133" s="6"/>
      <c r="J2133" s="43"/>
      <c r="K2133" s="51"/>
      <c r="L2133" s="86"/>
    </row>
    <row r="2134" spans="1:12" ht="15" x14ac:dyDescent="0.25">
      <c r="A2134" s="1">
        <v>2125</v>
      </c>
      <c r="B2134" s="1" t="s">
        <v>315</v>
      </c>
      <c r="C2134" s="32">
        <v>654</v>
      </c>
      <c r="D2134" s="1">
        <v>25000</v>
      </c>
      <c r="E2134" s="1"/>
      <c r="F2134" s="1">
        <v>278</v>
      </c>
      <c r="G2134" s="1">
        <v>25000</v>
      </c>
      <c r="H2134" s="5">
        <f t="shared" si="51"/>
        <v>0</v>
      </c>
      <c r="I2134" s="6"/>
      <c r="J2134" s="43"/>
      <c r="K2134" s="51"/>
      <c r="L2134" s="86"/>
    </row>
    <row r="2135" spans="1:12" ht="15" x14ac:dyDescent="0.25">
      <c r="A2135" s="1">
        <v>2126</v>
      </c>
      <c r="B2135" s="1" t="s">
        <v>315</v>
      </c>
      <c r="C2135" s="32">
        <v>975</v>
      </c>
      <c r="D2135" s="1">
        <v>25000</v>
      </c>
      <c r="E2135" s="1"/>
      <c r="F2135" s="1">
        <v>278</v>
      </c>
      <c r="G2135" s="1">
        <v>25000</v>
      </c>
      <c r="H2135" s="5">
        <f t="shared" si="51"/>
        <v>0</v>
      </c>
      <c r="I2135" s="6"/>
      <c r="J2135" s="43"/>
      <c r="K2135" s="51"/>
      <c r="L2135" s="86"/>
    </row>
    <row r="2136" spans="1:12" ht="15" x14ac:dyDescent="0.25">
      <c r="A2136" s="1">
        <v>2127</v>
      </c>
      <c r="B2136" s="1" t="s">
        <v>315</v>
      </c>
      <c r="C2136" s="32">
        <v>5049</v>
      </c>
      <c r="D2136" s="1">
        <v>10000</v>
      </c>
      <c r="E2136" s="1"/>
      <c r="F2136" s="1">
        <v>111.5</v>
      </c>
      <c r="G2136" s="1">
        <v>10000</v>
      </c>
      <c r="H2136" s="5">
        <f t="shared" si="51"/>
        <v>0</v>
      </c>
      <c r="I2136" s="6"/>
      <c r="J2136" s="43"/>
      <c r="K2136" s="51"/>
      <c r="L2136" s="86"/>
    </row>
    <row r="2137" spans="1:12" ht="15" x14ac:dyDescent="0.25">
      <c r="A2137" s="1">
        <v>2128</v>
      </c>
      <c r="B2137" s="1" t="s">
        <v>315</v>
      </c>
      <c r="C2137" s="32">
        <v>7671</v>
      </c>
      <c r="D2137" s="1">
        <v>5000</v>
      </c>
      <c r="E2137" s="1"/>
      <c r="F2137" s="1">
        <v>55.7</v>
      </c>
      <c r="G2137" s="1">
        <v>5000</v>
      </c>
      <c r="H2137" s="5">
        <f t="shared" si="51"/>
        <v>0</v>
      </c>
      <c r="I2137" s="6"/>
      <c r="J2137" s="43"/>
      <c r="K2137" s="51"/>
      <c r="L2137" s="86"/>
    </row>
    <row r="2138" spans="1:12" ht="15" x14ac:dyDescent="0.25">
      <c r="A2138" s="1">
        <v>2129</v>
      </c>
      <c r="B2138" s="1" t="s">
        <v>315</v>
      </c>
      <c r="C2138" s="32">
        <v>5443</v>
      </c>
      <c r="D2138" s="1">
        <v>15000</v>
      </c>
      <c r="E2138" s="1"/>
      <c r="F2138" s="1">
        <v>167</v>
      </c>
      <c r="G2138" s="1">
        <v>15000</v>
      </c>
      <c r="H2138" s="5">
        <f t="shared" si="51"/>
        <v>0</v>
      </c>
      <c r="I2138" s="6"/>
      <c r="J2138" s="43"/>
      <c r="K2138" s="51"/>
      <c r="L2138" s="86"/>
    </row>
    <row r="2139" spans="1:12" ht="15" x14ac:dyDescent="0.25">
      <c r="A2139" s="1">
        <v>2130</v>
      </c>
      <c r="B2139" s="1" t="s">
        <v>315</v>
      </c>
      <c r="C2139" s="32">
        <v>9148</v>
      </c>
      <c r="D2139" s="1">
        <v>24000</v>
      </c>
      <c r="E2139" s="1"/>
      <c r="F2139" s="1">
        <v>267</v>
      </c>
      <c r="G2139" s="1">
        <v>24000</v>
      </c>
      <c r="H2139" s="5">
        <f t="shared" si="51"/>
        <v>0</v>
      </c>
      <c r="I2139" s="6"/>
      <c r="J2139" s="43"/>
      <c r="K2139" s="51"/>
      <c r="L2139" s="86"/>
    </row>
    <row r="2140" spans="1:12" ht="15" x14ac:dyDescent="0.25">
      <c r="A2140" s="1">
        <v>2131</v>
      </c>
      <c r="B2140" s="1" t="s">
        <v>315</v>
      </c>
      <c r="C2140" s="32">
        <v>8046</v>
      </c>
      <c r="D2140" s="1">
        <v>18000</v>
      </c>
      <c r="E2140" s="1"/>
      <c r="F2140" s="1">
        <v>200.5</v>
      </c>
      <c r="G2140" s="1">
        <v>18000</v>
      </c>
      <c r="H2140" s="5">
        <f t="shared" si="51"/>
        <v>0</v>
      </c>
      <c r="I2140" s="6"/>
      <c r="J2140" s="43"/>
      <c r="K2140" s="51"/>
      <c r="L2140" s="86"/>
    </row>
    <row r="2141" spans="1:12" ht="15" x14ac:dyDescent="0.25">
      <c r="A2141" s="1">
        <v>2132</v>
      </c>
      <c r="B2141" s="1" t="s">
        <v>315</v>
      </c>
      <c r="C2141" s="32">
        <v>7507</v>
      </c>
      <c r="D2141" s="1">
        <v>25000</v>
      </c>
      <c r="E2141" s="1"/>
      <c r="F2141" s="1">
        <v>278</v>
      </c>
      <c r="G2141" s="1">
        <v>25000</v>
      </c>
      <c r="H2141" s="5">
        <f t="shared" si="51"/>
        <v>0</v>
      </c>
      <c r="I2141" s="6"/>
      <c r="J2141" s="43"/>
      <c r="K2141" s="51"/>
      <c r="L2141" s="86"/>
    </row>
    <row r="2142" spans="1:12" ht="15" x14ac:dyDescent="0.25">
      <c r="A2142" s="1">
        <v>2133</v>
      </c>
      <c r="B2142" s="1" t="s">
        <v>315</v>
      </c>
      <c r="C2142" s="32">
        <v>1933</v>
      </c>
      <c r="D2142" s="1">
        <v>16000</v>
      </c>
      <c r="E2142" s="1"/>
      <c r="F2142" s="1">
        <v>178</v>
      </c>
      <c r="G2142" s="1">
        <v>16000</v>
      </c>
      <c r="H2142" s="5">
        <f t="shared" si="51"/>
        <v>0</v>
      </c>
      <c r="I2142" s="6"/>
      <c r="J2142" s="43"/>
      <c r="K2142" s="51"/>
      <c r="L2142" s="86"/>
    </row>
    <row r="2143" spans="1:12" ht="15" x14ac:dyDescent="0.25">
      <c r="A2143" s="1">
        <v>2134</v>
      </c>
      <c r="B2143" s="1" t="s">
        <v>315</v>
      </c>
      <c r="C2143" s="32">
        <v>4608</v>
      </c>
      <c r="D2143" s="1">
        <v>22000</v>
      </c>
      <c r="E2143" s="1"/>
      <c r="F2143" s="1">
        <v>245</v>
      </c>
      <c r="G2143" s="1">
        <v>22000</v>
      </c>
      <c r="H2143" s="5">
        <f t="shared" si="51"/>
        <v>0</v>
      </c>
      <c r="I2143" s="6"/>
      <c r="J2143" s="43"/>
      <c r="K2143" s="51"/>
      <c r="L2143" s="86">
        <f>1066036-1053873</f>
        <v>12163</v>
      </c>
    </row>
    <row r="2144" spans="1:12" ht="15" x14ac:dyDescent="0.25">
      <c r="A2144" s="1">
        <v>2135</v>
      </c>
      <c r="B2144" s="1" t="s">
        <v>316</v>
      </c>
      <c r="C2144" s="32">
        <v>2017</v>
      </c>
      <c r="D2144" s="1">
        <v>23000</v>
      </c>
      <c r="E2144" s="1"/>
      <c r="F2144" s="1">
        <v>256</v>
      </c>
      <c r="G2144" s="1">
        <v>23000</v>
      </c>
      <c r="H2144" s="5">
        <f t="shared" si="51"/>
        <v>0</v>
      </c>
      <c r="I2144" s="6"/>
      <c r="J2144" s="43"/>
      <c r="K2144" s="51"/>
      <c r="L2144" s="86"/>
    </row>
    <row r="2145" spans="1:12" ht="15" x14ac:dyDescent="0.25">
      <c r="A2145" s="1">
        <v>2136</v>
      </c>
      <c r="B2145" s="1" t="s">
        <v>316</v>
      </c>
      <c r="C2145" s="32">
        <v>5370</v>
      </c>
      <c r="D2145" s="1">
        <v>28000</v>
      </c>
      <c r="E2145" s="1"/>
      <c r="F2145" s="1">
        <v>311</v>
      </c>
      <c r="G2145" s="1">
        <v>28000</v>
      </c>
      <c r="H2145" s="5">
        <f t="shared" si="51"/>
        <v>0</v>
      </c>
      <c r="I2145" s="6"/>
      <c r="J2145" s="43"/>
      <c r="K2145" s="51"/>
      <c r="L2145" s="86"/>
    </row>
    <row r="2146" spans="1:12" ht="15" x14ac:dyDescent="0.25">
      <c r="A2146" s="1">
        <v>2137</v>
      </c>
      <c r="B2146" s="1" t="s">
        <v>316</v>
      </c>
      <c r="C2146" s="32">
        <v>4565</v>
      </c>
      <c r="D2146" s="1">
        <v>13000</v>
      </c>
      <c r="E2146" s="1"/>
      <c r="F2146" s="1">
        <v>144</v>
      </c>
      <c r="G2146" s="1">
        <v>13000</v>
      </c>
      <c r="H2146" s="5">
        <f t="shared" si="51"/>
        <v>0</v>
      </c>
      <c r="I2146" s="6"/>
      <c r="J2146" s="43"/>
      <c r="K2146" s="51"/>
      <c r="L2146" s="86"/>
    </row>
    <row r="2147" spans="1:12" ht="15" x14ac:dyDescent="0.25">
      <c r="A2147" s="1">
        <v>2138</v>
      </c>
      <c r="B2147" s="1" t="s">
        <v>316</v>
      </c>
      <c r="C2147" s="32">
        <v>1251</v>
      </c>
      <c r="D2147" s="1">
        <v>19000</v>
      </c>
      <c r="E2147" s="1"/>
      <c r="F2147" s="1">
        <v>201</v>
      </c>
      <c r="G2147" s="1">
        <v>19000</v>
      </c>
      <c r="H2147" s="5">
        <f t="shared" si="51"/>
        <v>0</v>
      </c>
      <c r="I2147" s="6"/>
      <c r="J2147" s="43"/>
      <c r="K2147" s="51"/>
      <c r="L2147" s="86"/>
    </row>
    <row r="2148" spans="1:12" ht="15" x14ac:dyDescent="0.25">
      <c r="A2148" s="1">
        <v>2139</v>
      </c>
      <c r="B2148" s="1" t="s">
        <v>316</v>
      </c>
      <c r="C2148" s="32">
        <v>5820</v>
      </c>
      <c r="D2148" s="1">
        <v>10000</v>
      </c>
      <c r="E2148" s="1"/>
      <c r="F2148" s="1">
        <v>111.5</v>
      </c>
      <c r="G2148" s="1">
        <v>10000</v>
      </c>
      <c r="H2148" s="5">
        <f t="shared" si="51"/>
        <v>0</v>
      </c>
      <c r="I2148" s="6"/>
      <c r="J2148" s="43"/>
      <c r="K2148" s="51"/>
      <c r="L2148" s="86"/>
    </row>
    <row r="2149" spans="1:12" ht="15" x14ac:dyDescent="0.25">
      <c r="A2149" s="1">
        <v>2140</v>
      </c>
      <c r="B2149" s="1" t="s">
        <v>316</v>
      </c>
      <c r="C2149" s="32">
        <v>4239</v>
      </c>
      <c r="D2149" s="1">
        <v>15000</v>
      </c>
      <c r="E2149" s="1"/>
      <c r="F2149" s="1">
        <v>167</v>
      </c>
      <c r="G2149" s="1">
        <v>15000</v>
      </c>
      <c r="H2149" s="5">
        <f t="shared" si="51"/>
        <v>0</v>
      </c>
      <c r="I2149" s="6"/>
      <c r="J2149" s="43"/>
      <c r="K2149" s="51"/>
      <c r="L2149" s="86"/>
    </row>
    <row r="2150" spans="1:12" ht="15" x14ac:dyDescent="0.25">
      <c r="A2150" s="1">
        <v>2141</v>
      </c>
      <c r="B2150" s="1" t="s">
        <v>316</v>
      </c>
      <c r="C2150" s="32">
        <v>1286</v>
      </c>
      <c r="D2150" s="1">
        <v>16000</v>
      </c>
      <c r="E2150" s="1"/>
      <c r="F2150" s="1">
        <v>178</v>
      </c>
      <c r="G2150" s="1">
        <v>16000</v>
      </c>
      <c r="H2150" s="5">
        <f t="shared" si="51"/>
        <v>0</v>
      </c>
      <c r="I2150" s="6"/>
      <c r="J2150" s="43"/>
      <c r="K2150" s="51"/>
      <c r="L2150" s="86"/>
    </row>
    <row r="2151" spans="1:12" ht="15" x14ac:dyDescent="0.25">
      <c r="A2151" s="1">
        <v>2142</v>
      </c>
      <c r="B2151" s="1" t="s">
        <v>316</v>
      </c>
      <c r="C2151" s="32">
        <v>1332</v>
      </c>
      <c r="D2151" s="1">
        <v>28000</v>
      </c>
      <c r="E2151" s="1"/>
      <c r="F2151" s="1">
        <v>311</v>
      </c>
      <c r="G2151" s="1">
        <v>28000</v>
      </c>
      <c r="H2151" s="5">
        <f t="shared" si="51"/>
        <v>0</v>
      </c>
      <c r="I2151" s="6"/>
      <c r="J2151" s="43"/>
      <c r="K2151" s="51"/>
      <c r="L2151" s="86"/>
    </row>
    <row r="2152" spans="1:12" ht="15" x14ac:dyDescent="0.25">
      <c r="A2152" s="1">
        <v>2143</v>
      </c>
      <c r="B2152" s="1" t="s">
        <v>316</v>
      </c>
      <c r="C2152" s="32">
        <v>5995</v>
      </c>
      <c r="D2152" s="1">
        <v>28000</v>
      </c>
      <c r="E2152" s="1"/>
      <c r="F2152" s="1">
        <v>311</v>
      </c>
      <c r="G2152" s="1">
        <v>28000</v>
      </c>
      <c r="H2152" s="5">
        <f t="shared" si="51"/>
        <v>0</v>
      </c>
      <c r="I2152" s="6"/>
      <c r="J2152" s="43"/>
      <c r="K2152" s="51"/>
      <c r="L2152" s="86"/>
    </row>
    <row r="2153" spans="1:12" ht="15" x14ac:dyDescent="0.25">
      <c r="A2153" s="1">
        <v>2144</v>
      </c>
      <c r="B2153" s="1" t="s">
        <v>316</v>
      </c>
      <c r="C2153" s="32">
        <v>965</v>
      </c>
      <c r="D2153" s="1">
        <v>24000</v>
      </c>
      <c r="E2153" s="1"/>
      <c r="F2153" s="1">
        <v>267</v>
      </c>
      <c r="G2153" s="1">
        <v>24000</v>
      </c>
      <c r="H2153" s="5">
        <f t="shared" si="51"/>
        <v>0</v>
      </c>
      <c r="I2153" s="6"/>
      <c r="J2153" s="43"/>
      <c r="K2153" s="51"/>
      <c r="L2153" s="86"/>
    </row>
    <row r="2154" spans="1:12" ht="15" x14ac:dyDescent="0.25">
      <c r="A2154" s="1">
        <v>2145</v>
      </c>
      <c r="B2154" s="1" t="s">
        <v>316</v>
      </c>
      <c r="C2154" s="32">
        <v>7061</v>
      </c>
      <c r="D2154" s="1">
        <v>21000</v>
      </c>
      <c r="E2154" s="1"/>
      <c r="F2154" s="1">
        <v>233</v>
      </c>
      <c r="G2154" s="1">
        <v>21000</v>
      </c>
      <c r="H2154" s="5">
        <f t="shared" si="51"/>
        <v>0</v>
      </c>
      <c r="I2154" s="6"/>
      <c r="J2154" s="43"/>
      <c r="K2154" s="51"/>
      <c r="L2154" s="86"/>
    </row>
    <row r="2155" spans="1:12" ht="15" x14ac:dyDescent="0.25">
      <c r="A2155" s="1">
        <v>2146</v>
      </c>
      <c r="B2155" s="1" t="s">
        <v>316</v>
      </c>
      <c r="C2155" s="32">
        <v>5485</v>
      </c>
      <c r="D2155" s="1">
        <v>18000</v>
      </c>
      <c r="E2155" s="1"/>
      <c r="F2155" s="1">
        <v>200.5</v>
      </c>
      <c r="G2155" s="1">
        <v>18000</v>
      </c>
      <c r="H2155" s="5">
        <f t="shared" si="51"/>
        <v>0</v>
      </c>
      <c r="I2155" s="6"/>
      <c r="J2155" s="43"/>
      <c r="K2155" s="51"/>
      <c r="L2155" s="86"/>
    </row>
    <row r="2156" spans="1:12" ht="15" x14ac:dyDescent="0.25">
      <c r="A2156" s="1">
        <v>2147</v>
      </c>
      <c r="B2156" s="1" t="s">
        <v>316</v>
      </c>
      <c r="C2156" s="32">
        <v>5772</v>
      </c>
      <c r="D2156" s="1">
        <v>25000</v>
      </c>
      <c r="E2156" s="1"/>
      <c r="F2156" s="1">
        <v>278</v>
      </c>
      <c r="G2156" s="1">
        <v>25000</v>
      </c>
      <c r="H2156" s="5">
        <f t="shared" si="51"/>
        <v>0</v>
      </c>
      <c r="I2156" s="6"/>
      <c r="J2156" s="43"/>
      <c r="K2156" s="51"/>
      <c r="L2156" s="86"/>
    </row>
    <row r="2157" spans="1:12" ht="15" x14ac:dyDescent="0.25">
      <c r="A2157" s="1">
        <v>2148</v>
      </c>
      <c r="B2157" s="1" t="s">
        <v>316</v>
      </c>
      <c r="C2157" s="32">
        <v>9412</v>
      </c>
      <c r="D2157" s="1">
        <v>20000</v>
      </c>
      <c r="E2157" s="1"/>
      <c r="F2157" s="1">
        <v>222.82</v>
      </c>
      <c r="G2157" s="1">
        <v>20000</v>
      </c>
      <c r="H2157" s="5">
        <f t="shared" si="51"/>
        <v>0</v>
      </c>
      <c r="I2157" s="6"/>
      <c r="J2157" s="43"/>
      <c r="K2157" s="51"/>
      <c r="L2157" s="86">
        <f>1098726-1091873</f>
        <v>6853</v>
      </c>
    </row>
    <row r="2158" spans="1:12" ht="15" x14ac:dyDescent="0.25">
      <c r="A2158" s="1">
        <v>2149</v>
      </c>
      <c r="B2158" s="1" t="s">
        <v>317</v>
      </c>
      <c r="C2158" s="32">
        <v>5147</v>
      </c>
      <c r="D2158" s="1">
        <v>26000</v>
      </c>
      <c r="E2158" s="1"/>
      <c r="F2158" s="1">
        <v>289</v>
      </c>
      <c r="G2158" s="1">
        <v>26000</v>
      </c>
      <c r="H2158" s="5">
        <f t="shared" si="51"/>
        <v>0</v>
      </c>
      <c r="I2158" s="6"/>
      <c r="J2158" s="43"/>
      <c r="K2158" s="51"/>
      <c r="L2158" s="86"/>
    </row>
    <row r="2159" spans="1:12" ht="15" x14ac:dyDescent="0.25">
      <c r="A2159" s="1">
        <v>2150</v>
      </c>
      <c r="B2159" s="1" t="s">
        <v>317</v>
      </c>
      <c r="C2159" s="32">
        <v>647</v>
      </c>
      <c r="D2159" s="1">
        <v>13500</v>
      </c>
      <c r="E2159" s="1"/>
      <c r="F2159" s="1">
        <v>150</v>
      </c>
      <c r="G2159" s="1">
        <v>13500</v>
      </c>
      <c r="H2159" s="5">
        <f t="shared" si="51"/>
        <v>0</v>
      </c>
      <c r="I2159" s="6"/>
      <c r="J2159" s="43"/>
      <c r="K2159" s="51"/>
      <c r="L2159" s="86"/>
    </row>
    <row r="2160" spans="1:12" ht="15" x14ac:dyDescent="0.25">
      <c r="A2160" s="1">
        <v>2151</v>
      </c>
      <c r="B2160" s="1" t="s">
        <v>317</v>
      </c>
      <c r="C2160" s="58">
        <v>1252</v>
      </c>
      <c r="D2160" s="1">
        <v>20000</v>
      </c>
      <c r="E2160" s="1"/>
      <c r="F2160" s="1">
        <v>222.82</v>
      </c>
      <c r="G2160" s="1">
        <v>20000</v>
      </c>
      <c r="H2160" s="5">
        <f t="shared" si="51"/>
        <v>0</v>
      </c>
      <c r="I2160" s="6"/>
      <c r="J2160" s="43"/>
      <c r="K2160" s="51"/>
      <c r="L2160" s="86" t="s">
        <v>321</v>
      </c>
    </row>
    <row r="2161" spans="1:12" ht="15" x14ac:dyDescent="0.25">
      <c r="A2161" s="1">
        <v>2152</v>
      </c>
      <c r="B2161" s="1" t="s">
        <v>317</v>
      </c>
      <c r="C2161" s="32">
        <v>4986</v>
      </c>
      <c r="D2161" s="1">
        <v>20000</v>
      </c>
      <c r="E2161" s="1"/>
      <c r="F2161" s="1">
        <v>222.82</v>
      </c>
      <c r="G2161" s="1">
        <v>20000</v>
      </c>
      <c r="H2161" s="5">
        <f t="shared" si="51"/>
        <v>0</v>
      </c>
      <c r="I2161" s="6"/>
      <c r="J2161" s="43"/>
      <c r="K2161" s="51"/>
      <c r="L2161" s="86"/>
    </row>
    <row r="2162" spans="1:12" ht="15" x14ac:dyDescent="0.25">
      <c r="A2162" s="1">
        <v>2153</v>
      </c>
      <c r="B2162" s="1" t="s">
        <v>317</v>
      </c>
      <c r="C2162" s="32">
        <v>5844</v>
      </c>
      <c r="D2162" s="1">
        <v>30000</v>
      </c>
      <c r="E2162" s="1"/>
      <c r="F2162" s="1">
        <v>334</v>
      </c>
      <c r="G2162" s="1">
        <v>30000</v>
      </c>
      <c r="H2162" s="5">
        <f t="shared" si="51"/>
        <v>0</v>
      </c>
      <c r="I2162" s="6"/>
      <c r="J2162" s="43"/>
      <c r="K2162" s="51"/>
      <c r="L2162" s="86"/>
    </row>
    <row r="2163" spans="1:12" ht="15" x14ac:dyDescent="0.25">
      <c r="A2163" s="1">
        <v>2154</v>
      </c>
      <c r="B2163" s="1" t="s">
        <v>317</v>
      </c>
      <c r="C2163" s="32">
        <v>8006</v>
      </c>
      <c r="D2163" s="1">
        <v>25000</v>
      </c>
      <c r="E2163" s="1"/>
      <c r="F2163" s="1">
        <v>278</v>
      </c>
      <c r="G2163" s="1">
        <v>25000</v>
      </c>
      <c r="H2163" s="5">
        <f t="shared" si="51"/>
        <v>0</v>
      </c>
      <c r="I2163" s="6"/>
      <c r="J2163" s="43"/>
      <c r="K2163" s="51"/>
      <c r="L2163" s="86"/>
    </row>
    <row r="2164" spans="1:12" ht="15" x14ac:dyDescent="0.25">
      <c r="A2164" s="1">
        <v>2155</v>
      </c>
      <c r="B2164" s="1" t="s">
        <v>317</v>
      </c>
      <c r="C2164" s="32" t="s">
        <v>30</v>
      </c>
      <c r="D2164" s="1">
        <v>4500</v>
      </c>
      <c r="E2164" s="1"/>
      <c r="F2164" s="1">
        <v>50.13</v>
      </c>
      <c r="G2164" s="1">
        <v>4500</v>
      </c>
      <c r="H2164" s="5">
        <f t="shared" si="51"/>
        <v>0</v>
      </c>
      <c r="I2164" s="6"/>
      <c r="J2164" s="43"/>
      <c r="K2164" s="51"/>
      <c r="L2164" s="86"/>
    </row>
    <row r="2165" spans="1:12" ht="15" x14ac:dyDescent="0.25">
      <c r="A2165" s="1">
        <v>2156</v>
      </c>
      <c r="B2165" s="1" t="s">
        <v>317</v>
      </c>
      <c r="C2165" s="32">
        <v>5446</v>
      </c>
      <c r="D2165" s="1">
        <v>20000</v>
      </c>
      <c r="E2165" s="1"/>
      <c r="F2165" s="1">
        <v>222.82</v>
      </c>
      <c r="G2165" s="1">
        <v>20000</v>
      </c>
      <c r="H2165" s="5">
        <f t="shared" si="51"/>
        <v>0</v>
      </c>
      <c r="I2165" s="6"/>
      <c r="J2165" s="43"/>
      <c r="K2165" s="51"/>
      <c r="L2165" s="86"/>
    </row>
    <row r="2166" spans="1:12" ht="15" x14ac:dyDescent="0.25">
      <c r="A2166" s="1">
        <v>2157</v>
      </c>
      <c r="B2166" s="1" t="s">
        <v>317</v>
      </c>
      <c r="C2166" s="32">
        <v>1912</v>
      </c>
      <c r="D2166" s="1">
        <v>10000</v>
      </c>
      <c r="E2166" s="1"/>
      <c r="F2166" s="1">
        <v>111</v>
      </c>
      <c r="G2166" s="1">
        <v>10000</v>
      </c>
      <c r="H2166" s="5">
        <f t="shared" si="51"/>
        <v>0</v>
      </c>
      <c r="I2166" s="6"/>
      <c r="J2166" s="43"/>
      <c r="K2166" s="51"/>
      <c r="L2166" s="86"/>
    </row>
    <row r="2167" spans="1:12" ht="15" x14ac:dyDescent="0.25">
      <c r="A2167" s="1">
        <v>2158</v>
      </c>
      <c r="B2167" s="1" t="s">
        <v>317</v>
      </c>
      <c r="C2167" s="32">
        <v>2224</v>
      </c>
      <c r="D2167" s="1">
        <v>20000</v>
      </c>
      <c r="E2167" s="1"/>
      <c r="F2167" s="1">
        <v>222.82</v>
      </c>
      <c r="G2167" s="1">
        <v>20000</v>
      </c>
      <c r="H2167" s="5">
        <f t="shared" si="51"/>
        <v>0</v>
      </c>
      <c r="I2167" s="6"/>
      <c r="J2167" s="43"/>
      <c r="K2167" s="51"/>
      <c r="L2167" s="86"/>
    </row>
    <row r="2168" spans="1:12" ht="15" x14ac:dyDescent="0.25">
      <c r="A2168" s="1">
        <v>2159</v>
      </c>
      <c r="B2168" s="1" t="s">
        <v>317</v>
      </c>
      <c r="C2168" s="32">
        <v>1131</v>
      </c>
      <c r="D2168" s="1">
        <v>22000</v>
      </c>
      <c r="E2168" s="1"/>
      <c r="F2168" s="1">
        <v>222.82</v>
      </c>
      <c r="G2168" s="1">
        <v>22000</v>
      </c>
      <c r="H2168" s="5">
        <f t="shared" si="51"/>
        <v>0</v>
      </c>
      <c r="I2168" s="6"/>
      <c r="J2168" s="43"/>
      <c r="K2168" s="51"/>
      <c r="L2168" s="86"/>
    </row>
    <row r="2169" spans="1:12" ht="15" x14ac:dyDescent="0.25">
      <c r="A2169" s="1">
        <v>2160</v>
      </c>
      <c r="B2169" s="1" t="s">
        <v>317</v>
      </c>
      <c r="C2169" s="32">
        <v>6461</v>
      </c>
      <c r="D2169" s="1">
        <v>18000</v>
      </c>
      <c r="E2169" s="1"/>
      <c r="F2169" s="1">
        <v>200</v>
      </c>
      <c r="G2169" s="1">
        <v>18000</v>
      </c>
      <c r="H2169" s="5">
        <f t="shared" ref="H2169:H2232" si="52">D2169-G2169</f>
        <v>0</v>
      </c>
      <c r="I2169" s="6"/>
      <c r="J2169" s="43"/>
      <c r="K2169" s="51"/>
      <c r="L2169" s="86"/>
    </row>
    <row r="2170" spans="1:12" ht="15" x14ac:dyDescent="0.25">
      <c r="A2170" s="1">
        <v>2161</v>
      </c>
      <c r="B2170" s="1" t="s">
        <v>317</v>
      </c>
      <c r="C2170" s="32">
        <v>1895</v>
      </c>
      <c r="D2170" s="1">
        <v>30000</v>
      </c>
      <c r="E2170" s="1"/>
      <c r="F2170" s="1">
        <v>334</v>
      </c>
      <c r="G2170" s="1">
        <v>30000</v>
      </c>
      <c r="H2170" s="5">
        <f t="shared" si="52"/>
        <v>0</v>
      </c>
      <c r="I2170" s="6"/>
      <c r="J2170" s="43"/>
      <c r="K2170" s="51"/>
      <c r="L2170" s="86"/>
    </row>
    <row r="2171" spans="1:12" ht="15" x14ac:dyDescent="0.25">
      <c r="A2171" s="1">
        <v>2162</v>
      </c>
      <c r="B2171" s="1" t="s">
        <v>317</v>
      </c>
      <c r="C2171" s="32">
        <v>5485</v>
      </c>
      <c r="D2171" s="1">
        <v>25000</v>
      </c>
      <c r="E2171" s="1"/>
      <c r="F2171" s="1">
        <v>278</v>
      </c>
      <c r="G2171" s="1">
        <v>25000</v>
      </c>
      <c r="H2171" s="5">
        <f t="shared" si="52"/>
        <v>0</v>
      </c>
      <c r="I2171" s="6"/>
      <c r="J2171" s="43"/>
      <c r="K2171" s="51"/>
      <c r="L2171" s="86"/>
    </row>
    <row r="2172" spans="1:12" ht="15" x14ac:dyDescent="0.25">
      <c r="A2172" s="1">
        <v>2163</v>
      </c>
      <c r="B2172" s="1" t="s">
        <v>317</v>
      </c>
      <c r="C2172" s="32">
        <v>1816</v>
      </c>
      <c r="D2172" s="1">
        <v>26000</v>
      </c>
      <c r="E2172" s="1"/>
      <c r="F2172" s="1">
        <v>289</v>
      </c>
      <c r="G2172" s="1">
        <v>26000</v>
      </c>
      <c r="H2172" s="5">
        <f t="shared" si="52"/>
        <v>0</v>
      </c>
      <c r="I2172" s="6"/>
      <c r="J2172" s="43"/>
      <c r="K2172" s="51"/>
      <c r="L2172" s="86"/>
    </row>
    <row r="2173" spans="1:12" ht="15" x14ac:dyDescent="0.25">
      <c r="A2173" s="1">
        <v>2164</v>
      </c>
      <c r="B2173" s="1" t="s">
        <v>317</v>
      </c>
      <c r="C2173" s="32">
        <v>8383</v>
      </c>
      <c r="D2173" s="1">
        <v>15000</v>
      </c>
      <c r="E2173" s="1"/>
      <c r="F2173" s="1">
        <v>167</v>
      </c>
      <c r="G2173" s="1">
        <v>15000</v>
      </c>
      <c r="H2173" s="5">
        <f t="shared" si="52"/>
        <v>0</v>
      </c>
      <c r="I2173" s="6"/>
      <c r="J2173" s="43"/>
      <c r="K2173" s="51"/>
      <c r="L2173" s="86"/>
    </row>
    <row r="2174" spans="1:12" ht="15" x14ac:dyDescent="0.25">
      <c r="A2174" s="1">
        <v>2165</v>
      </c>
      <c r="B2174" s="1" t="s">
        <v>318</v>
      </c>
      <c r="C2174" s="32">
        <v>3662</v>
      </c>
      <c r="D2174" s="1">
        <v>12000</v>
      </c>
      <c r="E2174" s="1"/>
      <c r="F2174" s="1">
        <v>133</v>
      </c>
      <c r="G2174" s="1">
        <v>12000</v>
      </c>
      <c r="H2174" s="5">
        <f t="shared" si="52"/>
        <v>0</v>
      </c>
      <c r="I2174" s="6"/>
      <c r="J2174" s="43"/>
      <c r="K2174" s="51"/>
      <c r="L2174" s="86"/>
    </row>
    <row r="2175" spans="1:12" ht="15" x14ac:dyDescent="0.25">
      <c r="A2175" s="1">
        <v>2166</v>
      </c>
      <c r="B2175" s="1" t="s">
        <v>318</v>
      </c>
      <c r="C2175" s="85">
        <v>6155</v>
      </c>
      <c r="D2175" s="1">
        <v>20000</v>
      </c>
      <c r="E2175" s="1"/>
      <c r="F2175" s="1">
        <v>222.82</v>
      </c>
      <c r="G2175" s="1">
        <v>20000</v>
      </c>
      <c r="H2175" s="5">
        <f t="shared" si="52"/>
        <v>0</v>
      </c>
      <c r="I2175" s="6"/>
      <c r="J2175" s="43"/>
      <c r="K2175" s="51"/>
      <c r="L2175" s="86"/>
    </row>
    <row r="2176" spans="1:12" ht="15" x14ac:dyDescent="0.25">
      <c r="A2176" s="1">
        <v>2167</v>
      </c>
      <c r="B2176" s="1" t="s">
        <v>318</v>
      </c>
      <c r="C2176" s="32">
        <v>4585</v>
      </c>
      <c r="D2176" s="1">
        <v>20000</v>
      </c>
      <c r="E2176" s="1"/>
      <c r="F2176" s="1">
        <v>222.82</v>
      </c>
      <c r="G2176" s="1">
        <v>20000</v>
      </c>
      <c r="H2176" s="5">
        <f t="shared" si="52"/>
        <v>0</v>
      </c>
      <c r="I2176" s="6"/>
      <c r="J2176" s="43"/>
      <c r="K2176" s="51"/>
      <c r="L2176" s="86"/>
    </row>
    <row r="2177" spans="1:12" ht="15" x14ac:dyDescent="0.25">
      <c r="A2177" s="1">
        <v>2168</v>
      </c>
      <c r="B2177" s="1" t="s">
        <v>318</v>
      </c>
      <c r="C2177" s="32">
        <v>4270</v>
      </c>
      <c r="D2177" s="1">
        <v>5000</v>
      </c>
      <c r="E2177" s="1"/>
      <c r="F2177" s="1">
        <v>55.05</v>
      </c>
      <c r="G2177" s="1">
        <v>5000</v>
      </c>
      <c r="H2177" s="5">
        <f t="shared" si="52"/>
        <v>0</v>
      </c>
      <c r="I2177" s="6"/>
      <c r="J2177" s="43"/>
      <c r="K2177" s="51"/>
      <c r="L2177" s="86"/>
    </row>
    <row r="2178" spans="1:12" ht="15" x14ac:dyDescent="0.25">
      <c r="A2178" s="1">
        <v>2169</v>
      </c>
      <c r="B2178" s="1" t="s">
        <v>318</v>
      </c>
      <c r="C2178" s="32">
        <v>2685</v>
      </c>
      <c r="D2178" s="1">
        <v>5000</v>
      </c>
      <c r="E2178" s="1"/>
      <c r="F2178" s="1">
        <v>55.05</v>
      </c>
      <c r="G2178" s="1">
        <v>5000</v>
      </c>
      <c r="H2178" s="5">
        <f t="shared" si="52"/>
        <v>0</v>
      </c>
      <c r="I2178" s="6"/>
      <c r="J2178" s="43"/>
      <c r="K2178" s="51"/>
      <c r="L2178" s="86"/>
    </row>
    <row r="2179" spans="1:12" ht="15" x14ac:dyDescent="0.25">
      <c r="A2179" s="1">
        <v>2170</v>
      </c>
      <c r="B2179" s="1" t="s">
        <v>318</v>
      </c>
      <c r="C2179" s="32">
        <v>3111</v>
      </c>
      <c r="D2179" s="1">
        <v>23000</v>
      </c>
      <c r="E2179" s="1"/>
      <c r="F2179" s="1">
        <v>264</v>
      </c>
      <c r="G2179" s="1">
        <v>23000</v>
      </c>
      <c r="H2179" s="5">
        <f t="shared" si="52"/>
        <v>0</v>
      </c>
      <c r="I2179" s="6"/>
      <c r="J2179" s="43"/>
      <c r="K2179" s="51"/>
      <c r="L2179" s="86"/>
    </row>
    <row r="2180" spans="1:12" ht="15" x14ac:dyDescent="0.25">
      <c r="A2180" s="1">
        <v>2171</v>
      </c>
      <c r="B2180" s="1" t="s">
        <v>318</v>
      </c>
      <c r="C2180" s="32">
        <v>1975</v>
      </c>
      <c r="D2180" s="1">
        <v>31000</v>
      </c>
      <c r="E2180" s="1"/>
      <c r="F2180" s="1">
        <v>345</v>
      </c>
      <c r="G2180" s="1">
        <v>31000</v>
      </c>
      <c r="H2180" s="5">
        <f t="shared" si="52"/>
        <v>0</v>
      </c>
      <c r="I2180" s="6"/>
      <c r="J2180" s="43"/>
      <c r="K2180" s="51"/>
      <c r="L2180" s="86"/>
    </row>
    <row r="2181" spans="1:12" ht="15" x14ac:dyDescent="0.25">
      <c r="A2181" s="1">
        <v>2172</v>
      </c>
      <c r="B2181" s="1" t="s">
        <v>318</v>
      </c>
      <c r="C2181" s="32">
        <v>6867</v>
      </c>
      <c r="D2181" s="1">
        <v>24000</v>
      </c>
      <c r="E2181" s="1"/>
      <c r="F2181" s="1">
        <v>267</v>
      </c>
      <c r="G2181" s="1">
        <v>24000</v>
      </c>
      <c r="H2181" s="5">
        <f t="shared" si="52"/>
        <v>0</v>
      </c>
      <c r="I2181" s="6"/>
      <c r="J2181" s="43"/>
      <c r="K2181" s="51"/>
      <c r="L2181" s="86"/>
    </row>
    <row r="2182" spans="1:12" ht="15" x14ac:dyDescent="0.25">
      <c r="A2182" s="1">
        <v>2173</v>
      </c>
      <c r="B2182" s="1" t="s">
        <v>318</v>
      </c>
      <c r="C2182" s="32">
        <v>2995</v>
      </c>
      <c r="D2182" s="1">
        <v>16000</v>
      </c>
      <c r="E2182" s="1"/>
      <c r="F2182" s="1">
        <v>178</v>
      </c>
      <c r="G2182" s="1">
        <v>16000</v>
      </c>
      <c r="H2182" s="5">
        <f t="shared" si="52"/>
        <v>0</v>
      </c>
      <c r="I2182" s="6"/>
      <c r="J2182" s="43"/>
      <c r="K2182" s="51"/>
      <c r="L2182" s="86"/>
    </row>
    <row r="2183" spans="1:12" ht="15" x14ac:dyDescent="0.25">
      <c r="A2183" s="1">
        <v>2174</v>
      </c>
      <c r="B2183" s="1" t="s">
        <v>318</v>
      </c>
      <c r="C2183" s="32">
        <v>2570</v>
      </c>
      <c r="D2183" s="1">
        <v>18000</v>
      </c>
      <c r="E2183" s="1"/>
      <c r="F2183" s="1">
        <v>200</v>
      </c>
      <c r="G2183" s="1">
        <v>18000</v>
      </c>
      <c r="H2183" s="5">
        <f t="shared" si="52"/>
        <v>0</v>
      </c>
      <c r="I2183" s="6"/>
      <c r="J2183" s="43"/>
      <c r="K2183" s="51"/>
      <c r="L2183" s="86"/>
    </row>
    <row r="2184" spans="1:12" ht="15" x14ac:dyDescent="0.25">
      <c r="A2184" s="1">
        <v>2175</v>
      </c>
      <c r="B2184" s="1" t="s">
        <v>318</v>
      </c>
      <c r="C2184" s="32">
        <v>3009</v>
      </c>
      <c r="D2184" s="1">
        <v>24000</v>
      </c>
      <c r="E2184" s="1"/>
      <c r="F2184" s="1">
        <v>245</v>
      </c>
      <c r="G2184" s="1">
        <v>24000</v>
      </c>
      <c r="H2184" s="5">
        <f t="shared" si="52"/>
        <v>0</v>
      </c>
      <c r="I2184" s="6"/>
      <c r="J2184" s="43"/>
      <c r="K2184" s="51"/>
      <c r="L2184" s="86">
        <f>1322179-1314873</f>
        <v>7306</v>
      </c>
    </row>
    <row r="2185" spans="1:12" ht="15" x14ac:dyDescent="0.25">
      <c r="A2185" s="1">
        <v>2176</v>
      </c>
      <c r="B2185" s="1" t="s">
        <v>319</v>
      </c>
      <c r="C2185" s="32">
        <v>8105</v>
      </c>
      <c r="D2185" s="1">
        <v>15000</v>
      </c>
      <c r="E2185" s="1"/>
      <c r="F2185" s="1">
        <v>167</v>
      </c>
      <c r="G2185" s="1">
        <v>15000</v>
      </c>
      <c r="H2185" s="5">
        <f t="shared" si="52"/>
        <v>0</v>
      </c>
      <c r="I2185" s="6"/>
      <c r="J2185" s="43"/>
      <c r="K2185" s="51"/>
      <c r="L2185" s="86"/>
    </row>
    <row r="2186" spans="1:12" ht="15" x14ac:dyDescent="0.25">
      <c r="A2186" s="1">
        <v>2177</v>
      </c>
      <c r="B2186" s="1" t="s">
        <v>319</v>
      </c>
      <c r="C2186" s="32">
        <v>6012</v>
      </c>
      <c r="D2186" s="1">
        <v>14000</v>
      </c>
      <c r="E2186" s="1"/>
      <c r="F2186" s="1">
        <v>155</v>
      </c>
      <c r="G2186" s="1">
        <v>14000</v>
      </c>
      <c r="H2186" s="5">
        <f t="shared" si="52"/>
        <v>0</v>
      </c>
      <c r="I2186" s="6"/>
      <c r="J2186" s="43"/>
      <c r="K2186" s="51"/>
      <c r="L2186" s="86"/>
    </row>
    <row r="2187" spans="1:12" ht="15" x14ac:dyDescent="0.25">
      <c r="A2187" s="1">
        <v>2178</v>
      </c>
      <c r="B2187" s="1" t="s">
        <v>319</v>
      </c>
      <c r="C2187" s="32" t="s">
        <v>30</v>
      </c>
      <c r="D2187" s="1">
        <v>4500</v>
      </c>
      <c r="E2187" s="1"/>
      <c r="F2187" s="1">
        <v>50.13</v>
      </c>
      <c r="G2187" s="1">
        <v>4500</v>
      </c>
      <c r="H2187" s="5">
        <f t="shared" si="52"/>
        <v>0</v>
      </c>
      <c r="I2187" s="6"/>
      <c r="J2187" s="43"/>
      <c r="K2187" s="51"/>
      <c r="L2187" s="86"/>
    </row>
    <row r="2188" spans="1:12" ht="15" x14ac:dyDescent="0.25">
      <c r="A2188" s="1">
        <v>2179</v>
      </c>
      <c r="B2188" s="1" t="s">
        <v>319</v>
      </c>
      <c r="C2188" s="32">
        <v>470</v>
      </c>
      <c r="D2188" s="1">
        <v>20000</v>
      </c>
      <c r="E2188" s="1"/>
      <c r="F2188" s="1">
        <v>222.82</v>
      </c>
      <c r="G2188" s="1">
        <v>20000</v>
      </c>
      <c r="H2188" s="5">
        <f t="shared" si="52"/>
        <v>0</v>
      </c>
      <c r="I2188" s="6"/>
      <c r="J2188" s="43"/>
      <c r="K2188" s="51"/>
      <c r="L2188" s="86"/>
    </row>
    <row r="2189" spans="1:12" ht="15" x14ac:dyDescent="0.25">
      <c r="A2189" s="1">
        <v>2180</v>
      </c>
      <c r="B2189" s="1" t="s">
        <v>319</v>
      </c>
      <c r="C2189" s="32">
        <v>5145</v>
      </c>
      <c r="D2189" s="1">
        <v>20000</v>
      </c>
      <c r="E2189" s="1"/>
      <c r="F2189" s="1">
        <v>222.82</v>
      </c>
      <c r="G2189" s="1">
        <v>20000</v>
      </c>
      <c r="H2189" s="5">
        <f t="shared" si="52"/>
        <v>0</v>
      </c>
      <c r="I2189" s="6"/>
      <c r="J2189" s="43"/>
      <c r="K2189" s="51"/>
      <c r="L2189" s="86"/>
    </row>
    <row r="2190" spans="1:12" ht="15" x14ac:dyDescent="0.25">
      <c r="A2190" s="1">
        <v>2181</v>
      </c>
      <c r="B2190" s="1" t="s">
        <v>319</v>
      </c>
      <c r="C2190" s="32" t="s">
        <v>30</v>
      </c>
      <c r="D2190" s="1">
        <v>7000</v>
      </c>
      <c r="E2190" s="1"/>
      <c r="F2190" s="1">
        <v>77</v>
      </c>
      <c r="G2190" s="1">
        <v>7000</v>
      </c>
      <c r="H2190" s="5">
        <f t="shared" si="52"/>
        <v>0</v>
      </c>
      <c r="I2190" s="6"/>
      <c r="J2190" s="43"/>
      <c r="K2190" s="51"/>
      <c r="L2190" s="86"/>
    </row>
    <row r="2191" spans="1:12" ht="15" x14ac:dyDescent="0.25">
      <c r="A2191" s="1">
        <v>2182</v>
      </c>
      <c r="B2191" s="1" t="s">
        <v>319</v>
      </c>
      <c r="C2191" s="32">
        <v>9134</v>
      </c>
      <c r="D2191" s="1">
        <v>20000</v>
      </c>
      <c r="E2191" s="1"/>
      <c r="F2191" s="1">
        <v>222.82</v>
      </c>
      <c r="G2191" s="1">
        <v>20000</v>
      </c>
      <c r="H2191" s="5">
        <f t="shared" si="52"/>
        <v>0</v>
      </c>
      <c r="I2191" s="6"/>
      <c r="J2191" s="43"/>
      <c r="K2191" s="51"/>
      <c r="L2191" s="86"/>
    </row>
    <row r="2192" spans="1:12" ht="15" x14ac:dyDescent="0.25">
      <c r="A2192" s="1">
        <v>2183</v>
      </c>
      <c r="B2192" s="1" t="s">
        <v>319</v>
      </c>
      <c r="C2192" s="32" t="s">
        <v>66</v>
      </c>
      <c r="D2192" s="1">
        <v>100</v>
      </c>
      <c r="E2192" s="1"/>
      <c r="F2192" s="1">
        <v>96.04</v>
      </c>
      <c r="G2192" s="1">
        <v>100</v>
      </c>
      <c r="H2192" s="5">
        <f t="shared" si="52"/>
        <v>0</v>
      </c>
      <c r="I2192" s="6"/>
      <c r="J2192" s="43"/>
      <c r="K2192" s="51"/>
      <c r="L2192" s="86"/>
    </row>
    <row r="2193" spans="1:12" ht="15" x14ac:dyDescent="0.25">
      <c r="A2193" s="1">
        <v>2184</v>
      </c>
      <c r="B2193" s="1" t="s">
        <v>319</v>
      </c>
      <c r="C2193" s="32">
        <v>742</v>
      </c>
      <c r="D2193" s="1">
        <v>5000</v>
      </c>
      <c r="E2193" s="1"/>
      <c r="F2193" s="1">
        <v>55</v>
      </c>
      <c r="G2193" s="1">
        <v>5000</v>
      </c>
      <c r="H2193" s="5">
        <f t="shared" si="52"/>
        <v>0</v>
      </c>
      <c r="I2193" s="6"/>
      <c r="J2193" s="43"/>
      <c r="K2193" s="51"/>
      <c r="L2193" s="86"/>
    </row>
    <row r="2194" spans="1:12" ht="15" x14ac:dyDescent="0.25">
      <c r="A2194" s="1">
        <v>2185</v>
      </c>
      <c r="B2194" s="1" t="s">
        <v>319</v>
      </c>
      <c r="C2194" s="32">
        <v>922</v>
      </c>
      <c r="D2194" s="1">
        <v>5000</v>
      </c>
      <c r="E2194" s="1"/>
      <c r="F2194" s="1">
        <v>55</v>
      </c>
      <c r="G2194" s="1">
        <v>5000</v>
      </c>
      <c r="H2194" s="5">
        <f t="shared" si="52"/>
        <v>0</v>
      </c>
      <c r="I2194" s="6"/>
      <c r="J2194" s="43"/>
      <c r="K2194" s="51"/>
      <c r="L2194" s="86"/>
    </row>
    <row r="2195" spans="1:12" ht="15" x14ac:dyDescent="0.25">
      <c r="A2195" s="1">
        <v>2186</v>
      </c>
      <c r="B2195" s="1" t="s">
        <v>319</v>
      </c>
      <c r="C2195" s="32">
        <v>3332</v>
      </c>
      <c r="D2195" s="1">
        <v>25000</v>
      </c>
      <c r="E2195" s="1"/>
      <c r="F2195" s="1">
        <v>278</v>
      </c>
      <c r="G2195" s="1">
        <v>25000</v>
      </c>
      <c r="H2195" s="5">
        <f t="shared" si="52"/>
        <v>0</v>
      </c>
      <c r="I2195" s="6"/>
      <c r="J2195" s="43"/>
      <c r="K2195" s="51"/>
      <c r="L2195" s="86"/>
    </row>
    <row r="2196" spans="1:12" ht="15" x14ac:dyDescent="0.25">
      <c r="A2196" s="1">
        <v>2187</v>
      </c>
      <c r="B2196" s="1" t="s">
        <v>319</v>
      </c>
      <c r="C2196" s="32">
        <v>5070</v>
      </c>
      <c r="D2196" s="1">
        <v>25000</v>
      </c>
      <c r="E2196" s="1"/>
      <c r="F2196" s="1">
        <v>278</v>
      </c>
      <c r="G2196" s="1">
        <v>25000</v>
      </c>
      <c r="H2196" s="5">
        <f t="shared" si="52"/>
        <v>0</v>
      </c>
      <c r="I2196" s="6"/>
      <c r="J2196" s="43"/>
      <c r="K2196" s="51"/>
      <c r="L2196" s="86"/>
    </row>
    <row r="2197" spans="1:12" ht="15" x14ac:dyDescent="0.25">
      <c r="A2197" s="1">
        <v>2188</v>
      </c>
      <c r="B2197" s="1" t="s">
        <v>319</v>
      </c>
      <c r="C2197" s="32">
        <v>8763</v>
      </c>
      <c r="D2197" s="1">
        <v>25000</v>
      </c>
      <c r="E2197" s="1"/>
      <c r="F2197" s="1">
        <v>278</v>
      </c>
      <c r="G2197" s="1">
        <v>25000</v>
      </c>
      <c r="H2197" s="5">
        <f t="shared" si="52"/>
        <v>0</v>
      </c>
      <c r="I2197" s="6"/>
      <c r="J2197" s="43"/>
      <c r="K2197" s="51"/>
      <c r="L2197" s="86"/>
    </row>
    <row r="2198" spans="1:12" ht="15" x14ac:dyDescent="0.25">
      <c r="A2198" s="1">
        <v>2189</v>
      </c>
      <c r="B2198" s="1" t="s">
        <v>319</v>
      </c>
      <c r="C2198" s="32">
        <v>4365</v>
      </c>
      <c r="D2198" s="1">
        <v>20000</v>
      </c>
      <c r="E2198" s="1"/>
      <c r="F2198" s="1">
        <v>222.82</v>
      </c>
      <c r="G2198" s="1">
        <v>20000</v>
      </c>
      <c r="H2198" s="5">
        <f t="shared" si="52"/>
        <v>0</v>
      </c>
      <c r="I2198" s="6"/>
      <c r="J2198" s="43"/>
      <c r="K2198" s="51"/>
      <c r="L2198" s="86"/>
    </row>
    <row r="2199" spans="1:12" ht="15" x14ac:dyDescent="0.25">
      <c r="A2199" s="1">
        <v>2190</v>
      </c>
      <c r="B2199" s="1" t="s">
        <v>319</v>
      </c>
      <c r="C2199" s="32">
        <v>8686</v>
      </c>
      <c r="D2199" s="1">
        <v>25000</v>
      </c>
      <c r="E2199" s="1"/>
      <c r="F2199" s="1">
        <v>278</v>
      </c>
      <c r="G2199" s="1">
        <v>25000</v>
      </c>
      <c r="H2199" s="5">
        <f t="shared" si="52"/>
        <v>0</v>
      </c>
      <c r="I2199" s="6"/>
      <c r="J2199" s="43"/>
      <c r="K2199" s="51"/>
      <c r="L2199" s="86"/>
    </row>
    <row r="2200" spans="1:12" ht="15" x14ac:dyDescent="0.25">
      <c r="A2200" s="1">
        <v>2191</v>
      </c>
      <c r="B2200" s="1" t="s">
        <v>319</v>
      </c>
      <c r="C2200" s="32">
        <v>1662</v>
      </c>
      <c r="D2200" s="1">
        <v>18000</v>
      </c>
      <c r="E2200" s="1"/>
      <c r="F2200" s="1">
        <v>200</v>
      </c>
      <c r="G2200" s="1">
        <v>18000</v>
      </c>
      <c r="H2200" s="5">
        <f t="shared" si="52"/>
        <v>0</v>
      </c>
      <c r="I2200" s="6"/>
      <c r="J2200" s="43"/>
      <c r="K2200" s="51"/>
      <c r="L2200" s="86"/>
    </row>
    <row r="2201" spans="1:12" ht="15" x14ac:dyDescent="0.25">
      <c r="A2201" s="1">
        <v>2192</v>
      </c>
      <c r="B2201" s="1" t="s">
        <v>319</v>
      </c>
      <c r="C2201" s="32">
        <v>4154</v>
      </c>
      <c r="D2201" s="1">
        <v>25000</v>
      </c>
      <c r="E2201" s="1"/>
      <c r="F2201" s="1">
        <v>278</v>
      </c>
      <c r="G2201" s="1">
        <v>25000</v>
      </c>
      <c r="H2201" s="5">
        <f t="shared" si="52"/>
        <v>0</v>
      </c>
      <c r="I2201" s="6"/>
      <c r="J2201" s="43"/>
      <c r="K2201" s="51"/>
      <c r="L2201" s="86">
        <f>1209685-1188473</f>
        <v>21212</v>
      </c>
    </row>
    <row r="2202" spans="1:12" ht="15" x14ac:dyDescent="0.25">
      <c r="A2202" s="1">
        <v>2193</v>
      </c>
      <c r="B2202" s="1" t="s">
        <v>320</v>
      </c>
      <c r="C2202" s="32" t="s">
        <v>66</v>
      </c>
      <c r="D2202" s="1">
        <v>210</v>
      </c>
      <c r="E2202" s="1"/>
      <c r="F2202" s="1">
        <v>196.04</v>
      </c>
      <c r="G2202" s="1">
        <v>210</v>
      </c>
      <c r="H2202" s="5">
        <f t="shared" si="52"/>
        <v>0</v>
      </c>
      <c r="I2202" s="6"/>
      <c r="J2202" s="43"/>
      <c r="K2202" s="51"/>
      <c r="L2202" s="86"/>
    </row>
    <row r="2203" spans="1:12" ht="15" x14ac:dyDescent="0.25">
      <c r="A2203" s="1">
        <v>2194</v>
      </c>
      <c r="B2203" s="1" t="s">
        <v>320</v>
      </c>
      <c r="C2203" s="32">
        <v>990</v>
      </c>
      <c r="D2203" s="1">
        <v>16000</v>
      </c>
      <c r="E2203" s="1"/>
      <c r="F2203" s="1">
        <v>161</v>
      </c>
      <c r="G2203" s="1">
        <v>16000</v>
      </c>
      <c r="H2203" s="5">
        <f t="shared" si="52"/>
        <v>0</v>
      </c>
      <c r="I2203" s="6"/>
      <c r="J2203" s="43"/>
      <c r="K2203" s="51"/>
      <c r="L2203" s="86"/>
    </row>
    <row r="2204" spans="1:12" ht="15" x14ac:dyDescent="0.25">
      <c r="A2204" s="1">
        <v>2195</v>
      </c>
      <c r="B2204" s="1" t="s">
        <v>320</v>
      </c>
      <c r="C2204" s="32">
        <v>402</v>
      </c>
      <c r="D2204" s="1">
        <v>22000</v>
      </c>
      <c r="E2204" s="1"/>
      <c r="F2204" s="1">
        <v>245</v>
      </c>
      <c r="G2204" s="1">
        <v>22000</v>
      </c>
      <c r="H2204" s="5">
        <f t="shared" si="52"/>
        <v>0</v>
      </c>
      <c r="I2204" s="6"/>
      <c r="J2204" s="43"/>
      <c r="K2204" s="51"/>
      <c r="L2204" s="86"/>
    </row>
    <row r="2205" spans="1:12" ht="15" x14ac:dyDescent="0.25">
      <c r="A2205" s="1">
        <v>2196</v>
      </c>
      <c r="B2205" s="1" t="s">
        <v>320</v>
      </c>
      <c r="C2205" s="32">
        <v>3127</v>
      </c>
      <c r="D2205" s="1">
        <v>20000</v>
      </c>
      <c r="E2205" s="1"/>
      <c r="F2205" s="1">
        <v>222</v>
      </c>
      <c r="G2205" s="1">
        <v>20000</v>
      </c>
      <c r="H2205" s="5">
        <f t="shared" si="52"/>
        <v>0</v>
      </c>
      <c r="I2205" s="6"/>
      <c r="J2205" s="43"/>
      <c r="K2205" s="51"/>
      <c r="L2205" s="86"/>
    </row>
    <row r="2206" spans="1:12" ht="15" x14ac:dyDescent="0.25">
      <c r="A2206" s="1">
        <v>2197</v>
      </c>
      <c r="B2206" s="1" t="s">
        <v>320</v>
      </c>
      <c r="C2206" s="32">
        <v>6214</v>
      </c>
      <c r="D2206" s="1">
        <v>18000</v>
      </c>
      <c r="E2206" s="1"/>
      <c r="F2206" s="1">
        <v>200</v>
      </c>
      <c r="G2206" s="1">
        <v>18000</v>
      </c>
      <c r="H2206" s="5">
        <f t="shared" si="52"/>
        <v>0</v>
      </c>
      <c r="I2206" s="6"/>
      <c r="J2206" s="43"/>
      <c r="K2206" s="51"/>
      <c r="L2206" s="86"/>
    </row>
    <row r="2207" spans="1:12" ht="15" x14ac:dyDescent="0.25">
      <c r="A2207" s="1">
        <v>2198</v>
      </c>
      <c r="B2207" s="1" t="s">
        <v>320</v>
      </c>
      <c r="C2207" s="32">
        <v>9794</v>
      </c>
      <c r="D2207" s="1">
        <v>25000</v>
      </c>
      <c r="E2207" s="1"/>
      <c r="F2207" s="1">
        <v>278.22000000000003</v>
      </c>
      <c r="G2207" s="1">
        <v>25000</v>
      </c>
      <c r="H2207" s="5">
        <f t="shared" si="52"/>
        <v>0</v>
      </c>
      <c r="I2207" s="6"/>
      <c r="J2207" s="43"/>
      <c r="K2207" s="51"/>
      <c r="L2207" s="86"/>
    </row>
    <row r="2208" spans="1:12" ht="15" x14ac:dyDescent="0.25">
      <c r="A2208" s="1">
        <v>2199</v>
      </c>
      <c r="B2208" s="1" t="s">
        <v>320</v>
      </c>
      <c r="C2208" s="32">
        <v>7266</v>
      </c>
      <c r="D2208" s="1">
        <v>17000</v>
      </c>
      <c r="E2208" s="1"/>
      <c r="F2208" s="1">
        <v>189</v>
      </c>
      <c r="G2208" s="1">
        <v>17000</v>
      </c>
      <c r="H2208" s="5">
        <f t="shared" si="52"/>
        <v>0</v>
      </c>
      <c r="I2208" s="6"/>
      <c r="J2208" s="43"/>
      <c r="K2208" s="51"/>
      <c r="L2208" s="86"/>
    </row>
    <row r="2209" spans="1:12" ht="15" x14ac:dyDescent="0.25">
      <c r="A2209" s="1">
        <v>2200</v>
      </c>
      <c r="B2209" s="1" t="s">
        <v>320</v>
      </c>
      <c r="C2209" s="32">
        <v>9975</v>
      </c>
      <c r="D2209" s="1">
        <v>27000</v>
      </c>
      <c r="E2209" s="1"/>
      <c r="F2209" s="1">
        <v>300</v>
      </c>
      <c r="G2209" s="1">
        <v>27000</v>
      </c>
      <c r="H2209" s="5">
        <f t="shared" si="52"/>
        <v>0</v>
      </c>
      <c r="I2209" s="6"/>
      <c r="J2209" s="43"/>
      <c r="K2209" s="51"/>
      <c r="L2209" s="86">
        <f>982054-933683</f>
        <v>48371</v>
      </c>
    </row>
    <row r="2210" spans="1:12" ht="15" x14ac:dyDescent="0.25">
      <c r="A2210" s="1">
        <v>2201</v>
      </c>
      <c r="B2210" s="1" t="s">
        <v>322</v>
      </c>
      <c r="C2210" s="32">
        <v>2545</v>
      </c>
      <c r="D2210" s="1">
        <v>16000</v>
      </c>
      <c r="E2210" s="1"/>
      <c r="F2210" s="1">
        <v>178</v>
      </c>
      <c r="G2210" s="1">
        <v>16000</v>
      </c>
      <c r="H2210" s="5">
        <f t="shared" si="52"/>
        <v>0</v>
      </c>
      <c r="I2210" s="6"/>
      <c r="J2210" s="43"/>
      <c r="K2210" s="51"/>
      <c r="L2210" s="86"/>
    </row>
    <row r="2211" spans="1:12" ht="15" x14ac:dyDescent="0.25">
      <c r="A2211" s="1">
        <v>2202</v>
      </c>
      <c r="B2211" s="1" t="s">
        <v>322</v>
      </c>
      <c r="C2211" s="32" t="s">
        <v>30</v>
      </c>
      <c r="D2211" s="1">
        <v>4500</v>
      </c>
      <c r="E2211" s="1"/>
      <c r="F2211" s="1">
        <v>50.13</v>
      </c>
      <c r="G2211" s="1">
        <v>4500</v>
      </c>
      <c r="H2211" s="5">
        <f t="shared" si="52"/>
        <v>0</v>
      </c>
      <c r="I2211" s="6"/>
      <c r="J2211" s="43"/>
      <c r="K2211" s="51"/>
      <c r="L2211" s="86"/>
    </row>
    <row r="2212" spans="1:12" ht="15" x14ac:dyDescent="0.25">
      <c r="A2212" s="1">
        <v>2203</v>
      </c>
      <c r="B2212" s="1" t="s">
        <v>322</v>
      </c>
      <c r="C2212" s="32">
        <v>1392</v>
      </c>
      <c r="D2212" s="1">
        <v>16000</v>
      </c>
      <c r="E2212" s="1"/>
      <c r="F2212" s="1">
        <v>168</v>
      </c>
      <c r="G2212" s="1">
        <v>16000</v>
      </c>
      <c r="H2212" s="5">
        <f t="shared" si="52"/>
        <v>0</v>
      </c>
      <c r="I2212" s="6"/>
      <c r="J2212" s="43"/>
      <c r="K2212" s="51"/>
      <c r="L2212" s="86"/>
    </row>
    <row r="2213" spans="1:12" ht="15" x14ac:dyDescent="0.25">
      <c r="A2213" s="1">
        <v>2204</v>
      </c>
      <c r="B2213" s="1" t="s">
        <v>322</v>
      </c>
      <c r="C2213" s="32">
        <v>4028</v>
      </c>
      <c r="D2213" s="1">
        <v>20000</v>
      </c>
      <c r="E2213" s="1"/>
      <c r="F2213" s="1">
        <v>222.82</v>
      </c>
      <c r="G2213" s="1">
        <v>20000</v>
      </c>
      <c r="H2213" s="5">
        <f t="shared" si="52"/>
        <v>0</v>
      </c>
      <c r="I2213" s="6"/>
      <c r="J2213" s="43"/>
      <c r="K2213" s="51"/>
      <c r="L2213" s="86"/>
    </row>
    <row r="2214" spans="1:12" ht="15" x14ac:dyDescent="0.25">
      <c r="A2214" s="1">
        <v>2205</v>
      </c>
      <c r="B2214" s="1" t="s">
        <v>322</v>
      </c>
      <c r="C2214" s="32">
        <v>1103</v>
      </c>
      <c r="D2214" s="1">
        <v>16000</v>
      </c>
      <c r="E2214" s="1"/>
      <c r="F2214" s="1">
        <v>155</v>
      </c>
      <c r="G2214" s="1">
        <v>16000</v>
      </c>
      <c r="H2214" s="5">
        <f t="shared" si="52"/>
        <v>0</v>
      </c>
      <c r="I2214" s="6"/>
      <c r="J2214" s="43"/>
      <c r="K2214" s="51"/>
      <c r="L2214" s="86"/>
    </row>
    <row r="2215" spans="1:12" ht="15" x14ac:dyDescent="0.25">
      <c r="A2215" s="1">
        <v>2206</v>
      </c>
      <c r="B2215" s="1" t="s">
        <v>322</v>
      </c>
      <c r="C2215" s="32">
        <v>4061</v>
      </c>
      <c r="D2215" s="1">
        <v>25000</v>
      </c>
      <c r="E2215" s="1"/>
      <c r="F2215" s="1">
        <v>278.22000000000003</v>
      </c>
      <c r="G2215" s="1">
        <v>25000</v>
      </c>
      <c r="H2215" s="5">
        <f t="shared" si="52"/>
        <v>0</v>
      </c>
      <c r="I2215" s="6"/>
      <c r="J2215" s="43"/>
      <c r="K2215" s="51"/>
      <c r="L2215" s="86"/>
    </row>
    <row r="2216" spans="1:12" ht="15" x14ac:dyDescent="0.25">
      <c r="A2216" s="1">
        <v>2207</v>
      </c>
      <c r="B2216" s="1" t="s">
        <v>322</v>
      </c>
      <c r="C2216" s="32">
        <v>6177</v>
      </c>
      <c r="D2216" s="1">
        <v>25000</v>
      </c>
      <c r="E2216" s="1"/>
      <c r="F2216" s="1">
        <v>278.22000000000003</v>
      </c>
      <c r="G2216" s="1">
        <v>25000</v>
      </c>
      <c r="H2216" s="5">
        <f t="shared" si="52"/>
        <v>0</v>
      </c>
      <c r="I2216" s="6"/>
      <c r="J2216" s="43"/>
      <c r="K2216" s="51"/>
      <c r="L2216" s="86"/>
    </row>
    <row r="2217" spans="1:12" ht="15" x14ac:dyDescent="0.25">
      <c r="A2217" s="1">
        <v>2208</v>
      </c>
      <c r="B2217" s="1" t="s">
        <v>322</v>
      </c>
      <c r="C2217" s="32">
        <v>4295</v>
      </c>
      <c r="D2217" s="1">
        <v>20000</v>
      </c>
      <c r="E2217" s="1"/>
      <c r="F2217" s="1">
        <v>222</v>
      </c>
      <c r="G2217" s="1">
        <v>20000</v>
      </c>
      <c r="H2217" s="5">
        <f t="shared" si="52"/>
        <v>0</v>
      </c>
      <c r="I2217" s="6"/>
      <c r="J2217" s="43"/>
      <c r="K2217" s="51"/>
      <c r="L2217" s="86"/>
    </row>
    <row r="2218" spans="1:12" ht="15" x14ac:dyDescent="0.25">
      <c r="A2218" s="1">
        <v>2209</v>
      </c>
      <c r="B2218" s="1" t="s">
        <v>322</v>
      </c>
      <c r="C2218" s="32">
        <v>4674</v>
      </c>
      <c r="D2218" s="1">
        <v>25000</v>
      </c>
      <c r="E2218" s="1"/>
      <c r="F2218" s="1">
        <v>278.22000000000003</v>
      </c>
      <c r="G2218" s="1">
        <v>25000</v>
      </c>
      <c r="H2218" s="5">
        <f t="shared" si="52"/>
        <v>0</v>
      </c>
      <c r="I2218" s="6"/>
      <c r="J2218" s="43"/>
      <c r="K2218" s="51"/>
      <c r="L2218" s="86">
        <f>974546-951183</f>
        <v>23363</v>
      </c>
    </row>
    <row r="2219" spans="1:12" ht="15" x14ac:dyDescent="0.25">
      <c r="A2219" s="1">
        <v>2210</v>
      </c>
      <c r="B2219" s="1" t="s">
        <v>324</v>
      </c>
      <c r="C2219" s="32">
        <v>6538</v>
      </c>
      <c r="D2219" s="1">
        <v>8000</v>
      </c>
      <c r="E2219" s="1"/>
      <c r="F2219" s="1">
        <v>85</v>
      </c>
      <c r="G2219" s="1">
        <v>8000</v>
      </c>
      <c r="H2219" s="5">
        <f t="shared" si="52"/>
        <v>0</v>
      </c>
      <c r="I2219" s="6"/>
      <c r="J2219" s="43"/>
      <c r="K2219" s="51"/>
      <c r="L2219" s="86"/>
    </row>
    <row r="2220" spans="1:12" ht="15" x14ac:dyDescent="0.25">
      <c r="A2220" s="1">
        <v>2211</v>
      </c>
      <c r="B2220" s="1" t="s">
        <v>324</v>
      </c>
      <c r="C2220" s="32">
        <v>5403</v>
      </c>
      <c r="D2220" s="1">
        <v>12000</v>
      </c>
      <c r="E2220" s="1"/>
      <c r="F2220" s="1">
        <v>133</v>
      </c>
      <c r="G2220" s="1">
        <v>12000</v>
      </c>
      <c r="H2220" s="5">
        <f t="shared" si="52"/>
        <v>0</v>
      </c>
      <c r="I2220" s="6"/>
      <c r="J2220" s="43"/>
      <c r="K2220" s="51"/>
      <c r="L2220" s="86"/>
    </row>
    <row r="2221" spans="1:12" ht="15" x14ac:dyDescent="0.25">
      <c r="A2221" s="1">
        <v>2212</v>
      </c>
      <c r="B2221" s="1" t="s">
        <v>324</v>
      </c>
      <c r="C2221" s="32">
        <v>6204</v>
      </c>
      <c r="D2221" s="1">
        <v>20000</v>
      </c>
      <c r="E2221" s="1"/>
      <c r="F2221" s="1">
        <v>222.82</v>
      </c>
      <c r="G2221" s="1">
        <v>20000</v>
      </c>
      <c r="H2221" s="5">
        <f t="shared" si="52"/>
        <v>0</v>
      </c>
      <c r="I2221" s="6"/>
      <c r="J2221" s="43"/>
      <c r="K2221" s="51"/>
      <c r="L2221" s="86">
        <f>814546-791183</f>
        <v>23363</v>
      </c>
    </row>
    <row r="2222" spans="1:12" ht="15" x14ac:dyDescent="0.25">
      <c r="A2222" s="1">
        <v>2213</v>
      </c>
      <c r="B2222" s="1" t="s">
        <v>325</v>
      </c>
      <c r="C2222" s="32">
        <v>9134</v>
      </c>
      <c r="D2222" s="1">
        <v>19000</v>
      </c>
      <c r="E2222" s="1"/>
      <c r="F2222" s="1">
        <v>212.15</v>
      </c>
      <c r="G2222" s="1">
        <v>19000</v>
      </c>
      <c r="H2222" s="5">
        <f t="shared" si="52"/>
        <v>0</v>
      </c>
      <c r="I2222" s="6"/>
      <c r="J2222" s="43"/>
      <c r="K2222" s="51"/>
      <c r="L2222" s="86"/>
    </row>
    <row r="2223" spans="1:12" ht="15" x14ac:dyDescent="0.25">
      <c r="A2223" s="1">
        <v>2214</v>
      </c>
      <c r="B2223" s="1" t="s">
        <v>325</v>
      </c>
      <c r="C2223" s="32" t="s">
        <v>30</v>
      </c>
      <c r="D2223" s="1">
        <v>4500</v>
      </c>
      <c r="E2223" s="1"/>
      <c r="F2223" s="1">
        <v>50.13</v>
      </c>
      <c r="G2223" s="1">
        <v>4500</v>
      </c>
      <c r="H2223" s="5">
        <f t="shared" si="52"/>
        <v>0</v>
      </c>
      <c r="I2223" s="6"/>
      <c r="J2223" s="43"/>
      <c r="K2223" s="51"/>
      <c r="L2223" s="86"/>
    </row>
    <row r="2224" spans="1:12" ht="15" x14ac:dyDescent="0.25">
      <c r="A2224" s="1">
        <v>2215</v>
      </c>
      <c r="B2224" s="1" t="s">
        <v>325</v>
      </c>
      <c r="C2224" s="32">
        <v>990</v>
      </c>
      <c r="D2224" s="1">
        <v>14229</v>
      </c>
      <c r="E2224" s="1"/>
      <c r="F2224" s="1">
        <v>158</v>
      </c>
      <c r="G2224" s="1">
        <v>14229</v>
      </c>
      <c r="H2224" s="5">
        <f t="shared" si="52"/>
        <v>0</v>
      </c>
      <c r="I2224" s="6"/>
      <c r="J2224" s="43"/>
      <c r="K2224" s="51"/>
      <c r="L2224" s="86"/>
    </row>
    <row r="2225" spans="1:12" ht="15" x14ac:dyDescent="0.25">
      <c r="A2225" s="1">
        <v>2216</v>
      </c>
      <c r="B2225" s="1" t="s">
        <v>325</v>
      </c>
      <c r="C2225" s="32">
        <v>1871</v>
      </c>
      <c r="D2225" s="1">
        <v>20000</v>
      </c>
      <c r="E2225" s="1"/>
      <c r="F2225" s="1">
        <v>222.82</v>
      </c>
      <c r="G2225" s="1">
        <v>20000</v>
      </c>
      <c r="H2225" s="5">
        <f t="shared" si="52"/>
        <v>0</v>
      </c>
      <c r="I2225" s="6"/>
      <c r="J2225" s="43"/>
      <c r="K2225" s="51"/>
      <c r="L2225" s="86"/>
    </row>
    <row r="2226" spans="1:12" ht="15" x14ac:dyDescent="0.25">
      <c r="A2226" s="1">
        <v>2217</v>
      </c>
      <c r="B2226" s="1" t="s">
        <v>325</v>
      </c>
      <c r="C2226" s="32" t="s">
        <v>66</v>
      </c>
      <c r="D2226" s="1">
        <v>200</v>
      </c>
      <c r="E2226" s="1"/>
      <c r="F2226" s="1">
        <v>196.04</v>
      </c>
      <c r="G2226" s="1">
        <v>200</v>
      </c>
      <c r="H2226" s="5">
        <f t="shared" si="52"/>
        <v>0</v>
      </c>
      <c r="I2226" s="6"/>
      <c r="J2226" s="43"/>
      <c r="K2226" s="51"/>
      <c r="L2226" s="86">
        <f>867016-649112</f>
        <v>217904</v>
      </c>
    </row>
    <row r="2227" spans="1:12" ht="15" x14ac:dyDescent="0.25">
      <c r="A2227" s="1">
        <v>2218</v>
      </c>
      <c r="B2227" s="1" t="s">
        <v>326</v>
      </c>
      <c r="C2227" s="32">
        <v>3935</v>
      </c>
      <c r="D2227" s="1">
        <v>16000</v>
      </c>
      <c r="E2227" s="1"/>
      <c r="F2227" s="1">
        <v>168</v>
      </c>
      <c r="G2227" s="1">
        <v>16000</v>
      </c>
      <c r="H2227" s="5">
        <f t="shared" si="52"/>
        <v>0</v>
      </c>
      <c r="I2227" s="6"/>
      <c r="J2227" s="43"/>
      <c r="K2227" s="51"/>
      <c r="L2227" s="86"/>
    </row>
    <row r="2228" spans="1:12" ht="15" x14ac:dyDescent="0.25">
      <c r="A2228" s="1">
        <v>2219</v>
      </c>
      <c r="B2228" s="1" t="s">
        <v>327</v>
      </c>
      <c r="C2228" s="32">
        <v>851</v>
      </c>
      <c r="D2228" s="1">
        <v>24000</v>
      </c>
      <c r="E2228" s="1"/>
      <c r="F2228" s="1">
        <v>267</v>
      </c>
      <c r="G2228" s="1">
        <v>24000</v>
      </c>
      <c r="H2228" s="5">
        <f t="shared" si="52"/>
        <v>0</v>
      </c>
      <c r="I2228" s="6"/>
      <c r="J2228" s="43"/>
      <c r="K2228" s="51"/>
      <c r="L2228" s="86"/>
    </row>
    <row r="2229" spans="1:12" ht="15" x14ac:dyDescent="0.25">
      <c r="A2229" s="1">
        <v>2220</v>
      </c>
      <c r="B2229" s="1" t="s">
        <v>327</v>
      </c>
      <c r="C2229" s="32">
        <v>9148</v>
      </c>
      <c r="D2229" s="1">
        <v>23000</v>
      </c>
      <c r="E2229" s="1"/>
      <c r="F2229" s="1">
        <v>256</v>
      </c>
      <c r="G2229" s="1">
        <v>23000</v>
      </c>
      <c r="H2229" s="5">
        <f t="shared" si="52"/>
        <v>0</v>
      </c>
      <c r="I2229" s="6"/>
      <c r="J2229" s="43"/>
      <c r="K2229" s="51"/>
      <c r="L2229" s="86"/>
    </row>
    <row r="2230" spans="1:12" ht="15" x14ac:dyDescent="0.25">
      <c r="A2230" s="1">
        <v>2221</v>
      </c>
      <c r="B2230" s="1" t="s">
        <v>327</v>
      </c>
      <c r="C2230" s="32">
        <v>6205</v>
      </c>
      <c r="D2230" s="1">
        <v>18000</v>
      </c>
      <c r="E2230" s="1"/>
      <c r="F2230" s="1">
        <v>200.53</v>
      </c>
      <c r="G2230" s="1">
        <v>18000</v>
      </c>
      <c r="H2230" s="5">
        <f t="shared" si="52"/>
        <v>0</v>
      </c>
      <c r="I2230" s="6"/>
      <c r="J2230" s="43"/>
      <c r="K2230" s="51"/>
      <c r="L2230" s="86"/>
    </row>
    <row r="2231" spans="1:12" ht="15" x14ac:dyDescent="0.25">
      <c r="A2231" s="1">
        <v>2222</v>
      </c>
      <c r="B2231" s="1" t="s">
        <v>327</v>
      </c>
      <c r="C2231" s="32" t="s">
        <v>30</v>
      </c>
      <c r="D2231" s="1">
        <v>5000</v>
      </c>
      <c r="E2231" s="1"/>
      <c r="F2231" s="1">
        <v>55.7</v>
      </c>
      <c r="G2231" s="1">
        <v>5000</v>
      </c>
      <c r="H2231" s="5">
        <f t="shared" si="52"/>
        <v>0</v>
      </c>
      <c r="I2231" s="6"/>
      <c r="J2231" s="43"/>
      <c r="K2231" s="51"/>
      <c r="L2231" s="86"/>
    </row>
    <row r="2232" spans="1:12" ht="15" x14ac:dyDescent="0.25">
      <c r="A2232" s="1">
        <v>2223</v>
      </c>
      <c r="B2232" s="1" t="s">
        <v>327</v>
      </c>
      <c r="C2232" s="32">
        <v>7874</v>
      </c>
      <c r="D2232" s="1">
        <v>16000</v>
      </c>
      <c r="E2232" s="1"/>
      <c r="F2232" s="1">
        <v>168</v>
      </c>
      <c r="G2232" s="1">
        <v>16000</v>
      </c>
      <c r="H2232" s="5">
        <f t="shared" si="52"/>
        <v>0</v>
      </c>
      <c r="I2232" s="6"/>
      <c r="J2232" s="43"/>
      <c r="K2232" s="51"/>
      <c r="L2232" s="86"/>
    </row>
    <row r="2233" spans="1:12" ht="15" x14ac:dyDescent="0.25">
      <c r="A2233" s="1">
        <v>2224</v>
      </c>
      <c r="B2233" s="1" t="s">
        <v>327</v>
      </c>
      <c r="C2233" s="32">
        <v>7375</v>
      </c>
      <c r="D2233" s="1">
        <v>20000</v>
      </c>
      <c r="E2233" s="1"/>
      <c r="F2233" s="1">
        <v>222.82</v>
      </c>
      <c r="G2233" s="1">
        <v>20000</v>
      </c>
      <c r="H2233" s="5">
        <f t="shared" ref="H2233:H2311" si="53">D2233-G2233</f>
        <v>0</v>
      </c>
      <c r="I2233" s="6"/>
      <c r="J2233" s="43"/>
      <c r="K2233" s="51"/>
      <c r="L2233" s="86"/>
    </row>
    <row r="2234" spans="1:12" ht="15" x14ac:dyDescent="0.25">
      <c r="A2234" s="1">
        <v>2225</v>
      </c>
      <c r="B2234" s="1" t="s">
        <v>327</v>
      </c>
      <c r="C2234" s="32">
        <v>8600</v>
      </c>
      <c r="D2234" s="1">
        <v>15000</v>
      </c>
      <c r="E2234" s="1"/>
      <c r="F2234" s="1">
        <v>167</v>
      </c>
      <c r="G2234" s="1">
        <v>15000</v>
      </c>
      <c r="H2234" s="5">
        <f t="shared" si="53"/>
        <v>0</v>
      </c>
      <c r="I2234" s="6"/>
      <c r="J2234" s="43"/>
      <c r="K2234" s="51"/>
      <c r="L2234" s="86">
        <f>789379-786112</f>
        <v>3267</v>
      </c>
    </row>
    <row r="2235" spans="1:12" ht="15" x14ac:dyDescent="0.25">
      <c r="A2235" s="1">
        <v>2226</v>
      </c>
      <c r="B2235" s="1" t="s">
        <v>328</v>
      </c>
      <c r="C2235" s="32">
        <v>1611</v>
      </c>
      <c r="D2235" s="1">
        <v>22000</v>
      </c>
      <c r="E2235" s="1"/>
      <c r="F2235" s="1">
        <v>245</v>
      </c>
      <c r="G2235" s="1">
        <v>22000</v>
      </c>
      <c r="H2235" s="5">
        <f t="shared" si="53"/>
        <v>0</v>
      </c>
      <c r="I2235" s="6"/>
      <c r="J2235" s="43"/>
      <c r="K2235" s="51"/>
      <c r="L2235" s="86"/>
    </row>
    <row r="2236" spans="1:12" ht="15" x14ac:dyDescent="0.25">
      <c r="A2236" s="1">
        <v>2227</v>
      </c>
      <c r="B2236" s="1" t="s">
        <v>328</v>
      </c>
      <c r="C2236" s="32">
        <v>2545</v>
      </c>
      <c r="D2236" s="1">
        <v>16000</v>
      </c>
      <c r="E2236" s="1"/>
      <c r="F2236" s="1">
        <v>168</v>
      </c>
      <c r="G2236" s="1">
        <v>16000</v>
      </c>
      <c r="H2236" s="5">
        <f t="shared" si="53"/>
        <v>0</v>
      </c>
      <c r="I2236" s="6"/>
      <c r="J2236" s="43"/>
      <c r="K2236" s="51"/>
      <c r="L2236" s="86"/>
    </row>
    <row r="2237" spans="1:12" ht="15" x14ac:dyDescent="0.25">
      <c r="A2237" s="1">
        <v>2228</v>
      </c>
      <c r="B2237" s="1" t="s">
        <v>328</v>
      </c>
      <c r="C2237" s="32" t="s">
        <v>30</v>
      </c>
      <c r="D2237" s="1">
        <v>4500</v>
      </c>
      <c r="E2237" s="1"/>
      <c r="F2237" s="1">
        <v>50.13</v>
      </c>
      <c r="G2237" s="1">
        <v>4500</v>
      </c>
      <c r="H2237" s="5">
        <f t="shared" si="53"/>
        <v>0</v>
      </c>
      <c r="I2237" s="6"/>
      <c r="J2237" s="43"/>
      <c r="K2237" s="51"/>
      <c r="L2237" s="86"/>
    </row>
    <row r="2238" spans="1:12" ht="15" x14ac:dyDescent="0.25">
      <c r="A2238" s="1">
        <v>2229</v>
      </c>
      <c r="B2238" s="1" t="s">
        <v>328</v>
      </c>
      <c r="C2238" s="32">
        <v>7045</v>
      </c>
      <c r="D2238" s="1">
        <v>17000</v>
      </c>
      <c r="E2238" s="1"/>
      <c r="F2238" s="1">
        <v>189</v>
      </c>
      <c r="G2238" s="1">
        <v>17000</v>
      </c>
      <c r="H2238" s="5">
        <f t="shared" si="53"/>
        <v>0</v>
      </c>
      <c r="I2238" s="6"/>
      <c r="J2238" s="43"/>
      <c r="K2238" s="51"/>
      <c r="L2238" s="86"/>
    </row>
    <row r="2239" spans="1:12" ht="15" x14ac:dyDescent="0.25">
      <c r="A2239" s="1">
        <v>2230</v>
      </c>
      <c r="B2239" s="1" t="s">
        <v>328</v>
      </c>
      <c r="C2239" s="32">
        <v>2380</v>
      </c>
      <c r="D2239" s="1">
        <v>22000</v>
      </c>
      <c r="E2239" s="1"/>
      <c r="F2239" s="1">
        <v>245</v>
      </c>
      <c r="G2239" s="1">
        <v>22000</v>
      </c>
      <c r="H2239" s="5">
        <f t="shared" si="53"/>
        <v>0</v>
      </c>
      <c r="I2239" s="6"/>
      <c r="J2239" s="43"/>
      <c r="K2239" s="51"/>
      <c r="L2239" s="86"/>
    </row>
    <row r="2240" spans="1:12" ht="15" x14ac:dyDescent="0.25">
      <c r="A2240" s="1">
        <v>2231</v>
      </c>
      <c r="B2240" s="1" t="s">
        <v>328</v>
      </c>
      <c r="C2240" s="32">
        <v>4046</v>
      </c>
      <c r="D2240" s="1">
        <v>15000</v>
      </c>
      <c r="E2240" s="1"/>
      <c r="F2240" s="1">
        <v>167</v>
      </c>
      <c r="G2240" s="1">
        <v>15000</v>
      </c>
      <c r="H2240" s="5">
        <f t="shared" si="53"/>
        <v>0</v>
      </c>
      <c r="I2240" s="6"/>
      <c r="J2240" s="43"/>
      <c r="K2240" s="51"/>
      <c r="L2240" s="86"/>
    </row>
    <row r="2241" spans="1:13" ht="15" x14ac:dyDescent="0.25">
      <c r="A2241" s="1">
        <v>2232</v>
      </c>
      <c r="B2241" s="1" t="s">
        <v>328</v>
      </c>
      <c r="C2241" s="32">
        <v>6849</v>
      </c>
      <c r="D2241" s="1">
        <v>20000</v>
      </c>
      <c r="E2241" s="1"/>
      <c r="F2241" s="1">
        <v>222.82</v>
      </c>
      <c r="G2241" s="1">
        <v>20000</v>
      </c>
      <c r="H2241" s="5">
        <f t="shared" si="53"/>
        <v>0</v>
      </c>
      <c r="I2241" s="6"/>
      <c r="J2241" s="43"/>
      <c r="K2241" s="51"/>
      <c r="L2241" s="86"/>
    </row>
    <row r="2242" spans="1:13" ht="15" x14ac:dyDescent="0.25">
      <c r="A2242" s="1">
        <v>2233</v>
      </c>
      <c r="B2242" s="1" t="s">
        <v>328</v>
      </c>
      <c r="C2242" s="32">
        <v>4.5999999999999999E-3</v>
      </c>
      <c r="D2242" s="1">
        <v>20000</v>
      </c>
      <c r="E2242" s="1"/>
      <c r="F2242" s="1">
        <v>222.82</v>
      </c>
      <c r="G2242" s="1">
        <v>20000</v>
      </c>
      <c r="H2242" s="5">
        <f t="shared" si="53"/>
        <v>0</v>
      </c>
      <c r="I2242" s="6"/>
      <c r="J2242" s="43"/>
      <c r="K2242" s="51"/>
      <c r="L2242" s="86"/>
    </row>
    <row r="2243" spans="1:13" ht="15" x14ac:dyDescent="0.25">
      <c r="A2243" s="1">
        <v>2234</v>
      </c>
      <c r="B2243" s="1" t="s">
        <v>328</v>
      </c>
      <c r="C2243" s="32">
        <v>4049</v>
      </c>
      <c r="D2243" s="1">
        <v>20000</v>
      </c>
      <c r="E2243" s="1"/>
      <c r="F2243" s="1">
        <v>222.82</v>
      </c>
      <c r="G2243" s="1">
        <v>20000</v>
      </c>
      <c r="H2243" s="5">
        <f t="shared" si="53"/>
        <v>0</v>
      </c>
      <c r="I2243" s="6"/>
      <c r="J2243" s="43"/>
      <c r="K2243" s="51"/>
      <c r="L2243" s="86"/>
    </row>
    <row r="2244" spans="1:13" ht="15" x14ac:dyDescent="0.25">
      <c r="A2244" s="1">
        <v>2235</v>
      </c>
      <c r="B2244" s="1" t="s">
        <v>328</v>
      </c>
      <c r="C2244" s="32">
        <v>9137</v>
      </c>
      <c r="D2244" s="1">
        <v>20000</v>
      </c>
      <c r="E2244" s="1"/>
      <c r="F2244" s="1">
        <v>222.82</v>
      </c>
      <c r="G2244" s="1">
        <v>20000</v>
      </c>
      <c r="H2244" s="5">
        <f t="shared" si="53"/>
        <v>0</v>
      </c>
      <c r="I2244" s="6"/>
      <c r="J2244" s="43"/>
      <c r="K2244" s="51"/>
      <c r="L2244" s="86"/>
    </row>
    <row r="2245" spans="1:13" ht="15" x14ac:dyDescent="0.25">
      <c r="A2245" s="1">
        <v>2236</v>
      </c>
      <c r="B2245" s="1" t="s">
        <v>328</v>
      </c>
      <c r="C2245" s="32">
        <v>5357</v>
      </c>
      <c r="D2245" s="1">
        <v>13000</v>
      </c>
      <c r="E2245" s="1"/>
      <c r="F2245" s="1">
        <v>144</v>
      </c>
      <c r="G2245" s="1">
        <v>13000</v>
      </c>
      <c r="H2245" s="5">
        <f t="shared" si="53"/>
        <v>0</v>
      </c>
      <c r="I2245" s="6"/>
      <c r="J2245" s="43"/>
      <c r="K2245" s="51"/>
      <c r="L2245" s="86"/>
    </row>
    <row r="2246" spans="1:13" ht="15" x14ac:dyDescent="0.25">
      <c r="A2246" s="1">
        <v>2237</v>
      </c>
      <c r="B2246" s="1" t="s">
        <v>328</v>
      </c>
      <c r="C2246" s="32">
        <v>9250</v>
      </c>
      <c r="D2246" s="1">
        <v>27000</v>
      </c>
      <c r="E2246" s="1"/>
      <c r="F2246" s="1">
        <v>300</v>
      </c>
      <c r="G2246" s="1">
        <v>27000</v>
      </c>
      <c r="H2246" s="5">
        <f t="shared" si="53"/>
        <v>0</v>
      </c>
      <c r="I2246" s="6"/>
      <c r="J2246" s="43"/>
      <c r="K2246" s="51"/>
      <c r="L2246" s="86"/>
    </row>
    <row r="2247" spans="1:13" ht="15" x14ac:dyDescent="0.25">
      <c r="A2247" s="1">
        <v>2238</v>
      </c>
      <c r="B2247" s="1" t="s">
        <v>329</v>
      </c>
      <c r="C2247" s="32">
        <v>7109</v>
      </c>
      <c r="D2247" s="1">
        <v>3508</v>
      </c>
      <c r="E2247" s="1"/>
      <c r="F2247" s="1">
        <v>39</v>
      </c>
      <c r="G2247" s="1">
        <v>3508</v>
      </c>
      <c r="H2247" s="5">
        <f t="shared" si="53"/>
        <v>0</v>
      </c>
      <c r="I2247" s="6"/>
      <c r="J2247" s="43"/>
      <c r="K2247" s="51"/>
      <c r="L2247" s="86"/>
    </row>
    <row r="2248" spans="1:13" ht="15" x14ac:dyDescent="0.25">
      <c r="A2248" s="1">
        <v>2239</v>
      </c>
      <c r="B2248" s="1" t="s">
        <v>329</v>
      </c>
      <c r="C2248" s="32">
        <v>1909</v>
      </c>
      <c r="D2248" s="1">
        <v>15000</v>
      </c>
      <c r="E2248" s="1"/>
      <c r="F2248" s="1">
        <v>167</v>
      </c>
      <c r="G2248" s="1">
        <v>15000</v>
      </c>
      <c r="H2248" s="5">
        <f t="shared" si="53"/>
        <v>0</v>
      </c>
      <c r="I2248" s="6"/>
      <c r="J2248" s="43"/>
      <c r="K2248" s="51"/>
      <c r="L2248" s="86"/>
    </row>
    <row r="2249" spans="1:13" ht="15" x14ac:dyDescent="0.25">
      <c r="A2249" s="1">
        <v>2240</v>
      </c>
      <c r="B2249" s="1" t="s">
        <v>332</v>
      </c>
      <c r="C2249" s="32" t="s">
        <v>66</v>
      </c>
      <c r="D2249" s="1">
        <v>210</v>
      </c>
      <c r="E2249" s="1"/>
      <c r="F2249" s="1">
        <v>192.08</v>
      </c>
      <c r="G2249" s="1">
        <v>210</v>
      </c>
      <c r="H2249" s="5">
        <f t="shared" si="53"/>
        <v>0</v>
      </c>
      <c r="I2249" s="6"/>
      <c r="J2249" s="43"/>
      <c r="K2249" s="51"/>
      <c r="L2249" s="86"/>
      <c r="M2249">
        <f>96.04*2</f>
        <v>192.08</v>
      </c>
    </row>
    <row r="2250" spans="1:13" ht="15" x14ac:dyDescent="0.25">
      <c r="A2250" s="1">
        <v>2241</v>
      </c>
      <c r="B2250" s="1" t="s">
        <v>332</v>
      </c>
      <c r="C2250" s="32" t="s">
        <v>30</v>
      </c>
      <c r="D2250" s="1">
        <v>4500</v>
      </c>
      <c r="E2250" s="1"/>
      <c r="F2250" s="1">
        <v>50.13</v>
      </c>
      <c r="G2250" s="1">
        <v>4500</v>
      </c>
      <c r="H2250" s="5">
        <f t="shared" si="53"/>
        <v>0</v>
      </c>
      <c r="I2250" s="6"/>
      <c r="J2250" s="43"/>
      <c r="K2250" s="51"/>
      <c r="L2250" s="86"/>
    </row>
    <row r="2251" spans="1:13" ht="15" x14ac:dyDescent="0.25">
      <c r="A2251" s="1">
        <v>2242</v>
      </c>
      <c r="B2251" s="1" t="s">
        <v>332</v>
      </c>
      <c r="C2251" s="32">
        <v>6328</v>
      </c>
      <c r="D2251" s="1">
        <v>23000</v>
      </c>
      <c r="E2251" s="1"/>
      <c r="F2251" s="1">
        <v>256</v>
      </c>
      <c r="G2251" s="1">
        <v>23000</v>
      </c>
      <c r="H2251" s="5">
        <f t="shared" si="53"/>
        <v>0</v>
      </c>
      <c r="I2251" s="6"/>
      <c r="J2251" s="43"/>
      <c r="K2251" s="51"/>
      <c r="L2251" s="86"/>
    </row>
    <row r="2252" spans="1:13" ht="15" x14ac:dyDescent="0.25">
      <c r="A2252" s="1">
        <v>2243</v>
      </c>
      <c r="B2252" s="1" t="s">
        <v>332</v>
      </c>
      <c r="C2252" s="32" t="s">
        <v>30</v>
      </c>
      <c r="D2252" s="1">
        <v>5000</v>
      </c>
      <c r="E2252" s="1"/>
      <c r="F2252" s="1">
        <v>55.7</v>
      </c>
      <c r="G2252" s="1">
        <v>5000</v>
      </c>
      <c r="H2252" s="5">
        <f t="shared" si="53"/>
        <v>0</v>
      </c>
      <c r="I2252" s="6"/>
      <c r="J2252" s="43"/>
      <c r="K2252" s="51"/>
      <c r="L2252" s="86"/>
    </row>
    <row r="2253" spans="1:13" ht="15" x14ac:dyDescent="0.25">
      <c r="A2253" s="1">
        <v>2244</v>
      </c>
      <c r="B2253" s="1" t="s">
        <v>332</v>
      </c>
      <c r="C2253" s="32">
        <v>2605</v>
      </c>
      <c r="D2253" s="1">
        <v>23000</v>
      </c>
      <c r="E2253" s="1"/>
      <c r="F2253" s="1">
        <v>256</v>
      </c>
      <c r="G2253" s="1">
        <v>23000</v>
      </c>
      <c r="H2253" s="5">
        <f t="shared" si="53"/>
        <v>0</v>
      </c>
      <c r="I2253" s="6"/>
      <c r="J2253" s="43"/>
      <c r="K2253" s="51"/>
      <c r="L2253" s="86"/>
    </row>
    <row r="2254" spans="1:13" ht="15" x14ac:dyDescent="0.25">
      <c r="A2254" s="1">
        <v>2245</v>
      </c>
      <c r="B2254" s="1" t="s">
        <v>332</v>
      </c>
      <c r="C2254" s="32">
        <v>1196</v>
      </c>
      <c r="D2254" s="1">
        <v>23000</v>
      </c>
      <c r="E2254" s="1"/>
      <c r="F2254" s="1">
        <v>256</v>
      </c>
      <c r="G2254" s="1">
        <v>23000</v>
      </c>
      <c r="H2254" s="5">
        <f t="shared" si="53"/>
        <v>0</v>
      </c>
      <c r="I2254" s="6"/>
      <c r="J2254" s="43"/>
      <c r="K2254" s="51"/>
      <c r="L2254" s="86"/>
    </row>
    <row r="2255" spans="1:13" ht="15" x14ac:dyDescent="0.25">
      <c r="A2255" s="1">
        <v>2246</v>
      </c>
      <c r="B2255" s="1" t="s">
        <v>332</v>
      </c>
      <c r="C2255" s="32">
        <v>2555</v>
      </c>
      <c r="D2255" s="1">
        <v>10000</v>
      </c>
      <c r="E2255" s="1"/>
      <c r="F2255" s="1">
        <v>111</v>
      </c>
      <c r="G2255" s="1">
        <v>10000</v>
      </c>
      <c r="H2255" s="5">
        <f t="shared" si="53"/>
        <v>0</v>
      </c>
      <c r="I2255" s="6"/>
      <c r="J2255" s="43"/>
      <c r="K2255" s="51"/>
      <c r="L2255" s="86"/>
    </row>
    <row r="2256" spans="1:13" ht="15" x14ac:dyDescent="0.25">
      <c r="A2256" s="1">
        <v>2247</v>
      </c>
      <c r="B2256" s="1" t="s">
        <v>332</v>
      </c>
      <c r="C2256" s="32">
        <v>5491</v>
      </c>
      <c r="D2256" s="1">
        <v>20000</v>
      </c>
      <c r="E2256" s="1"/>
      <c r="F2256" s="1">
        <v>222.82</v>
      </c>
      <c r="G2256" s="1">
        <v>20000</v>
      </c>
      <c r="H2256" s="5">
        <f t="shared" si="53"/>
        <v>0</v>
      </c>
      <c r="I2256" s="6"/>
      <c r="J2256" s="43"/>
      <c r="K2256" s="51"/>
      <c r="L2256" s="86"/>
    </row>
    <row r="2257" spans="1:12" ht="15" x14ac:dyDescent="0.25">
      <c r="A2257" s="1">
        <v>2248</v>
      </c>
      <c r="B2257" s="1" t="s">
        <v>332</v>
      </c>
      <c r="C2257" s="32">
        <v>3809</v>
      </c>
      <c r="D2257" s="1">
        <v>20000</v>
      </c>
      <c r="E2257" s="1"/>
      <c r="F2257" s="1">
        <v>222.82</v>
      </c>
      <c r="G2257" s="1">
        <v>20000</v>
      </c>
      <c r="H2257" s="5">
        <f t="shared" si="53"/>
        <v>0</v>
      </c>
      <c r="I2257" s="6"/>
      <c r="J2257" s="43"/>
      <c r="K2257" s="51"/>
      <c r="L2257" s="86">
        <f>849830-836268</f>
        <v>13562</v>
      </c>
    </row>
    <row r="2258" spans="1:12" ht="15" x14ac:dyDescent="0.25">
      <c r="A2258" s="1">
        <v>2249</v>
      </c>
      <c r="B2258" s="1" t="s">
        <v>333</v>
      </c>
      <c r="C2258" s="32">
        <v>4175</v>
      </c>
      <c r="D2258" s="1">
        <v>15000</v>
      </c>
      <c r="E2258" s="1"/>
      <c r="F2258" s="1">
        <v>167</v>
      </c>
      <c r="G2258" s="1">
        <v>15000</v>
      </c>
      <c r="H2258" s="5">
        <f t="shared" si="53"/>
        <v>0</v>
      </c>
      <c r="I2258" s="6"/>
      <c r="J2258" s="43"/>
      <c r="K2258" s="51"/>
      <c r="L2258" s="86"/>
    </row>
    <row r="2259" spans="1:12" ht="15" x14ac:dyDescent="0.25">
      <c r="A2259" s="1">
        <v>2250</v>
      </c>
      <c r="B2259" s="1" t="s">
        <v>333</v>
      </c>
      <c r="C2259" s="32">
        <v>4501</v>
      </c>
      <c r="D2259" s="1">
        <v>20000</v>
      </c>
      <c r="E2259" s="1"/>
      <c r="F2259" s="1">
        <v>222</v>
      </c>
      <c r="G2259" s="1">
        <v>20000</v>
      </c>
      <c r="H2259" s="5">
        <f t="shared" si="53"/>
        <v>0</v>
      </c>
      <c r="I2259" s="6"/>
      <c r="J2259" s="43"/>
      <c r="K2259" s="51"/>
      <c r="L2259" s="86">
        <f>884830-871268</f>
        <v>13562</v>
      </c>
    </row>
    <row r="2260" spans="1:12" ht="15" x14ac:dyDescent="0.25">
      <c r="A2260" s="1">
        <v>2251</v>
      </c>
      <c r="B2260" s="1" t="s">
        <v>334</v>
      </c>
      <c r="C2260" s="32">
        <v>3763</v>
      </c>
      <c r="D2260" s="1">
        <v>22000</v>
      </c>
      <c r="E2260" s="1"/>
      <c r="F2260" s="1">
        <v>245</v>
      </c>
      <c r="G2260" s="1">
        <v>22000</v>
      </c>
      <c r="H2260" s="5">
        <f t="shared" si="53"/>
        <v>0</v>
      </c>
      <c r="I2260" s="6"/>
      <c r="J2260" s="43"/>
      <c r="K2260" s="51"/>
      <c r="L2260" s="86"/>
    </row>
    <row r="2261" spans="1:12" ht="15" x14ac:dyDescent="0.25">
      <c r="A2261" s="1">
        <v>2252</v>
      </c>
      <c r="B2261" s="1" t="s">
        <v>334</v>
      </c>
      <c r="C2261" s="32">
        <v>7469</v>
      </c>
      <c r="D2261" s="1">
        <v>22000</v>
      </c>
      <c r="E2261" s="1"/>
      <c r="F2261" s="1">
        <v>245</v>
      </c>
      <c r="G2261" s="1">
        <v>22000</v>
      </c>
      <c r="H2261" s="5">
        <f t="shared" si="53"/>
        <v>0</v>
      </c>
      <c r="I2261" s="6"/>
      <c r="J2261" s="43"/>
      <c r="K2261" s="51"/>
      <c r="L2261" s="86"/>
    </row>
    <row r="2262" spans="1:12" ht="15" x14ac:dyDescent="0.25">
      <c r="A2262" s="1">
        <v>2253</v>
      </c>
      <c r="B2262" s="1" t="s">
        <v>334</v>
      </c>
      <c r="C2262" s="32">
        <v>6287</v>
      </c>
      <c r="D2262" s="1">
        <v>18000</v>
      </c>
      <c r="E2262" s="1"/>
      <c r="F2262" s="1">
        <v>200.53</v>
      </c>
      <c r="G2262" s="1">
        <v>18000</v>
      </c>
      <c r="H2262" s="5">
        <f t="shared" si="53"/>
        <v>0</v>
      </c>
      <c r="I2262" s="6"/>
      <c r="J2262" s="43"/>
      <c r="K2262" s="51"/>
      <c r="L2262" s="86"/>
    </row>
    <row r="2263" spans="1:12" ht="15" x14ac:dyDescent="0.25">
      <c r="A2263" s="1">
        <v>2254</v>
      </c>
      <c r="B2263" s="1" t="s">
        <v>334</v>
      </c>
      <c r="C2263" s="32">
        <v>5187</v>
      </c>
      <c r="D2263" s="1">
        <v>18000</v>
      </c>
      <c r="E2263" s="1"/>
      <c r="F2263" s="1">
        <v>200.53</v>
      </c>
      <c r="G2263" s="1">
        <v>18000</v>
      </c>
      <c r="H2263" s="5">
        <f t="shared" si="53"/>
        <v>0</v>
      </c>
      <c r="I2263" s="6"/>
      <c r="J2263" s="43"/>
      <c r="K2263" s="51"/>
      <c r="L2263" s="86"/>
    </row>
    <row r="2264" spans="1:12" ht="15" x14ac:dyDescent="0.25">
      <c r="A2264" s="1">
        <v>2255</v>
      </c>
      <c r="B2264" s="1" t="s">
        <v>334</v>
      </c>
      <c r="C2264" s="32">
        <v>1187</v>
      </c>
      <c r="D2264" s="1">
        <v>18000</v>
      </c>
      <c r="E2264" s="1"/>
      <c r="F2264" s="1">
        <v>200.53</v>
      </c>
      <c r="G2264" s="1">
        <v>18000</v>
      </c>
      <c r="H2264" s="5">
        <f t="shared" si="53"/>
        <v>0</v>
      </c>
      <c r="I2264" s="6"/>
      <c r="J2264" s="43"/>
      <c r="K2264" s="51"/>
      <c r="L2264" s="86"/>
    </row>
    <row r="2265" spans="1:12" ht="15" x14ac:dyDescent="0.25">
      <c r="A2265" s="1">
        <v>2256</v>
      </c>
      <c r="B2265" s="1" t="s">
        <v>335</v>
      </c>
      <c r="C2265" s="32">
        <v>9292</v>
      </c>
      <c r="D2265" s="1">
        <v>9929</v>
      </c>
      <c r="E2265" s="1"/>
      <c r="F2265" s="1">
        <v>110</v>
      </c>
      <c r="G2265" s="1">
        <v>9929</v>
      </c>
      <c r="H2265" s="5">
        <f t="shared" si="53"/>
        <v>0</v>
      </c>
      <c r="I2265" s="6"/>
      <c r="J2265" s="43"/>
      <c r="K2265" s="51"/>
      <c r="L2265" s="86"/>
    </row>
    <row r="2266" spans="1:12" ht="15" x14ac:dyDescent="0.25">
      <c r="A2266" s="1">
        <v>2257</v>
      </c>
      <c r="B2266" s="1" t="s">
        <v>335</v>
      </c>
      <c r="C2266" s="32">
        <v>4691</v>
      </c>
      <c r="D2266" s="1">
        <v>20000</v>
      </c>
      <c r="E2266" s="1"/>
      <c r="F2266" s="1">
        <v>222.82</v>
      </c>
      <c r="G2266" s="1">
        <v>20000</v>
      </c>
      <c r="H2266" s="5">
        <f t="shared" si="53"/>
        <v>0</v>
      </c>
      <c r="I2266" s="6"/>
      <c r="J2266" s="43"/>
      <c r="K2266" s="51"/>
      <c r="L2266" s="86"/>
    </row>
    <row r="2267" spans="1:12" ht="15" x14ac:dyDescent="0.25">
      <c r="A2267" s="1">
        <v>2258</v>
      </c>
      <c r="B2267" s="1" t="s">
        <v>335</v>
      </c>
      <c r="C2267" s="32">
        <v>521</v>
      </c>
      <c r="D2267" s="1">
        <v>10000</v>
      </c>
      <c r="E2267" s="1"/>
      <c r="F2267" s="1">
        <v>111</v>
      </c>
      <c r="G2267" s="1">
        <v>10000</v>
      </c>
      <c r="H2267" s="5">
        <f t="shared" si="53"/>
        <v>0</v>
      </c>
      <c r="I2267" s="6"/>
      <c r="J2267" s="43"/>
      <c r="K2267" s="51"/>
      <c r="L2267" s="86"/>
    </row>
    <row r="2268" spans="1:12" ht="15" x14ac:dyDescent="0.25">
      <c r="A2268" s="1">
        <v>2259</v>
      </c>
      <c r="B2268" s="1" t="s">
        <v>335</v>
      </c>
      <c r="C2268" s="32">
        <v>3773</v>
      </c>
      <c r="D2268" s="1">
        <v>13000</v>
      </c>
      <c r="E2268" s="1"/>
      <c r="F2268" s="1">
        <v>144</v>
      </c>
      <c r="G2268" s="1">
        <v>13000</v>
      </c>
      <c r="H2268" s="5">
        <f t="shared" si="53"/>
        <v>0</v>
      </c>
      <c r="I2268" s="6"/>
      <c r="J2268" s="43"/>
      <c r="K2268" s="51"/>
      <c r="L2268" s="86"/>
    </row>
    <row r="2269" spans="1:12" ht="15" x14ac:dyDescent="0.25">
      <c r="A2269" s="1">
        <v>2260</v>
      </c>
      <c r="B2269" s="1" t="s">
        <v>335</v>
      </c>
      <c r="C2269" s="32">
        <v>492</v>
      </c>
      <c r="D2269" s="1">
        <v>20000</v>
      </c>
      <c r="E2269" s="1"/>
      <c r="F2269" s="1">
        <v>222.82</v>
      </c>
      <c r="G2269" s="1">
        <v>20000</v>
      </c>
      <c r="H2269" s="5">
        <f t="shared" si="53"/>
        <v>0</v>
      </c>
      <c r="I2269" s="6"/>
      <c r="J2269" s="43"/>
      <c r="K2269" s="51"/>
      <c r="L2269" s="86"/>
    </row>
    <row r="2270" spans="1:12" ht="15" x14ac:dyDescent="0.25">
      <c r="A2270" s="1">
        <v>2261</v>
      </c>
      <c r="B2270" s="1" t="s">
        <v>335</v>
      </c>
      <c r="C2270" s="32" t="s">
        <v>30</v>
      </c>
      <c r="D2270" s="1">
        <v>4500</v>
      </c>
      <c r="E2270" s="1"/>
      <c r="F2270" s="1">
        <v>50.13</v>
      </c>
      <c r="G2270" s="1">
        <v>4500</v>
      </c>
      <c r="H2270" s="5">
        <f t="shared" si="53"/>
        <v>0</v>
      </c>
      <c r="I2270" s="6"/>
      <c r="J2270" s="43"/>
      <c r="K2270" s="51"/>
      <c r="L2270" s="86"/>
    </row>
    <row r="2271" spans="1:12" ht="15" x14ac:dyDescent="0.25">
      <c r="A2271" s="1">
        <v>2262</v>
      </c>
      <c r="B2271" s="1" t="s">
        <v>335</v>
      </c>
      <c r="C2271" s="32" t="s">
        <v>30</v>
      </c>
      <c r="D2271" s="1">
        <v>5000</v>
      </c>
      <c r="E2271" s="1"/>
      <c r="F2271" s="1">
        <v>55.15</v>
      </c>
      <c r="G2271" s="1">
        <v>5000</v>
      </c>
      <c r="H2271" s="5">
        <f t="shared" si="53"/>
        <v>0</v>
      </c>
      <c r="I2271" s="6"/>
      <c r="J2271" s="43"/>
      <c r="K2271" s="51"/>
      <c r="L2271" s="86"/>
    </row>
    <row r="2272" spans="1:12" ht="15" x14ac:dyDescent="0.25">
      <c r="A2272" s="1">
        <v>2263</v>
      </c>
      <c r="B2272" s="1" t="s">
        <v>335</v>
      </c>
      <c r="C2272" s="32">
        <v>5602</v>
      </c>
      <c r="D2272" s="1">
        <v>17000</v>
      </c>
      <c r="E2272" s="1"/>
      <c r="F2272" s="1">
        <v>189</v>
      </c>
      <c r="G2272" s="1">
        <v>17000</v>
      </c>
      <c r="H2272" s="5">
        <f t="shared" si="53"/>
        <v>0</v>
      </c>
      <c r="I2272" s="6"/>
      <c r="J2272" s="43"/>
      <c r="K2272" s="51"/>
      <c r="L2272" s="86"/>
    </row>
    <row r="2273" spans="1:14" ht="15" x14ac:dyDescent="0.25">
      <c r="A2273" s="1">
        <v>2264</v>
      </c>
      <c r="B2273" s="1" t="s">
        <v>335</v>
      </c>
      <c r="C2273" s="32">
        <v>3968</v>
      </c>
      <c r="D2273" s="1">
        <v>20000</v>
      </c>
      <c r="E2273" s="1"/>
      <c r="F2273" s="1">
        <v>222.82</v>
      </c>
      <c r="G2273" s="1">
        <v>20000</v>
      </c>
      <c r="H2273" s="5">
        <f t="shared" si="53"/>
        <v>0</v>
      </c>
      <c r="I2273" s="6"/>
      <c r="J2273" s="43"/>
      <c r="K2273" s="51"/>
      <c r="L2273" s="86"/>
    </row>
    <row r="2274" spans="1:14" ht="15" x14ac:dyDescent="0.25">
      <c r="A2274" s="1">
        <v>2265</v>
      </c>
      <c r="B2274" s="1" t="s">
        <v>335</v>
      </c>
      <c r="C2274" s="32" t="s">
        <v>66</v>
      </c>
      <c r="D2274" s="1">
        <v>200</v>
      </c>
      <c r="E2274" s="1"/>
      <c r="F2274" s="1">
        <v>2.08</v>
      </c>
      <c r="G2274" s="1">
        <v>200</v>
      </c>
      <c r="H2274" s="5">
        <f t="shared" si="53"/>
        <v>0</v>
      </c>
      <c r="I2274" s="6"/>
      <c r="J2274" s="43"/>
      <c r="K2274" s="51"/>
      <c r="L2274" s="86"/>
      <c r="N2274">
        <f>200/96</f>
        <v>2.0833333333333335</v>
      </c>
    </row>
    <row r="2275" spans="1:14" ht="15" x14ac:dyDescent="0.25">
      <c r="A2275" s="1">
        <v>2266</v>
      </c>
      <c r="B2275" s="1" t="s">
        <v>336</v>
      </c>
      <c r="C2275" s="32">
        <v>9255</v>
      </c>
      <c r="D2275" s="1">
        <v>21000</v>
      </c>
      <c r="E2275" s="1"/>
      <c r="F2275" s="1">
        <v>233</v>
      </c>
      <c r="G2275" s="1">
        <v>21000</v>
      </c>
      <c r="H2275" s="5">
        <f t="shared" si="53"/>
        <v>0</v>
      </c>
      <c r="I2275" s="6"/>
      <c r="J2275" s="43"/>
      <c r="K2275" s="51"/>
      <c r="L2275" s="86"/>
    </row>
    <row r="2276" spans="1:14" ht="15" x14ac:dyDescent="0.25">
      <c r="A2276" s="1">
        <v>2267</v>
      </c>
      <c r="B2276" s="1" t="s">
        <v>336</v>
      </c>
      <c r="C2276" s="32">
        <v>9544</v>
      </c>
      <c r="D2276" s="1">
        <v>12000</v>
      </c>
      <c r="E2276" s="1"/>
      <c r="F2276" s="1">
        <v>133</v>
      </c>
      <c r="G2276" s="1">
        <v>12000</v>
      </c>
      <c r="H2276" s="5">
        <f t="shared" si="53"/>
        <v>0</v>
      </c>
      <c r="I2276" s="6"/>
      <c r="J2276" s="43"/>
      <c r="K2276" s="51"/>
      <c r="L2276" s="86"/>
    </row>
    <row r="2277" spans="1:14" ht="15" x14ac:dyDescent="0.25">
      <c r="A2277" s="1">
        <v>2268</v>
      </c>
      <c r="B2277" s="1" t="s">
        <v>336</v>
      </c>
      <c r="C2277" s="32" t="s">
        <v>66</v>
      </c>
      <c r="D2277" s="1">
        <v>100</v>
      </c>
      <c r="E2277" s="1"/>
      <c r="F2277" s="1">
        <v>1.05</v>
      </c>
      <c r="G2277" s="1">
        <v>100</v>
      </c>
      <c r="H2277" s="5">
        <f t="shared" si="53"/>
        <v>0</v>
      </c>
      <c r="I2277" s="6"/>
      <c r="J2277" s="43"/>
      <c r="K2277" s="51"/>
      <c r="L2277" s="86"/>
    </row>
    <row r="2278" spans="1:14" ht="15" x14ac:dyDescent="0.25">
      <c r="A2278" s="1">
        <v>2269</v>
      </c>
      <c r="B2278" s="1" t="s">
        <v>336</v>
      </c>
      <c r="C2278" s="32">
        <v>4595</v>
      </c>
      <c r="D2278" s="1">
        <v>20000</v>
      </c>
      <c r="E2278" s="1"/>
      <c r="F2278" s="1">
        <v>222.82</v>
      </c>
      <c r="G2278" s="1">
        <v>20000</v>
      </c>
      <c r="H2278" s="5">
        <f t="shared" si="53"/>
        <v>0</v>
      </c>
      <c r="I2278" s="6"/>
      <c r="J2278" s="43"/>
      <c r="K2278" s="51"/>
      <c r="L2278" s="86"/>
    </row>
    <row r="2279" spans="1:14" ht="15" x14ac:dyDescent="0.25">
      <c r="A2279" s="1">
        <v>2270</v>
      </c>
      <c r="B2279" s="1" t="s">
        <v>336</v>
      </c>
      <c r="C2279" s="32">
        <v>1215</v>
      </c>
      <c r="D2279" s="1">
        <v>15000</v>
      </c>
      <c r="E2279" s="1"/>
      <c r="F2279" s="1">
        <v>167</v>
      </c>
      <c r="G2279" s="1">
        <v>15000</v>
      </c>
      <c r="H2279" s="5">
        <f t="shared" si="53"/>
        <v>0</v>
      </c>
      <c r="I2279" s="6"/>
      <c r="J2279" s="43"/>
      <c r="K2279" s="51"/>
      <c r="L2279" s="86"/>
    </row>
    <row r="2280" spans="1:14" ht="15" x14ac:dyDescent="0.25">
      <c r="A2280" s="1">
        <v>2271</v>
      </c>
      <c r="B2280" s="1" t="s">
        <v>336</v>
      </c>
      <c r="C2280" s="32">
        <v>6711</v>
      </c>
      <c r="D2280" s="1">
        <v>16000</v>
      </c>
      <c r="E2280" s="1"/>
      <c r="F2280" s="1">
        <v>178</v>
      </c>
      <c r="G2280" s="1">
        <v>16000</v>
      </c>
      <c r="H2280" s="5">
        <f t="shared" si="53"/>
        <v>0</v>
      </c>
      <c r="I2280" s="6"/>
      <c r="J2280" s="43"/>
      <c r="K2280" s="51"/>
      <c r="L2280" s="86"/>
    </row>
    <row r="2281" spans="1:14" ht="15" x14ac:dyDescent="0.25">
      <c r="A2281" s="1">
        <v>2272</v>
      </c>
      <c r="B2281" s="1" t="s">
        <v>336</v>
      </c>
      <c r="C2281" s="32">
        <v>3754</v>
      </c>
      <c r="D2281" s="1">
        <v>19000</v>
      </c>
      <c r="E2281" s="1"/>
      <c r="F2281" s="1">
        <v>211</v>
      </c>
      <c r="G2281" s="1">
        <v>19000</v>
      </c>
      <c r="H2281" s="5">
        <f t="shared" si="53"/>
        <v>0</v>
      </c>
      <c r="I2281" s="6"/>
      <c r="J2281" s="43"/>
      <c r="K2281" s="51"/>
      <c r="L2281" s="86"/>
    </row>
    <row r="2282" spans="1:14" ht="15" x14ac:dyDescent="0.25">
      <c r="A2282" s="1">
        <v>2273</v>
      </c>
      <c r="B2282" s="1" t="s">
        <v>336</v>
      </c>
      <c r="C2282" s="32">
        <v>8238</v>
      </c>
      <c r="D2282" s="1">
        <v>19000</v>
      </c>
      <c r="E2282" s="1"/>
      <c r="F2282" s="1">
        <v>211</v>
      </c>
      <c r="G2282" s="1">
        <v>19000</v>
      </c>
      <c r="H2282" s="5">
        <f t="shared" si="53"/>
        <v>0</v>
      </c>
      <c r="I2282" s="6"/>
      <c r="J2282" s="43"/>
      <c r="K2282" s="51"/>
      <c r="L2282" s="86"/>
    </row>
    <row r="2283" spans="1:14" ht="15" x14ac:dyDescent="0.25">
      <c r="A2283" s="1">
        <v>2274</v>
      </c>
      <c r="B2283" s="1" t="s">
        <v>336</v>
      </c>
      <c r="C2283" s="32">
        <v>5403</v>
      </c>
      <c r="D2283" s="1">
        <v>10000</v>
      </c>
      <c r="E2283" s="1"/>
      <c r="F2283" s="1">
        <v>11</v>
      </c>
      <c r="G2283" s="1">
        <v>10000</v>
      </c>
      <c r="H2283" s="5">
        <f t="shared" si="53"/>
        <v>0</v>
      </c>
      <c r="I2283" s="6"/>
      <c r="J2283" s="43"/>
      <c r="K2283" s="51"/>
      <c r="L2283" s="86"/>
    </row>
    <row r="2284" spans="1:14" ht="15" x14ac:dyDescent="0.25">
      <c r="A2284" s="1">
        <v>2275</v>
      </c>
      <c r="B2284" s="1" t="s">
        <v>336</v>
      </c>
      <c r="C2284" s="32">
        <v>7125</v>
      </c>
      <c r="D2284" s="1">
        <v>20000</v>
      </c>
      <c r="E2284" s="1"/>
      <c r="F2284" s="1">
        <v>222.82</v>
      </c>
      <c r="G2284" s="1">
        <v>20000</v>
      </c>
      <c r="H2284" s="5">
        <f t="shared" si="53"/>
        <v>0</v>
      </c>
      <c r="I2284" s="6"/>
      <c r="J2284" s="43"/>
      <c r="K2284" s="51"/>
      <c r="L2284" s="86"/>
    </row>
    <row r="2285" spans="1:14" ht="15" x14ac:dyDescent="0.25">
      <c r="A2285" s="1">
        <v>2276</v>
      </c>
      <c r="B2285" s="1" t="s">
        <v>336</v>
      </c>
      <c r="C2285" s="32">
        <v>7950</v>
      </c>
      <c r="D2285" s="1">
        <v>10000</v>
      </c>
      <c r="E2285" s="1"/>
      <c r="F2285" s="1">
        <v>111</v>
      </c>
      <c r="G2285" s="1">
        <v>10000</v>
      </c>
      <c r="H2285" s="5">
        <f t="shared" si="53"/>
        <v>0</v>
      </c>
      <c r="I2285" s="6"/>
      <c r="J2285" s="43"/>
      <c r="K2285" s="51"/>
      <c r="L2285" s="86"/>
    </row>
    <row r="2286" spans="1:14" ht="15" x14ac:dyDescent="0.25">
      <c r="A2286" s="1">
        <v>2277</v>
      </c>
      <c r="B2286" s="1" t="s">
        <v>336</v>
      </c>
      <c r="C2286" s="32">
        <v>9408</v>
      </c>
      <c r="D2286" s="1">
        <v>25000</v>
      </c>
      <c r="E2286" s="1"/>
      <c r="F2286" s="1">
        <v>278</v>
      </c>
      <c r="G2286" s="1">
        <v>25000</v>
      </c>
      <c r="H2286" s="5">
        <f t="shared" si="53"/>
        <v>0</v>
      </c>
      <c r="I2286" s="6"/>
      <c r="J2286" s="43"/>
      <c r="K2286" s="51"/>
      <c r="L2286" s="86"/>
    </row>
    <row r="2287" spans="1:14" ht="15" x14ac:dyDescent="0.25">
      <c r="A2287" s="1">
        <v>2278</v>
      </c>
      <c r="B2287" s="1" t="s">
        <v>336</v>
      </c>
      <c r="C2287" s="32">
        <v>2459</v>
      </c>
      <c r="D2287" s="1">
        <v>25000</v>
      </c>
      <c r="E2287" s="1"/>
      <c r="F2287" s="1">
        <v>278</v>
      </c>
      <c r="G2287" s="1">
        <v>25000</v>
      </c>
      <c r="H2287" s="5">
        <f t="shared" si="53"/>
        <v>0</v>
      </c>
      <c r="I2287" s="6"/>
      <c r="J2287" s="43"/>
      <c r="K2287" s="51"/>
      <c r="L2287" s="86"/>
    </row>
    <row r="2288" spans="1:14" ht="15" x14ac:dyDescent="0.25">
      <c r="A2288" s="1">
        <v>2279</v>
      </c>
      <c r="B2288" s="1" t="s">
        <v>336</v>
      </c>
      <c r="C2288" s="32">
        <v>2571</v>
      </c>
      <c r="D2288" s="1">
        <v>25000</v>
      </c>
      <c r="E2288" s="1"/>
      <c r="F2288" s="1">
        <v>278</v>
      </c>
      <c r="G2288" s="1">
        <v>25000</v>
      </c>
      <c r="H2288" s="5">
        <f t="shared" si="53"/>
        <v>0</v>
      </c>
      <c r="I2288" s="6"/>
      <c r="J2288" s="43"/>
      <c r="K2288" s="51"/>
      <c r="L2288" s="86"/>
    </row>
    <row r="2289" spans="1:12" ht="15" x14ac:dyDescent="0.25">
      <c r="A2289" s="1">
        <v>2280</v>
      </c>
      <c r="B2289" s="1" t="s">
        <v>336</v>
      </c>
      <c r="C2289" s="32">
        <v>3711</v>
      </c>
      <c r="D2289" s="1">
        <v>25000</v>
      </c>
      <c r="E2289" s="1"/>
      <c r="F2289" s="1">
        <v>278</v>
      </c>
      <c r="G2289" s="1">
        <v>25000</v>
      </c>
      <c r="H2289" s="5">
        <f t="shared" si="53"/>
        <v>0</v>
      </c>
      <c r="I2289" s="6"/>
      <c r="J2289" s="43"/>
      <c r="K2289" s="51"/>
      <c r="L2289" s="86"/>
    </row>
    <row r="2290" spans="1:12" ht="15" x14ac:dyDescent="0.25">
      <c r="A2290" s="1">
        <v>2281</v>
      </c>
      <c r="B2290" s="1" t="s">
        <v>336</v>
      </c>
      <c r="C2290" s="32">
        <v>5271</v>
      </c>
      <c r="D2290" s="1">
        <v>25000</v>
      </c>
      <c r="E2290" s="1"/>
      <c r="F2290" s="1">
        <v>278</v>
      </c>
      <c r="G2290" s="1">
        <v>25000</v>
      </c>
      <c r="H2290" s="5">
        <f t="shared" si="53"/>
        <v>0</v>
      </c>
      <c r="I2290" s="6"/>
      <c r="J2290" s="43"/>
      <c r="K2290" s="51"/>
      <c r="L2290" s="86"/>
    </row>
    <row r="2291" spans="1:12" ht="15" x14ac:dyDescent="0.25">
      <c r="A2291" s="1">
        <v>2282</v>
      </c>
      <c r="B2291" s="1" t="s">
        <v>336</v>
      </c>
      <c r="C2291" s="32">
        <v>8070</v>
      </c>
      <c r="D2291" s="1">
        <v>20000</v>
      </c>
      <c r="E2291" s="1"/>
      <c r="F2291" s="1">
        <v>222.82</v>
      </c>
      <c r="G2291" s="1">
        <v>20000</v>
      </c>
      <c r="H2291" s="5">
        <f t="shared" si="53"/>
        <v>0</v>
      </c>
      <c r="I2291" s="6"/>
      <c r="J2291" s="43"/>
      <c r="K2291" s="51"/>
      <c r="L2291" s="86"/>
    </row>
    <row r="2292" spans="1:12" ht="15" x14ac:dyDescent="0.25">
      <c r="A2292" s="1">
        <v>2283</v>
      </c>
      <c r="B2292" s="1" t="s">
        <v>336</v>
      </c>
      <c r="C2292" s="32">
        <v>7672</v>
      </c>
      <c r="D2292" s="1">
        <v>16000</v>
      </c>
      <c r="E2292" s="1"/>
      <c r="F2292" s="1">
        <v>178</v>
      </c>
      <c r="G2292" s="1">
        <v>16000</v>
      </c>
      <c r="H2292" s="5">
        <f t="shared" si="53"/>
        <v>0</v>
      </c>
      <c r="I2292" s="6"/>
      <c r="J2292" s="43"/>
      <c r="K2292" s="51"/>
      <c r="L2292" s="86"/>
    </row>
    <row r="2293" spans="1:12" ht="15" x14ac:dyDescent="0.25">
      <c r="A2293" s="1">
        <v>2284</v>
      </c>
      <c r="B2293" s="1" t="s">
        <v>336</v>
      </c>
      <c r="C2293" s="32">
        <v>3526</v>
      </c>
      <c r="D2293" s="1">
        <v>24000</v>
      </c>
      <c r="E2293" s="1"/>
      <c r="F2293" s="1">
        <v>267</v>
      </c>
      <c r="G2293" s="1">
        <v>24000</v>
      </c>
      <c r="H2293" s="5">
        <f t="shared" si="53"/>
        <v>0</v>
      </c>
      <c r="I2293" s="6"/>
      <c r="J2293" s="43"/>
      <c r="K2293" s="51"/>
      <c r="L2293" s="86"/>
    </row>
    <row r="2294" spans="1:12" ht="15" x14ac:dyDescent="0.25">
      <c r="A2294" s="1">
        <v>2285</v>
      </c>
      <c r="B2294" s="1" t="s">
        <v>336</v>
      </c>
      <c r="C2294" s="32">
        <v>5485</v>
      </c>
      <c r="D2294" s="1">
        <v>28000</v>
      </c>
      <c r="E2294" s="1"/>
      <c r="F2294" s="1">
        <v>301</v>
      </c>
      <c r="G2294" s="1">
        <v>28000</v>
      </c>
      <c r="H2294" s="5">
        <f t="shared" si="53"/>
        <v>0</v>
      </c>
      <c r="I2294" s="6"/>
      <c r="J2294" s="43"/>
      <c r="K2294" s="51"/>
      <c r="L2294" s="86"/>
    </row>
    <row r="2295" spans="1:12" ht="15" x14ac:dyDescent="0.25">
      <c r="A2295" s="1">
        <v>2286</v>
      </c>
      <c r="B2295" s="1" t="s">
        <v>337</v>
      </c>
      <c r="C2295" s="32">
        <v>9405</v>
      </c>
      <c r="D2295" s="1">
        <v>20000</v>
      </c>
      <c r="E2295" s="1"/>
      <c r="F2295" s="1">
        <v>222.82</v>
      </c>
      <c r="G2295" s="1">
        <v>20000</v>
      </c>
      <c r="H2295" s="5">
        <f t="shared" si="53"/>
        <v>0</v>
      </c>
      <c r="I2295" s="6"/>
      <c r="J2295" s="43"/>
      <c r="K2295" s="51"/>
      <c r="L2295" s="86"/>
    </row>
    <row r="2296" spans="1:12" ht="15" x14ac:dyDescent="0.25">
      <c r="A2296" s="1">
        <v>2287</v>
      </c>
      <c r="B2296" s="1" t="s">
        <v>337</v>
      </c>
      <c r="C2296" s="32">
        <v>851</v>
      </c>
      <c r="D2296" s="1">
        <v>23000</v>
      </c>
      <c r="E2296" s="1"/>
      <c r="F2296" s="1">
        <v>256</v>
      </c>
      <c r="G2296" s="1">
        <v>23000</v>
      </c>
      <c r="H2296" s="5">
        <f t="shared" si="53"/>
        <v>0</v>
      </c>
      <c r="I2296" s="6"/>
      <c r="J2296" s="43"/>
      <c r="K2296" s="51"/>
      <c r="L2296" s="86"/>
    </row>
    <row r="2297" spans="1:12" ht="15" x14ac:dyDescent="0.25">
      <c r="A2297" s="1">
        <v>2288</v>
      </c>
      <c r="B2297" s="1" t="s">
        <v>337</v>
      </c>
      <c r="C2297" s="32">
        <v>4137</v>
      </c>
      <c r="D2297" s="1">
        <v>17000</v>
      </c>
      <c r="E2297" s="1"/>
      <c r="F2297" s="1">
        <v>189</v>
      </c>
      <c r="G2297" s="1">
        <v>17000</v>
      </c>
      <c r="H2297" s="5">
        <f t="shared" si="53"/>
        <v>0</v>
      </c>
      <c r="I2297" s="6"/>
      <c r="J2297" s="43"/>
      <c r="K2297" s="51"/>
      <c r="L2297" s="86"/>
    </row>
    <row r="2298" spans="1:12" ht="15" x14ac:dyDescent="0.25">
      <c r="A2298" s="1">
        <v>2289</v>
      </c>
      <c r="B2298" s="1" t="s">
        <v>337</v>
      </c>
      <c r="C2298" s="32">
        <v>9148</v>
      </c>
      <c r="D2298" s="1">
        <v>23000</v>
      </c>
      <c r="E2298" s="1"/>
      <c r="F2298" s="1">
        <v>256</v>
      </c>
      <c r="G2298" s="1">
        <v>23000</v>
      </c>
      <c r="H2298" s="5">
        <f t="shared" si="53"/>
        <v>0</v>
      </c>
      <c r="I2298" s="6"/>
      <c r="J2298" s="43"/>
      <c r="K2298" s="51"/>
      <c r="L2298" s="86"/>
    </row>
    <row r="2299" spans="1:12" ht="15" x14ac:dyDescent="0.25">
      <c r="A2299" s="1">
        <v>2290</v>
      </c>
      <c r="B2299" s="1" t="s">
        <v>337</v>
      </c>
      <c r="C2299" s="32">
        <v>8516</v>
      </c>
      <c r="D2299" s="1">
        <v>15000</v>
      </c>
      <c r="E2299" s="1"/>
      <c r="F2299" s="1">
        <v>167</v>
      </c>
      <c r="G2299" s="1">
        <v>15000</v>
      </c>
      <c r="H2299" s="5">
        <f t="shared" si="53"/>
        <v>0</v>
      </c>
      <c r="I2299" s="6"/>
      <c r="J2299" s="43"/>
      <c r="K2299" s="51"/>
      <c r="L2299" s="86"/>
    </row>
    <row r="2300" spans="1:12" ht="15" x14ac:dyDescent="0.25">
      <c r="A2300" s="1">
        <v>2291</v>
      </c>
      <c r="B2300" s="1" t="s">
        <v>337</v>
      </c>
      <c r="C2300" s="32">
        <v>2326</v>
      </c>
      <c r="D2300" s="1">
        <v>25000</v>
      </c>
      <c r="E2300" s="1"/>
      <c r="F2300" s="1">
        <v>278</v>
      </c>
      <c r="G2300" s="1">
        <v>25000</v>
      </c>
      <c r="H2300" s="5">
        <f t="shared" si="53"/>
        <v>0</v>
      </c>
      <c r="I2300" s="6"/>
      <c r="J2300" s="43"/>
      <c r="K2300" s="51"/>
      <c r="L2300" s="86"/>
    </row>
    <row r="2301" spans="1:12" ht="15" x14ac:dyDescent="0.25">
      <c r="A2301" s="1">
        <v>2292</v>
      </c>
      <c r="B2301" s="1" t="s">
        <v>337</v>
      </c>
      <c r="C2301" s="32">
        <v>4371</v>
      </c>
      <c r="D2301" s="1">
        <v>12000</v>
      </c>
      <c r="E2301" s="1"/>
      <c r="F2301" s="1">
        <v>133</v>
      </c>
      <c r="G2301" s="1">
        <v>12000</v>
      </c>
      <c r="H2301" s="5">
        <f t="shared" si="53"/>
        <v>0</v>
      </c>
      <c r="I2301" s="6"/>
      <c r="J2301" s="43"/>
      <c r="K2301" s="51"/>
      <c r="L2301" s="86"/>
    </row>
    <row r="2302" spans="1:12" ht="15" x14ac:dyDescent="0.25">
      <c r="A2302" s="1">
        <v>2293</v>
      </c>
      <c r="B2302" s="1" t="s">
        <v>337</v>
      </c>
      <c r="C2302" s="32">
        <v>9616</v>
      </c>
      <c r="D2302" s="1">
        <v>13000</v>
      </c>
      <c r="E2302" s="1"/>
      <c r="F2302" s="1">
        <v>144</v>
      </c>
      <c r="G2302" s="1">
        <v>13000</v>
      </c>
      <c r="H2302" s="5">
        <f t="shared" si="53"/>
        <v>0</v>
      </c>
      <c r="I2302" s="6"/>
      <c r="J2302" s="43"/>
      <c r="K2302" s="51"/>
      <c r="L2302" s="86"/>
    </row>
    <row r="2303" spans="1:12" ht="15" x14ac:dyDescent="0.25">
      <c r="A2303" s="1">
        <v>2294</v>
      </c>
      <c r="B2303" s="1" t="s">
        <v>337</v>
      </c>
      <c r="C2303" s="32">
        <v>3310</v>
      </c>
      <c r="D2303" s="1">
        <v>12000</v>
      </c>
      <c r="E2303" s="1"/>
      <c r="F2303" s="1">
        <v>133</v>
      </c>
      <c r="G2303" s="1">
        <v>12000</v>
      </c>
      <c r="H2303" s="5">
        <f t="shared" si="53"/>
        <v>0</v>
      </c>
      <c r="I2303" s="6"/>
      <c r="J2303" s="43"/>
      <c r="K2303" s="51"/>
      <c r="L2303" s="86"/>
    </row>
    <row r="2304" spans="1:12" ht="15" x14ac:dyDescent="0.25">
      <c r="A2304" s="1">
        <v>2295</v>
      </c>
      <c r="B2304" s="1" t="s">
        <v>337</v>
      </c>
      <c r="C2304" s="32">
        <v>1991</v>
      </c>
      <c r="D2304" s="1">
        <v>12000</v>
      </c>
      <c r="E2304" s="1"/>
      <c r="F2304" s="1">
        <v>133</v>
      </c>
      <c r="G2304" s="1">
        <v>12000</v>
      </c>
      <c r="H2304" s="5">
        <f t="shared" si="53"/>
        <v>0</v>
      </c>
      <c r="I2304" s="6"/>
      <c r="J2304" s="43"/>
      <c r="K2304" s="51"/>
      <c r="L2304" s="86"/>
    </row>
    <row r="2305" spans="1:12" ht="15" x14ac:dyDescent="0.25">
      <c r="A2305" s="1">
        <v>2296</v>
      </c>
      <c r="B2305" s="1" t="s">
        <v>337</v>
      </c>
      <c r="C2305" s="32">
        <v>7827</v>
      </c>
      <c r="D2305" s="1">
        <v>17000</v>
      </c>
      <c r="E2305" s="1"/>
      <c r="F2305" s="1">
        <v>194</v>
      </c>
      <c r="G2305" s="1">
        <v>17000</v>
      </c>
      <c r="H2305" s="5">
        <f t="shared" si="53"/>
        <v>0</v>
      </c>
      <c r="I2305" s="6"/>
      <c r="J2305" s="43"/>
      <c r="K2305" s="51"/>
      <c r="L2305" s="86"/>
    </row>
    <row r="2306" spans="1:12" ht="15" x14ac:dyDescent="0.25">
      <c r="A2306" s="1">
        <v>2297</v>
      </c>
      <c r="B2306" s="1" t="s">
        <v>337</v>
      </c>
      <c r="C2306" s="32">
        <v>4949</v>
      </c>
      <c r="D2306" s="1">
        <v>12000</v>
      </c>
      <c r="E2306" s="1"/>
      <c r="F2306" s="1">
        <v>133</v>
      </c>
      <c r="G2306" s="1">
        <v>12000</v>
      </c>
      <c r="H2306" s="5">
        <f t="shared" si="53"/>
        <v>0</v>
      </c>
      <c r="I2306" s="6"/>
      <c r="J2306" s="43"/>
      <c r="K2306" s="51"/>
      <c r="L2306" s="86"/>
    </row>
    <row r="2307" spans="1:12" ht="15" x14ac:dyDescent="0.25">
      <c r="A2307" s="1">
        <v>2298</v>
      </c>
      <c r="B2307" s="1" t="s">
        <v>338</v>
      </c>
      <c r="C2307" s="32" t="s">
        <v>66</v>
      </c>
      <c r="D2307" s="1">
        <v>210</v>
      </c>
      <c r="E2307" s="1"/>
      <c r="F2307" s="1">
        <v>2.15</v>
      </c>
      <c r="G2307" s="1">
        <v>210</v>
      </c>
      <c r="H2307" s="5">
        <f t="shared" si="53"/>
        <v>0</v>
      </c>
      <c r="I2307" s="6"/>
      <c r="J2307" s="43"/>
      <c r="K2307" s="51"/>
      <c r="L2307" s="86"/>
    </row>
    <row r="2308" spans="1:12" ht="15" x14ac:dyDescent="0.25">
      <c r="A2308" s="1">
        <v>2299</v>
      </c>
      <c r="B2308" s="1" t="s">
        <v>339</v>
      </c>
      <c r="C2308" s="32">
        <v>1434</v>
      </c>
      <c r="D2308" s="1">
        <v>14000</v>
      </c>
      <c r="E2308" s="1"/>
      <c r="F2308" s="1">
        <v>155</v>
      </c>
      <c r="G2308" s="1">
        <v>14000</v>
      </c>
      <c r="H2308" s="5">
        <f t="shared" si="53"/>
        <v>0</v>
      </c>
      <c r="I2308" s="6"/>
      <c r="J2308" s="43"/>
      <c r="K2308" s="51"/>
      <c r="L2308" s="86"/>
    </row>
    <row r="2309" spans="1:12" ht="15" x14ac:dyDescent="0.25">
      <c r="A2309" s="1">
        <v>2300</v>
      </c>
      <c r="B2309" s="1" t="s">
        <v>339</v>
      </c>
      <c r="C2309" s="32">
        <v>5861</v>
      </c>
      <c r="D2309" s="1">
        <v>18000</v>
      </c>
      <c r="E2309" s="1"/>
      <c r="F2309" s="1">
        <v>200</v>
      </c>
      <c r="G2309" s="1">
        <v>18000</v>
      </c>
      <c r="H2309" s="5">
        <f t="shared" si="53"/>
        <v>0</v>
      </c>
      <c r="I2309" s="6"/>
      <c r="J2309" s="43"/>
      <c r="K2309" s="51"/>
      <c r="L2309" s="86"/>
    </row>
    <row r="2310" spans="1:12" ht="15" x14ac:dyDescent="0.25">
      <c r="A2310" s="1">
        <v>2301</v>
      </c>
      <c r="B2310" s="1" t="s">
        <v>339</v>
      </c>
      <c r="C2310" s="32" t="s">
        <v>63</v>
      </c>
      <c r="D2310" s="1">
        <v>4500</v>
      </c>
      <c r="E2310" s="1"/>
      <c r="F2310" s="1">
        <v>50.13</v>
      </c>
      <c r="G2310" s="1">
        <v>4500</v>
      </c>
      <c r="H2310" s="5">
        <f t="shared" si="53"/>
        <v>0</v>
      </c>
      <c r="I2310" s="6"/>
      <c r="J2310" s="43"/>
      <c r="K2310" s="51"/>
      <c r="L2310" s="86">
        <f>1565269-1562830</f>
        <v>2439</v>
      </c>
    </row>
    <row r="2311" spans="1:12" ht="15" x14ac:dyDescent="0.25">
      <c r="A2311" s="1">
        <v>2302</v>
      </c>
      <c r="B2311" s="1" t="s">
        <v>340</v>
      </c>
      <c r="C2311" s="32">
        <v>2137</v>
      </c>
      <c r="D2311" s="1">
        <v>28000</v>
      </c>
      <c r="E2311" s="1"/>
      <c r="F2311" s="1">
        <v>311</v>
      </c>
      <c r="G2311" s="1">
        <v>28000</v>
      </c>
      <c r="H2311" s="5">
        <f t="shared" si="53"/>
        <v>0</v>
      </c>
      <c r="I2311" s="6"/>
      <c r="J2311" s="43"/>
      <c r="K2311" s="51"/>
      <c r="L2311" s="86"/>
    </row>
    <row r="2312" spans="1:12" ht="15" x14ac:dyDescent="0.25">
      <c r="A2312" s="1">
        <v>2303</v>
      </c>
      <c r="B2312" s="1" t="s">
        <v>340</v>
      </c>
      <c r="C2312" s="32" t="s">
        <v>30</v>
      </c>
      <c r="D2312" s="1">
        <v>5000</v>
      </c>
      <c r="E2312" s="1"/>
      <c r="F2312" s="1">
        <v>50.13</v>
      </c>
      <c r="G2312" s="1">
        <v>5000</v>
      </c>
      <c r="H2312" s="5">
        <f t="shared" ref="H2312:H2376" si="54">D2312-G2312</f>
        <v>0</v>
      </c>
      <c r="I2312" s="6"/>
      <c r="J2312" s="43"/>
      <c r="K2312" s="51"/>
      <c r="L2312" s="86"/>
    </row>
    <row r="2313" spans="1:12" ht="15" x14ac:dyDescent="0.25">
      <c r="A2313" s="1">
        <v>2304</v>
      </c>
      <c r="B2313" s="1" t="s">
        <v>340</v>
      </c>
      <c r="C2313" s="32">
        <v>4224</v>
      </c>
      <c r="D2313" s="1">
        <v>25000</v>
      </c>
      <c r="E2313" s="1"/>
      <c r="F2313" s="1">
        <v>278</v>
      </c>
      <c r="G2313" s="1">
        <v>25000</v>
      </c>
      <c r="H2313" s="5">
        <f t="shared" si="54"/>
        <v>0</v>
      </c>
      <c r="I2313" s="6"/>
      <c r="J2313" s="43"/>
      <c r="K2313" s="51"/>
      <c r="L2313" s="86"/>
    </row>
    <row r="2314" spans="1:12" ht="15" x14ac:dyDescent="0.25">
      <c r="A2314" s="1">
        <v>2305</v>
      </c>
      <c r="B2314" s="1" t="s">
        <v>340</v>
      </c>
      <c r="C2314" s="32">
        <v>4365</v>
      </c>
      <c r="D2314" s="1">
        <v>22000</v>
      </c>
      <c r="E2314" s="1"/>
      <c r="F2314" s="1">
        <v>245</v>
      </c>
      <c r="G2314" s="1">
        <v>22000</v>
      </c>
      <c r="H2314" s="5">
        <f t="shared" si="54"/>
        <v>0</v>
      </c>
      <c r="I2314" s="6"/>
      <c r="J2314" s="43"/>
      <c r="K2314" s="51"/>
      <c r="L2314" s="86"/>
    </row>
    <row r="2315" spans="1:12" ht="15" x14ac:dyDescent="0.25">
      <c r="A2315" s="1">
        <v>2306</v>
      </c>
      <c r="B2315" s="1" t="s">
        <v>340</v>
      </c>
      <c r="C2315" s="32">
        <v>7479</v>
      </c>
      <c r="D2315" s="1">
        <v>15000</v>
      </c>
      <c r="E2315" s="1"/>
      <c r="F2315" s="1">
        <v>167</v>
      </c>
      <c r="G2315" s="1">
        <v>15000</v>
      </c>
      <c r="H2315" s="5">
        <f t="shared" si="54"/>
        <v>0</v>
      </c>
      <c r="I2315" s="6"/>
      <c r="J2315" s="43"/>
      <c r="K2315" s="51"/>
      <c r="L2315" s="86"/>
    </row>
    <row r="2316" spans="1:12" ht="15" x14ac:dyDescent="0.25">
      <c r="A2316" s="1">
        <v>2307</v>
      </c>
      <c r="B2316" s="1" t="s">
        <v>340</v>
      </c>
      <c r="C2316" s="32">
        <v>4792</v>
      </c>
      <c r="D2316" s="1">
        <v>15000</v>
      </c>
      <c r="E2316" s="1"/>
      <c r="F2316" s="1">
        <v>167</v>
      </c>
      <c r="G2316" s="1">
        <v>15000</v>
      </c>
      <c r="H2316" s="5">
        <f t="shared" si="54"/>
        <v>0</v>
      </c>
      <c r="I2316" s="6"/>
      <c r="J2316" s="43"/>
      <c r="K2316" s="51"/>
      <c r="L2316" s="86">
        <f>1275269-1264098</f>
        <v>11171</v>
      </c>
    </row>
    <row r="2317" spans="1:12" ht="15" x14ac:dyDescent="0.25">
      <c r="A2317" s="1">
        <v>2308</v>
      </c>
      <c r="B2317" s="1" t="s">
        <v>341</v>
      </c>
      <c r="C2317" s="32">
        <v>6200</v>
      </c>
      <c r="D2317" s="1">
        <v>5000</v>
      </c>
      <c r="E2317" s="1"/>
      <c r="F2317" s="1">
        <v>55.7</v>
      </c>
      <c r="G2317" s="1">
        <v>5000</v>
      </c>
      <c r="H2317" s="5">
        <f t="shared" si="54"/>
        <v>0</v>
      </c>
      <c r="I2317" s="6"/>
      <c r="J2317" s="43"/>
      <c r="K2317" s="51"/>
      <c r="L2317" s="86"/>
    </row>
    <row r="2318" spans="1:12" ht="15" x14ac:dyDescent="0.25">
      <c r="A2318" s="1">
        <v>2309</v>
      </c>
      <c r="B2318" s="1" t="s">
        <v>341</v>
      </c>
      <c r="C2318" s="32">
        <v>1611</v>
      </c>
      <c r="D2318" s="1">
        <v>20000</v>
      </c>
      <c r="E2318" s="1"/>
      <c r="F2318" s="1">
        <v>222.82</v>
      </c>
      <c r="G2318" s="1">
        <v>20000</v>
      </c>
      <c r="H2318" s="5">
        <f t="shared" si="54"/>
        <v>0</v>
      </c>
      <c r="I2318" s="6"/>
      <c r="J2318" s="43"/>
      <c r="K2318" s="51"/>
      <c r="L2318" s="86"/>
    </row>
    <row r="2319" spans="1:12" ht="15" x14ac:dyDescent="0.25">
      <c r="A2319" s="1">
        <v>2310</v>
      </c>
      <c r="B2319" s="1" t="s">
        <v>341</v>
      </c>
      <c r="C2319" s="32">
        <v>6835</v>
      </c>
      <c r="D2319" s="1">
        <v>6000</v>
      </c>
      <c r="E2319" s="1"/>
      <c r="F2319" s="1">
        <v>66.84</v>
      </c>
      <c r="G2319" s="1">
        <v>6000</v>
      </c>
      <c r="H2319" s="5">
        <f t="shared" si="54"/>
        <v>0</v>
      </c>
      <c r="I2319" s="6"/>
      <c r="J2319" s="43"/>
      <c r="K2319" s="51"/>
      <c r="L2319" s="86"/>
    </row>
    <row r="2320" spans="1:12" ht="15" x14ac:dyDescent="0.25">
      <c r="A2320" s="1">
        <v>2311</v>
      </c>
      <c r="B2320" s="1" t="s">
        <v>341</v>
      </c>
      <c r="C2320" s="32">
        <v>8065</v>
      </c>
      <c r="D2320" s="1">
        <v>7700</v>
      </c>
      <c r="E2320" s="1"/>
      <c r="F2320" s="1">
        <v>85.78</v>
      </c>
      <c r="G2320" s="1">
        <v>7700</v>
      </c>
      <c r="H2320" s="5">
        <f t="shared" si="54"/>
        <v>0</v>
      </c>
      <c r="I2320" s="6"/>
      <c r="J2320" s="43"/>
      <c r="K2320" s="51"/>
      <c r="L2320" s="86"/>
    </row>
    <row r="2321" spans="1:12" ht="15" x14ac:dyDescent="0.25">
      <c r="A2321" s="1">
        <v>2312</v>
      </c>
      <c r="B2321" s="1" t="s">
        <v>341</v>
      </c>
      <c r="C2321" s="32"/>
      <c r="D2321" s="1">
        <v>1000</v>
      </c>
      <c r="E2321" s="1"/>
      <c r="F2321" s="1">
        <v>11.14</v>
      </c>
      <c r="G2321" s="1">
        <v>1000</v>
      </c>
      <c r="H2321" s="5">
        <f t="shared" si="54"/>
        <v>0</v>
      </c>
      <c r="I2321" s="6"/>
      <c r="J2321" s="43"/>
      <c r="K2321" s="51"/>
      <c r="L2321" s="86"/>
    </row>
    <row r="2322" spans="1:12" ht="15" x14ac:dyDescent="0.25">
      <c r="A2322" s="1">
        <v>2313</v>
      </c>
      <c r="B2322" s="1" t="s">
        <v>341</v>
      </c>
      <c r="C2322" s="32">
        <v>9531</v>
      </c>
      <c r="D2322" s="1">
        <v>20000</v>
      </c>
      <c r="E2322" s="1"/>
      <c r="F2322" s="1">
        <v>222.82</v>
      </c>
      <c r="G2322" s="1">
        <v>20000</v>
      </c>
      <c r="H2322" s="5">
        <f t="shared" si="54"/>
        <v>0</v>
      </c>
      <c r="I2322" s="6"/>
      <c r="J2322" s="43"/>
      <c r="K2322" s="51"/>
      <c r="L2322" s="86"/>
    </row>
    <row r="2323" spans="1:12" ht="15" x14ac:dyDescent="0.25">
      <c r="A2323" s="1">
        <v>2314</v>
      </c>
      <c r="B2323" s="1" t="s">
        <v>341</v>
      </c>
      <c r="C2323" s="32">
        <v>7905</v>
      </c>
      <c r="D2323" s="1">
        <v>17000</v>
      </c>
      <c r="E2323" s="1"/>
      <c r="F2323" s="1">
        <v>189</v>
      </c>
      <c r="G2323" s="1">
        <v>17000</v>
      </c>
      <c r="H2323" s="5">
        <f t="shared" si="54"/>
        <v>0</v>
      </c>
      <c r="I2323" s="6"/>
      <c r="J2323" s="43"/>
      <c r="K2323" s="51"/>
      <c r="L2323" s="86"/>
    </row>
    <row r="2324" spans="1:12" ht="15" x14ac:dyDescent="0.25">
      <c r="A2324" s="1">
        <v>2315</v>
      </c>
      <c r="B2324" s="1" t="s">
        <v>341</v>
      </c>
      <c r="C2324" s="32">
        <v>5572</v>
      </c>
      <c r="D2324" s="1">
        <v>20000</v>
      </c>
      <c r="E2324" s="1"/>
      <c r="F2324" s="1">
        <v>222.82</v>
      </c>
      <c r="G2324" s="1">
        <v>20000</v>
      </c>
      <c r="H2324" s="5">
        <f t="shared" si="54"/>
        <v>0</v>
      </c>
      <c r="I2324" s="6"/>
      <c r="J2324" s="43"/>
      <c r="K2324" s="51"/>
      <c r="L2324" s="86"/>
    </row>
    <row r="2325" spans="1:12" ht="15" x14ac:dyDescent="0.25">
      <c r="A2325" s="1">
        <v>2316</v>
      </c>
      <c r="B2325" s="1" t="s">
        <v>341</v>
      </c>
      <c r="C2325" s="32">
        <v>2620</v>
      </c>
      <c r="D2325" s="1">
        <v>22000</v>
      </c>
      <c r="E2325" s="1"/>
      <c r="F2325" s="1">
        <v>245</v>
      </c>
      <c r="G2325" s="1">
        <v>22000</v>
      </c>
      <c r="H2325" s="5">
        <f t="shared" si="54"/>
        <v>0</v>
      </c>
      <c r="I2325" s="6"/>
      <c r="J2325" s="43"/>
      <c r="K2325" s="51"/>
      <c r="L2325" s="86"/>
    </row>
    <row r="2326" spans="1:12" ht="15" x14ac:dyDescent="0.25">
      <c r="A2326" s="1">
        <v>2317</v>
      </c>
      <c r="B2326" s="1" t="s">
        <v>341</v>
      </c>
      <c r="C2326" s="32">
        <v>2570</v>
      </c>
      <c r="D2326" s="1">
        <v>18000</v>
      </c>
      <c r="E2326" s="1"/>
      <c r="F2326" s="1">
        <v>200</v>
      </c>
      <c r="G2326" s="1">
        <v>18000</v>
      </c>
      <c r="H2326" s="5">
        <f t="shared" si="54"/>
        <v>0</v>
      </c>
      <c r="I2326" s="6"/>
      <c r="J2326" s="43"/>
      <c r="K2326" s="51"/>
      <c r="L2326" s="86"/>
    </row>
    <row r="2327" spans="1:12" ht="15" x14ac:dyDescent="0.25">
      <c r="A2327" s="1">
        <v>2318</v>
      </c>
      <c r="B2327" s="1" t="s">
        <v>341</v>
      </c>
      <c r="C2327" s="32">
        <v>1975</v>
      </c>
      <c r="D2327" s="1">
        <v>32000</v>
      </c>
      <c r="E2327" s="1"/>
      <c r="F2327" s="1">
        <v>356</v>
      </c>
      <c r="G2327" s="1">
        <v>32000</v>
      </c>
      <c r="H2327" s="5">
        <f t="shared" si="54"/>
        <v>0</v>
      </c>
      <c r="I2327" s="6"/>
      <c r="J2327" s="43"/>
      <c r="K2327" s="51"/>
      <c r="L2327" s="86"/>
    </row>
    <row r="2328" spans="1:12" ht="15" x14ac:dyDescent="0.25">
      <c r="A2328" s="1">
        <v>2319</v>
      </c>
      <c r="B2328" s="1" t="s">
        <v>341</v>
      </c>
      <c r="C2328" s="32">
        <v>1176</v>
      </c>
      <c r="D2328" s="1">
        <v>10000</v>
      </c>
      <c r="E2328" s="1"/>
      <c r="F2328" s="1">
        <v>111.4</v>
      </c>
      <c r="G2328" s="1">
        <v>10000</v>
      </c>
      <c r="H2328" s="5">
        <f t="shared" si="54"/>
        <v>0</v>
      </c>
      <c r="I2328" s="6"/>
      <c r="J2328" s="43"/>
      <c r="K2328" s="51"/>
      <c r="L2328" s="86"/>
    </row>
    <row r="2329" spans="1:12" ht="15" x14ac:dyDescent="0.25">
      <c r="A2329" s="1">
        <v>2320</v>
      </c>
      <c r="B2329" s="1" t="s">
        <v>341</v>
      </c>
      <c r="C2329" s="32">
        <v>8676</v>
      </c>
      <c r="D2329" s="1">
        <v>10000</v>
      </c>
      <c r="E2329" s="1"/>
      <c r="F2329" s="1">
        <v>111.4</v>
      </c>
      <c r="G2329" s="1">
        <v>10000</v>
      </c>
      <c r="H2329" s="5">
        <f t="shared" si="54"/>
        <v>0</v>
      </c>
      <c r="I2329" s="6"/>
      <c r="J2329" s="43"/>
      <c r="K2329" s="51"/>
      <c r="L2329" s="86"/>
    </row>
    <row r="2330" spans="1:12" ht="15" x14ac:dyDescent="0.25">
      <c r="A2330" s="1">
        <v>2321</v>
      </c>
      <c r="B2330" s="1" t="s">
        <v>341</v>
      </c>
      <c r="C2330" s="32" t="s">
        <v>30</v>
      </c>
      <c r="D2330" s="1">
        <v>4500</v>
      </c>
      <c r="E2330" s="1"/>
      <c r="F2330" s="1">
        <v>50.13</v>
      </c>
      <c r="G2330" s="1">
        <v>4500</v>
      </c>
      <c r="H2330" s="5">
        <f t="shared" si="54"/>
        <v>0</v>
      </c>
      <c r="I2330" s="6"/>
      <c r="J2330" s="43"/>
      <c r="K2330" s="51"/>
      <c r="L2330" s="86"/>
    </row>
    <row r="2331" spans="1:12" ht="15" x14ac:dyDescent="0.25">
      <c r="A2331" s="1">
        <v>2322</v>
      </c>
      <c r="B2331" s="1" t="s">
        <v>341</v>
      </c>
      <c r="C2331" s="32">
        <v>4371</v>
      </c>
      <c r="D2331" s="1">
        <v>12000</v>
      </c>
      <c r="E2331" s="1"/>
      <c r="F2331" s="1">
        <v>133</v>
      </c>
      <c r="G2331" s="1">
        <v>12000</v>
      </c>
      <c r="H2331" s="5">
        <f t="shared" si="54"/>
        <v>0</v>
      </c>
      <c r="I2331" s="6"/>
      <c r="J2331" s="43"/>
      <c r="K2331" s="51"/>
      <c r="L2331" s="86"/>
    </row>
    <row r="2332" spans="1:12" ht="15" x14ac:dyDescent="0.25">
      <c r="A2332" s="1">
        <v>2323</v>
      </c>
      <c r="B2332" s="1" t="s">
        <v>341</v>
      </c>
      <c r="C2332" s="32">
        <v>1266</v>
      </c>
      <c r="D2332" s="1">
        <v>14000</v>
      </c>
      <c r="E2332" s="1"/>
      <c r="F2332" s="1">
        <v>155</v>
      </c>
      <c r="G2332" s="1">
        <v>14000</v>
      </c>
      <c r="H2332" s="5">
        <f t="shared" si="54"/>
        <v>0</v>
      </c>
      <c r="I2332" s="6"/>
      <c r="J2332" s="43"/>
      <c r="K2332" s="51"/>
      <c r="L2332" s="86"/>
    </row>
    <row r="2333" spans="1:12" ht="15" x14ac:dyDescent="0.25">
      <c r="A2333" s="1">
        <v>2324</v>
      </c>
      <c r="B2333" s="1" t="s">
        <v>342</v>
      </c>
      <c r="C2333" s="32" t="s">
        <v>66</v>
      </c>
      <c r="D2333" s="1">
        <v>200</v>
      </c>
      <c r="E2333" s="1"/>
      <c r="F2333" s="1">
        <v>192.04</v>
      </c>
      <c r="G2333" s="1">
        <v>200</v>
      </c>
      <c r="H2333" s="5">
        <f t="shared" si="54"/>
        <v>0</v>
      </c>
      <c r="I2333" s="6"/>
      <c r="J2333" s="43"/>
      <c r="K2333" s="51"/>
      <c r="L2333" s="86"/>
    </row>
    <row r="2334" spans="1:12" ht="15" x14ac:dyDescent="0.25">
      <c r="A2334" s="1">
        <v>2325</v>
      </c>
      <c r="B2334" s="1" t="s">
        <v>342</v>
      </c>
      <c r="C2334" s="32">
        <v>9903</v>
      </c>
      <c r="D2334" s="1">
        <v>13000</v>
      </c>
      <c r="E2334" s="1"/>
      <c r="F2334" s="1">
        <v>144</v>
      </c>
      <c r="G2334" s="1">
        <v>13000</v>
      </c>
      <c r="H2334" s="5">
        <f t="shared" si="54"/>
        <v>0</v>
      </c>
      <c r="I2334" s="6"/>
      <c r="J2334" s="43"/>
      <c r="K2334" s="51"/>
      <c r="L2334" s="86"/>
    </row>
    <row r="2335" spans="1:12" ht="15" x14ac:dyDescent="0.25">
      <c r="A2335" s="1">
        <v>2326</v>
      </c>
      <c r="B2335" s="1" t="s">
        <v>342</v>
      </c>
      <c r="C2335" s="32">
        <v>5841</v>
      </c>
      <c r="D2335" s="1">
        <v>18000</v>
      </c>
      <c r="E2335" s="1"/>
      <c r="F2335" s="1">
        <v>200</v>
      </c>
      <c r="G2335" s="1">
        <v>18000</v>
      </c>
      <c r="H2335" s="5">
        <f t="shared" si="54"/>
        <v>0</v>
      </c>
      <c r="I2335" s="6"/>
      <c r="J2335" s="43"/>
      <c r="K2335" s="51"/>
      <c r="L2335" s="86"/>
    </row>
    <row r="2336" spans="1:12" ht="15" x14ac:dyDescent="0.25">
      <c r="A2336" s="1">
        <v>2327</v>
      </c>
      <c r="B2336" s="1" t="s">
        <v>342</v>
      </c>
      <c r="C2336" s="32">
        <v>8772</v>
      </c>
      <c r="D2336" s="1">
        <v>25000</v>
      </c>
      <c r="E2336" s="1"/>
      <c r="F2336" s="1">
        <v>317</v>
      </c>
      <c r="G2336" s="1">
        <v>25000</v>
      </c>
      <c r="H2336" s="5">
        <f t="shared" si="54"/>
        <v>0</v>
      </c>
      <c r="I2336" s="6"/>
      <c r="J2336" s="43"/>
      <c r="K2336" s="51"/>
      <c r="L2336" s="86">
        <f>1273076-1250669</f>
        <v>22407</v>
      </c>
    </row>
    <row r="2337" spans="1:12" ht="15" x14ac:dyDescent="0.25">
      <c r="A2337" s="1">
        <v>2328</v>
      </c>
      <c r="B2337" s="1" t="s">
        <v>343</v>
      </c>
      <c r="C2337" s="32">
        <v>2705</v>
      </c>
      <c r="D2337" s="1">
        <v>12000</v>
      </c>
      <c r="E2337" s="1"/>
      <c r="F2337" s="1">
        <v>133</v>
      </c>
      <c r="G2337" s="1">
        <v>12000</v>
      </c>
      <c r="H2337" s="5">
        <f t="shared" si="54"/>
        <v>0</v>
      </c>
      <c r="I2337" s="6"/>
      <c r="J2337" s="43"/>
      <c r="K2337" s="51"/>
      <c r="L2337" s="86"/>
    </row>
    <row r="2338" spans="1:12" ht="15" x14ac:dyDescent="0.25">
      <c r="A2338" s="1">
        <v>2329</v>
      </c>
      <c r="B2338" s="1" t="s">
        <v>343</v>
      </c>
      <c r="C2338" s="32">
        <v>1593</v>
      </c>
      <c r="D2338" s="1">
        <v>12000</v>
      </c>
      <c r="E2338" s="1"/>
      <c r="F2338" s="1">
        <v>133</v>
      </c>
      <c r="G2338" s="1">
        <v>12000</v>
      </c>
      <c r="H2338" s="5">
        <f t="shared" si="54"/>
        <v>0</v>
      </c>
      <c r="I2338" s="6"/>
      <c r="J2338" s="43"/>
      <c r="K2338" s="51"/>
      <c r="L2338" s="86"/>
    </row>
    <row r="2339" spans="1:12" ht="15" x14ac:dyDescent="0.25">
      <c r="A2339" s="1">
        <v>2330</v>
      </c>
      <c r="B2339" s="1" t="s">
        <v>343</v>
      </c>
      <c r="C2339" s="32">
        <v>3754</v>
      </c>
      <c r="D2339" s="1">
        <v>19000</v>
      </c>
      <c r="E2339" s="1"/>
      <c r="F2339" s="1">
        <v>211</v>
      </c>
      <c r="G2339" s="1">
        <v>19000</v>
      </c>
      <c r="H2339" s="5">
        <f t="shared" si="54"/>
        <v>0</v>
      </c>
      <c r="I2339" s="6"/>
      <c r="J2339" s="43"/>
      <c r="K2339" s="51"/>
      <c r="L2339" s="86"/>
    </row>
    <row r="2340" spans="1:12" ht="15" x14ac:dyDescent="0.25">
      <c r="A2340" s="1">
        <v>2331</v>
      </c>
      <c r="B2340" s="1" t="s">
        <v>343</v>
      </c>
      <c r="C2340" s="32" t="s">
        <v>30</v>
      </c>
      <c r="D2340" s="1">
        <v>8000</v>
      </c>
      <c r="E2340" s="1"/>
      <c r="F2340" s="1">
        <v>89</v>
      </c>
      <c r="G2340" s="1">
        <v>8000</v>
      </c>
      <c r="H2340" s="5">
        <f t="shared" si="54"/>
        <v>0</v>
      </c>
      <c r="I2340" s="6"/>
      <c r="J2340" s="43"/>
      <c r="K2340" s="51"/>
      <c r="L2340" s="86"/>
    </row>
    <row r="2341" spans="1:12" ht="15" x14ac:dyDescent="0.25">
      <c r="A2341" s="1">
        <v>2332</v>
      </c>
      <c r="B2341" s="1" t="s">
        <v>343</v>
      </c>
      <c r="C2341" s="32" t="s">
        <v>66</v>
      </c>
      <c r="D2341" s="1">
        <v>200</v>
      </c>
      <c r="E2341" s="1"/>
      <c r="F2341" s="1">
        <v>192.04</v>
      </c>
      <c r="G2341" s="1">
        <v>200</v>
      </c>
      <c r="H2341" s="5">
        <f t="shared" si="54"/>
        <v>0</v>
      </c>
      <c r="I2341" s="6"/>
      <c r="J2341" s="43"/>
      <c r="K2341" s="51"/>
      <c r="L2341" s="86"/>
    </row>
    <row r="2342" spans="1:12" ht="15" x14ac:dyDescent="0.25">
      <c r="A2342" s="1">
        <v>2333</v>
      </c>
      <c r="B2342" s="1" t="s">
        <v>343</v>
      </c>
      <c r="C2342" s="32">
        <v>1068</v>
      </c>
      <c r="D2342" s="1">
        <v>30000</v>
      </c>
      <c r="E2342" s="1"/>
      <c r="F2342" s="1">
        <v>334</v>
      </c>
      <c r="G2342" s="1">
        <v>30000</v>
      </c>
      <c r="H2342" s="5">
        <f t="shared" si="54"/>
        <v>0</v>
      </c>
      <c r="I2342" s="6"/>
      <c r="J2342" s="43"/>
      <c r="K2342" s="51"/>
      <c r="L2342" s="86"/>
    </row>
    <row r="2343" spans="1:12" ht="15" x14ac:dyDescent="0.25">
      <c r="A2343" s="1">
        <v>2334</v>
      </c>
      <c r="B2343" s="1" t="s">
        <v>343</v>
      </c>
      <c r="C2343" s="32">
        <v>4702</v>
      </c>
      <c r="D2343" s="1">
        <v>16000</v>
      </c>
      <c r="E2343" s="1"/>
      <c r="F2343" s="1">
        <v>170</v>
      </c>
      <c r="G2343" s="1">
        <v>16000</v>
      </c>
      <c r="H2343" s="5">
        <f t="shared" si="54"/>
        <v>0</v>
      </c>
      <c r="I2343" s="6"/>
      <c r="J2343" s="43"/>
      <c r="K2343" s="51"/>
      <c r="L2343" s="86">
        <f>1047869-1041096</f>
        <v>6773</v>
      </c>
    </row>
    <row r="2344" spans="1:12" ht="15" x14ac:dyDescent="0.25">
      <c r="A2344" s="1">
        <v>2335</v>
      </c>
      <c r="B2344" s="1" t="s">
        <v>344</v>
      </c>
      <c r="C2344" s="32">
        <v>3344</v>
      </c>
      <c r="D2344" s="1">
        <v>13000</v>
      </c>
      <c r="E2344" s="1"/>
      <c r="F2344" s="1">
        <v>144</v>
      </c>
      <c r="G2344" s="1">
        <v>13000</v>
      </c>
      <c r="H2344" s="5">
        <f t="shared" si="54"/>
        <v>0</v>
      </c>
      <c r="I2344" s="6"/>
      <c r="J2344" s="43"/>
      <c r="K2344" s="51"/>
      <c r="L2344" s="86"/>
    </row>
    <row r="2345" spans="1:12" ht="15" x14ac:dyDescent="0.25">
      <c r="A2345" s="1">
        <v>2336</v>
      </c>
      <c r="B2345" s="1" t="s">
        <v>344</v>
      </c>
      <c r="C2345" s="32">
        <v>8516</v>
      </c>
      <c r="D2345" s="1">
        <v>13000</v>
      </c>
      <c r="E2345" s="1"/>
      <c r="F2345" s="1">
        <v>144</v>
      </c>
      <c r="G2345" s="1">
        <v>13000</v>
      </c>
      <c r="H2345" s="5">
        <f t="shared" si="54"/>
        <v>0</v>
      </c>
      <c r="I2345" s="6"/>
      <c r="J2345" s="43"/>
      <c r="K2345" s="51"/>
      <c r="L2345" s="86"/>
    </row>
    <row r="2346" spans="1:12" ht="15" x14ac:dyDescent="0.25">
      <c r="A2346" s="1">
        <v>2337</v>
      </c>
      <c r="B2346" s="1" t="s">
        <v>344</v>
      </c>
      <c r="C2346" s="32">
        <v>1266</v>
      </c>
      <c r="D2346" s="1">
        <v>13000</v>
      </c>
      <c r="E2346" s="1"/>
      <c r="F2346" s="1">
        <v>144</v>
      </c>
      <c r="G2346" s="1">
        <v>13000</v>
      </c>
      <c r="H2346" s="5">
        <f t="shared" si="54"/>
        <v>0</v>
      </c>
      <c r="I2346" s="6"/>
      <c r="J2346" s="43"/>
      <c r="K2346" s="51"/>
      <c r="L2346" s="86"/>
    </row>
    <row r="2347" spans="1:12" ht="15" x14ac:dyDescent="0.25">
      <c r="A2347" s="1">
        <v>2338</v>
      </c>
      <c r="B2347" s="1" t="s">
        <v>344</v>
      </c>
      <c r="C2347" s="32">
        <v>3773</v>
      </c>
      <c r="D2347" s="1">
        <v>13000</v>
      </c>
      <c r="E2347" s="1"/>
      <c r="F2347" s="1">
        <v>144</v>
      </c>
      <c r="G2347" s="1">
        <v>13000</v>
      </c>
      <c r="H2347" s="5">
        <f t="shared" si="54"/>
        <v>0</v>
      </c>
      <c r="I2347" s="6"/>
      <c r="J2347" s="43"/>
      <c r="K2347" s="51"/>
      <c r="L2347" s="86"/>
    </row>
    <row r="2348" spans="1:12" ht="15" x14ac:dyDescent="0.25">
      <c r="A2348" s="1">
        <v>2339</v>
      </c>
      <c r="B2348" s="1" t="s">
        <v>344</v>
      </c>
      <c r="C2348" s="32">
        <v>5077</v>
      </c>
      <c r="D2348" s="1">
        <v>10000</v>
      </c>
      <c r="E2348" s="1"/>
      <c r="F2348" s="1">
        <v>111</v>
      </c>
      <c r="G2348" s="1">
        <v>10000</v>
      </c>
      <c r="H2348" s="5">
        <f t="shared" si="54"/>
        <v>0</v>
      </c>
      <c r="I2348" s="6"/>
      <c r="J2348" s="43"/>
      <c r="K2348" s="51"/>
      <c r="L2348" s="86"/>
    </row>
    <row r="2349" spans="1:12" ht="15" x14ac:dyDescent="0.25">
      <c r="A2349" s="1">
        <v>2340</v>
      </c>
      <c r="B2349" s="1" t="s">
        <v>344</v>
      </c>
      <c r="C2349" s="32" t="s">
        <v>30</v>
      </c>
      <c r="D2349" s="1">
        <v>2000</v>
      </c>
      <c r="E2349" s="1"/>
      <c r="F2349" s="1">
        <v>22</v>
      </c>
      <c r="G2349" s="1">
        <v>2000</v>
      </c>
      <c r="H2349" s="5">
        <f t="shared" si="54"/>
        <v>0</v>
      </c>
      <c r="I2349" s="6"/>
      <c r="J2349" s="43"/>
      <c r="K2349" s="51"/>
      <c r="L2349" s="86"/>
    </row>
    <row r="2350" spans="1:12" ht="15" x14ac:dyDescent="0.25">
      <c r="A2350" s="1">
        <v>2341</v>
      </c>
      <c r="B2350" s="1" t="s">
        <v>344</v>
      </c>
      <c r="C2350" s="32">
        <v>4371</v>
      </c>
      <c r="D2350" s="1">
        <v>12000</v>
      </c>
      <c r="E2350" s="1"/>
      <c r="F2350" s="1">
        <v>133</v>
      </c>
      <c r="G2350" s="1">
        <v>12000</v>
      </c>
      <c r="H2350" s="5">
        <f t="shared" si="54"/>
        <v>0</v>
      </c>
      <c r="I2350" s="6"/>
      <c r="J2350" s="43"/>
      <c r="K2350" s="51"/>
      <c r="L2350" s="86"/>
    </row>
    <row r="2351" spans="1:12" ht="15" x14ac:dyDescent="0.25">
      <c r="A2351" s="1">
        <v>2342</v>
      </c>
      <c r="B2351" s="1" t="s">
        <v>344</v>
      </c>
      <c r="C2351" s="32">
        <v>9544</v>
      </c>
      <c r="D2351" s="1">
        <v>12000</v>
      </c>
      <c r="E2351" s="1"/>
      <c r="F2351" s="1">
        <v>133</v>
      </c>
      <c r="G2351" s="1">
        <v>12000</v>
      </c>
      <c r="H2351" s="5">
        <f t="shared" si="54"/>
        <v>0</v>
      </c>
      <c r="I2351" s="6"/>
      <c r="J2351" s="43"/>
      <c r="K2351" s="51"/>
      <c r="L2351" s="86"/>
    </row>
    <row r="2352" spans="1:12" ht="15" x14ac:dyDescent="0.25">
      <c r="A2352" s="1">
        <v>2343</v>
      </c>
      <c r="B2352" s="1" t="s">
        <v>344</v>
      </c>
      <c r="C2352" s="32" t="s">
        <v>30</v>
      </c>
      <c r="D2352" s="1">
        <v>5000</v>
      </c>
      <c r="E2352" s="1"/>
      <c r="F2352" s="1">
        <v>50.13</v>
      </c>
      <c r="G2352" s="1">
        <v>5000</v>
      </c>
      <c r="H2352" s="5">
        <f t="shared" si="54"/>
        <v>0</v>
      </c>
      <c r="I2352" s="6"/>
      <c r="J2352" s="43"/>
      <c r="K2352" s="51"/>
      <c r="L2352" s="86"/>
    </row>
    <row r="2353" spans="1:12" ht="15" x14ac:dyDescent="0.25">
      <c r="A2353" s="1">
        <v>2344</v>
      </c>
      <c r="B2353" s="1" t="s">
        <v>344</v>
      </c>
      <c r="C2353" s="32">
        <v>7744</v>
      </c>
      <c r="D2353" s="1">
        <v>13000</v>
      </c>
      <c r="E2353" s="1"/>
      <c r="F2353" s="1">
        <v>144</v>
      </c>
      <c r="G2353" s="1">
        <v>13000</v>
      </c>
      <c r="H2353" s="5">
        <f t="shared" si="54"/>
        <v>0</v>
      </c>
      <c r="I2353" s="6"/>
      <c r="J2353" s="43"/>
      <c r="K2353" s="51"/>
      <c r="L2353" s="86"/>
    </row>
    <row r="2354" spans="1:12" ht="15" x14ac:dyDescent="0.25">
      <c r="A2354" s="1">
        <v>2345</v>
      </c>
      <c r="B2354" s="1" t="s">
        <v>344</v>
      </c>
      <c r="C2354" s="32">
        <v>593</v>
      </c>
      <c r="D2354" s="1">
        <v>25000</v>
      </c>
      <c r="E2354" s="1"/>
      <c r="F2354" s="1">
        <v>278</v>
      </c>
      <c r="G2354" s="1">
        <v>25000</v>
      </c>
      <c r="H2354" s="5">
        <f t="shared" si="54"/>
        <v>0</v>
      </c>
      <c r="I2354" s="6"/>
      <c r="J2354" s="43"/>
      <c r="K2354" s="51"/>
      <c r="L2354" s="86"/>
    </row>
    <row r="2355" spans="1:12" ht="15" x14ac:dyDescent="0.25">
      <c r="A2355" s="1">
        <v>2346</v>
      </c>
      <c r="B2355" s="1" t="s">
        <v>344</v>
      </c>
      <c r="C2355" s="32">
        <v>476</v>
      </c>
      <c r="D2355" s="1">
        <v>25000</v>
      </c>
      <c r="E2355" s="1"/>
      <c r="F2355" s="1">
        <v>278</v>
      </c>
      <c r="G2355" s="1">
        <v>25000</v>
      </c>
      <c r="H2355" s="5">
        <f t="shared" si="54"/>
        <v>0</v>
      </c>
      <c r="I2355" s="6"/>
      <c r="J2355" s="43"/>
      <c r="K2355" s="51"/>
      <c r="L2355" s="86"/>
    </row>
    <row r="2356" spans="1:12" ht="15" x14ac:dyDescent="0.25">
      <c r="A2356" s="1">
        <v>2347</v>
      </c>
      <c r="B2356" s="1" t="s">
        <v>344</v>
      </c>
      <c r="C2356" s="32">
        <v>7958</v>
      </c>
      <c r="D2356" s="1">
        <v>25000</v>
      </c>
      <c r="E2356" s="1"/>
      <c r="F2356" s="1">
        <v>278</v>
      </c>
      <c r="G2356" s="1">
        <v>25000</v>
      </c>
      <c r="H2356" s="5">
        <f t="shared" si="54"/>
        <v>0</v>
      </c>
      <c r="I2356" s="6"/>
      <c r="J2356" s="43"/>
      <c r="K2356" s="51"/>
      <c r="L2356" s="86"/>
    </row>
    <row r="2357" spans="1:12" ht="15" x14ac:dyDescent="0.25">
      <c r="A2357" s="1">
        <v>2348</v>
      </c>
      <c r="B2357" s="1" t="s">
        <v>344</v>
      </c>
      <c r="C2357" s="32">
        <v>6742</v>
      </c>
      <c r="D2357" s="1">
        <v>23000</v>
      </c>
      <c r="E2357" s="1"/>
      <c r="F2357" s="1">
        <v>256</v>
      </c>
      <c r="G2357" s="1">
        <v>23000</v>
      </c>
      <c r="H2357" s="5">
        <f t="shared" si="54"/>
        <v>0</v>
      </c>
      <c r="I2357" s="6"/>
      <c r="J2357" s="43"/>
      <c r="K2357" s="51"/>
      <c r="L2357" s="86"/>
    </row>
    <row r="2358" spans="1:12" ht="15" x14ac:dyDescent="0.25">
      <c r="A2358" s="1">
        <v>2349</v>
      </c>
      <c r="B2358" s="1" t="s">
        <v>344</v>
      </c>
      <c r="C2358" s="32">
        <v>4490</v>
      </c>
      <c r="D2358" s="1">
        <v>25000</v>
      </c>
      <c r="E2358" s="1"/>
      <c r="F2358" s="1">
        <v>278</v>
      </c>
      <c r="G2358" s="1">
        <v>25000</v>
      </c>
      <c r="H2358" s="5">
        <f t="shared" si="54"/>
        <v>0</v>
      </c>
      <c r="I2358" s="6"/>
      <c r="J2358" s="43"/>
      <c r="K2358" s="51"/>
      <c r="L2358" s="86"/>
    </row>
    <row r="2359" spans="1:12" ht="15" x14ac:dyDescent="0.25">
      <c r="A2359" s="1">
        <v>2350</v>
      </c>
      <c r="B2359" s="1" t="s">
        <v>344</v>
      </c>
      <c r="C2359" s="32">
        <v>3389</v>
      </c>
      <c r="D2359" s="1">
        <v>20000</v>
      </c>
      <c r="E2359" s="1"/>
      <c r="F2359" s="1">
        <v>239</v>
      </c>
      <c r="G2359" s="1">
        <v>20000</v>
      </c>
      <c r="H2359" s="5">
        <f t="shared" si="54"/>
        <v>0</v>
      </c>
      <c r="I2359" s="6"/>
      <c r="J2359" s="43"/>
      <c r="K2359" s="51"/>
      <c r="L2359" s="86">
        <f>1096869-1088131</f>
        <v>8738</v>
      </c>
    </row>
    <row r="2360" spans="1:12" ht="15" x14ac:dyDescent="0.25">
      <c r="A2360" s="1">
        <v>2351</v>
      </c>
      <c r="B2360" s="1" t="s">
        <v>345</v>
      </c>
      <c r="C2360" s="32" t="s">
        <v>63</v>
      </c>
      <c r="D2360" s="1">
        <v>3500</v>
      </c>
      <c r="E2360" s="1"/>
      <c r="F2360" s="1">
        <v>35.15</v>
      </c>
      <c r="G2360" s="1">
        <v>3500</v>
      </c>
      <c r="H2360" s="5">
        <f t="shared" si="54"/>
        <v>0</v>
      </c>
      <c r="I2360" s="6"/>
      <c r="J2360" s="43"/>
      <c r="K2360" s="51"/>
      <c r="L2360" s="86"/>
    </row>
    <row r="2361" spans="1:12" ht="15" x14ac:dyDescent="0.25">
      <c r="A2361" s="1">
        <v>2352</v>
      </c>
      <c r="B2361" s="1" t="s">
        <v>345</v>
      </c>
      <c r="C2361" s="32" t="s">
        <v>30</v>
      </c>
      <c r="D2361" s="1">
        <v>2000</v>
      </c>
      <c r="E2361" s="1"/>
      <c r="F2361" s="1">
        <v>22</v>
      </c>
      <c r="G2361" s="1">
        <v>2000</v>
      </c>
      <c r="H2361" s="5">
        <f t="shared" si="54"/>
        <v>0</v>
      </c>
      <c r="I2361" s="6"/>
      <c r="J2361" s="43"/>
      <c r="K2361" s="51"/>
      <c r="L2361" s="86"/>
    </row>
    <row r="2362" spans="1:12" ht="15" x14ac:dyDescent="0.25">
      <c r="A2362" s="1">
        <v>2353</v>
      </c>
      <c r="B2362" s="1" t="s">
        <v>345</v>
      </c>
      <c r="C2362" s="32" t="s">
        <v>66</v>
      </c>
      <c r="D2362" s="1">
        <v>200</v>
      </c>
      <c r="E2362" s="1"/>
      <c r="F2362" s="1">
        <v>2.12</v>
      </c>
      <c r="G2362" s="1">
        <v>200</v>
      </c>
      <c r="H2362" s="5">
        <f t="shared" si="54"/>
        <v>0</v>
      </c>
      <c r="I2362" s="6"/>
      <c r="J2362" s="43"/>
      <c r="K2362" s="51"/>
      <c r="L2362" s="86"/>
    </row>
    <row r="2363" spans="1:12" ht="15" x14ac:dyDescent="0.25">
      <c r="A2363" s="1">
        <v>2354</v>
      </c>
      <c r="B2363" s="1" t="s">
        <v>345</v>
      </c>
      <c r="C2363" s="32">
        <v>3537</v>
      </c>
      <c r="D2363" s="1">
        <v>25000</v>
      </c>
      <c r="E2363" s="1"/>
      <c r="F2363" s="1">
        <v>278</v>
      </c>
      <c r="G2363" s="1">
        <v>25000</v>
      </c>
      <c r="H2363" s="5">
        <f t="shared" si="54"/>
        <v>0</v>
      </c>
      <c r="I2363" s="6"/>
      <c r="J2363" s="43"/>
      <c r="K2363" s="51"/>
      <c r="L2363" s="86"/>
    </row>
    <row r="2364" spans="1:12" ht="15" x14ac:dyDescent="0.25">
      <c r="A2364" s="1">
        <v>2355</v>
      </c>
      <c r="B2364" s="1" t="s">
        <v>345</v>
      </c>
      <c r="C2364" s="32" t="s">
        <v>30</v>
      </c>
      <c r="D2364" s="1">
        <v>6000</v>
      </c>
      <c r="E2364" s="1"/>
      <c r="F2364" s="1">
        <v>66</v>
      </c>
      <c r="G2364" s="1">
        <v>6000</v>
      </c>
      <c r="H2364" s="5">
        <f t="shared" si="54"/>
        <v>0</v>
      </c>
      <c r="I2364" s="6"/>
      <c r="J2364" s="43"/>
      <c r="K2364" s="51"/>
      <c r="L2364" s="86"/>
    </row>
    <row r="2365" spans="1:12" ht="15" x14ac:dyDescent="0.25">
      <c r="A2365" s="1">
        <v>2356</v>
      </c>
      <c r="B2365" s="1" t="s">
        <v>345</v>
      </c>
      <c r="C2365" s="32">
        <v>0.20499999999999999</v>
      </c>
      <c r="D2365" s="1">
        <v>25000</v>
      </c>
      <c r="E2365" s="1"/>
      <c r="F2365" s="1">
        <v>278</v>
      </c>
      <c r="G2365" s="1">
        <v>25000</v>
      </c>
      <c r="H2365" s="5">
        <f t="shared" si="54"/>
        <v>0</v>
      </c>
      <c r="I2365" s="6"/>
      <c r="J2365" s="43"/>
      <c r="K2365" s="51"/>
      <c r="L2365" s="86"/>
    </row>
    <row r="2366" spans="1:12" ht="15" x14ac:dyDescent="0.25">
      <c r="A2366" s="1">
        <v>2357</v>
      </c>
      <c r="B2366" s="1" t="s">
        <v>345</v>
      </c>
      <c r="C2366" s="32">
        <v>3223</v>
      </c>
      <c r="D2366" s="1">
        <v>20000</v>
      </c>
      <c r="E2366" s="1"/>
      <c r="F2366" s="1">
        <v>239</v>
      </c>
      <c r="G2366" s="1">
        <v>20000</v>
      </c>
      <c r="H2366" s="5">
        <f t="shared" si="54"/>
        <v>0</v>
      </c>
      <c r="I2366" s="6"/>
      <c r="J2366" s="43"/>
      <c r="K2366" s="51"/>
      <c r="L2366" s="86"/>
    </row>
    <row r="2367" spans="1:12" ht="15" x14ac:dyDescent="0.25">
      <c r="A2367" s="1">
        <v>2358</v>
      </c>
      <c r="B2367" s="1" t="s">
        <v>345</v>
      </c>
      <c r="C2367" s="32">
        <v>4101</v>
      </c>
      <c r="D2367" s="1">
        <v>13000</v>
      </c>
      <c r="E2367" s="1"/>
      <c r="F2367" s="1">
        <v>144</v>
      </c>
      <c r="G2367" s="1">
        <v>13000</v>
      </c>
      <c r="H2367" s="5">
        <f t="shared" si="54"/>
        <v>0</v>
      </c>
      <c r="I2367" s="6"/>
      <c r="J2367" s="43"/>
      <c r="K2367" s="51"/>
      <c r="L2367" s="86"/>
    </row>
    <row r="2368" spans="1:12" ht="15" x14ac:dyDescent="0.25">
      <c r="A2368" s="1">
        <v>2359</v>
      </c>
      <c r="B2368" s="1" t="s">
        <v>345</v>
      </c>
      <c r="C2368" s="32">
        <v>9057</v>
      </c>
      <c r="D2368" s="1">
        <v>17000</v>
      </c>
      <c r="E2368" s="1"/>
      <c r="F2368" s="1">
        <v>189</v>
      </c>
      <c r="G2368" s="1">
        <v>17000</v>
      </c>
      <c r="H2368" s="5">
        <f t="shared" si="54"/>
        <v>0</v>
      </c>
      <c r="I2368" s="6"/>
      <c r="J2368" s="43"/>
      <c r="K2368" s="51"/>
      <c r="L2368" s="86"/>
    </row>
    <row r="2369" spans="1:12" ht="15" x14ac:dyDescent="0.25">
      <c r="A2369" s="1">
        <v>2360</v>
      </c>
      <c r="B2369" s="1" t="s">
        <v>345</v>
      </c>
      <c r="C2369" s="32">
        <v>8282</v>
      </c>
      <c r="D2369" s="1">
        <v>20000</v>
      </c>
      <c r="E2369" s="1"/>
      <c r="F2369" s="1">
        <v>222.82</v>
      </c>
      <c r="G2369" s="1">
        <v>20000</v>
      </c>
      <c r="H2369" s="5">
        <f t="shared" si="54"/>
        <v>0</v>
      </c>
      <c r="I2369" s="6"/>
      <c r="J2369" s="43"/>
      <c r="K2369" s="51"/>
      <c r="L2369" s="86"/>
    </row>
    <row r="2370" spans="1:12" ht="15" x14ac:dyDescent="0.25">
      <c r="A2370" s="1">
        <v>2361</v>
      </c>
      <c r="B2370" s="1" t="s">
        <v>345</v>
      </c>
      <c r="C2370" s="32">
        <v>3005</v>
      </c>
      <c r="D2370" s="1">
        <v>25000</v>
      </c>
      <c r="E2370" s="1"/>
      <c r="F2370" s="1">
        <v>278</v>
      </c>
      <c r="G2370" s="1">
        <v>25000</v>
      </c>
      <c r="H2370" s="5">
        <f t="shared" si="54"/>
        <v>0</v>
      </c>
      <c r="I2370" s="6"/>
      <c r="J2370" s="43"/>
      <c r="K2370" s="51"/>
      <c r="L2370" s="86"/>
    </row>
    <row r="2371" spans="1:12" ht="15" x14ac:dyDescent="0.25">
      <c r="A2371" s="1">
        <v>2362</v>
      </c>
      <c r="B2371" s="1" t="s">
        <v>345</v>
      </c>
      <c r="C2371" s="32">
        <v>504</v>
      </c>
      <c r="D2371" s="1">
        <v>13000</v>
      </c>
      <c r="E2371" s="1"/>
      <c r="F2371" s="1">
        <v>144</v>
      </c>
      <c r="G2371" s="1">
        <v>13000</v>
      </c>
      <c r="H2371" s="5">
        <f t="shared" si="54"/>
        <v>0</v>
      </c>
      <c r="I2371" s="6"/>
      <c r="J2371" s="43"/>
      <c r="K2371" s="51"/>
      <c r="L2371" s="86"/>
    </row>
    <row r="2372" spans="1:12" ht="15" x14ac:dyDescent="0.25">
      <c r="A2372" s="1">
        <v>2363</v>
      </c>
      <c r="B2372" s="1" t="s">
        <v>345</v>
      </c>
      <c r="C2372" s="32">
        <v>8094</v>
      </c>
      <c r="D2372" s="1">
        <v>24000</v>
      </c>
      <c r="E2372" s="1"/>
      <c r="F2372" s="1">
        <v>267</v>
      </c>
      <c r="G2372" s="1">
        <v>24000</v>
      </c>
      <c r="H2372" s="5">
        <f t="shared" si="54"/>
        <v>0</v>
      </c>
      <c r="I2372" s="6"/>
      <c r="J2372" s="43"/>
      <c r="K2372" s="51"/>
      <c r="L2372" s="86"/>
    </row>
    <row r="2373" spans="1:12" ht="15" x14ac:dyDescent="0.25">
      <c r="A2373" s="1">
        <v>2364</v>
      </c>
      <c r="B2373" s="1" t="s">
        <v>345</v>
      </c>
      <c r="C2373" s="32">
        <v>2232</v>
      </c>
      <c r="D2373" s="1">
        <v>12000</v>
      </c>
      <c r="E2373" s="1"/>
      <c r="F2373" s="1">
        <v>133</v>
      </c>
      <c r="G2373" s="1">
        <v>12000</v>
      </c>
      <c r="H2373" s="5">
        <f t="shared" si="54"/>
        <v>0</v>
      </c>
      <c r="I2373" s="6"/>
      <c r="J2373" s="43"/>
      <c r="K2373" s="51"/>
      <c r="L2373" s="86">
        <f>1106340-1077569</f>
        <v>28771</v>
      </c>
    </row>
    <row r="2374" spans="1:12" ht="15" x14ac:dyDescent="0.25">
      <c r="A2374" s="1">
        <v>2365</v>
      </c>
      <c r="B2374" s="1" t="s">
        <v>346</v>
      </c>
      <c r="C2374" s="32">
        <v>8125</v>
      </c>
      <c r="D2374" s="1">
        <v>20000</v>
      </c>
      <c r="E2374" s="1"/>
      <c r="F2374" s="1">
        <v>222.82</v>
      </c>
      <c r="G2374" s="1">
        <v>20000</v>
      </c>
      <c r="H2374" s="5">
        <f t="shared" si="54"/>
        <v>0</v>
      </c>
      <c r="I2374" s="6"/>
      <c r="J2374" s="43"/>
      <c r="K2374" s="51"/>
      <c r="L2374" s="86"/>
    </row>
    <row r="2375" spans="1:12" ht="15" x14ac:dyDescent="0.25">
      <c r="A2375" s="1">
        <v>2366</v>
      </c>
      <c r="B2375" s="1" t="s">
        <v>346</v>
      </c>
      <c r="C2375" s="32">
        <v>4757</v>
      </c>
      <c r="D2375" s="1">
        <v>20000</v>
      </c>
      <c r="E2375" s="1"/>
      <c r="F2375" s="1">
        <v>222.82</v>
      </c>
      <c r="G2375" s="1">
        <v>20000</v>
      </c>
      <c r="H2375" s="5">
        <f t="shared" si="54"/>
        <v>0</v>
      </c>
      <c r="I2375" s="6"/>
      <c r="J2375" s="43"/>
      <c r="K2375" s="51"/>
      <c r="L2375" s="86"/>
    </row>
    <row r="2376" spans="1:12" ht="15" x14ac:dyDescent="0.25">
      <c r="A2376" s="1">
        <v>2367</v>
      </c>
      <c r="B2376" s="1" t="s">
        <v>346</v>
      </c>
      <c r="C2376" s="32">
        <v>6538</v>
      </c>
      <c r="D2376" s="1">
        <v>12000</v>
      </c>
      <c r="E2376" s="1"/>
      <c r="F2376" s="1">
        <v>133</v>
      </c>
      <c r="G2376" s="1">
        <v>12000</v>
      </c>
      <c r="H2376" s="5">
        <f t="shared" si="54"/>
        <v>0</v>
      </c>
      <c r="I2376" s="6"/>
      <c r="J2376" s="43"/>
      <c r="K2376" s="51"/>
      <c r="L2376" s="86"/>
    </row>
    <row r="2377" spans="1:12" ht="15" x14ac:dyDescent="0.25">
      <c r="A2377" s="1">
        <v>2368</v>
      </c>
      <c r="B2377" s="1" t="s">
        <v>346</v>
      </c>
      <c r="C2377" s="32">
        <v>6768</v>
      </c>
      <c r="D2377" s="1">
        <v>20000</v>
      </c>
      <c r="E2377" s="1"/>
      <c r="F2377" s="1">
        <v>222.82</v>
      </c>
      <c r="G2377" s="1">
        <v>20000</v>
      </c>
      <c r="H2377" s="5">
        <f t="shared" ref="H2377:H2439" si="55">D2377-G2377</f>
        <v>0</v>
      </c>
      <c r="I2377" s="6"/>
      <c r="J2377" s="43"/>
      <c r="K2377" s="51"/>
      <c r="L2377" s="86"/>
    </row>
    <row r="2378" spans="1:12" ht="15" x14ac:dyDescent="0.25">
      <c r="A2378" s="1">
        <v>2369</v>
      </c>
      <c r="B2378" s="1" t="s">
        <v>346</v>
      </c>
      <c r="C2378" s="32">
        <v>9844</v>
      </c>
      <c r="D2378" s="1">
        <v>22000</v>
      </c>
      <c r="E2378" s="1"/>
      <c r="F2378" s="1">
        <v>233</v>
      </c>
      <c r="G2378" s="1">
        <v>22000</v>
      </c>
      <c r="H2378" s="5">
        <f t="shared" si="55"/>
        <v>0</v>
      </c>
      <c r="I2378" s="6"/>
      <c r="J2378" s="43"/>
      <c r="K2378" s="51"/>
      <c r="L2378" s="86"/>
    </row>
    <row r="2379" spans="1:12" ht="15" x14ac:dyDescent="0.25">
      <c r="A2379" s="1">
        <v>2370</v>
      </c>
      <c r="B2379" s="1" t="s">
        <v>346</v>
      </c>
      <c r="C2379" s="32">
        <v>5400</v>
      </c>
      <c r="D2379" s="1">
        <v>12000</v>
      </c>
      <c r="E2379" s="1"/>
      <c r="F2379" s="1">
        <v>133</v>
      </c>
      <c r="G2379" s="1">
        <v>12000</v>
      </c>
      <c r="H2379" s="5">
        <f t="shared" si="55"/>
        <v>0</v>
      </c>
      <c r="I2379" s="6"/>
      <c r="J2379" s="43"/>
      <c r="K2379" s="51"/>
      <c r="L2379" s="86"/>
    </row>
    <row r="2380" spans="1:12" ht="15" x14ac:dyDescent="0.25">
      <c r="A2380" s="1">
        <v>2371</v>
      </c>
      <c r="B2380" s="1" t="s">
        <v>346</v>
      </c>
      <c r="C2380" s="32">
        <v>8592</v>
      </c>
      <c r="D2380" s="1">
        <v>24000</v>
      </c>
      <c r="E2380" s="1"/>
      <c r="F2380" s="1">
        <v>267</v>
      </c>
      <c r="G2380" s="1">
        <v>24000</v>
      </c>
      <c r="H2380" s="5">
        <f t="shared" si="55"/>
        <v>0</v>
      </c>
      <c r="I2380" s="6"/>
      <c r="J2380" s="43"/>
      <c r="K2380" s="51"/>
      <c r="L2380" s="86"/>
    </row>
    <row r="2381" spans="1:12" ht="15" x14ac:dyDescent="0.25">
      <c r="A2381" s="1">
        <v>2372</v>
      </c>
      <c r="B2381" s="1" t="s">
        <v>347</v>
      </c>
      <c r="C2381" s="32">
        <v>9616</v>
      </c>
      <c r="D2381" s="1">
        <v>13000</v>
      </c>
      <c r="E2381" s="1"/>
      <c r="F2381" s="1">
        <v>144</v>
      </c>
      <c r="G2381" s="1">
        <v>13000</v>
      </c>
      <c r="H2381" s="5">
        <f t="shared" si="55"/>
        <v>0</v>
      </c>
      <c r="I2381" s="6"/>
      <c r="J2381" s="43"/>
      <c r="K2381" s="51"/>
      <c r="L2381" s="86"/>
    </row>
    <row r="2382" spans="1:12" ht="15" x14ac:dyDescent="0.25">
      <c r="A2382" s="1">
        <v>2373</v>
      </c>
      <c r="B2382" s="1" t="s">
        <v>347</v>
      </c>
      <c r="C2382" s="32">
        <v>1266</v>
      </c>
      <c r="D2382" s="1">
        <v>13000</v>
      </c>
      <c r="E2382" s="1"/>
      <c r="F2382" s="1">
        <v>144</v>
      </c>
      <c r="G2382" s="1">
        <v>13000</v>
      </c>
      <c r="H2382" s="5">
        <f t="shared" si="55"/>
        <v>0</v>
      </c>
      <c r="I2382" s="6"/>
      <c r="J2382" s="43"/>
      <c r="K2382" s="51"/>
      <c r="L2382" s="86"/>
    </row>
    <row r="2383" spans="1:12" ht="15" x14ac:dyDescent="0.25">
      <c r="A2383" s="1">
        <v>2374</v>
      </c>
      <c r="B2383" s="1" t="s">
        <v>347</v>
      </c>
      <c r="C2383" s="32">
        <v>2244</v>
      </c>
      <c r="D2383" s="1">
        <v>14000</v>
      </c>
      <c r="E2383" s="1"/>
      <c r="F2383" s="1">
        <v>155</v>
      </c>
      <c r="G2383" s="1">
        <v>14000</v>
      </c>
      <c r="H2383" s="5">
        <f t="shared" si="55"/>
        <v>0</v>
      </c>
      <c r="I2383" s="6"/>
      <c r="J2383" s="43"/>
      <c r="K2383" s="51"/>
      <c r="L2383" s="86"/>
    </row>
    <row r="2384" spans="1:12" ht="15" x14ac:dyDescent="0.25">
      <c r="A2384" s="1">
        <v>2375</v>
      </c>
      <c r="B2384" s="1" t="s">
        <v>347</v>
      </c>
      <c r="C2384" s="32" t="s">
        <v>30</v>
      </c>
      <c r="D2384" s="1">
        <v>4000</v>
      </c>
      <c r="E2384" s="1"/>
      <c r="F2384" s="1">
        <v>44</v>
      </c>
      <c r="G2384" s="1">
        <v>4000</v>
      </c>
      <c r="H2384" s="5">
        <f t="shared" si="55"/>
        <v>0</v>
      </c>
      <c r="I2384" s="6"/>
      <c r="J2384" s="43"/>
      <c r="K2384" s="51"/>
      <c r="L2384" s="86"/>
    </row>
    <row r="2385" spans="1:12" ht="15" x14ac:dyDescent="0.25">
      <c r="A2385" s="1">
        <v>2376</v>
      </c>
      <c r="B2385" s="1" t="s">
        <v>347</v>
      </c>
      <c r="C2385" s="32">
        <v>7479</v>
      </c>
      <c r="D2385" s="1">
        <v>20000</v>
      </c>
      <c r="E2385" s="1"/>
      <c r="F2385" s="1">
        <v>222.82</v>
      </c>
      <c r="G2385" s="1">
        <v>20000</v>
      </c>
      <c r="H2385" s="5">
        <f t="shared" si="55"/>
        <v>0</v>
      </c>
      <c r="I2385" s="6"/>
      <c r="J2385" s="43"/>
      <c r="K2385" s="51"/>
      <c r="L2385" s="86"/>
    </row>
    <row r="2386" spans="1:12" ht="15" x14ac:dyDescent="0.25">
      <c r="A2386" s="1">
        <v>2377</v>
      </c>
      <c r="B2386" s="1" t="s">
        <v>347</v>
      </c>
      <c r="C2386" s="32">
        <v>1616</v>
      </c>
      <c r="D2386" s="1">
        <v>13000</v>
      </c>
      <c r="E2386" s="1"/>
      <c r="F2386" s="1">
        <v>144</v>
      </c>
      <c r="G2386" s="1">
        <v>13000</v>
      </c>
      <c r="H2386" s="5">
        <f t="shared" si="55"/>
        <v>0</v>
      </c>
      <c r="I2386" s="6"/>
      <c r="J2386" s="43"/>
      <c r="K2386" s="51"/>
      <c r="L2386" s="86"/>
    </row>
    <row r="2387" spans="1:12" ht="15" x14ac:dyDescent="0.25">
      <c r="A2387" s="1">
        <v>2378</v>
      </c>
      <c r="B2387" s="1" t="s">
        <v>347</v>
      </c>
      <c r="C2387" s="32">
        <v>1593</v>
      </c>
      <c r="D2387" s="1">
        <v>12000</v>
      </c>
      <c r="E2387" s="1"/>
      <c r="F2387" s="1">
        <v>133</v>
      </c>
      <c r="G2387" s="1">
        <v>12000</v>
      </c>
      <c r="H2387" s="5">
        <f t="shared" si="55"/>
        <v>0</v>
      </c>
      <c r="I2387" s="6"/>
      <c r="J2387" s="43"/>
      <c r="K2387" s="51"/>
      <c r="L2387" s="86"/>
    </row>
    <row r="2388" spans="1:12" ht="15" x14ac:dyDescent="0.25">
      <c r="A2388" s="1">
        <v>2379</v>
      </c>
      <c r="B2388" s="1" t="s">
        <v>347</v>
      </c>
      <c r="C2388" s="32">
        <v>9544</v>
      </c>
      <c r="D2388" s="1">
        <v>12000</v>
      </c>
      <c r="E2388" s="1"/>
      <c r="F2388" s="1">
        <v>133</v>
      </c>
      <c r="G2388" s="1">
        <v>12000</v>
      </c>
      <c r="H2388" s="5">
        <f t="shared" si="55"/>
        <v>0</v>
      </c>
      <c r="I2388" s="6"/>
      <c r="J2388" s="43"/>
      <c r="K2388" s="51"/>
      <c r="L2388" s="86"/>
    </row>
    <row r="2389" spans="1:12" ht="15" x14ac:dyDescent="0.25">
      <c r="A2389" s="1">
        <v>2380</v>
      </c>
      <c r="B2389" s="1" t="s">
        <v>347</v>
      </c>
      <c r="C2389" s="32">
        <v>4371</v>
      </c>
      <c r="D2389" s="1">
        <v>12000</v>
      </c>
      <c r="E2389" s="1"/>
      <c r="F2389" s="1">
        <v>133</v>
      </c>
      <c r="G2389" s="1">
        <v>12000</v>
      </c>
      <c r="H2389" s="5">
        <f t="shared" si="55"/>
        <v>0</v>
      </c>
      <c r="I2389" s="6"/>
      <c r="J2389" s="43"/>
      <c r="K2389" s="51"/>
      <c r="L2389" s="86"/>
    </row>
    <row r="2390" spans="1:12" ht="15" x14ac:dyDescent="0.25">
      <c r="A2390" s="1">
        <v>2381</v>
      </c>
      <c r="B2390" s="1" t="s">
        <v>347</v>
      </c>
      <c r="C2390" s="32">
        <v>2705</v>
      </c>
      <c r="D2390" s="1">
        <v>12000</v>
      </c>
      <c r="E2390" s="1"/>
      <c r="F2390" s="1">
        <v>133</v>
      </c>
      <c r="G2390" s="1">
        <v>12000</v>
      </c>
      <c r="H2390" s="5">
        <f t="shared" si="55"/>
        <v>0</v>
      </c>
      <c r="I2390" s="6"/>
      <c r="J2390" s="43"/>
      <c r="K2390" s="51"/>
      <c r="L2390" s="86"/>
    </row>
    <row r="2391" spans="1:12" ht="15" x14ac:dyDescent="0.25">
      <c r="A2391" s="1">
        <v>2382</v>
      </c>
      <c r="B2391" s="1" t="s">
        <v>347</v>
      </c>
      <c r="C2391" s="32">
        <v>7582</v>
      </c>
      <c r="D2391" s="1">
        <v>20000</v>
      </c>
      <c r="E2391" s="1"/>
      <c r="F2391" s="1">
        <v>222.82</v>
      </c>
      <c r="G2391" s="1">
        <v>20000</v>
      </c>
      <c r="H2391" s="5">
        <f t="shared" si="55"/>
        <v>0</v>
      </c>
      <c r="I2391" s="6"/>
      <c r="J2391" s="43"/>
      <c r="K2391" s="51"/>
      <c r="L2391" s="86"/>
    </row>
    <row r="2392" spans="1:12" ht="15" x14ac:dyDescent="0.25">
      <c r="A2392" s="1">
        <v>2383</v>
      </c>
      <c r="B2392" s="1" t="s">
        <v>347</v>
      </c>
      <c r="C2392" s="32">
        <v>3809</v>
      </c>
      <c r="D2392" s="1">
        <v>15000</v>
      </c>
      <c r="E2392" s="1"/>
      <c r="F2392" s="1">
        <v>167.33</v>
      </c>
      <c r="G2392" s="1">
        <v>15000</v>
      </c>
      <c r="H2392" s="5">
        <f t="shared" si="55"/>
        <v>0</v>
      </c>
      <c r="I2392" s="6"/>
      <c r="J2392" s="43"/>
      <c r="K2392" s="51"/>
      <c r="L2392" s="86"/>
    </row>
    <row r="2393" spans="1:12" ht="15" x14ac:dyDescent="0.25">
      <c r="A2393" s="1">
        <v>2384</v>
      </c>
      <c r="B2393" s="1" t="s">
        <v>347</v>
      </c>
      <c r="C2393" s="32">
        <v>9345</v>
      </c>
      <c r="D2393" s="1">
        <v>15000</v>
      </c>
      <c r="E2393" s="1"/>
      <c r="F2393" s="1">
        <v>167.33</v>
      </c>
      <c r="G2393" s="1">
        <v>15000</v>
      </c>
      <c r="H2393" s="5">
        <f t="shared" si="55"/>
        <v>0</v>
      </c>
      <c r="I2393" s="6"/>
      <c r="J2393" s="43"/>
      <c r="K2393" s="51"/>
      <c r="L2393" s="86"/>
    </row>
    <row r="2394" spans="1:12" ht="15" x14ac:dyDescent="0.25">
      <c r="A2394" s="1">
        <v>2385</v>
      </c>
      <c r="B2394" s="1" t="s">
        <v>347</v>
      </c>
      <c r="C2394" s="32">
        <v>3958</v>
      </c>
      <c r="D2394" s="1">
        <v>22000</v>
      </c>
      <c r="E2394" s="1"/>
      <c r="F2394" s="1">
        <v>272</v>
      </c>
      <c r="G2394" s="1">
        <v>22000</v>
      </c>
      <c r="H2394" s="5">
        <f t="shared" si="55"/>
        <v>0</v>
      </c>
      <c r="I2394" s="6"/>
      <c r="J2394" s="43"/>
      <c r="K2394" s="51"/>
      <c r="L2394" s="86"/>
    </row>
    <row r="2395" spans="1:12" ht="15" x14ac:dyDescent="0.25">
      <c r="A2395" s="1">
        <v>2386</v>
      </c>
      <c r="B2395" s="1" t="s">
        <v>347</v>
      </c>
      <c r="C2395" s="32">
        <v>6489</v>
      </c>
      <c r="D2395" s="1">
        <v>10000</v>
      </c>
      <c r="E2395" s="1"/>
      <c r="F2395" s="1">
        <v>111</v>
      </c>
      <c r="G2395" s="1">
        <v>10000</v>
      </c>
      <c r="H2395" s="5">
        <f t="shared" si="55"/>
        <v>0</v>
      </c>
      <c r="I2395" s="6"/>
      <c r="J2395" s="43"/>
      <c r="K2395" s="51"/>
      <c r="L2395" s="86"/>
    </row>
    <row r="2396" spans="1:12" ht="15" x14ac:dyDescent="0.25">
      <c r="A2396" s="1">
        <v>2387</v>
      </c>
      <c r="B2396" s="1" t="s">
        <v>347</v>
      </c>
      <c r="C2396" s="32">
        <v>4579</v>
      </c>
      <c r="D2396" s="1">
        <v>17000</v>
      </c>
      <c r="E2396" s="1"/>
      <c r="F2396" s="1">
        <v>189</v>
      </c>
      <c r="G2396" s="1">
        <v>17000</v>
      </c>
      <c r="H2396" s="5">
        <f t="shared" si="55"/>
        <v>0</v>
      </c>
      <c r="I2396" s="6"/>
      <c r="J2396" s="43"/>
      <c r="K2396" s="51"/>
      <c r="L2396" s="86"/>
    </row>
    <row r="2397" spans="1:12" ht="15" x14ac:dyDescent="0.25">
      <c r="A2397" s="1">
        <v>2388</v>
      </c>
      <c r="B2397" s="1" t="s">
        <v>347</v>
      </c>
      <c r="C2397" s="32">
        <v>8784</v>
      </c>
      <c r="D2397" s="1">
        <v>30000</v>
      </c>
      <c r="E2397" s="1"/>
      <c r="F2397" s="1">
        <v>334</v>
      </c>
      <c r="G2397" s="1">
        <v>30000</v>
      </c>
      <c r="H2397" s="5">
        <f t="shared" si="55"/>
        <v>0</v>
      </c>
      <c r="I2397" s="6"/>
      <c r="J2397" s="43"/>
      <c r="K2397" s="51"/>
      <c r="L2397" s="86"/>
    </row>
    <row r="2398" spans="1:12" ht="15" x14ac:dyDescent="0.25">
      <c r="A2398" s="1">
        <v>2389</v>
      </c>
      <c r="B2398" s="1" t="s">
        <v>347</v>
      </c>
      <c r="C2398" s="32">
        <v>8495</v>
      </c>
      <c r="D2398" s="1">
        <v>10000</v>
      </c>
      <c r="E2398" s="1"/>
      <c r="F2398" s="1">
        <v>111</v>
      </c>
      <c r="G2398" s="1">
        <v>10000</v>
      </c>
      <c r="H2398" s="5">
        <f t="shared" si="55"/>
        <v>0</v>
      </c>
      <c r="I2398" s="6"/>
      <c r="J2398" s="43"/>
      <c r="K2398" s="51"/>
      <c r="L2398" s="86"/>
    </row>
    <row r="2399" spans="1:12" ht="15" x14ac:dyDescent="0.25">
      <c r="A2399" s="1">
        <v>2390</v>
      </c>
      <c r="B2399" s="1" t="s">
        <v>347</v>
      </c>
      <c r="C2399" s="32">
        <v>3937</v>
      </c>
      <c r="D2399" s="1">
        <v>10000</v>
      </c>
      <c r="E2399" s="1"/>
      <c r="F2399" s="1">
        <v>111</v>
      </c>
      <c r="G2399" s="1">
        <v>10000</v>
      </c>
      <c r="H2399" s="5">
        <f t="shared" si="55"/>
        <v>0</v>
      </c>
      <c r="I2399" s="6"/>
      <c r="J2399" s="43"/>
      <c r="K2399" s="51"/>
      <c r="L2399" s="86"/>
    </row>
    <row r="2400" spans="1:12" ht="15" x14ac:dyDescent="0.25">
      <c r="A2400" s="1">
        <v>2391</v>
      </c>
      <c r="B2400" s="1" t="s">
        <v>347</v>
      </c>
      <c r="C2400" s="32">
        <v>3972</v>
      </c>
      <c r="D2400" s="1">
        <v>10000</v>
      </c>
      <c r="E2400" s="1"/>
      <c r="F2400" s="1">
        <v>111</v>
      </c>
      <c r="G2400" s="1">
        <v>10000</v>
      </c>
      <c r="H2400" s="5">
        <f t="shared" si="55"/>
        <v>0</v>
      </c>
      <c r="I2400" s="6"/>
      <c r="J2400" s="43"/>
      <c r="K2400" s="51"/>
      <c r="L2400" s="86"/>
    </row>
    <row r="2401" spans="1:12" ht="15" x14ac:dyDescent="0.25">
      <c r="A2401" s="1">
        <v>2392</v>
      </c>
      <c r="B2401" s="1" t="s">
        <v>348</v>
      </c>
      <c r="C2401" s="32" t="s">
        <v>30</v>
      </c>
      <c r="D2401" s="1">
        <v>5000</v>
      </c>
      <c r="E2401" s="1"/>
      <c r="F2401" s="1">
        <v>55.13</v>
      </c>
      <c r="G2401" s="1">
        <v>5000</v>
      </c>
      <c r="H2401" s="5">
        <f t="shared" si="55"/>
        <v>0</v>
      </c>
      <c r="I2401" s="6"/>
      <c r="J2401" s="43"/>
      <c r="K2401" s="51"/>
      <c r="L2401" s="86"/>
    </row>
    <row r="2402" spans="1:12" ht="15" x14ac:dyDescent="0.25">
      <c r="A2402" s="1">
        <v>2393</v>
      </c>
      <c r="B2402" s="1" t="s">
        <v>348</v>
      </c>
      <c r="C2402" s="32">
        <v>3007</v>
      </c>
      <c r="D2402" s="1">
        <v>17000</v>
      </c>
      <c r="E2402" s="1"/>
      <c r="F2402" s="1">
        <v>189</v>
      </c>
      <c r="G2402" s="1">
        <v>17000</v>
      </c>
      <c r="H2402" s="5">
        <f t="shared" si="55"/>
        <v>0</v>
      </c>
      <c r="I2402" s="6"/>
      <c r="J2402" s="43"/>
      <c r="K2402" s="51"/>
      <c r="L2402" s="86"/>
    </row>
    <row r="2403" spans="1:12" ht="15" x14ac:dyDescent="0.25">
      <c r="A2403" s="1">
        <v>2394</v>
      </c>
      <c r="B2403" s="1" t="s">
        <v>348</v>
      </c>
      <c r="C2403" s="32">
        <v>6349</v>
      </c>
      <c r="D2403" s="1">
        <v>12000</v>
      </c>
      <c r="E2403" s="1"/>
      <c r="F2403" s="1">
        <v>133</v>
      </c>
      <c r="G2403" s="1">
        <v>12000</v>
      </c>
      <c r="H2403" s="5">
        <f t="shared" si="55"/>
        <v>0</v>
      </c>
      <c r="I2403" s="6"/>
      <c r="J2403" s="43"/>
      <c r="K2403" s="51"/>
      <c r="L2403" s="86"/>
    </row>
    <row r="2404" spans="1:12" ht="15" x14ac:dyDescent="0.25">
      <c r="A2404" s="1">
        <v>2395</v>
      </c>
      <c r="B2404" s="1" t="s">
        <v>348</v>
      </c>
      <c r="C2404" s="32">
        <v>321</v>
      </c>
      <c r="D2404" s="1">
        <v>15000</v>
      </c>
      <c r="E2404" s="1"/>
      <c r="F2404" s="1">
        <v>167</v>
      </c>
      <c r="G2404" s="1">
        <v>15000</v>
      </c>
      <c r="H2404" s="5">
        <f t="shared" si="55"/>
        <v>0</v>
      </c>
      <c r="I2404" s="6"/>
      <c r="J2404" s="43"/>
      <c r="K2404" s="51"/>
      <c r="L2404" s="86"/>
    </row>
    <row r="2405" spans="1:12" ht="15" x14ac:dyDescent="0.25">
      <c r="A2405" s="1">
        <v>2396</v>
      </c>
      <c r="B2405" s="1" t="s">
        <v>348</v>
      </c>
      <c r="C2405" s="32">
        <v>2858</v>
      </c>
      <c r="D2405" s="1">
        <v>25000</v>
      </c>
      <c r="E2405" s="1"/>
      <c r="F2405" s="1">
        <v>278</v>
      </c>
      <c r="G2405" s="1">
        <v>25000</v>
      </c>
      <c r="H2405" s="5">
        <f t="shared" si="55"/>
        <v>0</v>
      </c>
      <c r="I2405" s="6"/>
      <c r="J2405" s="43"/>
      <c r="K2405" s="51"/>
      <c r="L2405" s="86"/>
    </row>
    <row r="2406" spans="1:12" ht="15" x14ac:dyDescent="0.25">
      <c r="A2406" s="1">
        <v>2397</v>
      </c>
      <c r="B2406" s="1" t="s">
        <v>348</v>
      </c>
      <c r="C2406" s="32">
        <v>9531</v>
      </c>
      <c r="D2406" s="1">
        <v>15000</v>
      </c>
      <c r="E2406" s="1"/>
      <c r="F2406" s="1">
        <v>167.33</v>
      </c>
      <c r="G2406" s="1">
        <v>15000</v>
      </c>
      <c r="H2406" s="5">
        <f t="shared" si="55"/>
        <v>0</v>
      </c>
      <c r="I2406" s="6"/>
      <c r="J2406" s="43"/>
      <c r="K2406" s="51"/>
      <c r="L2406" s="86"/>
    </row>
    <row r="2407" spans="1:12" ht="15" x14ac:dyDescent="0.25">
      <c r="A2407" s="1">
        <v>2398</v>
      </c>
      <c r="B2407" s="1" t="s">
        <v>348</v>
      </c>
      <c r="C2407" s="32">
        <v>7647</v>
      </c>
      <c r="D2407" s="1">
        <v>25000</v>
      </c>
      <c r="E2407" s="1"/>
      <c r="F2407" s="1">
        <v>278</v>
      </c>
      <c r="G2407" s="1">
        <v>25000</v>
      </c>
      <c r="H2407" s="5">
        <f t="shared" si="55"/>
        <v>0</v>
      </c>
      <c r="I2407" s="6"/>
      <c r="J2407" s="43"/>
      <c r="K2407" s="51"/>
      <c r="L2407" s="86"/>
    </row>
    <row r="2408" spans="1:12" ht="15" x14ac:dyDescent="0.25">
      <c r="A2408" s="1">
        <v>2399</v>
      </c>
      <c r="B2408" s="1" t="s">
        <v>348</v>
      </c>
      <c r="C2408" s="32">
        <v>5485</v>
      </c>
      <c r="D2408" s="1">
        <v>27000</v>
      </c>
      <c r="E2408" s="1"/>
      <c r="F2408" s="1">
        <v>295</v>
      </c>
      <c r="G2408" s="1">
        <v>27000</v>
      </c>
      <c r="H2408" s="5">
        <f t="shared" si="55"/>
        <v>0</v>
      </c>
      <c r="I2408" s="6"/>
      <c r="J2408" s="43"/>
      <c r="K2408" s="51"/>
      <c r="L2408" s="86"/>
    </row>
    <row r="2409" spans="1:12" ht="15" x14ac:dyDescent="0.25">
      <c r="A2409" s="1">
        <v>2400</v>
      </c>
      <c r="B2409" s="1" t="s">
        <v>348</v>
      </c>
      <c r="C2409" s="32">
        <v>7375</v>
      </c>
      <c r="D2409" s="1">
        <v>20000</v>
      </c>
      <c r="E2409" s="1"/>
      <c r="F2409" s="1">
        <v>222.82</v>
      </c>
      <c r="G2409" s="1">
        <v>20000</v>
      </c>
      <c r="H2409" s="5">
        <f t="shared" si="55"/>
        <v>0</v>
      </c>
      <c r="I2409" s="6"/>
      <c r="J2409" s="43"/>
      <c r="K2409" s="51"/>
      <c r="L2409" s="86"/>
    </row>
    <row r="2410" spans="1:12" ht="15" x14ac:dyDescent="0.25">
      <c r="A2410" s="1">
        <v>2401</v>
      </c>
      <c r="B2410" s="1" t="s">
        <v>348</v>
      </c>
      <c r="C2410" s="32">
        <v>949</v>
      </c>
      <c r="D2410" s="1">
        <v>20000</v>
      </c>
      <c r="E2410" s="1"/>
      <c r="F2410" s="1">
        <v>222.82</v>
      </c>
      <c r="G2410" s="1">
        <v>20000</v>
      </c>
      <c r="H2410" s="5">
        <f t="shared" si="55"/>
        <v>0</v>
      </c>
      <c r="I2410" s="6"/>
      <c r="J2410" s="43"/>
      <c r="K2410" s="51"/>
      <c r="L2410" s="86"/>
    </row>
    <row r="2411" spans="1:12" ht="15" x14ac:dyDescent="0.25">
      <c r="A2411" s="1">
        <v>2402</v>
      </c>
      <c r="B2411" s="1" t="s">
        <v>348</v>
      </c>
      <c r="C2411" s="32">
        <v>8399</v>
      </c>
      <c r="D2411" s="1">
        <v>10000</v>
      </c>
      <c r="E2411" s="1"/>
      <c r="F2411" s="1">
        <v>111</v>
      </c>
      <c r="G2411" s="1">
        <v>10000</v>
      </c>
      <c r="H2411" s="5">
        <f t="shared" si="55"/>
        <v>0</v>
      </c>
      <c r="I2411" s="6"/>
      <c r="J2411" s="43"/>
      <c r="K2411" s="51"/>
      <c r="L2411" s="86"/>
    </row>
    <row r="2412" spans="1:12" ht="15" x14ac:dyDescent="0.25">
      <c r="A2412" s="1">
        <v>2403</v>
      </c>
      <c r="B2412" s="1" t="s">
        <v>348</v>
      </c>
      <c r="C2412" s="32">
        <v>8327</v>
      </c>
      <c r="D2412" s="1">
        <v>18000</v>
      </c>
      <c r="E2412" s="1"/>
      <c r="F2412" s="1">
        <v>200</v>
      </c>
      <c r="G2412" s="1">
        <v>18000</v>
      </c>
      <c r="H2412" s="5">
        <f t="shared" si="55"/>
        <v>0</v>
      </c>
      <c r="I2412" s="6"/>
      <c r="J2412" s="43"/>
      <c r="K2412" s="51"/>
      <c r="L2412" s="86"/>
    </row>
    <row r="2413" spans="1:12" ht="15" x14ac:dyDescent="0.25">
      <c r="A2413" s="1">
        <v>2404</v>
      </c>
      <c r="B2413" s="1" t="s">
        <v>348</v>
      </c>
      <c r="C2413" s="32">
        <v>9455</v>
      </c>
      <c r="D2413" s="1">
        <v>18000</v>
      </c>
      <c r="E2413" s="1"/>
      <c r="F2413" s="1">
        <v>200</v>
      </c>
      <c r="G2413" s="1">
        <v>18000</v>
      </c>
      <c r="H2413" s="5">
        <f t="shared" si="55"/>
        <v>0</v>
      </c>
      <c r="I2413" s="6"/>
      <c r="J2413" s="43"/>
      <c r="K2413" s="51"/>
      <c r="L2413" s="86"/>
    </row>
    <row r="2414" spans="1:12" ht="15" x14ac:dyDescent="0.25">
      <c r="A2414" s="1">
        <v>2405</v>
      </c>
      <c r="B2414" s="1" t="s">
        <v>348</v>
      </c>
      <c r="C2414" s="32">
        <v>1337</v>
      </c>
      <c r="D2414" s="1">
        <v>18000</v>
      </c>
      <c r="E2414" s="1"/>
      <c r="F2414" s="1">
        <v>200</v>
      </c>
      <c r="G2414" s="1">
        <v>18000</v>
      </c>
      <c r="H2414" s="5">
        <f t="shared" si="55"/>
        <v>0</v>
      </c>
      <c r="I2414" s="6"/>
      <c r="J2414" s="43"/>
      <c r="K2414" s="51"/>
      <c r="L2414" s="86"/>
    </row>
    <row r="2415" spans="1:12" ht="15" x14ac:dyDescent="0.25">
      <c r="A2415" s="1">
        <v>2406</v>
      </c>
      <c r="B2415" s="1" t="s">
        <v>348</v>
      </c>
      <c r="C2415" s="32" t="s">
        <v>66</v>
      </c>
      <c r="D2415" s="1">
        <v>210</v>
      </c>
      <c r="E2415" s="1"/>
      <c r="F2415" s="1">
        <v>2.08</v>
      </c>
      <c r="G2415" s="1">
        <v>210</v>
      </c>
      <c r="H2415" s="5">
        <f t="shared" si="55"/>
        <v>0</v>
      </c>
      <c r="I2415" s="6"/>
      <c r="J2415" s="43"/>
      <c r="K2415" s="51"/>
      <c r="L2415" s="86"/>
    </row>
    <row r="2416" spans="1:12" ht="15" x14ac:dyDescent="0.25">
      <c r="A2416" s="1">
        <v>2407</v>
      </c>
      <c r="B2416" s="1" t="s">
        <v>348</v>
      </c>
      <c r="C2416" s="32">
        <v>117</v>
      </c>
      <c r="D2416" s="1">
        <v>24000</v>
      </c>
      <c r="E2416" s="1"/>
      <c r="F2416" s="1">
        <v>267</v>
      </c>
      <c r="G2416" s="1">
        <v>24000</v>
      </c>
      <c r="H2416" s="5">
        <f t="shared" si="55"/>
        <v>0</v>
      </c>
      <c r="I2416" s="6"/>
      <c r="J2416" s="43"/>
      <c r="K2416" s="51"/>
      <c r="L2416" s="86"/>
    </row>
    <row r="2417" spans="1:12" ht="15" x14ac:dyDescent="0.25">
      <c r="A2417" s="1">
        <v>2408</v>
      </c>
      <c r="B2417" s="1" t="s">
        <v>348</v>
      </c>
      <c r="C2417" s="32">
        <v>2085</v>
      </c>
      <c r="D2417" s="1">
        <v>24000</v>
      </c>
      <c r="E2417" s="1"/>
      <c r="F2417" s="1">
        <v>267</v>
      </c>
      <c r="G2417" s="1">
        <v>24000</v>
      </c>
      <c r="H2417" s="5">
        <f t="shared" si="55"/>
        <v>0</v>
      </c>
      <c r="I2417" s="6"/>
      <c r="J2417" s="43"/>
      <c r="K2417" s="51"/>
      <c r="L2417" s="86"/>
    </row>
    <row r="2418" spans="1:12" ht="15" x14ac:dyDescent="0.25">
      <c r="A2418" s="1">
        <v>2409</v>
      </c>
      <c r="B2418" s="1" t="s">
        <v>348</v>
      </c>
      <c r="C2418" s="32">
        <v>309</v>
      </c>
      <c r="D2418" s="1">
        <v>26000</v>
      </c>
      <c r="E2418" s="1"/>
      <c r="F2418" s="1">
        <v>289</v>
      </c>
      <c r="G2418" s="1">
        <v>26000</v>
      </c>
      <c r="H2418" s="5">
        <f t="shared" si="55"/>
        <v>0</v>
      </c>
      <c r="I2418" s="6"/>
      <c r="J2418" s="43"/>
      <c r="K2418" s="51"/>
      <c r="L2418" s="86"/>
    </row>
    <row r="2419" spans="1:12" ht="15" x14ac:dyDescent="0.25">
      <c r="A2419" s="1">
        <v>2410</v>
      </c>
      <c r="B2419" s="1" t="s">
        <v>349</v>
      </c>
      <c r="C2419" s="32">
        <v>1593</v>
      </c>
      <c r="D2419" s="1">
        <v>12000</v>
      </c>
      <c r="E2419" s="1"/>
      <c r="F2419" s="1">
        <v>133</v>
      </c>
      <c r="G2419" s="1">
        <v>12000</v>
      </c>
      <c r="H2419" s="5">
        <f t="shared" si="55"/>
        <v>0</v>
      </c>
      <c r="I2419" s="6"/>
      <c r="J2419" s="43"/>
      <c r="K2419" s="51"/>
      <c r="L2419" s="86"/>
    </row>
    <row r="2420" spans="1:12" ht="15" x14ac:dyDescent="0.25">
      <c r="A2420" s="1">
        <v>2411</v>
      </c>
      <c r="B2420" s="1" t="s">
        <v>349</v>
      </c>
      <c r="C2420" s="32" t="s">
        <v>30</v>
      </c>
      <c r="D2420" s="1">
        <v>7000</v>
      </c>
      <c r="E2420" s="1"/>
      <c r="F2420" s="1">
        <v>77.13</v>
      </c>
      <c r="G2420" s="1">
        <v>7000</v>
      </c>
      <c r="H2420" s="5">
        <f t="shared" si="55"/>
        <v>0</v>
      </c>
      <c r="I2420" s="6"/>
      <c r="J2420" s="43"/>
      <c r="K2420" s="51"/>
      <c r="L2420" s="86"/>
    </row>
    <row r="2421" spans="1:12" ht="15" x14ac:dyDescent="0.25">
      <c r="A2421" s="1">
        <v>2412</v>
      </c>
      <c r="B2421" s="1" t="s">
        <v>349</v>
      </c>
      <c r="C2421" s="32">
        <v>1266</v>
      </c>
      <c r="D2421" s="1">
        <v>13000</v>
      </c>
      <c r="E2421" s="1"/>
      <c r="F2421" s="1">
        <v>144</v>
      </c>
      <c r="G2421" s="1">
        <v>13000</v>
      </c>
      <c r="H2421" s="5">
        <f t="shared" si="55"/>
        <v>0</v>
      </c>
      <c r="I2421" s="6"/>
      <c r="J2421" s="43"/>
      <c r="K2421" s="51"/>
      <c r="L2421" s="86"/>
    </row>
    <row r="2422" spans="1:12" ht="15" x14ac:dyDescent="0.25">
      <c r="A2422" s="1">
        <v>2413</v>
      </c>
      <c r="B2422" s="1" t="s">
        <v>349</v>
      </c>
      <c r="C2422" s="32">
        <v>2705</v>
      </c>
      <c r="D2422" s="1">
        <v>12000</v>
      </c>
      <c r="E2422" s="1"/>
      <c r="F2422" s="1">
        <v>133</v>
      </c>
      <c r="G2422" s="1">
        <v>12000</v>
      </c>
      <c r="H2422" s="5">
        <f t="shared" si="55"/>
        <v>0</v>
      </c>
      <c r="I2422" s="6"/>
      <c r="J2422" s="43"/>
      <c r="K2422" s="51"/>
      <c r="L2422" s="86"/>
    </row>
    <row r="2423" spans="1:12" ht="15" x14ac:dyDescent="0.25">
      <c r="A2423" s="1">
        <v>2414</v>
      </c>
      <c r="B2423" s="1" t="s">
        <v>349</v>
      </c>
      <c r="C2423" s="32">
        <v>2415</v>
      </c>
      <c r="D2423" s="1">
        <v>12000</v>
      </c>
      <c r="E2423" s="1"/>
      <c r="F2423" s="1">
        <v>133</v>
      </c>
      <c r="G2423" s="1">
        <v>12000</v>
      </c>
      <c r="H2423" s="5">
        <f t="shared" si="55"/>
        <v>0</v>
      </c>
      <c r="I2423" s="6"/>
      <c r="J2423" s="43"/>
      <c r="K2423" s="51"/>
      <c r="L2423" s="86"/>
    </row>
    <row r="2424" spans="1:12" ht="15" x14ac:dyDescent="0.25">
      <c r="A2424" s="1">
        <v>2415</v>
      </c>
      <c r="B2424" s="1" t="s">
        <v>349</v>
      </c>
      <c r="C2424" s="32">
        <v>5485</v>
      </c>
      <c r="D2424" s="1">
        <v>26000</v>
      </c>
      <c r="E2424" s="1"/>
      <c r="F2424" s="1">
        <v>283</v>
      </c>
      <c r="G2424" s="1">
        <v>26000</v>
      </c>
      <c r="H2424" s="5">
        <f t="shared" si="55"/>
        <v>0</v>
      </c>
      <c r="I2424" s="6"/>
      <c r="J2424" s="43"/>
      <c r="K2424" s="51"/>
      <c r="L2424" s="86"/>
    </row>
    <row r="2425" spans="1:12" ht="15" x14ac:dyDescent="0.25">
      <c r="A2425" s="1">
        <v>2416</v>
      </c>
      <c r="B2425" s="1" t="s">
        <v>349</v>
      </c>
      <c r="C2425" s="32" t="s">
        <v>30</v>
      </c>
      <c r="D2425" s="1">
        <v>7000</v>
      </c>
      <c r="E2425" s="1"/>
      <c r="F2425" s="1">
        <v>77.13</v>
      </c>
      <c r="G2425" s="1">
        <v>7000</v>
      </c>
      <c r="H2425" s="5">
        <f t="shared" si="55"/>
        <v>0</v>
      </c>
      <c r="I2425" s="6"/>
      <c r="J2425" s="43"/>
      <c r="K2425" s="51"/>
      <c r="L2425" s="86"/>
    </row>
    <row r="2426" spans="1:12" ht="15" x14ac:dyDescent="0.25">
      <c r="A2426" s="1">
        <v>2417</v>
      </c>
      <c r="B2426" s="1" t="s">
        <v>349</v>
      </c>
      <c r="C2426" s="32">
        <v>8090</v>
      </c>
      <c r="D2426" s="1">
        <v>25000</v>
      </c>
      <c r="E2426" s="1"/>
      <c r="F2426" s="1">
        <v>278</v>
      </c>
      <c r="G2426" s="1">
        <v>25000</v>
      </c>
      <c r="H2426" s="5">
        <f t="shared" si="55"/>
        <v>0</v>
      </c>
      <c r="I2426" s="6"/>
      <c r="J2426" s="43"/>
      <c r="K2426" s="51"/>
      <c r="L2426" s="86"/>
    </row>
    <row r="2427" spans="1:12" ht="15" x14ac:dyDescent="0.25">
      <c r="A2427" s="1">
        <v>2418</v>
      </c>
      <c r="B2427" s="1" t="s">
        <v>349</v>
      </c>
      <c r="C2427" s="32">
        <v>8851</v>
      </c>
      <c r="D2427" s="1">
        <v>29000</v>
      </c>
      <c r="E2427" s="1"/>
      <c r="F2427" s="1">
        <v>323</v>
      </c>
      <c r="G2427" s="1">
        <v>29000</v>
      </c>
      <c r="H2427" s="5">
        <f t="shared" si="55"/>
        <v>0</v>
      </c>
      <c r="I2427" s="6"/>
      <c r="J2427" s="43"/>
      <c r="K2427" s="51"/>
      <c r="L2427" s="86"/>
    </row>
    <row r="2428" spans="1:12" ht="15" x14ac:dyDescent="0.25">
      <c r="A2428" s="1">
        <v>2419</v>
      </c>
      <c r="B2428" s="1" t="s">
        <v>349</v>
      </c>
      <c r="C2428" s="32">
        <v>9051</v>
      </c>
      <c r="D2428" s="1">
        <v>29000</v>
      </c>
      <c r="E2428" s="1"/>
      <c r="F2428" s="1">
        <v>323</v>
      </c>
      <c r="G2428" s="1">
        <v>29000</v>
      </c>
      <c r="H2428" s="5">
        <f t="shared" si="55"/>
        <v>0</v>
      </c>
      <c r="I2428" s="6"/>
      <c r="J2428" s="43"/>
      <c r="K2428" s="51"/>
      <c r="L2428" s="86"/>
    </row>
    <row r="2429" spans="1:12" ht="15" x14ac:dyDescent="0.25">
      <c r="A2429" s="1">
        <v>2420</v>
      </c>
      <c r="B2429" s="1" t="s">
        <v>349</v>
      </c>
      <c r="C2429" s="32">
        <v>7672</v>
      </c>
      <c r="D2429" s="1">
        <v>17000</v>
      </c>
      <c r="E2429" s="1"/>
      <c r="F2429" s="1">
        <v>184</v>
      </c>
      <c r="G2429" s="1">
        <v>17000</v>
      </c>
      <c r="H2429" s="5">
        <f t="shared" si="55"/>
        <v>0</v>
      </c>
      <c r="I2429" s="6"/>
      <c r="J2429" s="43"/>
      <c r="K2429" s="51"/>
      <c r="L2429" s="86">
        <f>1533844-1419779</f>
        <v>114065</v>
      </c>
    </row>
    <row r="2430" spans="1:12" ht="15" x14ac:dyDescent="0.25">
      <c r="A2430" s="1">
        <v>2421</v>
      </c>
      <c r="B2430" s="1" t="s">
        <v>350</v>
      </c>
      <c r="C2430" s="32" t="s">
        <v>63</v>
      </c>
      <c r="D2430" s="1">
        <v>3500</v>
      </c>
      <c r="E2430" s="1"/>
      <c r="F2430" s="1">
        <v>38.99</v>
      </c>
      <c r="G2430" s="1">
        <v>3500</v>
      </c>
      <c r="H2430" s="5">
        <f t="shared" si="55"/>
        <v>0</v>
      </c>
      <c r="I2430" s="6"/>
      <c r="J2430" s="43"/>
      <c r="K2430" s="51"/>
      <c r="L2430" s="86"/>
    </row>
    <row r="2431" spans="1:12" ht="15" x14ac:dyDescent="0.25">
      <c r="A2431" s="1">
        <v>2422</v>
      </c>
      <c r="B2431" s="1" t="s">
        <v>350</v>
      </c>
      <c r="C2431" s="32" t="s">
        <v>30</v>
      </c>
      <c r="D2431" s="1">
        <v>4500</v>
      </c>
      <c r="E2431" s="1"/>
      <c r="F2431" s="1">
        <v>50.13</v>
      </c>
      <c r="G2431" s="1">
        <v>4500</v>
      </c>
      <c r="H2431" s="5">
        <f t="shared" si="55"/>
        <v>0</v>
      </c>
      <c r="I2431" s="6"/>
      <c r="J2431" s="43"/>
      <c r="K2431" s="51"/>
      <c r="L2431" s="86"/>
    </row>
    <row r="2432" spans="1:12" ht="15" x14ac:dyDescent="0.25">
      <c r="A2432" s="1">
        <v>2423</v>
      </c>
      <c r="B2432" s="1" t="s">
        <v>350</v>
      </c>
      <c r="C2432" s="32" t="s">
        <v>66</v>
      </c>
      <c r="D2432" s="1">
        <v>210</v>
      </c>
      <c r="E2432" s="1"/>
      <c r="F2432" s="1">
        <v>2.12</v>
      </c>
      <c r="G2432" s="1">
        <v>210</v>
      </c>
      <c r="H2432" s="5">
        <f t="shared" si="55"/>
        <v>0</v>
      </c>
      <c r="I2432" s="6"/>
      <c r="J2432" s="43"/>
      <c r="K2432" s="51"/>
      <c r="L2432" s="86"/>
    </row>
    <row r="2433" spans="1:12" ht="15" x14ac:dyDescent="0.25">
      <c r="A2433" s="1">
        <v>2424</v>
      </c>
      <c r="B2433" s="1" t="s">
        <v>350</v>
      </c>
      <c r="C2433" s="32">
        <v>2435</v>
      </c>
      <c r="D2433" s="1">
        <v>14000</v>
      </c>
      <c r="E2433" s="1"/>
      <c r="F2433" s="1">
        <v>155.97</v>
      </c>
      <c r="G2433" s="1">
        <v>14000</v>
      </c>
      <c r="H2433" s="5">
        <f t="shared" si="55"/>
        <v>0</v>
      </c>
      <c r="I2433" s="6"/>
      <c r="J2433" s="43"/>
      <c r="K2433" s="51"/>
      <c r="L2433" s="86"/>
    </row>
    <row r="2434" spans="1:12" ht="15" x14ac:dyDescent="0.25">
      <c r="A2434" s="1">
        <v>2425</v>
      </c>
      <c r="B2434" s="1" t="s">
        <v>350</v>
      </c>
      <c r="C2434" s="32">
        <v>2972</v>
      </c>
      <c r="D2434" s="1">
        <v>14000</v>
      </c>
      <c r="E2434" s="1"/>
      <c r="F2434" s="1">
        <v>155.97</v>
      </c>
      <c r="G2434" s="1">
        <v>14000</v>
      </c>
      <c r="H2434" s="5">
        <f t="shared" si="55"/>
        <v>0</v>
      </c>
      <c r="I2434" s="6"/>
      <c r="J2434" s="43"/>
      <c r="K2434" s="51"/>
      <c r="L2434" s="86"/>
    </row>
    <row r="2435" spans="1:12" ht="15" x14ac:dyDescent="0.25">
      <c r="A2435" s="1">
        <v>2426</v>
      </c>
      <c r="B2435" s="1" t="s">
        <v>350</v>
      </c>
      <c r="C2435" s="32">
        <v>5119</v>
      </c>
      <c r="D2435" s="1">
        <v>12500</v>
      </c>
      <c r="E2435" s="1"/>
      <c r="F2435" s="1">
        <v>139.26</v>
      </c>
      <c r="G2435" s="1">
        <v>12500</v>
      </c>
      <c r="H2435" s="5">
        <f t="shared" si="55"/>
        <v>0</v>
      </c>
      <c r="I2435" s="6"/>
      <c r="J2435" s="43"/>
      <c r="K2435" s="51"/>
      <c r="L2435" s="86"/>
    </row>
    <row r="2436" spans="1:12" ht="15" x14ac:dyDescent="0.25">
      <c r="A2436" s="1">
        <v>2427</v>
      </c>
      <c r="B2436" s="1" t="s">
        <v>350</v>
      </c>
      <c r="C2436" s="32">
        <v>623</v>
      </c>
      <c r="D2436" s="1">
        <v>15000</v>
      </c>
      <c r="E2436" s="1"/>
      <c r="F2436" s="1">
        <v>167</v>
      </c>
      <c r="G2436" s="1">
        <v>15000</v>
      </c>
      <c r="H2436" s="5">
        <f t="shared" si="55"/>
        <v>0</v>
      </c>
      <c r="I2436" s="6"/>
      <c r="J2436" s="43"/>
      <c r="K2436" s="51"/>
      <c r="L2436" s="86"/>
    </row>
    <row r="2437" spans="1:12" ht="15" x14ac:dyDescent="0.25">
      <c r="A2437" s="1">
        <v>2428</v>
      </c>
      <c r="B2437" s="1" t="s">
        <v>350</v>
      </c>
      <c r="C2437" s="32">
        <v>4619</v>
      </c>
      <c r="D2437" s="1">
        <v>23000</v>
      </c>
      <c r="E2437" s="1"/>
      <c r="F2437" s="1">
        <v>256</v>
      </c>
      <c r="G2437" s="1">
        <v>23000</v>
      </c>
      <c r="H2437" s="5">
        <f t="shared" si="55"/>
        <v>0</v>
      </c>
      <c r="I2437" s="6"/>
      <c r="J2437" s="43"/>
      <c r="K2437" s="51"/>
      <c r="L2437" s="86"/>
    </row>
    <row r="2438" spans="1:12" ht="15" x14ac:dyDescent="0.25">
      <c r="A2438" s="1">
        <v>2429</v>
      </c>
      <c r="B2438" s="1" t="s">
        <v>350</v>
      </c>
      <c r="C2438" s="32">
        <v>579</v>
      </c>
      <c r="D2438" s="1">
        <v>22000</v>
      </c>
      <c r="E2438" s="1"/>
      <c r="F2438" s="1">
        <v>245</v>
      </c>
      <c r="G2438" s="1">
        <v>22000</v>
      </c>
      <c r="H2438" s="5">
        <f t="shared" si="55"/>
        <v>0</v>
      </c>
      <c r="I2438" s="6"/>
      <c r="J2438" s="43"/>
      <c r="K2438" s="51"/>
      <c r="L2438" s="86"/>
    </row>
    <row r="2439" spans="1:12" ht="15" x14ac:dyDescent="0.25">
      <c r="A2439" s="1">
        <v>2430</v>
      </c>
      <c r="B2439" s="1" t="s">
        <v>350</v>
      </c>
      <c r="C2439" s="32">
        <v>9903</v>
      </c>
      <c r="D2439" s="1">
        <v>13000</v>
      </c>
      <c r="E2439" s="1"/>
      <c r="F2439" s="1">
        <v>144.83000000000001</v>
      </c>
      <c r="G2439" s="1">
        <v>13000</v>
      </c>
      <c r="H2439" s="5">
        <f t="shared" si="55"/>
        <v>0</v>
      </c>
      <c r="I2439" s="6"/>
      <c r="J2439" s="43"/>
      <c r="K2439" s="51"/>
      <c r="L2439" s="86"/>
    </row>
    <row r="2440" spans="1:12" ht="15" x14ac:dyDescent="0.25">
      <c r="A2440" s="1">
        <v>2431</v>
      </c>
      <c r="B2440" s="1" t="s">
        <v>351</v>
      </c>
      <c r="C2440" s="32">
        <v>2021</v>
      </c>
      <c r="D2440" s="1">
        <v>25000</v>
      </c>
      <c r="E2440" s="1"/>
      <c r="F2440" s="1">
        <v>278</v>
      </c>
      <c r="G2440" s="1">
        <v>25000</v>
      </c>
      <c r="H2440" s="5">
        <f t="shared" ref="H2440:H2503" si="56">D2440-G2440</f>
        <v>0</v>
      </c>
      <c r="I2440" s="6"/>
      <c r="J2440" s="43"/>
      <c r="K2440" s="51"/>
      <c r="L2440" s="86"/>
    </row>
    <row r="2441" spans="1:12" ht="15" x14ac:dyDescent="0.25">
      <c r="A2441" s="1">
        <v>2432</v>
      </c>
      <c r="B2441" s="1" t="s">
        <v>351</v>
      </c>
      <c r="C2441" s="32">
        <v>4431</v>
      </c>
      <c r="D2441" s="1">
        <v>15000</v>
      </c>
      <c r="E2441" s="1"/>
      <c r="F2441" s="1">
        <v>167</v>
      </c>
      <c r="G2441" s="1">
        <v>15000</v>
      </c>
      <c r="H2441" s="5">
        <f t="shared" si="56"/>
        <v>0</v>
      </c>
      <c r="I2441" s="6"/>
      <c r="J2441" s="43"/>
      <c r="K2441" s="51"/>
      <c r="L2441" s="86"/>
    </row>
    <row r="2442" spans="1:12" ht="15" x14ac:dyDescent="0.25">
      <c r="A2442" s="1">
        <v>2433</v>
      </c>
      <c r="B2442" s="1" t="s">
        <v>351</v>
      </c>
      <c r="C2442" s="32" t="s">
        <v>30</v>
      </c>
      <c r="D2442" s="1">
        <v>5000</v>
      </c>
      <c r="E2442" s="1"/>
      <c r="F2442" s="1">
        <v>55.13</v>
      </c>
      <c r="G2442" s="1">
        <v>5000</v>
      </c>
      <c r="H2442" s="5">
        <f t="shared" si="56"/>
        <v>0</v>
      </c>
      <c r="I2442" s="6"/>
      <c r="J2442" s="43"/>
      <c r="K2442" s="51"/>
      <c r="L2442" s="86"/>
    </row>
    <row r="2443" spans="1:12" ht="15" x14ac:dyDescent="0.25">
      <c r="A2443" s="1">
        <v>2434</v>
      </c>
      <c r="B2443" s="1" t="s">
        <v>351</v>
      </c>
      <c r="C2443" s="32">
        <v>9544</v>
      </c>
      <c r="D2443" s="1">
        <v>12000</v>
      </c>
      <c r="E2443" s="1"/>
      <c r="F2443" s="1">
        <v>133</v>
      </c>
      <c r="G2443" s="1">
        <v>12000</v>
      </c>
      <c r="H2443" s="5">
        <f t="shared" si="56"/>
        <v>0</v>
      </c>
      <c r="I2443" s="6"/>
      <c r="J2443" s="43"/>
      <c r="K2443" s="51"/>
      <c r="L2443" s="86"/>
    </row>
    <row r="2444" spans="1:12" ht="15" x14ac:dyDescent="0.25">
      <c r="A2444" s="1">
        <v>2435</v>
      </c>
      <c r="B2444" s="1" t="s">
        <v>351</v>
      </c>
      <c r="C2444" s="32">
        <v>2803</v>
      </c>
      <c r="D2444" s="1">
        <v>17000</v>
      </c>
      <c r="E2444" s="1"/>
      <c r="F2444" s="1">
        <v>189</v>
      </c>
      <c r="G2444" s="1">
        <v>17000</v>
      </c>
      <c r="H2444" s="5">
        <f t="shared" si="56"/>
        <v>0</v>
      </c>
      <c r="I2444" s="6"/>
      <c r="J2444" s="43"/>
      <c r="K2444" s="51"/>
      <c r="L2444" s="86"/>
    </row>
    <row r="2445" spans="1:12" ht="15" x14ac:dyDescent="0.25">
      <c r="A2445" s="1">
        <v>2436</v>
      </c>
      <c r="B2445" s="1" t="s">
        <v>351</v>
      </c>
      <c r="C2445" s="32">
        <v>3738</v>
      </c>
      <c r="D2445" s="1">
        <v>26000</v>
      </c>
      <c r="E2445" s="1"/>
      <c r="F2445" s="1">
        <v>296</v>
      </c>
      <c r="G2445" s="1">
        <v>26000</v>
      </c>
      <c r="H2445" s="5">
        <f t="shared" si="56"/>
        <v>0</v>
      </c>
      <c r="I2445" s="6"/>
      <c r="J2445" s="43"/>
      <c r="K2445" s="51"/>
      <c r="L2445" s="86"/>
    </row>
    <row r="2446" spans="1:12" ht="15" x14ac:dyDescent="0.25">
      <c r="A2446" s="1">
        <v>2437</v>
      </c>
      <c r="B2446" s="1" t="s">
        <v>351</v>
      </c>
      <c r="C2446" s="32">
        <v>1453</v>
      </c>
      <c r="D2446" s="1">
        <v>20000</v>
      </c>
      <c r="E2446" s="1"/>
      <c r="F2446" s="1">
        <v>222.82</v>
      </c>
      <c r="G2446" s="1">
        <v>20000</v>
      </c>
      <c r="H2446" s="5">
        <f t="shared" si="56"/>
        <v>0</v>
      </c>
      <c r="I2446" s="6"/>
      <c r="J2446" s="43"/>
      <c r="K2446" s="51"/>
      <c r="L2446" s="86"/>
    </row>
    <row r="2447" spans="1:12" ht="15" x14ac:dyDescent="0.25">
      <c r="A2447" s="1">
        <v>2438</v>
      </c>
      <c r="B2447" s="1" t="s">
        <v>351</v>
      </c>
      <c r="C2447" s="32">
        <v>1207</v>
      </c>
      <c r="D2447" s="1">
        <v>10000</v>
      </c>
      <c r="E2447" s="1"/>
      <c r="F2447" s="1">
        <v>167</v>
      </c>
      <c r="G2447" s="1">
        <v>10000</v>
      </c>
      <c r="H2447" s="5">
        <f t="shared" si="56"/>
        <v>0</v>
      </c>
      <c r="I2447" s="6"/>
      <c r="J2447" s="43"/>
      <c r="K2447" s="51"/>
      <c r="L2447" s="86"/>
    </row>
    <row r="2448" spans="1:12" ht="15" x14ac:dyDescent="0.25">
      <c r="A2448" s="1">
        <v>2439</v>
      </c>
      <c r="B2448" s="1" t="s">
        <v>351</v>
      </c>
      <c r="C2448" s="32">
        <v>1246</v>
      </c>
      <c r="D2448" s="1">
        <v>15000</v>
      </c>
      <c r="E2448" s="1"/>
      <c r="F2448" s="1">
        <v>167</v>
      </c>
      <c r="G2448" s="1">
        <v>15000</v>
      </c>
      <c r="H2448" s="5">
        <f t="shared" si="56"/>
        <v>0</v>
      </c>
      <c r="I2448" s="6"/>
      <c r="J2448" s="43"/>
      <c r="K2448" s="51"/>
      <c r="L2448" s="86"/>
    </row>
    <row r="2449" spans="1:12" ht="15" x14ac:dyDescent="0.25">
      <c r="A2449" s="1">
        <v>2440</v>
      </c>
      <c r="B2449" s="1" t="s">
        <v>351</v>
      </c>
      <c r="C2449" s="32">
        <v>8382</v>
      </c>
      <c r="D2449" s="1">
        <v>18000</v>
      </c>
      <c r="E2449" s="1"/>
      <c r="F2449" s="1">
        <v>269</v>
      </c>
      <c r="G2449" s="1">
        <v>18000</v>
      </c>
      <c r="H2449" s="5">
        <f t="shared" si="56"/>
        <v>0</v>
      </c>
      <c r="I2449" s="6"/>
      <c r="J2449" s="43"/>
      <c r="K2449" s="51"/>
      <c r="L2449" s="86">
        <f>1320462-1304489</f>
        <v>15973</v>
      </c>
    </row>
    <row r="2450" spans="1:12" ht="15" x14ac:dyDescent="0.25">
      <c r="A2450" s="1">
        <v>2441</v>
      </c>
      <c r="B2450" s="1" t="s">
        <v>352</v>
      </c>
      <c r="C2450" s="32">
        <v>4371</v>
      </c>
      <c r="D2450" s="1">
        <v>12000</v>
      </c>
      <c r="E2450" s="1"/>
      <c r="F2450" s="1">
        <v>133</v>
      </c>
      <c r="G2450" s="1">
        <v>12000</v>
      </c>
      <c r="H2450" s="5">
        <f t="shared" si="56"/>
        <v>0</v>
      </c>
      <c r="I2450" s="6"/>
      <c r="J2450" s="43"/>
      <c r="K2450" s="51"/>
      <c r="L2450" s="86"/>
    </row>
    <row r="2451" spans="1:12" ht="15" x14ac:dyDescent="0.25">
      <c r="A2451" s="1">
        <v>2442</v>
      </c>
      <c r="B2451" s="1" t="s">
        <v>352</v>
      </c>
      <c r="C2451" s="32" t="s">
        <v>66</v>
      </c>
      <c r="D2451" s="1">
        <v>200</v>
      </c>
      <c r="E2451" s="1"/>
      <c r="F2451" s="1">
        <v>2.12</v>
      </c>
      <c r="G2451" s="1">
        <v>200</v>
      </c>
      <c r="H2451" s="5">
        <f t="shared" si="56"/>
        <v>0</v>
      </c>
      <c r="I2451" s="6"/>
      <c r="J2451" s="43"/>
      <c r="K2451" s="51"/>
      <c r="L2451" s="86"/>
    </row>
    <row r="2452" spans="1:12" ht="15" x14ac:dyDescent="0.25">
      <c r="A2452" s="1">
        <v>2443</v>
      </c>
      <c r="B2452" s="1" t="s">
        <v>352</v>
      </c>
      <c r="C2452" s="32" t="s">
        <v>30</v>
      </c>
      <c r="D2452" s="1">
        <v>4500</v>
      </c>
      <c r="E2452" s="1"/>
      <c r="F2452" s="1">
        <v>50.13</v>
      </c>
      <c r="G2452" s="1">
        <v>4500</v>
      </c>
      <c r="H2452" s="5">
        <f t="shared" si="56"/>
        <v>0</v>
      </c>
      <c r="I2452" s="6"/>
      <c r="J2452" s="43"/>
      <c r="K2452" s="51"/>
      <c r="L2452" s="86"/>
    </row>
    <row r="2453" spans="1:12" ht="15" x14ac:dyDescent="0.25">
      <c r="A2453" s="1">
        <v>2444</v>
      </c>
      <c r="B2453" s="1" t="s">
        <v>352</v>
      </c>
      <c r="C2453" s="32">
        <v>5798</v>
      </c>
      <c r="D2453" s="1">
        <v>15000</v>
      </c>
      <c r="E2453" s="1"/>
      <c r="F2453" s="1">
        <v>167</v>
      </c>
      <c r="G2453" s="1">
        <v>15000</v>
      </c>
      <c r="H2453" s="5">
        <f t="shared" si="56"/>
        <v>0</v>
      </c>
      <c r="I2453" s="6"/>
      <c r="J2453" s="43"/>
      <c r="K2453" s="51"/>
      <c r="L2453" s="86"/>
    </row>
    <row r="2454" spans="1:12" ht="15" x14ac:dyDescent="0.25">
      <c r="A2454" s="1">
        <v>2445</v>
      </c>
      <c r="B2454" s="1" t="s">
        <v>352</v>
      </c>
      <c r="C2454" s="32">
        <v>6365</v>
      </c>
      <c r="D2454" s="1">
        <v>15000</v>
      </c>
      <c r="E2454" s="1"/>
      <c r="F2454" s="1">
        <v>167</v>
      </c>
      <c r="G2454" s="1">
        <v>15000</v>
      </c>
      <c r="H2454" s="5">
        <f t="shared" si="56"/>
        <v>0</v>
      </c>
      <c r="I2454" s="6"/>
      <c r="J2454" s="43"/>
      <c r="K2454" s="51"/>
      <c r="L2454" s="86"/>
    </row>
    <row r="2455" spans="1:12" ht="15" x14ac:dyDescent="0.25">
      <c r="A2455" s="1">
        <v>2446</v>
      </c>
      <c r="B2455" s="1" t="s">
        <v>352</v>
      </c>
      <c r="C2455" s="32">
        <v>2677</v>
      </c>
      <c r="D2455" s="1">
        <v>25000</v>
      </c>
      <c r="E2455" s="1"/>
      <c r="F2455" s="1">
        <v>278</v>
      </c>
      <c r="G2455" s="1">
        <v>25000</v>
      </c>
      <c r="H2455" s="5">
        <f t="shared" si="56"/>
        <v>0</v>
      </c>
      <c r="I2455" s="6"/>
      <c r="J2455" s="43"/>
      <c r="K2455" s="51"/>
      <c r="L2455" s="86">
        <f>1000328-976189</f>
        <v>24139</v>
      </c>
    </row>
    <row r="2456" spans="1:12" ht="15" x14ac:dyDescent="0.25">
      <c r="A2456" s="1">
        <v>2447</v>
      </c>
      <c r="B2456" s="1" t="s">
        <v>353</v>
      </c>
      <c r="C2456" s="32">
        <v>3317</v>
      </c>
      <c r="D2456" s="1">
        <v>18000</v>
      </c>
      <c r="E2456" s="1"/>
      <c r="F2456" s="1">
        <v>200</v>
      </c>
      <c r="G2456" s="1">
        <v>18000</v>
      </c>
      <c r="H2456" s="5">
        <f t="shared" si="56"/>
        <v>0</v>
      </c>
      <c r="I2456" s="6"/>
      <c r="J2456" s="43"/>
      <c r="K2456" s="51"/>
      <c r="L2456" s="86"/>
    </row>
    <row r="2457" spans="1:12" ht="15" x14ac:dyDescent="0.25">
      <c r="A2457" s="1">
        <v>2448</v>
      </c>
      <c r="B2457" s="1" t="s">
        <v>353</v>
      </c>
      <c r="C2457" s="32">
        <v>6736</v>
      </c>
      <c r="D2457" s="1">
        <v>12000</v>
      </c>
      <c r="E2457" s="1"/>
      <c r="F2457" s="1">
        <v>133</v>
      </c>
      <c r="G2457" s="1">
        <v>12000</v>
      </c>
      <c r="H2457" s="5">
        <f t="shared" si="56"/>
        <v>0</v>
      </c>
      <c r="I2457" s="6"/>
      <c r="J2457" s="43"/>
      <c r="K2457" s="51"/>
      <c r="L2457" s="86"/>
    </row>
    <row r="2458" spans="1:12" ht="15" x14ac:dyDescent="0.25">
      <c r="A2458" s="1">
        <v>2449</v>
      </c>
      <c r="B2458" s="1" t="s">
        <v>353</v>
      </c>
      <c r="C2458" s="32">
        <v>8703</v>
      </c>
      <c r="D2458" s="1">
        <v>19000</v>
      </c>
      <c r="E2458" s="1"/>
      <c r="F2458" s="1">
        <v>211</v>
      </c>
      <c r="G2458" s="1">
        <v>19000</v>
      </c>
      <c r="H2458" s="5">
        <f t="shared" si="56"/>
        <v>0</v>
      </c>
      <c r="I2458" s="6"/>
      <c r="J2458" s="43"/>
      <c r="K2458" s="51"/>
      <c r="L2458" s="86"/>
    </row>
    <row r="2459" spans="1:12" ht="15" x14ac:dyDescent="0.25">
      <c r="A2459" s="1">
        <v>2450</v>
      </c>
      <c r="B2459" s="1" t="s">
        <v>353</v>
      </c>
      <c r="C2459" s="32">
        <v>2705</v>
      </c>
      <c r="D2459" s="1">
        <v>12000</v>
      </c>
      <c r="E2459" s="1"/>
      <c r="F2459" s="1">
        <v>133</v>
      </c>
      <c r="G2459" s="1">
        <v>12000</v>
      </c>
      <c r="H2459" s="5">
        <f t="shared" si="56"/>
        <v>0</v>
      </c>
      <c r="I2459" s="6"/>
      <c r="J2459" s="43"/>
      <c r="K2459" s="51"/>
      <c r="L2459" s="86"/>
    </row>
    <row r="2460" spans="1:12" ht="15" x14ac:dyDescent="0.25">
      <c r="A2460" s="1">
        <v>2451</v>
      </c>
      <c r="B2460" s="1" t="s">
        <v>353</v>
      </c>
      <c r="C2460" s="32">
        <v>5.1000000000000004E-3</v>
      </c>
      <c r="D2460" s="1">
        <v>17772</v>
      </c>
      <c r="E2460" s="1"/>
      <c r="F2460" s="1">
        <v>198</v>
      </c>
      <c r="G2460" s="1">
        <v>17772</v>
      </c>
      <c r="H2460" s="5">
        <f t="shared" si="56"/>
        <v>0</v>
      </c>
      <c r="I2460" s="6"/>
      <c r="J2460" s="43"/>
      <c r="K2460" s="51"/>
      <c r="L2460" s="86"/>
    </row>
    <row r="2461" spans="1:12" ht="15" x14ac:dyDescent="0.25">
      <c r="A2461" s="1">
        <v>2452</v>
      </c>
      <c r="B2461" s="1" t="s">
        <v>353</v>
      </c>
      <c r="C2461" s="32">
        <v>5151</v>
      </c>
      <c r="D2461" s="1">
        <v>17461</v>
      </c>
      <c r="E2461" s="1"/>
      <c r="F2461" s="1">
        <v>194</v>
      </c>
      <c r="G2461" s="1">
        <v>17461</v>
      </c>
      <c r="H2461" s="5">
        <f t="shared" si="56"/>
        <v>0</v>
      </c>
      <c r="I2461" s="6"/>
      <c r="J2461" s="43"/>
      <c r="K2461" s="51"/>
      <c r="L2461" s="86"/>
    </row>
    <row r="2462" spans="1:12" ht="15" x14ac:dyDescent="0.25">
      <c r="A2462" s="1">
        <v>2453</v>
      </c>
      <c r="B2462" s="1" t="s">
        <v>353</v>
      </c>
      <c r="C2462" s="32">
        <v>5252</v>
      </c>
      <c r="D2462" s="1">
        <v>18100</v>
      </c>
      <c r="E2462" s="1"/>
      <c r="F2462" s="1">
        <v>201</v>
      </c>
      <c r="G2462" s="1">
        <v>18100</v>
      </c>
      <c r="H2462" s="5">
        <f t="shared" si="56"/>
        <v>0</v>
      </c>
      <c r="I2462" s="6"/>
      <c r="J2462" s="43"/>
      <c r="K2462" s="51"/>
      <c r="L2462" s="86"/>
    </row>
    <row r="2463" spans="1:12" ht="15" x14ac:dyDescent="0.25">
      <c r="A2463" s="1">
        <v>2454</v>
      </c>
      <c r="B2463" s="1" t="s">
        <v>353</v>
      </c>
      <c r="C2463" s="32" t="s">
        <v>30</v>
      </c>
      <c r="D2463" s="1">
        <v>5000</v>
      </c>
      <c r="E2463" s="1"/>
      <c r="F2463" s="1">
        <v>50.13</v>
      </c>
      <c r="G2463" s="1">
        <v>5000</v>
      </c>
      <c r="H2463" s="5">
        <f t="shared" si="56"/>
        <v>0</v>
      </c>
      <c r="I2463" s="6"/>
      <c r="J2463" s="43"/>
      <c r="K2463" s="51"/>
      <c r="L2463" s="86"/>
    </row>
    <row r="2464" spans="1:12" ht="15" x14ac:dyDescent="0.25">
      <c r="A2464" s="1">
        <v>2455</v>
      </c>
      <c r="B2464" s="1" t="s">
        <v>353</v>
      </c>
      <c r="C2464" s="32">
        <v>1266</v>
      </c>
      <c r="D2464" s="1">
        <v>13000</v>
      </c>
      <c r="E2464" s="1"/>
      <c r="F2464" s="1">
        <v>144</v>
      </c>
      <c r="G2464" s="1">
        <v>13000</v>
      </c>
      <c r="H2464" s="5">
        <f t="shared" si="56"/>
        <v>0</v>
      </c>
      <c r="I2464" s="6"/>
      <c r="J2464" s="43"/>
      <c r="K2464" s="51"/>
      <c r="L2464" s="86"/>
    </row>
    <row r="2465" spans="1:12" ht="15" x14ac:dyDescent="0.25">
      <c r="A2465" s="1">
        <v>2456</v>
      </c>
      <c r="B2465" s="1" t="s">
        <v>353</v>
      </c>
      <c r="C2465" s="32">
        <v>1764</v>
      </c>
      <c r="D2465" s="1">
        <v>7000</v>
      </c>
      <c r="E2465" s="1"/>
      <c r="F2465" s="1">
        <v>111</v>
      </c>
      <c r="G2465" s="1">
        <v>7000</v>
      </c>
      <c r="H2465" s="5">
        <f t="shared" si="56"/>
        <v>0</v>
      </c>
      <c r="I2465" s="6"/>
      <c r="J2465" s="43"/>
      <c r="K2465" s="51"/>
      <c r="L2465" s="86"/>
    </row>
    <row r="2466" spans="1:12" ht="15" x14ac:dyDescent="0.25">
      <c r="A2466" s="1">
        <v>2457</v>
      </c>
      <c r="B2466" s="1" t="s">
        <v>353</v>
      </c>
      <c r="C2466" s="32">
        <v>2496</v>
      </c>
      <c r="D2466" s="1">
        <v>20000</v>
      </c>
      <c r="E2466" s="1"/>
      <c r="F2466" s="1">
        <v>222.82</v>
      </c>
      <c r="G2466" s="1">
        <v>20000</v>
      </c>
      <c r="H2466" s="5">
        <f t="shared" si="56"/>
        <v>0</v>
      </c>
      <c r="I2466" s="6"/>
      <c r="J2466" s="43"/>
      <c r="K2466" s="51"/>
      <c r="L2466" s="86"/>
    </row>
    <row r="2467" spans="1:12" ht="15" x14ac:dyDescent="0.25">
      <c r="A2467" s="1">
        <v>2458</v>
      </c>
      <c r="B2467" s="1" t="s">
        <v>353</v>
      </c>
      <c r="C2467" s="32">
        <v>2232</v>
      </c>
      <c r="D2467" s="1">
        <v>15000</v>
      </c>
      <c r="E2467" s="1"/>
      <c r="F2467" s="1">
        <v>167</v>
      </c>
      <c r="G2467" s="1">
        <v>15000</v>
      </c>
      <c r="H2467" s="5">
        <f t="shared" si="56"/>
        <v>0</v>
      </c>
      <c r="I2467" s="6"/>
      <c r="J2467" s="43"/>
      <c r="K2467" s="51"/>
      <c r="L2467" s="86"/>
    </row>
    <row r="2468" spans="1:12" ht="15" x14ac:dyDescent="0.25">
      <c r="A2468" s="1">
        <v>2459</v>
      </c>
      <c r="B2468" s="1" t="s">
        <v>353</v>
      </c>
      <c r="C2468" s="32">
        <v>3023</v>
      </c>
      <c r="D2468" s="1">
        <v>19000</v>
      </c>
      <c r="E2468" s="1"/>
      <c r="F2468" s="1">
        <v>220</v>
      </c>
      <c r="G2468" s="1">
        <v>19000</v>
      </c>
      <c r="H2468" s="5">
        <f t="shared" si="56"/>
        <v>0</v>
      </c>
      <c r="I2468" s="6"/>
      <c r="J2468" s="43"/>
      <c r="K2468" s="51"/>
      <c r="L2468" s="86"/>
    </row>
    <row r="2469" spans="1:12" ht="15" x14ac:dyDescent="0.25">
      <c r="A2469" s="1">
        <v>2460</v>
      </c>
      <c r="B2469" s="1" t="s">
        <v>354</v>
      </c>
      <c r="C2469" s="32">
        <v>5119</v>
      </c>
      <c r="D2469" s="1">
        <v>12000</v>
      </c>
      <c r="E2469" s="1"/>
      <c r="F2469" s="1">
        <v>133</v>
      </c>
      <c r="G2469" s="1">
        <v>12000</v>
      </c>
      <c r="H2469" s="5">
        <f t="shared" si="56"/>
        <v>0</v>
      </c>
      <c r="I2469" s="6"/>
      <c r="J2469" s="43"/>
      <c r="K2469" s="51"/>
      <c r="L2469" s="86"/>
    </row>
    <row r="2470" spans="1:12" ht="15" x14ac:dyDescent="0.25">
      <c r="A2470" s="1">
        <v>2461</v>
      </c>
      <c r="B2470" s="1" t="s">
        <v>354</v>
      </c>
      <c r="C2470" s="32">
        <v>6924</v>
      </c>
      <c r="D2470" s="1">
        <v>20000</v>
      </c>
      <c r="E2470" s="1"/>
      <c r="F2470" s="1">
        <v>222.82</v>
      </c>
      <c r="G2470" s="1">
        <v>20000</v>
      </c>
      <c r="H2470" s="5">
        <f t="shared" si="56"/>
        <v>0</v>
      </c>
      <c r="I2470" s="6"/>
      <c r="J2470" s="43"/>
      <c r="K2470" s="51"/>
      <c r="L2470" s="86"/>
    </row>
    <row r="2471" spans="1:12" ht="15" x14ac:dyDescent="0.25">
      <c r="A2471" s="1">
        <v>2462</v>
      </c>
      <c r="B2471" s="1" t="s">
        <v>354</v>
      </c>
      <c r="C2471" s="32">
        <v>6349</v>
      </c>
      <c r="D2471" s="1">
        <v>18000</v>
      </c>
      <c r="E2471" s="1"/>
      <c r="F2471" s="1">
        <v>200</v>
      </c>
      <c r="G2471" s="1">
        <v>18000</v>
      </c>
      <c r="H2471" s="5">
        <f t="shared" si="56"/>
        <v>0</v>
      </c>
      <c r="I2471" s="6"/>
      <c r="J2471" s="43"/>
      <c r="K2471" s="51"/>
      <c r="L2471" s="86"/>
    </row>
    <row r="2472" spans="1:12" ht="15" x14ac:dyDescent="0.25">
      <c r="A2472" s="1">
        <v>2463</v>
      </c>
      <c r="B2472" s="1" t="s">
        <v>354</v>
      </c>
      <c r="C2472" s="32">
        <v>4124</v>
      </c>
      <c r="D2472" s="1">
        <v>27000</v>
      </c>
      <c r="E2472" s="1"/>
      <c r="F2472" s="1">
        <v>300</v>
      </c>
      <c r="G2472" s="1">
        <v>27000</v>
      </c>
      <c r="H2472" s="5">
        <f t="shared" si="56"/>
        <v>0</v>
      </c>
      <c r="I2472" s="6"/>
      <c r="J2472" s="43"/>
      <c r="K2472" s="51"/>
      <c r="L2472" s="86"/>
    </row>
    <row r="2473" spans="1:12" ht="15" x14ac:dyDescent="0.25">
      <c r="A2473" s="1">
        <v>2464</v>
      </c>
      <c r="B2473" s="1" t="s">
        <v>354</v>
      </c>
      <c r="C2473" s="32">
        <v>4371</v>
      </c>
      <c r="D2473" s="1">
        <v>12000</v>
      </c>
      <c r="E2473" s="1"/>
      <c r="F2473" s="1">
        <v>133</v>
      </c>
      <c r="G2473" s="1">
        <v>12000</v>
      </c>
      <c r="H2473" s="5">
        <f t="shared" si="56"/>
        <v>0</v>
      </c>
      <c r="I2473" s="6"/>
      <c r="J2473" s="43"/>
      <c r="K2473" s="51"/>
      <c r="L2473" s="86"/>
    </row>
    <row r="2474" spans="1:12" ht="15" x14ac:dyDescent="0.25">
      <c r="A2474" s="1">
        <v>2465</v>
      </c>
      <c r="B2474" s="1" t="s">
        <v>354</v>
      </c>
      <c r="C2474" s="32">
        <v>1593</v>
      </c>
      <c r="D2474" s="1">
        <v>12000</v>
      </c>
      <c r="E2474" s="1"/>
      <c r="F2474" s="1">
        <v>133</v>
      </c>
      <c r="G2474" s="1">
        <v>12000</v>
      </c>
      <c r="H2474" s="5">
        <f t="shared" si="56"/>
        <v>0</v>
      </c>
      <c r="I2474" s="6"/>
      <c r="J2474" s="43"/>
      <c r="K2474" s="51"/>
      <c r="L2474" s="86"/>
    </row>
    <row r="2475" spans="1:12" ht="15" x14ac:dyDescent="0.25">
      <c r="A2475" s="1">
        <v>2466</v>
      </c>
      <c r="B2475" s="1" t="s">
        <v>354</v>
      </c>
      <c r="C2475" s="32">
        <v>9544</v>
      </c>
      <c r="D2475" s="1">
        <v>12000</v>
      </c>
      <c r="E2475" s="1"/>
      <c r="F2475" s="1">
        <v>133</v>
      </c>
      <c r="G2475" s="1">
        <v>12000</v>
      </c>
      <c r="H2475" s="5">
        <f t="shared" si="56"/>
        <v>0</v>
      </c>
      <c r="I2475" s="6"/>
      <c r="J2475" s="43"/>
      <c r="K2475" s="51"/>
      <c r="L2475" s="86"/>
    </row>
    <row r="2476" spans="1:12" ht="15" x14ac:dyDescent="0.25">
      <c r="A2476" s="1">
        <v>2467</v>
      </c>
      <c r="B2476" s="1" t="s">
        <v>354</v>
      </c>
      <c r="C2476" s="32" t="s">
        <v>66</v>
      </c>
      <c r="D2476" s="1">
        <v>200</v>
      </c>
      <c r="E2476" s="1"/>
      <c r="F2476" s="1">
        <v>2.12</v>
      </c>
      <c r="G2476" s="1">
        <v>200</v>
      </c>
      <c r="H2476" s="5">
        <f t="shared" si="56"/>
        <v>0</v>
      </c>
      <c r="I2476" s="6"/>
      <c r="J2476" s="43"/>
      <c r="K2476" s="51"/>
      <c r="L2476" s="86"/>
    </row>
    <row r="2477" spans="1:12" ht="15" x14ac:dyDescent="0.25">
      <c r="A2477" s="1">
        <v>2468</v>
      </c>
      <c r="B2477" s="1" t="s">
        <v>354</v>
      </c>
      <c r="C2477" s="32">
        <v>2670</v>
      </c>
      <c r="D2477" s="1">
        <v>17000</v>
      </c>
      <c r="E2477" s="1"/>
      <c r="F2477" s="1">
        <v>189</v>
      </c>
      <c r="G2477" s="1">
        <v>17000</v>
      </c>
      <c r="H2477" s="5">
        <f t="shared" si="56"/>
        <v>0</v>
      </c>
      <c r="I2477" s="6"/>
      <c r="J2477" s="43"/>
      <c r="K2477" s="51"/>
      <c r="L2477" s="86"/>
    </row>
    <row r="2478" spans="1:12" ht="15" x14ac:dyDescent="0.25">
      <c r="A2478" s="1">
        <v>2469</v>
      </c>
      <c r="B2478" s="1" t="s">
        <v>354</v>
      </c>
      <c r="C2478" s="32">
        <v>2646</v>
      </c>
      <c r="D2478" s="1">
        <v>20000</v>
      </c>
      <c r="E2478" s="1"/>
      <c r="F2478" s="1">
        <v>222.82</v>
      </c>
      <c r="G2478" s="1">
        <v>20000</v>
      </c>
      <c r="H2478" s="5">
        <f t="shared" si="56"/>
        <v>0</v>
      </c>
      <c r="I2478" s="6"/>
      <c r="J2478" s="43"/>
      <c r="K2478" s="51"/>
      <c r="L2478" s="86"/>
    </row>
    <row r="2479" spans="1:12" ht="15" x14ac:dyDescent="0.25">
      <c r="A2479" s="1">
        <v>2470</v>
      </c>
      <c r="B2479" s="1" t="s">
        <v>354</v>
      </c>
      <c r="C2479" s="32">
        <v>6461</v>
      </c>
      <c r="D2479" s="1">
        <v>30000</v>
      </c>
      <c r="E2479" s="1"/>
      <c r="F2479" s="1">
        <v>334</v>
      </c>
      <c r="G2479" s="1">
        <v>30000</v>
      </c>
      <c r="H2479" s="5">
        <f t="shared" si="56"/>
        <v>0</v>
      </c>
      <c r="I2479" s="6"/>
      <c r="J2479" s="43"/>
      <c r="K2479" s="51"/>
      <c r="L2479" s="86"/>
    </row>
    <row r="2480" spans="1:12" ht="15" x14ac:dyDescent="0.25">
      <c r="A2480" s="1">
        <v>2471</v>
      </c>
      <c r="B2480" s="1" t="s">
        <v>354</v>
      </c>
      <c r="C2480" s="32">
        <v>3317</v>
      </c>
      <c r="D2480" s="1">
        <v>30000</v>
      </c>
      <c r="E2480" s="1"/>
      <c r="F2480" s="1">
        <v>334</v>
      </c>
      <c r="G2480" s="1">
        <v>30000</v>
      </c>
      <c r="H2480" s="5">
        <f t="shared" si="56"/>
        <v>0</v>
      </c>
      <c r="I2480" s="6"/>
      <c r="J2480" s="43"/>
      <c r="K2480" s="51"/>
      <c r="L2480" s="86">
        <f>1319189-1279722</f>
        <v>39467</v>
      </c>
    </row>
    <row r="2481" spans="1:12" ht="15" x14ac:dyDescent="0.25">
      <c r="A2481" s="1">
        <v>2472</v>
      </c>
      <c r="B2481" s="1" t="s">
        <v>355</v>
      </c>
      <c r="C2481" s="32">
        <v>2705</v>
      </c>
      <c r="D2481" s="1">
        <v>12000</v>
      </c>
      <c r="E2481" s="1"/>
      <c r="F2481" s="1">
        <v>133</v>
      </c>
      <c r="G2481" s="1">
        <v>12000</v>
      </c>
      <c r="H2481" s="5">
        <f t="shared" si="56"/>
        <v>0</v>
      </c>
      <c r="I2481" s="6"/>
      <c r="J2481" s="43"/>
      <c r="K2481" s="51"/>
      <c r="L2481" s="86"/>
    </row>
    <row r="2482" spans="1:12" ht="15" x14ac:dyDescent="0.25">
      <c r="A2482" s="1">
        <v>2473</v>
      </c>
      <c r="B2482" s="1" t="s">
        <v>355</v>
      </c>
      <c r="C2482" s="32">
        <v>4.7199999999999999E-2</v>
      </c>
      <c r="D2482" s="1">
        <v>23000</v>
      </c>
      <c r="E2482" s="1"/>
      <c r="F2482" s="1">
        <v>256</v>
      </c>
      <c r="G2482" s="1">
        <v>23000</v>
      </c>
      <c r="H2482" s="5">
        <f t="shared" si="56"/>
        <v>0</v>
      </c>
      <c r="I2482" s="6"/>
      <c r="J2482" s="43"/>
      <c r="K2482" s="51"/>
      <c r="L2482" s="86"/>
    </row>
    <row r="2483" spans="1:12" ht="15" x14ac:dyDescent="0.25">
      <c r="A2483" s="1">
        <v>2474</v>
      </c>
      <c r="B2483" s="1" t="s">
        <v>355</v>
      </c>
      <c r="C2483" s="32">
        <v>8999</v>
      </c>
      <c r="D2483" s="1">
        <v>11000</v>
      </c>
      <c r="E2483" s="1"/>
      <c r="F2483" s="1">
        <v>102</v>
      </c>
      <c r="G2483" s="1">
        <v>11000</v>
      </c>
      <c r="H2483" s="5">
        <f t="shared" si="56"/>
        <v>0</v>
      </c>
      <c r="I2483" s="6"/>
      <c r="J2483" s="43"/>
      <c r="K2483" s="51"/>
      <c r="L2483" s="86"/>
    </row>
    <row r="2484" spans="1:12" ht="15" x14ac:dyDescent="0.25">
      <c r="A2484" s="1">
        <v>2475</v>
      </c>
      <c r="B2484" s="1" t="s">
        <v>355</v>
      </c>
      <c r="C2484" s="32">
        <v>5.1999999999999998E-3</v>
      </c>
      <c r="D2484" s="1">
        <v>17000</v>
      </c>
      <c r="E2484" s="1"/>
      <c r="F2484" s="1">
        <v>189</v>
      </c>
      <c r="G2484" s="1">
        <v>17000</v>
      </c>
      <c r="H2484" s="5">
        <f t="shared" si="56"/>
        <v>0</v>
      </c>
      <c r="I2484" s="6"/>
      <c r="J2484" s="43"/>
      <c r="K2484" s="51"/>
      <c r="L2484" s="86"/>
    </row>
    <row r="2485" spans="1:12" ht="15" x14ac:dyDescent="0.25">
      <c r="A2485" s="1">
        <v>2476</v>
      </c>
      <c r="B2485" s="1" t="s">
        <v>355</v>
      </c>
      <c r="C2485" s="32" t="s">
        <v>30</v>
      </c>
      <c r="D2485" s="1">
        <v>5000</v>
      </c>
      <c r="E2485" s="1"/>
      <c r="F2485" s="1">
        <v>55.13</v>
      </c>
      <c r="G2485" s="1">
        <v>5000</v>
      </c>
      <c r="H2485" s="5">
        <f t="shared" si="56"/>
        <v>0</v>
      </c>
      <c r="I2485" s="6"/>
      <c r="J2485" s="43"/>
      <c r="K2485" s="51"/>
      <c r="L2485" s="86"/>
    </row>
    <row r="2486" spans="1:12" ht="15" x14ac:dyDescent="0.25">
      <c r="A2486" s="1">
        <v>2477</v>
      </c>
      <c r="B2486" s="1" t="s">
        <v>355</v>
      </c>
      <c r="C2486" s="32" t="s">
        <v>30</v>
      </c>
      <c r="D2486" s="1">
        <v>4500</v>
      </c>
      <c r="E2486" s="1"/>
      <c r="F2486" s="1">
        <v>50.12</v>
      </c>
      <c r="G2486" s="1">
        <v>4500</v>
      </c>
      <c r="H2486" s="5">
        <f t="shared" si="56"/>
        <v>0</v>
      </c>
      <c r="I2486" s="6"/>
      <c r="J2486" s="43"/>
      <c r="K2486" s="51"/>
      <c r="L2486" s="86"/>
    </row>
    <row r="2487" spans="1:12" ht="15" x14ac:dyDescent="0.25">
      <c r="A2487" s="1">
        <v>2478</v>
      </c>
      <c r="B2487" s="1" t="s">
        <v>355</v>
      </c>
      <c r="C2487" s="32">
        <v>3007</v>
      </c>
      <c r="D2487" s="1">
        <v>15000</v>
      </c>
      <c r="E2487" s="1"/>
      <c r="F2487" s="1">
        <v>167</v>
      </c>
      <c r="G2487" s="1">
        <v>15000</v>
      </c>
      <c r="H2487" s="5">
        <f t="shared" si="56"/>
        <v>0</v>
      </c>
      <c r="I2487" s="6"/>
      <c r="J2487" s="43"/>
      <c r="K2487" s="51"/>
      <c r="L2487" s="86"/>
    </row>
    <row r="2488" spans="1:12" ht="15" x14ac:dyDescent="0.25">
      <c r="A2488" s="1">
        <v>2479</v>
      </c>
      <c r="B2488" s="1" t="s">
        <v>355</v>
      </c>
      <c r="C2488" s="32">
        <v>6868</v>
      </c>
      <c r="D2488" s="1">
        <v>25000</v>
      </c>
      <c r="E2488" s="1"/>
      <c r="F2488" s="1">
        <v>278</v>
      </c>
      <c r="G2488" s="1">
        <v>25000</v>
      </c>
      <c r="H2488" s="5">
        <f t="shared" si="56"/>
        <v>0</v>
      </c>
      <c r="I2488" s="6"/>
      <c r="J2488" s="43"/>
      <c r="K2488" s="51"/>
      <c r="L2488" s="86"/>
    </row>
    <row r="2489" spans="1:12" ht="15" x14ac:dyDescent="0.25">
      <c r="A2489" s="1">
        <v>2480</v>
      </c>
      <c r="B2489" s="1" t="s">
        <v>355</v>
      </c>
      <c r="C2489" s="32">
        <v>3450</v>
      </c>
      <c r="D2489" s="1">
        <v>12000</v>
      </c>
      <c r="E2489" s="1"/>
      <c r="F2489" s="1">
        <v>133</v>
      </c>
      <c r="G2489" s="1">
        <v>12000</v>
      </c>
      <c r="H2489" s="5">
        <f t="shared" si="56"/>
        <v>0</v>
      </c>
      <c r="I2489" s="6"/>
      <c r="J2489" s="43"/>
      <c r="K2489" s="51"/>
      <c r="L2489" s="86"/>
    </row>
    <row r="2490" spans="1:12" ht="15" x14ac:dyDescent="0.25">
      <c r="A2490" s="1">
        <v>2481</v>
      </c>
      <c r="B2490" s="1" t="s">
        <v>355</v>
      </c>
      <c r="C2490" s="32">
        <v>2415</v>
      </c>
      <c r="D2490" s="1">
        <v>12000</v>
      </c>
      <c r="E2490" s="1"/>
      <c r="F2490" s="1">
        <v>133</v>
      </c>
      <c r="G2490" s="1">
        <v>12000</v>
      </c>
      <c r="H2490" s="5">
        <f t="shared" si="56"/>
        <v>0</v>
      </c>
      <c r="I2490" s="6"/>
      <c r="J2490" s="43"/>
      <c r="K2490" s="51"/>
      <c r="L2490" s="86"/>
    </row>
    <row r="2491" spans="1:12" ht="15" x14ac:dyDescent="0.25">
      <c r="A2491" s="1">
        <v>2482</v>
      </c>
      <c r="B2491" s="1" t="s">
        <v>356</v>
      </c>
      <c r="C2491" s="32">
        <v>3565</v>
      </c>
      <c r="D2491" s="1">
        <v>16000</v>
      </c>
      <c r="E2491" s="1"/>
      <c r="F2491" s="1">
        <v>178</v>
      </c>
      <c r="G2491" s="1">
        <v>16000</v>
      </c>
      <c r="H2491" s="5">
        <f t="shared" si="56"/>
        <v>0</v>
      </c>
      <c r="I2491" s="6"/>
      <c r="J2491" s="43"/>
      <c r="K2491" s="51"/>
      <c r="L2491" s="86"/>
    </row>
    <row r="2492" spans="1:12" ht="15" x14ac:dyDescent="0.25">
      <c r="A2492" s="1">
        <v>2483</v>
      </c>
      <c r="B2492" s="1" t="s">
        <v>356</v>
      </c>
      <c r="C2492" s="32">
        <v>1593</v>
      </c>
      <c r="D2492" s="1">
        <v>12000</v>
      </c>
      <c r="E2492" s="1"/>
      <c r="F2492" s="1">
        <v>133</v>
      </c>
      <c r="G2492" s="1">
        <v>12000</v>
      </c>
      <c r="H2492" s="5">
        <f t="shared" si="56"/>
        <v>0</v>
      </c>
      <c r="I2492" s="6"/>
      <c r="J2492" s="43"/>
      <c r="K2492" s="51"/>
      <c r="L2492" s="86"/>
    </row>
    <row r="2493" spans="1:12" ht="15" x14ac:dyDescent="0.25">
      <c r="A2493" s="1">
        <v>2484</v>
      </c>
      <c r="B2493" s="1" t="s">
        <v>356</v>
      </c>
      <c r="C2493" s="32">
        <v>4371</v>
      </c>
      <c r="D2493" s="1">
        <v>12000</v>
      </c>
      <c r="E2493" s="1"/>
      <c r="F2493" s="1">
        <v>133</v>
      </c>
      <c r="G2493" s="1">
        <v>12000</v>
      </c>
      <c r="H2493" s="5">
        <f t="shared" si="56"/>
        <v>0</v>
      </c>
      <c r="I2493" s="6"/>
      <c r="J2493" s="43"/>
      <c r="K2493" s="51"/>
      <c r="L2493" s="86"/>
    </row>
    <row r="2494" spans="1:12" ht="15" x14ac:dyDescent="0.25">
      <c r="A2494" s="1">
        <v>2485</v>
      </c>
      <c r="B2494" s="1" t="s">
        <v>356</v>
      </c>
      <c r="C2494" s="32">
        <v>2803</v>
      </c>
      <c r="D2494" s="1">
        <v>16000</v>
      </c>
      <c r="E2494" s="1"/>
      <c r="F2494" s="1">
        <v>178</v>
      </c>
      <c r="G2494" s="1">
        <v>16000</v>
      </c>
      <c r="H2494" s="5">
        <f t="shared" si="56"/>
        <v>0</v>
      </c>
      <c r="I2494" s="6"/>
      <c r="J2494" s="43"/>
      <c r="K2494" s="51"/>
      <c r="L2494" s="86"/>
    </row>
    <row r="2495" spans="1:12" ht="15" x14ac:dyDescent="0.25">
      <c r="A2495" s="1">
        <v>2486</v>
      </c>
      <c r="B2495" s="1" t="s">
        <v>356</v>
      </c>
      <c r="C2495" s="32">
        <v>6511</v>
      </c>
      <c r="D2495" s="1">
        <v>28000</v>
      </c>
      <c r="E2495" s="1"/>
      <c r="F2495" s="1">
        <v>284</v>
      </c>
      <c r="G2495" s="1">
        <v>28000</v>
      </c>
      <c r="H2495" s="5">
        <f t="shared" si="56"/>
        <v>0</v>
      </c>
      <c r="I2495" s="6"/>
      <c r="J2495" s="43"/>
      <c r="K2495" s="51"/>
      <c r="L2495" s="86"/>
    </row>
    <row r="2496" spans="1:12" ht="15" x14ac:dyDescent="0.25">
      <c r="A2496" s="1">
        <v>2487</v>
      </c>
      <c r="B2496" s="1" t="s">
        <v>356</v>
      </c>
      <c r="C2496" s="32">
        <v>7714</v>
      </c>
      <c r="D2496" s="1">
        <v>28000</v>
      </c>
      <c r="E2496" s="1"/>
      <c r="F2496" s="1">
        <v>284</v>
      </c>
      <c r="G2496" s="1">
        <v>28000</v>
      </c>
      <c r="H2496" s="5">
        <f t="shared" si="56"/>
        <v>0</v>
      </c>
      <c r="I2496" s="6"/>
      <c r="J2496" s="43"/>
      <c r="K2496" s="51"/>
      <c r="L2496" s="86"/>
    </row>
    <row r="2497" spans="1:12" ht="15" x14ac:dyDescent="0.25">
      <c r="A2497" s="1">
        <v>2488</v>
      </c>
      <c r="B2497" s="1" t="s">
        <v>356</v>
      </c>
      <c r="C2497" s="32">
        <v>7672</v>
      </c>
      <c r="D2497" s="1">
        <v>18000</v>
      </c>
      <c r="E2497" s="1"/>
      <c r="F2497" s="1">
        <v>200</v>
      </c>
      <c r="G2497" s="1">
        <v>18000</v>
      </c>
      <c r="H2497" s="5">
        <f t="shared" si="56"/>
        <v>0</v>
      </c>
      <c r="I2497" s="6"/>
      <c r="J2497" s="43"/>
      <c r="K2497" s="51"/>
      <c r="L2497" s="86"/>
    </row>
    <row r="2498" spans="1:12" ht="15" x14ac:dyDescent="0.25">
      <c r="A2498" s="1">
        <v>2489</v>
      </c>
      <c r="B2498" s="1" t="s">
        <v>356</v>
      </c>
      <c r="C2498" s="32">
        <v>7497</v>
      </c>
      <c r="D2498" s="1">
        <v>23000</v>
      </c>
      <c r="E2498" s="1"/>
      <c r="F2498" s="1">
        <v>256</v>
      </c>
      <c r="G2498" s="1">
        <v>23000</v>
      </c>
      <c r="H2498" s="5">
        <f t="shared" si="56"/>
        <v>0</v>
      </c>
      <c r="I2498" s="6"/>
      <c r="J2498" s="43"/>
      <c r="K2498" s="51"/>
      <c r="L2498" s="86"/>
    </row>
    <row r="2499" spans="1:12" ht="15" x14ac:dyDescent="0.25">
      <c r="A2499" s="1">
        <v>2490</v>
      </c>
      <c r="B2499" s="1" t="s">
        <v>356</v>
      </c>
      <c r="C2499" s="32">
        <v>5058</v>
      </c>
      <c r="D2499" s="1">
        <v>10000</v>
      </c>
      <c r="E2499" s="1"/>
      <c r="F2499" s="1">
        <v>105</v>
      </c>
      <c r="G2499" s="1">
        <v>10000</v>
      </c>
      <c r="H2499" s="5">
        <f t="shared" si="56"/>
        <v>0</v>
      </c>
      <c r="I2499" s="6"/>
      <c r="J2499" s="43"/>
      <c r="K2499" s="51"/>
      <c r="L2499" s="86"/>
    </row>
    <row r="2500" spans="1:12" ht="15" x14ac:dyDescent="0.25">
      <c r="A2500" s="1">
        <v>2491</v>
      </c>
      <c r="B2500" s="1" t="s">
        <v>356</v>
      </c>
      <c r="C2500" s="32">
        <v>3558</v>
      </c>
      <c r="D2500" s="1">
        <v>27000</v>
      </c>
      <c r="E2500" s="1"/>
      <c r="F2500" s="1">
        <v>300</v>
      </c>
      <c r="G2500" s="1">
        <v>27000</v>
      </c>
      <c r="H2500" s="5">
        <f t="shared" si="56"/>
        <v>0</v>
      </c>
      <c r="I2500" s="6"/>
      <c r="J2500" s="43"/>
      <c r="K2500" s="51"/>
      <c r="L2500" s="86"/>
    </row>
    <row r="2501" spans="1:12" ht="15" x14ac:dyDescent="0.25">
      <c r="A2501" s="1">
        <v>2492</v>
      </c>
      <c r="B2501" s="1" t="s">
        <v>356</v>
      </c>
      <c r="C2501" s="32">
        <v>4316</v>
      </c>
      <c r="D2501" s="1">
        <v>23000</v>
      </c>
      <c r="E2501" s="1"/>
      <c r="F2501" s="1">
        <v>239</v>
      </c>
      <c r="G2501" s="1">
        <v>23000</v>
      </c>
      <c r="H2501" s="5">
        <f t="shared" si="56"/>
        <v>0</v>
      </c>
      <c r="I2501" s="6"/>
      <c r="J2501" s="43"/>
      <c r="K2501" s="51"/>
      <c r="L2501" s="86">
        <f>1445582-1419222</f>
        <v>26360</v>
      </c>
    </row>
    <row r="2502" spans="1:12" ht="15" x14ac:dyDescent="0.25">
      <c r="A2502" s="1">
        <v>2493</v>
      </c>
      <c r="B2502" s="1" t="s">
        <v>357</v>
      </c>
      <c r="C2502" s="32">
        <v>9544</v>
      </c>
      <c r="D2502" s="1">
        <v>12000</v>
      </c>
      <c r="E2502" s="1"/>
      <c r="F2502" s="1">
        <v>133</v>
      </c>
      <c r="G2502" s="1">
        <v>12000</v>
      </c>
      <c r="H2502" s="5">
        <f t="shared" si="56"/>
        <v>0</v>
      </c>
      <c r="I2502" s="6"/>
      <c r="J2502" s="43"/>
      <c r="K2502" s="51"/>
      <c r="L2502" s="86"/>
    </row>
    <row r="2503" spans="1:12" ht="15" x14ac:dyDescent="0.25">
      <c r="A2503" s="1">
        <v>2494</v>
      </c>
      <c r="B2503" s="1" t="s">
        <v>357</v>
      </c>
      <c r="C2503" s="32">
        <v>8327</v>
      </c>
      <c r="D2503" s="1">
        <v>18000</v>
      </c>
      <c r="E2503" s="1"/>
      <c r="F2503" s="1">
        <v>200</v>
      </c>
      <c r="G2503" s="1">
        <v>18000</v>
      </c>
      <c r="H2503" s="5">
        <f t="shared" si="56"/>
        <v>0</v>
      </c>
      <c r="I2503" s="6"/>
      <c r="J2503" s="43"/>
      <c r="K2503" s="51"/>
      <c r="L2503" s="86"/>
    </row>
    <row r="2504" spans="1:12" ht="15" x14ac:dyDescent="0.25">
      <c r="A2504" s="1">
        <v>2495</v>
      </c>
      <c r="B2504" s="1" t="s">
        <v>357</v>
      </c>
      <c r="C2504" s="32" t="s">
        <v>30</v>
      </c>
      <c r="D2504" s="1">
        <v>3500</v>
      </c>
      <c r="E2504" s="1"/>
      <c r="F2504" s="1">
        <v>38.99</v>
      </c>
      <c r="G2504" s="1">
        <v>3500</v>
      </c>
      <c r="H2504" s="5">
        <f t="shared" ref="H2504:H2573" si="57">D2504-G2504</f>
        <v>0</v>
      </c>
      <c r="I2504" s="6"/>
      <c r="J2504" s="43"/>
      <c r="K2504" s="51"/>
      <c r="L2504" s="86"/>
    </row>
    <row r="2505" spans="1:12" ht="15" x14ac:dyDescent="0.25">
      <c r="A2505" s="1">
        <v>2496</v>
      </c>
      <c r="B2505" s="1" t="s">
        <v>357</v>
      </c>
      <c r="C2505" s="32" t="s">
        <v>30</v>
      </c>
      <c r="D2505" s="1">
        <v>4000</v>
      </c>
      <c r="E2505" s="1"/>
      <c r="F2505" s="1">
        <v>44.5</v>
      </c>
      <c r="G2505" s="1">
        <v>4000</v>
      </c>
      <c r="H2505" s="5">
        <f t="shared" si="57"/>
        <v>0</v>
      </c>
      <c r="I2505" s="6"/>
      <c r="J2505" s="43"/>
      <c r="K2505" s="51"/>
      <c r="L2505" s="86"/>
    </row>
    <row r="2506" spans="1:12" ht="15" x14ac:dyDescent="0.25">
      <c r="A2506" s="1">
        <v>2497</v>
      </c>
      <c r="B2506" s="1" t="s">
        <v>357</v>
      </c>
      <c r="C2506" s="32" t="s">
        <v>30</v>
      </c>
      <c r="D2506" s="1">
        <v>5000</v>
      </c>
      <c r="E2506" s="1"/>
      <c r="F2506" s="1">
        <v>55.13</v>
      </c>
      <c r="G2506" s="1">
        <v>5000</v>
      </c>
      <c r="H2506" s="5">
        <f t="shared" si="57"/>
        <v>0</v>
      </c>
      <c r="I2506" s="6"/>
      <c r="J2506" s="43"/>
      <c r="K2506" s="51"/>
      <c r="L2506" s="86"/>
    </row>
    <row r="2507" spans="1:12" ht="15" x14ac:dyDescent="0.25">
      <c r="A2507" s="1">
        <v>2498</v>
      </c>
      <c r="B2507" s="1" t="s">
        <v>357</v>
      </c>
      <c r="C2507" s="32">
        <v>5744</v>
      </c>
      <c r="D2507" s="1">
        <v>24030</v>
      </c>
      <c r="E2507" s="1"/>
      <c r="F2507" s="1">
        <v>267</v>
      </c>
      <c r="G2507" s="1">
        <v>24030</v>
      </c>
      <c r="H2507" s="5">
        <f t="shared" si="57"/>
        <v>0</v>
      </c>
      <c r="I2507" s="6"/>
      <c r="J2507" s="43"/>
      <c r="K2507" s="51"/>
      <c r="L2507" s="86"/>
    </row>
    <row r="2508" spans="1:12" ht="15" x14ac:dyDescent="0.25">
      <c r="A2508" s="1">
        <v>2499</v>
      </c>
      <c r="B2508" s="1" t="s">
        <v>357</v>
      </c>
      <c r="C2508" s="32">
        <v>1196</v>
      </c>
      <c r="D2508" s="1">
        <v>17231</v>
      </c>
      <c r="E2508" s="1"/>
      <c r="F2508" s="1">
        <v>191</v>
      </c>
      <c r="G2508" s="1">
        <v>17231</v>
      </c>
      <c r="H2508" s="5">
        <f t="shared" si="57"/>
        <v>0</v>
      </c>
      <c r="I2508" s="6"/>
      <c r="J2508" s="43"/>
      <c r="K2508" s="51"/>
      <c r="L2508" s="86"/>
    </row>
    <row r="2509" spans="1:12" ht="15" x14ac:dyDescent="0.25">
      <c r="A2509" s="1">
        <v>2500</v>
      </c>
      <c r="B2509" s="1" t="s">
        <v>357</v>
      </c>
      <c r="C2509" s="32">
        <v>309</v>
      </c>
      <c r="D2509" s="1">
        <v>25000</v>
      </c>
      <c r="E2509" s="1"/>
      <c r="F2509" s="1">
        <v>278</v>
      </c>
      <c r="G2509" s="1">
        <v>25000</v>
      </c>
      <c r="H2509" s="5">
        <f t="shared" si="57"/>
        <v>0</v>
      </c>
      <c r="I2509" s="6"/>
      <c r="J2509" s="43"/>
      <c r="K2509" s="51"/>
      <c r="L2509" s="86"/>
    </row>
    <row r="2510" spans="1:12" ht="15" x14ac:dyDescent="0.25">
      <c r="A2510" s="1">
        <v>2501</v>
      </c>
      <c r="B2510" s="1" t="s">
        <v>357</v>
      </c>
      <c r="C2510" s="32">
        <v>5370</v>
      </c>
      <c r="D2510" s="1">
        <v>30000</v>
      </c>
      <c r="E2510" s="1"/>
      <c r="F2510" s="1">
        <v>334</v>
      </c>
      <c r="G2510" s="1">
        <v>30000</v>
      </c>
      <c r="H2510" s="5">
        <f t="shared" si="57"/>
        <v>0</v>
      </c>
      <c r="I2510" s="6"/>
      <c r="J2510" s="43"/>
      <c r="K2510" s="51"/>
      <c r="L2510" s="86"/>
    </row>
    <row r="2511" spans="1:12" ht="15" x14ac:dyDescent="0.25">
      <c r="A2511" s="1">
        <v>2502</v>
      </c>
      <c r="B2511" s="1" t="s">
        <v>357</v>
      </c>
      <c r="C2511" s="32">
        <v>711</v>
      </c>
      <c r="D2511" s="1">
        <v>30000</v>
      </c>
      <c r="E2511" s="1"/>
      <c r="F2511" s="1">
        <v>334</v>
      </c>
      <c r="G2511" s="1">
        <v>30000</v>
      </c>
      <c r="H2511" s="5">
        <f t="shared" si="57"/>
        <v>0</v>
      </c>
      <c r="I2511" s="6"/>
      <c r="J2511" s="43"/>
      <c r="K2511" s="51"/>
      <c r="L2511" s="86"/>
    </row>
    <row r="2512" spans="1:12" ht="15" x14ac:dyDescent="0.25">
      <c r="A2512" s="1">
        <v>2503</v>
      </c>
      <c r="B2512" s="1" t="s">
        <v>357</v>
      </c>
      <c r="C2512" s="32">
        <v>6474</v>
      </c>
      <c r="D2512" s="1">
        <v>25000</v>
      </c>
      <c r="E2512" s="1"/>
      <c r="F2512" s="1">
        <v>278</v>
      </c>
      <c r="G2512" s="1">
        <v>25000</v>
      </c>
      <c r="H2512" s="5">
        <f t="shared" si="57"/>
        <v>0</v>
      </c>
      <c r="I2512" s="6"/>
      <c r="J2512" s="43"/>
      <c r="K2512" s="51"/>
      <c r="L2512" s="86"/>
    </row>
    <row r="2513" spans="1:12" ht="15" x14ac:dyDescent="0.25">
      <c r="A2513" s="1">
        <v>2504</v>
      </c>
      <c r="B2513" s="1" t="s">
        <v>357</v>
      </c>
      <c r="C2513" s="32">
        <v>7444</v>
      </c>
      <c r="D2513" s="1">
        <v>28000</v>
      </c>
      <c r="E2513" s="1"/>
      <c r="F2513" s="1">
        <v>308</v>
      </c>
      <c r="G2513" s="1">
        <v>28000</v>
      </c>
      <c r="H2513" s="5">
        <f t="shared" si="57"/>
        <v>0</v>
      </c>
      <c r="I2513" s="6"/>
      <c r="J2513" s="43"/>
      <c r="K2513" s="51"/>
      <c r="L2513" s="86"/>
    </row>
    <row r="2514" spans="1:12" ht="15" x14ac:dyDescent="0.25">
      <c r="A2514" s="1">
        <v>2505</v>
      </c>
      <c r="B2514" s="1" t="s">
        <v>357</v>
      </c>
      <c r="C2514" s="32">
        <v>117</v>
      </c>
      <c r="D2514" s="1">
        <v>25000</v>
      </c>
      <c r="E2514" s="1"/>
      <c r="F2514" s="1">
        <v>278</v>
      </c>
      <c r="G2514" s="1">
        <v>25000</v>
      </c>
      <c r="H2514" s="5">
        <f t="shared" si="57"/>
        <v>0</v>
      </c>
      <c r="I2514" s="6"/>
      <c r="J2514" s="43"/>
      <c r="K2514" s="51"/>
      <c r="L2514" s="86"/>
    </row>
    <row r="2515" spans="1:12" ht="15" x14ac:dyDescent="0.25">
      <c r="A2515" s="1">
        <v>2506</v>
      </c>
      <c r="B2515" s="1" t="s">
        <v>357</v>
      </c>
      <c r="C2515" s="32">
        <v>2749</v>
      </c>
      <c r="D2515" s="1">
        <v>25000</v>
      </c>
      <c r="E2515" s="1"/>
      <c r="F2515" s="1">
        <v>278</v>
      </c>
      <c r="G2515" s="1">
        <v>25000</v>
      </c>
      <c r="H2515" s="5">
        <f t="shared" si="57"/>
        <v>0</v>
      </c>
      <c r="I2515" s="6"/>
      <c r="J2515" s="43"/>
      <c r="K2515" s="51"/>
      <c r="L2515" s="86"/>
    </row>
    <row r="2516" spans="1:12" ht="15" x14ac:dyDescent="0.25">
      <c r="A2516" s="1">
        <v>2507</v>
      </c>
      <c r="B2516" s="1" t="s">
        <v>357</v>
      </c>
      <c r="C2516" s="32">
        <v>5869</v>
      </c>
      <c r="D2516" s="1">
        <v>25000</v>
      </c>
      <c r="E2516" s="1"/>
      <c r="F2516" s="1">
        <v>278</v>
      </c>
      <c r="G2516" s="1">
        <v>25000</v>
      </c>
      <c r="H2516" s="5">
        <f t="shared" si="57"/>
        <v>0</v>
      </c>
      <c r="I2516" s="6"/>
      <c r="J2516" s="43"/>
      <c r="K2516" s="51"/>
      <c r="L2516" s="86"/>
    </row>
    <row r="2517" spans="1:12" ht="15" x14ac:dyDescent="0.25">
      <c r="A2517" s="1">
        <v>2508</v>
      </c>
      <c r="B2517" s="1" t="s">
        <v>357</v>
      </c>
      <c r="C2517" s="32">
        <v>1215</v>
      </c>
      <c r="D2517" s="1">
        <v>22000</v>
      </c>
      <c r="E2517" s="1"/>
      <c r="F2517" s="1">
        <v>245</v>
      </c>
      <c r="G2517" s="1">
        <v>22000</v>
      </c>
      <c r="H2517" s="5">
        <f t="shared" si="57"/>
        <v>0</v>
      </c>
      <c r="I2517" s="6"/>
      <c r="J2517" s="43"/>
      <c r="K2517" s="51"/>
      <c r="L2517" s="86"/>
    </row>
    <row r="2518" spans="1:12" ht="15" x14ac:dyDescent="0.25">
      <c r="A2518" s="1">
        <v>2509</v>
      </c>
      <c r="B2518" s="1" t="s">
        <v>357</v>
      </c>
      <c r="C2518" s="32">
        <v>1138</v>
      </c>
      <c r="D2518" s="1">
        <v>22000</v>
      </c>
      <c r="E2518" s="1"/>
      <c r="F2518" s="1">
        <v>245</v>
      </c>
      <c r="G2518" s="1">
        <v>22000</v>
      </c>
      <c r="H2518" s="5">
        <f t="shared" si="57"/>
        <v>0</v>
      </c>
      <c r="I2518" s="6"/>
      <c r="J2518" s="43"/>
      <c r="K2518" s="51"/>
      <c r="L2518" s="86">
        <f>1483454-1454983</f>
        <v>28471</v>
      </c>
    </row>
    <row r="2519" spans="1:12" ht="15" x14ac:dyDescent="0.25">
      <c r="A2519" s="1">
        <v>2510</v>
      </c>
      <c r="B2519" s="1" t="s">
        <v>359</v>
      </c>
      <c r="C2519" s="32">
        <v>1266</v>
      </c>
      <c r="D2519" s="1">
        <v>13000</v>
      </c>
      <c r="E2519" s="1"/>
      <c r="F2519" s="1">
        <v>144</v>
      </c>
      <c r="G2519" s="1">
        <v>13000</v>
      </c>
      <c r="H2519" s="5">
        <f t="shared" si="57"/>
        <v>0</v>
      </c>
      <c r="I2519" s="6"/>
      <c r="J2519" s="43"/>
      <c r="K2519" s="51"/>
      <c r="L2519" s="86"/>
    </row>
    <row r="2520" spans="1:12" ht="15" x14ac:dyDescent="0.25">
      <c r="A2520" s="1">
        <v>2511</v>
      </c>
      <c r="B2520" s="1" t="s">
        <v>359</v>
      </c>
      <c r="C2520" s="32" t="s">
        <v>30</v>
      </c>
      <c r="D2520" s="1">
        <v>6550</v>
      </c>
      <c r="E2520" s="1"/>
      <c r="F2520" s="1">
        <v>72</v>
      </c>
      <c r="G2520" s="1">
        <v>6550</v>
      </c>
      <c r="H2520" s="5">
        <f t="shared" si="57"/>
        <v>0</v>
      </c>
      <c r="I2520" s="6"/>
      <c r="J2520" s="43"/>
      <c r="K2520" s="51"/>
      <c r="L2520" s="86"/>
    </row>
    <row r="2521" spans="1:12" ht="15" x14ac:dyDescent="0.25">
      <c r="A2521" s="1">
        <v>2512</v>
      </c>
      <c r="B2521" s="1" t="s">
        <v>359</v>
      </c>
      <c r="C2521" s="32" t="s">
        <v>30</v>
      </c>
      <c r="D2521" s="1">
        <v>5000</v>
      </c>
      <c r="E2521" s="1"/>
      <c r="F2521" s="1">
        <v>55.13</v>
      </c>
      <c r="G2521" s="1">
        <v>5000</v>
      </c>
      <c r="H2521" s="5">
        <f t="shared" si="57"/>
        <v>0</v>
      </c>
      <c r="I2521" s="6"/>
      <c r="J2521" s="43"/>
      <c r="K2521" s="51"/>
      <c r="L2521" s="86"/>
    </row>
    <row r="2522" spans="1:12" ht="15" x14ac:dyDescent="0.25">
      <c r="A2522" s="1">
        <v>2513</v>
      </c>
      <c r="B2522" s="1" t="s">
        <v>359</v>
      </c>
      <c r="C2522" s="32" t="s">
        <v>66</v>
      </c>
      <c r="D2522" s="1">
        <v>210</v>
      </c>
      <c r="E2522" s="1"/>
      <c r="F2522" s="1">
        <v>2.1</v>
      </c>
      <c r="G2522" s="1">
        <v>210</v>
      </c>
      <c r="H2522" s="5">
        <f t="shared" si="57"/>
        <v>0</v>
      </c>
      <c r="I2522" s="6"/>
      <c r="J2522" s="43"/>
      <c r="K2522" s="51"/>
      <c r="L2522" s="86"/>
    </row>
    <row r="2523" spans="1:12" ht="15" x14ac:dyDescent="0.25">
      <c r="A2523" s="1">
        <v>2514</v>
      </c>
      <c r="B2523" s="1" t="s">
        <v>359</v>
      </c>
      <c r="C2523" s="32">
        <v>5.1000000000000004E-3</v>
      </c>
      <c r="D2523" s="1">
        <v>16000</v>
      </c>
      <c r="E2523" s="1"/>
      <c r="F2523" s="1">
        <v>178</v>
      </c>
      <c r="G2523" s="1">
        <v>16000</v>
      </c>
      <c r="H2523" s="5">
        <f t="shared" si="57"/>
        <v>0</v>
      </c>
      <c r="I2523" s="6"/>
      <c r="J2523" s="43"/>
      <c r="K2523" s="51"/>
      <c r="L2523" s="86"/>
    </row>
    <row r="2524" spans="1:12" ht="15" x14ac:dyDescent="0.25">
      <c r="A2524" s="1">
        <v>2515</v>
      </c>
      <c r="B2524" s="1" t="s">
        <v>359</v>
      </c>
      <c r="C2524" s="32">
        <v>5151</v>
      </c>
      <c r="D2524" s="1">
        <v>16000</v>
      </c>
      <c r="E2524" s="1"/>
      <c r="F2524" s="1">
        <v>178</v>
      </c>
      <c r="G2524" s="1">
        <v>16000</v>
      </c>
      <c r="H2524" s="5">
        <f t="shared" si="57"/>
        <v>0</v>
      </c>
      <c r="I2524" s="6"/>
      <c r="J2524" s="43"/>
      <c r="K2524" s="51"/>
      <c r="L2524" s="86"/>
    </row>
    <row r="2525" spans="1:12" ht="15" x14ac:dyDescent="0.25">
      <c r="A2525" s="1">
        <v>2516</v>
      </c>
      <c r="B2525" s="1" t="s">
        <v>359</v>
      </c>
      <c r="C2525" s="32">
        <v>5252</v>
      </c>
      <c r="D2525" s="1">
        <v>16000</v>
      </c>
      <c r="E2525" s="1"/>
      <c r="F2525" s="1">
        <v>178</v>
      </c>
      <c r="G2525" s="1">
        <v>16000</v>
      </c>
      <c r="H2525" s="5">
        <f t="shared" si="57"/>
        <v>0</v>
      </c>
      <c r="I2525" s="6"/>
      <c r="J2525" s="43"/>
      <c r="K2525" s="51"/>
      <c r="L2525" s="86"/>
    </row>
    <row r="2526" spans="1:12" ht="15" x14ac:dyDescent="0.25">
      <c r="A2526" s="1">
        <v>2517</v>
      </c>
      <c r="B2526" s="1" t="s">
        <v>359</v>
      </c>
      <c r="C2526" s="32">
        <v>4235</v>
      </c>
      <c r="D2526" s="1">
        <v>24000</v>
      </c>
      <c r="E2526" s="1"/>
      <c r="F2526" s="1">
        <v>262</v>
      </c>
      <c r="G2526" s="1">
        <v>24000</v>
      </c>
      <c r="H2526" s="5">
        <f t="shared" si="57"/>
        <v>0</v>
      </c>
      <c r="I2526" s="6"/>
      <c r="J2526" s="43"/>
      <c r="K2526" s="51"/>
      <c r="L2526" s="86"/>
    </row>
    <row r="2527" spans="1:12" ht="15" x14ac:dyDescent="0.25">
      <c r="A2527" s="1">
        <v>2518</v>
      </c>
      <c r="B2527" s="1" t="s">
        <v>359</v>
      </c>
      <c r="C2527" s="32">
        <v>5366</v>
      </c>
      <c r="D2527" s="1">
        <v>30000</v>
      </c>
      <c r="E2527" s="1"/>
      <c r="F2527" s="1">
        <v>334</v>
      </c>
      <c r="G2527" s="1">
        <v>30000</v>
      </c>
      <c r="H2527" s="5">
        <f t="shared" si="57"/>
        <v>0</v>
      </c>
      <c r="I2527" s="6"/>
      <c r="J2527" s="43"/>
      <c r="K2527" s="51"/>
      <c r="L2527" s="86"/>
    </row>
    <row r="2528" spans="1:12" ht="15" x14ac:dyDescent="0.25">
      <c r="A2528" s="1">
        <v>2519</v>
      </c>
      <c r="B2528" s="1" t="s">
        <v>359</v>
      </c>
      <c r="C2528" s="32">
        <v>9903</v>
      </c>
      <c r="D2528" s="1">
        <v>15000</v>
      </c>
      <c r="E2528" s="1"/>
      <c r="F2528" s="1">
        <v>167</v>
      </c>
      <c r="G2528" s="1">
        <v>15000</v>
      </c>
      <c r="H2528" s="5">
        <f t="shared" si="57"/>
        <v>0</v>
      </c>
      <c r="I2528" s="6"/>
      <c r="J2528" s="43"/>
      <c r="K2528" s="51"/>
      <c r="L2528" s="86"/>
    </row>
    <row r="2529" spans="1:12" ht="15" x14ac:dyDescent="0.25">
      <c r="A2529" s="1">
        <v>2520</v>
      </c>
      <c r="B2529" s="1" t="s">
        <v>359</v>
      </c>
      <c r="C2529" s="32">
        <v>3177</v>
      </c>
      <c r="D2529" s="1">
        <v>25000</v>
      </c>
      <c r="E2529" s="1"/>
      <c r="F2529" s="1">
        <v>278</v>
      </c>
      <c r="G2529" s="1">
        <v>25000</v>
      </c>
      <c r="H2529" s="5">
        <f t="shared" si="57"/>
        <v>0</v>
      </c>
      <c r="I2529" s="6"/>
      <c r="J2529" s="43"/>
      <c r="K2529" s="51"/>
      <c r="L2529" s="86"/>
    </row>
    <row r="2530" spans="1:12" ht="15" x14ac:dyDescent="0.25">
      <c r="A2530" s="1">
        <v>2521</v>
      </c>
      <c r="B2530" s="1" t="s">
        <v>359</v>
      </c>
      <c r="C2530" s="32">
        <v>6768</v>
      </c>
      <c r="D2530" s="1">
        <v>22000</v>
      </c>
      <c r="E2530" s="1"/>
      <c r="F2530" s="1">
        <v>245</v>
      </c>
      <c r="G2530" s="1">
        <v>22000</v>
      </c>
      <c r="H2530" s="5">
        <f t="shared" si="57"/>
        <v>0</v>
      </c>
      <c r="I2530" s="6"/>
      <c r="J2530" s="43"/>
      <c r="K2530" s="51"/>
      <c r="L2530" s="86">
        <f>1375416-1343743</f>
        <v>31673</v>
      </c>
    </row>
    <row r="2531" spans="1:12" ht="15" x14ac:dyDescent="0.25">
      <c r="A2531" s="1">
        <v>2522</v>
      </c>
      <c r="B2531" s="1" t="s">
        <v>361</v>
      </c>
      <c r="C2531" s="32">
        <v>9398</v>
      </c>
      <c r="D2531" s="1">
        <v>17000</v>
      </c>
      <c r="E2531" s="1"/>
      <c r="F2531" s="1">
        <v>178</v>
      </c>
      <c r="G2531" s="1">
        <v>17000</v>
      </c>
      <c r="H2531" s="5">
        <f t="shared" si="57"/>
        <v>0</v>
      </c>
      <c r="I2531" s="6"/>
      <c r="J2531" s="43"/>
      <c r="K2531" s="51"/>
      <c r="L2531" s="86"/>
    </row>
    <row r="2532" spans="1:12" ht="15" x14ac:dyDescent="0.25">
      <c r="A2532" s="1">
        <v>2523</v>
      </c>
      <c r="B2532" s="1" t="s">
        <v>361</v>
      </c>
      <c r="C2532" s="32">
        <v>9998</v>
      </c>
      <c r="D2532" s="1">
        <v>17000</v>
      </c>
      <c r="E2532" s="1"/>
      <c r="F2532" s="1">
        <v>178</v>
      </c>
      <c r="G2532" s="1">
        <v>17000</v>
      </c>
      <c r="H2532" s="5">
        <f t="shared" si="57"/>
        <v>0</v>
      </c>
      <c r="I2532" s="6"/>
      <c r="J2532" s="43"/>
      <c r="K2532" s="51"/>
      <c r="L2532" s="86"/>
    </row>
    <row r="2533" spans="1:12" ht="15" x14ac:dyDescent="0.25">
      <c r="A2533" s="1">
        <v>2524</v>
      </c>
      <c r="B2533" s="1" t="s">
        <v>361</v>
      </c>
      <c r="C2533" s="32">
        <v>8325</v>
      </c>
      <c r="D2533" s="1">
        <v>17000</v>
      </c>
      <c r="E2533" s="1"/>
      <c r="F2533" s="1">
        <v>178</v>
      </c>
      <c r="G2533" s="1">
        <v>17000</v>
      </c>
      <c r="H2533" s="5">
        <f t="shared" si="57"/>
        <v>0</v>
      </c>
      <c r="I2533" s="6"/>
      <c r="J2533" s="43"/>
      <c r="K2533" s="51"/>
      <c r="L2533" s="86"/>
    </row>
    <row r="2534" spans="1:12" ht="15" x14ac:dyDescent="0.25">
      <c r="A2534" s="1">
        <v>2525</v>
      </c>
      <c r="B2534" s="1" t="s">
        <v>361</v>
      </c>
      <c r="C2534" s="32" t="s">
        <v>30</v>
      </c>
      <c r="D2534" s="1">
        <v>4000</v>
      </c>
      <c r="E2534" s="1"/>
      <c r="F2534" s="1">
        <v>44</v>
      </c>
      <c r="G2534" s="1">
        <v>4000</v>
      </c>
      <c r="H2534" s="5">
        <f t="shared" si="57"/>
        <v>0</v>
      </c>
      <c r="I2534" s="6"/>
      <c r="J2534" s="43"/>
      <c r="K2534" s="51"/>
      <c r="L2534" s="86"/>
    </row>
    <row r="2535" spans="1:12" ht="15" x14ac:dyDescent="0.25">
      <c r="A2535" s="1">
        <v>2526</v>
      </c>
      <c r="B2535" s="1" t="s">
        <v>361</v>
      </c>
      <c r="C2535" s="32">
        <v>8338</v>
      </c>
      <c r="D2535" s="1">
        <v>18000</v>
      </c>
      <c r="E2535" s="1"/>
      <c r="F2535" s="1">
        <v>200</v>
      </c>
      <c r="G2535" s="1">
        <v>18000</v>
      </c>
      <c r="H2535" s="5">
        <f t="shared" si="57"/>
        <v>0</v>
      </c>
      <c r="I2535" s="6"/>
      <c r="J2535" s="43"/>
      <c r="K2535" s="51"/>
      <c r="L2535" s="86"/>
    </row>
    <row r="2536" spans="1:12" ht="15" x14ac:dyDescent="0.25">
      <c r="A2536" s="1">
        <v>2527</v>
      </c>
      <c r="B2536" s="1" t="s">
        <v>361</v>
      </c>
      <c r="C2536" s="32">
        <v>1222</v>
      </c>
      <c r="D2536" s="1">
        <v>20000</v>
      </c>
      <c r="E2536" s="1"/>
      <c r="F2536" s="1">
        <v>222.82</v>
      </c>
      <c r="G2536" s="1">
        <v>20000</v>
      </c>
      <c r="H2536" s="5">
        <f t="shared" si="57"/>
        <v>0</v>
      </c>
      <c r="I2536" s="6"/>
      <c r="J2536" s="43"/>
      <c r="K2536" s="51"/>
      <c r="L2536" s="86"/>
    </row>
    <row r="2537" spans="1:12" ht="15" x14ac:dyDescent="0.25">
      <c r="A2537" s="1">
        <v>2528</v>
      </c>
      <c r="B2537" s="1" t="s">
        <v>361</v>
      </c>
      <c r="C2537" s="32">
        <v>4553</v>
      </c>
      <c r="D2537" s="1">
        <v>17000</v>
      </c>
      <c r="E2537" s="1"/>
      <c r="F2537" s="1">
        <v>178</v>
      </c>
      <c r="G2537" s="1">
        <v>17000</v>
      </c>
      <c r="H2537" s="5">
        <f t="shared" si="57"/>
        <v>0</v>
      </c>
      <c r="I2537" s="6"/>
      <c r="J2537" s="43"/>
      <c r="K2537" s="51"/>
      <c r="L2537" s="86">
        <f>1285416-1253743</f>
        <v>31673</v>
      </c>
    </row>
    <row r="2538" spans="1:12" ht="15" x14ac:dyDescent="0.25">
      <c r="A2538" s="1">
        <v>2529</v>
      </c>
      <c r="B2538" s="1" t="s">
        <v>362</v>
      </c>
      <c r="C2538" s="32">
        <v>6711</v>
      </c>
      <c r="D2538" s="1">
        <v>18000</v>
      </c>
      <c r="E2538" s="1"/>
      <c r="F2538" s="1">
        <v>189</v>
      </c>
      <c r="G2538" s="1">
        <v>18000</v>
      </c>
      <c r="H2538" s="5">
        <f t="shared" si="57"/>
        <v>0</v>
      </c>
      <c r="I2538" s="6"/>
      <c r="J2538" s="43"/>
      <c r="K2538" s="51"/>
      <c r="L2538" s="86"/>
    </row>
    <row r="2539" spans="1:12" ht="15" x14ac:dyDescent="0.25">
      <c r="A2539" s="1">
        <v>2530</v>
      </c>
      <c r="B2539" s="1" t="s">
        <v>362</v>
      </c>
      <c r="C2539" s="32" t="s">
        <v>63</v>
      </c>
      <c r="D2539" s="1">
        <v>2000</v>
      </c>
      <c r="E2539" s="1"/>
      <c r="F2539" s="1">
        <v>22.28</v>
      </c>
      <c r="G2539" s="1">
        <v>2000</v>
      </c>
      <c r="H2539" s="5">
        <f t="shared" si="57"/>
        <v>0</v>
      </c>
      <c r="I2539" s="6"/>
      <c r="J2539" s="43"/>
      <c r="K2539" s="51"/>
      <c r="L2539" s="86"/>
    </row>
    <row r="2540" spans="1:12" ht="15" x14ac:dyDescent="0.25">
      <c r="A2540" s="1">
        <v>2531</v>
      </c>
      <c r="B2540" s="1" t="s">
        <v>362</v>
      </c>
      <c r="C2540" s="32">
        <v>5281</v>
      </c>
      <c r="D2540" s="1">
        <v>20000</v>
      </c>
      <c r="E2540" s="1"/>
      <c r="F2540" s="1">
        <v>204</v>
      </c>
      <c r="G2540" s="1">
        <v>20000</v>
      </c>
      <c r="H2540" s="5">
        <f t="shared" si="57"/>
        <v>0</v>
      </c>
      <c r="I2540" s="6"/>
      <c r="J2540" s="43"/>
      <c r="K2540" s="51"/>
      <c r="L2540" s="86"/>
    </row>
    <row r="2541" spans="1:12" ht="15" x14ac:dyDescent="0.25">
      <c r="A2541" s="1">
        <v>2532</v>
      </c>
      <c r="B2541" s="1" t="s">
        <v>362</v>
      </c>
      <c r="C2541" s="32">
        <v>5504</v>
      </c>
      <c r="D2541" s="1">
        <v>12000</v>
      </c>
      <c r="E2541" s="1"/>
      <c r="F2541" s="1">
        <v>133</v>
      </c>
      <c r="G2541" s="1">
        <v>12000</v>
      </c>
      <c r="H2541" s="5">
        <f t="shared" si="57"/>
        <v>0</v>
      </c>
      <c r="I2541" s="6"/>
      <c r="J2541" s="43"/>
      <c r="K2541" s="51"/>
      <c r="L2541" s="86"/>
    </row>
    <row r="2542" spans="1:12" ht="15" x14ac:dyDescent="0.25">
      <c r="A2542" s="1">
        <v>2533</v>
      </c>
      <c r="B2542" s="1" t="s">
        <v>362</v>
      </c>
      <c r="C2542" s="32">
        <v>7601</v>
      </c>
      <c r="D2542" s="1">
        <v>24000</v>
      </c>
      <c r="E2542" s="1"/>
      <c r="F2542" s="1">
        <v>245</v>
      </c>
      <c r="G2542" s="1">
        <v>24000</v>
      </c>
      <c r="H2542" s="5">
        <f t="shared" si="57"/>
        <v>0</v>
      </c>
      <c r="I2542" s="6"/>
      <c r="J2542" s="43"/>
      <c r="K2542" s="51"/>
      <c r="L2542" s="86"/>
    </row>
    <row r="2543" spans="1:12" ht="15" x14ac:dyDescent="0.25">
      <c r="A2543" s="1">
        <v>2534</v>
      </c>
      <c r="B2543" s="1" t="s">
        <v>362</v>
      </c>
      <c r="C2543" s="32">
        <v>7501</v>
      </c>
      <c r="D2543" s="1">
        <v>24000</v>
      </c>
      <c r="E2543" s="1"/>
      <c r="F2543" s="1">
        <v>245</v>
      </c>
      <c r="G2543" s="1">
        <v>24000</v>
      </c>
      <c r="H2543" s="5">
        <f t="shared" si="57"/>
        <v>0</v>
      </c>
      <c r="I2543" s="6"/>
      <c r="J2543" s="43"/>
      <c r="K2543" s="51"/>
      <c r="L2543" s="86"/>
    </row>
    <row r="2544" spans="1:12" ht="15" x14ac:dyDescent="0.25">
      <c r="A2544" s="1">
        <v>2535</v>
      </c>
      <c r="B2544" s="1" t="s">
        <v>362</v>
      </c>
      <c r="C2544" s="32">
        <v>1855</v>
      </c>
      <c r="D2544" s="1">
        <v>28000</v>
      </c>
      <c r="E2544" s="1"/>
      <c r="F2544" s="1">
        <v>311</v>
      </c>
      <c r="G2544" s="1">
        <v>28000</v>
      </c>
      <c r="H2544" s="5">
        <f t="shared" si="57"/>
        <v>0</v>
      </c>
      <c r="I2544" s="6"/>
      <c r="J2544" s="43"/>
      <c r="K2544" s="51"/>
      <c r="L2544" s="86"/>
    </row>
    <row r="2545" spans="1:12" ht="15" x14ac:dyDescent="0.25">
      <c r="A2545" s="1">
        <v>2536</v>
      </c>
      <c r="B2545" s="1" t="s">
        <v>362</v>
      </c>
      <c r="C2545" s="32">
        <v>3754</v>
      </c>
      <c r="D2545" s="1">
        <v>9000</v>
      </c>
      <c r="E2545" s="1"/>
      <c r="F2545" s="1">
        <v>100.27</v>
      </c>
      <c r="G2545" s="1">
        <v>9000</v>
      </c>
      <c r="H2545" s="5">
        <f t="shared" si="57"/>
        <v>0</v>
      </c>
      <c r="I2545" s="6"/>
      <c r="J2545" s="43"/>
      <c r="K2545" s="51"/>
      <c r="L2545" s="86"/>
    </row>
    <row r="2546" spans="1:12" ht="15" x14ac:dyDescent="0.25">
      <c r="A2546" s="1">
        <v>2537</v>
      </c>
      <c r="B2546" s="1" t="s">
        <v>362</v>
      </c>
      <c r="C2546" s="32">
        <v>2705</v>
      </c>
      <c r="D2546" s="1">
        <v>12000</v>
      </c>
      <c r="E2546" s="1"/>
      <c r="F2546" s="1">
        <v>133</v>
      </c>
      <c r="G2546" s="1">
        <v>12000</v>
      </c>
      <c r="H2546" s="5">
        <f t="shared" si="57"/>
        <v>0</v>
      </c>
      <c r="I2546" s="6"/>
      <c r="J2546" s="43"/>
      <c r="K2546" s="51"/>
      <c r="L2546" s="86">
        <f>1248680-1202743</f>
        <v>45937</v>
      </c>
    </row>
    <row r="2547" spans="1:12" ht="15" x14ac:dyDescent="0.25">
      <c r="A2547" s="1">
        <v>2538</v>
      </c>
      <c r="B2547" s="1" t="s">
        <v>363</v>
      </c>
      <c r="C2547" s="32">
        <v>5.1999999999999998E-3</v>
      </c>
      <c r="D2547" s="1">
        <v>16000</v>
      </c>
      <c r="E2547" s="1"/>
      <c r="F2547" s="1">
        <v>178</v>
      </c>
      <c r="G2547" s="1">
        <v>16000</v>
      </c>
      <c r="H2547" s="5">
        <f t="shared" si="57"/>
        <v>0</v>
      </c>
      <c r="I2547" s="6"/>
      <c r="J2547" s="43"/>
      <c r="K2547" s="51"/>
      <c r="L2547" s="86"/>
    </row>
    <row r="2548" spans="1:12" ht="15" x14ac:dyDescent="0.25">
      <c r="A2548" s="1">
        <v>2539</v>
      </c>
      <c r="B2548" s="1" t="s">
        <v>363</v>
      </c>
      <c r="C2548" s="32" t="s">
        <v>66</v>
      </c>
      <c r="D2548" s="1">
        <v>210</v>
      </c>
      <c r="E2548" s="1"/>
      <c r="F2548" s="1">
        <v>2.1</v>
      </c>
      <c r="G2548" s="1">
        <v>210</v>
      </c>
      <c r="H2548" s="5">
        <f t="shared" si="57"/>
        <v>0</v>
      </c>
      <c r="I2548" s="6"/>
      <c r="J2548" s="43"/>
      <c r="K2548" s="51"/>
      <c r="L2548" s="86"/>
    </row>
    <row r="2549" spans="1:12" ht="15" x14ac:dyDescent="0.25">
      <c r="A2549" s="1">
        <v>2540</v>
      </c>
      <c r="B2549" s="1" t="s">
        <v>363</v>
      </c>
      <c r="C2549" s="32" t="s">
        <v>30</v>
      </c>
      <c r="D2549" s="1">
        <v>5000</v>
      </c>
      <c r="E2549" s="1"/>
      <c r="F2549" s="1">
        <v>55.13</v>
      </c>
      <c r="G2549" s="1">
        <v>5000</v>
      </c>
      <c r="H2549" s="5">
        <f t="shared" si="57"/>
        <v>0</v>
      </c>
      <c r="I2549" s="6"/>
      <c r="J2549" s="43"/>
      <c r="K2549" s="51"/>
      <c r="L2549" s="86"/>
    </row>
    <row r="2550" spans="1:12" ht="15" x14ac:dyDescent="0.25">
      <c r="A2550" s="1">
        <v>2541</v>
      </c>
      <c r="B2550" s="1" t="s">
        <v>363</v>
      </c>
      <c r="C2550" s="32">
        <v>4371</v>
      </c>
      <c r="D2550" s="1">
        <v>12000</v>
      </c>
      <c r="E2550" s="1"/>
      <c r="F2550" s="1">
        <v>133</v>
      </c>
      <c r="G2550" s="1">
        <v>12000</v>
      </c>
      <c r="H2550" s="5">
        <f t="shared" si="57"/>
        <v>0</v>
      </c>
      <c r="I2550" s="6"/>
      <c r="J2550" s="43"/>
      <c r="K2550" s="51"/>
      <c r="L2550" s="86"/>
    </row>
    <row r="2551" spans="1:12" ht="15" x14ac:dyDescent="0.25">
      <c r="A2551" s="1">
        <v>2542</v>
      </c>
      <c r="B2551" s="1" t="s">
        <v>363</v>
      </c>
      <c r="C2551" s="32">
        <v>1398</v>
      </c>
      <c r="D2551" s="1">
        <v>19000</v>
      </c>
      <c r="E2551" s="1"/>
      <c r="F2551" s="1">
        <v>211</v>
      </c>
      <c r="G2551" s="1">
        <v>19000</v>
      </c>
      <c r="H2551" s="5">
        <f t="shared" si="57"/>
        <v>0</v>
      </c>
      <c r="I2551" s="6"/>
      <c r="J2551" s="43"/>
      <c r="K2551" s="51"/>
      <c r="L2551" s="86"/>
    </row>
    <row r="2552" spans="1:12" ht="15" x14ac:dyDescent="0.25">
      <c r="A2552" s="1">
        <v>2543</v>
      </c>
      <c r="B2552" s="1" t="s">
        <v>363</v>
      </c>
      <c r="C2552" s="32">
        <v>1593</v>
      </c>
      <c r="D2552" s="1">
        <v>12000</v>
      </c>
      <c r="E2552" s="1"/>
      <c r="F2552" s="1">
        <v>133</v>
      </c>
      <c r="G2552" s="1">
        <v>12000</v>
      </c>
      <c r="H2552" s="5">
        <f t="shared" si="57"/>
        <v>0</v>
      </c>
      <c r="I2552" s="6"/>
      <c r="J2552" s="43"/>
      <c r="K2552" s="51"/>
      <c r="L2552" s="86"/>
    </row>
    <row r="2553" spans="1:12" ht="15" x14ac:dyDescent="0.25">
      <c r="A2553" s="1">
        <v>2544</v>
      </c>
      <c r="B2553" s="1" t="s">
        <v>363</v>
      </c>
      <c r="C2553" s="32">
        <v>2021</v>
      </c>
      <c r="D2553" s="1">
        <v>28000</v>
      </c>
      <c r="E2553" s="1"/>
      <c r="F2553" s="1">
        <v>311</v>
      </c>
      <c r="G2553" s="1">
        <v>28000</v>
      </c>
      <c r="H2553" s="5">
        <f t="shared" si="57"/>
        <v>0</v>
      </c>
      <c r="I2553" s="6"/>
      <c r="J2553" s="43"/>
      <c r="K2553" s="51"/>
      <c r="L2553" s="86"/>
    </row>
    <row r="2554" spans="1:12" ht="15" x14ac:dyDescent="0.25">
      <c r="A2554" s="1">
        <v>2545</v>
      </c>
      <c r="B2554" s="1" t="s">
        <v>363</v>
      </c>
      <c r="C2554" s="32">
        <v>1436</v>
      </c>
      <c r="D2554" s="1">
        <v>25000</v>
      </c>
      <c r="E2554" s="1"/>
      <c r="F2554" s="1">
        <v>278</v>
      </c>
      <c r="G2554" s="1">
        <v>25000</v>
      </c>
      <c r="H2554" s="5">
        <f t="shared" si="57"/>
        <v>0</v>
      </c>
      <c r="I2554" s="6"/>
      <c r="J2554" s="43"/>
      <c r="K2554" s="51"/>
      <c r="L2554" s="86"/>
    </row>
    <row r="2555" spans="1:12" ht="15" x14ac:dyDescent="0.25">
      <c r="A2555" s="1">
        <v>2546</v>
      </c>
      <c r="B2555" s="1" t="s">
        <v>363</v>
      </c>
      <c r="C2555" s="32">
        <v>3023</v>
      </c>
      <c r="D2555" s="1">
        <v>15530</v>
      </c>
      <c r="E2555" s="1"/>
      <c r="F2555" s="1">
        <v>161</v>
      </c>
      <c r="G2555" s="1">
        <v>15530</v>
      </c>
      <c r="H2555" s="5">
        <f t="shared" si="57"/>
        <v>0</v>
      </c>
      <c r="I2555" s="6"/>
      <c r="J2555" s="43"/>
      <c r="K2555" s="51"/>
      <c r="L2555" s="86"/>
    </row>
    <row r="2556" spans="1:12" ht="15" x14ac:dyDescent="0.25">
      <c r="A2556" s="1">
        <v>2547</v>
      </c>
      <c r="B2556" s="1" t="s">
        <v>363</v>
      </c>
      <c r="C2556" s="32">
        <v>7.8100000000000003E-2</v>
      </c>
      <c r="D2556" s="1">
        <v>32000</v>
      </c>
      <c r="E2556" s="1"/>
      <c r="F2556" s="1">
        <v>356</v>
      </c>
      <c r="G2556" s="1">
        <v>32000</v>
      </c>
      <c r="H2556" s="5">
        <f t="shared" si="57"/>
        <v>0</v>
      </c>
      <c r="I2556" s="6"/>
      <c r="J2556" s="43"/>
      <c r="K2556" s="51"/>
      <c r="L2556" s="86">
        <f>1216423-1192483</f>
        <v>23940</v>
      </c>
    </row>
    <row r="2557" spans="1:12" ht="15" x14ac:dyDescent="0.25">
      <c r="A2557" s="1">
        <v>2548</v>
      </c>
      <c r="B2557" s="1" t="s">
        <v>366</v>
      </c>
      <c r="C2557" s="32">
        <v>7086</v>
      </c>
      <c r="D2557" s="1">
        <v>14000</v>
      </c>
      <c r="E2557" s="1"/>
      <c r="F2557" s="1">
        <v>155</v>
      </c>
      <c r="G2557" s="1">
        <v>14000</v>
      </c>
      <c r="H2557" s="5">
        <f t="shared" si="57"/>
        <v>0</v>
      </c>
      <c r="I2557" s="6"/>
      <c r="J2557" s="43"/>
      <c r="K2557" s="51"/>
      <c r="L2557" s="86"/>
    </row>
    <row r="2558" spans="1:12" ht="15" x14ac:dyDescent="0.25">
      <c r="A2558" s="1">
        <v>2549</v>
      </c>
      <c r="B2558" s="1" t="s">
        <v>366</v>
      </c>
      <c r="C2558" s="32">
        <v>2705</v>
      </c>
      <c r="D2558" s="1">
        <v>12000</v>
      </c>
      <c r="E2558" s="1"/>
      <c r="F2558" s="1">
        <v>133</v>
      </c>
      <c r="G2558" s="1">
        <v>12000</v>
      </c>
      <c r="H2558" s="5">
        <f t="shared" si="57"/>
        <v>0</v>
      </c>
      <c r="I2558" s="6"/>
      <c r="J2558" s="43"/>
      <c r="K2558" s="51"/>
      <c r="L2558" s="86"/>
    </row>
    <row r="2559" spans="1:12" ht="15" x14ac:dyDescent="0.25">
      <c r="A2559" s="1">
        <v>2550</v>
      </c>
      <c r="B2559" s="1" t="s">
        <v>366</v>
      </c>
      <c r="C2559" s="32" t="s">
        <v>63</v>
      </c>
      <c r="D2559" s="1">
        <v>2000</v>
      </c>
      <c r="E2559" s="1"/>
      <c r="F2559" s="1">
        <v>22.28</v>
      </c>
      <c r="G2559" s="1">
        <v>2000</v>
      </c>
      <c r="H2559" s="5">
        <f t="shared" si="57"/>
        <v>0</v>
      </c>
      <c r="I2559" s="6"/>
      <c r="J2559" s="43"/>
      <c r="K2559" s="51"/>
      <c r="L2559" s="86"/>
    </row>
    <row r="2560" spans="1:12" ht="15" x14ac:dyDescent="0.25">
      <c r="A2560" s="1">
        <v>2551</v>
      </c>
      <c r="B2560" s="1" t="s">
        <v>366</v>
      </c>
      <c r="C2560" s="32" t="s">
        <v>30</v>
      </c>
      <c r="D2560" s="1">
        <v>4500</v>
      </c>
      <c r="E2560" s="1"/>
      <c r="F2560" s="1">
        <v>50.13</v>
      </c>
      <c r="G2560" s="1">
        <v>4500</v>
      </c>
      <c r="H2560" s="5">
        <f t="shared" si="57"/>
        <v>0</v>
      </c>
      <c r="I2560" s="6"/>
      <c r="J2560" s="43"/>
      <c r="K2560" s="51"/>
      <c r="L2560" s="86"/>
    </row>
    <row r="2561" spans="1:12" ht="15" x14ac:dyDescent="0.25">
      <c r="A2561" s="1">
        <v>2552</v>
      </c>
      <c r="B2561" s="1" t="s">
        <v>366</v>
      </c>
      <c r="C2561" s="32">
        <v>1266</v>
      </c>
      <c r="D2561" s="1">
        <v>13000</v>
      </c>
      <c r="E2561" s="1"/>
      <c r="F2561" s="1">
        <v>144</v>
      </c>
      <c r="G2561" s="1">
        <v>13000</v>
      </c>
      <c r="H2561" s="5">
        <f t="shared" si="57"/>
        <v>0</v>
      </c>
      <c r="I2561" s="6"/>
      <c r="J2561" s="43"/>
      <c r="K2561" s="51"/>
      <c r="L2561" s="86"/>
    </row>
    <row r="2562" spans="1:12" ht="15" x14ac:dyDescent="0.25">
      <c r="A2562" s="1">
        <v>2553</v>
      </c>
      <c r="B2562" s="1" t="s">
        <v>366</v>
      </c>
      <c r="C2562" s="32">
        <v>6924</v>
      </c>
      <c r="D2562" s="1">
        <v>20000</v>
      </c>
      <c r="E2562" s="1"/>
      <c r="F2562" s="1">
        <v>222.82</v>
      </c>
      <c r="G2562" s="1">
        <v>20000</v>
      </c>
      <c r="H2562" s="5">
        <f t="shared" si="57"/>
        <v>0</v>
      </c>
      <c r="I2562" s="6"/>
      <c r="J2562" s="43"/>
      <c r="K2562" s="51"/>
      <c r="L2562" s="86"/>
    </row>
    <row r="2563" spans="1:12" ht="15" x14ac:dyDescent="0.25">
      <c r="A2563" s="1">
        <v>2554</v>
      </c>
      <c r="B2563" s="1" t="s">
        <v>366</v>
      </c>
      <c r="C2563" s="32">
        <v>5596</v>
      </c>
      <c r="D2563" s="1">
        <v>5000</v>
      </c>
      <c r="E2563" s="1"/>
      <c r="F2563" s="1">
        <v>55.7</v>
      </c>
      <c r="G2563" s="1">
        <v>5000</v>
      </c>
      <c r="H2563" s="5">
        <f t="shared" si="57"/>
        <v>0</v>
      </c>
      <c r="I2563" s="6"/>
      <c r="J2563" s="43"/>
      <c r="K2563" s="51"/>
      <c r="L2563" s="86"/>
    </row>
    <row r="2564" spans="1:12" ht="15" x14ac:dyDescent="0.25">
      <c r="A2564" s="1">
        <v>2555</v>
      </c>
      <c r="B2564" s="1" t="s">
        <v>366</v>
      </c>
      <c r="C2564" s="32">
        <v>1733</v>
      </c>
      <c r="D2564" s="1">
        <v>15000</v>
      </c>
      <c r="E2564" s="1"/>
      <c r="F2564" s="1">
        <v>133</v>
      </c>
      <c r="G2564" s="1">
        <v>15000</v>
      </c>
      <c r="H2564" s="5">
        <f t="shared" si="57"/>
        <v>0</v>
      </c>
      <c r="I2564" s="6"/>
      <c r="J2564" s="43"/>
      <c r="K2564" s="51"/>
      <c r="L2564" s="86"/>
    </row>
    <row r="2565" spans="1:12" ht="15" x14ac:dyDescent="0.25">
      <c r="A2565" s="1">
        <v>2556</v>
      </c>
      <c r="B2565" s="1" t="s">
        <v>366</v>
      </c>
      <c r="C2565" s="32">
        <v>9544</v>
      </c>
      <c r="D2565" s="1">
        <v>12000</v>
      </c>
      <c r="E2565" s="1"/>
      <c r="F2565" s="1">
        <v>133</v>
      </c>
      <c r="G2565" s="1">
        <v>12000</v>
      </c>
      <c r="H2565" s="5">
        <f t="shared" si="57"/>
        <v>0</v>
      </c>
      <c r="I2565" s="6"/>
      <c r="J2565" s="43"/>
      <c r="K2565" s="51"/>
      <c r="L2565" s="86"/>
    </row>
    <row r="2566" spans="1:12" ht="15" x14ac:dyDescent="0.25">
      <c r="A2566" s="1">
        <v>2557</v>
      </c>
      <c r="B2566" s="1" t="s">
        <v>366</v>
      </c>
      <c r="C2566" s="32">
        <v>3558</v>
      </c>
      <c r="D2566" s="1">
        <v>27000</v>
      </c>
      <c r="E2566" s="1"/>
      <c r="F2566" s="1">
        <v>300.8</v>
      </c>
      <c r="G2566" s="1">
        <v>27000</v>
      </c>
      <c r="H2566" s="5">
        <f t="shared" si="57"/>
        <v>0</v>
      </c>
      <c r="I2566" s="6"/>
      <c r="J2566" s="43"/>
      <c r="K2566" s="51"/>
      <c r="L2566" s="86"/>
    </row>
    <row r="2567" spans="1:12" ht="15" x14ac:dyDescent="0.25">
      <c r="A2567" s="1">
        <v>2558</v>
      </c>
      <c r="B2567" s="1" t="s">
        <v>366</v>
      </c>
      <c r="C2567" s="32">
        <v>5485</v>
      </c>
      <c r="D2567" s="1">
        <v>28000</v>
      </c>
      <c r="E2567" s="1"/>
      <c r="F2567" s="1">
        <v>311</v>
      </c>
      <c r="G2567" s="1">
        <v>28000</v>
      </c>
      <c r="H2567" s="5">
        <f t="shared" si="57"/>
        <v>0</v>
      </c>
      <c r="I2567" s="6"/>
      <c r="J2567" s="43"/>
      <c r="K2567" s="51"/>
      <c r="L2567" s="86"/>
    </row>
    <row r="2568" spans="1:12" ht="15" x14ac:dyDescent="0.25">
      <c r="A2568" s="1">
        <v>2559</v>
      </c>
      <c r="B2568" s="1" t="s">
        <v>366</v>
      </c>
      <c r="C2568" s="32">
        <v>5485</v>
      </c>
      <c r="D2568" s="1">
        <v>28000</v>
      </c>
      <c r="E2568" s="1"/>
      <c r="F2568" s="1">
        <v>311</v>
      </c>
      <c r="G2568" s="1">
        <v>28000</v>
      </c>
      <c r="H2568" s="5">
        <f t="shared" si="57"/>
        <v>0</v>
      </c>
      <c r="I2568" s="6"/>
      <c r="J2568" s="43"/>
      <c r="K2568" s="51"/>
      <c r="L2568" s="86"/>
    </row>
    <row r="2569" spans="1:12" ht="15" x14ac:dyDescent="0.25">
      <c r="A2569" s="1">
        <v>2560</v>
      </c>
      <c r="B2569" s="1" t="s">
        <v>366</v>
      </c>
      <c r="C2569" s="32">
        <v>5035</v>
      </c>
      <c r="D2569" s="1">
        <v>25000</v>
      </c>
      <c r="E2569" s="1"/>
      <c r="F2569" s="1">
        <v>278.22000000000003</v>
      </c>
      <c r="G2569" s="1">
        <v>25000</v>
      </c>
      <c r="H2569" s="5">
        <f t="shared" si="57"/>
        <v>0</v>
      </c>
      <c r="I2569" s="6"/>
      <c r="J2569" s="43"/>
      <c r="K2569" s="51"/>
      <c r="L2569" s="86"/>
    </row>
    <row r="2570" spans="1:12" ht="15" x14ac:dyDescent="0.25">
      <c r="A2570" s="1">
        <v>2561</v>
      </c>
      <c r="B2570" s="1" t="s">
        <v>366</v>
      </c>
      <c r="C2570" s="32">
        <v>4501</v>
      </c>
      <c r="D2570" s="1">
        <v>25000</v>
      </c>
      <c r="E2570" s="1"/>
      <c r="F2570" s="1">
        <v>278.22000000000003</v>
      </c>
      <c r="G2570" s="1">
        <v>25000</v>
      </c>
      <c r="H2570" s="5">
        <f t="shared" si="57"/>
        <v>0</v>
      </c>
      <c r="I2570" s="6"/>
      <c r="J2570" s="43"/>
      <c r="K2570" s="51"/>
      <c r="L2570" s="86"/>
    </row>
    <row r="2571" spans="1:12" ht="15" x14ac:dyDescent="0.25">
      <c r="A2571" s="1">
        <v>2562</v>
      </c>
      <c r="B2571" s="1" t="s">
        <v>366</v>
      </c>
      <c r="C2571" s="32">
        <v>2182</v>
      </c>
      <c r="D2571" s="1">
        <v>25000</v>
      </c>
      <c r="E2571" s="1"/>
      <c r="F2571" s="1">
        <v>278.22000000000003</v>
      </c>
      <c r="G2571" s="1">
        <v>25000</v>
      </c>
      <c r="H2571" s="5">
        <f t="shared" si="57"/>
        <v>0</v>
      </c>
      <c r="I2571" s="6"/>
      <c r="J2571" s="43"/>
      <c r="K2571" s="51"/>
      <c r="L2571" s="86"/>
    </row>
    <row r="2572" spans="1:12" ht="15" x14ac:dyDescent="0.25">
      <c r="A2572" s="1">
        <v>2563</v>
      </c>
      <c r="B2572" s="1" t="s">
        <v>366</v>
      </c>
      <c r="C2572" s="32">
        <v>2210</v>
      </c>
      <c r="D2572" s="1">
        <v>7000</v>
      </c>
      <c r="E2572" s="1"/>
      <c r="F2572" s="1">
        <v>77.12</v>
      </c>
      <c r="G2572" s="1">
        <v>7000</v>
      </c>
      <c r="H2572" s="5">
        <f t="shared" si="57"/>
        <v>0</v>
      </c>
      <c r="I2572" s="6"/>
      <c r="J2572" s="43"/>
      <c r="K2572" s="51"/>
      <c r="L2572" s="86"/>
    </row>
    <row r="2573" spans="1:12" ht="15" x14ac:dyDescent="0.25">
      <c r="A2573" s="1">
        <v>2564</v>
      </c>
      <c r="B2573" s="1" t="s">
        <v>367</v>
      </c>
      <c r="C2573" s="32">
        <v>4137</v>
      </c>
      <c r="D2573" s="1">
        <v>16000</v>
      </c>
      <c r="E2573" s="1"/>
      <c r="F2573" s="1">
        <v>178</v>
      </c>
      <c r="G2573" s="1">
        <v>16000</v>
      </c>
      <c r="H2573" s="5">
        <f t="shared" si="57"/>
        <v>0</v>
      </c>
      <c r="I2573" s="6"/>
      <c r="J2573" s="43"/>
      <c r="K2573" s="51"/>
      <c r="L2573" s="86"/>
    </row>
    <row r="2574" spans="1:12" ht="15" x14ac:dyDescent="0.25">
      <c r="A2574" s="1">
        <v>2565</v>
      </c>
      <c r="B2574" s="1" t="s">
        <v>367</v>
      </c>
      <c r="C2574" s="32">
        <v>2195</v>
      </c>
      <c r="D2574" s="1">
        <v>20000</v>
      </c>
      <c r="E2574" s="1"/>
      <c r="F2574" s="1">
        <v>222.82</v>
      </c>
      <c r="G2574" s="1">
        <v>20000</v>
      </c>
      <c r="H2574" s="5">
        <f t="shared" ref="H2574:H2639" si="58">D2574-G2574</f>
        <v>0</v>
      </c>
      <c r="I2574" s="6"/>
      <c r="J2574" s="43"/>
      <c r="K2574" s="51"/>
      <c r="L2574" s="86"/>
    </row>
    <row r="2575" spans="1:12" ht="15" x14ac:dyDescent="0.25">
      <c r="A2575" s="1">
        <v>2566</v>
      </c>
      <c r="B2575" s="1" t="s">
        <v>367</v>
      </c>
      <c r="C2575" s="32">
        <v>5573</v>
      </c>
      <c r="D2575" s="1">
        <v>10000</v>
      </c>
      <c r="E2575" s="1"/>
      <c r="F2575" s="1">
        <v>111</v>
      </c>
      <c r="G2575" s="1">
        <v>10000</v>
      </c>
      <c r="H2575" s="5">
        <f t="shared" si="58"/>
        <v>0</v>
      </c>
      <c r="I2575" s="6"/>
      <c r="J2575" s="43"/>
      <c r="K2575" s="51"/>
      <c r="L2575" s="86"/>
    </row>
    <row r="2576" spans="1:12" ht="15" x14ac:dyDescent="0.25">
      <c r="A2576" s="1">
        <v>2567</v>
      </c>
      <c r="B2576" s="1" t="s">
        <v>367</v>
      </c>
      <c r="C2576" s="32">
        <v>4519</v>
      </c>
      <c r="D2576" s="1">
        <v>10000</v>
      </c>
      <c r="E2576" s="1"/>
      <c r="F2576" s="1">
        <v>111</v>
      </c>
      <c r="G2576" s="1">
        <v>10000</v>
      </c>
      <c r="H2576" s="5">
        <f t="shared" si="58"/>
        <v>0</v>
      </c>
      <c r="I2576" s="6"/>
      <c r="J2576" s="43"/>
      <c r="K2576" s="51"/>
      <c r="L2576" s="86"/>
    </row>
    <row r="2577" spans="1:12" ht="15" x14ac:dyDescent="0.25">
      <c r="A2577" s="1">
        <v>2568</v>
      </c>
      <c r="B2577" s="1" t="s">
        <v>367</v>
      </c>
      <c r="C2577" s="32" t="s">
        <v>30</v>
      </c>
      <c r="D2577" s="1">
        <v>5000</v>
      </c>
      <c r="E2577" s="1"/>
      <c r="F2577" s="1">
        <v>55.13</v>
      </c>
      <c r="G2577" s="1">
        <v>5000</v>
      </c>
      <c r="H2577" s="5">
        <f t="shared" si="58"/>
        <v>0</v>
      </c>
      <c r="I2577" s="6"/>
      <c r="J2577" s="43"/>
      <c r="K2577" s="51"/>
      <c r="L2577" s="86"/>
    </row>
    <row r="2578" spans="1:12" ht="15" x14ac:dyDescent="0.25">
      <c r="A2578" s="1">
        <v>2569</v>
      </c>
      <c r="B2578" s="1" t="s">
        <v>367</v>
      </c>
      <c r="C2578" s="32" t="s">
        <v>66</v>
      </c>
      <c r="D2578" s="1">
        <v>200</v>
      </c>
      <c r="E2578" s="1"/>
      <c r="F2578" s="1">
        <v>2.1</v>
      </c>
      <c r="G2578" s="1">
        <v>200</v>
      </c>
      <c r="H2578" s="5">
        <f t="shared" si="58"/>
        <v>0</v>
      </c>
      <c r="I2578" s="6"/>
      <c r="J2578" s="43"/>
      <c r="K2578" s="51"/>
      <c r="L2578" s="86"/>
    </row>
    <row r="2579" spans="1:12" ht="15" x14ac:dyDescent="0.25">
      <c r="A2579" s="1">
        <v>2570</v>
      </c>
      <c r="B2579" s="1" t="s">
        <v>367</v>
      </c>
      <c r="C2579" s="32">
        <v>3673</v>
      </c>
      <c r="D2579" s="1">
        <v>25000</v>
      </c>
      <c r="E2579" s="1"/>
      <c r="F2579" s="1">
        <v>278.22000000000003</v>
      </c>
      <c r="G2579" s="1">
        <v>25000</v>
      </c>
      <c r="H2579" s="5">
        <f t="shared" si="58"/>
        <v>0</v>
      </c>
      <c r="I2579" s="6"/>
      <c r="J2579" s="43"/>
      <c r="K2579" s="51"/>
      <c r="L2579" s="86"/>
    </row>
    <row r="2580" spans="1:12" ht="15" x14ac:dyDescent="0.25">
      <c r="A2580" s="1">
        <v>2571</v>
      </c>
      <c r="B2580" s="1" t="s">
        <v>367</v>
      </c>
      <c r="C2580" s="32">
        <v>5151</v>
      </c>
      <c r="D2580" s="1">
        <v>16000</v>
      </c>
      <c r="E2580" s="1"/>
      <c r="F2580" s="1">
        <v>178</v>
      </c>
      <c r="G2580" s="1">
        <v>16000</v>
      </c>
      <c r="H2580" s="5">
        <f t="shared" si="58"/>
        <v>0</v>
      </c>
      <c r="I2580" s="6"/>
      <c r="J2580" s="43"/>
      <c r="K2580" s="51"/>
      <c r="L2580" s="86"/>
    </row>
    <row r="2581" spans="1:12" ht="15" x14ac:dyDescent="0.25">
      <c r="A2581" s="1">
        <v>2572</v>
      </c>
      <c r="B2581" s="1" t="s">
        <v>367</v>
      </c>
      <c r="C2581" s="32">
        <v>5252</v>
      </c>
      <c r="D2581" s="1">
        <v>16000</v>
      </c>
      <c r="E2581" s="1"/>
      <c r="F2581" s="1">
        <v>178</v>
      </c>
      <c r="G2581" s="1">
        <v>16000</v>
      </c>
      <c r="H2581" s="5">
        <f t="shared" si="58"/>
        <v>0</v>
      </c>
      <c r="I2581" s="6"/>
      <c r="J2581" s="43"/>
      <c r="K2581" s="51"/>
      <c r="L2581" s="86"/>
    </row>
    <row r="2582" spans="1:12" ht="15" x14ac:dyDescent="0.25">
      <c r="A2582" s="1">
        <v>2573</v>
      </c>
      <c r="B2582" s="1" t="s">
        <v>367</v>
      </c>
      <c r="C2582" s="32">
        <v>5726</v>
      </c>
      <c r="D2582" s="1">
        <v>5000</v>
      </c>
      <c r="E2582" s="1"/>
      <c r="F2582" s="1">
        <v>55.12</v>
      </c>
      <c r="G2582" s="1">
        <v>5000</v>
      </c>
      <c r="H2582" s="5">
        <f t="shared" si="58"/>
        <v>0</v>
      </c>
      <c r="I2582" s="6"/>
      <c r="J2582" s="43"/>
      <c r="K2582" s="51"/>
      <c r="L2582" s="86"/>
    </row>
    <row r="2583" spans="1:12" ht="15" x14ac:dyDescent="0.25">
      <c r="A2583" s="1">
        <v>2574</v>
      </c>
      <c r="B2583" s="1" t="s">
        <v>367</v>
      </c>
      <c r="C2583" s="32">
        <v>9451</v>
      </c>
      <c r="D2583" s="1">
        <v>5000</v>
      </c>
      <c r="E2583" s="1"/>
      <c r="F2583" s="1">
        <v>55.12</v>
      </c>
      <c r="G2583" s="1">
        <v>5000</v>
      </c>
      <c r="H2583" s="5">
        <f t="shared" si="58"/>
        <v>0</v>
      </c>
      <c r="I2583" s="6"/>
      <c r="J2583" s="43"/>
      <c r="K2583" s="51"/>
      <c r="L2583" s="86">
        <f>1401183-1390609</f>
        <v>10574</v>
      </c>
    </row>
    <row r="2584" spans="1:12" ht="15" x14ac:dyDescent="0.25">
      <c r="A2584" s="1">
        <v>2575</v>
      </c>
      <c r="B2584" s="1" t="s">
        <v>368</v>
      </c>
      <c r="C2584" s="32">
        <v>9544</v>
      </c>
      <c r="D2584" s="1">
        <v>12000</v>
      </c>
      <c r="E2584" s="1"/>
      <c r="F2584" s="1">
        <v>133</v>
      </c>
      <c r="G2584" s="1">
        <v>12000</v>
      </c>
      <c r="H2584" s="5">
        <f t="shared" si="58"/>
        <v>0</v>
      </c>
      <c r="I2584" s="6"/>
      <c r="J2584" s="43"/>
      <c r="K2584" s="51"/>
      <c r="L2584" s="86"/>
    </row>
    <row r="2585" spans="1:12" ht="15" x14ac:dyDescent="0.25">
      <c r="A2585" s="1">
        <v>2576</v>
      </c>
      <c r="B2585" s="1" t="s">
        <v>368</v>
      </c>
      <c r="C2585" s="32" t="s">
        <v>63</v>
      </c>
      <c r="D2585" s="1">
        <v>3500</v>
      </c>
      <c r="E2585" s="1"/>
      <c r="F2585" s="1">
        <v>35.130000000000003</v>
      </c>
      <c r="G2585" s="1">
        <v>3500</v>
      </c>
      <c r="H2585" s="5">
        <f t="shared" si="58"/>
        <v>0</v>
      </c>
      <c r="I2585" s="6"/>
      <c r="J2585" s="43"/>
      <c r="K2585" s="51"/>
      <c r="L2585" s="86"/>
    </row>
    <row r="2586" spans="1:12" ht="15" x14ac:dyDescent="0.25">
      <c r="A2586" s="1">
        <v>2577</v>
      </c>
      <c r="B2586" s="1" t="s">
        <v>368</v>
      </c>
      <c r="C2586" s="32" t="s">
        <v>30</v>
      </c>
      <c r="D2586" s="1">
        <v>3000</v>
      </c>
      <c r="E2586" s="1"/>
      <c r="F2586" s="1">
        <v>33</v>
      </c>
      <c r="G2586" s="1">
        <v>3000</v>
      </c>
      <c r="H2586" s="5">
        <f t="shared" si="58"/>
        <v>0</v>
      </c>
      <c r="I2586" s="6"/>
      <c r="J2586" s="43"/>
      <c r="K2586" s="51"/>
      <c r="L2586" s="86"/>
    </row>
    <row r="2587" spans="1:12" ht="15" x14ac:dyDescent="0.25">
      <c r="A2587" s="1">
        <v>2578</v>
      </c>
      <c r="B2587" s="1" t="s">
        <v>368</v>
      </c>
      <c r="C2587" s="32" t="s">
        <v>66</v>
      </c>
      <c r="D2587" s="1">
        <v>210</v>
      </c>
      <c r="E2587" s="1"/>
      <c r="F2587" s="1">
        <v>2.1</v>
      </c>
      <c r="G2587" s="1">
        <v>210</v>
      </c>
      <c r="H2587" s="5">
        <f t="shared" si="58"/>
        <v>0</v>
      </c>
      <c r="I2587" s="6"/>
      <c r="J2587" s="43"/>
      <c r="K2587" s="51"/>
      <c r="L2587" s="86"/>
    </row>
    <row r="2588" spans="1:12" ht="15" x14ac:dyDescent="0.25">
      <c r="A2588" s="1">
        <v>2579</v>
      </c>
      <c r="B2588" s="1" t="s">
        <v>368</v>
      </c>
      <c r="C2588" s="32">
        <v>3184</v>
      </c>
      <c r="D2588" s="1">
        <v>30000</v>
      </c>
      <c r="E2588" s="1"/>
      <c r="F2588" s="1">
        <v>334</v>
      </c>
      <c r="G2588" s="1">
        <v>30000</v>
      </c>
      <c r="H2588" s="5">
        <f t="shared" si="58"/>
        <v>0</v>
      </c>
      <c r="I2588" s="6"/>
      <c r="J2588" s="43"/>
      <c r="K2588" s="51"/>
      <c r="L2588" s="86"/>
    </row>
    <row r="2589" spans="1:12" ht="15" x14ac:dyDescent="0.25">
      <c r="A2589" s="1">
        <v>2580</v>
      </c>
      <c r="B2589" s="1" t="s">
        <v>368</v>
      </c>
      <c r="C2589" s="32">
        <v>1266</v>
      </c>
      <c r="D2589" s="1">
        <v>13000</v>
      </c>
      <c r="E2589" s="1"/>
      <c r="F2589" s="1">
        <v>144</v>
      </c>
      <c r="G2589" s="1">
        <v>13000</v>
      </c>
      <c r="H2589" s="5">
        <f t="shared" si="58"/>
        <v>0</v>
      </c>
      <c r="I2589" s="6"/>
      <c r="J2589" s="43"/>
      <c r="K2589" s="51"/>
      <c r="L2589" s="86"/>
    </row>
    <row r="2590" spans="1:12" ht="15" x14ac:dyDescent="0.25">
      <c r="A2590" s="1">
        <v>2581</v>
      </c>
      <c r="B2590" s="1" t="s">
        <v>368</v>
      </c>
      <c r="C2590" s="32">
        <v>8.7900000000000006E-2</v>
      </c>
      <c r="D2590" s="1">
        <v>13000</v>
      </c>
      <c r="E2590" s="1"/>
      <c r="F2590" s="1">
        <v>144</v>
      </c>
      <c r="G2590" s="1">
        <v>13000</v>
      </c>
      <c r="H2590" s="5">
        <f t="shared" si="58"/>
        <v>0</v>
      </c>
      <c r="I2590" s="6"/>
      <c r="J2590" s="43"/>
      <c r="K2590" s="51"/>
      <c r="L2590" s="86"/>
    </row>
    <row r="2591" spans="1:12" ht="15" x14ac:dyDescent="0.25">
      <c r="A2591" s="1">
        <v>2582</v>
      </c>
      <c r="B2591" s="1" t="s">
        <v>368</v>
      </c>
      <c r="C2591" s="32">
        <v>1989</v>
      </c>
      <c r="D2591" s="1">
        <v>20000</v>
      </c>
      <c r="E2591" s="1"/>
      <c r="F2591" s="1">
        <v>222.82</v>
      </c>
      <c r="G2591" s="1">
        <v>20000</v>
      </c>
      <c r="H2591" s="5">
        <f t="shared" si="58"/>
        <v>0</v>
      </c>
      <c r="I2591" s="6"/>
      <c r="J2591" s="43"/>
      <c r="K2591" s="51"/>
      <c r="L2591" s="86"/>
    </row>
    <row r="2592" spans="1:12" ht="15" x14ac:dyDescent="0.25">
      <c r="A2592" s="1">
        <v>2583</v>
      </c>
      <c r="B2592" s="1" t="s">
        <v>368</v>
      </c>
      <c r="C2592" s="32">
        <v>5.1000000000000004E-3</v>
      </c>
      <c r="D2592" s="1">
        <v>16000</v>
      </c>
      <c r="E2592" s="1"/>
      <c r="F2592" s="1">
        <v>178</v>
      </c>
      <c r="G2592" s="1">
        <v>16000</v>
      </c>
      <c r="H2592" s="5">
        <f t="shared" si="58"/>
        <v>0</v>
      </c>
      <c r="I2592" s="6"/>
      <c r="J2592" s="43"/>
      <c r="K2592" s="51"/>
      <c r="L2592" s="86">
        <f>1211893-1210332</f>
        <v>1561</v>
      </c>
    </row>
    <row r="2593" spans="1:12" ht="15" x14ac:dyDescent="0.25">
      <c r="A2593" s="1">
        <v>2584</v>
      </c>
      <c r="B2593" s="1" t="s">
        <v>369</v>
      </c>
      <c r="C2593" s="32" t="s">
        <v>30</v>
      </c>
      <c r="D2593" s="1">
        <v>5000</v>
      </c>
      <c r="E2593" s="1"/>
      <c r="F2593" s="1">
        <v>55.13</v>
      </c>
      <c r="G2593" s="1">
        <v>5000</v>
      </c>
      <c r="H2593" s="5">
        <f t="shared" si="58"/>
        <v>0</v>
      </c>
      <c r="I2593" s="6"/>
      <c r="J2593" s="43"/>
      <c r="K2593" s="51"/>
      <c r="L2593" s="86"/>
    </row>
    <row r="2594" spans="1:12" ht="15" x14ac:dyDescent="0.25">
      <c r="A2594" s="1">
        <v>2585</v>
      </c>
      <c r="B2594" s="1" t="s">
        <v>369</v>
      </c>
      <c r="C2594" s="32">
        <v>1365</v>
      </c>
      <c r="D2594" s="1">
        <v>21000</v>
      </c>
      <c r="E2594" s="1"/>
      <c r="F2594" s="1">
        <v>233</v>
      </c>
      <c r="G2594" s="1">
        <v>21000</v>
      </c>
      <c r="H2594" s="5">
        <f t="shared" si="58"/>
        <v>0</v>
      </c>
      <c r="I2594" s="6"/>
      <c r="J2594" s="43"/>
      <c r="K2594" s="51"/>
      <c r="L2594" s="86"/>
    </row>
    <row r="2595" spans="1:12" ht="15" x14ac:dyDescent="0.25">
      <c r="A2595" s="1">
        <v>2586</v>
      </c>
      <c r="B2595" s="1" t="s">
        <v>369</v>
      </c>
      <c r="C2595" s="32" t="s">
        <v>66</v>
      </c>
      <c r="D2595" s="1">
        <v>200</v>
      </c>
      <c r="E2595" s="1"/>
      <c r="F2595" s="1">
        <v>2.1</v>
      </c>
      <c r="G2595" s="1">
        <v>200</v>
      </c>
      <c r="H2595" s="5">
        <f t="shared" si="58"/>
        <v>0</v>
      </c>
      <c r="I2595" s="6"/>
      <c r="J2595" s="43"/>
      <c r="K2595" s="51"/>
      <c r="L2595" s="86"/>
    </row>
    <row r="2596" spans="1:12" ht="15" x14ac:dyDescent="0.25">
      <c r="A2596" s="1">
        <v>2587</v>
      </c>
      <c r="B2596" s="1" t="s">
        <v>369</v>
      </c>
      <c r="C2596" s="32">
        <v>3968</v>
      </c>
      <c r="D2596" s="1">
        <v>5000</v>
      </c>
      <c r="E2596" s="1"/>
      <c r="F2596" s="1">
        <v>55.13</v>
      </c>
      <c r="G2596" s="1">
        <v>5000</v>
      </c>
      <c r="H2596" s="5">
        <f t="shared" si="58"/>
        <v>0</v>
      </c>
      <c r="I2596" s="6"/>
      <c r="J2596" s="43"/>
      <c r="K2596" s="51"/>
      <c r="L2596" s="86"/>
    </row>
    <row r="2597" spans="1:12" ht="15" x14ac:dyDescent="0.25">
      <c r="A2597" s="1">
        <v>2588</v>
      </c>
      <c r="B2597" s="1" t="s">
        <v>369</v>
      </c>
      <c r="C2597" s="32">
        <v>1.17E-2</v>
      </c>
      <c r="D2597" s="1">
        <v>26000</v>
      </c>
      <c r="E2597" s="1"/>
      <c r="F2597" s="1">
        <v>289</v>
      </c>
      <c r="G2597" s="1">
        <v>26000</v>
      </c>
      <c r="H2597" s="5">
        <f t="shared" si="58"/>
        <v>0</v>
      </c>
      <c r="I2597" s="6"/>
      <c r="J2597" s="43"/>
      <c r="K2597" s="51"/>
      <c r="L2597" s="86"/>
    </row>
    <row r="2598" spans="1:12" ht="15" x14ac:dyDescent="0.25">
      <c r="A2598" s="1">
        <v>2589</v>
      </c>
      <c r="B2598" s="1" t="s">
        <v>369</v>
      </c>
      <c r="C2598" s="32">
        <v>6868</v>
      </c>
      <c r="D2598" s="1">
        <v>20000</v>
      </c>
      <c r="E2598" s="1"/>
      <c r="F2598" s="1">
        <v>222.82</v>
      </c>
      <c r="G2598" s="1">
        <v>20000</v>
      </c>
      <c r="H2598" s="5">
        <f t="shared" si="58"/>
        <v>0</v>
      </c>
      <c r="I2598" s="6"/>
      <c r="J2598" s="43"/>
      <c r="K2598" s="51"/>
      <c r="L2598" s="86"/>
    </row>
    <row r="2599" spans="1:12" ht="15" x14ac:dyDescent="0.25">
      <c r="A2599" s="1">
        <v>2590</v>
      </c>
      <c r="B2599" s="1" t="s">
        <v>369</v>
      </c>
      <c r="C2599" s="32">
        <v>2907</v>
      </c>
      <c r="D2599" s="1">
        <v>10000</v>
      </c>
      <c r="E2599" s="1"/>
      <c r="F2599" s="1">
        <v>111</v>
      </c>
      <c r="G2599" s="1">
        <v>10000</v>
      </c>
      <c r="H2599" s="5">
        <f t="shared" si="58"/>
        <v>0</v>
      </c>
      <c r="I2599" s="6"/>
      <c r="J2599" s="43"/>
      <c r="K2599" s="51"/>
      <c r="L2599" s="86">
        <f>1099093-1092185</f>
        <v>6908</v>
      </c>
    </row>
    <row r="2600" spans="1:12" ht="15" x14ac:dyDescent="0.25">
      <c r="A2600" s="1">
        <v>2591</v>
      </c>
      <c r="B2600" s="1" t="s">
        <v>370</v>
      </c>
      <c r="C2600" s="32">
        <v>8425</v>
      </c>
      <c r="D2600" s="1">
        <v>20000</v>
      </c>
      <c r="E2600" s="1"/>
      <c r="F2600" s="1">
        <v>222.82</v>
      </c>
      <c r="G2600" s="1">
        <v>20000</v>
      </c>
      <c r="H2600" s="5">
        <f t="shared" si="58"/>
        <v>0</v>
      </c>
      <c r="I2600" s="6"/>
      <c r="J2600" s="43"/>
      <c r="K2600" s="51"/>
      <c r="L2600" s="86"/>
    </row>
    <row r="2601" spans="1:12" ht="15" x14ac:dyDescent="0.25">
      <c r="A2601" s="1">
        <v>2592</v>
      </c>
      <c r="B2601" s="1" t="s">
        <v>370</v>
      </c>
      <c r="C2601" s="32">
        <v>6725</v>
      </c>
      <c r="D2601" s="1">
        <v>20000</v>
      </c>
      <c r="E2601" s="1"/>
      <c r="F2601" s="1">
        <v>222.82</v>
      </c>
      <c r="G2601" s="1">
        <v>20000</v>
      </c>
      <c r="H2601" s="5">
        <f t="shared" si="58"/>
        <v>0</v>
      </c>
      <c r="I2601" s="6"/>
      <c r="J2601" s="43"/>
      <c r="K2601" s="51"/>
      <c r="L2601" s="86"/>
    </row>
    <row r="2602" spans="1:12" ht="15" x14ac:dyDescent="0.25">
      <c r="A2602" s="1">
        <v>2593</v>
      </c>
      <c r="B2602" s="1" t="s">
        <v>370</v>
      </c>
      <c r="C2602" s="32">
        <v>2415</v>
      </c>
      <c r="D2602" s="1">
        <v>12000</v>
      </c>
      <c r="E2602" s="1"/>
      <c r="F2602" s="1">
        <v>133</v>
      </c>
      <c r="G2602" s="1">
        <v>12000</v>
      </c>
      <c r="H2602" s="5">
        <f t="shared" si="58"/>
        <v>0</v>
      </c>
      <c r="I2602" s="6"/>
      <c r="J2602" s="43"/>
      <c r="K2602" s="51"/>
      <c r="L2602" s="86"/>
    </row>
    <row r="2603" spans="1:12" ht="15" x14ac:dyDescent="0.25">
      <c r="A2603" s="1">
        <v>2594</v>
      </c>
      <c r="B2603" s="1" t="s">
        <v>370</v>
      </c>
      <c r="C2603" s="32" t="s">
        <v>30</v>
      </c>
      <c r="D2603" s="1">
        <v>5000</v>
      </c>
      <c r="E2603" s="1"/>
      <c r="F2603" s="1">
        <v>55.13</v>
      </c>
      <c r="G2603" s="1">
        <v>5000</v>
      </c>
      <c r="H2603" s="5">
        <f t="shared" si="58"/>
        <v>0</v>
      </c>
      <c r="I2603" s="6"/>
      <c r="J2603" s="43"/>
      <c r="K2603" s="51"/>
      <c r="L2603" s="86"/>
    </row>
    <row r="2604" spans="1:12" ht="15" x14ac:dyDescent="0.25">
      <c r="A2604" s="1">
        <v>2595</v>
      </c>
      <c r="B2604" s="1" t="s">
        <v>370</v>
      </c>
      <c r="C2604" s="32">
        <v>1266</v>
      </c>
      <c r="D2604" s="1">
        <v>13000</v>
      </c>
      <c r="E2604" s="1"/>
      <c r="F2604" s="1">
        <v>144</v>
      </c>
      <c r="G2604" s="1">
        <v>13000</v>
      </c>
      <c r="H2604" s="5">
        <f t="shared" si="58"/>
        <v>0</v>
      </c>
      <c r="I2604" s="6"/>
      <c r="J2604" s="43"/>
      <c r="K2604" s="51"/>
      <c r="L2604" s="86"/>
    </row>
    <row r="2605" spans="1:12" ht="15" x14ac:dyDescent="0.25">
      <c r="A2605" s="1">
        <v>2596</v>
      </c>
      <c r="B2605" s="1" t="s">
        <v>370</v>
      </c>
      <c r="C2605" s="32">
        <v>8325</v>
      </c>
      <c r="D2605" s="1">
        <v>8000</v>
      </c>
      <c r="E2605" s="1"/>
      <c r="F2605" s="1">
        <v>89</v>
      </c>
      <c r="G2605" s="1">
        <v>8000</v>
      </c>
      <c r="H2605" s="5">
        <f t="shared" si="58"/>
        <v>0</v>
      </c>
      <c r="I2605" s="6"/>
      <c r="J2605" s="43"/>
      <c r="K2605" s="51"/>
      <c r="L2605" s="86"/>
    </row>
    <row r="2606" spans="1:12" ht="15" x14ac:dyDescent="0.25">
      <c r="A2606" s="1">
        <v>2597</v>
      </c>
      <c r="B2606" s="1" t="s">
        <v>370</v>
      </c>
      <c r="C2606" s="32" t="s">
        <v>30</v>
      </c>
      <c r="D2606" s="1">
        <v>3000</v>
      </c>
      <c r="E2606" s="1"/>
      <c r="F2606" s="1">
        <v>33</v>
      </c>
      <c r="G2606" s="1">
        <v>3000</v>
      </c>
      <c r="H2606" s="5">
        <f t="shared" si="58"/>
        <v>0</v>
      </c>
      <c r="I2606" s="6"/>
      <c r="J2606" s="43"/>
      <c r="K2606" s="51"/>
      <c r="L2606" s="86"/>
    </row>
    <row r="2607" spans="1:12" ht="15" x14ac:dyDescent="0.25">
      <c r="A2607" s="1">
        <v>2598</v>
      </c>
      <c r="B2607" s="1" t="s">
        <v>370</v>
      </c>
      <c r="C2607" s="32">
        <v>5.1999999999999998E-3</v>
      </c>
      <c r="D2607" s="1">
        <v>16000</v>
      </c>
      <c r="E2607" s="1"/>
      <c r="F2607" s="1">
        <v>178</v>
      </c>
      <c r="G2607" s="1">
        <v>16000</v>
      </c>
      <c r="H2607" s="5">
        <f t="shared" si="58"/>
        <v>0</v>
      </c>
      <c r="I2607" s="6"/>
      <c r="J2607" s="43"/>
      <c r="K2607" s="51"/>
      <c r="L2607" s="86"/>
    </row>
    <row r="2608" spans="1:12" ht="15" x14ac:dyDescent="0.25">
      <c r="A2608" s="1">
        <v>2599</v>
      </c>
      <c r="B2608" s="1" t="s">
        <v>370</v>
      </c>
      <c r="C2608" s="32">
        <v>3537</v>
      </c>
      <c r="D2608" s="1">
        <v>22000</v>
      </c>
      <c r="E2608" s="1"/>
      <c r="F2608" s="1">
        <v>245</v>
      </c>
      <c r="G2608" s="1">
        <v>22000</v>
      </c>
      <c r="H2608" s="5">
        <f t="shared" si="58"/>
        <v>0</v>
      </c>
      <c r="I2608" s="6"/>
      <c r="J2608" s="43"/>
      <c r="K2608" s="51"/>
      <c r="L2608" s="86"/>
    </row>
    <row r="2609" spans="1:13" ht="15" x14ac:dyDescent="0.25">
      <c r="A2609" s="1">
        <v>2600</v>
      </c>
      <c r="B2609" s="1" t="s">
        <v>370</v>
      </c>
      <c r="C2609" s="32">
        <v>4533</v>
      </c>
      <c r="D2609" s="1">
        <v>10000</v>
      </c>
      <c r="E2609" s="1"/>
      <c r="F2609" s="1">
        <v>111</v>
      </c>
      <c r="G2609" s="1">
        <v>10000</v>
      </c>
      <c r="H2609" s="5">
        <f t="shared" si="58"/>
        <v>0</v>
      </c>
      <c r="I2609" s="6"/>
      <c r="J2609" s="43"/>
      <c r="K2609" s="51"/>
      <c r="L2609" s="86"/>
    </row>
    <row r="2610" spans="1:13" ht="15" x14ac:dyDescent="0.25">
      <c r="A2610" s="1">
        <v>2601</v>
      </c>
      <c r="B2610" s="1" t="s">
        <v>370</v>
      </c>
      <c r="C2610" s="32">
        <v>1075</v>
      </c>
      <c r="D2610" s="1">
        <v>15000</v>
      </c>
      <c r="E2610" s="1"/>
      <c r="F2610" s="1">
        <v>167</v>
      </c>
      <c r="G2610" s="1">
        <v>15000</v>
      </c>
      <c r="H2610" s="5">
        <f t="shared" si="58"/>
        <v>0</v>
      </c>
      <c r="I2610" s="6"/>
      <c r="J2610" s="43"/>
      <c r="K2610" s="51"/>
      <c r="L2610" s="86"/>
    </row>
    <row r="2611" spans="1:13" ht="15" x14ac:dyDescent="0.25">
      <c r="A2611" s="1">
        <v>2602</v>
      </c>
      <c r="B2611" s="1" t="s">
        <v>370</v>
      </c>
      <c r="C2611" s="32">
        <v>1617</v>
      </c>
      <c r="D2611" s="1">
        <v>15000</v>
      </c>
      <c r="E2611" s="1"/>
      <c r="F2611" s="1">
        <v>167</v>
      </c>
      <c r="G2611" s="1">
        <v>15000</v>
      </c>
      <c r="H2611" s="5">
        <f t="shared" si="58"/>
        <v>0</v>
      </c>
      <c r="I2611" s="6"/>
      <c r="J2611" s="43"/>
      <c r="K2611" s="51"/>
      <c r="L2611" s="86">
        <f>1058093-1056618</f>
        <v>1475</v>
      </c>
    </row>
    <row r="2612" spans="1:13" ht="15" x14ac:dyDescent="0.25">
      <c r="A2612" s="1">
        <v>2603</v>
      </c>
      <c r="B2612" s="1" t="s">
        <v>371</v>
      </c>
      <c r="C2612" s="32" t="s">
        <v>66</v>
      </c>
      <c r="D2612" s="1">
        <v>210</v>
      </c>
      <c r="E2612" s="1"/>
      <c r="F2612" s="1">
        <v>2.0499999999999998</v>
      </c>
      <c r="G2612" s="1">
        <v>210</v>
      </c>
      <c r="H2612" s="5">
        <f t="shared" si="58"/>
        <v>0</v>
      </c>
      <c r="I2612" s="6"/>
      <c r="J2612" s="43"/>
      <c r="K2612" s="51"/>
      <c r="L2612" s="86"/>
    </row>
    <row r="2613" spans="1:13" ht="15" x14ac:dyDescent="0.25">
      <c r="A2613" s="1">
        <v>2604</v>
      </c>
      <c r="B2613" s="1" t="s">
        <v>371</v>
      </c>
      <c r="C2613" s="32">
        <v>9503</v>
      </c>
      <c r="D2613" s="1">
        <v>25000</v>
      </c>
      <c r="E2613" s="1"/>
      <c r="F2613" s="1">
        <v>278</v>
      </c>
      <c r="G2613" s="1">
        <v>25000</v>
      </c>
      <c r="H2613" s="5">
        <f t="shared" si="58"/>
        <v>0</v>
      </c>
      <c r="I2613" s="6"/>
      <c r="J2613" s="43"/>
      <c r="K2613" s="51"/>
      <c r="L2613" s="86"/>
    </row>
    <row r="2614" spans="1:13" ht="15" x14ac:dyDescent="0.25">
      <c r="A2614" s="1">
        <v>2605</v>
      </c>
      <c r="B2614" s="1" t="s">
        <v>371</v>
      </c>
      <c r="C2614" s="32" t="s">
        <v>30</v>
      </c>
      <c r="D2614" s="1">
        <v>2000</v>
      </c>
      <c r="E2614" s="1"/>
      <c r="F2614" s="1">
        <v>22.28</v>
      </c>
      <c r="G2614" s="1">
        <v>2000</v>
      </c>
      <c r="H2614" s="5">
        <f t="shared" si="58"/>
        <v>0</v>
      </c>
      <c r="I2614" s="6"/>
      <c r="J2614" s="43"/>
      <c r="K2614" s="51"/>
      <c r="L2614" s="86"/>
    </row>
    <row r="2615" spans="1:13" ht="15" x14ac:dyDescent="0.25">
      <c r="A2615" s="1">
        <v>2606</v>
      </c>
      <c r="B2615" s="1" t="s">
        <v>371</v>
      </c>
      <c r="C2615" s="32">
        <v>7518</v>
      </c>
      <c r="D2615" s="1">
        <v>25000</v>
      </c>
      <c r="E2615" s="1"/>
      <c r="F2615" s="1">
        <v>278.22000000000003</v>
      </c>
      <c r="G2615" s="1">
        <v>25000</v>
      </c>
      <c r="H2615" s="5">
        <f t="shared" si="58"/>
        <v>0</v>
      </c>
      <c r="I2615" s="6"/>
      <c r="J2615" s="43"/>
      <c r="K2615" s="51"/>
      <c r="L2615" s="86"/>
    </row>
    <row r="2616" spans="1:13" ht="15" x14ac:dyDescent="0.25">
      <c r="A2616" s="1">
        <v>2607</v>
      </c>
      <c r="B2616" s="1" t="s">
        <v>371</v>
      </c>
      <c r="C2616" s="32">
        <v>6474</v>
      </c>
      <c r="D2616" s="1">
        <v>20000</v>
      </c>
      <c r="E2616" s="1"/>
      <c r="F2616" s="1">
        <v>222.82</v>
      </c>
      <c r="G2616" s="1">
        <v>20000</v>
      </c>
      <c r="H2616" s="5">
        <f t="shared" si="58"/>
        <v>0</v>
      </c>
      <c r="I2616" s="6"/>
      <c r="J2616" s="43"/>
      <c r="K2616" s="51"/>
      <c r="L2616" s="86"/>
    </row>
    <row r="2617" spans="1:13" ht="15" x14ac:dyDescent="0.25">
      <c r="A2617" s="1">
        <v>2608</v>
      </c>
      <c r="B2617" s="1" t="s">
        <v>371</v>
      </c>
      <c r="C2617" s="32">
        <v>8871</v>
      </c>
      <c r="D2617" s="1">
        <v>15000</v>
      </c>
      <c r="E2617" s="1"/>
      <c r="F2617" s="1">
        <v>167</v>
      </c>
      <c r="G2617" s="1">
        <v>15000</v>
      </c>
      <c r="H2617" s="5">
        <f t="shared" si="58"/>
        <v>0</v>
      </c>
      <c r="I2617" s="6"/>
      <c r="J2617" s="43"/>
      <c r="K2617" s="51"/>
      <c r="L2617" s="86"/>
    </row>
    <row r="2618" spans="1:13" ht="15" x14ac:dyDescent="0.25">
      <c r="A2618" s="1">
        <v>2609</v>
      </c>
      <c r="B2618" s="1" t="s">
        <v>371</v>
      </c>
      <c r="C2618" s="32">
        <v>8148</v>
      </c>
      <c r="D2618" s="1">
        <v>25000</v>
      </c>
      <c r="E2618" s="1"/>
      <c r="F2618" s="1">
        <v>278.22000000000003</v>
      </c>
      <c r="G2618" s="1">
        <v>25000</v>
      </c>
      <c r="H2618" s="5">
        <f t="shared" si="58"/>
        <v>0</v>
      </c>
      <c r="I2618" s="6"/>
      <c r="J2618" s="43"/>
      <c r="K2618" s="51"/>
      <c r="L2618" s="86"/>
    </row>
    <row r="2619" spans="1:13" ht="15" x14ac:dyDescent="0.25">
      <c r="A2619" s="1">
        <v>2610</v>
      </c>
      <c r="B2619" s="1" t="s">
        <v>371</v>
      </c>
      <c r="C2619" s="32">
        <v>2029</v>
      </c>
      <c r="D2619" s="1">
        <v>12000</v>
      </c>
      <c r="E2619" s="1"/>
      <c r="F2619" s="1">
        <v>133</v>
      </c>
      <c r="G2619" s="1">
        <v>12000</v>
      </c>
      <c r="H2619" s="5">
        <f t="shared" si="58"/>
        <v>0</v>
      </c>
      <c r="I2619" s="6"/>
      <c r="J2619" s="43"/>
      <c r="K2619" s="51"/>
      <c r="L2619" s="86"/>
    </row>
    <row r="2620" spans="1:13" ht="15" x14ac:dyDescent="0.25">
      <c r="A2620" s="1">
        <v>2611</v>
      </c>
      <c r="B2620" s="1" t="s">
        <v>371</v>
      </c>
      <c r="C2620" s="32">
        <v>4371</v>
      </c>
      <c r="D2620" s="1">
        <v>12000</v>
      </c>
      <c r="E2620" s="1"/>
      <c r="F2620" s="1">
        <v>133</v>
      </c>
      <c r="G2620" s="1">
        <v>12000</v>
      </c>
      <c r="H2620" s="5">
        <f t="shared" si="58"/>
        <v>0</v>
      </c>
      <c r="I2620" s="6"/>
      <c r="J2620" s="43"/>
      <c r="K2620" s="51"/>
      <c r="L2620" s="86"/>
    </row>
    <row r="2621" spans="1:13" ht="15" x14ac:dyDescent="0.25">
      <c r="A2621" s="1">
        <v>2612</v>
      </c>
      <c r="B2621" s="1" t="s">
        <v>371</v>
      </c>
      <c r="C2621" s="32">
        <v>3773</v>
      </c>
      <c r="D2621" s="1">
        <v>13000</v>
      </c>
      <c r="E2621" s="1"/>
      <c r="F2621" s="1">
        <v>144</v>
      </c>
      <c r="G2621" s="1">
        <v>13000</v>
      </c>
      <c r="H2621" s="5">
        <f t="shared" si="58"/>
        <v>0</v>
      </c>
      <c r="I2621" s="6"/>
      <c r="J2621" s="43"/>
      <c r="K2621" s="51"/>
      <c r="L2621" s="86"/>
    </row>
    <row r="2622" spans="1:13" ht="15" x14ac:dyDescent="0.25">
      <c r="A2622" s="1">
        <v>2613</v>
      </c>
      <c r="B2622" s="1" t="s">
        <v>371</v>
      </c>
      <c r="C2622" s="32">
        <v>1355</v>
      </c>
      <c r="D2622" s="1">
        <v>18000</v>
      </c>
      <c r="E2622" s="1"/>
      <c r="F2622" s="1">
        <v>200</v>
      </c>
      <c r="G2622" s="1">
        <v>18000</v>
      </c>
      <c r="H2622" s="5">
        <f t="shared" si="58"/>
        <v>0</v>
      </c>
      <c r="I2622" s="6"/>
      <c r="J2622" s="43"/>
      <c r="K2622" s="51"/>
      <c r="L2622" s="86"/>
    </row>
    <row r="2623" spans="1:13" ht="15" x14ac:dyDescent="0.25">
      <c r="A2623" s="1">
        <v>2614</v>
      </c>
      <c r="B2623" s="1" t="s">
        <v>371</v>
      </c>
      <c r="C2623" s="32">
        <v>9.7500000000000003E-2</v>
      </c>
      <c r="D2623" s="1">
        <v>32000</v>
      </c>
      <c r="E2623" s="1"/>
      <c r="F2623" s="1">
        <v>356</v>
      </c>
      <c r="G2623" s="1">
        <v>32000</v>
      </c>
      <c r="H2623" s="5">
        <f t="shared" si="58"/>
        <v>0</v>
      </c>
      <c r="I2623" s="6"/>
      <c r="J2623" s="43"/>
      <c r="K2623" s="51"/>
      <c r="L2623" s="86">
        <f>1035700-1022573</f>
        <v>13127</v>
      </c>
      <c r="M2623">
        <f>25000-13127</f>
        <v>11873</v>
      </c>
    </row>
    <row r="2624" spans="1:13" ht="15" x14ac:dyDescent="0.25">
      <c r="A2624" s="1">
        <v>2615</v>
      </c>
      <c r="B2624" s="1" t="s">
        <v>375</v>
      </c>
      <c r="C2624" s="32">
        <v>4028</v>
      </c>
      <c r="D2624" s="1">
        <v>19000</v>
      </c>
      <c r="E2624" s="1"/>
      <c r="F2624" s="1">
        <v>207</v>
      </c>
      <c r="G2624" s="1">
        <v>19000</v>
      </c>
      <c r="H2624" s="5">
        <f t="shared" si="58"/>
        <v>0</v>
      </c>
      <c r="I2624" s="6"/>
      <c r="J2624" s="43"/>
      <c r="K2624" s="51"/>
      <c r="L2624" s="86"/>
    </row>
    <row r="2625" spans="1:12" ht="15" x14ac:dyDescent="0.25">
      <c r="A2625" s="1">
        <v>2616</v>
      </c>
      <c r="B2625" s="1" t="s">
        <v>375</v>
      </c>
      <c r="C2625" s="32">
        <v>2711</v>
      </c>
      <c r="D2625" s="1">
        <v>9000</v>
      </c>
      <c r="E2625" s="1"/>
      <c r="F2625" s="1">
        <v>100</v>
      </c>
      <c r="G2625" s="1">
        <v>9000</v>
      </c>
      <c r="H2625" s="5">
        <f t="shared" si="58"/>
        <v>0</v>
      </c>
      <c r="I2625" s="6"/>
      <c r="J2625" s="43"/>
      <c r="K2625" s="51"/>
      <c r="L2625" s="86"/>
    </row>
    <row r="2626" spans="1:12" ht="15" x14ac:dyDescent="0.25">
      <c r="A2626" s="1">
        <v>2617</v>
      </c>
      <c r="B2626" s="1" t="s">
        <v>375</v>
      </c>
      <c r="C2626" s="32">
        <v>1593</v>
      </c>
      <c r="D2626" s="1">
        <v>12000</v>
      </c>
      <c r="E2626" s="1"/>
      <c r="F2626" s="1">
        <v>133</v>
      </c>
      <c r="G2626" s="1">
        <v>12000</v>
      </c>
      <c r="H2626" s="5">
        <f t="shared" si="58"/>
        <v>0</v>
      </c>
      <c r="I2626" s="6"/>
      <c r="J2626" s="43"/>
      <c r="K2626" s="51"/>
      <c r="L2626" s="86"/>
    </row>
    <row r="2627" spans="1:12" ht="15" x14ac:dyDescent="0.25">
      <c r="A2627" s="1">
        <v>2618</v>
      </c>
      <c r="B2627" s="1" t="s">
        <v>375</v>
      </c>
      <c r="C2627" s="32" t="s">
        <v>63</v>
      </c>
      <c r="D2627" s="1">
        <v>3500</v>
      </c>
      <c r="E2627" s="1"/>
      <c r="F2627" s="1">
        <v>38.15</v>
      </c>
      <c r="G2627" s="1">
        <v>3500</v>
      </c>
      <c r="H2627" s="5">
        <f t="shared" si="58"/>
        <v>0</v>
      </c>
      <c r="I2627" s="6"/>
      <c r="J2627" s="43"/>
      <c r="K2627" s="51"/>
      <c r="L2627" s="86"/>
    </row>
    <row r="2628" spans="1:12" ht="15" x14ac:dyDescent="0.25">
      <c r="A2628" s="1">
        <v>2619</v>
      </c>
      <c r="B2628" s="1" t="s">
        <v>375</v>
      </c>
      <c r="C2628" s="32">
        <v>4204</v>
      </c>
      <c r="D2628" s="1">
        <v>15000</v>
      </c>
      <c r="E2628" s="1"/>
      <c r="F2628" s="1">
        <v>167</v>
      </c>
      <c r="G2628" s="1">
        <v>15000</v>
      </c>
      <c r="H2628" s="5">
        <f t="shared" si="58"/>
        <v>0</v>
      </c>
      <c r="I2628" s="6"/>
      <c r="J2628" s="43"/>
      <c r="K2628" s="51"/>
      <c r="L2628" s="86"/>
    </row>
    <row r="2629" spans="1:12" ht="15" x14ac:dyDescent="0.25">
      <c r="A2629" s="1">
        <v>2620</v>
      </c>
      <c r="B2629" s="1" t="s">
        <v>375</v>
      </c>
      <c r="C2629" s="32">
        <v>9998</v>
      </c>
      <c r="D2629" s="1">
        <v>17000</v>
      </c>
      <c r="E2629" s="1"/>
      <c r="F2629" s="1">
        <v>189</v>
      </c>
      <c r="G2629" s="1">
        <v>17000</v>
      </c>
      <c r="H2629" s="5">
        <f t="shared" si="58"/>
        <v>0</v>
      </c>
      <c r="I2629" s="6"/>
      <c r="J2629" s="43"/>
      <c r="K2629" s="51"/>
      <c r="L2629" s="86"/>
    </row>
    <row r="2630" spans="1:12" ht="15" x14ac:dyDescent="0.25">
      <c r="A2630" s="1">
        <v>2621</v>
      </c>
      <c r="B2630" s="1" t="s">
        <v>375</v>
      </c>
      <c r="C2630" s="32">
        <v>9398</v>
      </c>
      <c r="D2630" s="1">
        <v>17000</v>
      </c>
      <c r="E2630" s="1"/>
      <c r="F2630" s="1">
        <v>189</v>
      </c>
      <c r="G2630" s="1">
        <v>17000</v>
      </c>
      <c r="H2630" s="5">
        <f t="shared" si="58"/>
        <v>0</v>
      </c>
      <c r="I2630" s="6"/>
      <c r="J2630" s="43"/>
      <c r="K2630" s="51"/>
      <c r="L2630" s="86"/>
    </row>
    <row r="2631" spans="1:12" ht="15" x14ac:dyDescent="0.25">
      <c r="A2631" s="1">
        <v>2622</v>
      </c>
      <c r="B2631" s="1" t="s">
        <v>375</v>
      </c>
      <c r="C2631" s="32">
        <v>2803</v>
      </c>
      <c r="D2631" s="1">
        <v>15000</v>
      </c>
      <c r="E2631" s="1"/>
      <c r="F2631" s="1">
        <v>167</v>
      </c>
      <c r="G2631" s="1">
        <v>15000</v>
      </c>
      <c r="H2631" s="5">
        <f t="shared" si="58"/>
        <v>0</v>
      </c>
      <c r="I2631" s="6"/>
      <c r="J2631" s="43"/>
      <c r="K2631" s="51"/>
      <c r="L2631" s="86"/>
    </row>
    <row r="2632" spans="1:12" ht="15" x14ac:dyDescent="0.25">
      <c r="A2632" s="1">
        <v>2623</v>
      </c>
      <c r="B2632" s="1" t="s">
        <v>375</v>
      </c>
      <c r="C2632" s="32">
        <v>8399</v>
      </c>
      <c r="D2632" s="1">
        <v>10000</v>
      </c>
      <c r="E2632" s="1"/>
      <c r="F2632" s="1">
        <v>111</v>
      </c>
      <c r="G2632" s="1">
        <v>10000</v>
      </c>
      <c r="H2632" s="5">
        <f t="shared" si="58"/>
        <v>0</v>
      </c>
      <c r="I2632" s="6"/>
      <c r="J2632" s="43"/>
      <c r="K2632" s="51"/>
      <c r="L2632" s="86"/>
    </row>
    <row r="2633" spans="1:12" ht="15" x14ac:dyDescent="0.25">
      <c r="A2633" s="1">
        <v>2624</v>
      </c>
      <c r="B2633" s="1" t="s">
        <v>375</v>
      </c>
      <c r="C2633" s="32">
        <v>7125</v>
      </c>
      <c r="D2633" s="1">
        <v>15000</v>
      </c>
      <c r="E2633" s="1"/>
      <c r="F2633" s="1">
        <v>167</v>
      </c>
      <c r="G2633" s="1">
        <v>15000</v>
      </c>
      <c r="H2633" s="5">
        <f t="shared" si="58"/>
        <v>0</v>
      </c>
      <c r="I2633" s="6"/>
      <c r="J2633" s="43"/>
      <c r="K2633" s="51"/>
      <c r="L2633" s="86"/>
    </row>
    <row r="2634" spans="1:12" ht="15" x14ac:dyDescent="0.25">
      <c r="A2634" s="1">
        <v>2625</v>
      </c>
      <c r="B2634" s="1" t="s">
        <v>375</v>
      </c>
      <c r="C2634" s="32">
        <v>2.7000000000000001E-3</v>
      </c>
      <c r="D2634" s="1">
        <v>15000</v>
      </c>
      <c r="E2634" s="1"/>
      <c r="F2634" s="1">
        <v>167</v>
      </c>
      <c r="G2634" s="1">
        <v>15000</v>
      </c>
      <c r="H2634" s="5">
        <f t="shared" si="58"/>
        <v>0</v>
      </c>
      <c r="I2634" s="6"/>
      <c r="J2634" s="43"/>
      <c r="K2634" s="51"/>
      <c r="L2634" s="86"/>
    </row>
    <row r="2635" spans="1:12" ht="15" x14ac:dyDescent="0.25">
      <c r="A2635" s="1">
        <v>2626</v>
      </c>
      <c r="B2635" s="1" t="s">
        <v>375</v>
      </c>
      <c r="C2635" s="32">
        <v>8875</v>
      </c>
      <c r="D2635" s="1">
        <v>15000</v>
      </c>
      <c r="E2635" s="1"/>
      <c r="F2635" s="1">
        <v>167</v>
      </c>
      <c r="G2635" s="1">
        <v>15000</v>
      </c>
      <c r="H2635" s="5">
        <f t="shared" si="58"/>
        <v>0</v>
      </c>
      <c r="I2635" s="6"/>
      <c r="J2635" s="43"/>
      <c r="K2635" s="51"/>
      <c r="L2635" s="86"/>
    </row>
    <row r="2636" spans="1:12" ht="15" x14ac:dyDescent="0.25">
      <c r="A2636" s="1">
        <v>2627</v>
      </c>
      <c r="B2636" s="1" t="s">
        <v>375</v>
      </c>
      <c r="C2636" s="32">
        <v>3317</v>
      </c>
      <c r="D2636" s="1">
        <v>25000</v>
      </c>
      <c r="E2636" s="1"/>
      <c r="F2636" s="1">
        <v>278.22000000000003</v>
      </c>
      <c r="G2636" s="1">
        <v>25000</v>
      </c>
      <c r="H2636" s="5">
        <f t="shared" si="58"/>
        <v>0</v>
      </c>
      <c r="I2636" s="6"/>
      <c r="J2636" s="43"/>
      <c r="K2636" s="51"/>
      <c r="L2636" s="86"/>
    </row>
    <row r="2637" spans="1:12" ht="15" x14ac:dyDescent="0.25">
      <c r="A2637" s="1">
        <v>2628</v>
      </c>
      <c r="B2637" s="1" t="s">
        <v>375</v>
      </c>
      <c r="C2637" s="32">
        <v>2.0299999999999999E-2</v>
      </c>
      <c r="D2637" s="1">
        <v>22000</v>
      </c>
      <c r="E2637" s="1"/>
      <c r="F2637" s="1">
        <v>245</v>
      </c>
      <c r="G2637" s="1">
        <v>22000</v>
      </c>
      <c r="H2637" s="5">
        <f t="shared" si="58"/>
        <v>0</v>
      </c>
      <c r="I2637" s="6"/>
      <c r="J2637" s="43"/>
      <c r="K2637" s="51"/>
      <c r="L2637" s="86"/>
    </row>
    <row r="2638" spans="1:12" ht="15" x14ac:dyDescent="0.25">
      <c r="A2638" s="1">
        <v>2629</v>
      </c>
      <c r="B2638" s="1" t="s">
        <v>375</v>
      </c>
      <c r="C2638" s="32">
        <v>2972</v>
      </c>
      <c r="D2638" s="1">
        <v>14000</v>
      </c>
      <c r="E2638" s="1"/>
      <c r="F2638" s="1">
        <v>155</v>
      </c>
      <c r="G2638" s="1">
        <v>14000</v>
      </c>
      <c r="H2638" s="5">
        <f t="shared" si="58"/>
        <v>0</v>
      </c>
      <c r="I2638" s="6"/>
      <c r="J2638" s="43"/>
      <c r="K2638" s="51"/>
      <c r="L2638" s="86"/>
    </row>
    <row r="2639" spans="1:12" ht="15" x14ac:dyDescent="0.25">
      <c r="A2639" s="1">
        <v>2630</v>
      </c>
      <c r="B2639" s="1" t="s">
        <v>377</v>
      </c>
      <c r="C2639" s="32">
        <v>4155</v>
      </c>
      <c r="D2639" s="1">
        <v>22000</v>
      </c>
      <c r="E2639" s="1"/>
      <c r="F2639" s="1">
        <v>217</v>
      </c>
      <c r="G2639" s="1">
        <v>22000</v>
      </c>
      <c r="H2639" s="5">
        <f t="shared" si="58"/>
        <v>0</v>
      </c>
      <c r="I2639" s="6"/>
      <c r="J2639" s="43"/>
      <c r="K2639" s="51"/>
      <c r="L2639" s="86"/>
    </row>
    <row r="2640" spans="1:12" ht="15" x14ac:dyDescent="0.25">
      <c r="A2640" s="1">
        <v>2631</v>
      </c>
      <c r="B2640" s="1" t="s">
        <v>377</v>
      </c>
      <c r="C2640" s="32">
        <v>9387</v>
      </c>
      <c r="D2640" s="1">
        <v>5000</v>
      </c>
      <c r="E2640" s="1"/>
      <c r="F2640" s="1">
        <v>55.13</v>
      </c>
      <c r="G2640" s="1">
        <v>5000</v>
      </c>
      <c r="H2640" s="5">
        <f t="shared" ref="H2640:H2704" si="59">D2640-G2640</f>
        <v>0</v>
      </c>
      <c r="I2640" s="6"/>
      <c r="J2640" s="43"/>
      <c r="K2640" s="51"/>
      <c r="L2640" s="86"/>
    </row>
    <row r="2641" spans="1:12" ht="15" x14ac:dyDescent="0.25">
      <c r="A2641" s="1">
        <v>2632</v>
      </c>
      <c r="B2641" s="1" t="s">
        <v>377</v>
      </c>
      <c r="C2641" s="32">
        <v>5983</v>
      </c>
      <c r="D2641" s="1">
        <v>34000</v>
      </c>
      <c r="E2641" s="1"/>
      <c r="F2641" s="1">
        <v>375</v>
      </c>
      <c r="G2641" s="1">
        <v>34000</v>
      </c>
      <c r="H2641" s="5">
        <f t="shared" si="59"/>
        <v>0</v>
      </c>
      <c r="I2641" s="6"/>
      <c r="J2641" s="43"/>
      <c r="K2641" s="51"/>
      <c r="L2641" s="86"/>
    </row>
    <row r="2642" spans="1:12" ht="15" x14ac:dyDescent="0.25">
      <c r="A2642" s="1">
        <v>2633</v>
      </c>
      <c r="B2642" s="1" t="s">
        <v>377</v>
      </c>
      <c r="C2642" s="32" t="s">
        <v>30</v>
      </c>
      <c r="D2642" s="1">
        <v>5000</v>
      </c>
      <c r="E2642" s="1"/>
      <c r="F2642" s="1">
        <v>50.13</v>
      </c>
      <c r="G2642" s="1">
        <v>5000</v>
      </c>
      <c r="H2642" s="5">
        <f t="shared" si="59"/>
        <v>0</v>
      </c>
      <c r="I2642" s="6"/>
      <c r="J2642" s="43"/>
      <c r="K2642" s="51"/>
      <c r="L2642" s="86"/>
    </row>
    <row r="2643" spans="1:12" ht="15" x14ac:dyDescent="0.25">
      <c r="A2643" s="1">
        <v>2634</v>
      </c>
      <c r="B2643" s="1" t="s">
        <v>377</v>
      </c>
      <c r="C2643" s="32">
        <v>5151</v>
      </c>
      <c r="D2643" s="1">
        <v>16000</v>
      </c>
      <c r="E2643" s="1"/>
      <c r="F2643" s="1">
        <v>183</v>
      </c>
      <c r="G2643" s="1">
        <v>16000</v>
      </c>
      <c r="H2643" s="5">
        <f t="shared" si="59"/>
        <v>0</v>
      </c>
      <c r="I2643" s="6"/>
      <c r="J2643" s="43"/>
      <c r="K2643" s="51"/>
      <c r="L2643" s="86"/>
    </row>
    <row r="2644" spans="1:12" ht="15" x14ac:dyDescent="0.25">
      <c r="A2644" s="1">
        <v>2635</v>
      </c>
      <c r="B2644" s="1" t="s">
        <v>377</v>
      </c>
      <c r="C2644" s="32">
        <v>1215</v>
      </c>
      <c r="D2644" s="1">
        <v>15000</v>
      </c>
      <c r="E2644" s="1"/>
      <c r="F2644" s="1">
        <v>167</v>
      </c>
      <c r="G2644" s="1">
        <v>15000</v>
      </c>
      <c r="H2644" s="5">
        <f t="shared" si="59"/>
        <v>0</v>
      </c>
      <c r="I2644" s="6"/>
      <c r="J2644" s="43"/>
      <c r="K2644" s="51"/>
      <c r="L2644" s="86"/>
    </row>
    <row r="2645" spans="1:12" ht="15" x14ac:dyDescent="0.25">
      <c r="A2645" s="1">
        <v>2636</v>
      </c>
      <c r="B2645" s="1" t="s">
        <v>377</v>
      </c>
      <c r="C2645" s="32" t="s">
        <v>30</v>
      </c>
      <c r="D2645" s="1">
        <v>4500</v>
      </c>
      <c r="E2645" s="1"/>
      <c r="F2645" s="1">
        <v>50.13</v>
      </c>
      <c r="G2645" s="1">
        <v>4500</v>
      </c>
      <c r="H2645" s="5">
        <f t="shared" si="59"/>
        <v>0</v>
      </c>
      <c r="I2645" s="6"/>
      <c r="J2645" s="43"/>
      <c r="K2645" s="51"/>
      <c r="L2645" s="86"/>
    </row>
    <row r="2646" spans="1:12" ht="15" x14ac:dyDescent="0.25">
      <c r="A2646" s="1">
        <v>2637</v>
      </c>
      <c r="B2646" s="1" t="s">
        <v>377</v>
      </c>
      <c r="C2646" s="32">
        <v>8787</v>
      </c>
      <c r="D2646" s="1">
        <v>26500</v>
      </c>
      <c r="E2646" s="1"/>
      <c r="F2646" s="1">
        <v>292</v>
      </c>
      <c r="G2646" s="1">
        <v>26500</v>
      </c>
      <c r="H2646" s="5">
        <f t="shared" si="59"/>
        <v>0</v>
      </c>
      <c r="I2646" s="6"/>
      <c r="J2646" s="43"/>
      <c r="K2646" s="51"/>
      <c r="L2646" s="86"/>
    </row>
    <row r="2647" spans="1:12" ht="15" x14ac:dyDescent="0.25">
      <c r="A2647" s="1">
        <v>2638</v>
      </c>
      <c r="B2647" s="1" t="s">
        <v>377</v>
      </c>
      <c r="C2647" s="32">
        <v>2705</v>
      </c>
      <c r="D2647" s="1">
        <v>12000</v>
      </c>
      <c r="E2647" s="1"/>
      <c r="F2647" s="1">
        <v>133</v>
      </c>
      <c r="G2647" s="1">
        <v>12000</v>
      </c>
      <c r="H2647" s="5">
        <f t="shared" si="59"/>
        <v>0</v>
      </c>
      <c r="I2647" s="6"/>
      <c r="J2647" s="43"/>
      <c r="K2647" s="51"/>
      <c r="L2647" s="86"/>
    </row>
    <row r="2648" spans="1:12" ht="15" x14ac:dyDescent="0.25">
      <c r="A2648" s="1">
        <v>2639</v>
      </c>
      <c r="B2648" s="1" t="s">
        <v>377</v>
      </c>
      <c r="C2648" s="32">
        <v>1266</v>
      </c>
      <c r="D2648" s="1">
        <v>13000</v>
      </c>
      <c r="E2648" s="1"/>
      <c r="F2648" s="1">
        <v>144</v>
      </c>
      <c r="G2648" s="1">
        <v>13000</v>
      </c>
      <c r="H2648" s="5">
        <f t="shared" si="59"/>
        <v>0</v>
      </c>
      <c r="I2648" s="6"/>
      <c r="J2648" s="43"/>
      <c r="K2648" s="51"/>
      <c r="L2648" s="86"/>
    </row>
    <row r="2649" spans="1:12" ht="15" x14ac:dyDescent="0.25">
      <c r="A2649" s="1">
        <v>2640</v>
      </c>
      <c r="B2649" s="1" t="s">
        <v>377</v>
      </c>
      <c r="C2649" s="32">
        <v>5.0500000000000003E-2</v>
      </c>
      <c r="D2649" s="1">
        <v>20000</v>
      </c>
      <c r="E2649" s="1"/>
      <c r="F2649" s="1">
        <v>222.82</v>
      </c>
      <c r="G2649" s="1">
        <v>20000</v>
      </c>
      <c r="H2649" s="5">
        <f t="shared" si="59"/>
        <v>0</v>
      </c>
      <c r="I2649" s="6"/>
      <c r="J2649" s="43"/>
      <c r="K2649" s="51"/>
      <c r="L2649" s="86"/>
    </row>
    <row r="2650" spans="1:12" ht="15" x14ac:dyDescent="0.25">
      <c r="A2650" s="1">
        <v>2641</v>
      </c>
      <c r="B2650" s="1" t="s">
        <v>377</v>
      </c>
      <c r="C2650" s="32">
        <v>2354</v>
      </c>
      <c r="D2650" s="1">
        <v>16000</v>
      </c>
      <c r="E2650" s="1"/>
      <c r="F2650" s="1">
        <v>178</v>
      </c>
      <c r="G2650" s="1">
        <v>16000</v>
      </c>
      <c r="H2650" s="5">
        <f t="shared" si="59"/>
        <v>0</v>
      </c>
      <c r="I2650" s="6"/>
      <c r="J2650" s="43"/>
      <c r="K2650" s="51"/>
      <c r="L2650" s="86"/>
    </row>
    <row r="2651" spans="1:12" ht="15" x14ac:dyDescent="0.25">
      <c r="A2651" s="1">
        <v>2642</v>
      </c>
      <c r="B2651" s="1" t="s">
        <v>377</v>
      </c>
      <c r="C2651" s="32">
        <v>4371</v>
      </c>
      <c r="D2651" s="1">
        <v>12000</v>
      </c>
      <c r="E2651" s="1"/>
      <c r="F2651" s="1">
        <v>133</v>
      </c>
      <c r="G2651" s="1">
        <v>12000</v>
      </c>
      <c r="H2651" s="5">
        <f t="shared" si="59"/>
        <v>0</v>
      </c>
      <c r="I2651" s="6"/>
      <c r="J2651" s="43"/>
      <c r="K2651" s="51"/>
      <c r="L2651" s="86"/>
    </row>
    <row r="2652" spans="1:12" ht="15" x14ac:dyDescent="0.25">
      <c r="A2652" s="1">
        <v>2643</v>
      </c>
      <c r="B2652" s="1" t="s">
        <v>377</v>
      </c>
      <c r="C2652" s="32">
        <v>4995</v>
      </c>
      <c r="D2652" s="1">
        <v>21000</v>
      </c>
      <c r="E2652" s="1"/>
      <c r="F2652" s="1">
        <v>233</v>
      </c>
      <c r="G2652" s="1">
        <v>21000</v>
      </c>
      <c r="H2652" s="5">
        <f t="shared" si="59"/>
        <v>0</v>
      </c>
      <c r="I2652" s="6"/>
      <c r="J2652" s="43"/>
      <c r="K2652" s="51"/>
      <c r="L2652" s="86"/>
    </row>
    <row r="2653" spans="1:12" ht="15" x14ac:dyDescent="0.25">
      <c r="A2653" s="1">
        <v>2644</v>
      </c>
      <c r="B2653" s="1" t="s">
        <v>377</v>
      </c>
      <c r="C2653" s="32">
        <v>1796</v>
      </c>
      <c r="D2653" s="1">
        <v>28000</v>
      </c>
      <c r="E2653" s="1"/>
      <c r="F2653" s="1">
        <v>308</v>
      </c>
      <c r="G2653" s="1">
        <v>28000</v>
      </c>
      <c r="H2653" s="5">
        <f t="shared" si="59"/>
        <v>0</v>
      </c>
      <c r="I2653" s="6"/>
      <c r="J2653" s="43"/>
      <c r="K2653" s="51"/>
      <c r="L2653" s="86"/>
    </row>
    <row r="2654" spans="1:12" ht="15" x14ac:dyDescent="0.25">
      <c r="A2654" s="1">
        <v>2645</v>
      </c>
      <c r="B2654" s="1" t="s">
        <v>377</v>
      </c>
      <c r="C2654" s="32">
        <v>1143</v>
      </c>
      <c r="D2654" s="1">
        <v>20400</v>
      </c>
      <c r="E2654" s="1"/>
      <c r="F2654" s="1">
        <v>227</v>
      </c>
      <c r="G2654" s="1">
        <v>20400</v>
      </c>
      <c r="H2654" s="5">
        <f t="shared" si="59"/>
        <v>0</v>
      </c>
      <c r="I2654" s="6"/>
      <c r="J2654" s="43"/>
      <c r="K2654" s="51"/>
      <c r="L2654" s="86"/>
    </row>
    <row r="2655" spans="1:12" ht="15" x14ac:dyDescent="0.25">
      <c r="A2655" s="1">
        <v>2646</v>
      </c>
      <c r="B2655" s="1" t="s">
        <v>377</v>
      </c>
      <c r="C2655" s="32">
        <v>6334</v>
      </c>
      <c r="D2655" s="1">
        <v>20000</v>
      </c>
      <c r="E2655" s="1"/>
      <c r="F2655" s="1">
        <v>222.82</v>
      </c>
      <c r="G2655" s="1">
        <v>20000</v>
      </c>
      <c r="H2655" s="5">
        <f t="shared" si="59"/>
        <v>0</v>
      </c>
      <c r="I2655" s="6"/>
      <c r="J2655" s="43"/>
      <c r="K2655" s="51"/>
      <c r="L2655" s="86"/>
    </row>
    <row r="2656" spans="1:12" ht="15" x14ac:dyDescent="0.25">
      <c r="A2656" s="1">
        <v>2647</v>
      </c>
      <c r="B2656" s="1" t="s">
        <v>377</v>
      </c>
      <c r="C2656" s="32">
        <v>1730</v>
      </c>
      <c r="D2656" s="1">
        <v>20000</v>
      </c>
      <c r="E2656" s="1"/>
      <c r="F2656" s="1">
        <v>222.82</v>
      </c>
      <c r="G2656" s="1">
        <v>20000</v>
      </c>
      <c r="H2656" s="5">
        <f t="shared" si="59"/>
        <v>0</v>
      </c>
      <c r="I2656" s="6"/>
      <c r="J2656" s="43"/>
      <c r="K2656" s="51"/>
      <c r="L2656" s="86"/>
    </row>
    <row r="2657" spans="1:12" ht="15" x14ac:dyDescent="0.25">
      <c r="A2657" s="1">
        <v>2648</v>
      </c>
      <c r="B2657" s="1" t="s">
        <v>378</v>
      </c>
      <c r="C2657" s="32" t="s">
        <v>30</v>
      </c>
      <c r="D2657" s="1">
        <v>3500</v>
      </c>
      <c r="E2657" s="1"/>
      <c r="F2657" s="1">
        <v>35.130000000000003</v>
      </c>
      <c r="G2657" s="1">
        <v>3500</v>
      </c>
      <c r="H2657" s="5">
        <f t="shared" si="59"/>
        <v>0</v>
      </c>
      <c r="I2657" s="6"/>
      <c r="J2657" s="43"/>
      <c r="K2657" s="51"/>
      <c r="L2657" s="86"/>
    </row>
    <row r="2658" spans="1:12" ht="15" x14ac:dyDescent="0.25">
      <c r="A2658" s="1">
        <v>2649</v>
      </c>
      <c r="B2658" s="1" t="s">
        <v>378</v>
      </c>
      <c r="C2658" s="32">
        <v>5252</v>
      </c>
      <c r="D2658" s="1">
        <v>16000</v>
      </c>
      <c r="E2658" s="1"/>
      <c r="F2658" s="1">
        <v>178</v>
      </c>
      <c r="G2658" s="1">
        <v>16000</v>
      </c>
      <c r="H2658" s="5">
        <f t="shared" si="59"/>
        <v>0</v>
      </c>
      <c r="I2658" s="6"/>
      <c r="J2658" s="43"/>
      <c r="K2658" s="51"/>
      <c r="L2658" s="86"/>
    </row>
    <row r="2659" spans="1:12" ht="15" x14ac:dyDescent="0.25">
      <c r="A2659" s="1">
        <v>2650</v>
      </c>
      <c r="B2659" s="1" t="s">
        <v>378</v>
      </c>
      <c r="C2659" s="32">
        <v>9544</v>
      </c>
      <c r="D2659" s="1">
        <v>12000</v>
      </c>
      <c r="E2659" s="1"/>
      <c r="F2659" s="1">
        <v>133</v>
      </c>
      <c r="G2659" s="1">
        <v>12000</v>
      </c>
      <c r="H2659" s="5">
        <f t="shared" si="59"/>
        <v>0</v>
      </c>
      <c r="I2659" s="6"/>
      <c r="J2659" s="43"/>
      <c r="K2659" s="51"/>
      <c r="L2659" s="86"/>
    </row>
    <row r="2660" spans="1:12" ht="15" x14ac:dyDescent="0.25">
      <c r="A2660" s="1">
        <v>2651</v>
      </c>
      <c r="B2660" s="1" t="s">
        <v>378</v>
      </c>
      <c r="C2660" s="32">
        <v>5715</v>
      </c>
      <c r="D2660" s="1">
        <v>18000</v>
      </c>
      <c r="E2660" s="1"/>
      <c r="F2660" s="1">
        <v>200</v>
      </c>
      <c r="G2660" s="1">
        <v>18000</v>
      </c>
      <c r="H2660" s="5">
        <f t="shared" si="59"/>
        <v>0</v>
      </c>
      <c r="I2660" s="6"/>
      <c r="J2660" s="43"/>
      <c r="K2660" s="51"/>
      <c r="L2660" s="86"/>
    </row>
    <row r="2661" spans="1:12" ht="15" x14ac:dyDescent="0.25">
      <c r="A2661" s="1">
        <v>2652</v>
      </c>
      <c r="B2661" s="1" t="s">
        <v>378</v>
      </c>
      <c r="C2661" s="32">
        <v>9655</v>
      </c>
      <c r="D2661" s="1">
        <v>15000</v>
      </c>
      <c r="E2661" s="1"/>
      <c r="F2661" s="1">
        <v>167</v>
      </c>
      <c r="G2661" s="1">
        <v>15000</v>
      </c>
      <c r="H2661" s="5">
        <f t="shared" si="59"/>
        <v>0</v>
      </c>
      <c r="I2661" s="6"/>
      <c r="J2661" s="43"/>
      <c r="K2661" s="51"/>
      <c r="L2661" s="86"/>
    </row>
    <row r="2662" spans="1:12" ht="15" x14ac:dyDescent="0.25">
      <c r="A2662" s="1">
        <v>2653</v>
      </c>
      <c r="B2662" s="1" t="s">
        <v>378</v>
      </c>
      <c r="C2662" s="32" t="s">
        <v>66</v>
      </c>
      <c r="D2662" s="1">
        <v>210</v>
      </c>
      <c r="E2662" s="1"/>
      <c r="F2662" s="1">
        <v>2.06</v>
      </c>
      <c r="G2662" s="1">
        <v>210</v>
      </c>
      <c r="H2662" s="5">
        <f t="shared" si="59"/>
        <v>0</v>
      </c>
      <c r="I2662" s="6"/>
      <c r="J2662" s="43"/>
      <c r="K2662" s="51"/>
      <c r="L2662" s="86"/>
    </row>
    <row r="2663" spans="1:12" ht="15" x14ac:dyDescent="0.25">
      <c r="A2663" s="1">
        <v>2654</v>
      </c>
      <c r="B2663" s="1" t="s">
        <v>378</v>
      </c>
      <c r="C2663" s="32" t="s">
        <v>66</v>
      </c>
      <c r="D2663" s="1">
        <v>200</v>
      </c>
      <c r="E2663" s="1"/>
      <c r="F2663" s="1">
        <v>2.06</v>
      </c>
      <c r="G2663" s="1">
        <v>200</v>
      </c>
      <c r="H2663" s="5">
        <f t="shared" si="59"/>
        <v>0</v>
      </c>
      <c r="I2663" s="6"/>
      <c r="J2663" s="43"/>
      <c r="K2663" s="51"/>
      <c r="L2663" s="86"/>
    </row>
    <row r="2664" spans="1:12" ht="15" x14ac:dyDescent="0.25">
      <c r="A2664" s="1">
        <v>2655</v>
      </c>
      <c r="B2664" s="1" t="s">
        <v>378</v>
      </c>
      <c r="C2664" s="32" t="s">
        <v>30</v>
      </c>
      <c r="D2664" s="1">
        <v>7000</v>
      </c>
      <c r="E2664" s="1"/>
      <c r="F2664" s="1">
        <v>77.12</v>
      </c>
      <c r="G2664" s="1">
        <v>7000</v>
      </c>
      <c r="H2664" s="5">
        <f t="shared" si="59"/>
        <v>0</v>
      </c>
      <c r="I2664" s="6"/>
      <c r="J2664" s="43"/>
      <c r="K2664" s="51"/>
      <c r="L2664" s="86"/>
    </row>
    <row r="2665" spans="1:12" ht="15" x14ac:dyDescent="0.25">
      <c r="A2665" s="1">
        <v>2656</v>
      </c>
      <c r="B2665" s="1" t="s">
        <v>378</v>
      </c>
      <c r="C2665" s="32">
        <v>4665</v>
      </c>
      <c r="D2665" s="1">
        <v>22000</v>
      </c>
      <c r="E2665" s="1"/>
      <c r="F2665" s="1">
        <v>245</v>
      </c>
      <c r="G2665" s="1">
        <v>22000</v>
      </c>
      <c r="H2665" s="5">
        <f t="shared" si="59"/>
        <v>0</v>
      </c>
      <c r="I2665" s="6"/>
      <c r="J2665" s="43"/>
      <c r="K2665" s="51"/>
      <c r="L2665" s="86"/>
    </row>
    <row r="2666" spans="1:12" ht="15" x14ac:dyDescent="0.25">
      <c r="A2666" s="1">
        <v>2657</v>
      </c>
      <c r="B2666" s="1" t="s">
        <v>378</v>
      </c>
      <c r="C2666" s="32">
        <v>4595</v>
      </c>
      <c r="D2666" s="1">
        <v>22000</v>
      </c>
      <c r="E2666" s="1"/>
      <c r="F2666" s="1">
        <v>245</v>
      </c>
      <c r="G2666" s="1">
        <v>22000</v>
      </c>
      <c r="H2666" s="5">
        <f t="shared" si="59"/>
        <v>0</v>
      </c>
      <c r="I2666" s="6"/>
      <c r="J2666" s="43"/>
      <c r="K2666" s="51"/>
      <c r="L2666" s="86"/>
    </row>
    <row r="2667" spans="1:12" ht="15" x14ac:dyDescent="0.25">
      <c r="A2667" s="1">
        <v>2658</v>
      </c>
      <c r="B2667" s="1" t="s">
        <v>378</v>
      </c>
      <c r="C2667" s="32" t="s">
        <v>66</v>
      </c>
      <c r="D2667" s="1">
        <v>400</v>
      </c>
      <c r="E2667" s="1"/>
      <c r="F2667" s="1">
        <v>4.46</v>
      </c>
      <c r="G2667" s="1">
        <v>400</v>
      </c>
      <c r="H2667" s="5">
        <f t="shared" si="59"/>
        <v>0</v>
      </c>
      <c r="I2667" s="6"/>
      <c r="J2667" s="43"/>
      <c r="K2667" s="51"/>
      <c r="L2667" s="86"/>
    </row>
    <row r="2668" spans="1:12" ht="15" x14ac:dyDescent="0.25">
      <c r="A2668" s="1">
        <v>2659</v>
      </c>
      <c r="B2668" s="1" t="s">
        <v>378</v>
      </c>
      <c r="C2668" s="32">
        <v>6378</v>
      </c>
      <c r="D2668" s="1">
        <v>15000</v>
      </c>
      <c r="E2668" s="1"/>
      <c r="F2668" s="1">
        <v>167</v>
      </c>
      <c r="G2668" s="1">
        <v>15000</v>
      </c>
      <c r="H2668" s="5">
        <f t="shared" si="59"/>
        <v>0</v>
      </c>
      <c r="I2668" s="6"/>
      <c r="J2668" s="43"/>
      <c r="K2668" s="51"/>
      <c r="L2668" s="86"/>
    </row>
    <row r="2669" spans="1:12" ht="15" x14ac:dyDescent="0.25">
      <c r="A2669" s="1">
        <v>2660</v>
      </c>
      <c r="B2669" s="1" t="s">
        <v>378</v>
      </c>
      <c r="C2669" s="32">
        <v>5504</v>
      </c>
      <c r="D2669" s="1">
        <v>14000</v>
      </c>
      <c r="E2669" s="1"/>
      <c r="F2669" s="1">
        <v>155</v>
      </c>
      <c r="G2669" s="1">
        <v>14000</v>
      </c>
      <c r="H2669" s="5">
        <f t="shared" si="59"/>
        <v>0</v>
      </c>
      <c r="I2669" s="6"/>
      <c r="J2669" s="43"/>
      <c r="K2669" s="51"/>
      <c r="L2669" s="86"/>
    </row>
    <row r="2670" spans="1:12" ht="15" x14ac:dyDescent="0.25">
      <c r="A2670" s="1">
        <v>2661</v>
      </c>
      <c r="B2670" s="1" t="s">
        <v>378</v>
      </c>
      <c r="C2670" s="32">
        <v>6461</v>
      </c>
      <c r="D2670" s="1">
        <v>30000</v>
      </c>
      <c r="E2670" s="1"/>
      <c r="F2670" s="1">
        <v>328</v>
      </c>
      <c r="G2670" s="1">
        <v>30000</v>
      </c>
      <c r="H2670" s="5">
        <f t="shared" si="59"/>
        <v>0</v>
      </c>
      <c r="I2670" s="6"/>
      <c r="J2670" s="43"/>
      <c r="K2670" s="51"/>
      <c r="L2670" s="86"/>
    </row>
    <row r="2671" spans="1:12" ht="15" x14ac:dyDescent="0.25">
      <c r="A2671" s="1">
        <v>2662</v>
      </c>
      <c r="B2671" s="1" t="s">
        <v>378</v>
      </c>
      <c r="C2671" s="32">
        <v>3720</v>
      </c>
      <c r="D2671" s="1">
        <v>15000</v>
      </c>
      <c r="E2671" s="1"/>
      <c r="F2671" s="1">
        <v>167</v>
      </c>
      <c r="G2671" s="1">
        <v>15000</v>
      </c>
      <c r="H2671" s="5">
        <f t="shared" si="59"/>
        <v>0</v>
      </c>
      <c r="I2671" s="6"/>
      <c r="J2671" s="43"/>
      <c r="K2671" s="51"/>
      <c r="L2671" s="86"/>
    </row>
    <row r="2672" spans="1:12" ht="15" x14ac:dyDescent="0.25">
      <c r="A2672" s="1">
        <v>2663</v>
      </c>
      <c r="B2672" s="1" t="s">
        <v>378</v>
      </c>
      <c r="C2672" s="32">
        <v>1668</v>
      </c>
      <c r="D2672" s="1">
        <v>15000</v>
      </c>
      <c r="E2672" s="1"/>
      <c r="F2672" s="1">
        <v>167</v>
      </c>
      <c r="G2672" s="1">
        <v>15000</v>
      </c>
      <c r="H2672" s="5">
        <f t="shared" si="59"/>
        <v>0</v>
      </c>
      <c r="I2672" s="6"/>
      <c r="J2672" s="43"/>
      <c r="K2672" s="51"/>
      <c r="L2672" s="86"/>
    </row>
    <row r="2673" spans="1:12" ht="15" x14ac:dyDescent="0.25">
      <c r="A2673" s="1">
        <v>2664</v>
      </c>
      <c r="B2673" s="1" t="s">
        <v>378</v>
      </c>
      <c r="C2673" s="32">
        <v>7277</v>
      </c>
      <c r="D2673" s="1">
        <v>13000</v>
      </c>
      <c r="E2673" s="1"/>
      <c r="F2673" s="1">
        <v>144</v>
      </c>
      <c r="G2673" s="1">
        <v>13000</v>
      </c>
      <c r="H2673" s="5">
        <f t="shared" si="59"/>
        <v>0</v>
      </c>
      <c r="I2673" s="6"/>
      <c r="J2673" s="43"/>
      <c r="K2673" s="51"/>
      <c r="L2673" s="86"/>
    </row>
    <row r="2674" spans="1:12" ht="15" x14ac:dyDescent="0.25">
      <c r="A2674" s="1">
        <v>2665</v>
      </c>
      <c r="B2674" s="1" t="s">
        <v>378</v>
      </c>
      <c r="C2674" s="32">
        <v>1.77E-2</v>
      </c>
      <c r="D2674" s="1">
        <v>30000</v>
      </c>
      <c r="E2674" s="1"/>
      <c r="F2674" s="1">
        <v>328</v>
      </c>
      <c r="G2674" s="1">
        <v>30000</v>
      </c>
      <c r="H2674" s="5">
        <f t="shared" si="59"/>
        <v>0</v>
      </c>
      <c r="I2674" s="6"/>
      <c r="J2674" s="43"/>
      <c r="K2674" s="51"/>
      <c r="L2674" s="86"/>
    </row>
    <row r="2675" spans="1:12" ht="15" x14ac:dyDescent="0.25">
      <c r="A2675" s="1">
        <v>2666</v>
      </c>
      <c r="B2675" s="1" t="s">
        <v>378</v>
      </c>
      <c r="C2675" s="32">
        <v>2575</v>
      </c>
      <c r="D2675" s="1">
        <v>15000</v>
      </c>
      <c r="E2675" s="1"/>
      <c r="F2675" s="1">
        <v>167</v>
      </c>
      <c r="G2675" s="1">
        <v>15000</v>
      </c>
      <c r="H2675" s="5">
        <f t="shared" si="59"/>
        <v>0</v>
      </c>
      <c r="I2675" s="6"/>
      <c r="J2675" s="43"/>
      <c r="K2675" s="51"/>
      <c r="L2675" s="86"/>
    </row>
    <row r="2676" spans="1:12" ht="15" x14ac:dyDescent="0.25">
      <c r="A2676" s="1">
        <v>2667</v>
      </c>
      <c r="B2676" s="1" t="s">
        <v>378</v>
      </c>
      <c r="C2676" s="32">
        <v>5300</v>
      </c>
      <c r="D2676" s="1">
        <v>18000</v>
      </c>
      <c r="E2676" s="1"/>
      <c r="F2676" s="1">
        <v>200</v>
      </c>
      <c r="G2676" s="1">
        <v>18000</v>
      </c>
      <c r="H2676" s="5">
        <f t="shared" si="59"/>
        <v>0</v>
      </c>
      <c r="I2676" s="6"/>
      <c r="J2676" s="43"/>
      <c r="K2676" s="51"/>
      <c r="L2676" s="86"/>
    </row>
    <row r="2677" spans="1:12" ht="15" x14ac:dyDescent="0.25">
      <c r="A2677" s="1">
        <v>2668</v>
      </c>
      <c r="B2677" s="1" t="s">
        <v>378</v>
      </c>
      <c r="C2677" s="32">
        <v>6083</v>
      </c>
      <c r="D2677" s="1">
        <v>33000</v>
      </c>
      <c r="E2677" s="1"/>
      <c r="F2677" s="1">
        <v>367</v>
      </c>
      <c r="G2677" s="1">
        <v>33000</v>
      </c>
      <c r="H2677" s="5">
        <f t="shared" si="59"/>
        <v>0</v>
      </c>
      <c r="I2677" s="6"/>
      <c r="J2677" s="43"/>
      <c r="K2677" s="51"/>
      <c r="L2677" s="86"/>
    </row>
    <row r="2678" spans="1:12" ht="15" x14ac:dyDescent="0.25">
      <c r="A2678" s="1">
        <v>2669</v>
      </c>
      <c r="B2678" s="1" t="s">
        <v>378</v>
      </c>
      <c r="C2678" s="32">
        <v>5498</v>
      </c>
      <c r="D2678" s="1">
        <v>21000</v>
      </c>
      <c r="E2678" s="1"/>
      <c r="F2678" s="1">
        <v>233</v>
      </c>
      <c r="G2678" s="1">
        <v>21000</v>
      </c>
      <c r="H2678" s="5">
        <f t="shared" si="59"/>
        <v>0</v>
      </c>
      <c r="I2678" s="6"/>
      <c r="J2678" s="43"/>
      <c r="K2678" s="51"/>
      <c r="L2678" s="86">
        <f>1794507-1791783</f>
        <v>2724</v>
      </c>
    </row>
    <row r="2679" spans="1:12" ht="15" x14ac:dyDescent="0.25">
      <c r="A2679" s="1">
        <v>2670</v>
      </c>
      <c r="B2679" s="1" t="s">
        <v>379</v>
      </c>
      <c r="C2679" s="32">
        <v>9903</v>
      </c>
      <c r="D2679" s="1">
        <v>20000</v>
      </c>
      <c r="E2679" s="1"/>
      <c r="F2679" s="1">
        <v>222.82</v>
      </c>
      <c r="G2679" s="1">
        <v>20000</v>
      </c>
      <c r="H2679" s="5">
        <f t="shared" si="59"/>
        <v>0</v>
      </c>
      <c r="I2679" s="6"/>
      <c r="J2679" s="43"/>
      <c r="K2679" s="51"/>
      <c r="L2679" s="86"/>
    </row>
    <row r="2680" spans="1:12" ht="15" x14ac:dyDescent="0.25">
      <c r="A2680" s="1">
        <v>2671</v>
      </c>
      <c r="B2680" s="1" t="s">
        <v>379</v>
      </c>
      <c r="C2680" s="32">
        <v>1593</v>
      </c>
      <c r="D2680" s="1">
        <v>12000</v>
      </c>
      <c r="E2680" s="1"/>
      <c r="F2680" s="1">
        <v>133</v>
      </c>
      <c r="G2680" s="1">
        <v>12000</v>
      </c>
      <c r="H2680" s="5">
        <f t="shared" si="59"/>
        <v>0</v>
      </c>
      <c r="I2680" s="6"/>
      <c r="J2680" s="43"/>
      <c r="K2680" s="51"/>
      <c r="L2680" s="86"/>
    </row>
    <row r="2681" spans="1:12" ht="15" x14ac:dyDescent="0.25">
      <c r="A2681" s="1">
        <v>2672</v>
      </c>
      <c r="B2681" s="1" t="s">
        <v>379</v>
      </c>
      <c r="C2681" s="32" t="s">
        <v>30</v>
      </c>
      <c r="D2681" s="1">
        <v>5000</v>
      </c>
      <c r="E2681" s="1"/>
      <c r="F2681" s="1">
        <v>50.13</v>
      </c>
      <c r="G2681" s="1">
        <v>5000</v>
      </c>
      <c r="H2681" s="5">
        <f t="shared" si="59"/>
        <v>0</v>
      </c>
      <c r="I2681" s="6"/>
      <c r="J2681" s="43"/>
      <c r="K2681" s="51"/>
      <c r="L2681" s="86"/>
    </row>
    <row r="2682" spans="1:12" ht="15" x14ac:dyDescent="0.25">
      <c r="A2682" s="1">
        <v>2673</v>
      </c>
      <c r="B2682" s="1" t="s">
        <v>379</v>
      </c>
      <c r="C2682" s="32" t="s">
        <v>30</v>
      </c>
      <c r="D2682" s="1">
        <v>2000</v>
      </c>
      <c r="E2682" s="1"/>
      <c r="F2682" s="1">
        <v>22</v>
      </c>
      <c r="G2682" s="1">
        <v>2000</v>
      </c>
      <c r="H2682" s="5">
        <f t="shared" si="59"/>
        <v>0</v>
      </c>
      <c r="I2682" s="6"/>
      <c r="J2682" s="43"/>
      <c r="K2682" s="51"/>
      <c r="L2682" s="86"/>
    </row>
    <row r="2683" spans="1:12" ht="15" x14ac:dyDescent="0.25">
      <c r="A2683" s="1">
        <v>2674</v>
      </c>
      <c r="B2683" s="1" t="s">
        <v>379</v>
      </c>
      <c r="C2683" s="32" t="s">
        <v>63</v>
      </c>
      <c r="D2683" s="1">
        <v>3500</v>
      </c>
      <c r="E2683" s="1"/>
      <c r="F2683" s="1">
        <v>38.99</v>
      </c>
      <c r="G2683" s="1">
        <v>3500</v>
      </c>
      <c r="H2683" s="5">
        <f t="shared" si="59"/>
        <v>0</v>
      </c>
      <c r="I2683" s="6"/>
      <c r="J2683" s="43"/>
      <c r="K2683" s="51"/>
      <c r="L2683" s="86"/>
    </row>
    <row r="2684" spans="1:12" ht="15" x14ac:dyDescent="0.25">
      <c r="A2684" s="1">
        <v>2675</v>
      </c>
      <c r="B2684" s="1" t="s">
        <v>379</v>
      </c>
      <c r="C2684" s="32">
        <v>5.1999999999999998E-3</v>
      </c>
      <c r="D2684" s="1">
        <v>16000</v>
      </c>
      <c r="E2684" s="1"/>
      <c r="F2684" s="1">
        <v>178</v>
      </c>
      <c r="G2684" s="1">
        <v>16000</v>
      </c>
      <c r="H2684" s="5">
        <f t="shared" si="59"/>
        <v>0</v>
      </c>
      <c r="I2684" s="6"/>
      <c r="J2684" s="43"/>
      <c r="K2684" s="51"/>
      <c r="L2684" s="86"/>
    </row>
    <row r="2685" spans="1:12" ht="15" x14ac:dyDescent="0.25">
      <c r="A2685" s="1">
        <v>2676</v>
      </c>
      <c r="B2685" s="1" t="s">
        <v>379</v>
      </c>
      <c r="C2685" s="32">
        <v>9.74E-2</v>
      </c>
      <c r="D2685" s="1">
        <v>21487</v>
      </c>
      <c r="E2685" s="1"/>
      <c r="F2685" s="1">
        <v>239</v>
      </c>
      <c r="G2685" s="1">
        <v>21487</v>
      </c>
      <c r="H2685" s="5">
        <f t="shared" si="59"/>
        <v>0</v>
      </c>
      <c r="I2685" s="6"/>
      <c r="J2685" s="43"/>
      <c r="K2685" s="51"/>
      <c r="L2685" s="86"/>
    </row>
    <row r="2686" spans="1:12" ht="15" x14ac:dyDescent="0.25">
      <c r="A2686" s="1">
        <v>2677</v>
      </c>
      <c r="B2686" s="1" t="s">
        <v>379</v>
      </c>
      <c r="C2686" s="32">
        <v>9.7199999999999995E-2</v>
      </c>
      <c r="D2686" s="1">
        <v>22440</v>
      </c>
      <c r="E2686" s="1"/>
      <c r="F2686" s="1">
        <v>250</v>
      </c>
      <c r="G2686" s="1">
        <v>22440</v>
      </c>
      <c r="H2686" s="5">
        <f t="shared" si="59"/>
        <v>0</v>
      </c>
      <c r="I2686" s="6"/>
      <c r="J2686" s="43"/>
      <c r="K2686" s="51"/>
      <c r="L2686" s="86"/>
    </row>
    <row r="2687" spans="1:12" ht="15" x14ac:dyDescent="0.25">
      <c r="A2687" s="1">
        <v>2678</v>
      </c>
      <c r="B2687" s="1" t="s">
        <v>379</v>
      </c>
      <c r="C2687" s="32">
        <v>8311</v>
      </c>
      <c r="D2687" s="1">
        <v>22000</v>
      </c>
      <c r="E2687" s="1"/>
      <c r="F2687" s="1">
        <v>245</v>
      </c>
      <c r="G2687" s="1">
        <v>22000</v>
      </c>
      <c r="H2687" s="5">
        <f t="shared" si="59"/>
        <v>0</v>
      </c>
      <c r="I2687" s="6"/>
      <c r="J2687" s="43"/>
      <c r="K2687" s="51"/>
      <c r="L2687" s="86"/>
    </row>
    <row r="2688" spans="1:12" ht="15" x14ac:dyDescent="0.25">
      <c r="A2688" s="1">
        <v>2679</v>
      </c>
      <c r="B2688" s="1" t="s">
        <v>379</v>
      </c>
      <c r="C2688" s="32">
        <v>9.7100000000000006E-2</v>
      </c>
      <c r="D2688" s="1">
        <v>25000</v>
      </c>
      <c r="E2688" s="1"/>
      <c r="F2688" s="1">
        <v>259</v>
      </c>
      <c r="G2688" s="1">
        <v>25000</v>
      </c>
      <c r="H2688" s="5">
        <f t="shared" si="59"/>
        <v>0</v>
      </c>
      <c r="I2688" s="6"/>
      <c r="J2688" s="43"/>
      <c r="K2688" s="51"/>
      <c r="L2688" s="86"/>
    </row>
    <row r="2689" spans="1:12" ht="15" x14ac:dyDescent="0.25">
      <c r="A2689" s="1">
        <v>2680</v>
      </c>
      <c r="B2689" s="1" t="s">
        <v>379</v>
      </c>
      <c r="C2689" s="32">
        <v>8913</v>
      </c>
      <c r="D2689" s="1">
        <v>18000</v>
      </c>
      <c r="E2689" s="1"/>
      <c r="F2689" s="1">
        <v>200</v>
      </c>
      <c r="G2689" s="1">
        <v>18000</v>
      </c>
      <c r="H2689" s="5">
        <f t="shared" si="59"/>
        <v>0</v>
      </c>
      <c r="I2689" s="6"/>
      <c r="J2689" s="43"/>
      <c r="K2689" s="51"/>
      <c r="L2689" s="86"/>
    </row>
    <row r="2690" spans="1:12" ht="15" x14ac:dyDescent="0.25">
      <c r="A2690" s="1">
        <v>2681</v>
      </c>
      <c r="B2690" s="1" t="s">
        <v>379</v>
      </c>
      <c r="C2690" s="32">
        <v>2661</v>
      </c>
      <c r="D2690" s="1">
        <v>15000</v>
      </c>
      <c r="E2690" s="1"/>
      <c r="F2690" s="1">
        <v>167</v>
      </c>
      <c r="G2690" s="1">
        <v>15000</v>
      </c>
      <c r="H2690" s="5">
        <f t="shared" si="59"/>
        <v>0</v>
      </c>
      <c r="I2690" s="6"/>
      <c r="J2690" s="43"/>
      <c r="K2690" s="51"/>
      <c r="L2690" s="86"/>
    </row>
    <row r="2691" spans="1:12" ht="15" x14ac:dyDescent="0.25">
      <c r="A2691" s="1">
        <v>2682</v>
      </c>
      <c r="B2691" s="1" t="s">
        <v>379</v>
      </c>
      <c r="C2691" s="32">
        <v>4571</v>
      </c>
      <c r="D2691" s="1">
        <v>15000</v>
      </c>
      <c r="E2691" s="1"/>
      <c r="F2691" s="1">
        <v>167</v>
      </c>
      <c r="G2691" s="1">
        <v>15000</v>
      </c>
      <c r="H2691" s="5">
        <f t="shared" si="59"/>
        <v>0</v>
      </c>
      <c r="I2691" s="6"/>
      <c r="J2691" s="43"/>
      <c r="K2691" s="51"/>
      <c r="L2691" s="86"/>
    </row>
    <row r="2692" spans="1:12" ht="15" x14ac:dyDescent="0.25">
      <c r="A2692" s="1">
        <v>2683</v>
      </c>
      <c r="B2692" s="1" t="s">
        <v>379</v>
      </c>
      <c r="C2692" s="32">
        <v>2767</v>
      </c>
      <c r="D2692" s="1">
        <v>15000</v>
      </c>
      <c r="E2692" s="1"/>
      <c r="F2692" s="1">
        <v>167</v>
      </c>
      <c r="G2692" s="1">
        <v>15000</v>
      </c>
      <c r="H2692" s="5">
        <f t="shared" si="59"/>
        <v>0</v>
      </c>
      <c r="I2692" s="6"/>
      <c r="J2692" s="43"/>
      <c r="K2692" s="51"/>
      <c r="L2692" s="86"/>
    </row>
    <row r="2693" spans="1:12" ht="15" x14ac:dyDescent="0.25">
      <c r="A2693" s="1">
        <v>2684</v>
      </c>
      <c r="B2693" s="1" t="s">
        <v>379</v>
      </c>
      <c r="C2693" s="32">
        <v>3776</v>
      </c>
      <c r="D2693" s="1">
        <v>20000</v>
      </c>
      <c r="E2693" s="1"/>
      <c r="F2693" s="1">
        <v>222.82</v>
      </c>
      <c r="G2693" s="1">
        <v>20000</v>
      </c>
      <c r="H2693" s="5">
        <f t="shared" si="59"/>
        <v>0</v>
      </c>
      <c r="I2693" s="6"/>
      <c r="J2693" s="43"/>
      <c r="K2693" s="51"/>
      <c r="L2693" s="86"/>
    </row>
    <row r="2694" spans="1:12" ht="15" x14ac:dyDescent="0.25">
      <c r="A2694" s="1">
        <v>2685</v>
      </c>
      <c r="B2694" s="1" t="s">
        <v>379</v>
      </c>
      <c r="C2694" s="32">
        <v>8891</v>
      </c>
      <c r="D2694" s="1">
        <v>10000</v>
      </c>
      <c r="E2694" s="1"/>
      <c r="F2694" s="1">
        <v>111</v>
      </c>
      <c r="G2694" s="1">
        <v>10000</v>
      </c>
      <c r="H2694" s="5">
        <f t="shared" si="59"/>
        <v>0</v>
      </c>
      <c r="I2694" s="6"/>
      <c r="J2694" s="43"/>
      <c r="K2694" s="51"/>
      <c r="L2694" s="86"/>
    </row>
    <row r="2695" spans="1:12" ht="15" x14ac:dyDescent="0.25">
      <c r="A2695" s="1">
        <v>2686</v>
      </c>
      <c r="B2695" s="1" t="s">
        <v>379</v>
      </c>
      <c r="C2695" s="32">
        <v>8944</v>
      </c>
      <c r="D2695" s="1">
        <v>10000</v>
      </c>
      <c r="E2695" s="1"/>
      <c r="F2695" s="1">
        <v>111</v>
      </c>
      <c r="G2695" s="1">
        <v>10000</v>
      </c>
      <c r="H2695" s="5">
        <f t="shared" si="59"/>
        <v>0</v>
      </c>
      <c r="I2695" s="6"/>
      <c r="J2695" s="43"/>
      <c r="K2695" s="51"/>
      <c r="L2695" s="86"/>
    </row>
    <row r="2696" spans="1:12" ht="15" x14ac:dyDescent="0.25">
      <c r="A2696" s="1">
        <v>2687</v>
      </c>
      <c r="B2696" s="1" t="s">
        <v>379</v>
      </c>
      <c r="C2696" s="32">
        <v>5079</v>
      </c>
      <c r="D2696" s="1">
        <v>22000</v>
      </c>
      <c r="E2696" s="1"/>
      <c r="F2696" s="1">
        <v>245</v>
      </c>
      <c r="G2696" s="1">
        <v>22000</v>
      </c>
      <c r="H2696" s="5">
        <f t="shared" si="59"/>
        <v>0</v>
      </c>
      <c r="I2696" s="6"/>
      <c r="J2696" s="43"/>
      <c r="K2696" s="51"/>
      <c r="L2696" s="86"/>
    </row>
    <row r="2697" spans="1:12" ht="15" x14ac:dyDescent="0.25">
      <c r="A2697" s="1">
        <v>2688</v>
      </c>
      <c r="B2697" s="1" t="s">
        <v>379</v>
      </c>
      <c r="C2697" s="32">
        <v>8762</v>
      </c>
      <c r="D2697" s="1">
        <v>27000</v>
      </c>
      <c r="E2697" s="1"/>
      <c r="F2697" s="1">
        <v>300</v>
      </c>
      <c r="G2697" s="1">
        <v>27000</v>
      </c>
      <c r="H2697" s="5">
        <f t="shared" si="59"/>
        <v>0</v>
      </c>
      <c r="I2697" s="6"/>
      <c r="J2697" s="43"/>
      <c r="K2697" s="51"/>
      <c r="L2697" s="86"/>
    </row>
    <row r="2698" spans="1:12" ht="15" x14ac:dyDescent="0.25">
      <c r="A2698" s="1">
        <v>2689</v>
      </c>
      <c r="B2698" s="1" t="s">
        <v>379</v>
      </c>
      <c r="C2698" s="32">
        <v>3709</v>
      </c>
      <c r="D2698" s="1">
        <v>25000</v>
      </c>
      <c r="E2698" s="1"/>
      <c r="F2698" s="1">
        <v>278</v>
      </c>
      <c r="G2698" s="1">
        <v>25000</v>
      </c>
      <c r="H2698" s="5">
        <f t="shared" si="59"/>
        <v>0</v>
      </c>
      <c r="I2698" s="6"/>
      <c r="J2698" s="43"/>
      <c r="K2698" s="51"/>
      <c r="L2698" s="86"/>
    </row>
    <row r="2699" spans="1:12" ht="15" x14ac:dyDescent="0.25">
      <c r="A2699" s="1">
        <v>2690</v>
      </c>
      <c r="B2699" s="1" t="s">
        <v>379</v>
      </c>
      <c r="C2699" s="32">
        <v>3400</v>
      </c>
      <c r="D2699" s="1">
        <v>25000</v>
      </c>
      <c r="E2699" s="1"/>
      <c r="F2699" s="1">
        <v>278</v>
      </c>
      <c r="G2699" s="1">
        <v>25000</v>
      </c>
      <c r="H2699" s="5">
        <f t="shared" si="59"/>
        <v>0</v>
      </c>
      <c r="I2699" s="6"/>
      <c r="J2699" s="43"/>
      <c r="K2699" s="51"/>
      <c r="L2699" s="86"/>
    </row>
    <row r="2700" spans="1:12" ht="15" x14ac:dyDescent="0.25">
      <c r="A2700" s="1">
        <v>2691</v>
      </c>
      <c r="B2700" s="1" t="s">
        <v>380</v>
      </c>
      <c r="C2700" s="32" t="s">
        <v>66</v>
      </c>
      <c r="D2700" s="1">
        <v>210</v>
      </c>
      <c r="E2700" s="1"/>
      <c r="F2700" s="1">
        <v>2.0499999999999998</v>
      </c>
      <c r="G2700" s="1">
        <v>210</v>
      </c>
      <c r="H2700" s="5">
        <f t="shared" si="59"/>
        <v>0</v>
      </c>
      <c r="I2700" s="6"/>
      <c r="J2700" s="43"/>
      <c r="K2700" s="51"/>
      <c r="L2700" s="86"/>
    </row>
    <row r="2701" spans="1:12" ht="15" x14ac:dyDescent="0.25">
      <c r="A2701" s="1">
        <v>2692</v>
      </c>
      <c r="B2701" s="1" t="s">
        <v>380</v>
      </c>
      <c r="C2701" s="32" t="s">
        <v>30</v>
      </c>
      <c r="D2701" s="1">
        <v>2000</v>
      </c>
      <c r="E2701" s="1"/>
      <c r="F2701" s="1">
        <v>22.12</v>
      </c>
      <c r="G2701" s="1">
        <v>2000</v>
      </c>
      <c r="H2701" s="5">
        <f t="shared" si="59"/>
        <v>0</v>
      </c>
      <c r="I2701" s="6"/>
      <c r="J2701" s="43"/>
      <c r="K2701" s="51"/>
      <c r="L2701" s="86"/>
    </row>
    <row r="2702" spans="1:12" ht="15" x14ac:dyDescent="0.25">
      <c r="A2702" s="1">
        <v>2693</v>
      </c>
      <c r="B2702" s="1" t="s">
        <v>380</v>
      </c>
      <c r="C2702" s="32">
        <v>3707</v>
      </c>
      <c r="D2702" s="1">
        <v>20000</v>
      </c>
      <c r="E2702" s="1"/>
      <c r="F2702" s="1">
        <v>222.82</v>
      </c>
      <c r="G2702" s="1">
        <v>20000</v>
      </c>
      <c r="H2702" s="5">
        <f t="shared" si="59"/>
        <v>0</v>
      </c>
      <c r="I2702" s="6"/>
      <c r="J2702" s="43"/>
      <c r="K2702" s="51"/>
      <c r="L2702" s="86"/>
    </row>
    <row r="2703" spans="1:12" ht="15" x14ac:dyDescent="0.25">
      <c r="A2703" s="1">
        <v>2694</v>
      </c>
      <c r="B2703" s="1" t="s">
        <v>380</v>
      </c>
      <c r="C2703" s="32">
        <v>2448</v>
      </c>
      <c r="D2703" s="1">
        <v>10000</v>
      </c>
      <c r="E2703" s="1"/>
      <c r="F2703" s="1">
        <v>111</v>
      </c>
      <c r="G2703" s="1">
        <v>10000</v>
      </c>
      <c r="H2703" s="5">
        <f t="shared" si="59"/>
        <v>0</v>
      </c>
      <c r="I2703" s="6"/>
      <c r="J2703" s="43"/>
      <c r="K2703" s="51"/>
      <c r="L2703" s="86"/>
    </row>
    <row r="2704" spans="1:12" ht="15" x14ac:dyDescent="0.25">
      <c r="A2704" s="1">
        <v>2695</v>
      </c>
      <c r="B2704" s="1" t="s">
        <v>380</v>
      </c>
      <c r="C2704" s="32">
        <v>5485</v>
      </c>
      <c r="D2704" s="1">
        <v>26000</v>
      </c>
      <c r="E2704" s="1"/>
      <c r="F2704" s="1">
        <v>289</v>
      </c>
      <c r="G2704" s="1">
        <v>26000</v>
      </c>
      <c r="H2704" s="5">
        <f t="shared" si="59"/>
        <v>0</v>
      </c>
      <c r="I2704" s="6"/>
      <c r="J2704" s="43"/>
      <c r="K2704" s="51"/>
      <c r="L2704" s="86"/>
    </row>
    <row r="2705" spans="1:12" ht="15" x14ac:dyDescent="0.25">
      <c r="A2705" s="1">
        <v>2696</v>
      </c>
      <c r="B2705" s="1" t="s">
        <v>380</v>
      </c>
      <c r="C2705" s="32">
        <v>3138</v>
      </c>
      <c r="D2705" s="1">
        <v>32000</v>
      </c>
      <c r="E2705" s="1"/>
      <c r="F2705" s="1">
        <v>348</v>
      </c>
      <c r="G2705" s="1">
        <v>32000</v>
      </c>
      <c r="H2705" s="5">
        <f t="shared" ref="H2705:H2768" si="60">D2705-G2705</f>
        <v>0</v>
      </c>
      <c r="I2705" s="6"/>
      <c r="J2705" s="43"/>
      <c r="K2705" s="51"/>
      <c r="L2705" s="86"/>
    </row>
    <row r="2706" spans="1:12" ht="15" x14ac:dyDescent="0.25">
      <c r="A2706" s="1">
        <v>2697</v>
      </c>
      <c r="B2706" s="1" t="s">
        <v>380</v>
      </c>
      <c r="C2706" s="32">
        <v>7344</v>
      </c>
      <c r="D2706" s="1">
        <v>30000</v>
      </c>
      <c r="E2706" s="1"/>
      <c r="F2706" s="1">
        <v>334</v>
      </c>
      <c r="G2706" s="1">
        <v>30000</v>
      </c>
      <c r="H2706" s="5">
        <f t="shared" si="60"/>
        <v>0</v>
      </c>
      <c r="I2706" s="6"/>
      <c r="J2706" s="43"/>
      <c r="K2706" s="51"/>
      <c r="L2706" s="86"/>
    </row>
    <row r="2707" spans="1:12" ht="15" x14ac:dyDescent="0.25">
      <c r="A2707" s="1">
        <v>2698</v>
      </c>
      <c r="B2707" s="1" t="s">
        <v>380</v>
      </c>
      <c r="C2707" s="32">
        <v>7512</v>
      </c>
      <c r="D2707" s="1">
        <v>30000</v>
      </c>
      <c r="E2707" s="1"/>
      <c r="F2707" s="1">
        <v>334</v>
      </c>
      <c r="G2707" s="1">
        <v>30000</v>
      </c>
      <c r="H2707" s="5">
        <f t="shared" si="60"/>
        <v>0</v>
      </c>
      <c r="I2707" s="6"/>
      <c r="J2707" s="43"/>
      <c r="K2707" s="51"/>
      <c r="L2707" s="86"/>
    </row>
    <row r="2708" spans="1:12" ht="15" x14ac:dyDescent="0.25">
      <c r="A2708" s="1">
        <v>2699</v>
      </c>
      <c r="B2708" s="1" t="s">
        <v>380</v>
      </c>
      <c r="C2708" s="32">
        <v>3989</v>
      </c>
      <c r="D2708" s="1">
        <v>30000</v>
      </c>
      <c r="E2708" s="1"/>
      <c r="F2708" s="1">
        <v>334</v>
      </c>
      <c r="G2708" s="1">
        <v>30000</v>
      </c>
      <c r="H2708" s="5">
        <f t="shared" si="60"/>
        <v>0</v>
      </c>
      <c r="I2708" s="6"/>
      <c r="J2708" s="43"/>
      <c r="K2708" s="51"/>
      <c r="L2708" s="86"/>
    </row>
    <row r="2709" spans="1:12" ht="15" x14ac:dyDescent="0.25">
      <c r="A2709" s="1">
        <v>2700</v>
      </c>
      <c r="B2709" s="1" t="s">
        <v>380</v>
      </c>
      <c r="C2709" s="32">
        <v>3968</v>
      </c>
      <c r="D2709" s="1">
        <v>7000</v>
      </c>
      <c r="E2709" s="1"/>
      <c r="F2709" s="1">
        <v>73.95</v>
      </c>
      <c r="G2709" s="1">
        <v>7000</v>
      </c>
      <c r="H2709" s="5">
        <f t="shared" si="60"/>
        <v>0</v>
      </c>
      <c r="I2709" s="6"/>
      <c r="J2709" s="43"/>
      <c r="K2709" s="51"/>
      <c r="L2709" s="86"/>
    </row>
    <row r="2710" spans="1:12" ht="15" x14ac:dyDescent="0.25">
      <c r="A2710" s="1">
        <v>2701</v>
      </c>
      <c r="B2710" s="1" t="s">
        <v>380</v>
      </c>
      <c r="C2710" s="32">
        <v>2345</v>
      </c>
      <c r="D2710" s="1">
        <v>3000</v>
      </c>
      <c r="E2710" s="1"/>
      <c r="F2710" s="1">
        <v>33.42</v>
      </c>
      <c r="G2710" s="1">
        <v>3000</v>
      </c>
      <c r="H2710" s="5">
        <f t="shared" si="60"/>
        <v>0</v>
      </c>
      <c r="I2710" s="6"/>
      <c r="J2710" s="43"/>
      <c r="K2710" s="51"/>
      <c r="L2710" s="86">
        <f>1431420-1422799</f>
        <v>8621</v>
      </c>
    </row>
    <row r="2711" spans="1:12" ht="15" x14ac:dyDescent="0.25">
      <c r="A2711" s="1">
        <v>2702</v>
      </c>
      <c r="B2711" s="1" t="s">
        <v>381</v>
      </c>
      <c r="C2711" s="32" t="s">
        <v>63</v>
      </c>
      <c r="D2711" s="1">
        <v>3500</v>
      </c>
      <c r="E2711" s="1"/>
      <c r="F2711" s="1">
        <v>38.99</v>
      </c>
      <c r="G2711" s="1">
        <v>3500</v>
      </c>
      <c r="H2711" s="5">
        <f t="shared" si="60"/>
        <v>0</v>
      </c>
      <c r="I2711" s="6"/>
      <c r="J2711" s="43"/>
      <c r="K2711" s="51"/>
      <c r="L2711" s="86"/>
    </row>
    <row r="2712" spans="1:12" ht="15" x14ac:dyDescent="0.25">
      <c r="A2712" s="1">
        <v>2703</v>
      </c>
      <c r="B2712" s="1" t="s">
        <v>381</v>
      </c>
      <c r="C2712" s="32">
        <v>8050</v>
      </c>
      <c r="D2712" s="1">
        <v>12500</v>
      </c>
      <c r="E2712" s="1"/>
      <c r="F2712" s="1">
        <v>133</v>
      </c>
      <c r="G2712" s="1">
        <v>12500</v>
      </c>
      <c r="H2712" s="5">
        <f t="shared" si="60"/>
        <v>0</v>
      </c>
      <c r="I2712" s="6"/>
      <c r="J2712" s="43"/>
      <c r="K2712" s="51"/>
      <c r="L2712" s="86"/>
    </row>
    <row r="2713" spans="1:12" ht="15" x14ac:dyDescent="0.25">
      <c r="A2713" s="1">
        <v>2704</v>
      </c>
      <c r="B2713" s="1" t="s">
        <v>381</v>
      </c>
      <c r="C2713" s="32">
        <v>8250</v>
      </c>
      <c r="D2713" s="1">
        <v>12500</v>
      </c>
      <c r="E2713" s="1"/>
      <c r="F2713" s="1">
        <v>133</v>
      </c>
      <c r="G2713" s="1">
        <v>12500</v>
      </c>
      <c r="H2713" s="5">
        <f t="shared" si="60"/>
        <v>0</v>
      </c>
      <c r="I2713" s="6"/>
      <c r="J2713" s="43"/>
      <c r="K2713" s="51"/>
      <c r="L2713" s="86"/>
    </row>
    <row r="2714" spans="1:12" ht="15" x14ac:dyDescent="0.25">
      <c r="A2714" s="1">
        <v>2705</v>
      </c>
      <c r="B2714" s="1" t="s">
        <v>381</v>
      </c>
      <c r="C2714" s="32" t="s">
        <v>30</v>
      </c>
      <c r="D2714" s="1">
        <v>5000</v>
      </c>
      <c r="E2714" s="1"/>
      <c r="F2714" s="1">
        <v>55.13</v>
      </c>
      <c r="G2714" s="1">
        <v>5000</v>
      </c>
      <c r="H2714" s="5">
        <f t="shared" si="60"/>
        <v>0</v>
      </c>
      <c r="I2714" s="6"/>
      <c r="J2714" s="43"/>
      <c r="K2714" s="51"/>
      <c r="L2714" s="86"/>
    </row>
    <row r="2715" spans="1:12" ht="15" x14ac:dyDescent="0.25">
      <c r="A2715" s="1">
        <v>2706</v>
      </c>
      <c r="B2715" s="1" t="s">
        <v>381</v>
      </c>
      <c r="C2715" s="32" t="s">
        <v>30</v>
      </c>
      <c r="D2715" s="1">
        <v>2000</v>
      </c>
      <c r="E2715" s="1"/>
      <c r="F2715" s="1">
        <v>22.12</v>
      </c>
      <c r="G2715" s="1">
        <v>2000</v>
      </c>
      <c r="H2715" s="5">
        <f t="shared" si="60"/>
        <v>0</v>
      </c>
      <c r="I2715" s="6"/>
      <c r="J2715" s="43"/>
      <c r="K2715" s="51"/>
      <c r="L2715" s="86"/>
    </row>
    <row r="2716" spans="1:12" ht="15" x14ac:dyDescent="0.25">
      <c r="A2716" s="1">
        <v>2707</v>
      </c>
      <c r="B2716" s="1" t="s">
        <v>381</v>
      </c>
      <c r="C2716" s="32">
        <v>4115</v>
      </c>
      <c r="D2716" s="1">
        <v>20000</v>
      </c>
      <c r="E2716" s="1"/>
      <c r="F2716" s="1">
        <v>222.82</v>
      </c>
      <c r="G2716" s="1">
        <v>20000</v>
      </c>
      <c r="H2716" s="5">
        <f t="shared" si="60"/>
        <v>0</v>
      </c>
      <c r="I2716" s="6"/>
      <c r="J2716" s="43"/>
      <c r="K2716" s="51"/>
      <c r="L2716" s="86"/>
    </row>
    <row r="2717" spans="1:12" ht="15" x14ac:dyDescent="0.25">
      <c r="A2717" s="1">
        <v>2708</v>
      </c>
      <c r="B2717" s="1" t="s">
        <v>381</v>
      </c>
      <c r="C2717" s="32">
        <v>7260</v>
      </c>
      <c r="D2717" s="1">
        <v>20000</v>
      </c>
      <c r="E2717" s="1"/>
      <c r="F2717" s="1">
        <v>222.82</v>
      </c>
      <c r="G2717" s="1">
        <v>20000</v>
      </c>
      <c r="H2717" s="5">
        <f t="shared" si="60"/>
        <v>0</v>
      </c>
      <c r="I2717" s="6"/>
      <c r="J2717" s="43"/>
      <c r="K2717" s="51"/>
      <c r="L2717" s="86"/>
    </row>
    <row r="2718" spans="1:12" ht="15" x14ac:dyDescent="0.25">
      <c r="A2718" s="1">
        <v>2709</v>
      </c>
      <c r="B2718" s="1" t="s">
        <v>381</v>
      </c>
      <c r="C2718" s="32">
        <v>7672</v>
      </c>
      <c r="D2718" s="1">
        <v>18000</v>
      </c>
      <c r="E2718" s="1"/>
      <c r="F2718" s="1">
        <v>200</v>
      </c>
      <c r="G2718" s="1">
        <v>18000</v>
      </c>
      <c r="H2718" s="5">
        <f t="shared" si="60"/>
        <v>0</v>
      </c>
      <c r="I2718" s="6"/>
      <c r="J2718" s="43"/>
      <c r="K2718" s="51"/>
      <c r="L2718" s="86"/>
    </row>
    <row r="2719" spans="1:12" ht="15" x14ac:dyDescent="0.25">
      <c r="A2719" s="1">
        <v>2710</v>
      </c>
      <c r="B2719" s="1" t="s">
        <v>381</v>
      </c>
      <c r="C2719" s="32">
        <v>2043</v>
      </c>
      <c r="D2719" s="1">
        <v>28000</v>
      </c>
      <c r="E2719" s="1"/>
      <c r="F2719" s="1">
        <v>311</v>
      </c>
      <c r="G2719" s="1">
        <v>28000</v>
      </c>
      <c r="H2719" s="5">
        <f t="shared" si="60"/>
        <v>0</v>
      </c>
      <c r="I2719" s="6"/>
      <c r="J2719" s="43"/>
      <c r="K2719" s="51"/>
      <c r="L2719" s="86"/>
    </row>
    <row r="2720" spans="1:12" ht="15" x14ac:dyDescent="0.25">
      <c r="A2720" s="1">
        <v>2711</v>
      </c>
      <c r="B2720" s="1" t="s">
        <v>381</v>
      </c>
      <c r="C2720" s="32">
        <v>6013</v>
      </c>
      <c r="D2720" s="1">
        <v>20000</v>
      </c>
      <c r="E2720" s="1"/>
      <c r="F2720" s="1">
        <v>222.82</v>
      </c>
      <c r="G2720" s="1">
        <v>20000</v>
      </c>
      <c r="H2720" s="5">
        <f t="shared" si="60"/>
        <v>0</v>
      </c>
      <c r="I2720" s="6"/>
      <c r="J2720" s="43"/>
      <c r="K2720" s="51"/>
      <c r="L2720" s="86">
        <f>1275706-1256920</f>
        <v>18786</v>
      </c>
    </row>
    <row r="2721" spans="1:12" ht="15" x14ac:dyDescent="0.25">
      <c r="A2721" s="1">
        <v>2712</v>
      </c>
      <c r="B2721" s="1" t="s">
        <v>384</v>
      </c>
      <c r="C2721" s="32" t="s">
        <v>30</v>
      </c>
      <c r="D2721" s="1">
        <v>7000</v>
      </c>
      <c r="E2721" s="1"/>
      <c r="F2721" s="1">
        <v>77.12</v>
      </c>
      <c r="G2721" s="1">
        <v>7000</v>
      </c>
      <c r="H2721" s="5">
        <f t="shared" si="60"/>
        <v>0</v>
      </c>
      <c r="I2721" s="6"/>
      <c r="J2721" s="43"/>
      <c r="K2721" s="51"/>
      <c r="L2721" s="86"/>
    </row>
    <row r="2722" spans="1:12" ht="15" x14ac:dyDescent="0.25">
      <c r="A2722" s="1">
        <v>2713</v>
      </c>
      <c r="B2722" s="1" t="s">
        <v>384</v>
      </c>
      <c r="C2722" s="32">
        <v>5.0500000000000003E-2</v>
      </c>
      <c r="D2722" s="1">
        <v>23000</v>
      </c>
      <c r="E2722" s="1"/>
      <c r="F2722" s="1">
        <v>245</v>
      </c>
      <c r="G2722" s="1">
        <v>23000</v>
      </c>
      <c r="H2722" s="5">
        <f t="shared" si="60"/>
        <v>0</v>
      </c>
      <c r="I2722" s="6"/>
      <c r="J2722" s="43"/>
      <c r="K2722" s="51"/>
      <c r="L2722" s="86"/>
    </row>
    <row r="2723" spans="1:12" ht="15" x14ac:dyDescent="0.25">
      <c r="A2723" s="1">
        <v>2714</v>
      </c>
      <c r="B2723" s="1" t="s">
        <v>384</v>
      </c>
      <c r="C2723" s="32">
        <v>4995</v>
      </c>
      <c r="D2723" s="1">
        <v>15000</v>
      </c>
      <c r="E2723" s="1"/>
      <c r="F2723" s="1">
        <v>167</v>
      </c>
      <c r="G2723" s="1">
        <v>15000</v>
      </c>
      <c r="H2723" s="5">
        <f t="shared" si="60"/>
        <v>0</v>
      </c>
      <c r="I2723" s="6"/>
      <c r="J2723" s="43"/>
      <c r="K2723" s="51"/>
      <c r="L2723" s="86"/>
    </row>
    <row r="2724" spans="1:12" ht="15" x14ac:dyDescent="0.25">
      <c r="A2724" s="1">
        <v>2715</v>
      </c>
      <c r="B2724" s="1" t="s">
        <v>384</v>
      </c>
      <c r="C2724" s="32" t="s">
        <v>30</v>
      </c>
      <c r="D2724" s="1">
        <v>4500</v>
      </c>
      <c r="E2724" s="1"/>
      <c r="F2724" s="1">
        <v>45.12</v>
      </c>
      <c r="G2724" s="1">
        <v>4500</v>
      </c>
      <c r="H2724" s="5">
        <f t="shared" si="60"/>
        <v>0</v>
      </c>
      <c r="I2724" s="6"/>
      <c r="J2724" s="43"/>
      <c r="K2724" s="51"/>
      <c r="L2724" s="86"/>
    </row>
    <row r="2725" spans="1:12" ht="15" x14ac:dyDescent="0.25">
      <c r="A2725" s="1">
        <v>2716</v>
      </c>
      <c r="B2725" s="1" t="s">
        <v>384</v>
      </c>
      <c r="C2725" s="32" t="s">
        <v>66</v>
      </c>
      <c r="D2725" s="1">
        <v>210</v>
      </c>
      <c r="E2725" s="1"/>
      <c r="F2725" s="1">
        <v>2.06</v>
      </c>
      <c r="G2725" s="1">
        <v>210</v>
      </c>
      <c r="H2725" s="5">
        <f t="shared" si="60"/>
        <v>0</v>
      </c>
      <c r="I2725" s="6"/>
      <c r="J2725" s="43"/>
      <c r="K2725" s="51"/>
      <c r="L2725" s="86"/>
    </row>
    <row r="2726" spans="1:12" ht="15" x14ac:dyDescent="0.25">
      <c r="A2726" s="1">
        <v>2717</v>
      </c>
      <c r="B2726" s="1" t="s">
        <v>384</v>
      </c>
      <c r="C2726" s="32">
        <v>9686</v>
      </c>
      <c r="D2726" s="1">
        <v>25000</v>
      </c>
      <c r="E2726" s="1"/>
      <c r="F2726" s="1">
        <v>275</v>
      </c>
      <c r="G2726" s="1">
        <v>25000</v>
      </c>
      <c r="H2726" s="5">
        <f t="shared" si="60"/>
        <v>0</v>
      </c>
      <c r="I2726" s="6"/>
      <c r="J2726" s="43"/>
      <c r="K2726" s="51"/>
      <c r="L2726" s="86"/>
    </row>
    <row r="2727" spans="1:12" ht="15" x14ac:dyDescent="0.25">
      <c r="A2727" s="1">
        <v>2718</v>
      </c>
      <c r="B2727" s="1" t="s">
        <v>384</v>
      </c>
      <c r="C2727" s="32">
        <v>5485</v>
      </c>
      <c r="D2727" s="1">
        <v>26000</v>
      </c>
      <c r="E2727" s="1"/>
      <c r="F2727" s="1">
        <v>298</v>
      </c>
      <c r="G2727" s="1">
        <v>26000</v>
      </c>
      <c r="H2727" s="5">
        <f t="shared" si="60"/>
        <v>0</v>
      </c>
      <c r="I2727" s="6"/>
      <c r="J2727" s="43"/>
      <c r="K2727" s="51"/>
      <c r="L2727" s="86"/>
    </row>
    <row r="2728" spans="1:12" ht="15" x14ac:dyDescent="0.25">
      <c r="A2728" s="1">
        <v>2719</v>
      </c>
      <c r="B2728" s="1" t="s">
        <v>384</v>
      </c>
      <c r="C2728" s="32">
        <v>9.4899999999999998E-2</v>
      </c>
      <c r="D2728" s="1">
        <v>10000</v>
      </c>
      <c r="E2728" s="1"/>
      <c r="F2728" s="1">
        <v>111</v>
      </c>
      <c r="G2728" s="1">
        <v>10000</v>
      </c>
      <c r="H2728" s="5">
        <f t="shared" si="60"/>
        <v>0</v>
      </c>
      <c r="I2728" s="6"/>
      <c r="J2728" s="43"/>
      <c r="K2728" s="51"/>
      <c r="L2728" s="86"/>
    </row>
    <row r="2729" spans="1:12" ht="15" x14ac:dyDescent="0.25">
      <c r="A2729" s="1">
        <v>2720</v>
      </c>
      <c r="B2729" s="1" t="s">
        <v>384</v>
      </c>
      <c r="C2729" s="32">
        <v>7.8600000000000003E-2</v>
      </c>
      <c r="D2729" s="1">
        <v>24000</v>
      </c>
      <c r="E2729" s="1"/>
      <c r="F2729" s="1">
        <v>267</v>
      </c>
      <c r="G2729" s="1">
        <v>24000</v>
      </c>
      <c r="H2729" s="5">
        <f t="shared" si="60"/>
        <v>0</v>
      </c>
      <c r="I2729" s="6"/>
      <c r="J2729" s="43"/>
      <c r="K2729" s="51"/>
      <c r="L2729" s="86"/>
    </row>
    <row r="2730" spans="1:12" ht="15" x14ac:dyDescent="0.25">
      <c r="A2730" s="1">
        <v>2721</v>
      </c>
      <c r="B2730" s="1" t="s">
        <v>384</v>
      </c>
      <c r="C2730" s="32">
        <v>4451</v>
      </c>
      <c r="D2730" s="1">
        <v>7000</v>
      </c>
      <c r="E2730" s="1"/>
      <c r="F2730" s="1">
        <v>77.12</v>
      </c>
      <c r="G2730" s="1">
        <v>7000</v>
      </c>
      <c r="H2730" s="5">
        <f t="shared" si="60"/>
        <v>0</v>
      </c>
      <c r="I2730" s="6"/>
      <c r="J2730" s="43"/>
      <c r="K2730" s="51"/>
      <c r="L2730" s="86"/>
    </row>
    <row r="2731" spans="1:12" ht="15" x14ac:dyDescent="0.25">
      <c r="A2731" s="1">
        <v>2722</v>
      </c>
      <c r="B2731" s="1" t="s">
        <v>384</v>
      </c>
      <c r="C2731" s="32">
        <v>4490</v>
      </c>
      <c r="D2731" s="1">
        <v>24000</v>
      </c>
      <c r="E2731" s="1"/>
      <c r="F2731" s="1">
        <v>267</v>
      </c>
      <c r="G2731" s="1">
        <v>24000</v>
      </c>
      <c r="H2731" s="5">
        <f t="shared" si="60"/>
        <v>0</v>
      </c>
      <c r="I2731" s="6"/>
      <c r="J2731" s="43"/>
      <c r="K2731" s="51"/>
      <c r="L2731" s="86"/>
    </row>
    <row r="2732" spans="1:12" ht="15" x14ac:dyDescent="0.25">
      <c r="A2732" s="1">
        <v>2723</v>
      </c>
      <c r="B2732" s="1" t="s">
        <v>384</v>
      </c>
      <c r="C2732" s="32">
        <v>2016</v>
      </c>
      <c r="D2732" s="1">
        <v>10000</v>
      </c>
      <c r="E2732" s="1"/>
      <c r="F2732" s="1">
        <v>111</v>
      </c>
      <c r="G2732" s="1">
        <v>10000</v>
      </c>
      <c r="H2732" s="5">
        <f t="shared" si="60"/>
        <v>0</v>
      </c>
      <c r="I2732" s="6"/>
      <c r="J2732" s="43"/>
      <c r="K2732" s="51"/>
      <c r="L2732" s="86">
        <f>1264743-1247630</f>
        <v>17113</v>
      </c>
    </row>
    <row r="2733" spans="1:12" ht="15" x14ac:dyDescent="0.25">
      <c r="A2733" s="1">
        <v>2724</v>
      </c>
      <c r="B2733" s="1" t="s">
        <v>385</v>
      </c>
      <c r="C2733" s="32">
        <v>9998</v>
      </c>
      <c r="D2733" s="1">
        <v>17000</v>
      </c>
      <c r="E2733" s="1"/>
      <c r="F2733" s="1">
        <v>189</v>
      </c>
      <c r="G2733" s="1">
        <v>17000</v>
      </c>
      <c r="H2733" s="5">
        <f t="shared" si="60"/>
        <v>0</v>
      </c>
      <c r="I2733" s="6"/>
      <c r="J2733" s="43"/>
      <c r="K2733" s="51"/>
      <c r="L2733" s="86"/>
    </row>
    <row r="2734" spans="1:12" ht="15" x14ac:dyDescent="0.25">
      <c r="A2734" s="1">
        <v>2725</v>
      </c>
      <c r="B2734" s="1" t="s">
        <v>385</v>
      </c>
      <c r="C2734" s="32" t="s">
        <v>66</v>
      </c>
      <c r="D2734" s="1">
        <v>100</v>
      </c>
      <c r="E2734" s="1"/>
      <c r="F2734" s="1">
        <v>96.04</v>
      </c>
      <c r="G2734" s="1">
        <v>100</v>
      </c>
      <c r="H2734" s="5">
        <f t="shared" si="60"/>
        <v>0</v>
      </c>
      <c r="I2734" s="6"/>
      <c r="J2734" s="43"/>
      <c r="K2734" s="51"/>
      <c r="L2734" s="86"/>
    </row>
    <row r="2735" spans="1:12" ht="15" x14ac:dyDescent="0.25">
      <c r="A2735" s="1">
        <v>2726</v>
      </c>
      <c r="B2735" s="1" t="s">
        <v>385</v>
      </c>
      <c r="C2735" s="32" t="s">
        <v>30</v>
      </c>
      <c r="D2735" s="1">
        <v>5000</v>
      </c>
      <c r="E2735" s="1"/>
      <c r="F2735" s="1">
        <v>55.13</v>
      </c>
      <c r="G2735" s="1">
        <v>5000</v>
      </c>
      <c r="H2735" s="5">
        <f t="shared" si="60"/>
        <v>0</v>
      </c>
      <c r="I2735" s="6"/>
      <c r="J2735" s="43"/>
      <c r="K2735" s="51"/>
      <c r="L2735" s="86"/>
    </row>
    <row r="2736" spans="1:12" ht="15" x14ac:dyDescent="0.25">
      <c r="A2736" s="1">
        <v>2727</v>
      </c>
      <c r="B2736" s="1" t="s">
        <v>385</v>
      </c>
      <c r="C2736" s="32">
        <v>9398</v>
      </c>
      <c r="D2736" s="1">
        <v>17000</v>
      </c>
      <c r="E2736" s="1"/>
      <c r="F2736" s="1">
        <v>189</v>
      </c>
      <c r="G2736" s="1">
        <v>17000</v>
      </c>
      <c r="H2736" s="5">
        <f t="shared" si="60"/>
        <v>0</v>
      </c>
      <c r="I2736" s="6"/>
      <c r="J2736" s="43"/>
      <c r="K2736" s="51"/>
      <c r="L2736" s="86"/>
    </row>
    <row r="2737" spans="1:12" ht="15" x14ac:dyDescent="0.25">
      <c r="A2737" s="1">
        <v>2728</v>
      </c>
      <c r="B2737" s="1" t="s">
        <v>385</v>
      </c>
      <c r="C2737" s="32">
        <v>5252</v>
      </c>
      <c r="D2737" s="1">
        <v>15000</v>
      </c>
      <c r="E2737" s="1"/>
      <c r="F2737" s="1">
        <v>167</v>
      </c>
      <c r="G2737" s="1">
        <v>15000</v>
      </c>
      <c r="H2737" s="5">
        <f t="shared" si="60"/>
        <v>0</v>
      </c>
      <c r="I2737" s="6"/>
      <c r="J2737" s="43"/>
      <c r="K2737" s="51"/>
      <c r="L2737" s="86"/>
    </row>
    <row r="2738" spans="1:12" ht="15" x14ac:dyDescent="0.25">
      <c r="A2738" s="1">
        <v>2729</v>
      </c>
      <c r="B2738" s="1" t="s">
        <v>385</v>
      </c>
      <c r="C2738" s="32">
        <v>5151</v>
      </c>
      <c r="D2738" s="1">
        <v>16000</v>
      </c>
      <c r="E2738" s="1"/>
      <c r="F2738" s="1">
        <v>178</v>
      </c>
      <c r="G2738" s="1">
        <v>16000</v>
      </c>
      <c r="H2738" s="5">
        <f t="shared" si="60"/>
        <v>0</v>
      </c>
      <c r="I2738" s="6"/>
      <c r="J2738" s="43"/>
      <c r="K2738" s="51"/>
      <c r="L2738" s="86"/>
    </row>
    <row r="2739" spans="1:12" ht="15" x14ac:dyDescent="0.25">
      <c r="A2739" s="1">
        <v>2730</v>
      </c>
      <c r="B2739" s="1" t="s">
        <v>385</v>
      </c>
      <c r="C2739" s="32">
        <v>8909</v>
      </c>
      <c r="D2739" s="1">
        <v>19650</v>
      </c>
      <c r="E2739" s="1"/>
      <c r="F2739" s="1">
        <v>218</v>
      </c>
      <c r="G2739" s="1">
        <v>19650</v>
      </c>
      <c r="H2739" s="5">
        <f t="shared" si="60"/>
        <v>0</v>
      </c>
      <c r="I2739" s="6"/>
      <c r="J2739" s="43"/>
      <c r="K2739" s="51"/>
      <c r="L2739" s="86"/>
    </row>
    <row r="2740" spans="1:12" ht="15" x14ac:dyDescent="0.25">
      <c r="A2740" s="1">
        <v>2731</v>
      </c>
      <c r="B2740" s="1" t="s">
        <v>385</v>
      </c>
      <c r="C2740" s="32">
        <v>6471</v>
      </c>
      <c r="D2740" s="1">
        <v>21460</v>
      </c>
      <c r="E2740" s="1"/>
      <c r="F2740" s="1">
        <v>239</v>
      </c>
      <c r="G2740" s="1">
        <v>21460</v>
      </c>
      <c r="H2740" s="5">
        <f t="shared" si="60"/>
        <v>0</v>
      </c>
      <c r="I2740" s="6"/>
      <c r="J2740" s="43"/>
      <c r="K2740" s="51"/>
      <c r="L2740" s="86"/>
    </row>
    <row r="2741" spans="1:12" ht="15" x14ac:dyDescent="0.25">
      <c r="A2741" s="1">
        <v>2732</v>
      </c>
      <c r="B2741" s="1" t="s">
        <v>385</v>
      </c>
      <c r="C2741" s="32">
        <v>1284</v>
      </c>
      <c r="D2741" s="1">
        <v>9000</v>
      </c>
      <c r="E2741" s="1"/>
      <c r="F2741" s="1">
        <v>100</v>
      </c>
      <c r="G2741" s="1">
        <v>9000</v>
      </c>
      <c r="H2741" s="5">
        <f t="shared" si="60"/>
        <v>0</v>
      </c>
      <c r="I2741" s="6"/>
      <c r="J2741" s="43"/>
      <c r="K2741" s="51"/>
      <c r="L2741" s="86"/>
    </row>
    <row r="2742" spans="1:12" ht="15" x14ac:dyDescent="0.25">
      <c r="A2742" s="1">
        <v>2733</v>
      </c>
      <c r="B2742" s="1" t="s">
        <v>385</v>
      </c>
      <c r="C2742" s="32">
        <v>4351</v>
      </c>
      <c r="D2742" s="1">
        <v>19000</v>
      </c>
      <c r="E2742" s="1"/>
      <c r="F2742" s="1">
        <v>211</v>
      </c>
      <c r="G2742" s="1">
        <v>19000</v>
      </c>
      <c r="H2742" s="5">
        <f t="shared" si="60"/>
        <v>0</v>
      </c>
      <c r="I2742" s="6"/>
      <c r="J2742" s="43"/>
      <c r="K2742" s="51"/>
      <c r="L2742" s="86"/>
    </row>
    <row r="2743" spans="1:12" ht="15" x14ac:dyDescent="0.25">
      <c r="A2743" s="1">
        <v>2734</v>
      </c>
      <c r="B2743" s="1" t="s">
        <v>385</v>
      </c>
      <c r="C2743" s="32">
        <v>4608</v>
      </c>
      <c r="D2743" s="1">
        <v>24000</v>
      </c>
      <c r="E2743" s="1"/>
      <c r="F2743" s="1">
        <v>256</v>
      </c>
      <c r="G2743" s="1">
        <v>24000</v>
      </c>
      <c r="H2743" s="5">
        <f t="shared" si="60"/>
        <v>0</v>
      </c>
      <c r="I2743" s="6"/>
      <c r="J2743" s="43"/>
      <c r="K2743" s="51"/>
      <c r="L2743" s="86"/>
    </row>
    <row r="2744" spans="1:12" ht="15" x14ac:dyDescent="0.25">
      <c r="A2744" s="1">
        <v>2735</v>
      </c>
      <c r="B2744" s="1" t="s">
        <v>385</v>
      </c>
      <c r="C2744" s="32">
        <v>8665</v>
      </c>
      <c r="D2744" s="1">
        <v>24000</v>
      </c>
      <c r="E2744" s="1"/>
      <c r="F2744" s="1">
        <v>267</v>
      </c>
      <c r="G2744" s="1">
        <v>24000</v>
      </c>
      <c r="H2744" s="5">
        <f t="shared" si="60"/>
        <v>0</v>
      </c>
      <c r="I2744" s="6"/>
      <c r="J2744" s="43"/>
      <c r="K2744" s="51"/>
      <c r="L2744" s="86">
        <f>1231725-1214840</f>
        <v>16885</v>
      </c>
    </row>
    <row r="2745" spans="1:12" ht="15" x14ac:dyDescent="0.25">
      <c r="A2745" s="1">
        <v>2736</v>
      </c>
      <c r="B2745" s="1" t="s">
        <v>386</v>
      </c>
      <c r="C2745" s="32" t="s">
        <v>30</v>
      </c>
      <c r="D2745" s="1">
        <v>3500</v>
      </c>
      <c r="E2745" s="1"/>
      <c r="F2745" s="1">
        <v>38.119999999999997</v>
      </c>
      <c r="G2745" s="1">
        <v>3500</v>
      </c>
      <c r="H2745" s="5">
        <f t="shared" si="60"/>
        <v>0</v>
      </c>
      <c r="I2745" s="6"/>
      <c r="J2745" s="43"/>
      <c r="K2745" s="51"/>
      <c r="L2745" s="86"/>
    </row>
    <row r="2746" spans="1:12" ht="15" x14ac:dyDescent="0.25">
      <c r="A2746" s="1">
        <v>2737</v>
      </c>
      <c r="B2746" s="1" t="s">
        <v>386</v>
      </c>
      <c r="C2746" s="32">
        <v>7411</v>
      </c>
      <c r="D2746" s="1">
        <v>23000</v>
      </c>
      <c r="E2746" s="1"/>
      <c r="F2746" s="1">
        <v>256</v>
      </c>
      <c r="G2746" s="1">
        <v>23000</v>
      </c>
      <c r="H2746" s="5">
        <f t="shared" si="60"/>
        <v>0</v>
      </c>
      <c r="I2746" s="6"/>
      <c r="J2746" s="43"/>
      <c r="K2746" s="51"/>
      <c r="L2746" s="86"/>
    </row>
    <row r="2747" spans="1:12" ht="15" x14ac:dyDescent="0.25">
      <c r="A2747" s="1">
        <v>2738</v>
      </c>
      <c r="B2747" s="1" t="s">
        <v>386</v>
      </c>
      <c r="C2747" s="32">
        <v>9134</v>
      </c>
      <c r="D2747" s="1">
        <v>10000</v>
      </c>
      <c r="E2747" s="1"/>
      <c r="F2747" s="1">
        <v>111</v>
      </c>
      <c r="G2747" s="1">
        <v>10000</v>
      </c>
      <c r="H2747" s="5">
        <f t="shared" si="60"/>
        <v>0</v>
      </c>
      <c r="I2747" s="6"/>
      <c r="J2747" s="43"/>
      <c r="K2747" s="51"/>
      <c r="L2747" s="86"/>
    </row>
    <row r="2748" spans="1:12" ht="15" x14ac:dyDescent="0.25">
      <c r="A2748" s="1">
        <v>2739</v>
      </c>
      <c r="B2748" s="1" t="s">
        <v>386</v>
      </c>
      <c r="C2748" s="32">
        <v>1.9900000000000001E-2</v>
      </c>
      <c r="D2748" s="1">
        <v>16000</v>
      </c>
      <c r="E2748" s="1"/>
      <c r="F2748" s="1">
        <v>178</v>
      </c>
      <c r="G2748" s="1">
        <v>16000</v>
      </c>
      <c r="H2748" s="5">
        <f t="shared" si="60"/>
        <v>0</v>
      </c>
      <c r="I2748" s="6"/>
      <c r="J2748" s="43"/>
      <c r="K2748" s="51"/>
      <c r="L2748" s="86"/>
    </row>
    <row r="2749" spans="1:12" ht="15" x14ac:dyDescent="0.25">
      <c r="A2749" s="1">
        <v>2740</v>
      </c>
      <c r="B2749" s="1" t="s">
        <v>386</v>
      </c>
      <c r="C2749" s="32">
        <v>2.0299999999999999E-2</v>
      </c>
      <c r="D2749" s="1">
        <v>22000</v>
      </c>
      <c r="E2749" s="1"/>
      <c r="F2749" s="1">
        <v>245</v>
      </c>
      <c r="G2749" s="1">
        <v>22000</v>
      </c>
      <c r="H2749" s="5">
        <f t="shared" si="60"/>
        <v>0</v>
      </c>
      <c r="I2749" s="6"/>
      <c r="J2749" s="43"/>
      <c r="K2749" s="51"/>
      <c r="L2749" s="86"/>
    </row>
    <row r="2750" spans="1:12" ht="15" x14ac:dyDescent="0.25">
      <c r="A2750" s="1">
        <v>2741</v>
      </c>
      <c r="B2750" s="1" t="s">
        <v>386</v>
      </c>
      <c r="C2750" s="32">
        <v>5498</v>
      </c>
      <c r="D2750" s="1">
        <v>21000</v>
      </c>
      <c r="E2750" s="1"/>
      <c r="F2750" s="1">
        <v>233</v>
      </c>
      <c r="G2750" s="1">
        <v>21000</v>
      </c>
      <c r="H2750" s="5">
        <f t="shared" si="60"/>
        <v>0</v>
      </c>
      <c r="I2750" s="6"/>
      <c r="J2750" s="43"/>
      <c r="K2750" s="51"/>
      <c r="L2750" s="86"/>
    </row>
    <row r="2751" spans="1:12" ht="15" x14ac:dyDescent="0.25">
      <c r="A2751" s="1">
        <v>2742</v>
      </c>
      <c r="B2751" s="1" t="s">
        <v>386</v>
      </c>
      <c r="C2751" s="32" t="s">
        <v>66</v>
      </c>
      <c r="D2751" s="1">
        <v>200</v>
      </c>
      <c r="E2751" s="1"/>
      <c r="F2751" s="1">
        <v>2.08</v>
      </c>
      <c r="G2751" s="1">
        <v>200</v>
      </c>
      <c r="H2751" s="5">
        <f t="shared" si="60"/>
        <v>0</v>
      </c>
      <c r="I2751" s="6"/>
      <c r="J2751" s="43"/>
      <c r="K2751" s="51"/>
      <c r="L2751" s="86"/>
    </row>
    <row r="2752" spans="1:12" ht="15" x14ac:dyDescent="0.25">
      <c r="A2752" s="1">
        <v>2743</v>
      </c>
      <c r="B2752" s="1" t="s">
        <v>386</v>
      </c>
      <c r="C2752" s="32">
        <v>1307</v>
      </c>
      <c r="D2752" s="1">
        <v>5000</v>
      </c>
      <c r="E2752" s="1"/>
      <c r="F2752" s="1">
        <v>55.13</v>
      </c>
      <c r="G2752" s="1">
        <v>5000</v>
      </c>
      <c r="H2752" s="5">
        <f t="shared" si="60"/>
        <v>0</v>
      </c>
      <c r="I2752" s="6"/>
      <c r="J2752" s="43"/>
      <c r="K2752" s="51"/>
      <c r="L2752" s="86"/>
    </row>
    <row r="2753" spans="1:12" ht="15" x14ac:dyDescent="0.25">
      <c r="A2753" s="1">
        <v>2744</v>
      </c>
      <c r="B2753" s="1" t="s">
        <v>386</v>
      </c>
      <c r="C2753" s="32">
        <v>1948</v>
      </c>
      <c r="D2753" s="1">
        <v>25000</v>
      </c>
      <c r="E2753" s="1"/>
      <c r="F2753" s="1">
        <v>278.22000000000003</v>
      </c>
      <c r="G2753" s="1">
        <v>25000</v>
      </c>
      <c r="H2753" s="5">
        <f t="shared" si="60"/>
        <v>0</v>
      </c>
      <c r="I2753" s="6"/>
      <c r="J2753" s="43"/>
      <c r="K2753" s="51"/>
      <c r="L2753" s="86"/>
    </row>
    <row r="2754" spans="1:12" ht="15" x14ac:dyDescent="0.25">
      <c r="A2754" s="1">
        <v>2745</v>
      </c>
      <c r="B2754" s="1" t="s">
        <v>386</v>
      </c>
      <c r="C2754" s="32">
        <v>6311</v>
      </c>
      <c r="D2754" s="1">
        <v>23000</v>
      </c>
      <c r="E2754" s="1"/>
      <c r="F2754" s="1">
        <v>256</v>
      </c>
      <c r="G2754" s="1">
        <v>23000</v>
      </c>
      <c r="H2754" s="5">
        <f t="shared" si="60"/>
        <v>0</v>
      </c>
      <c r="I2754" s="6"/>
      <c r="J2754" s="43"/>
      <c r="K2754" s="51"/>
      <c r="L2754" s="86"/>
    </row>
    <row r="2755" spans="1:12" ht="15" x14ac:dyDescent="0.25">
      <c r="A2755" s="1">
        <v>2746</v>
      </c>
      <c r="B2755" s="1" t="s">
        <v>386</v>
      </c>
      <c r="C2755" s="32">
        <v>9177</v>
      </c>
      <c r="D2755" s="1">
        <v>27000</v>
      </c>
      <c r="E2755" s="1"/>
      <c r="F2755" s="1">
        <v>300</v>
      </c>
      <c r="G2755" s="1">
        <v>27000</v>
      </c>
      <c r="H2755" s="5">
        <f t="shared" si="60"/>
        <v>0</v>
      </c>
      <c r="I2755" s="6"/>
      <c r="J2755" s="43"/>
      <c r="K2755" s="51"/>
      <c r="L2755" s="86"/>
    </row>
    <row r="2756" spans="1:12" ht="15" x14ac:dyDescent="0.25">
      <c r="A2756" s="1">
        <v>2747</v>
      </c>
      <c r="B2756" s="1" t="s">
        <v>387</v>
      </c>
      <c r="C2756" s="32" t="s">
        <v>30</v>
      </c>
      <c r="D2756" s="1">
        <v>5000</v>
      </c>
      <c r="E2756" s="1"/>
      <c r="F2756" s="1">
        <v>55.13</v>
      </c>
      <c r="G2756" s="1">
        <v>5000</v>
      </c>
      <c r="H2756" s="5">
        <f t="shared" si="60"/>
        <v>0</v>
      </c>
      <c r="I2756" s="6"/>
      <c r="J2756" s="43"/>
      <c r="K2756" s="51"/>
      <c r="L2756" s="86"/>
    </row>
    <row r="2757" spans="1:12" ht="15" x14ac:dyDescent="0.25">
      <c r="A2757" s="1">
        <v>2748</v>
      </c>
      <c r="B2757" s="1" t="s">
        <v>387</v>
      </c>
      <c r="C2757" s="32">
        <v>8311</v>
      </c>
      <c r="D2757" s="1">
        <v>23000</v>
      </c>
      <c r="E2757" s="1"/>
      <c r="F2757" s="1">
        <v>256</v>
      </c>
      <c r="G2757" s="1">
        <v>23000</v>
      </c>
      <c r="H2757" s="5">
        <f t="shared" si="60"/>
        <v>0</v>
      </c>
      <c r="I2757" s="6"/>
      <c r="J2757" s="43"/>
      <c r="K2757" s="51"/>
      <c r="L2757" s="86"/>
    </row>
    <row r="2758" spans="1:12" ht="15" x14ac:dyDescent="0.25">
      <c r="A2758" s="1">
        <v>2749</v>
      </c>
      <c r="B2758" s="1" t="s">
        <v>387</v>
      </c>
      <c r="C2758" s="32">
        <v>4041</v>
      </c>
      <c r="D2758" s="1">
        <v>20000</v>
      </c>
      <c r="E2758" s="1"/>
      <c r="F2758" s="1">
        <v>222.32</v>
      </c>
      <c r="G2758" s="1">
        <v>20000</v>
      </c>
      <c r="H2758" s="5">
        <f t="shared" si="60"/>
        <v>0</v>
      </c>
      <c r="I2758" s="6"/>
      <c r="J2758" s="43"/>
      <c r="K2758" s="51"/>
      <c r="L2758" s="86"/>
    </row>
    <row r="2759" spans="1:12" ht="15" x14ac:dyDescent="0.25">
      <c r="A2759" s="1">
        <v>2750</v>
      </c>
      <c r="B2759" s="1" t="s">
        <v>387</v>
      </c>
      <c r="C2759" s="32">
        <v>8289</v>
      </c>
      <c r="D2759" s="1">
        <v>20000</v>
      </c>
      <c r="E2759" s="1"/>
      <c r="F2759" s="1">
        <v>222.32</v>
      </c>
      <c r="G2759" s="1">
        <v>20000</v>
      </c>
      <c r="H2759" s="5">
        <f t="shared" si="60"/>
        <v>0</v>
      </c>
      <c r="I2759" s="6"/>
      <c r="J2759" s="43"/>
      <c r="K2759" s="51"/>
      <c r="L2759" s="86"/>
    </row>
    <row r="2760" spans="1:12" ht="15" x14ac:dyDescent="0.25">
      <c r="A2760" s="1">
        <v>2751</v>
      </c>
      <c r="B2760" s="1" t="s">
        <v>387</v>
      </c>
      <c r="C2760" s="32" t="s">
        <v>66</v>
      </c>
      <c r="D2760" s="1">
        <v>210</v>
      </c>
      <c r="E2760" s="1"/>
      <c r="F2760" s="1">
        <v>2.08</v>
      </c>
      <c r="G2760" s="1">
        <v>210</v>
      </c>
      <c r="H2760" s="5">
        <f t="shared" si="60"/>
        <v>0</v>
      </c>
      <c r="I2760" s="6"/>
      <c r="J2760" s="43"/>
      <c r="K2760" s="51"/>
      <c r="L2760" s="86"/>
    </row>
    <row r="2761" spans="1:12" ht="15" x14ac:dyDescent="0.25">
      <c r="A2761" s="1">
        <v>2752</v>
      </c>
      <c r="B2761" s="1" t="s">
        <v>387</v>
      </c>
      <c r="C2761" s="32" t="s">
        <v>30</v>
      </c>
      <c r="D2761" s="1">
        <v>2500</v>
      </c>
      <c r="E2761" s="1"/>
      <c r="F2761" s="1">
        <v>27.12</v>
      </c>
      <c r="G2761" s="1">
        <v>2500</v>
      </c>
      <c r="H2761" s="5">
        <f t="shared" si="60"/>
        <v>0</v>
      </c>
      <c r="I2761" s="6"/>
      <c r="J2761" s="43"/>
      <c r="K2761" s="51"/>
      <c r="L2761" s="86"/>
    </row>
    <row r="2762" spans="1:12" ht="15" x14ac:dyDescent="0.25">
      <c r="A2762" s="1">
        <v>2753</v>
      </c>
      <c r="B2762" s="1" t="s">
        <v>387</v>
      </c>
      <c r="C2762" s="32">
        <v>2063</v>
      </c>
      <c r="D2762" s="1">
        <v>29000</v>
      </c>
      <c r="E2762" s="1"/>
      <c r="F2762" s="1">
        <v>323</v>
      </c>
      <c r="G2762" s="1">
        <v>29000</v>
      </c>
      <c r="H2762" s="5">
        <f t="shared" si="60"/>
        <v>0</v>
      </c>
      <c r="I2762" s="6"/>
      <c r="J2762" s="43"/>
      <c r="K2762" s="51"/>
      <c r="L2762" s="86"/>
    </row>
    <row r="2763" spans="1:12" ht="15" x14ac:dyDescent="0.25">
      <c r="A2763" s="1">
        <v>2754</v>
      </c>
      <c r="B2763" s="1" t="s">
        <v>387</v>
      </c>
      <c r="C2763" s="32">
        <v>2618</v>
      </c>
      <c r="D2763" s="1">
        <v>18000</v>
      </c>
      <c r="E2763" s="1"/>
      <c r="F2763" s="1">
        <v>211</v>
      </c>
      <c r="G2763" s="1">
        <v>18000</v>
      </c>
      <c r="H2763" s="5">
        <f t="shared" si="60"/>
        <v>0</v>
      </c>
      <c r="I2763" s="6"/>
      <c r="J2763" s="43"/>
      <c r="K2763" s="51"/>
      <c r="L2763" s="86"/>
    </row>
    <row r="2764" spans="1:12" ht="15" x14ac:dyDescent="0.25">
      <c r="A2764" s="1">
        <v>2755</v>
      </c>
      <c r="B2764" s="1" t="s">
        <v>387</v>
      </c>
      <c r="C2764" s="32">
        <v>9186</v>
      </c>
      <c r="D2764" s="1">
        <v>12000</v>
      </c>
      <c r="E2764" s="1"/>
      <c r="F2764" s="1">
        <v>133</v>
      </c>
      <c r="G2764" s="1">
        <v>12000</v>
      </c>
      <c r="H2764" s="5">
        <f t="shared" si="60"/>
        <v>0</v>
      </c>
      <c r="I2764" s="6"/>
      <c r="J2764" s="43"/>
      <c r="K2764" s="51"/>
      <c r="L2764" s="86"/>
    </row>
    <row r="2765" spans="1:12" ht="15" x14ac:dyDescent="0.25">
      <c r="A2765" s="1">
        <v>2756</v>
      </c>
      <c r="B2765" s="1" t="s">
        <v>387</v>
      </c>
      <c r="C2765" s="32">
        <v>4928</v>
      </c>
      <c r="D2765" s="1">
        <v>25000</v>
      </c>
      <c r="E2765" s="1"/>
      <c r="F2765" s="1">
        <v>278</v>
      </c>
      <c r="G2765" s="1">
        <v>25000</v>
      </c>
      <c r="H2765" s="5">
        <f t="shared" si="60"/>
        <v>0</v>
      </c>
      <c r="I2765" s="6"/>
      <c r="J2765" s="43"/>
      <c r="K2765" s="51"/>
      <c r="L2765" s="86"/>
    </row>
    <row r="2766" spans="1:12" ht="15" x14ac:dyDescent="0.25">
      <c r="A2766" s="1">
        <v>2757</v>
      </c>
      <c r="B2766" s="1" t="s">
        <v>387</v>
      </c>
      <c r="C2766" s="32">
        <v>7864</v>
      </c>
      <c r="D2766" s="1">
        <v>20000</v>
      </c>
      <c r="E2766" s="1"/>
      <c r="F2766" s="1">
        <v>222</v>
      </c>
      <c r="G2766" s="1">
        <v>20000</v>
      </c>
      <c r="H2766" s="5">
        <f t="shared" si="60"/>
        <v>0</v>
      </c>
      <c r="I2766" s="6"/>
      <c r="J2766" s="43"/>
      <c r="K2766" s="51"/>
      <c r="L2766" s="86"/>
    </row>
    <row r="2767" spans="1:12" ht="15" x14ac:dyDescent="0.25">
      <c r="A2767" s="1">
        <v>2758</v>
      </c>
      <c r="B2767" s="1" t="s">
        <v>387</v>
      </c>
      <c r="C2767" s="32">
        <v>1766</v>
      </c>
      <c r="D2767" s="1">
        <v>10000</v>
      </c>
      <c r="E2767" s="1"/>
      <c r="F2767" s="1">
        <v>111</v>
      </c>
      <c r="G2767" s="1">
        <v>10000</v>
      </c>
      <c r="H2767" s="5">
        <f t="shared" si="60"/>
        <v>0</v>
      </c>
      <c r="I2767" s="6"/>
      <c r="J2767" s="43"/>
      <c r="K2767" s="51"/>
      <c r="L2767" s="86"/>
    </row>
    <row r="2768" spans="1:12" ht="15" x14ac:dyDescent="0.25">
      <c r="A2768" s="1">
        <v>2759</v>
      </c>
      <c r="B2768" s="1" t="s">
        <v>387</v>
      </c>
      <c r="C2768" s="32">
        <v>9599</v>
      </c>
      <c r="D2768" s="1">
        <v>30000</v>
      </c>
      <c r="E2768" s="1"/>
      <c r="F2768" s="1">
        <v>321</v>
      </c>
      <c r="G2768" s="1">
        <v>30000</v>
      </c>
      <c r="H2768" s="5">
        <f t="shared" si="60"/>
        <v>0</v>
      </c>
      <c r="I2768" s="6"/>
      <c r="J2768" s="43"/>
      <c r="K2768" s="51"/>
      <c r="L2768" s="86"/>
    </row>
    <row r="2769" spans="1:12" ht="15" x14ac:dyDescent="0.25">
      <c r="A2769" s="1">
        <v>2760</v>
      </c>
      <c r="B2769" s="1" t="s">
        <v>387</v>
      </c>
      <c r="C2769" s="32">
        <v>5553</v>
      </c>
      <c r="D2769" s="1">
        <v>22935</v>
      </c>
      <c r="E2769" s="1"/>
      <c r="F2769" s="1">
        <v>255</v>
      </c>
      <c r="G2769" s="1">
        <v>22935</v>
      </c>
      <c r="H2769" s="5">
        <f t="shared" ref="H2769:H2834" si="61">D2769-G2769</f>
        <v>0</v>
      </c>
      <c r="I2769" s="6"/>
      <c r="J2769" s="43"/>
      <c r="K2769" s="51"/>
      <c r="L2769" s="86">
        <f>1456013-1428185</f>
        <v>27828</v>
      </c>
    </row>
    <row r="2770" spans="1:12" ht="15" x14ac:dyDescent="0.25">
      <c r="A2770" s="1">
        <v>2761</v>
      </c>
      <c r="B2770" s="1" t="s">
        <v>388</v>
      </c>
      <c r="C2770" s="32" t="s">
        <v>30</v>
      </c>
      <c r="D2770" s="1">
        <v>5000</v>
      </c>
      <c r="E2770" s="1"/>
      <c r="F2770" s="1">
        <v>55.13</v>
      </c>
      <c r="G2770" s="1">
        <v>5000</v>
      </c>
      <c r="H2770" s="5">
        <f t="shared" si="61"/>
        <v>0</v>
      </c>
      <c r="I2770" s="6"/>
      <c r="J2770" s="43"/>
      <c r="K2770" s="51"/>
      <c r="L2770" s="86"/>
    </row>
    <row r="2771" spans="1:12" ht="15" x14ac:dyDescent="0.25">
      <c r="A2771" s="1">
        <v>2762</v>
      </c>
      <c r="B2771" s="1" t="s">
        <v>388</v>
      </c>
      <c r="C2771" s="32" t="s">
        <v>30</v>
      </c>
      <c r="D2771" s="1">
        <v>2500</v>
      </c>
      <c r="E2771" s="1"/>
      <c r="F2771" s="1">
        <v>27</v>
      </c>
      <c r="G2771" s="1">
        <v>2500</v>
      </c>
      <c r="H2771" s="5">
        <f t="shared" si="61"/>
        <v>0</v>
      </c>
      <c r="I2771" s="6"/>
      <c r="J2771" s="43"/>
      <c r="K2771" s="51"/>
      <c r="L2771" s="86"/>
    </row>
    <row r="2772" spans="1:12" ht="15" x14ac:dyDescent="0.25">
      <c r="A2772" s="1">
        <v>2763</v>
      </c>
      <c r="B2772" s="1" t="s">
        <v>388</v>
      </c>
      <c r="C2772" s="32">
        <v>3066</v>
      </c>
      <c r="D2772" s="1">
        <v>16000</v>
      </c>
      <c r="E2772" s="1"/>
      <c r="F2772" s="1">
        <v>178.22</v>
      </c>
      <c r="G2772" s="1">
        <v>16000</v>
      </c>
      <c r="H2772" s="5">
        <f t="shared" si="61"/>
        <v>0</v>
      </c>
      <c r="I2772" s="6"/>
      <c r="J2772" s="43"/>
      <c r="K2772" s="51"/>
      <c r="L2772" s="86"/>
    </row>
    <row r="2773" spans="1:12" ht="15" x14ac:dyDescent="0.25">
      <c r="A2773" s="1">
        <v>2764</v>
      </c>
      <c r="B2773" s="1" t="s">
        <v>388</v>
      </c>
      <c r="C2773" s="32">
        <v>8875</v>
      </c>
      <c r="D2773" s="1">
        <v>35000</v>
      </c>
      <c r="E2773" s="1"/>
      <c r="F2773" s="1">
        <v>353</v>
      </c>
      <c r="G2773" s="1">
        <v>35000</v>
      </c>
      <c r="H2773" s="5">
        <f t="shared" si="61"/>
        <v>0</v>
      </c>
      <c r="I2773" s="6"/>
      <c r="J2773" s="43"/>
      <c r="K2773" s="51"/>
      <c r="L2773" s="86"/>
    </row>
    <row r="2774" spans="1:12" ht="15" x14ac:dyDescent="0.25">
      <c r="A2774" s="1">
        <v>2765</v>
      </c>
      <c r="B2774" s="1" t="s">
        <v>388</v>
      </c>
      <c r="C2774" s="32">
        <v>5.0799999999999998E-2</v>
      </c>
      <c r="D2774" s="1">
        <v>29000</v>
      </c>
      <c r="E2774" s="1"/>
      <c r="F2774" s="1">
        <v>323</v>
      </c>
      <c r="G2774" s="1">
        <v>29000</v>
      </c>
      <c r="H2774" s="5">
        <f t="shared" si="61"/>
        <v>0</v>
      </c>
      <c r="I2774" s="6"/>
      <c r="J2774" s="43"/>
      <c r="K2774" s="51"/>
      <c r="L2774" s="86"/>
    </row>
    <row r="2775" spans="1:12" ht="15" x14ac:dyDescent="0.25">
      <c r="A2775" s="1">
        <v>2766</v>
      </c>
      <c r="B2775" s="1" t="s">
        <v>388</v>
      </c>
      <c r="C2775" s="32">
        <v>1246</v>
      </c>
      <c r="D2775" s="1">
        <v>23000</v>
      </c>
      <c r="E2775" s="1"/>
      <c r="F2775" s="1">
        <v>239</v>
      </c>
      <c r="G2775" s="1">
        <v>23000</v>
      </c>
      <c r="H2775" s="5">
        <f t="shared" si="61"/>
        <v>0</v>
      </c>
      <c r="I2775" s="6"/>
      <c r="J2775" s="43"/>
      <c r="K2775" s="51"/>
      <c r="L2775" s="86"/>
    </row>
    <row r="2776" spans="1:12" ht="15" x14ac:dyDescent="0.25">
      <c r="A2776" s="1">
        <v>2767</v>
      </c>
      <c r="B2776" s="1" t="s">
        <v>388</v>
      </c>
      <c r="C2776" s="32">
        <v>1758</v>
      </c>
      <c r="D2776" s="1">
        <v>10000</v>
      </c>
      <c r="E2776" s="1"/>
      <c r="F2776" s="1">
        <v>111</v>
      </c>
      <c r="G2776" s="1">
        <v>10000</v>
      </c>
      <c r="H2776" s="5">
        <f t="shared" si="61"/>
        <v>0</v>
      </c>
      <c r="I2776" s="6"/>
      <c r="J2776" s="43"/>
      <c r="K2776" s="51"/>
      <c r="L2776" s="86"/>
    </row>
    <row r="2777" spans="1:12" ht="15" x14ac:dyDescent="0.25">
      <c r="A2777" s="1">
        <v>2768</v>
      </c>
      <c r="B2777" s="1" t="s">
        <v>388</v>
      </c>
      <c r="C2777" s="32">
        <v>2029</v>
      </c>
      <c r="D2777" s="1">
        <v>10000</v>
      </c>
      <c r="E2777" s="1"/>
      <c r="F2777" s="1">
        <v>111</v>
      </c>
      <c r="G2777" s="1">
        <v>10000</v>
      </c>
      <c r="H2777" s="5">
        <f t="shared" si="61"/>
        <v>0</v>
      </c>
      <c r="I2777" s="6"/>
      <c r="J2777" s="43"/>
      <c r="K2777" s="51"/>
      <c r="L2777" s="86">
        <f>1287936-1258685</f>
        <v>29251</v>
      </c>
    </row>
    <row r="2778" spans="1:12" ht="15" x14ac:dyDescent="0.25">
      <c r="A2778" s="1">
        <v>2769</v>
      </c>
      <c r="B2778" s="1" t="s">
        <v>389</v>
      </c>
      <c r="C2778" s="32" t="s">
        <v>66</v>
      </c>
      <c r="D2778" s="1">
        <v>210</v>
      </c>
      <c r="E2778" s="1"/>
      <c r="F2778" s="1">
        <v>2.0499999999999998</v>
      </c>
      <c r="G2778" s="1">
        <v>210</v>
      </c>
      <c r="H2778" s="5">
        <f t="shared" si="61"/>
        <v>0</v>
      </c>
      <c r="I2778" s="6"/>
      <c r="J2778" s="43"/>
      <c r="K2778" s="51"/>
      <c r="L2778" s="86"/>
    </row>
    <row r="2779" spans="1:12" ht="15" x14ac:dyDescent="0.25">
      <c r="A2779" s="1">
        <v>2770</v>
      </c>
      <c r="B2779" s="1" t="s">
        <v>389</v>
      </c>
      <c r="C2779" s="32" t="s">
        <v>30</v>
      </c>
      <c r="D2779" s="1">
        <v>2000</v>
      </c>
      <c r="E2779" s="1"/>
      <c r="F2779" s="1">
        <v>22.12</v>
      </c>
      <c r="G2779" s="1">
        <v>2000</v>
      </c>
      <c r="H2779" s="5">
        <f t="shared" si="61"/>
        <v>0</v>
      </c>
      <c r="I2779" s="6"/>
      <c r="J2779" s="43"/>
      <c r="K2779" s="51"/>
      <c r="L2779" s="86"/>
    </row>
    <row r="2780" spans="1:12" ht="15" x14ac:dyDescent="0.25">
      <c r="A2780" s="1">
        <v>2771</v>
      </c>
      <c r="B2780" s="1" t="s">
        <v>389</v>
      </c>
      <c r="C2780" s="32" t="s">
        <v>63</v>
      </c>
      <c r="D2780" s="1">
        <v>3500</v>
      </c>
      <c r="E2780" s="1"/>
      <c r="F2780" s="1">
        <v>38.119999999999997</v>
      </c>
      <c r="G2780" s="1">
        <v>3500</v>
      </c>
      <c r="H2780" s="5">
        <f t="shared" si="61"/>
        <v>0</v>
      </c>
      <c r="I2780" s="6"/>
      <c r="J2780" s="43"/>
      <c r="K2780" s="51"/>
      <c r="L2780" s="86"/>
    </row>
    <row r="2781" spans="1:12" ht="15" x14ac:dyDescent="0.25">
      <c r="A2781" s="1">
        <v>2772</v>
      </c>
      <c r="B2781" s="1" t="s">
        <v>389</v>
      </c>
      <c r="C2781" s="32">
        <v>3538</v>
      </c>
      <c r="D2781" s="1">
        <v>15000</v>
      </c>
      <c r="E2781" s="1"/>
      <c r="F2781" s="1">
        <v>167</v>
      </c>
      <c r="G2781" s="1">
        <v>15000</v>
      </c>
      <c r="H2781" s="5">
        <f t="shared" si="61"/>
        <v>0</v>
      </c>
      <c r="I2781" s="6"/>
      <c r="J2781" s="43"/>
      <c r="K2781" s="51"/>
      <c r="L2781" s="86"/>
    </row>
    <row r="2782" spans="1:12" ht="15" x14ac:dyDescent="0.25">
      <c r="A2782" s="1">
        <v>2773</v>
      </c>
      <c r="B2782" s="1" t="s">
        <v>389</v>
      </c>
      <c r="C2782" s="32">
        <v>3358</v>
      </c>
      <c r="D2782" s="1">
        <v>27000</v>
      </c>
      <c r="E2782" s="1"/>
      <c r="F2782" s="1">
        <v>300</v>
      </c>
      <c r="G2782" s="1">
        <v>27000</v>
      </c>
      <c r="H2782" s="5">
        <f t="shared" si="61"/>
        <v>0</v>
      </c>
      <c r="I2782" s="6"/>
      <c r="J2782" s="43"/>
      <c r="K2782" s="51"/>
      <c r="L2782" s="86">
        <f>1130474-1106395</f>
        <v>24079</v>
      </c>
    </row>
    <row r="2783" spans="1:12" ht="15" x14ac:dyDescent="0.25">
      <c r="A2783" s="1">
        <v>2774</v>
      </c>
      <c r="B2783" s="1" t="s">
        <v>391</v>
      </c>
      <c r="C2783" s="32" t="s">
        <v>30</v>
      </c>
      <c r="D2783" s="1">
        <v>7000</v>
      </c>
      <c r="E2783" s="1"/>
      <c r="F2783" s="1">
        <v>77</v>
      </c>
      <c r="G2783" s="1">
        <v>7000</v>
      </c>
      <c r="H2783" s="5">
        <f t="shared" si="61"/>
        <v>0</v>
      </c>
      <c r="I2783" s="6"/>
      <c r="J2783" s="43"/>
      <c r="K2783" s="51"/>
      <c r="L2783" s="86"/>
    </row>
    <row r="2784" spans="1:12" ht="15" x14ac:dyDescent="0.25">
      <c r="A2784" s="1">
        <v>2775</v>
      </c>
      <c r="B2784" s="1" t="s">
        <v>391</v>
      </c>
      <c r="C2784" s="32" t="s">
        <v>30</v>
      </c>
      <c r="D2784" s="1">
        <v>5000</v>
      </c>
      <c r="E2784" s="1"/>
      <c r="F2784" s="1">
        <v>55.12</v>
      </c>
      <c r="G2784" s="1">
        <v>5000</v>
      </c>
      <c r="H2784" s="5">
        <f t="shared" si="61"/>
        <v>0</v>
      </c>
      <c r="I2784" s="6"/>
      <c r="J2784" s="43"/>
      <c r="K2784" s="51"/>
      <c r="L2784" s="86"/>
    </row>
    <row r="2785" spans="1:12" ht="15" x14ac:dyDescent="0.25">
      <c r="A2785" s="1">
        <v>2776</v>
      </c>
      <c r="B2785" s="1" t="s">
        <v>391</v>
      </c>
      <c r="C2785" s="32" t="s">
        <v>30</v>
      </c>
      <c r="D2785" s="1">
        <v>2000</v>
      </c>
      <c r="E2785" s="1"/>
      <c r="F2785" s="1">
        <v>22</v>
      </c>
      <c r="G2785" s="1">
        <v>2000</v>
      </c>
      <c r="H2785" s="5">
        <f t="shared" si="61"/>
        <v>0</v>
      </c>
      <c r="I2785" s="6"/>
      <c r="J2785" s="43"/>
      <c r="K2785" s="51"/>
      <c r="L2785" s="86"/>
    </row>
    <row r="2786" spans="1:12" ht="15" x14ac:dyDescent="0.25">
      <c r="A2786" s="1">
        <v>2777</v>
      </c>
      <c r="B2786" s="1" t="s">
        <v>391</v>
      </c>
      <c r="C2786" s="32">
        <v>5.1999999999999998E-3</v>
      </c>
      <c r="D2786" s="1">
        <v>16000</v>
      </c>
      <c r="E2786" s="1"/>
      <c r="F2786" s="1">
        <v>178.22</v>
      </c>
      <c r="G2786" s="1">
        <v>16000</v>
      </c>
      <c r="H2786" s="5">
        <f t="shared" si="61"/>
        <v>0</v>
      </c>
      <c r="I2786" s="6"/>
      <c r="J2786" s="43"/>
      <c r="K2786" s="51"/>
      <c r="L2786" s="86"/>
    </row>
    <row r="2787" spans="1:12" ht="15" x14ac:dyDescent="0.25">
      <c r="A2787" s="1">
        <v>2778</v>
      </c>
      <c r="B2787" s="1" t="s">
        <v>391</v>
      </c>
      <c r="C2787" s="32">
        <v>5.1000000000000004E-3</v>
      </c>
      <c r="D2787" s="1">
        <v>16000</v>
      </c>
      <c r="E2787" s="1"/>
      <c r="F2787" s="1">
        <v>178.22</v>
      </c>
      <c r="G2787" s="1">
        <v>16000</v>
      </c>
      <c r="H2787" s="5">
        <f t="shared" si="61"/>
        <v>0</v>
      </c>
      <c r="I2787" s="6"/>
      <c r="J2787" s="43"/>
      <c r="K2787" s="51"/>
      <c r="L2787" s="86"/>
    </row>
    <row r="2788" spans="1:12" ht="15" x14ac:dyDescent="0.25">
      <c r="A2788" s="1">
        <v>2779</v>
      </c>
      <c r="B2788" s="1" t="s">
        <v>391</v>
      </c>
      <c r="C2788" s="32">
        <v>9903</v>
      </c>
      <c r="D2788" s="1">
        <v>20000</v>
      </c>
      <c r="E2788" s="1"/>
      <c r="F2788" s="1">
        <v>222.2</v>
      </c>
      <c r="G2788" s="1">
        <v>20000</v>
      </c>
      <c r="H2788" s="5">
        <f t="shared" si="61"/>
        <v>0</v>
      </c>
      <c r="I2788" s="6"/>
      <c r="J2788" s="43"/>
      <c r="K2788" s="51"/>
      <c r="L2788" s="86"/>
    </row>
    <row r="2789" spans="1:12" ht="15" x14ac:dyDescent="0.25">
      <c r="A2789" s="1">
        <v>2780</v>
      </c>
      <c r="B2789" s="1" t="s">
        <v>391</v>
      </c>
      <c r="C2789" s="32">
        <v>4911</v>
      </c>
      <c r="D2789" s="1">
        <v>24000</v>
      </c>
      <c r="E2789" s="1"/>
      <c r="F2789" s="1">
        <v>287</v>
      </c>
      <c r="G2789" s="1">
        <v>24000</v>
      </c>
      <c r="H2789" s="5">
        <f t="shared" si="61"/>
        <v>0</v>
      </c>
      <c r="I2789" s="6"/>
      <c r="J2789" s="43"/>
      <c r="K2789" s="51"/>
      <c r="L2789" s="86">
        <f>928177-896395</f>
        <v>31782</v>
      </c>
    </row>
    <row r="2790" spans="1:12" ht="15" x14ac:dyDescent="0.25">
      <c r="A2790" s="1">
        <v>2781</v>
      </c>
      <c r="B2790" s="1" t="s">
        <v>392</v>
      </c>
      <c r="C2790" s="32">
        <v>5252</v>
      </c>
      <c r="D2790" s="1">
        <v>16000</v>
      </c>
      <c r="E2790" s="1"/>
      <c r="F2790" s="1">
        <v>178.22</v>
      </c>
      <c r="G2790" s="1">
        <v>16000</v>
      </c>
      <c r="H2790" s="5">
        <f t="shared" si="61"/>
        <v>0</v>
      </c>
      <c r="I2790" s="6"/>
      <c r="J2790" s="43"/>
      <c r="K2790" s="51"/>
      <c r="L2790" s="86"/>
    </row>
    <row r="2791" spans="1:12" ht="15" x14ac:dyDescent="0.25">
      <c r="A2791" s="1">
        <v>2782</v>
      </c>
      <c r="B2791" s="1" t="s">
        <v>392</v>
      </c>
      <c r="C2791" s="32" t="s">
        <v>30</v>
      </c>
      <c r="D2791" s="1">
        <v>10000</v>
      </c>
      <c r="E2791" s="1"/>
      <c r="F2791" s="1">
        <v>111</v>
      </c>
      <c r="G2791" s="1">
        <v>10000</v>
      </c>
      <c r="H2791" s="5">
        <f t="shared" si="61"/>
        <v>0</v>
      </c>
      <c r="I2791" s="6"/>
      <c r="J2791" s="43"/>
      <c r="K2791" s="51"/>
      <c r="L2791" s="86"/>
    </row>
    <row r="2792" spans="1:12" ht="15" x14ac:dyDescent="0.25">
      <c r="A2792" s="1">
        <v>2783</v>
      </c>
      <c r="B2792" s="1" t="s">
        <v>392</v>
      </c>
      <c r="C2792" s="32">
        <v>6311</v>
      </c>
      <c r="D2792" s="1">
        <v>24000</v>
      </c>
      <c r="E2792" s="1"/>
      <c r="F2792" s="1">
        <v>267</v>
      </c>
      <c r="G2792" s="1">
        <v>24000</v>
      </c>
      <c r="H2792" s="5">
        <f t="shared" si="61"/>
        <v>0</v>
      </c>
      <c r="I2792" s="6"/>
      <c r="J2792" s="43"/>
      <c r="K2792" s="51"/>
      <c r="L2792" s="86"/>
    </row>
    <row r="2793" spans="1:12" ht="15" x14ac:dyDescent="0.25">
      <c r="A2793" s="1">
        <v>2784</v>
      </c>
      <c r="B2793" s="1" t="s">
        <v>392</v>
      </c>
      <c r="C2793" s="32" t="s">
        <v>30</v>
      </c>
      <c r="D2793" s="1">
        <v>2000</v>
      </c>
      <c r="E2793" s="1"/>
      <c r="F2793" s="1">
        <v>22.12</v>
      </c>
      <c r="G2793" s="1">
        <v>2000</v>
      </c>
      <c r="H2793" s="5">
        <f t="shared" si="61"/>
        <v>0</v>
      </c>
      <c r="I2793" s="6"/>
      <c r="J2793" s="43"/>
      <c r="K2793" s="51"/>
      <c r="L2793" s="86"/>
    </row>
    <row r="2794" spans="1:12" ht="15" x14ac:dyDescent="0.25">
      <c r="A2794" s="1">
        <v>2785</v>
      </c>
      <c r="B2794" s="1" t="s">
        <v>392</v>
      </c>
      <c r="C2794" s="32" t="s">
        <v>66</v>
      </c>
      <c r="D2794" s="1">
        <v>210</v>
      </c>
      <c r="E2794" s="1"/>
      <c r="F2794" s="1">
        <v>2.12</v>
      </c>
      <c r="G2794" s="1">
        <v>210</v>
      </c>
      <c r="H2794" s="5">
        <f t="shared" si="61"/>
        <v>0</v>
      </c>
      <c r="I2794" s="6"/>
      <c r="J2794" s="43"/>
      <c r="K2794" s="51"/>
      <c r="L2794" s="86"/>
    </row>
    <row r="2795" spans="1:12" ht="15" x14ac:dyDescent="0.25">
      <c r="A2795" s="1">
        <v>2786</v>
      </c>
      <c r="B2795" s="1" t="s">
        <v>392</v>
      </c>
      <c r="C2795" s="32" t="s">
        <v>30</v>
      </c>
      <c r="D2795" s="1">
        <v>5000</v>
      </c>
      <c r="E2795" s="1"/>
      <c r="F2795" s="1">
        <v>55.12</v>
      </c>
      <c r="G2795" s="1">
        <v>5000</v>
      </c>
      <c r="H2795" s="5">
        <f t="shared" si="61"/>
        <v>0</v>
      </c>
      <c r="I2795" s="6"/>
      <c r="J2795" s="43"/>
      <c r="K2795" s="51"/>
      <c r="L2795" s="86"/>
    </row>
    <row r="2796" spans="1:12" ht="15" x14ac:dyDescent="0.25">
      <c r="A2796" s="1">
        <v>2787</v>
      </c>
      <c r="B2796" s="1" t="s">
        <v>392</v>
      </c>
      <c r="C2796" s="32">
        <v>5151</v>
      </c>
      <c r="D2796" s="1">
        <v>16000</v>
      </c>
      <c r="E2796" s="1"/>
      <c r="F2796" s="1">
        <v>178</v>
      </c>
      <c r="G2796" s="1">
        <v>16000</v>
      </c>
      <c r="H2796" s="5">
        <f t="shared" si="61"/>
        <v>0</v>
      </c>
      <c r="I2796" s="6"/>
      <c r="J2796" s="43"/>
      <c r="K2796" s="51"/>
      <c r="L2796" s="86"/>
    </row>
    <row r="2797" spans="1:12" ht="15" x14ac:dyDescent="0.25">
      <c r="A2797" s="1">
        <v>2788</v>
      </c>
      <c r="B2797" s="1" t="s">
        <v>392</v>
      </c>
      <c r="C2797" s="32">
        <v>8311</v>
      </c>
      <c r="D2797" s="1">
        <v>24000</v>
      </c>
      <c r="E2797" s="1"/>
      <c r="F2797" s="1">
        <v>267</v>
      </c>
      <c r="G2797" s="1">
        <v>24000</v>
      </c>
      <c r="H2797" s="5">
        <f t="shared" si="61"/>
        <v>0</v>
      </c>
      <c r="I2797" s="6"/>
      <c r="J2797" s="43"/>
      <c r="K2797" s="51"/>
      <c r="L2797" s="86"/>
    </row>
    <row r="2798" spans="1:12" ht="15" x14ac:dyDescent="0.25">
      <c r="A2798" s="1">
        <v>2789</v>
      </c>
      <c r="B2798" s="1" t="s">
        <v>392</v>
      </c>
      <c r="C2798" s="32">
        <v>6188</v>
      </c>
      <c r="D2798" s="1">
        <v>17000</v>
      </c>
      <c r="E2798" s="1"/>
      <c r="F2798" s="1">
        <v>189</v>
      </c>
      <c r="G2798" s="1">
        <v>17000</v>
      </c>
      <c r="H2798" s="5">
        <f t="shared" si="61"/>
        <v>0</v>
      </c>
      <c r="I2798" s="6"/>
      <c r="J2798" s="43"/>
      <c r="K2798" s="51"/>
      <c r="L2798" s="86"/>
    </row>
    <row r="2799" spans="1:12" ht="15" x14ac:dyDescent="0.25">
      <c r="A2799" s="1">
        <v>2790</v>
      </c>
      <c r="B2799" s="1" t="s">
        <v>392</v>
      </c>
      <c r="C2799" s="32">
        <v>3.04E-2</v>
      </c>
      <c r="D2799" s="1">
        <v>27000</v>
      </c>
      <c r="E2799" s="1"/>
      <c r="F2799" s="1">
        <v>300</v>
      </c>
      <c r="G2799" s="1">
        <v>27000</v>
      </c>
      <c r="H2799" s="5">
        <f t="shared" si="61"/>
        <v>0</v>
      </c>
      <c r="I2799" s="6"/>
      <c r="J2799" s="43"/>
      <c r="K2799" s="51"/>
      <c r="L2799" s="86"/>
    </row>
    <row r="2800" spans="1:12" ht="15" x14ac:dyDescent="0.25">
      <c r="A2800" s="1">
        <v>2791</v>
      </c>
      <c r="B2800" s="1" t="s">
        <v>393</v>
      </c>
      <c r="C2800" s="32">
        <v>5498</v>
      </c>
      <c r="D2800" s="1">
        <v>21000</v>
      </c>
      <c r="E2800" s="1"/>
      <c r="F2800" s="1">
        <v>233</v>
      </c>
      <c r="G2800" s="1">
        <v>21000</v>
      </c>
      <c r="H2800" s="5">
        <f t="shared" si="61"/>
        <v>0</v>
      </c>
      <c r="I2800" s="6"/>
      <c r="J2800" s="43"/>
      <c r="K2800" s="51"/>
      <c r="L2800" s="86"/>
    </row>
    <row r="2801" spans="1:12" ht="15" x14ac:dyDescent="0.25">
      <c r="A2801" s="1">
        <v>2792</v>
      </c>
      <c r="B2801" s="1" t="s">
        <v>393</v>
      </c>
      <c r="C2801" s="32">
        <v>7411</v>
      </c>
      <c r="D2801" s="1">
        <v>24000</v>
      </c>
      <c r="E2801" s="1"/>
      <c r="F2801" s="1">
        <v>267</v>
      </c>
      <c r="G2801" s="1">
        <v>24000</v>
      </c>
      <c r="H2801" s="5">
        <f t="shared" si="61"/>
        <v>0</v>
      </c>
      <c r="I2801" s="6"/>
      <c r="J2801" s="43"/>
      <c r="K2801" s="51"/>
      <c r="L2801" s="86"/>
    </row>
    <row r="2802" spans="1:12" ht="15" x14ac:dyDescent="0.25">
      <c r="A2802" s="1">
        <v>2793</v>
      </c>
      <c r="B2802" s="1" t="s">
        <v>393</v>
      </c>
      <c r="C2802" s="32">
        <v>4962</v>
      </c>
      <c r="D2802" s="1">
        <v>26000</v>
      </c>
      <c r="E2802" s="1"/>
      <c r="F2802" s="1">
        <v>289</v>
      </c>
      <c r="G2802" s="1">
        <v>26000</v>
      </c>
      <c r="H2802" s="5">
        <f t="shared" si="61"/>
        <v>0</v>
      </c>
      <c r="I2802" s="6"/>
      <c r="J2802" s="43"/>
      <c r="K2802" s="51"/>
      <c r="L2802" s="86"/>
    </row>
    <row r="2803" spans="1:12" ht="15" x14ac:dyDescent="0.25">
      <c r="A2803" s="1">
        <v>2794</v>
      </c>
      <c r="B2803" s="1" t="s">
        <v>394</v>
      </c>
      <c r="C2803" s="32" t="s">
        <v>66</v>
      </c>
      <c r="D2803" s="1">
        <v>210</v>
      </c>
      <c r="E2803" s="1"/>
      <c r="F2803" s="1">
        <v>2.12</v>
      </c>
      <c r="G2803" s="1">
        <v>210</v>
      </c>
      <c r="H2803" s="5">
        <f t="shared" si="61"/>
        <v>0</v>
      </c>
      <c r="I2803" s="6"/>
      <c r="J2803" s="43"/>
      <c r="K2803" s="51"/>
      <c r="L2803" s="86"/>
    </row>
    <row r="2804" spans="1:12" ht="15" x14ac:dyDescent="0.25">
      <c r="A2804" s="1">
        <v>2795</v>
      </c>
      <c r="B2804" s="1" t="s">
        <v>394</v>
      </c>
      <c r="C2804" s="32">
        <v>6538</v>
      </c>
      <c r="D2804" s="1">
        <v>10000</v>
      </c>
      <c r="E2804" s="1"/>
      <c r="F2804" s="1">
        <v>111</v>
      </c>
      <c r="G2804" s="1">
        <v>10000</v>
      </c>
      <c r="H2804" s="5">
        <f t="shared" si="61"/>
        <v>0</v>
      </c>
      <c r="I2804" s="6"/>
      <c r="J2804" s="43"/>
      <c r="K2804" s="51"/>
      <c r="L2804" s="86"/>
    </row>
    <row r="2805" spans="1:12" ht="15" x14ac:dyDescent="0.25">
      <c r="A2805" s="1">
        <v>2796</v>
      </c>
      <c r="B2805" s="1" t="s">
        <v>394</v>
      </c>
      <c r="C2805" s="32" t="s">
        <v>30</v>
      </c>
      <c r="D2805" s="1">
        <v>4500</v>
      </c>
      <c r="E2805" s="1"/>
      <c r="F2805" s="1">
        <v>50.13</v>
      </c>
      <c r="G2805" s="1">
        <v>4500</v>
      </c>
      <c r="H2805" s="5">
        <f t="shared" si="61"/>
        <v>0</v>
      </c>
      <c r="I2805" s="6"/>
      <c r="J2805" s="43"/>
      <c r="K2805" s="51"/>
      <c r="L2805" s="86"/>
    </row>
    <row r="2806" spans="1:12" ht="15" x14ac:dyDescent="0.25">
      <c r="A2806" s="1">
        <v>2797</v>
      </c>
      <c r="B2806" s="1" t="s">
        <v>394</v>
      </c>
      <c r="C2806" s="32">
        <v>2425</v>
      </c>
      <c r="D2806" s="1">
        <v>15000</v>
      </c>
      <c r="E2806" s="1"/>
      <c r="F2806" s="1">
        <v>167</v>
      </c>
      <c r="G2806" s="1">
        <v>15000</v>
      </c>
      <c r="H2806" s="5">
        <f t="shared" si="61"/>
        <v>0</v>
      </c>
      <c r="I2806" s="6"/>
      <c r="J2806" s="43"/>
      <c r="K2806" s="51"/>
      <c r="L2806" s="86"/>
    </row>
    <row r="2807" spans="1:12" ht="15" x14ac:dyDescent="0.25">
      <c r="A2807" s="1">
        <v>2798</v>
      </c>
      <c r="B2807" s="1" t="s">
        <v>394</v>
      </c>
      <c r="C2807" s="32" t="s">
        <v>66</v>
      </c>
      <c r="D2807" s="1">
        <v>100</v>
      </c>
      <c r="E2807" s="1"/>
      <c r="F2807" s="1">
        <v>1.06</v>
      </c>
      <c r="G2807" s="1">
        <v>100</v>
      </c>
      <c r="H2807" s="5">
        <f t="shared" si="61"/>
        <v>0</v>
      </c>
      <c r="I2807" s="6"/>
      <c r="J2807" s="43"/>
      <c r="K2807" s="51"/>
      <c r="L2807" s="86"/>
    </row>
    <row r="2808" spans="1:12" ht="15" x14ac:dyDescent="0.25">
      <c r="A2808" s="1">
        <v>2799</v>
      </c>
      <c r="B2808" s="1" t="s">
        <v>394</v>
      </c>
      <c r="C2808" s="32">
        <v>5.1999999999999998E-3</v>
      </c>
      <c r="D2808" s="1">
        <v>16000</v>
      </c>
      <c r="E2808" s="1"/>
      <c r="F2808" s="1">
        <v>178.2</v>
      </c>
      <c r="G2808" s="1">
        <v>16000</v>
      </c>
      <c r="H2808" s="5">
        <f t="shared" si="61"/>
        <v>0</v>
      </c>
      <c r="I2808" s="6"/>
      <c r="J2808" s="43"/>
      <c r="K2808" s="51"/>
      <c r="L2808" s="86"/>
    </row>
    <row r="2809" spans="1:12" ht="15" x14ac:dyDescent="0.25">
      <c r="A2809" s="1">
        <v>2800</v>
      </c>
      <c r="B2809" s="1" t="s">
        <v>394</v>
      </c>
      <c r="C2809" s="32">
        <v>7211</v>
      </c>
      <c r="D2809" s="1">
        <v>24000</v>
      </c>
      <c r="E2809" s="1"/>
      <c r="F2809" s="1">
        <v>287</v>
      </c>
      <c r="G2809" s="1">
        <v>24000</v>
      </c>
      <c r="H2809" s="5">
        <f t="shared" si="61"/>
        <v>0</v>
      </c>
      <c r="I2809" s="6"/>
      <c r="J2809" s="43"/>
      <c r="K2809" s="51"/>
      <c r="L2809" s="86"/>
    </row>
    <row r="2810" spans="1:12" ht="15" x14ac:dyDescent="0.25">
      <c r="A2810" s="1">
        <v>2801</v>
      </c>
      <c r="B2810" s="1" t="s">
        <v>394</v>
      </c>
      <c r="C2810" s="32">
        <v>8425</v>
      </c>
      <c r="D2810" s="1">
        <v>10000</v>
      </c>
      <c r="E2810" s="1"/>
      <c r="F2810" s="1">
        <v>111</v>
      </c>
      <c r="G2810" s="1">
        <v>10000</v>
      </c>
      <c r="H2810" s="5">
        <f t="shared" si="61"/>
        <v>0</v>
      </c>
      <c r="I2810" s="6"/>
      <c r="J2810" s="43"/>
      <c r="K2810" s="51"/>
      <c r="L2810" s="86"/>
    </row>
    <row r="2811" spans="1:12" ht="15" x14ac:dyDescent="0.25">
      <c r="A2811" s="1">
        <v>2802</v>
      </c>
      <c r="B2811" s="1" t="s">
        <v>395</v>
      </c>
      <c r="C2811" s="32" t="s">
        <v>30</v>
      </c>
      <c r="D2811" s="1">
        <v>5000</v>
      </c>
      <c r="E2811" s="1"/>
      <c r="F2811" s="1">
        <v>55.12</v>
      </c>
      <c r="G2811" s="1">
        <v>5000</v>
      </c>
      <c r="H2811" s="5">
        <f t="shared" si="61"/>
        <v>0</v>
      </c>
      <c r="I2811" s="6"/>
      <c r="J2811" s="43"/>
      <c r="K2811" s="51"/>
      <c r="L2811" s="86"/>
    </row>
    <row r="2812" spans="1:12" ht="15" x14ac:dyDescent="0.25">
      <c r="A2812" s="1">
        <v>2803</v>
      </c>
      <c r="B2812" s="1" t="s">
        <v>395</v>
      </c>
      <c r="C2812" s="32" t="s">
        <v>30</v>
      </c>
      <c r="D2812" s="1">
        <v>7000</v>
      </c>
      <c r="E2812" s="1"/>
      <c r="F2812" s="1">
        <v>77.12</v>
      </c>
      <c r="G2812" s="1">
        <v>7000</v>
      </c>
      <c r="H2812" s="5">
        <f t="shared" si="61"/>
        <v>0</v>
      </c>
      <c r="I2812" s="6"/>
      <c r="J2812" s="43"/>
      <c r="K2812" s="51"/>
      <c r="L2812" s="86"/>
    </row>
    <row r="2813" spans="1:12" ht="15" x14ac:dyDescent="0.25">
      <c r="A2813" s="1">
        <v>2804</v>
      </c>
      <c r="B2813" s="1" t="s">
        <v>395</v>
      </c>
      <c r="C2813" s="32">
        <v>5.1000000000000004E-3</v>
      </c>
      <c r="D2813" s="1">
        <v>16000</v>
      </c>
      <c r="E2813" s="1"/>
      <c r="F2813" s="1">
        <v>178.22</v>
      </c>
      <c r="G2813" s="1">
        <v>16000</v>
      </c>
      <c r="H2813" s="5">
        <f t="shared" si="61"/>
        <v>0</v>
      </c>
      <c r="I2813" s="6"/>
      <c r="J2813" s="43"/>
      <c r="K2813" s="51"/>
      <c r="L2813" s="86"/>
    </row>
    <row r="2814" spans="1:12" ht="15" x14ac:dyDescent="0.25">
      <c r="A2814" s="1">
        <v>2805</v>
      </c>
      <c r="B2814" s="1" t="s">
        <v>395</v>
      </c>
      <c r="C2814" s="32">
        <v>3673</v>
      </c>
      <c r="D2814" s="1">
        <v>28000</v>
      </c>
      <c r="E2814" s="1"/>
      <c r="F2814" s="1">
        <v>328</v>
      </c>
      <c r="G2814" s="1">
        <v>28000</v>
      </c>
      <c r="H2814" s="5">
        <f t="shared" si="61"/>
        <v>0</v>
      </c>
      <c r="I2814" s="6"/>
      <c r="J2814" s="43"/>
      <c r="K2814" s="51"/>
      <c r="L2814" s="86">
        <f>1178222-1118415</f>
        <v>59807</v>
      </c>
    </row>
    <row r="2815" spans="1:12" ht="15" x14ac:dyDescent="0.25">
      <c r="A2815" s="1">
        <v>2806</v>
      </c>
      <c r="B2815" s="1" t="s">
        <v>396</v>
      </c>
      <c r="C2815" s="32">
        <v>4553</v>
      </c>
      <c r="D2815" s="1">
        <v>17000</v>
      </c>
      <c r="E2815" s="1"/>
      <c r="F2815" s="1">
        <v>189</v>
      </c>
      <c r="G2815" s="1">
        <v>17000</v>
      </c>
      <c r="H2815" s="5">
        <f t="shared" si="61"/>
        <v>0</v>
      </c>
      <c r="I2815" s="6"/>
      <c r="J2815" s="43"/>
      <c r="K2815" s="51"/>
      <c r="L2815" s="86"/>
    </row>
    <row r="2816" spans="1:12" ht="15" x14ac:dyDescent="0.25">
      <c r="A2816" s="1">
        <v>2807</v>
      </c>
      <c r="B2816" s="1" t="s">
        <v>396</v>
      </c>
      <c r="C2816" s="32">
        <v>7225</v>
      </c>
      <c r="D2816" s="1">
        <v>15000</v>
      </c>
      <c r="E2816" s="1"/>
      <c r="F2816" s="1">
        <v>167</v>
      </c>
      <c r="G2816" s="1">
        <v>15000</v>
      </c>
      <c r="H2816" s="5">
        <f t="shared" si="61"/>
        <v>0</v>
      </c>
      <c r="I2816" s="6"/>
      <c r="J2816" s="43"/>
      <c r="K2816" s="51"/>
      <c r="L2816" s="86"/>
    </row>
    <row r="2817" spans="1:12" ht="15" x14ac:dyDescent="0.25">
      <c r="A2817" s="1">
        <v>2808</v>
      </c>
      <c r="B2817" s="1" t="s">
        <v>396</v>
      </c>
      <c r="C2817" s="32">
        <v>5204</v>
      </c>
      <c r="D2817" s="1">
        <v>30000</v>
      </c>
      <c r="E2817" s="1"/>
      <c r="F2817" s="1">
        <v>334</v>
      </c>
      <c r="G2817" s="1">
        <v>30000</v>
      </c>
      <c r="H2817" s="5">
        <f t="shared" si="61"/>
        <v>0</v>
      </c>
      <c r="I2817" s="6"/>
      <c r="J2817" s="43"/>
      <c r="K2817" s="51"/>
      <c r="L2817" s="86"/>
    </row>
    <row r="2818" spans="1:12" ht="15" x14ac:dyDescent="0.25">
      <c r="A2818" s="1">
        <v>2809</v>
      </c>
      <c r="B2818" s="1" t="s">
        <v>396</v>
      </c>
      <c r="C2818" s="32">
        <v>8324</v>
      </c>
      <c r="D2818" s="1">
        <v>25000</v>
      </c>
      <c r="E2818" s="1"/>
      <c r="F2818" s="1">
        <v>278</v>
      </c>
      <c r="G2818" s="1">
        <v>25000</v>
      </c>
      <c r="H2818" s="5">
        <f t="shared" si="61"/>
        <v>0</v>
      </c>
      <c r="I2818" s="6"/>
      <c r="J2818" s="43"/>
      <c r="K2818" s="51"/>
      <c r="L2818" s="86"/>
    </row>
    <row r="2819" spans="1:12" ht="15" x14ac:dyDescent="0.25">
      <c r="A2819" s="1">
        <v>2810</v>
      </c>
      <c r="B2819" s="1" t="s">
        <v>396</v>
      </c>
      <c r="C2819" s="32">
        <v>8246</v>
      </c>
      <c r="D2819" s="1">
        <v>27000</v>
      </c>
      <c r="E2819" s="1"/>
      <c r="F2819" s="1">
        <v>292</v>
      </c>
      <c r="G2819" s="1">
        <v>27000</v>
      </c>
      <c r="H2819" s="5">
        <f t="shared" si="61"/>
        <v>0</v>
      </c>
      <c r="I2819" s="6"/>
      <c r="J2819" s="43"/>
      <c r="K2819" s="51"/>
      <c r="L2819" s="86">
        <f>1080414-1032415</f>
        <v>47999</v>
      </c>
    </row>
    <row r="2820" spans="1:12" ht="15" x14ac:dyDescent="0.25">
      <c r="A2820" s="1">
        <v>2811</v>
      </c>
      <c r="B2820" s="1" t="s">
        <v>397</v>
      </c>
      <c r="C2820" s="32" t="s">
        <v>66</v>
      </c>
      <c r="D2820" s="1">
        <v>200</v>
      </c>
      <c r="E2820" s="1"/>
      <c r="F2820" s="1">
        <v>2.12</v>
      </c>
      <c r="G2820" s="1">
        <v>200</v>
      </c>
      <c r="H2820" s="5">
        <f t="shared" si="61"/>
        <v>0</v>
      </c>
      <c r="I2820" s="6"/>
      <c r="J2820" s="43"/>
      <c r="K2820" s="51"/>
      <c r="L2820" s="86"/>
    </row>
    <row r="2821" spans="1:12" ht="15" x14ac:dyDescent="0.25">
      <c r="A2821" s="1">
        <v>2812</v>
      </c>
      <c r="B2821" s="1" t="s">
        <v>397</v>
      </c>
      <c r="C2821" s="32">
        <v>8311</v>
      </c>
      <c r="D2821" s="1">
        <v>24000</v>
      </c>
      <c r="E2821" s="1"/>
      <c r="F2821" s="1">
        <v>274.2</v>
      </c>
      <c r="G2821" s="1">
        <v>24000</v>
      </c>
      <c r="H2821" s="5">
        <f t="shared" si="61"/>
        <v>0</v>
      </c>
      <c r="I2821" s="6"/>
      <c r="J2821" s="43"/>
      <c r="K2821" s="51"/>
      <c r="L2821" s="86"/>
    </row>
    <row r="2822" spans="1:12" ht="15" x14ac:dyDescent="0.25">
      <c r="A2822" s="1">
        <v>2813</v>
      </c>
      <c r="B2822" s="1" t="s">
        <v>397</v>
      </c>
      <c r="C2822" s="32" t="s">
        <v>66</v>
      </c>
      <c r="D2822" s="1">
        <v>210</v>
      </c>
      <c r="E2822" s="1"/>
      <c r="F2822" s="1">
        <v>2.12</v>
      </c>
      <c r="G2822" s="1">
        <v>210</v>
      </c>
      <c r="H2822" s="5">
        <f t="shared" si="61"/>
        <v>0</v>
      </c>
      <c r="I2822" s="6"/>
      <c r="J2822" s="43"/>
      <c r="K2822" s="51"/>
      <c r="L2822" s="86"/>
    </row>
    <row r="2823" spans="1:12" ht="15" x14ac:dyDescent="0.25">
      <c r="A2823" s="1">
        <v>2814</v>
      </c>
      <c r="B2823" s="1" t="s">
        <v>398</v>
      </c>
      <c r="C2823" s="32" t="s">
        <v>63</v>
      </c>
      <c r="D2823" s="1">
        <v>2000</v>
      </c>
      <c r="E2823" s="1"/>
      <c r="F2823" s="1">
        <v>22.12</v>
      </c>
      <c r="G2823" s="1">
        <v>2000</v>
      </c>
      <c r="H2823" s="5">
        <f t="shared" si="61"/>
        <v>0</v>
      </c>
      <c r="I2823" s="6"/>
      <c r="J2823" s="43"/>
      <c r="K2823" s="51"/>
      <c r="L2823" s="86"/>
    </row>
    <row r="2824" spans="1:12" ht="15" x14ac:dyDescent="0.25">
      <c r="A2824" s="1">
        <v>2815</v>
      </c>
      <c r="B2824" s="1" t="s">
        <v>398</v>
      </c>
      <c r="C2824" s="32">
        <v>5151</v>
      </c>
      <c r="D2824" s="1">
        <v>16000</v>
      </c>
      <c r="E2824" s="1"/>
      <c r="F2824" s="1">
        <v>178.22</v>
      </c>
      <c r="G2824" s="1">
        <v>16000</v>
      </c>
      <c r="H2824" s="5">
        <f t="shared" si="61"/>
        <v>0</v>
      </c>
      <c r="I2824" s="6"/>
      <c r="J2824" s="43"/>
      <c r="K2824" s="51"/>
      <c r="L2824" s="86"/>
    </row>
    <row r="2825" spans="1:12" ht="15" x14ac:dyDescent="0.25">
      <c r="A2825" s="1">
        <v>2816</v>
      </c>
      <c r="B2825" s="1" t="s">
        <v>398</v>
      </c>
      <c r="C2825" s="32">
        <v>5252</v>
      </c>
      <c r="D2825" s="1">
        <v>16000</v>
      </c>
      <c r="E2825" s="1"/>
      <c r="F2825" s="1">
        <v>178.22</v>
      </c>
      <c r="G2825" s="1">
        <v>16000</v>
      </c>
      <c r="H2825" s="5">
        <f t="shared" si="61"/>
        <v>0</v>
      </c>
      <c r="I2825" s="6"/>
      <c r="J2825" s="43"/>
      <c r="K2825" s="51"/>
      <c r="L2825" s="86"/>
    </row>
    <row r="2826" spans="1:12" ht="15" x14ac:dyDescent="0.25">
      <c r="A2826" s="1">
        <v>2817</v>
      </c>
      <c r="B2826" s="1" t="s">
        <v>398</v>
      </c>
      <c r="C2826" s="32">
        <v>1820</v>
      </c>
      <c r="D2826" s="1">
        <v>30000</v>
      </c>
      <c r="E2826" s="1"/>
      <c r="F2826" s="1">
        <v>313</v>
      </c>
      <c r="G2826" s="1">
        <v>30000</v>
      </c>
      <c r="H2826" s="5">
        <f t="shared" si="61"/>
        <v>0</v>
      </c>
      <c r="I2826" s="6"/>
      <c r="J2826" s="43"/>
      <c r="K2826" s="51"/>
      <c r="L2826" s="86"/>
    </row>
    <row r="2827" spans="1:12" ht="15" x14ac:dyDescent="0.25">
      <c r="A2827" s="1">
        <v>2818</v>
      </c>
      <c r="B2827" s="1" t="s">
        <v>398</v>
      </c>
      <c r="C2827" s="32">
        <v>2029</v>
      </c>
      <c r="D2827" s="1">
        <v>10000</v>
      </c>
      <c r="E2827" s="1"/>
      <c r="F2827" s="1">
        <v>111</v>
      </c>
      <c r="G2827" s="1">
        <v>10000</v>
      </c>
      <c r="H2827" s="5">
        <f t="shared" si="61"/>
        <v>0</v>
      </c>
      <c r="I2827" s="6"/>
      <c r="J2827" s="43"/>
      <c r="K2827" s="51"/>
      <c r="L2827" s="86">
        <f>1070262-1030825</f>
        <v>39437</v>
      </c>
    </row>
    <row r="2828" spans="1:12" ht="15" x14ac:dyDescent="0.25">
      <c r="A2828" s="1">
        <v>2819</v>
      </c>
      <c r="B2828" s="1" t="s">
        <v>399</v>
      </c>
      <c r="C2828" s="32">
        <v>2989</v>
      </c>
      <c r="D2828" s="1">
        <v>20000</v>
      </c>
      <c r="E2828" s="1"/>
      <c r="F2828" s="1">
        <v>222.81</v>
      </c>
      <c r="G2828" s="1">
        <v>20000</v>
      </c>
      <c r="H2828" s="5">
        <f t="shared" si="61"/>
        <v>0</v>
      </c>
      <c r="I2828" s="6"/>
      <c r="J2828" s="43"/>
      <c r="K2828" s="51"/>
      <c r="L2828" s="86"/>
    </row>
    <row r="2829" spans="1:12" ht="15" x14ac:dyDescent="0.25">
      <c r="A2829" s="1">
        <v>2820</v>
      </c>
      <c r="B2829" s="1" t="s">
        <v>399</v>
      </c>
      <c r="C2829" s="32">
        <v>4098</v>
      </c>
      <c r="D2829" s="1">
        <v>20000</v>
      </c>
      <c r="E2829" s="1"/>
      <c r="F2829" s="1">
        <v>222.81</v>
      </c>
      <c r="G2829" s="1">
        <v>20000</v>
      </c>
      <c r="H2829" s="5">
        <f t="shared" si="61"/>
        <v>0</v>
      </c>
      <c r="I2829" s="6"/>
      <c r="J2829" s="43"/>
      <c r="K2829" s="51"/>
      <c r="L2829" s="86"/>
    </row>
    <row r="2830" spans="1:12" ht="15" x14ac:dyDescent="0.25">
      <c r="A2830" s="1">
        <v>2821</v>
      </c>
      <c r="B2830" s="1" t="s">
        <v>399</v>
      </c>
      <c r="C2830" s="32" t="s">
        <v>66</v>
      </c>
      <c r="D2830" s="1">
        <v>210</v>
      </c>
      <c r="E2830" s="1"/>
      <c r="F2830" s="1">
        <v>2.12</v>
      </c>
      <c r="G2830" s="1">
        <v>210</v>
      </c>
      <c r="H2830" s="5">
        <f t="shared" si="61"/>
        <v>0</v>
      </c>
      <c r="I2830" s="6"/>
      <c r="J2830" s="43"/>
      <c r="K2830" s="51"/>
      <c r="L2830" s="86"/>
    </row>
    <row r="2831" spans="1:12" ht="15" x14ac:dyDescent="0.25">
      <c r="A2831" s="1">
        <v>2822</v>
      </c>
      <c r="B2831" s="1" t="s">
        <v>399</v>
      </c>
      <c r="C2831" s="32">
        <v>3.8800000000000001E-2</v>
      </c>
      <c r="D2831" s="1">
        <v>20000</v>
      </c>
      <c r="E2831" s="1"/>
      <c r="F2831" s="1">
        <v>222.81</v>
      </c>
      <c r="G2831" s="1">
        <v>20000</v>
      </c>
      <c r="H2831" s="5">
        <f t="shared" si="61"/>
        <v>0</v>
      </c>
      <c r="I2831" s="6"/>
      <c r="J2831" s="43"/>
      <c r="K2831" s="51"/>
      <c r="L2831" s="86"/>
    </row>
    <row r="2832" spans="1:12" ht="15" x14ac:dyDescent="0.25">
      <c r="A2832" s="1">
        <v>2823</v>
      </c>
      <c r="B2832" s="1" t="s">
        <v>400</v>
      </c>
      <c r="C2832" s="32">
        <v>7411</v>
      </c>
      <c r="D2832" s="1">
        <v>24000</v>
      </c>
      <c r="E2832" s="1"/>
      <c r="F2832" s="1">
        <v>267</v>
      </c>
      <c r="G2832" s="1">
        <v>24000</v>
      </c>
      <c r="H2832" s="5">
        <f t="shared" si="61"/>
        <v>0</v>
      </c>
      <c r="I2832" s="6"/>
      <c r="J2832" s="43"/>
      <c r="K2832" s="51"/>
      <c r="L2832" s="86"/>
    </row>
    <row r="2833" spans="1:12" ht="15" x14ac:dyDescent="0.25">
      <c r="A2833" s="1">
        <v>2824</v>
      </c>
      <c r="B2833" s="1" t="s">
        <v>400</v>
      </c>
      <c r="C2833" s="32">
        <v>7211</v>
      </c>
      <c r="D2833" s="1">
        <v>24000</v>
      </c>
      <c r="E2833" s="1"/>
      <c r="F2833" s="1">
        <v>267</v>
      </c>
      <c r="G2833" s="1">
        <v>24000</v>
      </c>
      <c r="H2833" s="5">
        <f t="shared" si="61"/>
        <v>0</v>
      </c>
      <c r="I2833" s="6"/>
      <c r="J2833" s="43"/>
      <c r="K2833" s="51"/>
      <c r="L2833" s="86"/>
    </row>
    <row r="2834" spans="1:12" ht="15" x14ac:dyDescent="0.25">
      <c r="A2834" s="1">
        <v>2825</v>
      </c>
      <c r="B2834" s="1" t="s">
        <v>400</v>
      </c>
      <c r="C2834" s="32">
        <v>5498</v>
      </c>
      <c r="D2834" s="1">
        <v>21000</v>
      </c>
      <c r="E2834" s="1"/>
      <c r="F2834" s="1">
        <v>233</v>
      </c>
      <c r="G2834" s="1">
        <v>21000</v>
      </c>
      <c r="H2834" s="5">
        <f t="shared" si="61"/>
        <v>0</v>
      </c>
      <c r="I2834" s="6"/>
      <c r="J2834" s="43"/>
      <c r="K2834" s="51"/>
      <c r="L2834" s="86"/>
    </row>
    <row r="2835" spans="1:12" ht="15" x14ac:dyDescent="0.25">
      <c r="A2835" s="1">
        <v>2826</v>
      </c>
      <c r="B2835" s="1" t="s">
        <v>400</v>
      </c>
      <c r="C2835" s="32">
        <v>3802</v>
      </c>
      <c r="D2835" s="1">
        <v>15000</v>
      </c>
      <c r="E2835" s="1"/>
      <c r="F2835" s="1">
        <v>167</v>
      </c>
      <c r="G2835" s="1">
        <v>15000</v>
      </c>
      <c r="H2835" s="5">
        <f t="shared" ref="H2835:H2898" si="62">D2835-G2835</f>
        <v>0</v>
      </c>
      <c r="I2835" s="6"/>
      <c r="J2835" s="43"/>
      <c r="K2835" s="51"/>
      <c r="L2835" s="86">
        <f>959796-951035</f>
        <v>8761</v>
      </c>
    </row>
    <row r="2836" spans="1:12" ht="15" x14ac:dyDescent="0.25">
      <c r="A2836" s="1">
        <v>2827</v>
      </c>
      <c r="B2836" s="1" t="s">
        <v>401</v>
      </c>
      <c r="C2836" s="32">
        <v>5.1000000000000004E-3</v>
      </c>
      <c r="D2836" s="1">
        <v>17000</v>
      </c>
      <c r="E2836" s="1"/>
      <c r="F2836" s="1">
        <v>189</v>
      </c>
      <c r="G2836" s="1">
        <v>17000</v>
      </c>
      <c r="H2836" s="5">
        <f t="shared" si="62"/>
        <v>0</v>
      </c>
      <c r="I2836" s="6"/>
      <c r="J2836" s="43"/>
      <c r="K2836" s="51"/>
      <c r="L2836" s="86"/>
    </row>
    <row r="2837" spans="1:12" ht="15" x14ac:dyDescent="0.25">
      <c r="A2837" s="1">
        <v>2828</v>
      </c>
      <c r="B2837" s="1" t="s">
        <v>402</v>
      </c>
      <c r="C2837" s="32" t="s">
        <v>30</v>
      </c>
      <c r="D2837" s="1">
        <v>5000</v>
      </c>
      <c r="E2837" s="1"/>
      <c r="F2837" s="1">
        <v>55.13</v>
      </c>
      <c r="G2837" s="1">
        <v>5000</v>
      </c>
      <c r="H2837" s="5">
        <f t="shared" si="62"/>
        <v>0</v>
      </c>
      <c r="I2837" s="6"/>
      <c r="J2837" s="43"/>
      <c r="K2837" s="51"/>
      <c r="L2837" s="86"/>
    </row>
    <row r="2838" spans="1:12" ht="15" x14ac:dyDescent="0.25">
      <c r="A2838" s="1">
        <v>2829</v>
      </c>
      <c r="B2838" s="1" t="s">
        <v>402</v>
      </c>
      <c r="C2838" s="32">
        <v>3844</v>
      </c>
      <c r="D2838" s="1">
        <v>5000</v>
      </c>
      <c r="E2838" s="1"/>
      <c r="F2838" s="1">
        <v>55.13</v>
      </c>
      <c r="G2838" s="1">
        <v>5000</v>
      </c>
      <c r="H2838" s="5">
        <f t="shared" si="62"/>
        <v>0</v>
      </c>
      <c r="I2838" s="6"/>
      <c r="J2838" s="43"/>
      <c r="K2838" s="51"/>
      <c r="L2838" s="86"/>
    </row>
    <row r="2839" spans="1:12" ht="15" x14ac:dyDescent="0.25">
      <c r="A2839" s="1">
        <v>2830</v>
      </c>
      <c r="B2839" s="1" t="s">
        <v>402</v>
      </c>
      <c r="C2839" s="32" t="s">
        <v>66</v>
      </c>
      <c r="D2839" s="1">
        <v>210</v>
      </c>
      <c r="E2839" s="1"/>
      <c r="F2839" s="1">
        <v>2.0499999999999998</v>
      </c>
      <c r="G2839" s="1">
        <v>210</v>
      </c>
      <c r="H2839" s="5">
        <f t="shared" si="62"/>
        <v>0</v>
      </c>
      <c r="I2839" s="6"/>
      <c r="J2839" s="43"/>
      <c r="K2839" s="51"/>
      <c r="L2839" s="86"/>
    </row>
    <row r="2840" spans="1:12" ht="15" x14ac:dyDescent="0.25">
      <c r="A2840" s="1">
        <v>2831</v>
      </c>
      <c r="B2840" s="1" t="s">
        <v>402</v>
      </c>
      <c r="C2840" s="32">
        <v>5.1999999999999998E-3</v>
      </c>
      <c r="D2840" s="1">
        <v>16000</v>
      </c>
      <c r="E2840" s="1"/>
      <c r="F2840" s="1">
        <v>178.22</v>
      </c>
      <c r="G2840" s="1">
        <v>16000</v>
      </c>
      <c r="H2840" s="5">
        <f t="shared" si="62"/>
        <v>0</v>
      </c>
      <c r="I2840" s="6"/>
      <c r="J2840" s="43"/>
      <c r="K2840" s="51"/>
      <c r="L2840" s="86"/>
    </row>
    <row r="2841" spans="1:12" ht="15" x14ac:dyDescent="0.25">
      <c r="A2841" s="1">
        <v>2832</v>
      </c>
      <c r="B2841" s="1" t="s">
        <v>402</v>
      </c>
      <c r="C2841" s="32">
        <v>9891</v>
      </c>
      <c r="D2841" s="1">
        <v>28450</v>
      </c>
      <c r="E2841" s="1"/>
      <c r="F2841" s="1">
        <v>316</v>
      </c>
      <c r="G2841" s="1">
        <v>28450</v>
      </c>
      <c r="H2841" s="5">
        <f t="shared" si="62"/>
        <v>0</v>
      </c>
      <c r="I2841" s="6"/>
      <c r="J2841" s="43"/>
      <c r="K2841" s="51"/>
      <c r="L2841" s="86"/>
    </row>
    <row r="2842" spans="1:12" ht="15" x14ac:dyDescent="0.25">
      <c r="A2842" s="1">
        <v>2833</v>
      </c>
      <c r="B2842" s="1" t="s">
        <v>402</v>
      </c>
      <c r="C2842" s="32">
        <v>8482</v>
      </c>
      <c r="D2842" s="1">
        <v>25000</v>
      </c>
      <c r="E2842" s="1"/>
      <c r="F2842" s="1">
        <v>278</v>
      </c>
      <c r="G2842" s="1">
        <v>25000</v>
      </c>
      <c r="H2842" s="5">
        <f t="shared" si="62"/>
        <v>0</v>
      </c>
      <c r="I2842" s="6"/>
      <c r="J2842" s="43"/>
      <c r="K2842" s="51"/>
      <c r="L2842" s="86"/>
    </row>
    <row r="2843" spans="1:12" ht="15" x14ac:dyDescent="0.25">
      <c r="A2843" s="1">
        <v>2834</v>
      </c>
      <c r="B2843" s="1" t="s">
        <v>402</v>
      </c>
      <c r="C2843" s="32">
        <v>9903</v>
      </c>
      <c r="D2843" s="1">
        <v>20000</v>
      </c>
      <c r="E2843" s="1"/>
      <c r="F2843" s="1">
        <v>222.81</v>
      </c>
      <c r="G2843" s="1">
        <v>20000</v>
      </c>
      <c r="H2843" s="5">
        <f t="shared" si="62"/>
        <v>0</v>
      </c>
      <c r="I2843" s="6"/>
      <c r="J2843" s="43"/>
      <c r="K2843" s="51"/>
      <c r="L2843" s="86">
        <f>989702-967695</f>
        <v>22007</v>
      </c>
    </row>
    <row r="2844" spans="1:12" ht="15" x14ac:dyDescent="0.25">
      <c r="A2844" s="1">
        <v>2835</v>
      </c>
      <c r="B2844" s="1" t="s">
        <v>403</v>
      </c>
      <c r="C2844" s="32" t="s">
        <v>30</v>
      </c>
      <c r="D2844" s="1">
        <v>4500</v>
      </c>
      <c r="E2844" s="1"/>
      <c r="F2844" s="1">
        <v>50.13</v>
      </c>
      <c r="G2844" s="1">
        <v>4500</v>
      </c>
      <c r="H2844" s="5">
        <f t="shared" si="62"/>
        <v>0</v>
      </c>
      <c r="I2844" s="6"/>
      <c r="J2844" s="43"/>
      <c r="K2844" s="51"/>
      <c r="L2844" s="86"/>
    </row>
    <row r="2845" spans="1:12" ht="15" x14ac:dyDescent="0.25">
      <c r="A2845" s="1">
        <v>2836</v>
      </c>
      <c r="B2845" s="1" t="s">
        <v>403</v>
      </c>
      <c r="C2845" s="32">
        <v>5252</v>
      </c>
      <c r="D2845" s="1">
        <v>16000</v>
      </c>
      <c r="E2845" s="1"/>
      <c r="F2845" s="1">
        <v>178.22</v>
      </c>
      <c r="G2845" s="1">
        <v>16000</v>
      </c>
      <c r="H2845" s="5">
        <f t="shared" si="62"/>
        <v>0</v>
      </c>
      <c r="I2845" s="6"/>
      <c r="J2845" s="43"/>
      <c r="K2845" s="51"/>
      <c r="L2845" s="86"/>
    </row>
    <row r="2846" spans="1:12" ht="15" x14ac:dyDescent="0.25">
      <c r="A2846" s="1">
        <v>2837</v>
      </c>
      <c r="B2846" s="1" t="s">
        <v>403</v>
      </c>
      <c r="C2846" s="32">
        <v>5151</v>
      </c>
      <c r="D2846" s="1">
        <v>16000</v>
      </c>
      <c r="E2846" s="1"/>
      <c r="F2846" s="1">
        <v>178.22</v>
      </c>
      <c r="G2846" s="1">
        <v>16000</v>
      </c>
      <c r="H2846" s="5">
        <f t="shared" si="62"/>
        <v>0</v>
      </c>
      <c r="I2846" s="6"/>
      <c r="J2846" s="43"/>
      <c r="K2846" s="51"/>
      <c r="L2846" s="86"/>
    </row>
    <row r="2847" spans="1:12" ht="15" x14ac:dyDescent="0.25">
      <c r="A2847" s="1">
        <v>2838</v>
      </c>
      <c r="B2847" s="1" t="s">
        <v>403</v>
      </c>
      <c r="C2847" s="32">
        <v>1777</v>
      </c>
      <c r="D2847" s="1">
        <v>23401</v>
      </c>
      <c r="E2847" s="1"/>
      <c r="F2847" s="1">
        <v>260</v>
      </c>
      <c r="G2847" s="1">
        <v>23401</v>
      </c>
      <c r="H2847" s="5">
        <f t="shared" si="62"/>
        <v>0</v>
      </c>
      <c r="I2847" s="6"/>
      <c r="J2847" s="43"/>
      <c r="K2847" s="51"/>
      <c r="L2847" s="86"/>
    </row>
    <row r="2848" spans="1:12" ht="15" x14ac:dyDescent="0.25">
      <c r="A2848" s="1">
        <v>2839</v>
      </c>
      <c r="B2848" s="1" t="s">
        <v>403</v>
      </c>
      <c r="C2848" s="32">
        <v>8277</v>
      </c>
      <c r="D2848" s="1">
        <v>22300</v>
      </c>
      <c r="E2848" s="1"/>
      <c r="F2848" s="1">
        <v>248</v>
      </c>
      <c r="G2848" s="1">
        <v>22300</v>
      </c>
      <c r="H2848" s="5">
        <f t="shared" si="62"/>
        <v>0</v>
      </c>
      <c r="I2848" s="6"/>
      <c r="J2848" s="43"/>
      <c r="K2848" s="51"/>
      <c r="L2848" s="86"/>
    </row>
    <row r="2849" spans="1:12" ht="15" x14ac:dyDescent="0.25">
      <c r="A2849" s="1">
        <v>2840</v>
      </c>
      <c r="B2849" s="1" t="s">
        <v>403</v>
      </c>
      <c r="C2849" s="32">
        <v>4077</v>
      </c>
      <c r="D2849" s="1">
        <v>29000</v>
      </c>
      <c r="E2849" s="1"/>
      <c r="F2849" s="1">
        <v>323</v>
      </c>
      <c r="G2849" s="1">
        <v>29000</v>
      </c>
      <c r="H2849" s="5">
        <f t="shared" si="62"/>
        <v>0</v>
      </c>
      <c r="I2849" s="6"/>
      <c r="J2849" s="43"/>
      <c r="K2849" s="51"/>
      <c r="L2849" s="86"/>
    </row>
    <row r="2850" spans="1:12" ht="15" x14ac:dyDescent="0.25">
      <c r="A2850" s="1">
        <v>2841</v>
      </c>
      <c r="B2850" s="1" t="s">
        <v>403</v>
      </c>
      <c r="C2850" s="32">
        <v>4577</v>
      </c>
      <c r="D2850" s="1">
        <v>29000</v>
      </c>
      <c r="E2850" s="1"/>
      <c r="F2850" s="1">
        <v>323</v>
      </c>
      <c r="G2850" s="1">
        <v>29000</v>
      </c>
      <c r="H2850" s="5">
        <f t="shared" si="62"/>
        <v>0</v>
      </c>
      <c r="I2850" s="6"/>
      <c r="J2850" s="43"/>
      <c r="K2850" s="51"/>
      <c r="L2850" s="86">
        <f>1040454-1007896</f>
        <v>32558</v>
      </c>
    </row>
    <row r="2851" spans="1:12" ht="15" x14ac:dyDescent="0.25">
      <c r="A2851" s="1">
        <v>2842</v>
      </c>
      <c r="B2851" s="1" t="s">
        <v>404</v>
      </c>
      <c r="C2851" s="32">
        <v>4249</v>
      </c>
      <c r="D2851" s="1">
        <v>28000</v>
      </c>
      <c r="E2851" s="1"/>
      <c r="F2851" s="1">
        <v>311</v>
      </c>
      <c r="G2851" s="1">
        <v>28000</v>
      </c>
      <c r="H2851" s="5">
        <f t="shared" si="62"/>
        <v>0</v>
      </c>
      <c r="I2851" s="6"/>
      <c r="J2851" s="43"/>
      <c r="K2851" s="51"/>
      <c r="L2851" s="86"/>
    </row>
    <row r="2852" spans="1:12" ht="15" x14ac:dyDescent="0.25">
      <c r="A2852" s="1">
        <v>2843</v>
      </c>
      <c r="B2852" s="1" t="s">
        <v>404</v>
      </c>
      <c r="C2852" s="32">
        <v>6625</v>
      </c>
      <c r="D2852" s="1">
        <v>26000</v>
      </c>
      <c r="E2852" s="1"/>
      <c r="F2852" s="1">
        <v>289</v>
      </c>
      <c r="G2852" s="1">
        <v>26000</v>
      </c>
      <c r="H2852" s="5">
        <f t="shared" si="62"/>
        <v>0</v>
      </c>
      <c r="I2852" s="6"/>
      <c r="J2852" s="43"/>
      <c r="K2852" s="51"/>
      <c r="L2852" s="86">
        <f>969565-962111</f>
        <v>7454</v>
      </c>
    </row>
    <row r="2853" spans="1:12" ht="15" x14ac:dyDescent="0.25">
      <c r="A2853" s="1">
        <v>2844</v>
      </c>
      <c r="B2853" s="1" t="s">
        <v>404</v>
      </c>
      <c r="C2853" s="32" t="s">
        <v>66</v>
      </c>
      <c r="D2853" s="1">
        <v>215</v>
      </c>
      <c r="E2853" s="1"/>
      <c r="F2853" s="1">
        <v>2.12</v>
      </c>
      <c r="G2853" s="1">
        <v>215</v>
      </c>
      <c r="H2853" s="5">
        <f t="shared" si="62"/>
        <v>0</v>
      </c>
      <c r="I2853" s="6"/>
      <c r="J2853" s="43"/>
      <c r="K2853" s="51"/>
      <c r="L2853" s="86"/>
    </row>
    <row r="2854" spans="1:12" ht="15" x14ac:dyDescent="0.25">
      <c r="A2854" s="1">
        <v>2845</v>
      </c>
      <c r="B2854" s="1" t="s">
        <v>405</v>
      </c>
      <c r="C2854" s="32" t="s">
        <v>30</v>
      </c>
      <c r="D2854" s="1">
        <v>4500</v>
      </c>
      <c r="E2854" s="1"/>
      <c r="F2854" s="1">
        <v>50.13</v>
      </c>
      <c r="G2854" s="1">
        <v>4500</v>
      </c>
      <c r="H2854" s="5">
        <f t="shared" si="62"/>
        <v>0</v>
      </c>
      <c r="I2854" s="6"/>
      <c r="J2854" s="43"/>
      <c r="K2854" s="51"/>
      <c r="L2854" s="86"/>
    </row>
    <row r="2855" spans="1:12" ht="15" x14ac:dyDescent="0.25">
      <c r="A2855" s="1">
        <v>2846</v>
      </c>
      <c r="B2855" s="1" t="s">
        <v>405</v>
      </c>
      <c r="C2855" s="32" t="s">
        <v>30</v>
      </c>
      <c r="D2855" s="1">
        <v>5000</v>
      </c>
      <c r="E2855" s="1"/>
      <c r="F2855" s="1">
        <v>55.13</v>
      </c>
      <c r="G2855" s="1">
        <v>5000</v>
      </c>
      <c r="H2855" s="5">
        <f t="shared" si="62"/>
        <v>0</v>
      </c>
      <c r="I2855" s="6"/>
      <c r="J2855" s="43"/>
      <c r="K2855" s="51"/>
      <c r="L2855" s="86"/>
    </row>
    <row r="2856" spans="1:12" ht="15" x14ac:dyDescent="0.25">
      <c r="A2856" s="1">
        <v>2847</v>
      </c>
      <c r="B2856" s="1" t="s">
        <v>405</v>
      </c>
      <c r="C2856" s="32">
        <v>2067</v>
      </c>
      <c r="D2856" s="1">
        <v>11000</v>
      </c>
      <c r="E2856" s="1"/>
      <c r="F2856" s="1">
        <v>122</v>
      </c>
      <c r="G2856" s="1">
        <v>11000</v>
      </c>
      <c r="H2856" s="5">
        <f t="shared" si="62"/>
        <v>0</v>
      </c>
      <c r="I2856" s="6"/>
      <c r="J2856" s="43"/>
      <c r="K2856" s="51"/>
      <c r="L2856" s="86"/>
    </row>
    <row r="2857" spans="1:12" ht="15" x14ac:dyDescent="0.25">
      <c r="A2857" s="1">
        <v>2848</v>
      </c>
      <c r="B2857" s="1" t="s">
        <v>405</v>
      </c>
      <c r="C2857" s="32">
        <v>8577</v>
      </c>
      <c r="D2857" s="1">
        <v>21000</v>
      </c>
      <c r="E2857" s="1"/>
      <c r="F2857" s="1">
        <v>233</v>
      </c>
      <c r="G2857" s="1">
        <v>21000</v>
      </c>
      <c r="H2857" s="5">
        <f t="shared" si="62"/>
        <v>0</v>
      </c>
      <c r="I2857" s="6"/>
      <c r="J2857" s="43"/>
      <c r="K2857" s="51"/>
      <c r="L2857" s="86"/>
    </row>
    <row r="2858" spans="1:12" ht="15" x14ac:dyDescent="0.25">
      <c r="A2858" s="1">
        <v>2849</v>
      </c>
      <c r="B2858" s="1" t="s">
        <v>405</v>
      </c>
      <c r="C2858" s="32">
        <v>9677</v>
      </c>
      <c r="D2858" s="1">
        <v>23000</v>
      </c>
      <c r="E2858" s="1"/>
      <c r="F2858" s="1">
        <v>256</v>
      </c>
      <c r="G2858" s="1">
        <v>23000</v>
      </c>
      <c r="H2858" s="5">
        <f t="shared" si="62"/>
        <v>0</v>
      </c>
      <c r="I2858" s="6"/>
      <c r="J2858" s="43"/>
      <c r="K2858" s="51"/>
      <c r="L2858" s="86"/>
    </row>
    <row r="2859" spans="1:12" ht="15" x14ac:dyDescent="0.25">
      <c r="A2859" s="1">
        <v>2850</v>
      </c>
      <c r="B2859" s="1" t="s">
        <v>405</v>
      </c>
      <c r="C2859" s="32">
        <v>5035</v>
      </c>
      <c r="D2859" s="1">
        <v>25000</v>
      </c>
      <c r="E2859" s="1"/>
      <c r="F2859" s="1">
        <v>278.22000000000003</v>
      </c>
      <c r="G2859" s="1">
        <v>25000</v>
      </c>
      <c r="H2859" s="5">
        <f t="shared" si="62"/>
        <v>0</v>
      </c>
      <c r="I2859" s="6"/>
      <c r="J2859" s="43"/>
      <c r="K2859" s="51"/>
      <c r="L2859" s="86"/>
    </row>
    <row r="2860" spans="1:12" ht="15" x14ac:dyDescent="0.25">
      <c r="A2860" s="1">
        <v>2851</v>
      </c>
      <c r="B2860" s="1" t="s">
        <v>405</v>
      </c>
      <c r="C2860" s="32">
        <v>3673</v>
      </c>
      <c r="D2860" s="1">
        <v>30000</v>
      </c>
      <c r="E2860" s="1"/>
      <c r="F2860" s="1">
        <v>334</v>
      </c>
      <c r="G2860" s="1">
        <v>30000</v>
      </c>
      <c r="H2860" s="5">
        <f t="shared" si="62"/>
        <v>0</v>
      </c>
      <c r="I2860" s="6"/>
      <c r="J2860" s="43"/>
      <c r="K2860" s="51"/>
      <c r="L2860" s="86"/>
    </row>
    <row r="2861" spans="1:12" ht="15" x14ac:dyDescent="0.25">
      <c r="A2861" s="1">
        <v>2852</v>
      </c>
      <c r="B2861" s="1" t="s">
        <v>405</v>
      </c>
      <c r="C2861" s="32">
        <v>2354</v>
      </c>
      <c r="D2861" s="1">
        <v>27000</v>
      </c>
      <c r="E2861" s="1"/>
      <c r="F2861" s="1">
        <v>296</v>
      </c>
      <c r="G2861" s="1">
        <v>27000</v>
      </c>
      <c r="H2861" s="5">
        <f t="shared" si="62"/>
        <v>0</v>
      </c>
      <c r="I2861" s="6"/>
      <c r="J2861" s="43"/>
      <c r="K2861" s="51"/>
      <c r="L2861" s="86">
        <f>1016565-1008611</f>
        <v>7954</v>
      </c>
    </row>
    <row r="2862" spans="1:12" ht="15" x14ac:dyDescent="0.25">
      <c r="A2862" s="1">
        <v>2853</v>
      </c>
      <c r="B2862" s="1" t="s">
        <v>406</v>
      </c>
      <c r="C2862" s="32">
        <v>8956</v>
      </c>
      <c r="D2862" s="1">
        <v>10000</v>
      </c>
      <c r="E2862" s="1"/>
      <c r="F2862" s="1">
        <v>111.4</v>
      </c>
      <c r="G2862" s="1">
        <v>10000</v>
      </c>
      <c r="H2862" s="5">
        <f t="shared" si="62"/>
        <v>0</v>
      </c>
      <c r="I2862" s="6"/>
      <c r="J2862" s="43"/>
      <c r="K2862" s="51"/>
      <c r="L2862" s="86"/>
    </row>
    <row r="2863" spans="1:12" ht="15" x14ac:dyDescent="0.25">
      <c r="A2863" s="1">
        <v>2854</v>
      </c>
      <c r="B2863" s="1" t="s">
        <v>406</v>
      </c>
      <c r="C2863" s="32">
        <v>9905</v>
      </c>
      <c r="D2863" s="1">
        <v>8000</v>
      </c>
      <c r="E2863" s="1"/>
      <c r="F2863" s="1">
        <v>89.56</v>
      </c>
      <c r="G2863" s="1">
        <v>8000</v>
      </c>
      <c r="H2863" s="5">
        <f t="shared" si="62"/>
        <v>0</v>
      </c>
      <c r="I2863" s="6"/>
      <c r="J2863" s="43"/>
      <c r="K2863" s="51"/>
      <c r="L2863" s="86"/>
    </row>
    <row r="2864" spans="1:12" ht="15" x14ac:dyDescent="0.25">
      <c r="A2864" s="1">
        <v>2855</v>
      </c>
      <c r="B2864" s="1" t="s">
        <v>406</v>
      </c>
      <c r="C2864" s="32">
        <v>5798</v>
      </c>
      <c r="D2864" s="1">
        <v>15000</v>
      </c>
      <c r="E2864" s="1"/>
      <c r="F2864" s="1">
        <v>167.22</v>
      </c>
      <c r="G2864" s="1">
        <v>15000</v>
      </c>
      <c r="H2864" s="5">
        <f t="shared" si="62"/>
        <v>0</v>
      </c>
      <c r="I2864" s="6"/>
      <c r="J2864" s="43"/>
      <c r="K2864" s="51"/>
      <c r="L2864" s="86"/>
    </row>
    <row r="2865" spans="1:12" ht="15" x14ac:dyDescent="0.25">
      <c r="A2865" s="1">
        <v>2856</v>
      </c>
      <c r="B2865" s="1" t="s">
        <v>406</v>
      </c>
      <c r="C2865" s="32" t="s">
        <v>66</v>
      </c>
      <c r="D2865" s="1">
        <v>120</v>
      </c>
      <c r="E2865" s="1"/>
      <c r="F2865" s="1">
        <v>1.05</v>
      </c>
      <c r="G2865" s="1">
        <v>120</v>
      </c>
      <c r="H2865" s="5">
        <f t="shared" si="62"/>
        <v>0</v>
      </c>
      <c r="I2865" s="6"/>
      <c r="J2865" s="43"/>
      <c r="K2865" s="51"/>
      <c r="L2865" s="86"/>
    </row>
    <row r="2866" spans="1:12" ht="15" x14ac:dyDescent="0.25">
      <c r="A2866" s="1">
        <v>2857</v>
      </c>
      <c r="B2866" s="1" t="s">
        <v>406</v>
      </c>
      <c r="C2866" s="32" t="s">
        <v>66</v>
      </c>
      <c r="D2866" s="1">
        <v>210</v>
      </c>
      <c r="E2866" s="1"/>
      <c r="F2866" s="1">
        <v>2.08</v>
      </c>
      <c r="G2866" s="1">
        <v>210</v>
      </c>
      <c r="H2866" s="5">
        <f t="shared" si="62"/>
        <v>0</v>
      </c>
      <c r="I2866" s="6"/>
      <c r="J2866" s="43"/>
      <c r="K2866" s="51"/>
      <c r="L2866" s="86"/>
    </row>
    <row r="2867" spans="1:12" ht="15" x14ac:dyDescent="0.25">
      <c r="A2867" s="1">
        <v>2858</v>
      </c>
      <c r="B2867" s="1" t="s">
        <v>407</v>
      </c>
      <c r="C2867" s="32">
        <v>2802</v>
      </c>
      <c r="D2867" s="1">
        <v>14000</v>
      </c>
      <c r="E2867" s="1"/>
      <c r="F2867" s="1">
        <v>155.97</v>
      </c>
      <c r="G2867" s="1">
        <v>14000</v>
      </c>
      <c r="H2867" s="5">
        <f t="shared" si="62"/>
        <v>0</v>
      </c>
      <c r="I2867" s="6"/>
      <c r="J2867" s="43"/>
      <c r="K2867" s="51"/>
      <c r="L2867" s="86"/>
    </row>
    <row r="2868" spans="1:12" ht="15" x14ac:dyDescent="0.25">
      <c r="A2868" s="1">
        <v>2859</v>
      </c>
      <c r="B2868" s="1" t="s">
        <v>407</v>
      </c>
      <c r="C2868" s="32">
        <v>1266</v>
      </c>
      <c r="D2868" s="1">
        <v>13000</v>
      </c>
      <c r="E2868" s="1"/>
      <c r="F2868" s="1">
        <v>144.83000000000001</v>
      </c>
      <c r="G2868" s="1">
        <v>13000</v>
      </c>
      <c r="H2868" s="5">
        <f t="shared" si="62"/>
        <v>0</v>
      </c>
      <c r="I2868" s="6"/>
      <c r="J2868" s="43"/>
      <c r="K2868" s="51"/>
      <c r="L2868" s="86"/>
    </row>
    <row r="2869" spans="1:12" ht="15" x14ac:dyDescent="0.25">
      <c r="A2869" s="1">
        <v>2860</v>
      </c>
      <c r="B2869" s="1" t="s">
        <v>407</v>
      </c>
      <c r="C2869" s="32">
        <v>5.1000000000000004E-3</v>
      </c>
      <c r="D2869" s="1">
        <v>16000</v>
      </c>
      <c r="E2869" s="1"/>
      <c r="F2869" s="1">
        <v>178.22</v>
      </c>
      <c r="G2869" s="1">
        <v>16000</v>
      </c>
      <c r="H2869" s="5">
        <f t="shared" si="62"/>
        <v>0</v>
      </c>
      <c r="I2869" s="6"/>
      <c r="J2869" s="43"/>
      <c r="K2869" s="51"/>
      <c r="L2869" s="86"/>
    </row>
    <row r="2870" spans="1:12" ht="15" x14ac:dyDescent="0.25">
      <c r="A2870" s="1">
        <v>2861</v>
      </c>
      <c r="B2870" s="1" t="s">
        <v>407</v>
      </c>
      <c r="C2870" s="32">
        <v>5.1999999999999998E-3</v>
      </c>
      <c r="D2870" s="1">
        <v>16000</v>
      </c>
      <c r="E2870" s="1"/>
      <c r="F2870" s="1">
        <v>178.22</v>
      </c>
      <c r="G2870" s="1">
        <v>16000</v>
      </c>
      <c r="H2870" s="5">
        <f t="shared" si="62"/>
        <v>0</v>
      </c>
      <c r="I2870" s="6"/>
      <c r="J2870" s="43"/>
      <c r="K2870" s="51"/>
      <c r="L2870" s="86"/>
    </row>
    <row r="2871" spans="1:12" ht="15" x14ac:dyDescent="0.25">
      <c r="A2871" s="1">
        <v>2862</v>
      </c>
      <c r="B2871" s="1" t="s">
        <v>407</v>
      </c>
      <c r="C2871" s="32">
        <v>2131</v>
      </c>
      <c r="D2871" s="1">
        <v>7000</v>
      </c>
      <c r="E2871" s="1"/>
      <c r="F2871" s="1">
        <v>77.989999999999995</v>
      </c>
      <c r="G2871" s="1">
        <v>7000</v>
      </c>
      <c r="H2871" s="5">
        <f t="shared" si="62"/>
        <v>0</v>
      </c>
      <c r="I2871" s="6"/>
      <c r="J2871" s="43"/>
      <c r="K2871" s="51"/>
      <c r="L2871" s="86"/>
    </row>
    <row r="2872" spans="1:12" ht="15" x14ac:dyDescent="0.25">
      <c r="A2872" s="1">
        <v>2863</v>
      </c>
      <c r="B2872" s="1" t="s">
        <v>407</v>
      </c>
      <c r="C2872" s="32">
        <v>2705</v>
      </c>
      <c r="D2872" s="1">
        <v>12000</v>
      </c>
      <c r="E2872" s="1"/>
      <c r="F2872" s="1">
        <v>133.69</v>
      </c>
      <c r="G2872" s="1">
        <v>12000</v>
      </c>
      <c r="H2872" s="5">
        <f t="shared" si="62"/>
        <v>0</v>
      </c>
      <c r="I2872" s="6"/>
      <c r="J2872" s="43"/>
      <c r="K2872" s="51"/>
      <c r="L2872" s="86"/>
    </row>
    <row r="2873" spans="1:12" ht="15" x14ac:dyDescent="0.25">
      <c r="A2873" s="1">
        <v>2864</v>
      </c>
      <c r="B2873" s="1" t="s">
        <v>407</v>
      </c>
      <c r="C2873" s="32">
        <v>3952</v>
      </c>
      <c r="D2873" s="1">
        <v>30000</v>
      </c>
      <c r="E2873" s="1"/>
      <c r="F2873" s="1">
        <v>334.22</v>
      </c>
      <c r="G2873" s="1">
        <v>30000</v>
      </c>
      <c r="H2873" s="5">
        <f t="shared" si="62"/>
        <v>0</v>
      </c>
      <c r="I2873" s="6"/>
      <c r="J2873" s="43"/>
      <c r="K2873" s="51"/>
      <c r="L2873" s="86"/>
    </row>
    <row r="2874" spans="1:12" ht="15" x14ac:dyDescent="0.25">
      <c r="A2874" s="1">
        <v>2865</v>
      </c>
      <c r="B2874" s="1" t="s">
        <v>407</v>
      </c>
      <c r="C2874" s="32">
        <v>2790</v>
      </c>
      <c r="D2874" s="1">
        <v>18000</v>
      </c>
      <c r="E2874" s="1"/>
      <c r="F2874" s="1">
        <v>200.53</v>
      </c>
      <c r="G2874" s="1">
        <v>18000</v>
      </c>
      <c r="H2874" s="5">
        <f t="shared" si="62"/>
        <v>0</v>
      </c>
      <c r="I2874" s="6"/>
      <c r="J2874" s="43"/>
      <c r="K2874" s="51"/>
      <c r="L2874" s="86"/>
    </row>
    <row r="2875" spans="1:12" ht="15" x14ac:dyDescent="0.25">
      <c r="A2875" s="1">
        <v>2866</v>
      </c>
      <c r="B2875" s="1" t="s">
        <v>407</v>
      </c>
      <c r="C2875" s="32" t="s">
        <v>63</v>
      </c>
      <c r="D2875" s="1">
        <v>3500</v>
      </c>
      <c r="E2875" s="1"/>
      <c r="F2875" s="1">
        <v>38.99</v>
      </c>
      <c r="G2875" s="1">
        <v>3500</v>
      </c>
      <c r="H2875" s="5">
        <f t="shared" si="62"/>
        <v>0</v>
      </c>
      <c r="I2875" s="6"/>
      <c r="J2875" s="43"/>
      <c r="K2875" s="51"/>
      <c r="L2875" s="86"/>
    </row>
    <row r="2876" spans="1:12" ht="15" x14ac:dyDescent="0.25">
      <c r="A2876" s="1">
        <v>2867</v>
      </c>
      <c r="B2876" s="1" t="s">
        <v>407</v>
      </c>
      <c r="C2876" s="32" t="s">
        <v>30</v>
      </c>
      <c r="D2876" s="1">
        <v>5000</v>
      </c>
      <c r="E2876" s="1"/>
      <c r="F2876" s="1">
        <v>55.13</v>
      </c>
      <c r="G2876" s="1">
        <v>5000</v>
      </c>
      <c r="H2876" s="5">
        <f t="shared" si="62"/>
        <v>0</v>
      </c>
      <c r="I2876" s="6"/>
      <c r="J2876" s="43"/>
      <c r="K2876" s="51"/>
      <c r="L2876" s="86"/>
    </row>
    <row r="2877" spans="1:12" ht="15" x14ac:dyDescent="0.25">
      <c r="A2877" s="1">
        <v>2868</v>
      </c>
      <c r="B2877" s="1" t="s">
        <v>407</v>
      </c>
      <c r="C2877" s="32">
        <v>2167</v>
      </c>
      <c r="D2877" s="1">
        <v>19000</v>
      </c>
      <c r="E2877" s="1"/>
      <c r="F2877" s="1">
        <v>211.68</v>
      </c>
      <c r="G2877" s="1">
        <v>19000</v>
      </c>
      <c r="H2877" s="5">
        <f t="shared" si="62"/>
        <v>0</v>
      </c>
      <c r="I2877" s="6"/>
      <c r="J2877" s="43"/>
      <c r="K2877" s="51"/>
      <c r="L2877" s="86"/>
    </row>
    <row r="2878" spans="1:12" ht="15" x14ac:dyDescent="0.25">
      <c r="A2878" s="1">
        <v>2869</v>
      </c>
      <c r="B2878" s="1" t="s">
        <v>407</v>
      </c>
      <c r="C2878" s="32">
        <v>7744</v>
      </c>
      <c r="D2878" s="1">
        <v>6000</v>
      </c>
      <c r="E2878" s="1"/>
      <c r="F2878" s="1">
        <v>66.84</v>
      </c>
      <c r="G2878" s="1">
        <v>6000</v>
      </c>
      <c r="H2878" s="5">
        <f t="shared" si="62"/>
        <v>0</v>
      </c>
      <c r="I2878" s="6"/>
      <c r="J2878" s="43"/>
      <c r="K2878" s="51"/>
      <c r="L2878" s="86"/>
    </row>
    <row r="2879" spans="1:12" ht="15" x14ac:dyDescent="0.25">
      <c r="A2879" s="1">
        <v>2870</v>
      </c>
      <c r="B2879" s="1" t="s">
        <v>407</v>
      </c>
      <c r="C2879" s="32">
        <v>9944</v>
      </c>
      <c r="D2879" s="1">
        <v>6000</v>
      </c>
      <c r="E2879" s="1"/>
      <c r="F2879" s="1">
        <v>66.84</v>
      </c>
      <c r="G2879" s="1">
        <v>6000</v>
      </c>
      <c r="H2879" s="5">
        <f t="shared" si="62"/>
        <v>0</v>
      </c>
      <c r="I2879" s="6"/>
      <c r="J2879" s="43"/>
      <c r="K2879" s="51"/>
      <c r="L2879" s="86">
        <f>1059906-1007441</f>
        <v>52465</v>
      </c>
    </row>
    <row r="2880" spans="1:12" ht="15" x14ac:dyDescent="0.25">
      <c r="A2880" s="1">
        <v>2871</v>
      </c>
      <c r="B2880" s="1" t="s">
        <v>408</v>
      </c>
      <c r="C2880" s="32">
        <v>7.0900000000000005E-2</v>
      </c>
      <c r="D2880" s="1">
        <v>30000</v>
      </c>
      <c r="E2880" s="1"/>
      <c r="F2880" s="1">
        <v>334.22</v>
      </c>
      <c r="G2880" s="1">
        <v>30000</v>
      </c>
      <c r="H2880" s="5">
        <f t="shared" si="62"/>
        <v>0</v>
      </c>
      <c r="I2880" s="6"/>
      <c r="J2880" s="43"/>
      <c r="K2880" s="51"/>
      <c r="L2880" s="86"/>
    </row>
    <row r="2881" spans="1:12" ht="15" x14ac:dyDescent="0.25">
      <c r="A2881" s="1">
        <v>2872</v>
      </c>
      <c r="B2881" s="1" t="s">
        <v>408</v>
      </c>
      <c r="C2881" s="32">
        <v>2.4400000000000002E-2</v>
      </c>
      <c r="D2881" s="1">
        <v>12000</v>
      </c>
      <c r="E2881" s="1"/>
      <c r="F2881" s="1">
        <v>133.68</v>
      </c>
      <c r="G2881" s="1">
        <v>12000</v>
      </c>
      <c r="H2881" s="5">
        <f t="shared" si="62"/>
        <v>0</v>
      </c>
      <c r="I2881" s="6"/>
      <c r="J2881" s="43"/>
      <c r="K2881" s="51"/>
      <c r="L2881" s="86"/>
    </row>
    <row r="2882" spans="1:12" ht="15" x14ac:dyDescent="0.25">
      <c r="A2882" s="1">
        <v>2873</v>
      </c>
      <c r="B2882" s="1" t="s">
        <v>408</v>
      </c>
      <c r="C2882" s="32">
        <v>1.5E-3</v>
      </c>
      <c r="D2882" s="1">
        <v>19000</v>
      </c>
      <c r="E2882" s="1"/>
      <c r="F2882" s="1">
        <v>211.67</v>
      </c>
      <c r="G2882" s="1">
        <v>19000</v>
      </c>
      <c r="H2882" s="5">
        <f t="shared" si="62"/>
        <v>0</v>
      </c>
      <c r="I2882" s="6"/>
      <c r="J2882" s="43"/>
      <c r="K2882" s="51"/>
      <c r="L2882" s="86"/>
    </row>
    <row r="2883" spans="1:12" ht="15" x14ac:dyDescent="0.25">
      <c r="A2883" s="1">
        <v>2874</v>
      </c>
      <c r="B2883" s="1" t="s">
        <v>408</v>
      </c>
      <c r="C2883" s="32">
        <v>1.2699999999999999E-2</v>
      </c>
      <c r="D2883" s="1">
        <v>12000</v>
      </c>
      <c r="E2883" s="1"/>
      <c r="F2883" s="1">
        <v>133.68</v>
      </c>
      <c r="G2883" s="1">
        <v>12000</v>
      </c>
      <c r="H2883" s="5">
        <f t="shared" si="62"/>
        <v>0</v>
      </c>
      <c r="I2883" s="6"/>
      <c r="J2883" s="43"/>
      <c r="K2883" s="51"/>
      <c r="L2883" s="86"/>
    </row>
    <row r="2884" spans="1:12" ht="15" x14ac:dyDescent="0.25">
      <c r="A2884" s="1">
        <v>2875</v>
      </c>
      <c r="B2884" s="1" t="s">
        <v>408</v>
      </c>
      <c r="C2884" s="32">
        <v>6301</v>
      </c>
      <c r="D2884" s="1">
        <v>10000</v>
      </c>
      <c r="E2884" s="1"/>
      <c r="F2884" s="1">
        <v>111.4</v>
      </c>
      <c r="G2884" s="1">
        <v>10000</v>
      </c>
      <c r="H2884" s="5">
        <f t="shared" si="62"/>
        <v>0</v>
      </c>
      <c r="I2884" s="6"/>
      <c r="J2884" s="43"/>
      <c r="K2884" s="51"/>
      <c r="L2884" s="86"/>
    </row>
    <row r="2885" spans="1:12" ht="15" x14ac:dyDescent="0.25">
      <c r="A2885" s="1">
        <v>2876</v>
      </c>
      <c r="B2885" s="1" t="s">
        <v>408</v>
      </c>
      <c r="C2885" s="32">
        <v>1.77E-2</v>
      </c>
      <c r="D2885" s="1">
        <v>27100</v>
      </c>
      <c r="E2885" s="1"/>
      <c r="F2885" s="1">
        <v>301.91000000000003</v>
      </c>
      <c r="G2885" s="1">
        <v>27100</v>
      </c>
      <c r="H2885" s="5">
        <f t="shared" si="62"/>
        <v>0</v>
      </c>
      <c r="I2885" s="6"/>
      <c r="J2885" s="43"/>
      <c r="K2885" s="51"/>
      <c r="L2885" s="86"/>
    </row>
    <row r="2886" spans="1:12" ht="15" x14ac:dyDescent="0.25">
      <c r="A2886" s="1">
        <v>2877</v>
      </c>
      <c r="B2886" s="1" t="s">
        <v>408</v>
      </c>
      <c r="C2886" s="32">
        <v>3317</v>
      </c>
      <c r="D2886" s="1">
        <v>28000</v>
      </c>
      <c r="E2886" s="1"/>
      <c r="F2886" s="1">
        <v>311.94</v>
      </c>
      <c r="G2886" s="1">
        <v>28000</v>
      </c>
      <c r="H2886" s="5">
        <f t="shared" si="62"/>
        <v>0</v>
      </c>
      <c r="I2886" s="6"/>
      <c r="J2886" s="43"/>
      <c r="K2886" s="51"/>
      <c r="L2886" s="86"/>
    </row>
    <row r="2887" spans="1:12" ht="15" x14ac:dyDescent="0.25">
      <c r="A2887" s="1">
        <v>2878</v>
      </c>
      <c r="B2887" s="1" t="s">
        <v>408</v>
      </c>
      <c r="C2887" s="32">
        <v>5079</v>
      </c>
      <c r="D2887" s="1">
        <v>28000</v>
      </c>
      <c r="E2887" s="1"/>
      <c r="F2887" s="1">
        <v>311.94</v>
      </c>
      <c r="G2887" s="1">
        <v>28000</v>
      </c>
      <c r="H2887" s="5">
        <f t="shared" si="62"/>
        <v>0</v>
      </c>
      <c r="I2887" s="6"/>
      <c r="J2887" s="43"/>
      <c r="K2887" s="51"/>
      <c r="L2887" s="86"/>
    </row>
    <row r="2888" spans="1:12" ht="15" x14ac:dyDescent="0.25">
      <c r="A2888" s="1">
        <v>2879</v>
      </c>
      <c r="B2888" s="1" t="s">
        <v>409</v>
      </c>
      <c r="C2888" s="32">
        <v>5981</v>
      </c>
      <c r="D2888" s="1">
        <v>25000</v>
      </c>
      <c r="E2888" s="1"/>
      <c r="F2888" s="1">
        <v>278.52</v>
      </c>
      <c r="G2888" s="1">
        <v>25000</v>
      </c>
      <c r="H2888" s="5">
        <f t="shared" si="62"/>
        <v>0</v>
      </c>
      <c r="I2888" s="6"/>
      <c r="J2888" s="43"/>
      <c r="K2888" s="51"/>
      <c r="L2888" s="86"/>
    </row>
    <row r="2889" spans="1:12" ht="15" x14ac:dyDescent="0.25">
      <c r="A2889" s="1">
        <v>2880</v>
      </c>
      <c r="B2889" s="1" t="s">
        <v>409</v>
      </c>
      <c r="C2889" s="32">
        <v>1.44E-2</v>
      </c>
      <c r="D2889" s="1">
        <v>26000</v>
      </c>
      <c r="E2889" s="1"/>
      <c r="F2889" s="1">
        <v>289.66000000000003</v>
      </c>
      <c r="G2889" s="1">
        <v>26000</v>
      </c>
      <c r="H2889" s="5">
        <f t="shared" si="62"/>
        <v>0</v>
      </c>
      <c r="I2889" s="6"/>
      <c r="J2889" s="43"/>
      <c r="K2889" s="51"/>
      <c r="L2889" s="86"/>
    </row>
    <row r="2890" spans="1:12" ht="15" x14ac:dyDescent="0.25">
      <c r="A2890" s="1">
        <v>2881</v>
      </c>
      <c r="B2890" s="1" t="s">
        <v>409</v>
      </c>
      <c r="C2890" s="32" t="s">
        <v>66</v>
      </c>
      <c r="D2890" s="1">
        <v>210</v>
      </c>
      <c r="E2890" s="1"/>
      <c r="F2890" s="1">
        <v>2.12</v>
      </c>
      <c r="G2890" s="1">
        <v>210</v>
      </c>
      <c r="H2890" s="5">
        <f t="shared" si="62"/>
        <v>0</v>
      </c>
      <c r="I2890" s="6"/>
      <c r="J2890" s="43"/>
      <c r="K2890" s="51"/>
      <c r="L2890" s="86"/>
    </row>
    <row r="2891" spans="1:12" ht="15" x14ac:dyDescent="0.25">
      <c r="A2891" s="1">
        <v>2882</v>
      </c>
      <c r="B2891" s="1" t="s">
        <v>409</v>
      </c>
      <c r="C2891" s="32" t="s">
        <v>30</v>
      </c>
      <c r="D2891" s="1">
        <v>5000</v>
      </c>
      <c r="E2891" s="1"/>
      <c r="F2891" s="1">
        <v>50.13</v>
      </c>
      <c r="G2891" s="1">
        <v>5000</v>
      </c>
      <c r="H2891" s="5">
        <f t="shared" si="62"/>
        <v>0</v>
      </c>
      <c r="I2891" s="6"/>
      <c r="J2891" s="43"/>
      <c r="K2891" s="51"/>
      <c r="L2891" s="86"/>
    </row>
    <row r="2892" spans="1:12" ht="15" x14ac:dyDescent="0.25">
      <c r="A2892" s="1">
        <v>2883</v>
      </c>
      <c r="B2892" s="1" t="s">
        <v>409</v>
      </c>
      <c r="C2892" s="32">
        <v>2.58E-2</v>
      </c>
      <c r="D2892" s="1">
        <v>18000</v>
      </c>
      <c r="E2892" s="1"/>
      <c r="F2892" s="1">
        <v>200.53</v>
      </c>
      <c r="G2892" s="1">
        <v>18000</v>
      </c>
      <c r="H2892" s="5">
        <f t="shared" si="62"/>
        <v>0</v>
      </c>
      <c r="I2892" s="6"/>
      <c r="J2892" s="43"/>
      <c r="K2892" s="51"/>
      <c r="L2892" s="86"/>
    </row>
    <row r="2893" spans="1:12" ht="15" x14ac:dyDescent="0.25">
      <c r="A2893" s="1">
        <v>2884</v>
      </c>
      <c r="B2893" s="1" t="s">
        <v>409</v>
      </c>
      <c r="C2893" s="32">
        <v>9250</v>
      </c>
      <c r="D2893" s="1">
        <v>20000</v>
      </c>
      <c r="E2893" s="1"/>
      <c r="F2893" s="1">
        <v>222.81</v>
      </c>
      <c r="G2893" s="1">
        <v>20000</v>
      </c>
      <c r="H2893" s="5">
        <f t="shared" si="62"/>
        <v>0</v>
      </c>
      <c r="I2893" s="6"/>
      <c r="J2893" s="43"/>
      <c r="K2893" s="51"/>
      <c r="L2893" s="86"/>
    </row>
    <row r="2894" spans="1:12" ht="15" x14ac:dyDescent="0.25">
      <c r="A2894" s="1">
        <v>2885</v>
      </c>
      <c r="B2894" s="1" t="s">
        <v>409</v>
      </c>
      <c r="C2894" s="32" t="s">
        <v>30</v>
      </c>
      <c r="D2894" s="1">
        <v>4500</v>
      </c>
      <c r="E2894" s="1"/>
      <c r="F2894" s="1">
        <v>50.12</v>
      </c>
      <c r="G2894" s="1">
        <v>4500</v>
      </c>
      <c r="H2894" s="5">
        <f t="shared" si="62"/>
        <v>0</v>
      </c>
      <c r="I2894" s="6"/>
      <c r="J2894" s="43"/>
      <c r="K2894" s="51"/>
      <c r="L2894" s="86"/>
    </row>
    <row r="2895" spans="1:12" ht="15" x14ac:dyDescent="0.25">
      <c r="A2895" s="1">
        <v>2886</v>
      </c>
      <c r="B2895" s="1" t="s">
        <v>409</v>
      </c>
      <c r="C2895" s="32">
        <v>9906</v>
      </c>
      <c r="D2895" s="1">
        <v>10000</v>
      </c>
      <c r="E2895" s="1"/>
      <c r="F2895" s="1">
        <v>111.41</v>
      </c>
      <c r="G2895" s="1">
        <v>10000</v>
      </c>
      <c r="H2895" s="5">
        <f t="shared" si="62"/>
        <v>0</v>
      </c>
      <c r="I2895" s="6"/>
      <c r="J2895" s="43"/>
      <c r="K2895" s="51"/>
      <c r="L2895" s="86"/>
    </row>
    <row r="2896" spans="1:12" ht="15" x14ac:dyDescent="0.25">
      <c r="A2896" s="1">
        <v>2887</v>
      </c>
      <c r="B2896" s="1" t="s">
        <v>409</v>
      </c>
      <c r="C2896" s="32">
        <v>8666</v>
      </c>
      <c r="D2896" s="1">
        <v>18000</v>
      </c>
      <c r="E2896" s="1"/>
      <c r="F2896" s="1">
        <v>200.53</v>
      </c>
      <c r="G2896" s="1">
        <v>18000</v>
      </c>
      <c r="H2896" s="5">
        <f t="shared" si="62"/>
        <v>0</v>
      </c>
      <c r="I2896" s="6"/>
      <c r="J2896" s="43"/>
      <c r="K2896" s="51"/>
      <c r="L2896" s="86"/>
    </row>
    <row r="2897" spans="1:12" ht="15" x14ac:dyDescent="0.25">
      <c r="A2897" s="1">
        <v>2888</v>
      </c>
      <c r="B2897" s="1" t="s">
        <v>409</v>
      </c>
      <c r="C2897" s="32">
        <v>4156</v>
      </c>
      <c r="D2897" s="1">
        <v>17000</v>
      </c>
      <c r="E2897" s="1"/>
      <c r="F2897" s="1">
        <v>189.39</v>
      </c>
      <c r="G2897" s="1">
        <v>17000</v>
      </c>
      <c r="H2897" s="5">
        <f t="shared" si="62"/>
        <v>0</v>
      </c>
      <c r="I2897" s="6"/>
      <c r="J2897" s="43"/>
      <c r="K2897" s="51"/>
      <c r="L2897" s="86"/>
    </row>
    <row r="2898" spans="1:12" ht="15" x14ac:dyDescent="0.25">
      <c r="A2898" s="1">
        <v>2889</v>
      </c>
      <c r="B2898" s="1" t="s">
        <v>409</v>
      </c>
      <c r="C2898" s="32">
        <v>5553</v>
      </c>
      <c r="D2898" s="1">
        <v>30000</v>
      </c>
      <c r="E2898" s="1"/>
      <c r="F2898" s="1">
        <v>334.22</v>
      </c>
      <c r="G2898" s="1">
        <v>30000</v>
      </c>
      <c r="H2898" s="5">
        <f t="shared" si="62"/>
        <v>0</v>
      </c>
      <c r="I2898" s="6"/>
      <c r="J2898" s="43"/>
      <c r="K2898" s="51"/>
      <c r="L2898" s="86"/>
    </row>
    <row r="2899" spans="1:12" ht="15" x14ac:dyDescent="0.25">
      <c r="A2899" s="1">
        <v>2890</v>
      </c>
      <c r="B2899" s="1" t="s">
        <v>409</v>
      </c>
      <c r="C2899" s="32">
        <v>9.0200000000000002E-2</v>
      </c>
      <c r="D2899" s="1">
        <v>26000</v>
      </c>
      <c r="E2899" s="1"/>
      <c r="F2899" s="1">
        <v>289.66000000000003</v>
      </c>
      <c r="G2899" s="1">
        <v>26000</v>
      </c>
      <c r="H2899" s="5">
        <f t="shared" ref="H2899:H2963" si="63">D2899-G2899</f>
        <v>0</v>
      </c>
      <c r="I2899" s="6"/>
      <c r="J2899" s="43"/>
      <c r="K2899" s="51"/>
      <c r="L2899" s="86"/>
    </row>
    <row r="2900" spans="1:12" ht="15" x14ac:dyDescent="0.25">
      <c r="A2900" s="1">
        <v>2891</v>
      </c>
      <c r="B2900" s="1" t="s">
        <v>409</v>
      </c>
      <c r="C2900" s="32">
        <v>2688</v>
      </c>
      <c r="D2900" s="1">
        <v>22000</v>
      </c>
      <c r="E2900" s="1"/>
      <c r="F2900" s="1">
        <v>245.1</v>
      </c>
      <c r="G2900" s="1">
        <v>22000</v>
      </c>
      <c r="H2900" s="5">
        <f t="shared" si="63"/>
        <v>0</v>
      </c>
      <c r="I2900" s="6"/>
      <c r="J2900" s="43"/>
      <c r="K2900" s="51"/>
      <c r="L2900" s="86"/>
    </row>
    <row r="2901" spans="1:12" ht="15" x14ac:dyDescent="0.25">
      <c r="A2901" s="1">
        <v>2892</v>
      </c>
      <c r="B2901" s="1" t="s">
        <v>409</v>
      </c>
      <c r="C2901" s="32">
        <v>6373</v>
      </c>
      <c r="D2901" s="1">
        <v>35000</v>
      </c>
      <c r="E2901" s="1"/>
      <c r="F2901" s="1">
        <v>362</v>
      </c>
      <c r="G2901" s="1">
        <v>35000</v>
      </c>
      <c r="H2901" s="5">
        <f t="shared" si="63"/>
        <v>0</v>
      </c>
      <c r="I2901" s="6"/>
      <c r="J2901" s="43"/>
      <c r="K2901" s="51"/>
      <c r="L2901" s="86">
        <f>1436016-1430251</f>
        <v>5765</v>
      </c>
    </row>
    <row r="2902" spans="1:12" ht="15" x14ac:dyDescent="0.25">
      <c r="A2902" s="1">
        <v>2893</v>
      </c>
      <c r="B2902" s="1" t="s">
        <v>410</v>
      </c>
      <c r="C2902" s="32" t="s">
        <v>63</v>
      </c>
      <c r="D2902" s="1">
        <v>3500</v>
      </c>
      <c r="E2902" s="1"/>
      <c r="F2902" s="1">
        <v>38.99</v>
      </c>
      <c r="G2902" s="1">
        <v>3500</v>
      </c>
      <c r="H2902" s="5">
        <f t="shared" si="63"/>
        <v>0</v>
      </c>
      <c r="I2902" s="6"/>
      <c r="J2902" s="43"/>
      <c r="K2902" s="51"/>
      <c r="L2902" s="86"/>
    </row>
    <row r="2903" spans="1:12" ht="15" x14ac:dyDescent="0.25">
      <c r="A2903" s="1">
        <v>2894</v>
      </c>
      <c r="B2903" s="1" t="s">
        <v>410</v>
      </c>
      <c r="C2903" s="32">
        <v>4371</v>
      </c>
      <c r="D2903" s="1">
        <v>12000</v>
      </c>
      <c r="E2903" s="1"/>
      <c r="F2903" s="1">
        <v>133.63</v>
      </c>
      <c r="G2903" s="1">
        <v>12000</v>
      </c>
      <c r="H2903" s="5">
        <f t="shared" si="63"/>
        <v>0</v>
      </c>
      <c r="I2903" s="6"/>
      <c r="J2903" s="43"/>
      <c r="K2903" s="51"/>
      <c r="L2903" s="86"/>
    </row>
    <row r="2904" spans="1:12" ht="15" x14ac:dyDescent="0.25">
      <c r="A2904" s="1">
        <v>2895</v>
      </c>
      <c r="B2904" s="1" t="s">
        <v>410</v>
      </c>
      <c r="C2904" s="32">
        <v>4566</v>
      </c>
      <c r="D2904" s="1">
        <v>24000</v>
      </c>
      <c r="E2904" s="1"/>
      <c r="F2904" s="1">
        <v>267.38</v>
      </c>
      <c r="G2904" s="1">
        <v>24000</v>
      </c>
      <c r="H2904" s="5">
        <f t="shared" si="63"/>
        <v>0</v>
      </c>
      <c r="I2904" s="6"/>
      <c r="J2904" s="43"/>
      <c r="K2904" s="51"/>
      <c r="L2904" s="86"/>
    </row>
    <row r="2905" spans="1:12" ht="15" x14ac:dyDescent="0.25">
      <c r="A2905" s="1">
        <v>2896</v>
      </c>
      <c r="B2905" s="1" t="s">
        <v>410</v>
      </c>
      <c r="C2905" s="32">
        <v>9619</v>
      </c>
      <c r="D2905" s="1">
        <v>12000</v>
      </c>
      <c r="E2905" s="1"/>
      <c r="F2905" s="1">
        <v>133.69</v>
      </c>
      <c r="G2905" s="1">
        <v>12000</v>
      </c>
      <c r="H2905" s="5">
        <f t="shared" si="63"/>
        <v>0</v>
      </c>
      <c r="I2905" s="6"/>
      <c r="J2905" s="43"/>
      <c r="K2905" s="51"/>
      <c r="L2905" s="86"/>
    </row>
    <row r="2906" spans="1:12" ht="15" x14ac:dyDescent="0.25">
      <c r="A2906" s="1">
        <v>2897</v>
      </c>
      <c r="B2906" s="1" t="s">
        <v>410</v>
      </c>
      <c r="C2906" s="32">
        <v>2167</v>
      </c>
      <c r="D2906" s="1">
        <v>14000</v>
      </c>
      <c r="E2906" s="1"/>
      <c r="F2906" s="1">
        <v>155.97</v>
      </c>
      <c r="G2906" s="1">
        <v>14000</v>
      </c>
      <c r="H2906" s="5">
        <f t="shared" si="63"/>
        <v>0</v>
      </c>
      <c r="I2906" s="6"/>
      <c r="J2906" s="43"/>
      <c r="K2906" s="51"/>
      <c r="L2906" s="86"/>
    </row>
    <row r="2907" spans="1:12" ht="15" x14ac:dyDescent="0.25">
      <c r="A2907" s="1">
        <v>2898</v>
      </c>
      <c r="B2907" s="1" t="s">
        <v>410</v>
      </c>
      <c r="C2907" s="32">
        <v>9544</v>
      </c>
      <c r="D2907" s="1">
        <v>12000</v>
      </c>
      <c r="E2907" s="1"/>
      <c r="F2907" s="1">
        <v>133.68</v>
      </c>
      <c r="G2907" s="1">
        <v>12000</v>
      </c>
      <c r="H2907" s="5">
        <f t="shared" si="63"/>
        <v>0</v>
      </c>
      <c r="I2907" s="6"/>
      <c r="J2907" s="43"/>
      <c r="K2907" s="51"/>
      <c r="L2907" s="86"/>
    </row>
    <row r="2908" spans="1:12" ht="15" x14ac:dyDescent="0.25">
      <c r="A2908" s="1">
        <v>2899</v>
      </c>
      <c r="B2908" s="1" t="s">
        <v>410</v>
      </c>
      <c r="C2908" s="32" t="s">
        <v>30</v>
      </c>
      <c r="D2908" s="1">
        <v>5000</v>
      </c>
      <c r="E2908" s="1"/>
      <c r="F2908" s="1">
        <v>55.7</v>
      </c>
      <c r="G2908" s="1">
        <v>5000</v>
      </c>
      <c r="H2908" s="5">
        <f t="shared" si="63"/>
        <v>0</v>
      </c>
      <c r="I2908" s="6"/>
      <c r="J2908" s="43"/>
      <c r="K2908" s="51"/>
      <c r="L2908" s="86"/>
    </row>
    <row r="2909" spans="1:12" ht="15" x14ac:dyDescent="0.25">
      <c r="A2909" s="1">
        <v>2900</v>
      </c>
      <c r="B2909" s="1" t="s">
        <v>410</v>
      </c>
      <c r="C2909" s="32">
        <v>7266</v>
      </c>
      <c r="D2909" s="1">
        <v>29000</v>
      </c>
      <c r="E2909" s="1"/>
      <c r="F2909" s="1">
        <v>383.4</v>
      </c>
      <c r="G2909" s="1">
        <v>29000</v>
      </c>
      <c r="H2909" s="5">
        <f t="shared" si="63"/>
        <v>0</v>
      </c>
      <c r="I2909" s="6"/>
      <c r="J2909" s="43"/>
      <c r="K2909" s="51"/>
      <c r="L2909" s="86"/>
    </row>
    <row r="2910" spans="1:12" ht="15" x14ac:dyDescent="0.25">
      <c r="A2910" s="1">
        <v>2901</v>
      </c>
      <c r="B2910" s="1" t="s">
        <v>410</v>
      </c>
      <c r="C2910" s="32">
        <v>4124</v>
      </c>
      <c r="D2910" s="1">
        <v>28000</v>
      </c>
      <c r="E2910" s="1"/>
      <c r="F2910" s="1">
        <v>371.94</v>
      </c>
      <c r="G2910" s="1">
        <v>28000</v>
      </c>
      <c r="H2910" s="5">
        <f t="shared" si="63"/>
        <v>0</v>
      </c>
      <c r="I2910" s="6"/>
      <c r="J2910" s="43"/>
      <c r="K2910" s="51"/>
      <c r="L2910" s="86"/>
    </row>
    <row r="2911" spans="1:12" ht="15" x14ac:dyDescent="0.25">
      <c r="A2911" s="1">
        <v>2902</v>
      </c>
      <c r="B2911" s="1" t="s">
        <v>410</v>
      </c>
      <c r="C2911" s="32">
        <v>4713</v>
      </c>
      <c r="D2911" s="1">
        <v>22000</v>
      </c>
      <c r="E2911" s="1"/>
      <c r="F2911" s="1">
        <v>245.43</v>
      </c>
      <c r="G2911" s="1">
        <v>22000</v>
      </c>
      <c r="H2911" s="5">
        <f t="shared" si="63"/>
        <v>0</v>
      </c>
      <c r="I2911" s="6"/>
      <c r="J2911" s="43"/>
      <c r="K2911" s="51"/>
      <c r="L2911" s="86"/>
    </row>
    <row r="2912" spans="1:12" ht="15" x14ac:dyDescent="0.25">
      <c r="A2912" s="1">
        <v>2903</v>
      </c>
      <c r="B2912" s="1" t="s">
        <v>410</v>
      </c>
      <c r="C2912" s="32" t="s">
        <v>66</v>
      </c>
      <c r="D2912" s="1">
        <v>210</v>
      </c>
      <c r="E2912" s="1"/>
      <c r="F2912" s="1">
        <v>2.06</v>
      </c>
      <c r="G2912" s="1">
        <v>210</v>
      </c>
      <c r="H2912" s="5">
        <f t="shared" si="63"/>
        <v>0</v>
      </c>
      <c r="I2912" s="6"/>
      <c r="J2912" s="43"/>
      <c r="K2912" s="51"/>
      <c r="L2912" s="86"/>
    </row>
    <row r="2913" spans="1:12" ht="15" x14ac:dyDescent="0.25">
      <c r="A2913" s="1">
        <v>2904</v>
      </c>
      <c r="B2913" s="1" t="s">
        <v>410</v>
      </c>
      <c r="C2913" s="32">
        <v>6469</v>
      </c>
      <c r="D2913" s="1">
        <v>25000</v>
      </c>
      <c r="E2913" s="1"/>
      <c r="F2913" s="1">
        <v>278.52</v>
      </c>
      <c r="G2913" s="1">
        <v>25000</v>
      </c>
      <c r="H2913" s="5">
        <f t="shared" si="63"/>
        <v>0</v>
      </c>
      <c r="I2913" s="6"/>
      <c r="J2913" s="43"/>
      <c r="K2913" s="51"/>
      <c r="L2913" s="86"/>
    </row>
    <row r="2914" spans="1:12" ht="15" x14ac:dyDescent="0.25">
      <c r="A2914" s="1">
        <v>2905</v>
      </c>
      <c r="B2914" s="1" t="s">
        <v>410</v>
      </c>
      <c r="C2914" s="32">
        <v>5151</v>
      </c>
      <c r="D2914" s="1">
        <v>16000</v>
      </c>
      <c r="E2914" s="1"/>
      <c r="F2914" s="1">
        <v>178.22</v>
      </c>
      <c r="G2914" s="1">
        <v>16000</v>
      </c>
      <c r="H2914" s="5">
        <f t="shared" si="63"/>
        <v>0</v>
      </c>
      <c r="I2914" s="6"/>
      <c r="J2914" s="43"/>
      <c r="K2914" s="51"/>
      <c r="L2914" s="86"/>
    </row>
    <row r="2915" spans="1:12" ht="15" x14ac:dyDescent="0.25">
      <c r="A2915" s="1">
        <v>2906</v>
      </c>
      <c r="B2915" s="1" t="s">
        <v>410</v>
      </c>
      <c r="C2915" s="32">
        <v>5252</v>
      </c>
      <c r="D2915" s="1">
        <v>16000</v>
      </c>
      <c r="E2915" s="1"/>
      <c r="F2915" s="1">
        <v>178.22</v>
      </c>
      <c r="G2915" s="1">
        <v>16000</v>
      </c>
      <c r="H2915" s="5">
        <f t="shared" si="63"/>
        <v>0</v>
      </c>
      <c r="I2915" s="6"/>
      <c r="J2915" s="43"/>
      <c r="K2915" s="51"/>
      <c r="L2915" s="86">
        <f>1254726-1248961</f>
        <v>5765</v>
      </c>
    </row>
    <row r="2916" spans="1:12" ht="15" x14ac:dyDescent="0.25">
      <c r="A2916" s="1">
        <v>2907</v>
      </c>
      <c r="B2916" s="1" t="s">
        <v>411</v>
      </c>
      <c r="C2916" s="32">
        <v>8902</v>
      </c>
      <c r="D2916" s="1">
        <v>15000</v>
      </c>
      <c r="E2916" s="1"/>
      <c r="F2916" s="1">
        <v>167.15</v>
      </c>
      <c r="G2916" s="1">
        <v>15000</v>
      </c>
      <c r="H2916" s="5">
        <f t="shared" si="63"/>
        <v>0</v>
      </c>
      <c r="I2916" s="6"/>
      <c r="J2916" s="43"/>
      <c r="K2916" s="51"/>
      <c r="L2916" s="86"/>
    </row>
    <row r="2917" spans="1:12" ht="15" x14ac:dyDescent="0.25">
      <c r="A2917" s="1">
        <v>2908</v>
      </c>
      <c r="B2917" s="1" t="s">
        <v>411</v>
      </c>
      <c r="C2917" s="32">
        <v>6214</v>
      </c>
      <c r="D2917" s="1">
        <v>22000</v>
      </c>
      <c r="E2917" s="1"/>
      <c r="F2917" s="1">
        <v>245.43</v>
      </c>
      <c r="G2917" s="1">
        <v>22000</v>
      </c>
      <c r="H2917" s="5">
        <f t="shared" si="63"/>
        <v>0</v>
      </c>
      <c r="I2917" s="6"/>
      <c r="J2917" s="43"/>
      <c r="K2917" s="51"/>
      <c r="L2917" s="86"/>
    </row>
    <row r="2918" spans="1:12" ht="15" x14ac:dyDescent="0.25">
      <c r="A2918" s="1">
        <v>2909</v>
      </c>
      <c r="B2918" s="1" t="s">
        <v>411</v>
      </c>
      <c r="C2918" s="32">
        <v>2673</v>
      </c>
      <c r="D2918" s="1">
        <v>10000</v>
      </c>
      <c r="E2918" s="1"/>
      <c r="F2918" s="1">
        <v>111.4</v>
      </c>
      <c r="G2918" s="1">
        <v>10000</v>
      </c>
      <c r="H2918" s="5">
        <f t="shared" si="63"/>
        <v>0</v>
      </c>
      <c r="I2918" s="6"/>
      <c r="J2918" s="43"/>
      <c r="K2918" s="51"/>
      <c r="L2918" s="86"/>
    </row>
    <row r="2919" spans="1:12" ht="15" x14ac:dyDescent="0.25">
      <c r="A2919" s="1">
        <v>2910</v>
      </c>
      <c r="B2919" s="1" t="s">
        <v>411</v>
      </c>
      <c r="C2919" s="32">
        <v>7806</v>
      </c>
      <c r="D2919" s="1">
        <v>27000</v>
      </c>
      <c r="E2919" s="1"/>
      <c r="F2919" s="1">
        <v>300.8</v>
      </c>
      <c r="G2919" s="1">
        <v>27000</v>
      </c>
      <c r="H2919" s="5">
        <f t="shared" si="63"/>
        <v>0</v>
      </c>
      <c r="I2919" s="6"/>
      <c r="J2919" s="43"/>
      <c r="K2919" s="51"/>
      <c r="L2919" s="86"/>
    </row>
    <row r="2920" spans="1:12" ht="15" x14ac:dyDescent="0.25">
      <c r="A2920" s="1">
        <v>2911</v>
      </c>
      <c r="B2920" s="1" t="s">
        <v>411</v>
      </c>
      <c r="C2920" s="32" t="s">
        <v>30</v>
      </c>
      <c r="D2920" s="1">
        <v>4500</v>
      </c>
      <c r="E2920" s="1"/>
      <c r="F2920" s="1">
        <v>50.13</v>
      </c>
      <c r="G2920" s="1">
        <v>4500</v>
      </c>
      <c r="H2920" s="5">
        <f t="shared" si="63"/>
        <v>0</v>
      </c>
      <c r="I2920" s="6"/>
      <c r="J2920" s="43"/>
      <c r="K2920" s="51"/>
      <c r="L2920" s="86"/>
    </row>
    <row r="2921" spans="1:12" ht="15" x14ac:dyDescent="0.25">
      <c r="A2921" s="1">
        <v>2912</v>
      </c>
      <c r="B2921" s="1" t="s">
        <v>411</v>
      </c>
      <c r="C2921" s="32">
        <v>3.0200000000000001E-2</v>
      </c>
      <c r="D2921" s="1">
        <v>30000</v>
      </c>
      <c r="E2921" s="1"/>
      <c r="F2921" s="1">
        <v>334.22</v>
      </c>
      <c r="G2921" s="1">
        <v>30000</v>
      </c>
      <c r="H2921" s="5">
        <f t="shared" si="63"/>
        <v>0</v>
      </c>
      <c r="I2921" s="6"/>
      <c r="J2921" s="43"/>
      <c r="K2921" s="51"/>
      <c r="L2921" s="86"/>
    </row>
    <row r="2922" spans="1:12" ht="15" x14ac:dyDescent="0.25">
      <c r="A2922" s="1">
        <v>2913</v>
      </c>
      <c r="B2922" s="1" t="s">
        <v>411</v>
      </c>
      <c r="C2922" s="32">
        <v>2.4400000000000002E-2</v>
      </c>
      <c r="D2922" s="1">
        <v>12000</v>
      </c>
      <c r="E2922" s="1"/>
      <c r="F2922" s="1">
        <v>133.69</v>
      </c>
      <c r="G2922" s="1">
        <v>12000</v>
      </c>
      <c r="H2922" s="5">
        <f t="shared" si="63"/>
        <v>0</v>
      </c>
      <c r="I2922" s="6"/>
      <c r="J2922" s="43"/>
      <c r="K2922" s="51"/>
      <c r="L2922" s="86"/>
    </row>
    <row r="2923" spans="1:12" ht="15" x14ac:dyDescent="0.25">
      <c r="A2923" s="1">
        <v>2914</v>
      </c>
      <c r="B2923" s="1" t="s">
        <v>411</v>
      </c>
      <c r="C2923" s="32">
        <v>3343</v>
      </c>
      <c r="D2923" s="1">
        <v>32000</v>
      </c>
      <c r="E2923" s="1"/>
      <c r="F2923" s="1">
        <v>356.5</v>
      </c>
      <c r="G2923" s="1">
        <v>32000</v>
      </c>
      <c r="H2923" s="5">
        <f t="shared" si="63"/>
        <v>0</v>
      </c>
      <c r="I2923" s="6"/>
      <c r="J2923" s="43"/>
      <c r="K2923" s="51"/>
      <c r="L2923" s="86"/>
    </row>
    <row r="2924" spans="1:12" ht="15" x14ac:dyDescent="0.25">
      <c r="A2924" s="1">
        <v>2915</v>
      </c>
      <c r="B2924" s="1" t="s">
        <v>411</v>
      </c>
      <c r="C2924" s="32">
        <v>2067</v>
      </c>
      <c r="D2924" s="1">
        <v>13000</v>
      </c>
      <c r="E2924" s="1"/>
      <c r="F2924" s="1">
        <v>144.12</v>
      </c>
      <c r="G2924" s="1">
        <v>13000</v>
      </c>
      <c r="H2924" s="5">
        <f t="shared" si="63"/>
        <v>0</v>
      </c>
      <c r="I2924" s="6"/>
      <c r="J2924" s="43"/>
      <c r="K2924" s="51"/>
      <c r="L2924" s="86">
        <f>1420226-1414461</f>
        <v>5765</v>
      </c>
    </row>
    <row r="2925" spans="1:12" ht="15" x14ac:dyDescent="0.25">
      <c r="A2925" s="1">
        <v>2916</v>
      </c>
      <c r="B2925" s="1" t="s">
        <v>413</v>
      </c>
      <c r="C2925" s="32" t="s">
        <v>66</v>
      </c>
      <c r="D2925" s="1">
        <v>215</v>
      </c>
      <c r="E2925" s="1"/>
      <c r="F2925" s="1">
        <v>2.15</v>
      </c>
      <c r="G2925" s="1">
        <v>215</v>
      </c>
      <c r="H2925" s="5">
        <f t="shared" si="63"/>
        <v>0</v>
      </c>
      <c r="I2925" s="6"/>
      <c r="J2925" s="43"/>
      <c r="K2925" s="51"/>
      <c r="L2925" s="86"/>
    </row>
    <row r="2926" spans="1:12" ht="15" x14ac:dyDescent="0.25">
      <c r="A2926" s="1">
        <v>2917</v>
      </c>
      <c r="B2926" s="1" t="s">
        <v>413</v>
      </c>
      <c r="C2926" s="32" t="s">
        <v>30</v>
      </c>
      <c r="D2926" s="1">
        <v>5000</v>
      </c>
      <c r="E2926" s="1"/>
      <c r="F2926" s="1">
        <v>50.7</v>
      </c>
      <c r="G2926" s="1">
        <v>5000</v>
      </c>
      <c r="H2926" s="5">
        <f t="shared" si="63"/>
        <v>0</v>
      </c>
      <c r="I2926" s="6"/>
      <c r="J2926" s="43"/>
      <c r="K2926" s="51"/>
      <c r="L2926" s="86"/>
    </row>
    <row r="2927" spans="1:12" ht="15" x14ac:dyDescent="0.25">
      <c r="A2927" s="1">
        <v>2918</v>
      </c>
      <c r="B2927" s="1" t="s">
        <v>413</v>
      </c>
      <c r="C2927" s="32">
        <v>2339</v>
      </c>
      <c r="D2927" s="1">
        <v>20000</v>
      </c>
      <c r="E2927" s="1"/>
      <c r="F2927" s="1">
        <v>222</v>
      </c>
      <c r="G2927" s="1">
        <v>20000</v>
      </c>
      <c r="H2927" s="5">
        <f t="shared" si="63"/>
        <v>0</v>
      </c>
      <c r="I2927" s="6"/>
      <c r="J2927" s="43"/>
      <c r="K2927" s="51"/>
      <c r="L2927" s="86"/>
    </row>
    <row r="2928" spans="1:12" ht="15" x14ac:dyDescent="0.25">
      <c r="A2928" s="1">
        <v>2919</v>
      </c>
      <c r="B2928" s="1" t="s">
        <v>413</v>
      </c>
      <c r="C2928" s="32">
        <v>4089</v>
      </c>
      <c r="D2928" s="1">
        <v>25000</v>
      </c>
      <c r="E2928" s="1"/>
      <c r="F2928" s="1">
        <v>278.22000000000003</v>
      </c>
      <c r="G2928" s="1">
        <v>25000</v>
      </c>
      <c r="H2928" s="5">
        <f t="shared" si="63"/>
        <v>0</v>
      </c>
      <c r="I2928" s="6"/>
      <c r="J2928" s="43"/>
      <c r="K2928" s="51"/>
      <c r="L2928" s="86"/>
    </row>
    <row r="2929" spans="1:12" ht="15" x14ac:dyDescent="0.25">
      <c r="A2929" s="1">
        <v>2920</v>
      </c>
      <c r="B2929" s="1" t="s">
        <v>413</v>
      </c>
      <c r="C2929" s="32">
        <v>8046</v>
      </c>
      <c r="D2929" s="1">
        <v>25000</v>
      </c>
      <c r="E2929" s="1"/>
      <c r="F2929" s="1">
        <v>278.22000000000003</v>
      </c>
      <c r="G2929" s="1">
        <v>25000</v>
      </c>
      <c r="H2929" s="5">
        <f t="shared" si="63"/>
        <v>0</v>
      </c>
      <c r="I2929" s="6"/>
      <c r="J2929" s="43"/>
      <c r="K2929" s="51"/>
      <c r="L2929" s="86"/>
    </row>
    <row r="2930" spans="1:12" ht="15" x14ac:dyDescent="0.25">
      <c r="A2930" s="1">
        <v>2921</v>
      </c>
      <c r="B2930" s="1" t="s">
        <v>413</v>
      </c>
      <c r="C2930" s="32">
        <v>5485</v>
      </c>
      <c r="D2930" s="1">
        <v>25000</v>
      </c>
      <c r="E2930" s="1"/>
      <c r="F2930" s="1">
        <v>278.22000000000003</v>
      </c>
      <c r="G2930" s="1">
        <v>25000</v>
      </c>
      <c r="H2930" s="5">
        <f t="shared" si="63"/>
        <v>0</v>
      </c>
      <c r="I2930" s="6"/>
      <c r="J2930" s="43"/>
      <c r="K2930" s="51"/>
      <c r="L2930" s="86"/>
    </row>
    <row r="2931" spans="1:12" ht="15" x14ac:dyDescent="0.25">
      <c r="A2931" s="1">
        <v>2922</v>
      </c>
      <c r="B2931" s="1" t="s">
        <v>413</v>
      </c>
      <c r="C2931" s="32">
        <v>2943</v>
      </c>
      <c r="D2931" s="1">
        <v>33000</v>
      </c>
      <c r="E2931" s="1"/>
      <c r="F2931" s="1">
        <v>349</v>
      </c>
      <c r="G2931" s="1">
        <v>33000</v>
      </c>
      <c r="H2931" s="5">
        <f t="shared" si="63"/>
        <v>0</v>
      </c>
      <c r="I2931" s="6"/>
      <c r="J2931" s="43"/>
      <c r="K2931" s="51"/>
      <c r="L2931" s="86"/>
    </row>
    <row r="2932" spans="1:12" ht="15" x14ac:dyDescent="0.25">
      <c r="A2932" s="1">
        <v>2923</v>
      </c>
      <c r="B2932" s="1" t="s">
        <v>413</v>
      </c>
      <c r="C2932" s="32">
        <v>8193</v>
      </c>
      <c r="D2932" s="1">
        <v>25000</v>
      </c>
      <c r="E2932" s="1"/>
      <c r="F2932" s="1">
        <v>278.22000000000003</v>
      </c>
      <c r="G2932" s="1">
        <v>25000</v>
      </c>
      <c r="H2932" s="5">
        <f t="shared" si="63"/>
        <v>0</v>
      </c>
      <c r="I2932" s="6"/>
      <c r="J2932" s="43"/>
      <c r="K2932" s="51"/>
      <c r="L2932" s="86"/>
    </row>
    <row r="2933" spans="1:12" ht="15" x14ac:dyDescent="0.25">
      <c r="A2933" s="1">
        <v>2924</v>
      </c>
      <c r="B2933" s="1" t="s">
        <v>413</v>
      </c>
      <c r="C2933" s="32">
        <v>7211</v>
      </c>
      <c r="D2933" s="1">
        <v>8000</v>
      </c>
      <c r="E2933" s="1"/>
      <c r="F2933" s="1">
        <v>89.13</v>
      </c>
      <c r="G2933" s="1">
        <v>8000</v>
      </c>
      <c r="H2933" s="5">
        <f t="shared" si="63"/>
        <v>0</v>
      </c>
      <c r="I2933" s="6"/>
      <c r="J2933" s="43"/>
      <c r="K2933" s="51"/>
      <c r="L2933" s="86">
        <f>1586441-1580676</f>
        <v>5765</v>
      </c>
    </row>
    <row r="2934" spans="1:12" ht="15" x14ac:dyDescent="0.25">
      <c r="A2934" s="1">
        <v>2925</v>
      </c>
      <c r="B2934" s="1" t="s">
        <v>414</v>
      </c>
      <c r="C2934" s="32">
        <v>2167</v>
      </c>
      <c r="D2934" s="1">
        <v>14000</v>
      </c>
      <c r="E2934" s="1"/>
      <c r="F2934" s="1">
        <v>155</v>
      </c>
      <c r="G2934" s="1">
        <v>14000</v>
      </c>
      <c r="H2934" s="5">
        <f t="shared" si="63"/>
        <v>0</v>
      </c>
      <c r="I2934" s="6"/>
      <c r="J2934" s="43"/>
      <c r="K2934" s="51"/>
      <c r="L2934" s="86"/>
    </row>
    <row r="2935" spans="1:12" ht="15" x14ac:dyDescent="0.25">
      <c r="A2935" s="1">
        <v>2926</v>
      </c>
      <c r="B2935" s="1" t="s">
        <v>414</v>
      </c>
      <c r="C2935" s="32">
        <v>2673</v>
      </c>
      <c r="D2935" s="1">
        <v>20000</v>
      </c>
      <c r="E2935" s="1"/>
      <c r="F2935" s="1">
        <v>222.2</v>
      </c>
      <c r="G2935" s="1">
        <v>20000</v>
      </c>
      <c r="H2935" s="5">
        <f t="shared" si="63"/>
        <v>0</v>
      </c>
      <c r="I2935" s="6"/>
      <c r="J2935" s="43"/>
      <c r="K2935" s="51"/>
      <c r="L2935" s="86"/>
    </row>
    <row r="2936" spans="1:12" ht="15" x14ac:dyDescent="0.25">
      <c r="A2936" s="1">
        <v>2927</v>
      </c>
      <c r="B2936" s="1" t="s">
        <v>414</v>
      </c>
      <c r="C2936" s="32" t="s">
        <v>63</v>
      </c>
      <c r="D2936" s="1">
        <v>3500</v>
      </c>
      <c r="E2936" s="1"/>
      <c r="F2936" s="1">
        <v>38.99</v>
      </c>
      <c r="G2936" s="1">
        <v>3500</v>
      </c>
      <c r="H2936" s="5">
        <f t="shared" si="63"/>
        <v>0</v>
      </c>
      <c r="I2936" s="6"/>
      <c r="J2936" s="43"/>
      <c r="K2936" s="51"/>
      <c r="L2936" s="86"/>
    </row>
    <row r="2937" spans="1:12" ht="15" x14ac:dyDescent="0.25">
      <c r="A2937" s="1">
        <v>2928</v>
      </c>
      <c r="B2937" s="1" t="s">
        <v>414</v>
      </c>
      <c r="C2937" s="32">
        <v>9251</v>
      </c>
      <c r="D2937" s="1">
        <v>25000</v>
      </c>
      <c r="E2937" s="1"/>
      <c r="F2937" s="1">
        <v>278.22000000000003</v>
      </c>
      <c r="G2937" s="1">
        <v>25000</v>
      </c>
      <c r="H2937" s="5">
        <f t="shared" si="63"/>
        <v>0</v>
      </c>
      <c r="I2937" s="6"/>
      <c r="J2937" s="43"/>
      <c r="K2937" s="51"/>
      <c r="L2937" s="86"/>
    </row>
    <row r="2938" spans="1:12" ht="15" x14ac:dyDescent="0.25">
      <c r="A2938" s="1">
        <v>2929</v>
      </c>
      <c r="B2938" s="1" t="s">
        <v>414</v>
      </c>
      <c r="C2938" s="32">
        <v>1.6299999999999999E-2</v>
      </c>
      <c r="D2938" s="1">
        <v>10000</v>
      </c>
      <c r="E2938" s="1"/>
      <c r="F2938" s="1">
        <v>111</v>
      </c>
      <c r="G2938" s="1">
        <v>10000</v>
      </c>
      <c r="H2938" s="5">
        <f t="shared" si="63"/>
        <v>0</v>
      </c>
      <c r="I2938" s="6"/>
      <c r="J2938" s="43"/>
      <c r="K2938" s="51"/>
      <c r="L2938" s="86"/>
    </row>
    <row r="2939" spans="1:12" ht="15" x14ac:dyDescent="0.25">
      <c r="A2939" s="1">
        <v>2930</v>
      </c>
      <c r="B2939" s="1" t="s">
        <v>414</v>
      </c>
      <c r="C2939" s="32">
        <v>5088</v>
      </c>
      <c r="D2939" s="1">
        <v>25000</v>
      </c>
      <c r="E2939" s="1"/>
      <c r="F2939" s="1">
        <v>278.22000000000003</v>
      </c>
      <c r="G2939" s="1">
        <v>25000</v>
      </c>
      <c r="H2939" s="5">
        <f t="shared" si="63"/>
        <v>0</v>
      </c>
      <c r="I2939" s="6"/>
      <c r="J2939" s="43"/>
      <c r="K2939" s="51"/>
      <c r="L2939" s="86"/>
    </row>
    <row r="2940" spans="1:12" ht="15" x14ac:dyDescent="0.25">
      <c r="A2940" s="1">
        <v>2931</v>
      </c>
      <c r="B2940" s="1" t="s">
        <v>414</v>
      </c>
      <c r="C2940" s="32">
        <v>5035</v>
      </c>
      <c r="D2940" s="1">
        <v>25000</v>
      </c>
      <c r="E2940" s="1"/>
      <c r="F2940" s="1">
        <v>278.22000000000003</v>
      </c>
      <c r="G2940" s="1">
        <v>25000</v>
      </c>
      <c r="H2940" s="5">
        <f t="shared" si="63"/>
        <v>0</v>
      </c>
      <c r="I2940" s="6"/>
      <c r="J2940" s="43"/>
      <c r="K2940" s="51"/>
      <c r="L2940" s="86"/>
    </row>
    <row r="2941" spans="1:12" ht="15" x14ac:dyDescent="0.25">
      <c r="A2941" s="1">
        <v>2932</v>
      </c>
      <c r="B2941" s="1" t="s">
        <v>414</v>
      </c>
      <c r="C2941" s="32">
        <v>1234</v>
      </c>
      <c r="D2941" s="1">
        <v>30000</v>
      </c>
      <c r="E2941" s="1"/>
      <c r="F2941" s="1">
        <v>334</v>
      </c>
      <c r="G2941" s="1">
        <v>30000</v>
      </c>
      <c r="H2941" s="5">
        <f t="shared" si="63"/>
        <v>0</v>
      </c>
      <c r="I2941" s="6"/>
      <c r="J2941" s="43"/>
      <c r="K2941" s="51"/>
      <c r="L2941" s="86"/>
    </row>
    <row r="2942" spans="1:12" ht="15" x14ac:dyDescent="0.25">
      <c r="A2942" s="1">
        <v>2933</v>
      </c>
      <c r="B2942" s="1" t="s">
        <v>414</v>
      </c>
      <c r="C2942" s="32">
        <v>3955</v>
      </c>
      <c r="D2942" s="1">
        <v>30000</v>
      </c>
      <c r="E2942" s="1"/>
      <c r="F2942" s="1">
        <v>334</v>
      </c>
      <c r="G2942" s="1">
        <v>30000</v>
      </c>
      <c r="H2942" s="5">
        <f t="shared" si="63"/>
        <v>0</v>
      </c>
      <c r="I2942" s="6"/>
      <c r="J2942" s="43"/>
      <c r="K2942" s="51"/>
      <c r="L2942" s="86">
        <f>1768941-1763176</f>
        <v>5765</v>
      </c>
    </row>
    <row r="2943" spans="1:12" ht="15" x14ac:dyDescent="0.25">
      <c r="A2943" s="1">
        <v>2934</v>
      </c>
      <c r="B2943" s="1" t="s">
        <v>415</v>
      </c>
      <c r="C2943" s="32" t="s">
        <v>30</v>
      </c>
      <c r="D2943" s="1">
        <v>4500</v>
      </c>
      <c r="E2943" s="1"/>
      <c r="F2943" s="1">
        <v>50.13</v>
      </c>
      <c r="G2943" s="1">
        <v>4500</v>
      </c>
      <c r="H2943" s="5">
        <f t="shared" si="63"/>
        <v>0</v>
      </c>
      <c r="I2943" s="6"/>
      <c r="J2943" s="43"/>
      <c r="K2943" s="51"/>
      <c r="L2943" s="86"/>
    </row>
    <row r="2944" spans="1:12" ht="15" x14ac:dyDescent="0.25">
      <c r="A2944" s="1">
        <v>2935</v>
      </c>
      <c r="B2944" s="1" t="s">
        <v>415</v>
      </c>
      <c r="C2944" s="32" t="s">
        <v>30</v>
      </c>
      <c r="D2944" s="1">
        <v>5000</v>
      </c>
      <c r="E2944" s="1"/>
      <c r="F2944" s="1">
        <v>55.12</v>
      </c>
      <c r="G2944" s="1">
        <v>5000</v>
      </c>
      <c r="H2944" s="5">
        <f t="shared" si="63"/>
        <v>0</v>
      </c>
      <c r="I2944" s="6"/>
      <c r="J2944" s="43"/>
      <c r="K2944" s="51"/>
      <c r="L2944" s="86"/>
    </row>
    <row r="2945" spans="1:12" ht="15" x14ac:dyDescent="0.25">
      <c r="A2945" s="1">
        <v>2936</v>
      </c>
      <c r="B2945" s="1" t="s">
        <v>415</v>
      </c>
      <c r="C2945" s="32">
        <v>3356</v>
      </c>
      <c r="D2945" s="1">
        <v>22000</v>
      </c>
      <c r="E2945" s="1"/>
      <c r="F2945" s="1">
        <v>241.1</v>
      </c>
      <c r="G2945" s="1">
        <v>22000</v>
      </c>
      <c r="H2945" s="5">
        <f t="shared" si="63"/>
        <v>0</v>
      </c>
      <c r="I2945" s="6"/>
      <c r="J2945" s="43"/>
      <c r="K2945" s="51"/>
      <c r="L2945" s="86"/>
    </row>
    <row r="2946" spans="1:12" ht="15" x14ac:dyDescent="0.25">
      <c r="A2946" s="1">
        <v>2937</v>
      </c>
      <c r="B2946" s="1" t="s">
        <v>415</v>
      </c>
      <c r="C2946" s="32">
        <v>5252</v>
      </c>
      <c r="D2946" s="1">
        <v>16000</v>
      </c>
      <c r="E2946" s="1"/>
      <c r="F2946" s="1">
        <v>178.22</v>
      </c>
      <c r="G2946" s="1">
        <v>16000</v>
      </c>
      <c r="H2946" s="5">
        <f t="shared" si="63"/>
        <v>0</v>
      </c>
      <c r="I2946" s="6"/>
      <c r="J2946" s="43"/>
      <c r="K2946" s="51"/>
      <c r="L2946" s="86"/>
    </row>
    <row r="2947" spans="1:12" ht="15" x14ac:dyDescent="0.25">
      <c r="A2947" s="1">
        <v>2938</v>
      </c>
      <c r="B2947" s="1" t="s">
        <v>415</v>
      </c>
      <c r="C2947" s="32">
        <v>5151</v>
      </c>
      <c r="D2947" s="1">
        <v>16000</v>
      </c>
      <c r="E2947" s="1"/>
      <c r="F2947" s="1">
        <v>178.22</v>
      </c>
      <c r="G2947" s="1">
        <v>16000</v>
      </c>
      <c r="H2947" s="5">
        <f t="shared" si="63"/>
        <v>0</v>
      </c>
      <c r="I2947" s="6"/>
      <c r="J2947" s="43"/>
      <c r="K2947" s="51"/>
      <c r="L2947" s="86"/>
    </row>
    <row r="2948" spans="1:12" ht="15" x14ac:dyDescent="0.25">
      <c r="A2948" s="1">
        <v>2939</v>
      </c>
      <c r="B2948" s="1" t="s">
        <v>415</v>
      </c>
      <c r="C2948" s="32">
        <v>5943</v>
      </c>
      <c r="D2948" s="1">
        <v>31000</v>
      </c>
      <c r="E2948" s="1"/>
      <c r="F2948" s="1">
        <v>345.37</v>
      </c>
      <c r="G2948" s="1">
        <v>31000</v>
      </c>
      <c r="H2948" s="5">
        <f t="shared" si="63"/>
        <v>0</v>
      </c>
      <c r="I2948" s="6"/>
      <c r="J2948" s="43"/>
      <c r="K2948" s="51"/>
      <c r="L2948" s="86"/>
    </row>
    <row r="2949" spans="1:12" ht="15" x14ac:dyDescent="0.25">
      <c r="A2949" s="1">
        <v>2940</v>
      </c>
      <c r="B2949" s="1" t="s">
        <v>415</v>
      </c>
      <c r="C2949" s="32">
        <v>6.8999999999999999E-3</v>
      </c>
      <c r="D2949" s="1">
        <v>31000</v>
      </c>
      <c r="E2949" s="1"/>
      <c r="F2949" s="1">
        <v>345.37</v>
      </c>
      <c r="G2949" s="1">
        <v>31000</v>
      </c>
      <c r="H2949" s="5">
        <f t="shared" si="63"/>
        <v>0</v>
      </c>
      <c r="I2949" s="6"/>
      <c r="J2949" s="43"/>
      <c r="K2949" s="51"/>
      <c r="L2949" s="86"/>
    </row>
    <row r="2950" spans="1:12" ht="15" x14ac:dyDescent="0.25">
      <c r="A2950" s="1">
        <v>2941</v>
      </c>
      <c r="B2950" s="1" t="s">
        <v>415</v>
      </c>
      <c r="C2950" s="32">
        <v>1.21E-2</v>
      </c>
      <c r="D2950" s="1">
        <v>30000</v>
      </c>
      <c r="E2950" s="1"/>
      <c r="F2950" s="1">
        <v>334.22</v>
      </c>
      <c r="G2950" s="1">
        <v>30000</v>
      </c>
      <c r="H2950" s="5">
        <f t="shared" si="63"/>
        <v>0</v>
      </c>
      <c r="I2950" s="6"/>
      <c r="J2950" s="43"/>
      <c r="K2950" s="51"/>
      <c r="L2950" s="86"/>
    </row>
    <row r="2951" spans="1:12" ht="15" x14ac:dyDescent="0.25">
      <c r="A2951" s="1">
        <v>2942</v>
      </c>
      <c r="B2951" s="1" t="s">
        <v>415</v>
      </c>
      <c r="C2951" s="32">
        <v>5687</v>
      </c>
      <c r="D2951" s="1">
        <v>20000</v>
      </c>
      <c r="E2951" s="1"/>
      <c r="F2951" s="1">
        <v>222.17</v>
      </c>
      <c r="G2951" s="1">
        <v>20000</v>
      </c>
      <c r="H2951" s="5">
        <f t="shared" si="63"/>
        <v>0</v>
      </c>
      <c r="I2951" s="6"/>
      <c r="J2951" s="43"/>
      <c r="K2951" s="51"/>
      <c r="L2951" s="86"/>
    </row>
    <row r="2952" spans="1:12" ht="15" x14ac:dyDescent="0.25">
      <c r="A2952" s="1">
        <v>2943</v>
      </c>
      <c r="B2952" s="1" t="s">
        <v>415</v>
      </c>
      <c r="C2952" s="32">
        <v>9971</v>
      </c>
      <c r="D2952" s="1">
        <v>34000</v>
      </c>
      <c r="E2952" s="1"/>
      <c r="F2952" s="1">
        <v>372.22</v>
      </c>
      <c r="G2952" s="1">
        <v>34000</v>
      </c>
      <c r="H2952" s="5">
        <f t="shared" si="63"/>
        <v>0</v>
      </c>
      <c r="I2952" s="6"/>
      <c r="J2952" s="43"/>
      <c r="K2952" s="51"/>
      <c r="L2952" s="86"/>
    </row>
    <row r="2953" spans="1:12" ht="15" x14ac:dyDescent="0.25">
      <c r="A2953" s="1">
        <v>2944</v>
      </c>
      <c r="B2953" s="1" t="s">
        <v>415</v>
      </c>
      <c r="C2953" s="32">
        <v>8481</v>
      </c>
      <c r="D2953" s="1">
        <v>12500</v>
      </c>
      <c r="E2953" s="1"/>
      <c r="F2953" s="1">
        <v>139.26</v>
      </c>
      <c r="G2953" s="1">
        <v>12500</v>
      </c>
      <c r="H2953" s="5">
        <f t="shared" si="63"/>
        <v>0</v>
      </c>
      <c r="I2953" s="6"/>
      <c r="J2953" s="43"/>
      <c r="K2953" s="51"/>
      <c r="L2953" s="86"/>
    </row>
    <row r="2954" spans="1:12" ht="15" x14ac:dyDescent="0.25">
      <c r="A2954" s="1">
        <v>2945</v>
      </c>
      <c r="B2954" s="1" t="s">
        <v>415</v>
      </c>
      <c r="C2954" s="32">
        <v>9865</v>
      </c>
      <c r="D2954" s="1">
        <v>10000</v>
      </c>
      <c r="E2954" s="1"/>
      <c r="F2954" s="1">
        <v>111.41</v>
      </c>
      <c r="G2954" s="1">
        <v>10000</v>
      </c>
      <c r="H2954" s="5">
        <f t="shared" si="63"/>
        <v>0</v>
      </c>
      <c r="I2954" s="6"/>
      <c r="J2954" s="43"/>
      <c r="K2954" s="51"/>
      <c r="L2954" s="86">
        <f>1213207-1190176</f>
        <v>23031</v>
      </c>
    </row>
    <row r="2955" spans="1:12" ht="15" x14ac:dyDescent="0.25">
      <c r="A2955" s="1">
        <v>2946</v>
      </c>
      <c r="B2955" s="1" t="s">
        <v>418</v>
      </c>
      <c r="C2955" s="32">
        <v>7071</v>
      </c>
      <c r="D2955" s="1">
        <v>14000</v>
      </c>
      <c r="E2955" s="1"/>
      <c r="F2955" s="1">
        <v>155</v>
      </c>
      <c r="G2955" s="1">
        <v>14000</v>
      </c>
      <c r="H2955" s="5">
        <f t="shared" si="63"/>
        <v>0</v>
      </c>
      <c r="I2955" s="6"/>
      <c r="J2955" s="43"/>
      <c r="K2955" s="51"/>
      <c r="L2955" s="86"/>
    </row>
    <row r="2956" spans="1:12" ht="15" x14ac:dyDescent="0.25">
      <c r="A2956" s="1">
        <v>2947</v>
      </c>
      <c r="B2956" s="1" t="s">
        <v>418</v>
      </c>
      <c r="C2956" s="32">
        <v>3197</v>
      </c>
      <c r="D2956" s="1">
        <v>15000</v>
      </c>
      <c r="E2956" s="1"/>
      <c r="F2956" s="1">
        <v>167</v>
      </c>
      <c r="G2956" s="1">
        <v>15000</v>
      </c>
      <c r="H2956" s="5">
        <f t="shared" si="63"/>
        <v>0</v>
      </c>
      <c r="I2956" s="6"/>
      <c r="J2956" s="43"/>
      <c r="K2956" s="51"/>
      <c r="L2956" s="86"/>
    </row>
    <row r="2957" spans="1:12" ht="15" x14ac:dyDescent="0.25">
      <c r="A2957" s="1">
        <v>2948</v>
      </c>
      <c r="B2957" s="1" t="s">
        <v>418</v>
      </c>
      <c r="C2957" s="32" t="s">
        <v>430</v>
      </c>
      <c r="D2957" s="1">
        <v>16000</v>
      </c>
      <c r="E2957" s="1"/>
      <c r="F2957" s="1">
        <v>178.22</v>
      </c>
      <c r="G2957" s="1">
        <v>16000</v>
      </c>
      <c r="H2957" s="5">
        <f t="shared" si="63"/>
        <v>0</v>
      </c>
      <c r="I2957" s="6"/>
      <c r="J2957" s="43"/>
      <c r="K2957" s="51"/>
      <c r="L2957" s="86"/>
    </row>
    <row r="2958" spans="1:12" ht="15" x14ac:dyDescent="0.25">
      <c r="A2958" s="1">
        <v>2949</v>
      </c>
      <c r="B2958" s="1" t="s">
        <v>418</v>
      </c>
      <c r="C2958" s="32">
        <v>3558</v>
      </c>
      <c r="D2958" s="1">
        <v>30000</v>
      </c>
      <c r="E2958" s="1"/>
      <c r="F2958" s="1">
        <v>334</v>
      </c>
      <c r="G2958" s="1">
        <v>30000</v>
      </c>
      <c r="H2958" s="5">
        <f t="shared" si="63"/>
        <v>0</v>
      </c>
      <c r="I2958" s="6"/>
      <c r="J2958" s="43"/>
      <c r="K2958" s="51"/>
      <c r="L2958" s="86"/>
    </row>
    <row r="2959" spans="1:12" ht="15" x14ac:dyDescent="0.25">
      <c r="A2959" s="1">
        <v>2950</v>
      </c>
      <c r="B2959" s="1" t="s">
        <v>418</v>
      </c>
      <c r="C2959" s="32" t="s">
        <v>66</v>
      </c>
      <c r="D2959" s="1">
        <v>210</v>
      </c>
      <c r="E2959" s="1"/>
      <c r="F2959" s="1">
        <v>2.06</v>
      </c>
      <c r="G2959" s="1">
        <v>210</v>
      </c>
      <c r="H2959" s="5">
        <f t="shared" si="63"/>
        <v>0</v>
      </c>
      <c r="I2959" s="6"/>
      <c r="J2959" s="43"/>
      <c r="K2959" s="51"/>
      <c r="L2959" s="86"/>
    </row>
    <row r="2960" spans="1:12" ht="15" x14ac:dyDescent="0.25">
      <c r="A2960" s="1">
        <v>2951</v>
      </c>
      <c r="B2960" s="1" t="s">
        <v>418</v>
      </c>
      <c r="C2960" s="32">
        <v>4608</v>
      </c>
      <c r="D2960" s="1">
        <v>14000</v>
      </c>
      <c r="E2960" s="1"/>
      <c r="F2960" s="1">
        <v>153</v>
      </c>
      <c r="G2960" s="1">
        <v>14000</v>
      </c>
      <c r="H2960" s="5">
        <f t="shared" si="63"/>
        <v>0</v>
      </c>
      <c r="I2960" s="6"/>
      <c r="J2960" s="43"/>
      <c r="K2960" s="51"/>
      <c r="L2960" s="86"/>
    </row>
    <row r="2961" spans="1:12" ht="15" x14ac:dyDescent="0.25">
      <c r="A2961" s="1">
        <v>2952</v>
      </c>
      <c r="B2961" s="1" t="s">
        <v>418</v>
      </c>
      <c r="C2961" s="32">
        <v>2977</v>
      </c>
      <c r="D2961" s="1">
        <v>25000</v>
      </c>
      <c r="E2961" s="1"/>
      <c r="F2961" s="1">
        <v>278.22000000000003</v>
      </c>
      <c r="G2961" s="1">
        <v>25000</v>
      </c>
      <c r="H2961" s="5">
        <f t="shared" si="63"/>
        <v>0</v>
      </c>
      <c r="I2961" s="6"/>
      <c r="J2961" s="43"/>
      <c r="K2961" s="51"/>
      <c r="L2961" s="86"/>
    </row>
    <row r="2962" spans="1:12" ht="15" x14ac:dyDescent="0.25">
      <c r="A2962" s="1">
        <v>2953</v>
      </c>
      <c r="B2962" s="1" t="s">
        <v>418</v>
      </c>
      <c r="C2962" s="32">
        <v>3.6600000000000001E-2</v>
      </c>
      <c r="D2962" s="1">
        <v>25000</v>
      </c>
      <c r="E2962" s="1"/>
      <c r="F2962" s="1">
        <v>278.22000000000003</v>
      </c>
      <c r="G2962" s="1">
        <v>25000</v>
      </c>
      <c r="H2962" s="5">
        <f t="shared" si="63"/>
        <v>0</v>
      </c>
      <c r="I2962" s="6"/>
      <c r="J2962" s="43"/>
      <c r="K2962" s="51"/>
      <c r="L2962" s="86"/>
    </row>
    <row r="2963" spans="1:12" ht="15" x14ac:dyDescent="0.25">
      <c r="A2963" s="1">
        <v>2954</v>
      </c>
      <c r="B2963" s="1" t="s">
        <v>419</v>
      </c>
      <c r="C2963" s="32">
        <v>5958</v>
      </c>
      <c r="D2963" s="1">
        <v>15000</v>
      </c>
      <c r="E2963" s="1"/>
      <c r="F2963" s="1">
        <v>167.11</v>
      </c>
      <c r="G2963" s="1">
        <v>15000</v>
      </c>
      <c r="H2963" s="5">
        <f t="shared" si="63"/>
        <v>0</v>
      </c>
      <c r="I2963" s="6"/>
      <c r="J2963" s="43"/>
      <c r="K2963" s="51"/>
      <c r="L2963" s="86"/>
    </row>
    <row r="2964" spans="1:12" ht="15" x14ac:dyDescent="0.25">
      <c r="A2964" s="1">
        <v>2955</v>
      </c>
      <c r="B2964" s="1" t="s">
        <v>419</v>
      </c>
      <c r="C2964" s="32">
        <v>2973</v>
      </c>
      <c r="D2964" s="1">
        <v>15000</v>
      </c>
      <c r="E2964" s="1"/>
      <c r="F2964" s="1">
        <v>167.11</v>
      </c>
      <c r="G2964" s="1">
        <v>15000</v>
      </c>
      <c r="H2964" s="5">
        <f t="shared" ref="H2964:H3027" si="64">D2964-G2964</f>
        <v>0</v>
      </c>
      <c r="I2964" s="6"/>
      <c r="J2964" s="43"/>
      <c r="K2964" s="51"/>
      <c r="L2964" s="86"/>
    </row>
    <row r="2965" spans="1:12" ht="15" x14ac:dyDescent="0.25">
      <c r="A2965" s="1">
        <v>2956</v>
      </c>
      <c r="B2965" s="1" t="s">
        <v>419</v>
      </c>
      <c r="C2965" s="32">
        <v>2673</v>
      </c>
      <c r="D2965" s="1">
        <v>15000</v>
      </c>
      <c r="E2965" s="1"/>
      <c r="F2965" s="1">
        <v>167.11</v>
      </c>
      <c r="G2965" s="1">
        <v>15000</v>
      </c>
      <c r="H2965" s="5">
        <f t="shared" si="64"/>
        <v>0</v>
      </c>
      <c r="I2965" s="6"/>
      <c r="J2965" s="43"/>
      <c r="K2965" s="51"/>
      <c r="L2965" s="86"/>
    </row>
    <row r="2966" spans="1:12" ht="15" x14ac:dyDescent="0.25">
      <c r="A2966" s="1">
        <v>2957</v>
      </c>
      <c r="B2966" s="1" t="s">
        <v>419</v>
      </c>
      <c r="C2966" s="32" t="s">
        <v>30</v>
      </c>
      <c r="D2966" s="1">
        <v>5000</v>
      </c>
      <c r="E2966" s="1"/>
      <c r="F2966" s="1">
        <v>55.12</v>
      </c>
      <c r="G2966" s="1">
        <v>5000</v>
      </c>
      <c r="H2966" s="5">
        <f t="shared" si="64"/>
        <v>0</v>
      </c>
      <c r="I2966" s="6"/>
      <c r="J2966" s="43"/>
      <c r="K2966" s="51"/>
      <c r="L2966" s="86"/>
    </row>
    <row r="2967" spans="1:12" ht="15" x14ac:dyDescent="0.25">
      <c r="A2967" s="1">
        <v>2958</v>
      </c>
      <c r="B2967" s="1" t="s">
        <v>419</v>
      </c>
      <c r="C2967" s="32">
        <v>5.1999999999999998E-3</v>
      </c>
      <c r="D2967" s="1">
        <v>16000</v>
      </c>
      <c r="E2967" s="1"/>
      <c r="F2967" s="1">
        <v>178.25</v>
      </c>
      <c r="G2967" s="1">
        <v>16000</v>
      </c>
      <c r="H2967" s="5">
        <f t="shared" si="64"/>
        <v>0</v>
      </c>
      <c r="I2967" s="6"/>
      <c r="J2967" s="43"/>
      <c r="K2967" s="51"/>
      <c r="L2967" s="86"/>
    </row>
    <row r="2968" spans="1:12" ht="15" x14ac:dyDescent="0.25">
      <c r="A2968" s="1">
        <v>2959</v>
      </c>
      <c r="B2968" s="1" t="s">
        <v>419</v>
      </c>
      <c r="C2968" s="32">
        <v>6193</v>
      </c>
      <c r="D2968" s="1">
        <v>20000</v>
      </c>
      <c r="E2968" s="1"/>
      <c r="F2968" s="1">
        <v>222.81</v>
      </c>
      <c r="G2968" s="1">
        <v>20000</v>
      </c>
      <c r="H2968" s="5">
        <f t="shared" si="64"/>
        <v>0</v>
      </c>
      <c r="I2968" s="6"/>
      <c r="J2968" s="43"/>
      <c r="K2968" s="51"/>
      <c r="L2968" s="86"/>
    </row>
    <row r="2969" spans="1:12" ht="15" x14ac:dyDescent="0.25">
      <c r="A2969" s="1">
        <v>2960</v>
      </c>
      <c r="B2969" s="1" t="s">
        <v>419</v>
      </c>
      <c r="C2969" s="32" t="s">
        <v>63</v>
      </c>
      <c r="D2969" s="1">
        <v>3500</v>
      </c>
      <c r="E2969" s="1"/>
      <c r="F2969" s="1">
        <v>38.93</v>
      </c>
      <c r="G2969" s="1">
        <v>3500</v>
      </c>
      <c r="H2969" s="5">
        <f t="shared" si="64"/>
        <v>0</v>
      </c>
      <c r="I2969" s="6"/>
      <c r="J2969" s="43"/>
      <c r="K2969" s="51"/>
      <c r="L2969" s="86"/>
    </row>
    <row r="2970" spans="1:12" ht="15" x14ac:dyDescent="0.25">
      <c r="A2970" s="1">
        <v>2961</v>
      </c>
      <c r="B2970" s="1" t="s">
        <v>419</v>
      </c>
      <c r="C2970" s="32">
        <v>4772</v>
      </c>
      <c r="D2970" s="1">
        <v>22000</v>
      </c>
      <c r="E2970" s="1"/>
      <c r="F2970" s="1">
        <v>245</v>
      </c>
      <c r="G2970" s="1">
        <v>22000</v>
      </c>
      <c r="H2970" s="5">
        <f t="shared" si="64"/>
        <v>0</v>
      </c>
      <c r="I2970" s="6"/>
      <c r="J2970" s="43"/>
      <c r="K2970" s="51"/>
      <c r="L2970" s="86"/>
    </row>
    <row r="2971" spans="1:12" ht="15" x14ac:dyDescent="0.25">
      <c r="A2971" s="1">
        <v>2962</v>
      </c>
      <c r="B2971" s="1" t="s">
        <v>419</v>
      </c>
      <c r="C2971" s="32">
        <v>8797</v>
      </c>
      <c r="D2971" s="1">
        <v>24000</v>
      </c>
      <c r="E2971" s="1"/>
      <c r="F2971" s="1">
        <v>239</v>
      </c>
      <c r="G2971" s="1">
        <v>24000</v>
      </c>
      <c r="H2971" s="5">
        <f t="shared" si="64"/>
        <v>0</v>
      </c>
      <c r="I2971" s="6"/>
      <c r="J2971" s="43"/>
      <c r="K2971" s="51"/>
      <c r="L2971" s="86"/>
    </row>
    <row r="2972" spans="1:12" ht="15" x14ac:dyDescent="0.25">
      <c r="A2972" s="1">
        <v>2963</v>
      </c>
      <c r="B2972" s="1" t="s">
        <v>419</v>
      </c>
      <c r="C2972" s="32">
        <v>7192</v>
      </c>
      <c r="D2972" s="1">
        <v>13000</v>
      </c>
      <c r="E2972" s="1"/>
      <c r="F2972" s="1">
        <v>144.83000000000001</v>
      </c>
      <c r="G2972" s="1">
        <v>13000</v>
      </c>
      <c r="H2972" s="5">
        <f t="shared" si="64"/>
        <v>0</v>
      </c>
      <c r="I2972" s="6"/>
      <c r="J2972" s="43"/>
      <c r="K2972" s="51"/>
      <c r="L2972" s="86"/>
    </row>
    <row r="2973" spans="1:12" ht="15" x14ac:dyDescent="0.25">
      <c r="A2973" s="1">
        <v>2964</v>
      </c>
      <c r="B2973" s="1" t="s">
        <v>419</v>
      </c>
      <c r="C2973" s="32">
        <v>5259</v>
      </c>
      <c r="D2973" s="1">
        <v>13000</v>
      </c>
      <c r="E2973" s="1"/>
      <c r="F2973" s="1">
        <v>144.83000000000001</v>
      </c>
      <c r="G2973" s="1">
        <v>13000</v>
      </c>
      <c r="H2973" s="5">
        <f t="shared" si="64"/>
        <v>0</v>
      </c>
      <c r="I2973" s="6"/>
      <c r="J2973" s="43"/>
      <c r="K2973" s="51"/>
      <c r="L2973" s="86"/>
    </row>
    <row r="2974" spans="1:12" ht="15" x14ac:dyDescent="0.25">
      <c r="A2974" s="1">
        <v>2965</v>
      </c>
      <c r="B2974" s="1" t="s">
        <v>419</v>
      </c>
      <c r="C2974" s="32">
        <v>4643</v>
      </c>
      <c r="D2974" s="1">
        <v>32000</v>
      </c>
      <c r="E2974" s="1"/>
      <c r="F2974" s="1">
        <v>350</v>
      </c>
      <c r="G2974" s="1">
        <v>32000</v>
      </c>
      <c r="H2974" s="5">
        <f t="shared" si="64"/>
        <v>0</v>
      </c>
      <c r="I2974" s="6"/>
      <c r="J2974" s="43"/>
      <c r="K2974" s="51"/>
      <c r="L2974" s="86">
        <f>1256688-1222886</f>
        <v>33802</v>
      </c>
    </row>
    <row r="2975" spans="1:12" ht="15" x14ac:dyDescent="0.25">
      <c r="A2975" s="1">
        <v>2966</v>
      </c>
      <c r="B2975" s="1" t="s">
        <v>419</v>
      </c>
      <c r="C2975" s="32">
        <v>5.8500000000000003E-2</v>
      </c>
      <c r="D2975" s="1">
        <v>23000</v>
      </c>
      <c r="E2975" s="1"/>
      <c r="F2975" s="1">
        <v>256.22000000000003</v>
      </c>
      <c r="G2975" s="1">
        <v>23000</v>
      </c>
      <c r="H2975" s="5">
        <f t="shared" si="64"/>
        <v>0</v>
      </c>
      <c r="I2975" s="6"/>
      <c r="J2975" s="43"/>
      <c r="K2975" s="51"/>
      <c r="L2975" s="86"/>
    </row>
    <row r="2976" spans="1:12" ht="15" x14ac:dyDescent="0.25">
      <c r="A2976" s="1">
        <v>2967</v>
      </c>
      <c r="B2976" s="1" t="s">
        <v>419</v>
      </c>
      <c r="C2976" s="32">
        <v>7116</v>
      </c>
      <c r="D2976" s="1">
        <v>17090</v>
      </c>
      <c r="E2976" s="1"/>
      <c r="F2976" s="1">
        <v>190.25</v>
      </c>
      <c r="G2976" s="1">
        <v>17090</v>
      </c>
      <c r="H2976" s="5">
        <f t="shared" si="64"/>
        <v>0</v>
      </c>
      <c r="I2976" s="6"/>
      <c r="J2976" s="43"/>
      <c r="K2976" s="51"/>
      <c r="L2976" s="86"/>
    </row>
    <row r="2977" spans="1:12" ht="15" x14ac:dyDescent="0.25">
      <c r="A2977" s="1">
        <v>2968</v>
      </c>
      <c r="B2977" s="1" t="s">
        <v>419</v>
      </c>
      <c r="C2977" s="32">
        <v>5485</v>
      </c>
      <c r="D2977" s="1">
        <v>28000</v>
      </c>
      <c r="E2977" s="1"/>
      <c r="F2977" s="1">
        <v>300.8</v>
      </c>
      <c r="G2977" s="1">
        <v>28000</v>
      </c>
      <c r="H2977" s="5">
        <f t="shared" si="64"/>
        <v>0</v>
      </c>
      <c r="I2977" s="6"/>
      <c r="J2977" s="43"/>
      <c r="K2977" s="51"/>
      <c r="L2977" s="86"/>
    </row>
    <row r="2978" spans="1:12" ht="15" x14ac:dyDescent="0.25">
      <c r="A2978" s="1">
        <v>2969</v>
      </c>
      <c r="B2978" s="1" t="s">
        <v>419</v>
      </c>
      <c r="C2978" s="32">
        <v>4690</v>
      </c>
      <c r="D2978" s="1">
        <v>31000</v>
      </c>
      <c r="E2978" s="1"/>
      <c r="F2978" s="1">
        <v>323</v>
      </c>
      <c r="G2978" s="1">
        <v>31000</v>
      </c>
      <c r="H2978" s="5">
        <f t="shared" si="64"/>
        <v>0</v>
      </c>
      <c r="I2978" s="6"/>
      <c r="J2978" s="43"/>
      <c r="K2978" s="51"/>
      <c r="L2978" s="86"/>
    </row>
    <row r="2979" spans="1:12" ht="15" x14ac:dyDescent="0.25">
      <c r="A2979" s="1">
        <v>2970</v>
      </c>
      <c r="B2979" s="1" t="s">
        <v>419</v>
      </c>
      <c r="C2979" s="32">
        <v>8218</v>
      </c>
      <c r="D2979" s="1">
        <v>33000</v>
      </c>
      <c r="E2979" s="1"/>
      <c r="F2979" s="1">
        <v>367.23</v>
      </c>
      <c r="G2979" s="1">
        <v>33000</v>
      </c>
      <c r="H2979" s="5">
        <f t="shared" si="64"/>
        <v>0</v>
      </c>
      <c r="I2979" s="6"/>
      <c r="J2979" s="43"/>
      <c r="K2979" s="51"/>
      <c r="L2979" s="86"/>
    </row>
    <row r="2980" spans="1:12" ht="15" x14ac:dyDescent="0.25">
      <c r="A2980" s="1">
        <v>2971</v>
      </c>
      <c r="B2980" s="1" t="s">
        <v>422</v>
      </c>
      <c r="C2980" s="32">
        <v>2.58E-2</v>
      </c>
      <c r="D2980" s="1">
        <v>19000</v>
      </c>
      <c r="E2980" s="1"/>
      <c r="F2980" s="1">
        <v>211.67</v>
      </c>
      <c r="G2980" s="1">
        <v>19000</v>
      </c>
      <c r="H2980" s="5">
        <f t="shared" si="64"/>
        <v>0</v>
      </c>
      <c r="I2980" s="6"/>
      <c r="J2980" s="43"/>
      <c r="K2980" s="51"/>
      <c r="L2980" s="86"/>
    </row>
    <row r="2981" spans="1:12" ht="15" x14ac:dyDescent="0.25">
      <c r="A2981" s="1">
        <v>2972</v>
      </c>
      <c r="B2981" s="1" t="s">
        <v>422</v>
      </c>
      <c r="C2981" s="32">
        <v>9250</v>
      </c>
      <c r="D2981" s="1">
        <v>24000</v>
      </c>
      <c r="E2981" s="1"/>
      <c r="F2981" s="1">
        <v>267.33</v>
      </c>
      <c r="G2981" s="1">
        <v>24000</v>
      </c>
      <c r="H2981" s="5">
        <f t="shared" si="64"/>
        <v>0</v>
      </c>
      <c r="I2981" s="6"/>
      <c r="J2981" s="43"/>
      <c r="K2981" s="51"/>
      <c r="L2981" s="86"/>
    </row>
    <row r="2982" spans="1:12" ht="15" x14ac:dyDescent="0.25">
      <c r="A2982" s="1">
        <v>2973</v>
      </c>
      <c r="B2982" s="1" t="s">
        <v>422</v>
      </c>
      <c r="C2982" s="32">
        <v>9998</v>
      </c>
      <c r="D2982" s="1">
        <v>17000</v>
      </c>
      <c r="E2982" s="1"/>
      <c r="F2982" s="1">
        <v>189.39</v>
      </c>
      <c r="G2982" s="1">
        <v>17000</v>
      </c>
      <c r="H2982" s="5">
        <f t="shared" si="64"/>
        <v>0</v>
      </c>
      <c r="I2982" s="6"/>
      <c r="J2982" s="43"/>
      <c r="K2982" s="51"/>
      <c r="L2982" s="86"/>
    </row>
    <row r="2983" spans="1:12" ht="15" x14ac:dyDescent="0.25">
      <c r="A2983" s="1">
        <v>2974</v>
      </c>
      <c r="B2983" s="1" t="s">
        <v>422</v>
      </c>
      <c r="C2983" s="32">
        <v>4282</v>
      </c>
      <c r="D2983" s="1">
        <v>16000</v>
      </c>
      <c r="E2983" s="1"/>
      <c r="F2983" s="1">
        <v>178.25</v>
      </c>
      <c r="G2983" s="1">
        <v>16000</v>
      </c>
      <c r="H2983" s="5">
        <f t="shared" si="64"/>
        <v>0</v>
      </c>
      <c r="I2983" s="6"/>
      <c r="J2983" s="43"/>
      <c r="K2983" s="51"/>
      <c r="L2983" s="86"/>
    </row>
    <row r="2984" spans="1:12" ht="15" x14ac:dyDescent="0.25">
      <c r="A2984" s="1">
        <v>2975</v>
      </c>
      <c r="B2984" s="1" t="s">
        <v>422</v>
      </c>
      <c r="C2984" s="32">
        <v>7171</v>
      </c>
      <c r="D2984" s="1">
        <v>20000</v>
      </c>
      <c r="E2984" s="1"/>
      <c r="F2984" s="1">
        <v>222.82</v>
      </c>
      <c r="G2984" s="1">
        <v>20000</v>
      </c>
      <c r="H2984" s="5">
        <f t="shared" si="64"/>
        <v>0</v>
      </c>
      <c r="I2984" s="6"/>
      <c r="J2984" s="43"/>
      <c r="K2984" s="51"/>
      <c r="L2984" s="86"/>
    </row>
    <row r="2985" spans="1:12" ht="15" x14ac:dyDescent="0.25">
      <c r="A2985" s="1">
        <v>2976</v>
      </c>
      <c r="B2985" s="1" t="s">
        <v>422</v>
      </c>
      <c r="C2985" s="32" t="s">
        <v>30</v>
      </c>
      <c r="D2985" s="1">
        <v>4500</v>
      </c>
      <c r="E2985" s="1"/>
      <c r="F2985" s="1">
        <v>50.13</v>
      </c>
      <c r="G2985" s="1">
        <v>4500</v>
      </c>
      <c r="H2985" s="5">
        <f t="shared" si="64"/>
        <v>0</v>
      </c>
      <c r="I2985" s="6"/>
      <c r="J2985" s="43"/>
      <c r="K2985" s="51"/>
      <c r="L2985" s="86"/>
    </row>
    <row r="2986" spans="1:12" ht="15" x14ac:dyDescent="0.25">
      <c r="A2986" s="1">
        <v>2977</v>
      </c>
      <c r="B2986" s="1" t="s">
        <v>422</v>
      </c>
      <c r="C2986" s="32">
        <v>1543</v>
      </c>
      <c r="D2986" s="1">
        <v>21000</v>
      </c>
      <c r="E2986" s="1"/>
      <c r="F2986" s="1">
        <v>233</v>
      </c>
      <c r="G2986" s="1">
        <v>21000</v>
      </c>
      <c r="H2986" s="5">
        <f t="shared" si="64"/>
        <v>0</v>
      </c>
      <c r="I2986" s="6"/>
      <c r="J2986" s="43"/>
      <c r="K2986" s="51"/>
      <c r="L2986" s="86"/>
    </row>
    <row r="2987" spans="1:12" ht="15" x14ac:dyDescent="0.25">
      <c r="A2987" s="1">
        <v>2978</v>
      </c>
      <c r="B2987" s="1" t="s">
        <v>422</v>
      </c>
      <c r="C2987" s="32">
        <v>4643</v>
      </c>
      <c r="D2987" s="1">
        <v>30000</v>
      </c>
      <c r="E2987" s="1"/>
      <c r="F2987" s="1">
        <v>334.22</v>
      </c>
      <c r="G2987" s="1">
        <v>30000</v>
      </c>
      <c r="H2987" s="5">
        <f t="shared" si="64"/>
        <v>0</v>
      </c>
      <c r="I2987" s="6"/>
      <c r="J2987" s="43"/>
      <c r="K2987" s="51"/>
      <c r="L2987" s="86"/>
    </row>
    <row r="2988" spans="1:12" ht="15" x14ac:dyDescent="0.25">
      <c r="A2988" s="1">
        <v>2979</v>
      </c>
      <c r="B2988" s="1" t="s">
        <v>422</v>
      </c>
      <c r="C2988" s="32">
        <v>4463</v>
      </c>
      <c r="D2988" s="1">
        <v>10000</v>
      </c>
      <c r="E2988" s="1"/>
      <c r="F2988" s="1">
        <v>111.41</v>
      </c>
      <c r="G2988" s="1">
        <v>10000</v>
      </c>
      <c r="H2988" s="5">
        <f t="shared" si="64"/>
        <v>0</v>
      </c>
      <c r="I2988" s="6"/>
      <c r="J2988" s="43"/>
      <c r="K2988" s="51"/>
      <c r="L2988" s="86"/>
    </row>
    <row r="2989" spans="1:12" ht="15" x14ac:dyDescent="0.25">
      <c r="A2989" s="1">
        <v>2980</v>
      </c>
      <c r="B2989" s="1" t="s">
        <v>422</v>
      </c>
      <c r="C2989" s="32">
        <v>4713</v>
      </c>
      <c r="D2989" s="1">
        <v>20000</v>
      </c>
      <c r="E2989" s="1"/>
      <c r="F2989" s="1">
        <v>222.82</v>
      </c>
      <c r="G2989" s="1">
        <v>20000</v>
      </c>
      <c r="H2989" s="5">
        <f t="shared" si="64"/>
        <v>0</v>
      </c>
      <c r="I2989" s="6"/>
      <c r="J2989" s="43"/>
      <c r="K2989" s="51"/>
      <c r="L2989" s="86"/>
    </row>
    <row r="2990" spans="1:12" ht="15" x14ac:dyDescent="0.25">
      <c r="A2990" s="1">
        <v>2981</v>
      </c>
      <c r="B2990" s="1" t="s">
        <v>422</v>
      </c>
      <c r="C2990" s="32">
        <v>7544</v>
      </c>
      <c r="D2990" s="1">
        <v>32000</v>
      </c>
      <c r="E2990" s="1"/>
      <c r="F2990" s="1">
        <v>332.84</v>
      </c>
      <c r="G2990" s="1">
        <v>32000</v>
      </c>
      <c r="H2990" s="5">
        <f t="shared" si="64"/>
        <v>0</v>
      </c>
      <c r="I2990" s="6"/>
      <c r="J2990" s="43"/>
      <c r="K2990" s="51"/>
      <c r="L2990" s="86"/>
    </row>
    <row r="2991" spans="1:12" ht="15" x14ac:dyDescent="0.25">
      <c r="A2991" s="1">
        <v>2982</v>
      </c>
      <c r="B2991" s="1" t="s">
        <v>422</v>
      </c>
      <c r="C2991" s="32">
        <v>8665</v>
      </c>
      <c r="D2991" s="1">
        <v>24000</v>
      </c>
      <c r="E2991" s="1"/>
      <c r="F2991" s="1">
        <v>265.72000000000003</v>
      </c>
      <c r="G2991" s="1">
        <v>24000</v>
      </c>
      <c r="H2991" s="5">
        <f t="shared" si="64"/>
        <v>0</v>
      </c>
      <c r="I2991" s="6"/>
      <c r="J2991" s="43"/>
      <c r="K2991" s="51"/>
      <c r="L2991" s="86"/>
    </row>
    <row r="2992" spans="1:12" ht="15" x14ac:dyDescent="0.25">
      <c r="A2992" s="1">
        <v>2983</v>
      </c>
      <c r="B2992" s="1" t="s">
        <v>422</v>
      </c>
      <c r="C2992" s="32">
        <v>5278</v>
      </c>
      <c r="D2992" s="1">
        <v>21000</v>
      </c>
      <c r="E2992" s="1"/>
      <c r="F2992" s="1">
        <v>233.38</v>
      </c>
      <c r="G2992" s="1">
        <v>21000</v>
      </c>
      <c r="H2992" s="5">
        <f t="shared" si="64"/>
        <v>0</v>
      </c>
      <c r="I2992" s="6"/>
      <c r="J2992" s="43"/>
      <c r="K2992" s="51"/>
      <c r="L2992" s="86"/>
    </row>
    <row r="2993" spans="1:13" ht="15" x14ac:dyDescent="0.25">
      <c r="A2993" s="1">
        <v>2984</v>
      </c>
      <c r="B2993" s="1" t="s">
        <v>422</v>
      </c>
      <c r="C2993" s="32">
        <v>6252</v>
      </c>
      <c r="D2993" s="1">
        <v>23000</v>
      </c>
      <c r="E2993" s="1"/>
      <c r="F2993" s="1">
        <v>256</v>
      </c>
      <c r="G2993" s="1">
        <v>23000</v>
      </c>
      <c r="H2993" s="5">
        <f t="shared" si="64"/>
        <v>0</v>
      </c>
      <c r="I2993" s="6"/>
      <c r="J2993" s="43"/>
      <c r="K2993" s="51"/>
      <c r="L2993" s="86"/>
      <c r="M2993">
        <f>4793-4179</f>
        <v>614</v>
      </c>
    </row>
    <row r="2994" spans="1:13" ht="15" x14ac:dyDescent="0.25">
      <c r="A2994" s="1">
        <v>2985</v>
      </c>
      <c r="B2994" s="1" t="s">
        <v>422</v>
      </c>
      <c r="C2994" s="32">
        <v>9389</v>
      </c>
      <c r="D2994" s="1">
        <v>27000</v>
      </c>
      <c r="E2994" s="1"/>
      <c r="F2994" s="1">
        <v>300.25</v>
      </c>
      <c r="G2994" s="1">
        <v>27000</v>
      </c>
      <c r="H2994" s="5">
        <f t="shared" si="64"/>
        <v>0</v>
      </c>
      <c r="I2994" s="6"/>
      <c r="J2994" s="43"/>
      <c r="K2994" s="51"/>
      <c r="L2994" s="86">
        <f>1468269-1463476</f>
        <v>4793</v>
      </c>
      <c r="M2994">
        <v>4179</v>
      </c>
    </row>
    <row r="2995" spans="1:13" ht="15" x14ac:dyDescent="0.25">
      <c r="A2995" s="1">
        <v>2986</v>
      </c>
      <c r="B2995" s="1" t="s">
        <v>424</v>
      </c>
      <c r="C2995" s="32">
        <v>3673</v>
      </c>
      <c r="D2995" s="1">
        <v>31000</v>
      </c>
      <c r="E2995" s="1"/>
      <c r="F2995" s="1">
        <v>345</v>
      </c>
      <c r="G2995" s="1">
        <v>31000</v>
      </c>
      <c r="H2995" s="5">
        <f t="shared" si="64"/>
        <v>0</v>
      </c>
      <c r="I2995" s="6"/>
      <c r="J2995" s="43"/>
      <c r="K2995" s="51"/>
      <c r="L2995" s="86"/>
    </row>
    <row r="2996" spans="1:13" ht="15" x14ac:dyDescent="0.25">
      <c r="A2996" s="1">
        <v>2987</v>
      </c>
      <c r="B2996" s="1" t="s">
        <v>424</v>
      </c>
      <c r="C2996" s="32">
        <v>3537</v>
      </c>
      <c r="D2996" s="1">
        <v>23000</v>
      </c>
      <c r="E2996" s="1"/>
      <c r="F2996" s="1">
        <v>256.25</v>
      </c>
      <c r="G2996" s="1">
        <v>23000</v>
      </c>
      <c r="H2996" s="5">
        <f t="shared" si="64"/>
        <v>0</v>
      </c>
      <c r="I2996" s="6"/>
      <c r="J2996" s="43"/>
      <c r="K2996" s="51"/>
      <c r="L2996" s="86"/>
    </row>
    <row r="2997" spans="1:13" ht="15" x14ac:dyDescent="0.25">
      <c r="A2997" s="1">
        <v>2988</v>
      </c>
      <c r="B2997" s="1" t="s">
        <v>424</v>
      </c>
      <c r="C2997" s="32">
        <v>9330</v>
      </c>
      <c r="D2997" s="1">
        <v>17000</v>
      </c>
      <c r="E2997" s="1"/>
      <c r="F2997" s="1">
        <v>189</v>
      </c>
      <c r="G2997" s="1">
        <v>17000</v>
      </c>
      <c r="H2997" s="5">
        <f t="shared" si="64"/>
        <v>0</v>
      </c>
      <c r="I2997" s="6"/>
      <c r="J2997" s="43"/>
      <c r="K2997" s="51"/>
      <c r="L2997" s="86"/>
    </row>
    <row r="2998" spans="1:13" ht="15" x14ac:dyDescent="0.25">
      <c r="A2998" s="1">
        <v>2989</v>
      </c>
      <c r="B2998" s="1" t="s">
        <v>424</v>
      </c>
      <c r="C2998" s="32">
        <v>2067</v>
      </c>
      <c r="D2998" s="1">
        <v>14000</v>
      </c>
      <c r="E2998" s="1"/>
      <c r="F2998" s="1">
        <v>155</v>
      </c>
      <c r="G2998" s="1">
        <v>14000</v>
      </c>
      <c r="H2998" s="5">
        <f t="shared" si="64"/>
        <v>0</v>
      </c>
      <c r="I2998" s="6"/>
      <c r="J2998" s="43"/>
      <c r="K2998" s="51"/>
      <c r="L2998" s="86"/>
    </row>
    <row r="2999" spans="1:13" ht="15" x14ac:dyDescent="0.25">
      <c r="A2999" s="1">
        <v>2990</v>
      </c>
      <c r="B2999" s="1" t="s">
        <v>424</v>
      </c>
      <c r="C2999" s="32">
        <v>3773</v>
      </c>
      <c r="D2999" s="1">
        <v>13000</v>
      </c>
      <c r="E2999" s="1"/>
      <c r="F2999" s="1">
        <v>144.13</v>
      </c>
      <c r="G2999" s="1">
        <v>13000</v>
      </c>
      <c r="H2999" s="5">
        <f t="shared" si="64"/>
        <v>0</v>
      </c>
      <c r="I2999" s="6"/>
      <c r="J2999" s="43"/>
      <c r="K2999" s="51"/>
      <c r="L2999" s="86"/>
    </row>
    <row r="3000" spans="1:13" ht="15" x14ac:dyDescent="0.25">
      <c r="A3000" s="1">
        <v>2991</v>
      </c>
      <c r="B3000" s="1" t="s">
        <v>424</v>
      </c>
      <c r="C3000" s="32">
        <v>5958</v>
      </c>
      <c r="D3000" s="1">
        <v>15000</v>
      </c>
      <c r="E3000" s="1"/>
      <c r="F3000" s="1">
        <v>167.33</v>
      </c>
      <c r="G3000" s="1">
        <v>15000</v>
      </c>
      <c r="H3000" s="5">
        <f t="shared" si="64"/>
        <v>0</v>
      </c>
      <c r="I3000" s="6"/>
      <c r="J3000" s="43"/>
      <c r="K3000" s="51"/>
      <c r="L3000" s="86"/>
    </row>
    <row r="3001" spans="1:13" ht="15" x14ac:dyDescent="0.25">
      <c r="A3001" s="1">
        <v>2992</v>
      </c>
      <c r="B3001" s="1" t="s">
        <v>424</v>
      </c>
      <c r="C3001" s="32">
        <v>2973</v>
      </c>
      <c r="D3001" s="1">
        <v>16000</v>
      </c>
      <c r="E3001" s="1"/>
      <c r="F3001" s="1">
        <v>178.22</v>
      </c>
      <c r="G3001" s="1">
        <v>16000</v>
      </c>
      <c r="H3001" s="5">
        <f t="shared" si="64"/>
        <v>0</v>
      </c>
      <c r="I3001" s="6"/>
      <c r="J3001" s="43"/>
      <c r="K3001" s="51"/>
      <c r="L3001" s="86"/>
    </row>
    <row r="3002" spans="1:13" ht="15" x14ac:dyDescent="0.25">
      <c r="A3002" s="1">
        <v>2993</v>
      </c>
      <c r="B3002" s="1" t="s">
        <v>424</v>
      </c>
      <c r="C3002" s="32">
        <v>1.2699999999999999E-2</v>
      </c>
      <c r="D3002" s="1">
        <v>17000</v>
      </c>
      <c r="E3002" s="1"/>
      <c r="F3002" s="1">
        <v>189.32</v>
      </c>
      <c r="G3002" s="1">
        <v>17000</v>
      </c>
      <c r="H3002" s="5">
        <f t="shared" si="64"/>
        <v>0</v>
      </c>
      <c r="I3002" s="6"/>
      <c r="J3002" s="43"/>
      <c r="K3002" s="51"/>
      <c r="L3002" s="86"/>
    </row>
    <row r="3003" spans="1:13" ht="15" x14ac:dyDescent="0.25">
      <c r="A3003" s="1">
        <v>2994</v>
      </c>
      <c r="B3003" s="1" t="s">
        <v>424</v>
      </c>
      <c r="C3003" s="32">
        <v>5.1000000000000004E-3</v>
      </c>
      <c r="D3003" s="1">
        <v>16000</v>
      </c>
      <c r="E3003" s="1"/>
      <c r="F3003" s="1">
        <v>178.22</v>
      </c>
      <c r="G3003" s="1">
        <v>16000</v>
      </c>
      <c r="H3003" s="5">
        <f t="shared" si="64"/>
        <v>0</v>
      </c>
      <c r="I3003" s="6"/>
      <c r="J3003" s="43"/>
      <c r="K3003" s="51"/>
      <c r="L3003" s="86"/>
    </row>
    <row r="3004" spans="1:13" ht="15" x14ac:dyDescent="0.25">
      <c r="A3004" s="1">
        <v>2995</v>
      </c>
      <c r="B3004" s="1" t="s">
        <v>424</v>
      </c>
      <c r="C3004" s="32">
        <v>6671</v>
      </c>
      <c r="D3004" s="1">
        <v>15490</v>
      </c>
      <c r="E3004" s="1"/>
      <c r="F3004" s="1">
        <v>172.12</v>
      </c>
      <c r="G3004" s="1">
        <v>15490</v>
      </c>
      <c r="H3004" s="5">
        <f t="shared" si="64"/>
        <v>0</v>
      </c>
      <c r="I3004" s="6"/>
      <c r="J3004" s="43"/>
      <c r="K3004" s="51"/>
      <c r="L3004" s="86"/>
    </row>
    <row r="3005" spans="1:13" ht="15" x14ac:dyDescent="0.25">
      <c r="A3005" s="1">
        <v>2996</v>
      </c>
      <c r="B3005" s="1" t="s">
        <v>424</v>
      </c>
      <c r="C3005" s="32" t="s">
        <v>30</v>
      </c>
      <c r="D3005" s="1">
        <v>5000</v>
      </c>
      <c r="E3005" s="1"/>
      <c r="F3005" s="1">
        <v>55.13</v>
      </c>
      <c r="G3005" s="1">
        <v>5000</v>
      </c>
      <c r="H3005" s="5">
        <f t="shared" si="64"/>
        <v>0</v>
      </c>
      <c r="I3005" s="6"/>
      <c r="J3005" s="43"/>
      <c r="K3005" s="51"/>
      <c r="L3005" s="86"/>
    </row>
    <row r="3006" spans="1:13" ht="15" x14ac:dyDescent="0.25">
      <c r="A3006" s="1">
        <v>2997</v>
      </c>
      <c r="B3006" s="1" t="s">
        <v>424</v>
      </c>
      <c r="C3006" s="32">
        <v>7071</v>
      </c>
      <c r="D3006" s="1">
        <v>14000</v>
      </c>
      <c r="E3006" s="1"/>
      <c r="F3006" s="1">
        <v>155.27000000000001</v>
      </c>
      <c r="G3006" s="1">
        <v>14000</v>
      </c>
      <c r="H3006" s="5">
        <f t="shared" si="64"/>
        <v>0</v>
      </c>
      <c r="I3006" s="6"/>
      <c r="J3006" s="43"/>
      <c r="K3006" s="51"/>
      <c r="L3006" s="86"/>
    </row>
    <row r="3007" spans="1:13" ht="15" x14ac:dyDescent="0.25">
      <c r="A3007" s="1">
        <v>2998</v>
      </c>
      <c r="B3007" s="1" t="s">
        <v>424</v>
      </c>
      <c r="C3007" s="32">
        <v>2673</v>
      </c>
      <c r="D3007" s="1">
        <v>15000</v>
      </c>
      <c r="E3007" s="1"/>
      <c r="F3007" s="1">
        <v>167.33</v>
      </c>
      <c r="G3007" s="1">
        <v>15000</v>
      </c>
      <c r="H3007" s="5">
        <f t="shared" si="64"/>
        <v>0</v>
      </c>
      <c r="I3007" s="6"/>
      <c r="J3007" s="43"/>
      <c r="K3007" s="51"/>
      <c r="L3007" s="86"/>
    </row>
    <row r="3008" spans="1:13" ht="15" x14ac:dyDescent="0.25">
      <c r="A3008" s="1">
        <v>2999</v>
      </c>
      <c r="B3008" s="1" t="s">
        <v>424</v>
      </c>
      <c r="C3008" s="32" t="s">
        <v>66</v>
      </c>
      <c r="D3008" s="1">
        <v>210</v>
      </c>
      <c r="E3008" s="1"/>
      <c r="F3008" s="1">
        <v>2.06</v>
      </c>
      <c r="G3008" s="1">
        <v>210</v>
      </c>
      <c r="H3008" s="5">
        <f t="shared" si="64"/>
        <v>0</v>
      </c>
      <c r="I3008" s="6"/>
      <c r="J3008" s="43"/>
      <c r="K3008" s="51"/>
      <c r="L3008" s="86"/>
    </row>
    <row r="3009" spans="1:14" ht="15" x14ac:dyDescent="0.25">
      <c r="A3009" s="1">
        <v>3000</v>
      </c>
      <c r="B3009" s="1" t="s">
        <v>424</v>
      </c>
      <c r="C3009" s="32">
        <v>8696</v>
      </c>
      <c r="D3009" s="1">
        <v>30000</v>
      </c>
      <c r="E3009" s="1"/>
      <c r="F3009" s="1">
        <v>334.25</v>
      </c>
      <c r="G3009" s="1">
        <v>30000</v>
      </c>
      <c r="H3009" s="5">
        <f t="shared" si="64"/>
        <v>0</v>
      </c>
      <c r="I3009" s="6"/>
      <c r="J3009" s="43"/>
      <c r="K3009" s="51"/>
      <c r="L3009" s="86"/>
    </row>
    <row r="3010" spans="1:14" ht="15" x14ac:dyDescent="0.25">
      <c r="A3010" s="1">
        <v>3001</v>
      </c>
      <c r="B3010" s="1" t="s">
        <v>424</v>
      </c>
      <c r="C3010" s="32">
        <v>2522</v>
      </c>
      <c r="D3010" s="1">
        <v>30000</v>
      </c>
      <c r="E3010" s="1"/>
      <c r="F3010" s="1">
        <v>334.25</v>
      </c>
      <c r="G3010" s="1">
        <v>30000</v>
      </c>
      <c r="H3010" s="5">
        <f t="shared" si="64"/>
        <v>0</v>
      </c>
      <c r="I3010" s="6"/>
      <c r="J3010" s="43"/>
      <c r="K3010" s="51"/>
      <c r="L3010" s="86"/>
    </row>
    <row r="3011" spans="1:14" ht="15" x14ac:dyDescent="0.25">
      <c r="A3011" s="1">
        <v>3002</v>
      </c>
      <c r="B3011" s="1" t="s">
        <v>424</v>
      </c>
      <c r="C3011" s="32">
        <v>4738</v>
      </c>
      <c r="D3011" s="1">
        <v>25000</v>
      </c>
      <c r="E3011" s="1"/>
      <c r="F3011" s="1">
        <v>272.22000000000003</v>
      </c>
      <c r="G3011" s="1">
        <v>25000</v>
      </c>
      <c r="H3011" s="5">
        <f t="shared" si="64"/>
        <v>0</v>
      </c>
      <c r="I3011" s="6"/>
      <c r="J3011" s="43"/>
      <c r="K3011" s="51"/>
      <c r="L3011" s="86"/>
    </row>
    <row r="3012" spans="1:14" ht="15" x14ac:dyDescent="0.25">
      <c r="A3012" s="1">
        <v>3003</v>
      </c>
      <c r="B3012" s="1" t="s">
        <v>424</v>
      </c>
      <c r="C3012" s="32">
        <v>8956</v>
      </c>
      <c r="D3012" s="1">
        <v>19000</v>
      </c>
      <c r="E3012" s="1"/>
      <c r="F3012" s="1">
        <v>211.23</v>
      </c>
      <c r="G3012" s="1">
        <v>19000</v>
      </c>
      <c r="H3012" s="5">
        <f t="shared" si="64"/>
        <v>0</v>
      </c>
      <c r="I3012" s="6"/>
      <c r="J3012" s="43"/>
      <c r="K3012" s="51"/>
      <c r="L3012" s="86"/>
    </row>
    <row r="3013" spans="1:14" ht="15" x14ac:dyDescent="0.25">
      <c r="A3013" s="1">
        <v>3004</v>
      </c>
      <c r="B3013" s="1" t="s">
        <v>424</v>
      </c>
      <c r="C3013" s="32">
        <v>6640</v>
      </c>
      <c r="D3013" s="1">
        <v>25000</v>
      </c>
      <c r="E3013" s="1"/>
      <c r="F3013" s="1">
        <v>278.22000000000003</v>
      </c>
      <c r="G3013" s="1">
        <v>25000</v>
      </c>
      <c r="H3013" s="5">
        <f t="shared" si="64"/>
        <v>0</v>
      </c>
      <c r="I3013" s="6"/>
      <c r="J3013" s="43"/>
      <c r="K3013" s="51"/>
      <c r="L3013" s="86"/>
    </row>
    <row r="3014" spans="1:14" ht="15" x14ac:dyDescent="0.25">
      <c r="A3014" s="1">
        <v>3005</v>
      </c>
      <c r="B3014" s="1" t="s">
        <v>424</v>
      </c>
      <c r="C3014" s="32">
        <v>3613</v>
      </c>
      <c r="D3014" s="1">
        <v>27849</v>
      </c>
      <c r="E3014" s="1"/>
      <c r="F3014" s="1">
        <v>310.45</v>
      </c>
      <c r="G3014" s="1">
        <v>27849</v>
      </c>
      <c r="H3014" s="5">
        <f t="shared" si="64"/>
        <v>0</v>
      </c>
      <c r="I3014" s="6"/>
      <c r="J3014" s="43"/>
      <c r="K3014" s="51"/>
      <c r="L3014" s="86"/>
    </row>
    <row r="3015" spans="1:14" ht="15" x14ac:dyDescent="0.25">
      <c r="A3015" s="1">
        <v>3006</v>
      </c>
      <c r="B3015" s="1" t="s">
        <v>424</v>
      </c>
      <c r="C3015" s="32">
        <v>4138</v>
      </c>
      <c r="D3015" s="1">
        <v>34000</v>
      </c>
      <c r="E3015" s="1"/>
      <c r="F3015" s="1">
        <v>378.22</v>
      </c>
      <c r="G3015" s="1">
        <v>34000</v>
      </c>
      <c r="H3015" s="5">
        <f t="shared" si="64"/>
        <v>0</v>
      </c>
      <c r="I3015" s="6"/>
      <c r="J3015" s="43"/>
      <c r="K3015" s="51"/>
      <c r="L3015" s="86"/>
    </row>
    <row r="3016" spans="1:14" ht="15" x14ac:dyDescent="0.25">
      <c r="A3016" s="1">
        <v>3007</v>
      </c>
      <c r="B3016" s="1" t="s">
        <v>424</v>
      </c>
      <c r="C3016" s="32">
        <v>2989</v>
      </c>
      <c r="D3016" s="1">
        <v>27000</v>
      </c>
      <c r="E3016" s="1"/>
      <c r="F3016" s="1">
        <v>300.8</v>
      </c>
      <c r="G3016" s="1">
        <v>27000</v>
      </c>
      <c r="H3016" s="5">
        <f t="shared" si="64"/>
        <v>0</v>
      </c>
      <c r="I3016" s="6"/>
      <c r="J3016" s="43"/>
      <c r="K3016" s="51"/>
      <c r="L3016" s="86">
        <f>1598493-1593025</f>
        <v>5468</v>
      </c>
      <c r="M3016" s="45" t="s">
        <v>425</v>
      </c>
      <c r="N3016">
        <f>4853-5468</f>
        <v>-615</v>
      </c>
    </row>
    <row r="3017" spans="1:14" ht="15" x14ac:dyDescent="0.25">
      <c r="A3017" s="1">
        <v>3008</v>
      </c>
      <c r="B3017" s="1" t="s">
        <v>426</v>
      </c>
      <c r="C3017" s="32" t="s">
        <v>30</v>
      </c>
      <c r="D3017" s="1">
        <v>4500</v>
      </c>
      <c r="E3017" s="1"/>
      <c r="F3017" s="1">
        <v>50.13</v>
      </c>
      <c r="G3017" s="1">
        <v>4500</v>
      </c>
      <c r="H3017" s="5">
        <f t="shared" si="64"/>
        <v>0</v>
      </c>
      <c r="I3017" s="6"/>
      <c r="J3017" s="43"/>
      <c r="K3017" s="51"/>
      <c r="L3017" s="86"/>
      <c r="M3017" s="45"/>
    </row>
    <row r="3018" spans="1:14" ht="15" x14ac:dyDescent="0.25">
      <c r="A3018" s="1">
        <v>3009</v>
      </c>
      <c r="B3018" s="1" t="s">
        <v>426</v>
      </c>
      <c r="C3018" s="32">
        <v>7444</v>
      </c>
      <c r="D3018" s="1">
        <v>29000</v>
      </c>
      <c r="E3018" s="1"/>
      <c r="F3018" s="1">
        <v>303.25</v>
      </c>
      <c r="G3018" s="1">
        <v>29000</v>
      </c>
      <c r="H3018" s="5">
        <f t="shared" si="64"/>
        <v>0</v>
      </c>
      <c r="I3018" s="6"/>
      <c r="J3018" s="43"/>
      <c r="K3018" s="51"/>
      <c r="L3018" s="86"/>
      <c r="M3018" s="45"/>
    </row>
    <row r="3019" spans="1:14" ht="15" x14ac:dyDescent="0.25">
      <c r="A3019" s="1">
        <v>3010</v>
      </c>
      <c r="B3019" s="1" t="s">
        <v>426</v>
      </c>
      <c r="C3019" s="32">
        <v>6461</v>
      </c>
      <c r="D3019" s="1">
        <v>30000</v>
      </c>
      <c r="E3019" s="1"/>
      <c r="F3019" s="1">
        <v>334.25</v>
      </c>
      <c r="G3019" s="1">
        <v>30000</v>
      </c>
      <c r="H3019" s="5">
        <f t="shared" si="64"/>
        <v>0</v>
      </c>
      <c r="I3019" s="6"/>
      <c r="J3019" s="43"/>
      <c r="K3019" s="51"/>
      <c r="L3019" s="86"/>
      <c r="M3019" s="45"/>
    </row>
    <row r="3020" spans="1:14" ht="15" x14ac:dyDescent="0.25">
      <c r="A3020" s="1">
        <v>3011</v>
      </c>
      <c r="B3020" s="1" t="s">
        <v>426</v>
      </c>
      <c r="C3020" s="32">
        <v>7491</v>
      </c>
      <c r="D3020" s="1">
        <v>30000</v>
      </c>
      <c r="E3020" s="1"/>
      <c r="F3020" s="1">
        <v>334.25</v>
      </c>
      <c r="G3020" s="1">
        <v>30000</v>
      </c>
      <c r="H3020" s="5">
        <f t="shared" si="64"/>
        <v>0</v>
      </c>
      <c r="I3020" s="6"/>
      <c r="J3020" s="43"/>
      <c r="K3020" s="51"/>
      <c r="L3020" s="86"/>
      <c r="M3020" s="45"/>
    </row>
    <row r="3021" spans="1:14" ht="15" x14ac:dyDescent="0.25">
      <c r="A3021" s="1">
        <v>3012</v>
      </c>
      <c r="B3021" s="1" t="s">
        <v>426</v>
      </c>
      <c r="C3021" s="32">
        <v>5553</v>
      </c>
      <c r="D3021" s="1">
        <v>30000</v>
      </c>
      <c r="E3021" s="1"/>
      <c r="F3021" s="1">
        <v>334.25</v>
      </c>
      <c r="G3021" s="1">
        <v>30000</v>
      </c>
      <c r="H3021" s="5">
        <f t="shared" si="64"/>
        <v>0</v>
      </c>
      <c r="I3021" s="6"/>
      <c r="J3021" s="43"/>
      <c r="K3021" s="51"/>
      <c r="L3021" s="86"/>
      <c r="M3021" s="45"/>
    </row>
    <row r="3022" spans="1:14" ht="15" x14ac:dyDescent="0.25">
      <c r="A3022" s="1">
        <v>3013</v>
      </c>
      <c r="B3022" s="1" t="s">
        <v>426</v>
      </c>
      <c r="C3022" s="32">
        <v>9906</v>
      </c>
      <c r="D3022" s="1">
        <v>15000</v>
      </c>
      <c r="E3022" s="1"/>
      <c r="F3022" s="1">
        <v>167.15</v>
      </c>
      <c r="G3022" s="1">
        <v>15000</v>
      </c>
      <c r="H3022" s="5">
        <f t="shared" si="64"/>
        <v>0</v>
      </c>
      <c r="I3022" s="6"/>
      <c r="J3022" s="43"/>
      <c r="K3022" s="51"/>
      <c r="L3022" s="86"/>
      <c r="M3022" s="45"/>
    </row>
    <row r="3023" spans="1:14" ht="15" x14ac:dyDescent="0.25">
      <c r="A3023" s="1">
        <v>3014</v>
      </c>
      <c r="B3023" s="1" t="s">
        <v>426</v>
      </c>
      <c r="C3023" s="32">
        <v>4282</v>
      </c>
      <c r="D3023" s="1">
        <v>16000</v>
      </c>
      <c r="E3023" s="1"/>
      <c r="F3023" s="1">
        <v>178.22</v>
      </c>
      <c r="G3023" s="1">
        <v>16000</v>
      </c>
      <c r="H3023" s="5">
        <f t="shared" si="64"/>
        <v>0</v>
      </c>
      <c r="I3023" s="6"/>
      <c r="J3023" s="43"/>
      <c r="K3023" s="51"/>
      <c r="L3023" s="86"/>
      <c r="M3023" s="45"/>
    </row>
    <row r="3024" spans="1:14" ht="15" x14ac:dyDescent="0.25">
      <c r="A3024" s="1">
        <v>3015</v>
      </c>
      <c r="B3024" s="1" t="s">
        <v>426</v>
      </c>
      <c r="C3024" s="32">
        <v>3.8600000000000002E-2</v>
      </c>
      <c r="D3024" s="1">
        <v>17000</v>
      </c>
      <c r="E3024" s="1"/>
      <c r="F3024" s="1">
        <v>189.32</v>
      </c>
      <c r="G3024" s="1">
        <v>17000</v>
      </c>
      <c r="H3024" s="5">
        <f t="shared" si="64"/>
        <v>0</v>
      </c>
      <c r="I3024" s="6"/>
      <c r="J3024" s="43"/>
      <c r="K3024" s="51"/>
      <c r="L3024" s="86"/>
      <c r="M3024" s="45"/>
    </row>
    <row r="3025" spans="1:13" ht="15" x14ac:dyDescent="0.25">
      <c r="A3025" s="1">
        <v>3016</v>
      </c>
      <c r="B3025" s="1" t="s">
        <v>426</v>
      </c>
      <c r="C3025" s="32">
        <v>6214</v>
      </c>
      <c r="D3025" s="1">
        <v>17000</v>
      </c>
      <c r="E3025" s="1"/>
      <c r="F3025" s="1">
        <v>189.32</v>
      </c>
      <c r="G3025" s="1">
        <v>17000</v>
      </c>
      <c r="H3025" s="5">
        <f t="shared" si="64"/>
        <v>0</v>
      </c>
      <c r="I3025" s="6"/>
      <c r="J3025" s="43"/>
      <c r="K3025" s="51"/>
      <c r="L3025" s="86"/>
      <c r="M3025" s="45"/>
    </row>
    <row r="3026" spans="1:13" ht="15" x14ac:dyDescent="0.25">
      <c r="A3026" s="1">
        <v>3017</v>
      </c>
      <c r="B3026" s="1" t="s">
        <v>426</v>
      </c>
      <c r="C3026" s="32">
        <v>6946</v>
      </c>
      <c r="D3026" s="1">
        <v>10000</v>
      </c>
      <c r="E3026" s="1"/>
      <c r="F3026" s="1">
        <v>111.35</v>
      </c>
      <c r="G3026" s="1">
        <v>10000</v>
      </c>
      <c r="H3026" s="5">
        <f t="shared" si="64"/>
        <v>0</v>
      </c>
      <c r="I3026" s="6"/>
      <c r="J3026" s="43"/>
      <c r="K3026" s="51"/>
      <c r="L3026" s="86"/>
      <c r="M3026" s="45"/>
    </row>
    <row r="3027" spans="1:13" ht="15" x14ac:dyDescent="0.25">
      <c r="A3027" s="1">
        <v>3018</v>
      </c>
      <c r="B3027" s="1" t="s">
        <v>426</v>
      </c>
      <c r="C3027" s="32">
        <v>9905</v>
      </c>
      <c r="D3027" s="1">
        <v>13000</v>
      </c>
      <c r="E3027" s="1"/>
      <c r="F3027" s="1">
        <v>144.12</v>
      </c>
      <c r="G3027" s="1">
        <v>13000</v>
      </c>
      <c r="H3027" s="5">
        <f t="shared" si="64"/>
        <v>0</v>
      </c>
      <c r="I3027" s="6"/>
      <c r="J3027" s="43"/>
      <c r="K3027" s="51"/>
      <c r="L3027" s="86"/>
      <c r="M3027" s="45"/>
    </row>
    <row r="3028" spans="1:13" ht="15" x14ac:dyDescent="0.25">
      <c r="A3028" s="1">
        <v>3019</v>
      </c>
      <c r="B3028" s="1" t="s">
        <v>426</v>
      </c>
      <c r="C3028" s="32">
        <v>3317</v>
      </c>
      <c r="D3028" s="1">
        <v>30000</v>
      </c>
      <c r="E3028" s="1"/>
      <c r="F3028" s="1">
        <v>334.45</v>
      </c>
      <c r="G3028" s="1">
        <v>30000</v>
      </c>
      <c r="H3028" s="5">
        <f t="shared" ref="H3028:H3094" si="65">D3028-G3028</f>
        <v>0</v>
      </c>
      <c r="I3028" s="6"/>
      <c r="J3028" s="43"/>
      <c r="K3028" s="51"/>
      <c r="L3028" s="86"/>
      <c r="M3028" s="45"/>
    </row>
    <row r="3029" spans="1:13" ht="15" x14ac:dyDescent="0.25">
      <c r="A3029" s="1">
        <v>3020</v>
      </c>
      <c r="B3029" s="1" t="s">
        <v>426</v>
      </c>
      <c r="C3029" s="32" t="s">
        <v>30</v>
      </c>
      <c r="D3029" s="1">
        <v>5000</v>
      </c>
      <c r="E3029" s="1"/>
      <c r="F3029" s="1">
        <v>55.13</v>
      </c>
      <c r="G3029" s="1">
        <v>5000</v>
      </c>
      <c r="H3029" s="5">
        <f t="shared" si="65"/>
        <v>0</v>
      </c>
      <c r="I3029" s="6"/>
      <c r="J3029" s="43"/>
      <c r="K3029" s="51"/>
      <c r="L3029" s="86"/>
      <c r="M3029" s="45"/>
    </row>
    <row r="3030" spans="1:13" ht="15" x14ac:dyDescent="0.25">
      <c r="A3030" s="1">
        <v>3021</v>
      </c>
      <c r="B3030" s="1" t="s">
        <v>426</v>
      </c>
      <c r="C3030" s="32">
        <v>5252</v>
      </c>
      <c r="D3030" s="1">
        <v>16000</v>
      </c>
      <c r="E3030" s="1"/>
      <c r="F3030" s="1">
        <v>178.22</v>
      </c>
      <c r="G3030" s="1">
        <v>16000</v>
      </c>
      <c r="H3030" s="5">
        <f t="shared" si="65"/>
        <v>0</v>
      </c>
      <c r="I3030" s="6"/>
      <c r="J3030" s="43"/>
      <c r="K3030" s="51"/>
      <c r="L3030" s="86"/>
      <c r="M3030" s="45"/>
    </row>
    <row r="3031" spans="1:13" ht="15" x14ac:dyDescent="0.25">
      <c r="A3031" s="1">
        <v>3022</v>
      </c>
      <c r="B3031" s="1" t="s">
        <v>426</v>
      </c>
      <c r="C3031" s="32">
        <v>5.1999999999999998E-3</v>
      </c>
      <c r="D3031" s="1">
        <v>16000</v>
      </c>
      <c r="E3031" s="1"/>
      <c r="F3031" s="1">
        <v>178.22</v>
      </c>
      <c r="G3031" s="1">
        <v>16000</v>
      </c>
      <c r="H3031" s="5">
        <f t="shared" si="65"/>
        <v>0</v>
      </c>
      <c r="I3031" s="6"/>
      <c r="J3031" s="43"/>
      <c r="K3031" s="51"/>
      <c r="L3031" s="86"/>
      <c r="M3031" s="45"/>
    </row>
    <row r="3032" spans="1:13" ht="15" x14ac:dyDescent="0.25">
      <c r="A3032" s="1">
        <v>3023</v>
      </c>
      <c r="B3032" s="1" t="s">
        <v>426</v>
      </c>
      <c r="C3032" s="32">
        <v>5151</v>
      </c>
      <c r="D3032" s="1">
        <v>16000</v>
      </c>
      <c r="E3032" s="1"/>
      <c r="F3032" s="1">
        <v>178.22</v>
      </c>
      <c r="G3032" s="1">
        <v>16000</v>
      </c>
      <c r="H3032" s="5">
        <f t="shared" si="65"/>
        <v>0</v>
      </c>
      <c r="I3032" s="6"/>
      <c r="J3032" s="43"/>
      <c r="K3032" s="51"/>
      <c r="L3032" s="86"/>
      <c r="M3032" s="45"/>
    </row>
    <row r="3033" spans="1:13" ht="15" x14ac:dyDescent="0.25">
      <c r="A3033" s="1">
        <v>3024</v>
      </c>
      <c r="B3033" s="1" t="s">
        <v>426</v>
      </c>
      <c r="C3033" s="32">
        <v>9390</v>
      </c>
      <c r="D3033" s="1">
        <v>25000</v>
      </c>
      <c r="E3033" s="1"/>
      <c r="F3033" s="1">
        <v>278.22000000000003</v>
      </c>
      <c r="G3033" s="1">
        <v>25000</v>
      </c>
      <c r="H3033" s="5">
        <f t="shared" si="65"/>
        <v>0</v>
      </c>
      <c r="I3033" s="6"/>
      <c r="J3033" s="43"/>
      <c r="K3033" s="51"/>
      <c r="L3033" s="86"/>
      <c r="M3033" s="45"/>
    </row>
    <row r="3034" spans="1:13" ht="15" x14ac:dyDescent="0.25">
      <c r="A3034" s="1">
        <v>3025</v>
      </c>
      <c r="B3034" s="1" t="s">
        <v>426</v>
      </c>
      <c r="C3034" s="32">
        <v>3.1300000000000001E-2</v>
      </c>
      <c r="D3034" s="1">
        <v>25000</v>
      </c>
      <c r="E3034" s="1"/>
      <c r="F3034" s="1">
        <v>278.22000000000003</v>
      </c>
      <c r="G3034" s="1">
        <v>25000</v>
      </c>
      <c r="H3034" s="5">
        <f t="shared" si="65"/>
        <v>0</v>
      </c>
      <c r="I3034" s="6"/>
      <c r="J3034" s="43"/>
      <c r="K3034" s="51"/>
      <c r="L3034" s="86"/>
      <c r="M3034" s="45"/>
    </row>
    <row r="3035" spans="1:13" ht="15" x14ac:dyDescent="0.25">
      <c r="A3035" s="1">
        <v>3026</v>
      </c>
      <c r="B3035" s="1" t="s">
        <v>426</v>
      </c>
      <c r="C3035" s="32">
        <v>3475</v>
      </c>
      <c r="D3035" s="1">
        <v>20000</v>
      </c>
      <c r="E3035" s="1"/>
      <c r="F3035" s="1">
        <v>211.52</v>
      </c>
      <c r="G3035" s="1">
        <v>20000</v>
      </c>
      <c r="H3035" s="5">
        <f t="shared" si="65"/>
        <v>0</v>
      </c>
      <c r="I3035" s="6"/>
      <c r="J3035" s="43"/>
      <c r="K3035" s="51"/>
      <c r="L3035" s="86"/>
      <c r="M3035" s="45"/>
    </row>
    <row r="3036" spans="1:13" ht="15" x14ac:dyDescent="0.25">
      <c r="A3036" s="1">
        <v>3027</v>
      </c>
      <c r="B3036" s="1" t="s">
        <v>426</v>
      </c>
      <c r="C3036" s="32">
        <v>3296</v>
      </c>
      <c r="D3036" s="1">
        <v>20000</v>
      </c>
      <c r="E3036" s="1"/>
      <c r="F3036" s="1">
        <v>211.52</v>
      </c>
      <c r="G3036" s="1">
        <v>20000</v>
      </c>
      <c r="H3036" s="5">
        <f t="shared" si="65"/>
        <v>0</v>
      </c>
      <c r="I3036" s="6"/>
      <c r="J3036" s="43"/>
      <c r="K3036" s="51"/>
      <c r="L3036" s="86"/>
      <c r="M3036" s="45"/>
    </row>
    <row r="3037" spans="1:13" ht="15" x14ac:dyDescent="0.25">
      <c r="A3037" s="1">
        <v>3028</v>
      </c>
      <c r="B3037" s="1" t="s">
        <v>426</v>
      </c>
      <c r="C3037" s="32">
        <v>3869</v>
      </c>
      <c r="D3037" s="1">
        <v>20000</v>
      </c>
      <c r="E3037" s="1"/>
      <c r="F3037" s="1">
        <v>211.52</v>
      </c>
      <c r="G3037" s="1">
        <v>20000</v>
      </c>
      <c r="H3037" s="5">
        <f t="shared" si="65"/>
        <v>0</v>
      </c>
      <c r="I3037" s="6"/>
      <c r="J3037" s="43"/>
      <c r="K3037" s="51"/>
      <c r="L3037" s="86"/>
      <c r="M3037" s="45"/>
    </row>
    <row r="3038" spans="1:13" ht="15" x14ac:dyDescent="0.25">
      <c r="A3038" s="1">
        <v>3029</v>
      </c>
      <c r="B3038" s="1" t="s">
        <v>426</v>
      </c>
      <c r="C3038" s="32">
        <v>9015</v>
      </c>
      <c r="D3038" s="1">
        <v>30000</v>
      </c>
      <c r="E3038" s="1"/>
      <c r="F3038" s="1">
        <v>334.45</v>
      </c>
      <c r="G3038" s="1">
        <v>30000</v>
      </c>
      <c r="H3038" s="5">
        <f t="shared" si="65"/>
        <v>0</v>
      </c>
      <c r="I3038" s="6"/>
      <c r="J3038" s="43"/>
      <c r="K3038" s="51"/>
      <c r="L3038" s="86"/>
      <c r="M3038" s="45"/>
    </row>
    <row r="3039" spans="1:13" ht="15" x14ac:dyDescent="0.25">
      <c r="A3039" s="1">
        <v>3030</v>
      </c>
      <c r="B3039" s="1" t="s">
        <v>426</v>
      </c>
      <c r="C3039" s="32">
        <v>9092</v>
      </c>
      <c r="D3039" s="1">
        <v>30000</v>
      </c>
      <c r="E3039" s="1"/>
      <c r="F3039" s="1">
        <v>334.45</v>
      </c>
      <c r="G3039" s="1">
        <v>30000</v>
      </c>
      <c r="H3039" s="5">
        <f t="shared" si="65"/>
        <v>0</v>
      </c>
      <c r="I3039" s="6"/>
      <c r="J3039" s="43"/>
      <c r="K3039" s="51"/>
      <c r="L3039" s="86"/>
      <c r="M3039" s="45"/>
    </row>
    <row r="3040" spans="1:13" ht="15" x14ac:dyDescent="0.25">
      <c r="A3040" s="1">
        <v>3031</v>
      </c>
      <c r="B3040" s="1" t="s">
        <v>426</v>
      </c>
      <c r="C3040" s="32">
        <v>1.44E-2</v>
      </c>
      <c r="D3040" s="1">
        <v>30000</v>
      </c>
      <c r="E3040" s="1"/>
      <c r="F3040" s="1">
        <v>334.45</v>
      </c>
      <c r="G3040" s="1">
        <v>30000</v>
      </c>
      <c r="H3040" s="5">
        <f t="shared" si="65"/>
        <v>0</v>
      </c>
      <c r="I3040" s="6"/>
      <c r="J3040" s="43"/>
      <c r="K3040" s="51"/>
      <c r="L3040" s="86"/>
      <c r="M3040" s="45"/>
    </row>
    <row r="3041" spans="1:14" ht="15" x14ac:dyDescent="0.25">
      <c r="A3041" s="1">
        <v>3032</v>
      </c>
      <c r="B3041" s="1" t="s">
        <v>426</v>
      </c>
      <c r="C3041" s="32">
        <v>9299</v>
      </c>
      <c r="D3041" s="1">
        <v>20400</v>
      </c>
      <c r="E3041" s="1"/>
      <c r="F3041" s="1">
        <v>227.15</v>
      </c>
      <c r="G3041" s="1">
        <v>20400</v>
      </c>
      <c r="H3041" s="5">
        <f t="shared" si="65"/>
        <v>0</v>
      </c>
      <c r="I3041" s="6"/>
      <c r="J3041" s="43"/>
      <c r="K3041" s="51"/>
      <c r="L3041" s="86"/>
      <c r="M3041" s="45"/>
    </row>
    <row r="3042" spans="1:14" ht="15" x14ac:dyDescent="0.25">
      <c r="A3042" s="1">
        <v>3033</v>
      </c>
      <c r="B3042" s="1" t="s">
        <v>426</v>
      </c>
      <c r="C3042" s="32">
        <v>4257</v>
      </c>
      <c r="D3042" s="1">
        <v>22000</v>
      </c>
      <c r="E3042" s="1"/>
      <c r="F3042" s="1">
        <v>245.27</v>
      </c>
      <c r="G3042" s="1">
        <v>22000</v>
      </c>
      <c r="H3042" s="5">
        <f t="shared" si="65"/>
        <v>0</v>
      </c>
      <c r="I3042" s="6"/>
      <c r="J3042" s="43"/>
      <c r="K3042" s="51"/>
      <c r="L3042" s="86"/>
      <c r="M3042" s="45"/>
    </row>
    <row r="3043" spans="1:14" ht="15" x14ac:dyDescent="0.25">
      <c r="A3043" s="1">
        <v>3034</v>
      </c>
      <c r="B3043" s="1" t="s">
        <v>426</v>
      </c>
      <c r="C3043" s="32">
        <v>2192</v>
      </c>
      <c r="D3043" s="1">
        <v>12000</v>
      </c>
      <c r="E3043" s="1"/>
      <c r="F3043" s="1">
        <v>133.25</v>
      </c>
      <c r="G3043" s="1">
        <v>12000</v>
      </c>
      <c r="H3043" s="5">
        <f t="shared" si="65"/>
        <v>0</v>
      </c>
      <c r="I3043" s="6"/>
      <c r="J3043" s="43"/>
      <c r="K3043" s="51"/>
      <c r="L3043" s="86">
        <f>1752973-1741925</f>
        <v>11048</v>
      </c>
      <c r="M3043" s="45" t="s">
        <v>427</v>
      </c>
      <c r="N3043">
        <f>11048-10433</f>
        <v>615</v>
      </c>
    </row>
    <row r="3044" spans="1:14" ht="15" x14ac:dyDescent="0.25">
      <c r="A3044" s="1">
        <v>3035</v>
      </c>
      <c r="B3044" s="1" t="s">
        <v>428</v>
      </c>
      <c r="C3044" s="32">
        <v>2673</v>
      </c>
      <c r="D3044" s="1">
        <v>15000</v>
      </c>
      <c r="E3044" s="1"/>
      <c r="F3044" s="1">
        <v>167.11</v>
      </c>
      <c r="G3044" s="1">
        <v>15000</v>
      </c>
      <c r="H3044" s="5">
        <f t="shared" si="65"/>
        <v>0</v>
      </c>
      <c r="I3044" s="6"/>
      <c r="J3044" s="43"/>
      <c r="K3044" s="51"/>
      <c r="L3044" s="86"/>
      <c r="M3044" s="45"/>
    </row>
    <row r="3045" spans="1:14" ht="15" x14ac:dyDescent="0.25">
      <c r="A3045" s="1">
        <v>3036</v>
      </c>
      <c r="B3045" s="1" t="s">
        <v>428</v>
      </c>
      <c r="C3045" s="32" t="s">
        <v>30</v>
      </c>
      <c r="D3045" s="1">
        <v>5000</v>
      </c>
      <c r="E3045" s="1"/>
      <c r="F3045" s="1">
        <v>55.7</v>
      </c>
      <c r="G3045" s="1">
        <v>5000</v>
      </c>
      <c r="H3045" s="5">
        <f t="shared" si="65"/>
        <v>0</v>
      </c>
      <c r="I3045" s="6"/>
      <c r="J3045" s="43"/>
      <c r="K3045" s="51"/>
      <c r="L3045" s="86"/>
      <c r="M3045" s="45"/>
    </row>
    <row r="3046" spans="1:14" ht="15" x14ac:dyDescent="0.25">
      <c r="A3046" s="1">
        <v>3037</v>
      </c>
      <c r="B3046" s="1" t="s">
        <v>428</v>
      </c>
      <c r="C3046" s="32">
        <v>2545</v>
      </c>
      <c r="D3046" s="1">
        <v>17000</v>
      </c>
      <c r="E3046" s="1"/>
      <c r="F3046" s="1">
        <v>189.2</v>
      </c>
      <c r="G3046" s="1">
        <v>17000</v>
      </c>
      <c r="H3046" s="5">
        <f t="shared" si="65"/>
        <v>0</v>
      </c>
      <c r="I3046" s="6"/>
      <c r="J3046" s="43"/>
      <c r="K3046" s="51"/>
      <c r="L3046" s="86"/>
      <c r="M3046" s="45"/>
    </row>
    <row r="3047" spans="1:14" ht="15" x14ac:dyDescent="0.25">
      <c r="A3047" s="1">
        <v>3038</v>
      </c>
      <c r="B3047" s="1" t="s">
        <v>428</v>
      </c>
      <c r="C3047" s="32">
        <v>3855</v>
      </c>
      <c r="D3047" s="1">
        <v>15000</v>
      </c>
      <c r="E3047" s="1"/>
      <c r="F3047" s="1">
        <v>167.11</v>
      </c>
      <c r="G3047" s="1">
        <v>15000</v>
      </c>
      <c r="H3047" s="5">
        <f t="shared" si="65"/>
        <v>0</v>
      </c>
      <c r="I3047" s="6"/>
      <c r="J3047" s="43"/>
      <c r="K3047" s="51"/>
      <c r="L3047" s="86"/>
      <c r="M3047" s="45"/>
    </row>
    <row r="3048" spans="1:14" ht="15" x14ac:dyDescent="0.25">
      <c r="A3048" s="1">
        <v>3039</v>
      </c>
      <c r="B3048" s="1" t="s">
        <v>428</v>
      </c>
      <c r="C3048" s="32">
        <v>9544</v>
      </c>
      <c r="D3048" s="1">
        <v>12000</v>
      </c>
      <c r="E3048" s="1"/>
      <c r="F3048" s="1">
        <v>138.69</v>
      </c>
      <c r="G3048" s="1">
        <v>12000</v>
      </c>
      <c r="H3048" s="5">
        <f t="shared" si="65"/>
        <v>0</v>
      </c>
      <c r="I3048" s="6"/>
      <c r="J3048" s="43"/>
      <c r="K3048" s="51"/>
      <c r="L3048" s="86"/>
      <c r="M3048" s="45"/>
    </row>
    <row r="3049" spans="1:14" ht="15" x14ac:dyDescent="0.25">
      <c r="A3049" s="1">
        <v>3040</v>
      </c>
      <c r="B3049" s="1" t="s">
        <v>428</v>
      </c>
      <c r="C3049" s="32">
        <v>4738</v>
      </c>
      <c r="D3049" s="1">
        <v>6000</v>
      </c>
      <c r="E3049" s="1"/>
      <c r="F3049" s="1">
        <v>66.84</v>
      </c>
      <c r="G3049" s="1">
        <v>6000</v>
      </c>
      <c r="H3049" s="5">
        <f t="shared" si="65"/>
        <v>0</v>
      </c>
      <c r="I3049" s="6"/>
      <c r="J3049" s="43"/>
      <c r="K3049" s="51"/>
      <c r="L3049" s="86"/>
      <c r="M3049" s="45"/>
    </row>
    <row r="3050" spans="1:14" ht="15" x14ac:dyDescent="0.25">
      <c r="A3050" s="1">
        <v>3041</v>
      </c>
      <c r="B3050" s="1" t="s">
        <v>428</v>
      </c>
      <c r="C3050" s="32" t="s">
        <v>30</v>
      </c>
      <c r="D3050" s="1">
        <v>3000</v>
      </c>
      <c r="E3050" s="1"/>
      <c r="F3050" s="1">
        <v>33.42</v>
      </c>
      <c r="G3050" s="1">
        <v>3000</v>
      </c>
      <c r="H3050" s="5">
        <f t="shared" si="65"/>
        <v>0</v>
      </c>
      <c r="I3050" s="6"/>
      <c r="J3050" s="43"/>
      <c r="K3050" s="51"/>
      <c r="L3050" s="86"/>
      <c r="M3050" s="45"/>
    </row>
    <row r="3051" spans="1:14" ht="15" x14ac:dyDescent="0.25">
      <c r="A3051" s="1">
        <v>3042</v>
      </c>
      <c r="B3051" s="1" t="s">
        <v>428</v>
      </c>
      <c r="C3051" s="32">
        <v>8762</v>
      </c>
      <c r="D3051" s="1">
        <v>30000</v>
      </c>
      <c r="E3051" s="1"/>
      <c r="F3051" s="1">
        <v>334.22</v>
      </c>
      <c r="G3051" s="1">
        <v>30000</v>
      </c>
      <c r="H3051" s="5">
        <f t="shared" si="65"/>
        <v>0</v>
      </c>
      <c r="I3051" s="6"/>
      <c r="J3051" s="43"/>
      <c r="K3051" s="51"/>
      <c r="L3051" s="86"/>
      <c r="M3051" s="45"/>
    </row>
    <row r="3052" spans="1:14" ht="15" x14ac:dyDescent="0.25">
      <c r="A3052" s="1">
        <v>3043</v>
      </c>
      <c r="B3052" s="1" t="s">
        <v>428</v>
      </c>
      <c r="C3052" s="32">
        <v>5236</v>
      </c>
      <c r="D3052" s="1">
        <v>33000</v>
      </c>
      <c r="E3052" s="1"/>
      <c r="F3052" s="1">
        <v>358.18</v>
      </c>
      <c r="G3052" s="1">
        <v>33000</v>
      </c>
      <c r="H3052" s="5">
        <f t="shared" si="65"/>
        <v>0</v>
      </c>
      <c r="I3052" s="6"/>
      <c r="J3052" s="43"/>
      <c r="K3052" s="51"/>
      <c r="L3052" s="86"/>
      <c r="M3052" s="45"/>
    </row>
    <row r="3053" spans="1:14" ht="15" x14ac:dyDescent="0.25">
      <c r="A3053" s="1">
        <v>3044</v>
      </c>
      <c r="B3053" s="1" t="s">
        <v>428</v>
      </c>
      <c r="C3053" s="32">
        <v>6251</v>
      </c>
      <c r="D3053" s="1">
        <v>22000</v>
      </c>
      <c r="E3053" s="1"/>
      <c r="F3053" s="1">
        <v>245.12</v>
      </c>
      <c r="G3053" s="1">
        <v>22000</v>
      </c>
      <c r="H3053" s="5">
        <f t="shared" si="65"/>
        <v>0</v>
      </c>
      <c r="I3053" s="6"/>
      <c r="J3053" s="43"/>
      <c r="K3053" s="51"/>
      <c r="L3053" s="86"/>
      <c r="M3053" s="45"/>
    </row>
    <row r="3054" spans="1:14" ht="15" x14ac:dyDescent="0.25">
      <c r="A3054" s="1">
        <v>3045</v>
      </c>
      <c r="B3054" s="1" t="s">
        <v>428</v>
      </c>
      <c r="C3054" s="32">
        <v>8913</v>
      </c>
      <c r="D3054" s="1">
        <v>22000</v>
      </c>
      <c r="E3054" s="1"/>
      <c r="F3054" s="1">
        <v>245.12</v>
      </c>
      <c r="G3054" s="1">
        <v>22000</v>
      </c>
      <c r="H3054" s="5">
        <f t="shared" si="65"/>
        <v>0</v>
      </c>
      <c r="I3054" s="6"/>
      <c r="J3054" s="43"/>
      <c r="K3054" s="51"/>
      <c r="L3054" s="86">
        <f>1447069-1421925</f>
        <v>25144</v>
      </c>
      <c r="M3054" s="45" t="s">
        <v>429</v>
      </c>
      <c r="N3054">
        <f>25144-24528</f>
        <v>616</v>
      </c>
    </row>
    <row r="3055" spans="1:14" ht="15" x14ac:dyDescent="0.25">
      <c r="A3055" s="1">
        <v>3046</v>
      </c>
      <c r="B3055" s="1" t="s">
        <v>431</v>
      </c>
      <c r="C3055" s="32">
        <v>3790</v>
      </c>
      <c r="D3055" s="1">
        <v>33000</v>
      </c>
      <c r="E3055" s="1"/>
      <c r="F3055" s="1">
        <v>358.18</v>
      </c>
      <c r="G3055" s="1">
        <v>33000</v>
      </c>
      <c r="H3055" s="5">
        <f t="shared" si="65"/>
        <v>0</v>
      </c>
      <c r="I3055" s="6"/>
      <c r="J3055" s="43"/>
      <c r="K3055" s="51"/>
      <c r="L3055" s="86"/>
      <c r="M3055" s="45"/>
    </row>
    <row r="3056" spans="1:14" ht="15" x14ac:dyDescent="0.25">
      <c r="A3056" s="1">
        <v>3047</v>
      </c>
      <c r="B3056" s="1" t="s">
        <v>431</v>
      </c>
      <c r="C3056" s="32">
        <v>1272</v>
      </c>
      <c r="D3056" s="1">
        <v>20000</v>
      </c>
      <c r="E3056" s="1"/>
      <c r="F3056" s="1">
        <v>222.17</v>
      </c>
      <c r="G3056" s="1">
        <v>20000</v>
      </c>
      <c r="H3056" s="5">
        <f t="shared" si="65"/>
        <v>0</v>
      </c>
      <c r="I3056" s="6"/>
      <c r="J3056" s="43"/>
      <c r="K3056" s="51"/>
      <c r="L3056" s="86"/>
      <c r="M3056" s="45"/>
    </row>
    <row r="3057" spans="1:14" ht="15" x14ac:dyDescent="0.25">
      <c r="A3057" s="1">
        <v>3048</v>
      </c>
      <c r="B3057" s="1" t="s">
        <v>431</v>
      </c>
      <c r="C3057" s="32" t="s">
        <v>30</v>
      </c>
      <c r="D3057" s="1">
        <v>4500</v>
      </c>
      <c r="E3057" s="1"/>
      <c r="F3057" s="1">
        <v>50.13</v>
      </c>
      <c r="G3057" s="1">
        <v>4500</v>
      </c>
      <c r="H3057" s="5">
        <f t="shared" si="65"/>
        <v>0</v>
      </c>
      <c r="I3057" s="6"/>
      <c r="J3057" s="43"/>
      <c r="K3057" s="51"/>
      <c r="L3057" s="86"/>
      <c r="M3057" s="45"/>
    </row>
    <row r="3058" spans="1:14" ht="15" x14ac:dyDescent="0.25">
      <c r="A3058" s="1">
        <v>3049</v>
      </c>
      <c r="B3058" s="1" t="s">
        <v>431</v>
      </c>
      <c r="C3058" s="32">
        <v>7071</v>
      </c>
      <c r="D3058" s="1">
        <v>15000</v>
      </c>
      <c r="E3058" s="1"/>
      <c r="F3058" s="1">
        <v>167.15</v>
      </c>
      <c r="G3058" s="1">
        <v>15000</v>
      </c>
      <c r="H3058" s="5">
        <f t="shared" si="65"/>
        <v>0</v>
      </c>
      <c r="I3058" s="6"/>
      <c r="J3058" s="43"/>
      <c r="K3058" s="51"/>
      <c r="L3058" s="86"/>
      <c r="M3058" s="45"/>
    </row>
    <row r="3059" spans="1:14" ht="15" x14ac:dyDescent="0.25">
      <c r="A3059" s="1">
        <v>3050</v>
      </c>
      <c r="B3059" s="1" t="s">
        <v>431</v>
      </c>
      <c r="C3059" s="32" t="s">
        <v>30</v>
      </c>
      <c r="D3059" s="1">
        <v>5000</v>
      </c>
      <c r="E3059" s="1"/>
      <c r="F3059" s="1">
        <v>55.7</v>
      </c>
      <c r="G3059" s="1">
        <v>5000</v>
      </c>
      <c r="H3059" s="5">
        <f t="shared" si="65"/>
        <v>0</v>
      </c>
      <c r="I3059" s="6"/>
      <c r="J3059" s="43"/>
      <c r="K3059" s="51"/>
      <c r="L3059" s="86"/>
      <c r="M3059" s="45"/>
    </row>
    <row r="3060" spans="1:14" ht="15" x14ac:dyDescent="0.25">
      <c r="A3060" s="1">
        <v>3051</v>
      </c>
      <c r="B3060" s="1" t="s">
        <v>431</v>
      </c>
      <c r="C3060" s="32">
        <v>9398</v>
      </c>
      <c r="D3060" s="1">
        <v>18000</v>
      </c>
      <c r="E3060" s="1"/>
      <c r="F3060" s="1">
        <v>200.24</v>
      </c>
      <c r="G3060" s="1">
        <v>18000</v>
      </c>
      <c r="H3060" s="5">
        <f t="shared" si="65"/>
        <v>0</v>
      </c>
      <c r="I3060" s="6"/>
      <c r="J3060" s="43"/>
      <c r="K3060" s="51"/>
      <c r="L3060" s="86"/>
      <c r="M3060" s="45"/>
    </row>
    <row r="3061" spans="1:14" ht="15" x14ac:dyDescent="0.25">
      <c r="A3061" s="1">
        <v>3052</v>
      </c>
      <c r="B3061" s="1" t="s">
        <v>431</v>
      </c>
      <c r="C3061" s="32">
        <v>2067</v>
      </c>
      <c r="D3061" s="1">
        <v>14000</v>
      </c>
      <c r="E3061" s="1"/>
      <c r="F3061" s="1">
        <v>155.25</v>
      </c>
      <c r="G3061" s="1">
        <v>14000</v>
      </c>
      <c r="H3061" s="5">
        <f t="shared" si="65"/>
        <v>0</v>
      </c>
      <c r="I3061" s="6"/>
      <c r="J3061" s="43"/>
      <c r="K3061" s="51"/>
      <c r="L3061" s="86"/>
      <c r="M3061" s="45"/>
    </row>
    <row r="3062" spans="1:14" ht="15" x14ac:dyDescent="0.25">
      <c r="A3062" s="1">
        <v>3053</v>
      </c>
      <c r="B3062" s="1" t="s">
        <v>431</v>
      </c>
      <c r="C3062" s="32">
        <v>4282</v>
      </c>
      <c r="D3062" s="1">
        <v>16000</v>
      </c>
      <c r="E3062" s="1"/>
      <c r="F3062" s="1">
        <v>178.25</v>
      </c>
      <c r="G3062" s="1">
        <v>16000</v>
      </c>
      <c r="H3062" s="5">
        <f t="shared" si="65"/>
        <v>0</v>
      </c>
      <c r="I3062" s="6"/>
      <c r="J3062" s="43"/>
      <c r="K3062" s="51"/>
      <c r="L3062" s="86"/>
      <c r="M3062" s="45"/>
    </row>
    <row r="3063" spans="1:14" ht="15" x14ac:dyDescent="0.25">
      <c r="A3063" s="1">
        <v>3054</v>
      </c>
      <c r="B3063" s="1" t="s">
        <v>431</v>
      </c>
      <c r="C3063" s="32" t="s">
        <v>66</v>
      </c>
      <c r="D3063" s="1">
        <v>210</v>
      </c>
      <c r="E3063" s="1"/>
      <c r="F3063" s="1">
        <v>2.17</v>
      </c>
      <c r="G3063" s="1">
        <v>210</v>
      </c>
      <c r="H3063" s="5">
        <f t="shared" si="65"/>
        <v>0</v>
      </c>
      <c r="I3063" s="6"/>
      <c r="J3063" s="43"/>
      <c r="K3063" s="51"/>
      <c r="L3063" s="86"/>
      <c r="M3063" s="45"/>
    </row>
    <row r="3064" spans="1:14" ht="15" x14ac:dyDescent="0.25">
      <c r="A3064" s="1">
        <v>3055</v>
      </c>
      <c r="B3064" s="1" t="s">
        <v>431</v>
      </c>
      <c r="C3064" s="32">
        <v>7236</v>
      </c>
      <c r="D3064" s="1">
        <v>5000</v>
      </c>
      <c r="E3064" s="1"/>
      <c r="F3064" s="1">
        <v>55.7</v>
      </c>
      <c r="G3064" s="1">
        <v>5000</v>
      </c>
      <c r="H3064" s="5">
        <f t="shared" si="65"/>
        <v>0</v>
      </c>
      <c r="I3064" s="6"/>
      <c r="J3064" s="43"/>
      <c r="K3064" s="51"/>
      <c r="L3064" s="86"/>
      <c r="M3064" s="45"/>
    </row>
    <row r="3065" spans="1:14" ht="15" x14ac:dyDescent="0.25">
      <c r="A3065" s="1">
        <v>3056</v>
      </c>
      <c r="B3065" s="1" t="s">
        <v>431</v>
      </c>
      <c r="C3065" s="32">
        <v>5958</v>
      </c>
      <c r="D3065" s="1">
        <v>16000</v>
      </c>
      <c r="E3065" s="1"/>
      <c r="F3065" s="1">
        <v>178.25</v>
      </c>
      <c r="G3065" s="1">
        <v>16000</v>
      </c>
      <c r="H3065" s="5">
        <f t="shared" si="65"/>
        <v>0</v>
      </c>
      <c r="I3065" s="6"/>
      <c r="J3065" s="43"/>
      <c r="K3065" s="51"/>
      <c r="L3065" s="86"/>
      <c r="M3065" s="45"/>
    </row>
    <row r="3066" spans="1:14" ht="15" x14ac:dyDescent="0.25">
      <c r="A3066" s="1">
        <v>3057</v>
      </c>
      <c r="B3066" s="1" t="s">
        <v>431</v>
      </c>
      <c r="C3066" s="32">
        <v>2973</v>
      </c>
      <c r="D3066" s="1">
        <v>16000</v>
      </c>
      <c r="E3066" s="1"/>
      <c r="F3066" s="1">
        <v>178.25</v>
      </c>
      <c r="G3066" s="1">
        <v>16000</v>
      </c>
      <c r="H3066" s="5">
        <f t="shared" si="65"/>
        <v>0</v>
      </c>
      <c r="I3066" s="6"/>
      <c r="J3066" s="43"/>
      <c r="K3066" s="51"/>
      <c r="L3066" s="86"/>
      <c r="M3066" s="45"/>
    </row>
    <row r="3067" spans="1:14" ht="15" x14ac:dyDescent="0.25">
      <c r="A3067" s="1">
        <v>3058</v>
      </c>
      <c r="B3067" s="1" t="s">
        <v>431</v>
      </c>
      <c r="C3067" s="32">
        <v>5981</v>
      </c>
      <c r="D3067" s="1">
        <v>28000</v>
      </c>
      <c r="E3067" s="1"/>
      <c r="F3067" s="1">
        <v>311.94</v>
      </c>
      <c r="G3067" s="1">
        <v>28000</v>
      </c>
      <c r="H3067" s="5">
        <f t="shared" si="65"/>
        <v>0</v>
      </c>
      <c r="I3067" s="6"/>
      <c r="J3067" s="43"/>
      <c r="K3067" s="51"/>
      <c r="L3067" s="86"/>
      <c r="M3067" s="45"/>
    </row>
    <row r="3068" spans="1:14" ht="15" x14ac:dyDescent="0.25">
      <c r="A3068" s="1">
        <v>3059</v>
      </c>
      <c r="B3068" s="1" t="s">
        <v>431</v>
      </c>
      <c r="C3068" s="32">
        <v>9405</v>
      </c>
      <c r="D3068" s="1">
        <v>10000</v>
      </c>
      <c r="E3068" s="1"/>
      <c r="F3068" s="1">
        <v>111.41</v>
      </c>
      <c r="G3068" s="1">
        <v>10000</v>
      </c>
      <c r="H3068" s="5">
        <f t="shared" si="65"/>
        <v>0</v>
      </c>
      <c r="I3068" s="6"/>
      <c r="J3068" s="43"/>
      <c r="K3068" s="51"/>
      <c r="L3068" s="86"/>
      <c r="M3068" s="45"/>
    </row>
    <row r="3069" spans="1:14" ht="15" x14ac:dyDescent="0.25">
      <c r="A3069" s="1">
        <v>3060</v>
      </c>
      <c r="B3069" s="1" t="s">
        <v>431</v>
      </c>
      <c r="C3069" s="32">
        <v>2.4400000000000002E-2</v>
      </c>
      <c r="D3069" s="1">
        <v>12000</v>
      </c>
      <c r="E3069" s="1"/>
      <c r="F3069" s="1">
        <v>133.69</v>
      </c>
      <c r="G3069" s="1">
        <v>12000</v>
      </c>
      <c r="H3069" s="5">
        <f t="shared" si="65"/>
        <v>0</v>
      </c>
      <c r="I3069" s="6"/>
      <c r="J3069" s="43"/>
      <c r="K3069" s="51"/>
      <c r="L3069" s="86"/>
      <c r="M3069" s="45"/>
    </row>
    <row r="3070" spans="1:14" ht="15" x14ac:dyDescent="0.25">
      <c r="A3070" s="1">
        <v>3061</v>
      </c>
      <c r="B3070" s="1" t="s">
        <v>431</v>
      </c>
      <c r="C3070" s="32">
        <v>2864</v>
      </c>
      <c r="D3070" s="1">
        <v>14000</v>
      </c>
      <c r="E3070" s="1"/>
      <c r="F3070" s="1">
        <v>155.24</v>
      </c>
      <c r="G3070" s="1">
        <v>14000</v>
      </c>
      <c r="H3070" s="5">
        <f t="shared" si="65"/>
        <v>0</v>
      </c>
      <c r="I3070" s="6"/>
      <c r="J3070" s="43"/>
      <c r="K3070" s="51"/>
      <c r="L3070" s="86">
        <f>1354581-1348635</f>
        <v>5946</v>
      </c>
      <c r="M3070" s="45" t="s">
        <v>432</v>
      </c>
      <c r="N3070">
        <f>5946-5330</f>
        <v>616</v>
      </c>
    </row>
    <row r="3071" spans="1:14" ht="15" x14ac:dyDescent="0.25">
      <c r="A3071" s="1">
        <v>3062</v>
      </c>
      <c r="B3071" s="1" t="s">
        <v>433</v>
      </c>
      <c r="C3071" s="32">
        <v>3614</v>
      </c>
      <c r="D3071" s="1">
        <v>18000</v>
      </c>
      <c r="E3071" s="1"/>
      <c r="F3071" s="1">
        <v>200.24</v>
      </c>
      <c r="G3071" s="1">
        <v>18000</v>
      </c>
      <c r="H3071" s="5">
        <f t="shared" si="65"/>
        <v>0</v>
      </c>
      <c r="I3071" s="6"/>
      <c r="J3071" s="43"/>
      <c r="K3071" s="51"/>
      <c r="L3071" s="86"/>
      <c r="M3071" s="45"/>
    </row>
    <row r="3072" spans="1:14" ht="15" x14ac:dyDescent="0.25">
      <c r="A3072" s="1">
        <v>3063</v>
      </c>
      <c r="B3072" s="1" t="s">
        <v>433</v>
      </c>
      <c r="C3072" s="32">
        <v>5076</v>
      </c>
      <c r="D3072" s="1">
        <v>18000</v>
      </c>
      <c r="E3072" s="1"/>
      <c r="F3072" s="1">
        <v>200.24</v>
      </c>
      <c r="G3072" s="1">
        <v>18000</v>
      </c>
      <c r="H3072" s="5">
        <f t="shared" si="65"/>
        <v>0</v>
      </c>
      <c r="I3072" s="6"/>
      <c r="J3072" s="43"/>
      <c r="K3072" s="51"/>
      <c r="L3072" s="86"/>
      <c r="M3072" s="45"/>
    </row>
    <row r="3073" spans="1:13" ht="15" x14ac:dyDescent="0.25">
      <c r="A3073" s="1">
        <v>3064</v>
      </c>
      <c r="B3073" s="1" t="s">
        <v>433</v>
      </c>
      <c r="C3073" s="32">
        <v>5.1000000000000004E-3</v>
      </c>
      <c r="D3073" s="1">
        <v>17000</v>
      </c>
      <c r="E3073" s="1"/>
      <c r="F3073" s="1">
        <v>178.52</v>
      </c>
      <c r="G3073" s="1">
        <v>17000</v>
      </c>
      <c r="H3073" s="5">
        <f t="shared" si="65"/>
        <v>0</v>
      </c>
      <c r="I3073" s="6"/>
      <c r="J3073" s="43"/>
      <c r="K3073" s="51"/>
      <c r="L3073" s="86"/>
      <c r="M3073" s="45"/>
    </row>
    <row r="3074" spans="1:13" ht="15" x14ac:dyDescent="0.25">
      <c r="A3074" s="1">
        <v>3065</v>
      </c>
      <c r="B3074" s="1" t="s">
        <v>433</v>
      </c>
      <c r="C3074" s="32">
        <v>3971</v>
      </c>
      <c r="D3074" s="1">
        <v>16500</v>
      </c>
      <c r="E3074" s="1"/>
      <c r="F3074" s="1">
        <v>183.24</v>
      </c>
      <c r="G3074" s="1">
        <v>16500</v>
      </c>
      <c r="H3074" s="5">
        <f t="shared" si="65"/>
        <v>0</v>
      </c>
      <c r="I3074" s="6"/>
      <c r="J3074" s="43"/>
      <c r="K3074" s="51"/>
      <c r="L3074" s="86"/>
      <c r="M3074" s="45"/>
    </row>
    <row r="3075" spans="1:13" ht="15" x14ac:dyDescent="0.25">
      <c r="A3075" s="1">
        <v>3066</v>
      </c>
      <c r="B3075" s="1" t="s">
        <v>433</v>
      </c>
      <c r="C3075" s="32" t="s">
        <v>30</v>
      </c>
      <c r="D3075" s="1">
        <v>5400</v>
      </c>
      <c r="E3075" s="1"/>
      <c r="F3075" s="1">
        <v>60.12</v>
      </c>
      <c r="G3075" s="1">
        <v>5400</v>
      </c>
      <c r="H3075" s="5">
        <f t="shared" si="65"/>
        <v>0</v>
      </c>
      <c r="I3075" s="6"/>
      <c r="J3075" s="43"/>
      <c r="K3075" s="51"/>
      <c r="L3075" s="86"/>
      <c r="M3075" s="45"/>
    </row>
    <row r="3076" spans="1:13" ht="15" x14ac:dyDescent="0.25">
      <c r="A3076" s="1">
        <v>3067</v>
      </c>
      <c r="B3076" s="1" t="s">
        <v>433</v>
      </c>
      <c r="C3076" s="32">
        <v>6667</v>
      </c>
      <c r="D3076" s="1">
        <v>20000</v>
      </c>
      <c r="E3076" s="1"/>
      <c r="F3076" s="1">
        <v>220.22</v>
      </c>
      <c r="G3076" s="1">
        <v>20000</v>
      </c>
      <c r="H3076" s="5">
        <f t="shared" si="65"/>
        <v>0</v>
      </c>
      <c r="I3076" s="6"/>
      <c r="J3076" s="43"/>
      <c r="K3076" s="51"/>
      <c r="L3076" s="86"/>
      <c r="M3076" s="45"/>
    </row>
    <row r="3077" spans="1:13" ht="15" x14ac:dyDescent="0.25">
      <c r="A3077" s="1">
        <v>3068</v>
      </c>
      <c r="B3077" s="1" t="s">
        <v>433</v>
      </c>
      <c r="C3077" s="32">
        <v>1922</v>
      </c>
      <c r="D3077" s="1">
        <v>23000</v>
      </c>
      <c r="E3077" s="1"/>
      <c r="F3077" s="1">
        <v>256.45</v>
      </c>
      <c r="G3077" s="1">
        <v>23000</v>
      </c>
      <c r="H3077" s="5">
        <f t="shared" si="65"/>
        <v>0</v>
      </c>
      <c r="I3077" s="6"/>
      <c r="J3077" s="43"/>
      <c r="K3077" s="51"/>
      <c r="L3077" s="86"/>
      <c r="M3077" s="45"/>
    </row>
    <row r="3078" spans="1:13" ht="15" x14ac:dyDescent="0.25">
      <c r="A3078" s="1">
        <v>3069</v>
      </c>
      <c r="B3078" s="1" t="s">
        <v>433</v>
      </c>
      <c r="C3078" s="32">
        <v>1842</v>
      </c>
      <c r="D3078" s="1">
        <v>13000</v>
      </c>
      <c r="E3078" s="1"/>
      <c r="F3078" s="1">
        <v>144.12</v>
      </c>
      <c r="G3078" s="1">
        <v>13000</v>
      </c>
      <c r="H3078" s="5">
        <f t="shared" si="65"/>
        <v>0</v>
      </c>
      <c r="I3078" s="6"/>
      <c r="J3078" s="43"/>
      <c r="K3078" s="51"/>
      <c r="L3078" s="86"/>
      <c r="M3078" s="45"/>
    </row>
    <row r="3079" spans="1:13" ht="15" x14ac:dyDescent="0.25">
      <c r="A3079" s="1">
        <v>3070</v>
      </c>
      <c r="B3079" s="1" t="s">
        <v>433</v>
      </c>
      <c r="C3079" s="32">
        <v>9666</v>
      </c>
      <c r="D3079" s="1">
        <v>13000</v>
      </c>
      <c r="E3079" s="1"/>
      <c r="F3079" s="1">
        <v>144.12</v>
      </c>
      <c r="G3079" s="1">
        <v>13000</v>
      </c>
      <c r="H3079" s="5">
        <f t="shared" si="65"/>
        <v>0</v>
      </c>
      <c r="I3079" s="6"/>
      <c r="J3079" s="43"/>
      <c r="K3079" s="51"/>
      <c r="L3079" s="86"/>
      <c r="M3079" s="45"/>
    </row>
    <row r="3080" spans="1:13" ht="15" x14ac:dyDescent="0.25">
      <c r="A3080" s="1">
        <v>3071</v>
      </c>
      <c r="B3080" s="1" t="s">
        <v>433</v>
      </c>
      <c r="C3080" s="32">
        <v>9979</v>
      </c>
      <c r="D3080" s="1">
        <v>13000</v>
      </c>
      <c r="E3080" s="1"/>
      <c r="F3080" s="1">
        <v>144.12</v>
      </c>
      <c r="G3080" s="1">
        <v>13000</v>
      </c>
      <c r="H3080" s="5">
        <f t="shared" si="65"/>
        <v>0</v>
      </c>
      <c r="I3080" s="6"/>
      <c r="J3080" s="43"/>
      <c r="K3080" s="51"/>
      <c r="L3080" s="86"/>
      <c r="M3080" s="45"/>
    </row>
    <row r="3081" spans="1:13" ht="15" x14ac:dyDescent="0.25">
      <c r="A3081" s="1">
        <v>3072</v>
      </c>
      <c r="B3081" s="1" t="s">
        <v>433</v>
      </c>
      <c r="C3081" s="32">
        <v>5112</v>
      </c>
      <c r="D3081" s="1">
        <v>13000</v>
      </c>
      <c r="E3081" s="1"/>
      <c r="F3081" s="1">
        <v>144.12</v>
      </c>
      <c r="G3081" s="1">
        <v>13000</v>
      </c>
      <c r="H3081" s="5">
        <f t="shared" si="65"/>
        <v>0</v>
      </c>
      <c r="I3081" s="6"/>
      <c r="J3081" s="43"/>
      <c r="K3081" s="51"/>
      <c r="L3081" s="86"/>
      <c r="M3081" s="45"/>
    </row>
    <row r="3082" spans="1:13" ht="15" x14ac:dyDescent="0.25">
      <c r="A3082" s="1">
        <v>3073</v>
      </c>
      <c r="B3082" s="1" t="s">
        <v>433</v>
      </c>
      <c r="C3082" s="32">
        <v>9669</v>
      </c>
      <c r="D3082" s="1">
        <v>13000</v>
      </c>
      <c r="E3082" s="1"/>
      <c r="F3082" s="1">
        <v>144.12</v>
      </c>
      <c r="G3082" s="1">
        <v>13000</v>
      </c>
      <c r="H3082" s="5">
        <f t="shared" si="65"/>
        <v>0</v>
      </c>
      <c r="I3082" s="6"/>
      <c r="J3082" s="43"/>
      <c r="K3082" s="51"/>
      <c r="L3082" s="86"/>
      <c r="M3082" s="45"/>
    </row>
    <row r="3083" spans="1:13" ht="15" x14ac:dyDescent="0.25">
      <c r="A3083" s="1">
        <v>3074</v>
      </c>
      <c r="B3083" s="1" t="s">
        <v>433</v>
      </c>
      <c r="C3083" s="32">
        <v>9978</v>
      </c>
      <c r="D3083" s="1">
        <v>13000</v>
      </c>
      <c r="E3083" s="1"/>
      <c r="F3083" s="1">
        <v>144.12</v>
      </c>
      <c r="G3083" s="1">
        <v>13000</v>
      </c>
      <c r="H3083" s="5">
        <f t="shared" si="65"/>
        <v>0</v>
      </c>
      <c r="I3083" s="6"/>
      <c r="J3083" s="43"/>
      <c r="K3083" s="51"/>
      <c r="L3083" s="86"/>
      <c r="M3083" s="45"/>
    </row>
    <row r="3084" spans="1:13" ht="15" x14ac:dyDescent="0.25">
      <c r="A3084" s="1">
        <v>3075</v>
      </c>
      <c r="B3084" s="1" t="s">
        <v>433</v>
      </c>
      <c r="C3084" s="32">
        <v>6271</v>
      </c>
      <c r="D3084" s="1">
        <v>20000</v>
      </c>
      <c r="E3084" s="1"/>
      <c r="F3084" s="1">
        <v>220.22</v>
      </c>
      <c r="G3084" s="1">
        <v>20000</v>
      </c>
      <c r="H3084" s="5">
        <f t="shared" si="65"/>
        <v>0</v>
      </c>
      <c r="I3084" s="6"/>
      <c r="J3084" s="43"/>
      <c r="K3084" s="51"/>
      <c r="L3084" s="86"/>
      <c r="M3084" s="45"/>
    </row>
    <row r="3085" spans="1:13" ht="15" x14ac:dyDescent="0.25">
      <c r="A3085" s="1">
        <v>3076</v>
      </c>
      <c r="B3085" s="1" t="s">
        <v>433</v>
      </c>
      <c r="C3085" s="32">
        <v>8902</v>
      </c>
      <c r="D3085" s="1">
        <v>30000</v>
      </c>
      <c r="E3085" s="1"/>
      <c r="F3085" s="1">
        <v>334.24</v>
      </c>
      <c r="G3085" s="1">
        <v>30000</v>
      </c>
      <c r="H3085" s="5">
        <f t="shared" si="65"/>
        <v>0</v>
      </c>
      <c r="I3085" s="6"/>
      <c r="J3085" s="43"/>
      <c r="K3085" s="51"/>
      <c r="L3085" s="86"/>
      <c r="M3085" s="45"/>
    </row>
    <row r="3086" spans="1:13" ht="15" x14ac:dyDescent="0.25">
      <c r="A3086" s="1">
        <v>3077</v>
      </c>
      <c r="B3086" s="1" t="s">
        <v>433</v>
      </c>
      <c r="C3086" s="32">
        <v>1.6500000000000001E-2</v>
      </c>
      <c r="D3086" s="1">
        <v>13000</v>
      </c>
      <c r="E3086" s="1"/>
      <c r="F3086" s="1">
        <v>144.22</v>
      </c>
      <c r="G3086" s="1">
        <v>13000</v>
      </c>
      <c r="H3086" s="5">
        <f t="shared" si="65"/>
        <v>0</v>
      </c>
      <c r="I3086" s="6"/>
      <c r="J3086" s="43"/>
      <c r="K3086" s="51"/>
      <c r="L3086" s="86"/>
      <c r="M3086" s="45"/>
    </row>
    <row r="3087" spans="1:13" ht="15" x14ac:dyDescent="0.25">
      <c r="A3087" s="1">
        <v>3078</v>
      </c>
      <c r="B3087" s="1" t="s">
        <v>433</v>
      </c>
      <c r="C3087" s="32">
        <v>8327</v>
      </c>
      <c r="D3087" s="1">
        <v>17000</v>
      </c>
      <c r="E3087" s="1"/>
      <c r="F3087" s="1">
        <v>189.21</v>
      </c>
      <c r="G3087" s="1">
        <v>17000</v>
      </c>
      <c r="H3087" s="5">
        <f t="shared" si="65"/>
        <v>0</v>
      </c>
      <c r="I3087" s="6"/>
      <c r="J3087" s="43"/>
      <c r="K3087" s="51"/>
      <c r="L3087" s="86"/>
      <c r="M3087" s="45"/>
    </row>
    <row r="3088" spans="1:13" ht="15" x14ac:dyDescent="0.25">
      <c r="A3088" s="1">
        <v>3079</v>
      </c>
      <c r="B3088" s="1" t="s">
        <v>433</v>
      </c>
      <c r="C3088" s="32">
        <v>5077</v>
      </c>
      <c r="D3088" s="1">
        <v>18000</v>
      </c>
      <c r="E3088" s="1"/>
      <c r="F3088" s="1">
        <v>200.24</v>
      </c>
      <c r="G3088" s="1">
        <v>18000</v>
      </c>
      <c r="H3088" s="5">
        <f t="shared" si="65"/>
        <v>0</v>
      </c>
      <c r="I3088" s="6"/>
      <c r="J3088" s="43"/>
      <c r="K3088" s="51"/>
      <c r="L3088" s="86"/>
      <c r="M3088" s="45"/>
    </row>
    <row r="3089" spans="1:13" ht="15" x14ac:dyDescent="0.25">
      <c r="A3089" s="1">
        <v>3080</v>
      </c>
      <c r="B3089" s="1" t="s">
        <v>433</v>
      </c>
      <c r="C3089" s="32">
        <v>6035</v>
      </c>
      <c r="D3089" s="1">
        <v>23000</v>
      </c>
      <c r="E3089" s="1"/>
      <c r="F3089" s="1">
        <v>256.45</v>
      </c>
      <c r="G3089" s="1">
        <v>23000</v>
      </c>
      <c r="H3089" s="5">
        <f t="shared" si="65"/>
        <v>0</v>
      </c>
      <c r="I3089" s="6"/>
      <c r="J3089" s="43"/>
      <c r="K3089" s="51"/>
      <c r="L3089" s="86"/>
      <c r="M3089" s="45"/>
    </row>
    <row r="3090" spans="1:13" ht="15" x14ac:dyDescent="0.25">
      <c r="A3090" s="1">
        <v>3081</v>
      </c>
      <c r="B3090" s="1" t="s">
        <v>433</v>
      </c>
      <c r="C3090" s="32">
        <v>3361</v>
      </c>
      <c r="D3090" s="1">
        <v>10000</v>
      </c>
      <c r="E3090" s="1"/>
      <c r="F3090" s="1">
        <v>111.25</v>
      </c>
      <c r="G3090" s="1">
        <v>10000</v>
      </c>
      <c r="H3090" s="5">
        <f t="shared" si="65"/>
        <v>0</v>
      </c>
      <c r="I3090" s="6"/>
      <c r="J3090" s="43"/>
      <c r="K3090" s="51"/>
      <c r="L3090" s="86"/>
      <c r="M3090" s="45"/>
    </row>
    <row r="3091" spans="1:13" ht="15" x14ac:dyDescent="0.25">
      <c r="A3091" s="1">
        <v>3082</v>
      </c>
      <c r="B3091" s="1" t="s">
        <v>433</v>
      </c>
      <c r="C3091" s="32">
        <v>6496</v>
      </c>
      <c r="D3091" s="1">
        <v>14000</v>
      </c>
      <c r="E3091" s="1"/>
      <c r="F3091" s="1">
        <v>155.13999999999999</v>
      </c>
      <c r="G3091" s="1">
        <v>14000</v>
      </c>
      <c r="H3091" s="5">
        <f t="shared" si="65"/>
        <v>0</v>
      </c>
      <c r="I3091" s="6"/>
      <c r="J3091" s="43"/>
      <c r="K3091" s="51"/>
      <c r="L3091" s="86"/>
      <c r="M3091" s="45"/>
    </row>
    <row r="3092" spans="1:13" ht="15" x14ac:dyDescent="0.25">
      <c r="A3092" s="1">
        <v>3083</v>
      </c>
      <c r="B3092" s="1" t="s">
        <v>433</v>
      </c>
      <c r="C3092" s="32">
        <v>3365</v>
      </c>
      <c r="D3092" s="1">
        <v>13000</v>
      </c>
      <c r="E3092" s="1"/>
      <c r="F3092" s="1">
        <v>144.12</v>
      </c>
      <c r="G3092" s="1">
        <v>13000</v>
      </c>
      <c r="H3092" s="5">
        <f t="shared" si="65"/>
        <v>0</v>
      </c>
      <c r="I3092" s="6"/>
      <c r="J3092" s="43"/>
      <c r="K3092" s="51"/>
      <c r="L3092" s="86"/>
      <c r="M3092" s="45"/>
    </row>
    <row r="3093" spans="1:13" ht="15" x14ac:dyDescent="0.25">
      <c r="A3093" s="1">
        <v>3084</v>
      </c>
      <c r="B3093" s="1" t="s">
        <v>433</v>
      </c>
      <c r="C3093" s="32">
        <v>9668</v>
      </c>
      <c r="D3093" s="1">
        <v>13000</v>
      </c>
      <c r="E3093" s="1"/>
      <c r="F3093" s="1">
        <v>144.12</v>
      </c>
      <c r="G3093" s="1">
        <v>13000</v>
      </c>
      <c r="H3093" s="5">
        <f t="shared" si="65"/>
        <v>0</v>
      </c>
      <c r="I3093" s="6"/>
      <c r="J3093" s="43"/>
      <c r="K3093" s="51"/>
      <c r="L3093" s="86"/>
      <c r="M3093" s="45"/>
    </row>
    <row r="3094" spans="1:13" ht="15" x14ac:dyDescent="0.25">
      <c r="A3094" s="1">
        <v>3085</v>
      </c>
      <c r="B3094" s="1" t="s">
        <v>433</v>
      </c>
      <c r="C3094" s="32">
        <v>3862</v>
      </c>
      <c r="D3094" s="1">
        <v>18000</v>
      </c>
      <c r="E3094" s="1"/>
      <c r="F3094" s="1">
        <v>200.24</v>
      </c>
      <c r="G3094" s="1">
        <v>18000</v>
      </c>
      <c r="H3094" s="5">
        <f t="shared" si="65"/>
        <v>0</v>
      </c>
      <c r="I3094" s="6"/>
      <c r="J3094" s="43"/>
      <c r="K3094" s="51"/>
      <c r="L3094" s="86"/>
      <c r="M3094" s="45"/>
    </row>
    <row r="3095" spans="1:13" ht="15" x14ac:dyDescent="0.25">
      <c r="A3095" s="1">
        <v>3086</v>
      </c>
      <c r="B3095" s="1" t="s">
        <v>433</v>
      </c>
      <c r="C3095" s="32">
        <v>9905</v>
      </c>
      <c r="D3095" s="1">
        <v>5000</v>
      </c>
      <c r="E3095" s="1"/>
      <c r="F3095" s="1">
        <v>55.13</v>
      </c>
      <c r="G3095" s="1">
        <v>5000</v>
      </c>
      <c r="H3095" s="5">
        <f t="shared" ref="H3095:H3159" si="66">D3095-G3095</f>
        <v>0</v>
      </c>
      <c r="I3095" s="6"/>
      <c r="J3095" s="43"/>
      <c r="K3095" s="51"/>
      <c r="L3095" s="86"/>
      <c r="M3095" s="45"/>
    </row>
    <row r="3096" spans="1:13" ht="15" x14ac:dyDescent="0.25">
      <c r="A3096" s="1">
        <v>3087</v>
      </c>
      <c r="B3096" s="1" t="s">
        <v>433</v>
      </c>
      <c r="C3096" s="32">
        <v>9906</v>
      </c>
      <c r="D3096" s="1">
        <v>5000</v>
      </c>
      <c r="E3096" s="1"/>
      <c r="F3096" s="1">
        <v>55.13</v>
      </c>
      <c r="G3096" s="1">
        <v>5000</v>
      </c>
      <c r="H3096" s="5">
        <f t="shared" si="66"/>
        <v>0</v>
      </c>
      <c r="I3096" s="6"/>
      <c r="J3096" s="43"/>
      <c r="K3096" s="51"/>
      <c r="L3096" s="86"/>
      <c r="M3096" s="45"/>
    </row>
    <row r="3097" spans="1:13" ht="15" x14ac:dyDescent="0.25">
      <c r="A3097" s="1">
        <v>3088</v>
      </c>
      <c r="B3097" s="1" t="s">
        <v>433</v>
      </c>
      <c r="C3097" s="32">
        <v>8440</v>
      </c>
      <c r="D3097" s="1">
        <v>18000</v>
      </c>
      <c r="E3097" s="1"/>
      <c r="F3097" s="1">
        <v>200.24</v>
      </c>
      <c r="G3097" s="1">
        <v>18000</v>
      </c>
      <c r="H3097" s="5">
        <f t="shared" si="66"/>
        <v>0</v>
      </c>
      <c r="I3097" s="6"/>
      <c r="J3097" s="43"/>
      <c r="K3097" s="51"/>
      <c r="L3097" s="86"/>
      <c r="M3097" s="45"/>
    </row>
    <row r="3098" spans="1:13" ht="15" x14ac:dyDescent="0.25">
      <c r="A3098" s="1">
        <v>3089</v>
      </c>
      <c r="B3098" s="1" t="s">
        <v>433</v>
      </c>
      <c r="C3098" s="32" t="s">
        <v>30</v>
      </c>
      <c r="D3098" s="1">
        <v>5000</v>
      </c>
      <c r="E3098" s="1"/>
      <c r="F3098" s="1">
        <v>55.13</v>
      </c>
      <c r="G3098" s="1">
        <v>5000</v>
      </c>
      <c r="H3098" s="5">
        <f t="shared" si="66"/>
        <v>0</v>
      </c>
      <c r="I3098" s="6"/>
      <c r="J3098" s="43"/>
      <c r="K3098" s="51"/>
      <c r="L3098" s="86"/>
      <c r="M3098" s="45"/>
    </row>
    <row r="3099" spans="1:13" ht="15" x14ac:dyDescent="0.25">
      <c r="A3099" s="1">
        <v>3090</v>
      </c>
      <c r="B3099" s="1" t="s">
        <v>433</v>
      </c>
      <c r="C3099" s="32">
        <v>3665</v>
      </c>
      <c r="D3099" s="1">
        <v>15000</v>
      </c>
      <c r="E3099" s="1"/>
      <c r="F3099" s="1">
        <v>167.15</v>
      </c>
      <c r="G3099" s="1">
        <v>15000</v>
      </c>
      <c r="H3099" s="5">
        <f t="shared" si="66"/>
        <v>0</v>
      </c>
      <c r="I3099" s="6"/>
      <c r="J3099" s="43"/>
      <c r="K3099" s="51"/>
      <c r="L3099" s="86"/>
      <c r="M3099" s="45"/>
    </row>
    <row r="3100" spans="1:13" ht="15" x14ac:dyDescent="0.25">
      <c r="A3100" s="1">
        <v>3091</v>
      </c>
      <c r="B3100" s="1" t="s">
        <v>433</v>
      </c>
      <c r="C3100" s="32">
        <v>4451</v>
      </c>
      <c r="D3100" s="1">
        <v>18000</v>
      </c>
      <c r="E3100" s="1"/>
      <c r="F3100" s="1">
        <v>200.24</v>
      </c>
      <c r="G3100" s="1">
        <v>18000</v>
      </c>
      <c r="H3100" s="5">
        <f t="shared" si="66"/>
        <v>0</v>
      </c>
      <c r="I3100" s="6"/>
      <c r="J3100" s="43"/>
      <c r="K3100" s="51"/>
      <c r="L3100" s="86"/>
      <c r="M3100" s="45"/>
    </row>
    <row r="3101" spans="1:13" ht="15" x14ac:dyDescent="0.25">
      <c r="A3101" s="1">
        <v>3092</v>
      </c>
      <c r="B3101" s="1" t="s">
        <v>433</v>
      </c>
      <c r="C3101" s="32">
        <v>5668</v>
      </c>
      <c r="D3101" s="1">
        <v>23000</v>
      </c>
      <c r="E3101" s="1"/>
      <c r="F3101" s="1">
        <v>256.25</v>
      </c>
      <c r="G3101" s="1">
        <v>23000</v>
      </c>
      <c r="H3101" s="5">
        <f t="shared" si="66"/>
        <v>0</v>
      </c>
      <c r="I3101" s="6"/>
      <c r="J3101" s="43"/>
      <c r="K3101" s="51"/>
      <c r="L3101" s="86"/>
      <c r="M3101" s="45"/>
    </row>
    <row r="3102" spans="1:13" ht="15" x14ac:dyDescent="0.25">
      <c r="A3102" s="1">
        <v>3093</v>
      </c>
      <c r="B3102" s="1" t="s">
        <v>433</v>
      </c>
      <c r="C3102" s="32">
        <v>7266</v>
      </c>
      <c r="D3102" s="1">
        <v>30000</v>
      </c>
      <c r="E3102" s="1"/>
      <c r="F3102" s="1">
        <v>323.25</v>
      </c>
      <c r="G3102" s="1">
        <v>30000</v>
      </c>
      <c r="H3102" s="5">
        <f t="shared" si="66"/>
        <v>0</v>
      </c>
      <c r="I3102" s="6"/>
      <c r="J3102" s="43"/>
      <c r="K3102" s="51"/>
      <c r="L3102" s="86"/>
      <c r="M3102" s="45"/>
    </row>
    <row r="3103" spans="1:13" ht="15" x14ac:dyDescent="0.25">
      <c r="A3103" s="1">
        <v>3094</v>
      </c>
      <c r="B3103" s="1" t="s">
        <v>433</v>
      </c>
      <c r="C3103" s="32">
        <v>4124</v>
      </c>
      <c r="D3103" s="1">
        <v>30000</v>
      </c>
      <c r="E3103" s="1"/>
      <c r="F3103" s="1">
        <v>323.25</v>
      </c>
      <c r="G3103" s="1">
        <v>30000</v>
      </c>
      <c r="H3103" s="5">
        <f t="shared" si="66"/>
        <v>0</v>
      </c>
      <c r="I3103" s="6"/>
      <c r="J3103" s="43"/>
      <c r="K3103" s="51"/>
      <c r="L3103" s="86"/>
      <c r="M3103" s="45"/>
    </row>
    <row r="3104" spans="1:13" ht="15" x14ac:dyDescent="0.25">
      <c r="A3104" s="1">
        <v>3095</v>
      </c>
      <c r="B3104" s="1" t="s">
        <v>433</v>
      </c>
      <c r="C3104" s="32">
        <v>5172</v>
      </c>
      <c r="D3104" s="1">
        <v>40000</v>
      </c>
      <c r="E3104" s="1"/>
      <c r="F3104" s="1">
        <v>444.35</v>
      </c>
      <c r="G3104" s="1">
        <v>40000</v>
      </c>
      <c r="H3104" s="5">
        <f t="shared" si="66"/>
        <v>0</v>
      </c>
      <c r="I3104" s="6"/>
      <c r="J3104" s="43"/>
      <c r="K3104" s="51"/>
      <c r="L3104" s="86"/>
      <c r="M3104" s="45"/>
    </row>
    <row r="3105" spans="1:13" ht="15" x14ac:dyDescent="0.25">
      <c r="A3105" s="1">
        <v>3096</v>
      </c>
      <c r="B3105" s="1" t="s">
        <v>433</v>
      </c>
      <c r="C3105" s="32">
        <v>6.7199999999999996E-2</v>
      </c>
      <c r="D3105" s="1">
        <v>40000</v>
      </c>
      <c r="E3105" s="1"/>
      <c r="F3105" s="1">
        <v>444.35</v>
      </c>
      <c r="G3105" s="1">
        <v>40000</v>
      </c>
      <c r="H3105" s="5">
        <f t="shared" si="66"/>
        <v>0</v>
      </c>
      <c r="I3105" s="6"/>
      <c r="J3105" s="43"/>
      <c r="K3105" s="51"/>
      <c r="L3105" s="86"/>
      <c r="M3105" s="45"/>
    </row>
    <row r="3106" spans="1:13" ht="15" x14ac:dyDescent="0.25">
      <c r="A3106" s="1">
        <v>3097</v>
      </c>
      <c r="B3106" s="1" t="s">
        <v>433</v>
      </c>
      <c r="C3106" s="32">
        <v>2131</v>
      </c>
      <c r="D3106" s="1">
        <v>23000</v>
      </c>
      <c r="E3106" s="1"/>
      <c r="F3106" s="1">
        <v>250.56</v>
      </c>
      <c r="G3106" s="1">
        <v>23000</v>
      </c>
      <c r="H3106" s="5">
        <f t="shared" si="66"/>
        <v>0</v>
      </c>
      <c r="I3106" s="6"/>
      <c r="J3106" s="43"/>
      <c r="K3106" s="51"/>
      <c r="L3106" s="86"/>
      <c r="M3106" s="45"/>
    </row>
    <row r="3107" spans="1:13" ht="15" x14ac:dyDescent="0.25">
      <c r="A3107" s="1">
        <v>3098</v>
      </c>
      <c r="B3107" s="1" t="s">
        <v>434</v>
      </c>
      <c r="C3107" s="32" t="s">
        <v>30</v>
      </c>
      <c r="D3107" s="1">
        <v>4500</v>
      </c>
      <c r="E3107" s="1"/>
      <c r="F3107" s="1">
        <v>45.12</v>
      </c>
      <c r="G3107" s="1">
        <v>4500</v>
      </c>
      <c r="H3107" s="5">
        <f t="shared" si="66"/>
        <v>0</v>
      </c>
      <c r="I3107" s="6"/>
      <c r="J3107" s="43"/>
      <c r="K3107" s="51"/>
      <c r="L3107" s="86"/>
      <c r="M3107" s="45"/>
    </row>
    <row r="3108" spans="1:13" ht="15" x14ac:dyDescent="0.25">
      <c r="A3108" s="1">
        <v>3099</v>
      </c>
      <c r="B3108" s="1" t="s">
        <v>434</v>
      </c>
      <c r="C3108" s="32">
        <v>3870</v>
      </c>
      <c r="D3108" s="1">
        <v>20000</v>
      </c>
      <c r="E3108" s="1"/>
      <c r="F3108" s="1">
        <v>228.15</v>
      </c>
      <c r="G3108" s="1">
        <v>20000</v>
      </c>
      <c r="H3108" s="5">
        <f t="shared" si="66"/>
        <v>0</v>
      </c>
      <c r="I3108" s="6"/>
      <c r="J3108" s="43"/>
      <c r="K3108" s="51"/>
      <c r="L3108" s="86"/>
      <c r="M3108" s="45"/>
    </row>
    <row r="3109" spans="1:13" ht="15" x14ac:dyDescent="0.25">
      <c r="A3109" s="1">
        <v>3100</v>
      </c>
      <c r="B3109" s="1" t="s">
        <v>434</v>
      </c>
      <c r="C3109" s="32">
        <v>8046</v>
      </c>
      <c r="D3109" s="1">
        <v>28000</v>
      </c>
      <c r="E3109" s="1"/>
      <c r="F3109" s="1">
        <v>344.25</v>
      </c>
      <c r="G3109" s="1">
        <v>28000</v>
      </c>
      <c r="H3109" s="5">
        <f t="shared" si="66"/>
        <v>0</v>
      </c>
      <c r="I3109" s="6"/>
      <c r="J3109" s="43"/>
      <c r="K3109" s="51"/>
      <c r="L3109" s="86"/>
      <c r="M3109" s="45"/>
    </row>
    <row r="3110" spans="1:13" ht="15" x14ac:dyDescent="0.25">
      <c r="A3110" s="1">
        <v>3101</v>
      </c>
      <c r="B3110" s="1" t="s">
        <v>434</v>
      </c>
      <c r="C3110" s="32">
        <v>3855</v>
      </c>
      <c r="D3110" s="1">
        <v>15000</v>
      </c>
      <c r="E3110" s="1"/>
      <c r="F3110" s="1">
        <v>167.15</v>
      </c>
      <c r="G3110" s="1">
        <v>15000</v>
      </c>
      <c r="H3110" s="5">
        <f t="shared" si="66"/>
        <v>0</v>
      </c>
      <c r="I3110" s="6"/>
      <c r="J3110" s="43"/>
      <c r="K3110" s="51"/>
      <c r="L3110" s="86"/>
      <c r="M3110" s="45"/>
    </row>
    <row r="3111" spans="1:13" ht="15" x14ac:dyDescent="0.25">
      <c r="A3111" s="1">
        <v>3102</v>
      </c>
      <c r="B3111" s="1" t="s">
        <v>434</v>
      </c>
      <c r="C3111" s="32">
        <v>6214</v>
      </c>
      <c r="D3111" s="1">
        <v>17000</v>
      </c>
      <c r="E3111" s="1"/>
      <c r="F3111" s="1">
        <v>189.25</v>
      </c>
      <c r="G3111" s="1">
        <v>17000</v>
      </c>
      <c r="H3111" s="5">
        <f t="shared" si="66"/>
        <v>0</v>
      </c>
      <c r="I3111" s="6"/>
      <c r="J3111" s="43"/>
      <c r="K3111" s="51"/>
      <c r="L3111" s="86"/>
      <c r="M3111" s="45"/>
    </row>
    <row r="3112" spans="1:13" ht="15" x14ac:dyDescent="0.25">
      <c r="A3112" s="1">
        <v>3103</v>
      </c>
      <c r="B3112" s="1" t="s">
        <v>434</v>
      </c>
      <c r="C3112" s="32">
        <v>2973</v>
      </c>
      <c r="D3112" s="1">
        <v>16000</v>
      </c>
      <c r="E3112" s="1"/>
      <c r="F3112" s="1">
        <v>178.22</v>
      </c>
      <c r="G3112" s="1">
        <v>16000</v>
      </c>
      <c r="H3112" s="5">
        <f t="shared" si="66"/>
        <v>0</v>
      </c>
      <c r="I3112" s="6"/>
      <c r="J3112" s="43"/>
      <c r="K3112" s="51"/>
      <c r="L3112" s="86"/>
      <c r="M3112" s="45"/>
    </row>
    <row r="3113" spans="1:13" ht="15" x14ac:dyDescent="0.25">
      <c r="A3113" s="1">
        <v>3104</v>
      </c>
      <c r="B3113" s="1" t="s">
        <v>434</v>
      </c>
      <c r="C3113" s="32">
        <v>4282</v>
      </c>
      <c r="D3113" s="1">
        <v>16000</v>
      </c>
      <c r="E3113" s="1"/>
      <c r="F3113" s="1">
        <v>178.22</v>
      </c>
      <c r="G3113" s="1">
        <v>16000</v>
      </c>
      <c r="H3113" s="5">
        <f t="shared" si="66"/>
        <v>0</v>
      </c>
      <c r="I3113" s="6"/>
      <c r="J3113" s="43"/>
      <c r="K3113" s="51"/>
      <c r="L3113" s="86"/>
      <c r="M3113" s="45"/>
    </row>
    <row r="3114" spans="1:13" ht="15" x14ac:dyDescent="0.25">
      <c r="A3114" s="1">
        <v>3105</v>
      </c>
      <c r="B3114" s="1" t="s">
        <v>434</v>
      </c>
      <c r="C3114" s="32">
        <v>5958</v>
      </c>
      <c r="D3114" s="1">
        <v>16000</v>
      </c>
      <c r="E3114" s="1"/>
      <c r="F3114" s="1">
        <v>178.22</v>
      </c>
      <c r="G3114" s="1">
        <v>16000</v>
      </c>
      <c r="H3114" s="5">
        <f t="shared" si="66"/>
        <v>0</v>
      </c>
      <c r="I3114" s="6"/>
      <c r="J3114" s="43"/>
      <c r="K3114" s="51"/>
      <c r="L3114" s="86"/>
      <c r="M3114" s="45"/>
    </row>
    <row r="3115" spans="1:13" ht="15" x14ac:dyDescent="0.25">
      <c r="A3115" s="1">
        <v>3106</v>
      </c>
      <c r="B3115" s="1" t="s">
        <v>434</v>
      </c>
      <c r="C3115" s="32" t="s">
        <v>30</v>
      </c>
      <c r="D3115" s="1">
        <v>5000</v>
      </c>
      <c r="E3115" s="1"/>
      <c r="F3115" s="1">
        <v>55.13</v>
      </c>
      <c r="G3115" s="1">
        <v>5000</v>
      </c>
      <c r="H3115" s="5">
        <f t="shared" si="66"/>
        <v>0</v>
      </c>
      <c r="I3115" s="6"/>
      <c r="J3115" s="43"/>
      <c r="K3115" s="51"/>
      <c r="L3115" s="86"/>
      <c r="M3115" s="45"/>
    </row>
    <row r="3116" spans="1:13" ht="15" x14ac:dyDescent="0.25">
      <c r="A3116" s="1">
        <v>3107</v>
      </c>
      <c r="B3116" s="1" t="s">
        <v>434</v>
      </c>
      <c r="C3116" s="32">
        <v>4371</v>
      </c>
      <c r="D3116" s="1">
        <v>12000</v>
      </c>
      <c r="E3116" s="1"/>
      <c r="F3116" s="1">
        <v>133.24</v>
      </c>
      <c r="G3116" s="1">
        <v>12000</v>
      </c>
      <c r="H3116" s="5">
        <f t="shared" si="66"/>
        <v>0</v>
      </c>
      <c r="I3116" s="6"/>
      <c r="J3116" s="43"/>
      <c r="K3116" s="51"/>
      <c r="L3116" s="86"/>
      <c r="M3116" s="45"/>
    </row>
    <row r="3117" spans="1:13" ht="15" x14ac:dyDescent="0.25">
      <c r="A3117" s="1">
        <v>3108</v>
      </c>
      <c r="B3117" s="1" t="s">
        <v>434</v>
      </c>
      <c r="C3117" s="32">
        <v>1266</v>
      </c>
      <c r="D3117" s="1">
        <v>13000</v>
      </c>
      <c r="E3117" s="1"/>
      <c r="F3117" s="1">
        <v>144.13</v>
      </c>
      <c r="G3117" s="1">
        <v>13000</v>
      </c>
      <c r="H3117" s="5">
        <f t="shared" si="66"/>
        <v>0</v>
      </c>
      <c r="I3117" s="6"/>
      <c r="J3117" s="43"/>
      <c r="K3117" s="51"/>
      <c r="L3117" s="86"/>
      <c r="M3117" s="45"/>
    </row>
    <row r="3118" spans="1:13" ht="15" x14ac:dyDescent="0.25">
      <c r="A3118" s="1">
        <v>3109</v>
      </c>
      <c r="B3118" s="1" t="s">
        <v>434</v>
      </c>
      <c r="C3118" s="32">
        <v>7071</v>
      </c>
      <c r="D3118" s="1">
        <v>15000</v>
      </c>
      <c r="E3118" s="1"/>
      <c r="F3118" s="1">
        <v>167.15</v>
      </c>
      <c r="G3118" s="1">
        <v>15000</v>
      </c>
      <c r="H3118" s="5">
        <f t="shared" si="66"/>
        <v>0</v>
      </c>
      <c r="I3118" s="6"/>
      <c r="J3118" s="43"/>
      <c r="K3118" s="51"/>
      <c r="L3118" s="86"/>
      <c r="M3118" s="45"/>
    </row>
    <row r="3119" spans="1:13" ht="15" x14ac:dyDescent="0.25">
      <c r="A3119" s="1">
        <v>3110</v>
      </c>
      <c r="B3119" s="1" t="s">
        <v>434</v>
      </c>
      <c r="C3119" s="32">
        <v>6033</v>
      </c>
      <c r="D3119" s="1">
        <v>15000</v>
      </c>
      <c r="E3119" s="1"/>
      <c r="F3119" s="1">
        <v>167.15</v>
      </c>
      <c r="G3119" s="1">
        <v>15000</v>
      </c>
      <c r="H3119" s="5">
        <f t="shared" si="66"/>
        <v>0</v>
      </c>
      <c r="I3119" s="6"/>
      <c r="J3119" s="43"/>
      <c r="K3119" s="51"/>
      <c r="L3119" s="86"/>
      <c r="M3119" s="45"/>
    </row>
    <row r="3120" spans="1:13" ht="15" x14ac:dyDescent="0.25">
      <c r="A3120" s="1">
        <v>3111</v>
      </c>
      <c r="B3120" s="1" t="s">
        <v>434</v>
      </c>
      <c r="C3120" s="32">
        <v>5252</v>
      </c>
      <c r="D3120" s="1">
        <v>16000</v>
      </c>
      <c r="E3120" s="1"/>
      <c r="F3120" s="1">
        <v>178.22</v>
      </c>
      <c r="G3120" s="1">
        <v>16000</v>
      </c>
      <c r="H3120" s="5">
        <f t="shared" si="66"/>
        <v>0</v>
      </c>
      <c r="I3120" s="6"/>
      <c r="J3120" s="43"/>
      <c r="K3120" s="51"/>
      <c r="L3120" s="86"/>
      <c r="M3120" s="45"/>
    </row>
    <row r="3121" spans="1:14" ht="15" x14ac:dyDescent="0.25">
      <c r="A3121" s="1">
        <v>3112</v>
      </c>
      <c r="B3121" s="1" t="s">
        <v>434</v>
      </c>
      <c r="C3121" s="32">
        <v>5151</v>
      </c>
      <c r="D3121" s="1">
        <v>17000</v>
      </c>
      <c r="E3121" s="1"/>
      <c r="F3121" s="1">
        <v>189.25</v>
      </c>
      <c r="G3121" s="1">
        <v>17000</v>
      </c>
      <c r="H3121" s="5">
        <f t="shared" si="66"/>
        <v>0</v>
      </c>
      <c r="I3121" s="6"/>
      <c r="J3121" s="43"/>
      <c r="K3121" s="51"/>
      <c r="L3121" s="86"/>
      <c r="M3121" s="45"/>
    </row>
    <row r="3122" spans="1:14" ht="15" x14ac:dyDescent="0.25">
      <c r="A3122" s="1">
        <v>3113</v>
      </c>
      <c r="B3122" s="1" t="s">
        <v>434</v>
      </c>
      <c r="C3122" s="32">
        <v>4031</v>
      </c>
      <c r="D3122" s="1">
        <v>15000</v>
      </c>
      <c r="E3122" s="1"/>
      <c r="F3122" s="1">
        <v>167.15</v>
      </c>
      <c r="G3122" s="1">
        <v>15000</v>
      </c>
      <c r="H3122" s="5">
        <f t="shared" si="66"/>
        <v>0</v>
      </c>
      <c r="I3122" s="6"/>
      <c r="J3122" s="43"/>
      <c r="K3122" s="51"/>
      <c r="L3122" s="86"/>
      <c r="M3122" s="45"/>
    </row>
    <row r="3123" spans="1:14" ht="15" x14ac:dyDescent="0.25">
      <c r="A3123" s="1">
        <v>3114</v>
      </c>
      <c r="B3123" s="1" t="s">
        <v>434</v>
      </c>
      <c r="C3123" s="32">
        <v>3444</v>
      </c>
      <c r="D3123" s="1">
        <v>20000</v>
      </c>
      <c r="E3123" s="1"/>
      <c r="F3123" s="1">
        <v>222.25</v>
      </c>
      <c r="G3123" s="1">
        <v>20000</v>
      </c>
      <c r="H3123" s="5">
        <f t="shared" si="66"/>
        <v>0</v>
      </c>
      <c r="I3123" s="6"/>
      <c r="J3123" s="43"/>
      <c r="K3123" s="51"/>
      <c r="L3123" s="86"/>
      <c r="M3123" s="45"/>
    </row>
    <row r="3124" spans="1:14" ht="15" x14ac:dyDescent="0.25">
      <c r="A3124" s="1">
        <v>3115</v>
      </c>
      <c r="B3124" s="1" t="s">
        <v>434</v>
      </c>
      <c r="C3124" s="32">
        <v>8121</v>
      </c>
      <c r="D3124" s="1">
        <v>20000</v>
      </c>
      <c r="E3124" s="1"/>
      <c r="F3124" s="1">
        <v>222.25</v>
      </c>
      <c r="G3124" s="1">
        <v>20000</v>
      </c>
      <c r="H3124" s="5">
        <f t="shared" si="66"/>
        <v>0</v>
      </c>
      <c r="I3124" s="6"/>
      <c r="J3124" s="43"/>
      <c r="K3124" s="51"/>
      <c r="L3124" s="86"/>
      <c r="M3124" s="45"/>
    </row>
    <row r="3125" spans="1:14" ht="15" x14ac:dyDescent="0.25">
      <c r="A3125" s="1">
        <v>3116</v>
      </c>
      <c r="B3125" s="1" t="s">
        <v>434</v>
      </c>
      <c r="C3125" s="32">
        <v>4936</v>
      </c>
      <c r="D3125" s="1">
        <v>6000</v>
      </c>
      <c r="E3125" s="1"/>
      <c r="F3125" s="1">
        <v>66.84</v>
      </c>
      <c r="G3125" s="1">
        <v>6000</v>
      </c>
      <c r="H3125" s="5">
        <f t="shared" si="66"/>
        <v>0</v>
      </c>
      <c r="I3125" s="6"/>
      <c r="J3125" s="43"/>
      <c r="K3125" s="51"/>
      <c r="L3125" s="86"/>
      <c r="M3125" s="45"/>
    </row>
    <row r="3126" spans="1:14" ht="15" x14ac:dyDescent="0.25">
      <c r="A3126" s="1">
        <v>3117</v>
      </c>
      <c r="B3126" s="1" t="s">
        <v>434</v>
      </c>
      <c r="C3126" s="32">
        <v>8112</v>
      </c>
      <c r="D3126" s="1">
        <v>27000</v>
      </c>
      <c r="E3126" s="1"/>
      <c r="F3126" s="1">
        <v>340.8</v>
      </c>
      <c r="G3126" s="1">
        <v>27000</v>
      </c>
      <c r="H3126" s="5">
        <f t="shared" si="66"/>
        <v>0</v>
      </c>
      <c r="I3126" s="6"/>
      <c r="J3126" s="43"/>
      <c r="K3126" s="51"/>
      <c r="L3126" s="86"/>
      <c r="M3126" s="45"/>
    </row>
    <row r="3127" spans="1:14" ht="15" x14ac:dyDescent="0.25">
      <c r="A3127" s="1">
        <v>3118</v>
      </c>
      <c r="B3127" s="1" t="s">
        <v>434</v>
      </c>
      <c r="C3127" s="32">
        <v>1263</v>
      </c>
      <c r="D3127" s="1">
        <v>15000</v>
      </c>
      <c r="E3127" s="1"/>
      <c r="F3127" s="1">
        <v>167.11</v>
      </c>
      <c r="G3127" s="1">
        <v>15000</v>
      </c>
      <c r="H3127" s="5">
        <f t="shared" si="66"/>
        <v>0</v>
      </c>
      <c r="I3127" s="6"/>
      <c r="J3127" s="43"/>
      <c r="K3127" s="51"/>
      <c r="L3127" s="86"/>
      <c r="M3127" s="45"/>
    </row>
    <row r="3128" spans="1:14" ht="15" x14ac:dyDescent="0.25">
      <c r="A3128" s="1">
        <v>3119</v>
      </c>
      <c r="B3128" s="1" t="s">
        <v>434</v>
      </c>
      <c r="C3128" s="32" t="s">
        <v>66</v>
      </c>
      <c r="D3128" s="1">
        <v>210</v>
      </c>
      <c r="E3128" s="1"/>
      <c r="F3128" s="1">
        <v>2.06</v>
      </c>
      <c r="G3128" s="1">
        <v>210</v>
      </c>
      <c r="H3128" s="5">
        <f t="shared" si="66"/>
        <v>0</v>
      </c>
      <c r="I3128" s="6"/>
      <c r="J3128" s="43"/>
      <c r="K3128" s="51"/>
      <c r="L3128" s="86"/>
      <c r="M3128" s="45"/>
    </row>
    <row r="3129" spans="1:14" ht="15" x14ac:dyDescent="0.25">
      <c r="A3129" s="1">
        <v>3120</v>
      </c>
      <c r="B3129" s="1" t="s">
        <v>434</v>
      </c>
      <c r="C3129" s="32" t="s">
        <v>66</v>
      </c>
      <c r="D3129" s="1">
        <v>100</v>
      </c>
      <c r="E3129" s="1"/>
      <c r="F3129" s="1">
        <v>1.04</v>
      </c>
      <c r="G3129" s="1">
        <v>100</v>
      </c>
      <c r="H3129" s="5">
        <f t="shared" si="66"/>
        <v>0</v>
      </c>
      <c r="I3129" s="6"/>
      <c r="J3129" s="43"/>
      <c r="K3129" s="51"/>
      <c r="L3129" s="86">
        <f>1920292-1914345</f>
        <v>5947</v>
      </c>
      <c r="M3129" s="45" t="s">
        <v>432</v>
      </c>
      <c r="N3129" s="45">
        <f>5947-5330</f>
        <v>617</v>
      </c>
    </row>
    <row r="3130" spans="1:14" ht="15" x14ac:dyDescent="0.25">
      <c r="A3130" s="1">
        <v>3121</v>
      </c>
      <c r="B3130" s="1" t="s">
        <v>435</v>
      </c>
      <c r="C3130" s="32">
        <v>9555</v>
      </c>
      <c r="D3130" s="1">
        <v>15000</v>
      </c>
      <c r="E3130" s="1"/>
      <c r="F3130" s="1">
        <v>167.11</v>
      </c>
      <c r="G3130" s="1">
        <v>15000</v>
      </c>
      <c r="H3130" s="5">
        <f t="shared" si="66"/>
        <v>0</v>
      </c>
      <c r="I3130" s="6"/>
      <c r="J3130" s="43"/>
      <c r="K3130" s="51"/>
      <c r="L3130" s="86"/>
      <c r="M3130" s="45"/>
      <c r="N3130" s="45"/>
    </row>
    <row r="3131" spans="1:14" ht="15" x14ac:dyDescent="0.25">
      <c r="A3131" s="1">
        <v>3122</v>
      </c>
      <c r="B3131" s="1" t="s">
        <v>435</v>
      </c>
      <c r="C3131" s="32">
        <v>2067</v>
      </c>
      <c r="D3131" s="1">
        <v>14000</v>
      </c>
      <c r="E3131" s="1"/>
      <c r="F3131" s="1">
        <v>155.12</v>
      </c>
      <c r="G3131" s="1">
        <v>14000</v>
      </c>
      <c r="H3131" s="5">
        <f t="shared" si="66"/>
        <v>0</v>
      </c>
      <c r="I3131" s="6"/>
      <c r="J3131" s="43"/>
      <c r="K3131" s="51"/>
      <c r="L3131" s="86"/>
      <c r="M3131" s="45"/>
      <c r="N3131" s="45"/>
    </row>
    <row r="3132" spans="1:14" ht="15" x14ac:dyDescent="0.25">
      <c r="A3132" s="1">
        <v>3123</v>
      </c>
      <c r="B3132" s="1" t="s">
        <v>435</v>
      </c>
      <c r="C3132" s="32">
        <v>3662</v>
      </c>
      <c r="D3132" s="1">
        <v>18000</v>
      </c>
      <c r="E3132" s="1"/>
      <c r="F3132" s="1">
        <v>200.53</v>
      </c>
      <c r="G3132" s="1">
        <v>18000</v>
      </c>
      <c r="H3132" s="5">
        <f t="shared" si="66"/>
        <v>0</v>
      </c>
      <c r="I3132" s="6"/>
      <c r="J3132" s="43"/>
      <c r="K3132" s="51"/>
      <c r="L3132" s="86"/>
      <c r="M3132" s="45"/>
      <c r="N3132" s="45"/>
    </row>
    <row r="3133" spans="1:14" ht="15" x14ac:dyDescent="0.25">
      <c r="A3133" s="1">
        <v>3124</v>
      </c>
      <c r="B3133" s="1" t="s">
        <v>435</v>
      </c>
      <c r="C3133" s="32">
        <v>5.1999999999999998E-3</v>
      </c>
      <c r="D3133" s="1">
        <v>16000</v>
      </c>
      <c r="E3133" s="1"/>
      <c r="F3133" s="1">
        <v>178.52</v>
      </c>
      <c r="G3133" s="1">
        <v>16000</v>
      </c>
      <c r="H3133" s="5">
        <f t="shared" si="66"/>
        <v>0</v>
      </c>
      <c r="I3133" s="6"/>
      <c r="J3133" s="43"/>
      <c r="K3133" s="51"/>
      <c r="L3133" s="86"/>
      <c r="M3133" s="45"/>
      <c r="N3133" s="45"/>
    </row>
    <row r="3134" spans="1:14" ht="15" x14ac:dyDescent="0.25">
      <c r="A3134" s="1">
        <v>3125</v>
      </c>
      <c r="B3134" s="1" t="s">
        <v>435</v>
      </c>
      <c r="C3134" s="32">
        <v>3197</v>
      </c>
      <c r="D3134" s="1">
        <v>15000</v>
      </c>
      <c r="E3134" s="1"/>
      <c r="F3134" s="1">
        <v>167.11</v>
      </c>
      <c r="G3134" s="1">
        <v>15000</v>
      </c>
      <c r="H3134" s="5">
        <f t="shared" si="66"/>
        <v>0</v>
      </c>
      <c r="I3134" s="6"/>
      <c r="J3134" s="43"/>
      <c r="K3134" s="51"/>
      <c r="L3134" s="86"/>
      <c r="M3134" s="45"/>
      <c r="N3134" s="45"/>
    </row>
    <row r="3135" spans="1:14" ht="15" x14ac:dyDescent="0.25">
      <c r="A3135" s="1">
        <v>3126</v>
      </c>
      <c r="B3135" s="1" t="s">
        <v>435</v>
      </c>
      <c r="C3135" s="32">
        <v>6496</v>
      </c>
      <c r="D3135" s="1">
        <v>15000</v>
      </c>
      <c r="E3135" s="1"/>
      <c r="F3135" s="1">
        <v>167.11</v>
      </c>
      <c r="G3135" s="1">
        <v>15000</v>
      </c>
      <c r="H3135" s="5">
        <f t="shared" si="66"/>
        <v>0</v>
      </c>
      <c r="I3135" s="6"/>
      <c r="J3135" s="43"/>
      <c r="K3135" s="51"/>
      <c r="L3135" s="86"/>
      <c r="M3135" s="45"/>
      <c r="N3135" s="45"/>
    </row>
    <row r="3136" spans="1:14" ht="15" x14ac:dyDescent="0.25">
      <c r="A3136" s="1">
        <v>3127</v>
      </c>
      <c r="B3136" s="1" t="s">
        <v>435</v>
      </c>
      <c r="C3136" s="32">
        <v>7373</v>
      </c>
      <c r="D3136" s="1">
        <v>30000</v>
      </c>
      <c r="E3136" s="1"/>
      <c r="F3136" s="1">
        <v>334.22</v>
      </c>
      <c r="G3136" s="1">
        <v>30000</v>
      </c>
      <c r="H3136" s="5">
        <f t="shared" si="66"/>
        <v>0</v>
      </c>
      <c r="I3136" s="6"/>
      <c r="J3136" s="43"/>
      <c r="K3136" s="51"/>
      <c r="L3136" s="86"/>
      <c r="M3136" s="45"/>
      <c r="N3136" s="45"/>
    </row>
    <row r="3137" spans="1:14" ht="15" x14ac:dyDescent="0.25">
      <c r="A3137" s="1">
        <v>3128</v>
      </c>
      <c r="B3137" s="1" t="s">
        <v>435</v>
      </c>
      <c r="C3137" s="32">
        <v>4965</v>
      </c>
      <c r="D3137" s="1">
        <v>6000</v>
      </c>
      <c r="E3137" s="1"/>
      <c r="F3137" s="1">
        <v>65.12</v>
      </c>
      <c r="G3137" s="1">
        <v>6000</v>
      </c>
      <c r="H3137" s="5">
        <f t="shared" si="66"/>
        <v>0</v>
      </c>
      <c r="I3137" s="6"/>
      <c r="J3137" s="43"/>
      <c r="K3137" s="51"/>
      <c r="L3137" s="86"/>
      <c r="M3137" s="45"/>
      <c r="N3137" s="45"/>
    </row>
    <row r="3138" spans="1:14" ht="15" x14ac:dyDescent="0.25">
      <c r="A3138" s="1">
        <v>3129</v>
      </c>
      <c r="B3138" s="1" t="s">
        <v>435</v>
      </c>
      <c r="C3138" s="32">
        <v>5077</v>
      </c>
      <c r="D3138" s="1">
        <v>18000</v>
      </c>
      <c r="E3138" s="1"/>
      <c r="F3138" s="1">
        <v>200.25</v>
      </c>
      <c r="G3138" s="1">
        <v>18000</v>
      </c>
      <c r="H3138" s="5">
        <f t="shared" si="66"/>
        <v>0</v>
      </c>
      <c r="I3138" s="6"/>
      <c r="J3138" s="43"/>
      <c r="K3138" s="51"/>
      <c r="L3138" s="86"/>
      <c r="M3138" s="45"/>
      <c r="N3138" s="45"/>
    </row>
    <row r="3139" spans="1:14" ht="15" x14ac:dyDescent="0.25">
      <c r="A3139" s="1">
        <v>3130</v>
      </c>
      <c r="B3139" s="1" t="s">
        <v>435</v>
      </c>
      <c r="C3139" s="32">
        <v>4451</v>
      </c>
      <c r="D3139" s="1">
        <v>17000</v>
      </c>
      <c r="E3139" s="1"/>
      <c r="F3139" s="1">
        <v>189.47</v>
      </c>
      <c r="G3139" s="1">
        <v>17000</v>
      </c>
      <c r="H3139" s="5">
        <f t="shared" si="66"/>
        <v>0</v>
      </c>
      <c r="I3139" s="6"/>
      <c r="J3139" s="43"/>
      <c r="K3139" s="51"/>
      <c r="L3139" s="86"/>
      <c r="M3139" s="45"/>
      <c r="N3139" s="45"/>
    </row>
    <row r="3140" spans="1:14" ht="15" x14ac:dyDescent="0.25">
      <c r="A3140" s="1">
        <v>3131</v>
      </c>
      <c r="B3140" s="1" t="s">
        <v>435</v>
      </c>
      <c r="C3140" s="32">
        <v>1071</v>
      </c>
      <c r="D3140" s="1">
        <v>13000</v>
      </c>
      <c r="E3140" s="1"/>
      <c r="F3140" s="1">
        <v>144.13999999999999</v>
      </c>
      <c r="G3140" s="1">
        <v>13000</v>
      </c>
      <c r="H3140" s="5">
        <f t="shared" si="66"/>
        <v>0</v>
      </c>
      <c r="I3140" s="6"/>
      <c r="J3140" s="43"/>
      <c r="K3140" s="51"/>
      <c r="L3140" s="86"/>
      <c r="M3140" s="45"/>
      <c r="N3140" s="45"/>
    </row>
    <row r="3141" spans="1:14" ht="15" x14ac:dyDescent="0.25">
      <c r="A3141" s="1">
        <v>3132</v>
      </c>
      <c r="B3141" s="1" t="s">
        <v>435</v>
      </c>
      <c r="C3141" s="32">
        <v>6.4699999999999994E-2</v>
      </c>
      <c r="D3141" s="1">
        <v>14000</v>
      </c>
      <c r="E3141" s="1"/>
      <c r="F3141" s="1">
        <v>155.24</v>
      </c>
      <c r="G3141" s="1">
        <v>14000</v>
      </c>
      <c r="H3141" s="5">
        <f t="shared" si="66"/>
        <v>0</v>
      </c>
      <c r="I3141" s="6"/>
      <c r="J3141" s="43"/>
      <c r="K3141" s="51"/>
      <c r="L3141" s="86"/>
      <c r="M3141" s="45"/>
      <c r="N3141" s="45"/>
    </row>
    <row r="3142" spans="1:14" ht="15" x14ac:dyDescent="0.25">
      <c r="A3142" s="1">
        <v>3133</v>
      </c>
      <c r="B3142" s="1" t="s">
        <v>435</v>
      </c>
      <c r="C3142" s="32">
        <v>3941</v>
      </c>
      <c r="D3142" s="1">
        <v>14000</v>
      </c>
      <c r="E3142" s="1"/>
      <c r="F3142" s="1">
        <v>155.24</v>
      </c>
      <c r="G3142" s="1">
        <v>14000</v>
      </c>
      <c r="H3142" s="5">
        <f t="shared" si="66"/>
        <v>0</v>
      </c>
      <c r="I3142" s="6"/>
      <c r="J3142" s="43"/>
      <c r="K3142" s="51"/>
      <c r="L3142" s="86"/>
      <c r="M3142" s="45"/>
      <c r="N3142" s="45"/>
    </row>
    <row r="3143" spans="1:14" ht="15" x14ac:dyDescent="0.25">
      <c r="A3143" s="1">
        <v>3134</v>
      </c>
      <c r="B3143" s="1" t="s">
        <v>435</v>
      </c>
      <c r="C3143" s="32">
        <v>5076</v>
      </c>
      <c r="D3143" s="1">
        <v>18000</v>
      </c>
      <c r="E3143" s="1"/>
      <c r="F3143" s="1">
        <v>200.53</v>
      </c>
      <c r="G3143" s="1">
        <v>18000</v>
      </c>
      <c r="H3143" s="5">
        <f t="shared" si="66"/>
        <v>0</v>
      </c>
      <c r="I3143" s="6"/>
      <c r="J3143" s="43"/>
      <c r="K3143" s="51"/>
      <c r="L3143" s="86"/>
      <c r="M3143" s="45"/>
      <c r="N3143" s="45"/>
    </row>
    <row r="3144" spans="1:14" ht="15" x14ac:dyDescent="0.25">
      <c r="A3144" s="1">
        <v>3135</v>
      </c>
      <c r="B3144" s="1" t="s">
        <v>435</v>
      </c>
      <c r="C3144" s="32">
        <v>3614</v>
      </c>
      <c r="D3144" s="1">
        <v>7000</v>
      </c>
      <c r="E3144" s="1"/>
      <c r="F3144" s="1">
        <v>77.489999999999995</v>
      </c>
      <c r="G3144" s="1">
        <v>7000</v>
      </c>
      <c r="H3144" s="5">
        <f t="shared" si="66"/>
        <v>0</v>
      </c>
      <c r="I3144" s="6"/>
      <c r="J3144" s="43"/>
      <c r="K3144" s="51"/>
      <c r="L3144" s="86"/>
      <c r="M3144" s="45"/>
      <c r="N3144" s="45"/>
    </row>
    <row r="3145" spans="1:14" ht="15" x14ac:dyDescent="0.25">
      <c r="A3145" s="1">
        <v>3136</v>
      </c>
      <c r="B3145" s="1" t="s">
        <v>435</v>
      </c>
      <c r="C3145" s="32">
        <v>4725</v>
      </c>
      <c r="D3145" s="1">
        <v>28000</v>
      </c>
      <c r="E3145" s="1"/>
      <c r="F3145" s="1">
        <v>311.24</v>
      </c>
      <c r="G3145" s="1">
        <v>28000</v>
      </c>
      <c r="H3145" s="5">
        <f t="shared" si="66"/>
        <v>0</v>
      </c>
      <c r="I3145" s="6"/>
      <c r="J3145" s="43"/>
      <c r="K3145" s="51"/>
      <c r="L3145" s="86"/>
      <c r="M3145" s="45"/>
      <c r="N3145" s="45"/>
    </row>
    <row r="3146" spans="1:14" ht="15" x14ac:dyDescent="0.25">
      <c r="A3146" s="1">
        <v>3137</v>
      </c>
      <c r="B3146" s="1" t="s">
        <v>435</v>
      </c>
      <c r="C3146" s="32">
        <v>9979</v>
      </c>
      <c r="D3146" s="1">
        <v>13000</v>
      </c>
      <c r="E3146" s="1"/>
      <c r="F3146" s="1">
        <v>144.13</v>
      </c>
      <c r="G3146" s="1">
        <v>13000</v>
      </c>
      <c r="H3146" s="5">
        <f t="shared" si="66"/>
        <v>0</v>
      </c>
      <c r="I3146" s="6"/>
      <c r="J3146" s="43"/>
      <c r="K3146" s="51"/>
      <c r="L3146" s="86"/>
      <c r="M3146" s="45"/>
      <c r="N3146" s="45"/>
    </row>
    <row r="3147" spans="1:14" ht="15" x14ac:dyDescent="0.25">
      <c r="A3147" s="1">
        <v>3138</v>
      </c>
      <c r="B3147" s="1" t="s">
        <v>435</v>
      </c>
      <c r="C3147" s="32">
        <v>9668</v>
      </c>
      <c r="D3147" s="1">
        <v>13000</v>
      </c>
      <c r="E3147" s="1"/>
      <c r="F3147" s="1">
        <v>144.13</v>
      </c>
      <c r="G3147" s="1">
        <v>13000</v>
      </c>
      <c r="H3147" s="5">
        <f t="shared" si="66"/>
        <v>0</v>
      </c>
      <c r="I3147" s="6"/>
      <c r="J3147" s="43"/>
      <c r="K3147" s="51"/>
      <c r="L3147" s="86"/>
      <c r="M3147" s="45"/>
      <c r="N3147" s="45"/>
    </row>
    <row r="3148" spans="1:14" ht="15" x14ac:dyDescent="0.25">
      <c r="A3148" s="1">
        <v>3139</v>
      </c>
      <c r="B3148" s="1" t="s">
        <v>435</v>
      </c>
      <c r="C3148" s="32">
        <v>1.6500000000000001E-2</v>
      </c>
      <c r="D3148" s="1">
        <v>13000</v>
      </c>
      <c r="E3148" s="1"/>
      <c r="F3148" s="1">
        <v>144.13</v>
      </c>
      <c r="G3148" s="1">
        <v>13000</v>
      </c>
      <c r="H3148" s="5">
        <f t="shared" si="66"/>
        <v>0</v>
      </c>
      <c r="I3148" s="6"/>
      <c r="J3148" s="43"/>
      <c r="K3148" s="51"/>
      <c r="L3148" s="86"/>
      <c r="M3148" s="45"/>
      <c r="N3148" s="45"/>
    </row>
    <row r="3149" spans="1:14" ht="15" x14ac:dyDescent="0.25">
      <c r="A3149" s="1">
        <v>3140</v>
      </c>
      <c r="B3149" s="1" t="s">
        <v>435</v>
      </c>
      <c r="C3149" s="32">
        <v>1842</v>
      </c>
      <c r="D3149" s="1">
        <v>13000</v>
      </c>
      <c r="E3149" s="1"/>
      <c r="F3149" s="1">
        <v>144.13</v>
      </c>
      <c r="G3149" s="1">
        <v>13000</v>
      </c>
      <c r="H3149" s="5">
        <f t="shared" si="66"/>
        <v>0</v>
      </c>
      <c r="I3149" s="6"/>
      <c r="J3149" s="43"/>
      <c r="K3149" s="51"/>
      <c r="L3149" s="86"/>
      <c r="M3149" s="45"/>
      <c r="N3149" s="45"/>
    </row>
    <row r="3150" spans="1:14" ht="15" x14ac:dyDescent="0.25">
      <c r="A3150" s="1">
        <v>3141</v>
      </c>
      <c r="B3150" s="1" t="s">
        <v>435</v>
      </c>
      <c r="C3150" s="32">
        <v>4627</v>
      </c>
      <c r="D3150" s="1">
        <v>14000</v>
      </c>
      <c r="E3150" s="1"/>
      <c r="F3150" s="1">
        <v>155.25</v>
      </c>
      <c r="G3150" s="1">
        <v>14000</v>
      </c>
      <c r="H3150" s="5">
        <f t="shared" si="66"/>
        <v>0</v>
      </c>
      <c r="I3150" s="6"/>
      <c r="J3150" s="43"/>
      <c r="K3150" s="51"/>
      <c r="L3150" s="86"/>
      <c r="M3150" s="45"/>
      <c r="N3150" s="45"/>
    </row>
    <row r="3151" spans="1:14" ht="15" x14ac:dyDescent="0.25">
      <c r="A3151" s="1">
        <v>3142</v>
      </c>
      <c r="B3151" s="1" t="s">
        <v>435</v>
      </c>
      <c r="C3151" s="32">
        <v>9998</v>
      </c>
      <c r="D3151" s="1">
        <v>18000</v>
      </c>
      <c r="E3151" s="1"/>
      <c r="F3151" s="1">
        <v>200.53</v>
      </c>
      <c r="G3151" s="1">
        <v>18000</v>
      </c>
      <c r="H3151" s="5">
        <f t="shared" si="66"/>
        <v>0</v>
      </c>
      <c r="I3151" s="6"/>
      <c r="J3151" s="43"/>
      <c r="K3151" s="51"/>
      <c r="L3151" s="86"/>
      <c r="M3151" s="45"/>
      <c r="N3151" s="45"/>
    </row>
    <row r="3152" spans="1:14" ht="15" x14ac:dyDescent="0.25">
      <c r="A3152" s="1">
        <v>3143</v>
      </c>
      <c r="B3152" s="1" t="s">
        <v>435</v>
      </c>
      <c r="C3152" s="32">
        <v>4566</v>
      </c>
      <c r="D3152" s="1">
        <v>17000</v>
      </c>
      <c r="E3152" s="1"/>
      <c r="F3152" s="1">
        <v>189.25</v>
      </c>
      <c r="G3152" s="1">
        <v>17000</v>
      </c>
      <c r="H3152" s="5">
        <f t="shared" si="66"/>
        <v>0</v>
      </c>
      <c r="I3152" s="6"/>
      <c r="J3152" s="43"/>
      <c r="K3152" s="51"/>
      <c r="L3152" s="86"/>
      <c r="M3152" s="45"/>
      <c r="N3152" s="45"/>
    </row>
    <row r="3153" spans="1:14" ht="15" x14ac:dyDescent="0.25">
      <c r="A3153" s="1">
        <v>3144</v>
      </c>
      <c r="B3153" s="1" t="s">
        <v>435</v>
      </c>
      <c r="C3153" s="32">
        <v>9905</v>
      </c>
      <c r="D3153" s="1">
        <v>10000</v>
      </c>
      <c r="E3153" s="1"/>
      <c r="F3153" s="1">
        <v>111.4</v>
      </c>
      <c r="G3153" s="1">
        <v>10000</v>
      </c>
      <c r="H3153" s="5">
        <f t="shared" si="66"/>
        <v>0</v>
      </c>
      <c r="I3153" s="6"/>
      <c r="J3153" s="43"/>
      <c r="K3153" s="51"/>
      <c r="L3153" s="86"/>
      <c r="M3153" s="45"/>
      <c r="N3153" s="45"/>
    </row>
    <row r="3154" spans="1:14" ht="15" x14ac:dyDescent="0.25">
      <c r="A3154" s="1">
        <v>3145</v>
      </c>
      <c r="B3154" s="1" t="s">
        <v>435</v>
      </c>
      <c r="C3154" s="32">
        <v>4625</v>
      </c>
      <c r="D3154" s="1">
        <v>14000</v>
      </c>
      <c r="E3154" s="1"/>
      <c r="F3154" s="1">
        <v>155.25</v>
      </c>
      <c r="G3154" s="1">
        <v>14000</v>
      </c>
      <c r="H3154" s="5">
        <f t="shared" si="66"/>
        <v>0</v>
      </c>
      <c r="I3154" s="6"/>
      <c r="J3154" s="43"/>
      <c r="K3154" s="51"/>
      <c r="L3154" s="86"/>
      <c r="M3154" s="45"/>
      <c r="N3154" s="45"/>
    </row>
    <row r="3155" spans="1:14" ht="15" x14ac:dyDescent="0.25">
      <c r="A3155" s="1">
        <v>3146</v>
      </c>
      <c r="B3155" s="1" t="s">
        <v>435</v>
      </c>
      <c r="C3155" s="32">
        <v>4935</v>
      </c>
      <c r="D3155" s="1">
        <v>6000</v>
      </c>
      <c r="E3155" s="1"/>
      <c r="F3155" s="1">
        <v>66.150000000000006</v>
      </c>
      <c r="G3155" s="1">
        <v>6000</v>
      </c>
      <c r="H3155" s="5">
        <f t="shared" si="66"/>
        <v>0</v>
      </c>
      <c r="I3155" s="6"/>
      <c r="J3155" s="43"/>
      <c r="K3155" s="51"/>
      <c r="L3155" s="86"/>
      <c r="M3155" s="45"/>
      <c r="N3155" s="45"/>
    </row>
    <row r="3156" spans="1:14" ht="15" x14ac:dyDescent="0.25">
      <c r="A3156" s="1">
        <v>3147</v>
      </c>
      <c r="B3156" s="1" t="s">
        <v>435</v>
      </c>
      <c r="C3156" s="32">
        <v>5113</v>
      </c>
      <c r="D3156" s="1">
        <v>14000</v>
      </c>
      <c r="E3156" s="1"/>
      <c r="F3156" s="1">
        <v>155.24</v>
      </c>
      <c r="G3156" s="1">
        <v>14000</v>
      </c>
      <c r="H3156" s="5">
        <f t="shared" si="66"/>
        <v>0</v>
      </c>
      <c r="I3156" s="6"/>
      <c r="J3156" s="43"/>
      <c r="K3156" s="51"/>
      <c r="L3156" s="86"/>
      <c r="M3156" s="45"/>
      <c r="N3156" s="45"/>
    </row>
    <row r="3157" spans="1:14" ht="15" x14ac:dyDescent="0.25">
      <c r="A3157" s="1">
        <v>3148</v>
      </c>
      <c r="B3157" s="1" t="s">
        <v>435</v>
      </c>
      <c r="C3157" s="32">
        <v>5112</v>
      </c>
      <c r="D3157" s="1">
        <v>14000</v>
      </c>
      <c r="E3157" s="1"/>
      <c r="F3157" s="1">
        <v>155.24</v>
      </c>
      <c r="G3157" s="1">
        <v>14000</v>
      </c>
      <c r="H3157" s="5">
        <f t="shared" si="66"/>
        <v>0</v>
      </c>
      <c r="I3157" s="6"/>
      <c r="J3157" s="43"/>
      <c r="K3157" s="51"/>
      <c r="L3157" s="86"/>
      <c r="M3157" s="45"/>
      <c r="N3157" s="45"/>
    </row>
    <row r="3158" spans="1:14" ht="15" x14ac:dyDescent="0.25">
      <c r="A3158" s="1">
        <v>3149</v>
      </c>
      <c r="B3158" s="1" t="s">
        <v>435</v>
      </c>
      <c r="C3158" s="32">
        <v>9976</v>
      </c>
      <c r="D3158" s="1">
        <v>13000</v>
      </c>
      <c r="E3158" s="1"/>
      <c r="F3158" s="1">
        <v>144.13</v>
      </c>
      <c r="G3158" s="1">
        <v>13000</v>
      </c>
      <c r="H3158" s="5">
        <f t="shared" si="66"/>
        <v>0</v>
      </c>
      <c r="I3158" s="6"/>
      <c r="J3158" s="43"/>
      <c r="K3158" s="51"/>
      <c r="L3158" s="86"/>
      <c r="M3158" s="45"/>
      <c r="N3158" s="45"/>
    </row>
    <row r="3159" spans="1:14" ht="15" x14ac:dyDescent="0.25">
      <c r="A3159" s="1">
        <v>3150</v>
      </c>
      <c r="B3159" s="1" t="s">
        <v>435</v>
      </c>
      <c r="C3159" s="32">
        <v>9906</v>
      </c>
      <c r="D3159" s="1">
        <v>15000</v>
      </c>
      <c r="E3159" s="1"/>
      <c r="F3159" s="1">
        <v>167.11</v>
      </c>
      <c r="G3159" s="1">
        <v>15000</v>
      </c>
      <c r="H3159" s="5">
        <f t="shared" si="66"/>
        <v>0</v>
      </c>
      <c r="I3159" s="6"/>
      <c r="J3159" s="43"/>
      <c r="K3159" s="51"/>
      <c r="L3159" s="86"/>
      <c r="M3159" s="45"/>
      <c r="N3159" s="45"/>
    </row>
    <row r="3160" spans="1:14" ht="15" x14ac:dyDescent="0.25">
      <c r="A3160" s="1">
        <v>3151</v>
      </c>
      <c r="B3160" s="1" t="s">
        <v>435</v>
      </c>
      <c r="C3160" s="32">
        <v>4561</v>
      </c>
      <c r="D3160" s="1">
        <v>20000</v>
      </c>
      <c r="E3160" s="1"/>
      <c r="F3160" s="1">
        <v>222.81</v>
      </c>
      <c r="G3160" s="1">
        <v>20000</v>
      </c>
      <c r="H3160" s="5">
        <f t="shared" ref="H3160:H3223" si="67">D3160-G3160</f>
        <v>0</v>
      </c>
      <c r="I3160" s="6"/>
      <c r="J3160" s="43"/>
      <c r="K3160" s="51"/>
      <c r="L3160" s="86"/>
      <c r="M3160" s="45"/>
      <c r="N3160" s="45"/>
    </row>
    <row r="3161" spans="1:14" ht="15" x14ac:dyDescent="0.25">
      <c r="A3161" s="1">
        <v>3152</v>
      </c>
      <c r="B3161" s="1" t="s">
        <v>435</v>
      </c>
      <c r="C3161" s="32">
        <v>9903</v>
      </c>
      <c r="D3161" s="1">
        <v>20000</v>
      </c>
      <c r="E3161" s="1"/>
      <c r="F3161" s="1">
        <v>222.81</v>
      </c>
      <c r="G3161" s="1">
        <v>20000</v>
      </c>
      <c r="H3161" s="5">
        <f t="shared" si="67"/>
        <v>0</v>
      </c>
      <c r="I3161" s="6"/>
      <c r="J3161" s="43"/>
      <c r="K3161" s="51"/>
      <c r="L3161" s="86"/>
      <c r="M3161" s="45"/>
      <c r="N3161" s="45"/>
    </row>
    <row r="3162" spans="1:14" ht="15" x14ac:dyDescent="0.25">
      <c r="A3162" s="1">
        <v>3153</v>
      </c>
      <c r="B3162" s="1" t="s">
        <v>435</v>
      </c>
      <c r="C3162" s="32">
        <v>5210</v>
      </c>
      <c r="D3162" s="1">
        <v>20000</v>
      </c>
      <c r="E3162" s="1"/>
      <c r="F3162" s="1">
        <v>222.81</v>
      </c>
      <c r="G3162" s="1">
        <v>20000</v>
      </c>
      <c r="H3162" s="5">
        <f t="shared" si="67"/>
        <v>0</v>
      </c>
      <c r="I3162" s="6"/>
      <c r="J3162" s="43"/>
      <c r="K3162" s="51"/>
      <c r="L3162" s="86"/>
      <c r="M3162" s="45"/>
      <c r="N3162" s="45"/>
    </row>
    <row r="3163" spans="1:14" ht="15" x14ac:dyDescent="0.25">
      <c r="A3163" s="1">
        <v>3154</v>
      </c>
      <c r="B3163" s="1" t="s">
        <v>435</v>
      </c>
      <c r="C3163" s="32">
        <v>7393</v>
      </c>
      <c r="D3163" s="1">
        <v>25000</v>
      </c>
      <c r="E3163" s="1"/>
      <c r="F3163" s="1">
        <v>278.22000000000003</v>
      </c>
      <c r="G3163" s="1">
        <v>25000</v>
      </c>
      <c r="H3163" s="5">
        <f t="shared" si="67"/>
        <v>0</v>
      </c>
      <c r="I3163" s="6"/>
      <c r="J3163" s="43"/>
      <c r="K3163" s="51"/>
      <c r="L3163" s="86"/>
      <c r="M3163" s="45"/>
      <c r="N3163" s="45"/>
    </row>
    <row r="3164" spans="1:14" ht="15" x14ac:dyDescent="0.25">
      <c r="A3164" s="1">
        <v>3155</v>
      </c>
      <c r="B3164" s="1" t="s">
        <v>435</v>
      </c>
      <c r="C3164" s="32">
        <v>6199</v>
      </c>
      <c r="D3164" s="1">
        <v>25000</v>
      </c>
      <c r="E3164" s="1"/>
      <c r="F3164" s="1">
        <v>278.22000000000003</v>
      </c>
      <c r="G3164" s="1">
        <v>25000</v>
      </c>
      <c r="H3164" s="5">
        <f t="shared" si="67"/>
        <v>0</v>
      </c>
      <c r="I3164" s="6"/>
      <c r="J3164" s="43"/>
      <c r="K3164" s="51"/>
      <c r="L3164" s="86"/>
      <c r="M3164" s="45"/>
      <c r="N3164" s="45"/>
    </row>
    <row r="3165" spans="1:14" ht="15" x14ac:dyDescent="0.25">
      <c r="A3165" s="1">
        <v>3156</v>
      </c>
      <c r="B3165" s="1" t="s">
        <v>435</v>
      </c>
      <c r="C3165" s="32">
        <v>7392</v>
      </c>
      <c r="D3165" s="1">
        <v>25000</v>
      </c>
      <c r="E3165" s="1"/>
      <c r="F3165" s="1">
        <v>278.22000000000003</v>
      </c>
      <c r="G3165" s="1">
        <v>25000</v>
      </c>
      <c r="H3165" s="5">
        <f t="shared" si="67"/>
        <v>0</v>
      </c>
      <c r="I3165" s="6"/>
      <c r="J3165" s="43"/>
      <c r="K3165" s="51"/>
      <c r="L3165" s="86"/>
      <c r="M3165" s="45"/>
      <c r="N3165" s="45"/>
    </row>
    <row r="3166" spans="1:14" ht="15" x14ac:dyDescent="0.25">
      <c r="A3166" s="1">
        <v>3157</v>
      </c>
      <c r="B3166" s="1" t="s">
        <v>435</v>
      </c>
      <c r="C3166" s="32">
        <v>4051</v>
      </c>
      <c r="D3166" s="1">
        <v>15000</v>
      </c>
      <c r="E3166" s="1"/>
      <c r="F3166" s="1">
        <v>167.11</v>
      </c>
      <c r="G3166" s="1">
        <v>15000</v>
      </c>
      <c r="H3166" s="5">
        <f t="shared" si="67"/>
        <v>0</v>
      </c>
      <c r="I3166" s="6"/>
      <c r="J3166" s="43"/>
      <c r="K3166" s="51"/>
      <c r="L3166" s="86"/>
      <c r="M3166" s="45"/>
      <c r="N3166" s="45"/>
    </row>
    <row r="3167" spans="1:14" ht="15" x14ac:dyDescent="0.25">
      <c r="A3167" s="1">
        <v>3158</v>
      </c>
      <c r="B3167" s="1" t="s">
        <v>435</v>
      </c>
      <c r="C3167" s="32">
        <v>2587</v>
      </c>
      <c r="D3167" s="1">
        <v>22000</v>
      </c>
      <c r="E3167" s="1"/>
      <c r="F3167" s="1">
        <v>245.28</v>
      </c>
      <c r="G3167" s="1">
        <v>22000</v>
      </c>
      <c r="H3167" s="5">
        <f t="shared" si="67"/>
        <v>0</v>
      </c>
      <c r="I3167" s="6"/>
      <c r="J3167" s="43"/>
      <c r="K3167" s="51"/>
      <c r="L3167" s="86"/>
      <c r="M3167" s="45"/>
      <c r="N3167" s="45"/>
    </row>
    <row r="3168" spans="1:14" ht="15" x14ac:dyDescent="0.25">
      <c r="A3168" s="1">
        <v>3159</v>
      </c>
      <c r="B3168" s="1" t="s">
        <v>435</v>
      </c>
      <c r="C3168" s="32">
        <v>8006</v>
      </c>
      <c r="D3168" s="1">
        <v>22000</v>
      </c>
      <c r="E3168" s="1"/>
      <c r="F3168" s="1">
        <v>245.28</v>
      </c>
      <c r="G3168" s="1">
        <v>22000</v>
      </c>
      <c r="H3168" s="5">
        <f t="shared" si="67"/>
        <v>0</v>
      </c>
      <c r="I3168" s="6"/>
      <c r="J3168" s="43"/>
      <c r="K3168" s="51"/>
      <c r="L3168" s="86">
        <f>1959292-1953345</f>
        <v>5947</v>
      </c>
      <c r="M3168" s="45" t="s">
        <v>432</v>
      </c>
      <c r="N3168" s="45">
        <f>5947-5330</f>
        <v>617</v>
      </c>
    </row>
    <row r="3169" spans="1:14" ht="15" x14ac:dyDescent="0.25">
      <c r="A3169" s="1">
        <v>3160</v>
      </c>
      <c r="B3169" s="1" t="s">
        <v>436</v>
      </c>
      <c r="C3169" s="32">
        <v>2973</v>
      </c>
      <c r="D3169" s="1">
        <v>16000</v>
      </c>
      <c r="E3169" s="1"/>
      <c r="F3169" s="1">
        <v>178.22</v>
      </c>
      <c r="G3169" s="1">
        <v>16000</v>
      </c>
      <c r="H3169" s="5">
        <f t="shared" si="67"/>
        <v>0</v>
      </c>
      <c r="I3169" s="6"/>
      <c r="J3169" s="43"/>
      <c r="K3169" s="51"/>
      <c r="L3169" s="86"/>
      <c r="M3169" s="45"/>
      <c r="N3169" s="45"/>
    </row>
    <row r="3170" spans="1:14" ht="15" x14ac:dyDescent="0.25">
      <c r="A3170" s="1">
        <v>3161</v>
      </c>
      <c r="B3170" s="1" t="s">
        <v>436</v>
      </c>
      <c r="C3170" s="32">
        <v>5958</v>
      </c>
      <c r="D3170" s="1">
        <v>16000</v>
      </c>
      <c r="E3170" s="1"/>
      <c r="F3170" s="1">
        <v>178.22</v>
      </c>
      <c r="G3170" s="1">
        <v>16000</v>
      </c>
      <c r="H3170" s="5">
        <f t="shared" si="67"/>
        <v>0</v>
      </c>
      <c r="I3170" s="6"/>
      <c r="J3170" s="43"/>
      <c r="K3170" s="51"/>
      <c r="L3170" s="86"/>
      <c r="M3170" s="45"/>
      <c r="N3170" s="45"/>
    </row>
    <row r="3171" spans="1:14" ht="15" x14ac:dyDescent="0.25">
      <c r="A3171" s="1">
        <v>3162</v>
      </c>
      <c r="B3171" s="1" t="s">
        <v>436</v>
      </c>
      <c r="C3171" s="32">
        <v>1263</v>
      </c>
      <c r="D3171" s="1">
        <v>12000</v>
      </c>
      <c r="E3171" s="1"/>
      <c r="F3171" s="1">
        <v>133.12</v>
      </c>
      <c r="G3171" s="1">
        <v>12000</v>
      </c>
      <c r="H3171" s="5">
        <f t="shared" si="67"/>
        <v>0</v>
      </c>
      <c r="I3171" s="6"/>
      <c r="J3171" s="43"/>
      <c r="K3171" s="51"/>
      <c r="L3171" s="86"/>
      <c r="M3171" s="45"/>
      <c r="N3171" s="45"/>
    </row>
    <row r="3172" spans="1:14" ht="15" x14ac:dyDescent="0.25">
      <c r="A3172" s="1">
        <v>3163</v>
      </c>
      <c r="B3172" s="1" t="s">
        <v>436</v>
      </c>
      <c r="C3172" s="32">
        <v>3944</v>
      </c>
      <c r="D3172" s="1">
        <v>8000</v>
      </c>
      <c r="E3172" s="1"/>
      <c r="F3172" s="1">
        <v>89.12</v>
      </c>
      <c r="G3172" s="1">
        <v>8000</v>
      </c>
      <c r="H3172" s="5">
        <f t="shared" si="67"/>
        <v>0</v>
      </c>
      <c r="I3172" s="6"/>
      <c r="J3172" s="43"/>
      <c r="K3172" s="51"/>
      <c r="L3172" s="86"/>
      <c r="M3172" s="45"/>
      <c r="N3172" s="45"/>
    </row>
    <row r="3173" spans="1:14" ht="15" x14ac:dyDescent="0.25">
      <c r="A3173" s="1">
        <v>3164</v>
      </c>
      <c r="B3173" s="1" t="s">
        <v>436</v>
      </c>
      <c r="C3173" s="32" t="s">
        <v>63</v>
      </c>
      <c r="D3173" s="1">
        <v>3500</v>
      </c>
      <c r="E3173" s="1"/>
      <c r="F3173" s="1">
        <v>38.15</v>
      </c>
      <c r="G3173" s="1">
        <v>3500</v>
      </c>
      <c r="H3173" s="5">
        <f t="shared" si="67"/>
        <v>0</v>
      </c>
      <c r="I3173" s="6"/>
      <c r="J3173" s="43"/>
      <c r="K3173" s="51"/>
      <c r="L3173" s="86"/>
      <c r="M3173" s="45"/>
      <c r="N3173" s="45"/>
    </row>
    <row r="3174" spans="1:14" ht="15" x14ac:dyDescent="0.25">
      <c r="A3174" s="1">
        <v>3165</v>
      </c>
      <c r="B3174" s="1" t="s">
        <v>436</v>
      </c>
      <c r="C3174" s="32">
        <v>5886</v>
      </c>
      <c r="D3174" s="1">
        <v>7500</v>
      </c>
      <c r="E3174" s="1"/>
      <c r="F3174" s="1">
        <v>83.15</v>
      </c>
      <c r="G3174" s="1">
        <v>7500</v>
      </c>
      <c r="H3174" s="5">
        <f t="shared" si="67"/>
        <v>0</v>
      </c>
      <c r="I3174" s="6"/>
      <c r="J3174" s="43"/>
      <c r="K3174" s="51"/>
      <c r="L3174" s="86"/>
      <c r="M3174" s="45"/>
      <c r="N3174" s="45"/>
    </row>
    <row r="3175" spans="1:14" ht="15" x14ac:dyDescent="0.25">
      <c r="A3175" s="1">
        <v>3166</v>
      </c>
      <c r="B3175" s="1" t="s">
        <v>436</v>
      </c>
      <c r="C3175" s="32">
        <v>8440</v>
      </c>
      <c r="D3175" s="1">
        <v>18000</v>
      </c>
      <c r="E3175" s="1"/>
      <c r="F3175" s="1">
        <v>200.53</v>
      </c>
      <c r="G3175" s="1">
        <v>18000</v>
      </c>
      <c r="H3175" s="5">
        <f t="shared" si="67"/>
        <v>0</v>
      </c>
      <c r="I3175" s="6"/>
      <c r="J3175" s="43"/>
      <c r="K3175" s="51"/>
      <c r="L3175" s="86"/>
      <c r="M3175" s="45"/>
      <c r="N3175" s="45"/>
    </row>
    <row r="3176" spans="1:14" ht="15" x14ac:dyDescent="0.25">
      <c r="A3176" s="1">
        <v>3167</v>
      </c>
      <c r="B3176" s="1" t="s">
        <v>436</v>
      </c>
      <c r="C3176" s="32">
        <v>5657</v>
      </c>
      <c r="D3176" s="1">
        <v>18000</v>
      </c>
      <c r="E3176" s="1"/>
      <c r="F3176" s="1">
        <v>200.53</v>
      </c>
      <c r="G3176" s="1">
        <v>18000</v>
      </c>
      <c r="H3176" s="5">
        <f t="shared" si="67"/>
        <v>0</v>
      </c>
      <c r="I3176" s="6"/>
      <c r="J3176" s="43"/>
      <c r="K3176" s="51"/>
      <c r="L3176" s="86"/>
      <c r="M3176" s="45"/>
      <c r="N3176" s="45"/>
    </row>
    <row r="3177" spans="1:14" ht="15" x14ac:dyDescent="0.25">
      <c r="A3177" s="1">
        <v>3168</v>
      </c>
      <c r="B3177" s="1" t="s">
        <v>436</v>
      </c>
      <c r="C3177" s="32">
        <v>7359</v>
      </c>
      <c r="D3177" s="1">
        <v>8000</v>
      </c>
      <c r="E3177" s="1"/>
      <c r="F3177" s="1">
        <v>89.12</v>
      </c>
      <c r="G3177" s="1">
        <v>8000</v>
      </c>
      <c r="H3177" s="5">
        <f t="shared" si="67"/>
        <v>0</v>
      </c>
      <c r="I3177" s="6"/>
      <c r="J3177" s="43"/>
      <c r="K3177" s="51"/>
      <c r="L3177" s="86"/>
      <c r="M3177" s="45"/>
      <c r="N3177" s="45"/>
    </row>
    <row r="3178" spans="1:14" ht="15" x14ac:dyDescent="0.25">
      <c r="A3178" s="1">
        <v>3169</v>
      </c>
      <c r="B3178" s="1" t="s">
        <v>436</v>
      </c>
      <c r="C3178" s="32">
        <v>2.87E-2</v>
      </c>
      <c r="D3178" s="1">
        <v>17000</v>
      </c>
      <c r="E3178" s="1"/>
      <c r="F3178" s="1">
        <v>189.12</v>
      </c>
      <c r="G3178" s="1">
        <v>17000</v>
      </c>
      <c r="H3178" s="5">
        <f t="shared" si="67"/>
        <v>0</v>
      </c>
      <c r="I3178" s="6"/>
      <c r="J3178" s="43"/>
      <c r="K3178" s="51"/>
      <c r="L3178" s="86"/>
      <c r="M3178" s="45"/>
      <c r="N3178" s="45"/>
    </row>
    <row r="3179" spans="1:14" ht="15" x14ac:dyDescent="0.25">
      <c r="A3179" s="1">
        <v>3170</v>
      </c>
      <c r="B3179" s="1" t="s">
        <v>436</v>
      </c>
      <c r="C3179" s="32">
        <v>2829</v>
      </c>
      <c r="D3179" s="1">
        <v>18000</v>
      </c>
      <c r="E3179" s="1"/>
      <c r="F3179" s="1">
        <v>200.53</v>
      </c>
      <c r="G3179" s="1">
        <v>18000</v>
      </c>
      <c r="H3179" s="5">
        <f t="shared" si="67"/>
        <v>0</v>
      </c>
      <c r="I3179" s="6"/>
      <c r="J3179" s="43"/>
      <c r="K3179" s="51"/>
      <c r="L3179" s="86"/>
      <c r="M3179" s="45"/>
      <c r="N3179" s="45"/>
    </row>
    <row r="3180" spans="1:14" ht="15" x14ac:dyDescent="0.25">
      <c r="A3180" s="1">
        <v>3171</v>
      </c>
      <c r="B3180" s="1" t="s">
        <v>436</v>
      </c>
      <c r="C3180" s="32">
        <v>2777</v>
      </c>
      <c r="D3180" s="1">
        <v>28000</v>
      </c>
      <c r="E3180" s="1"/>
      <c r="F3180" s="1">
        <v>311.52</v>
      </c>
      <c r="G3180" s="1">
        <v>28000</v>
      </c>
      <c r="H3180" s="5">
        <f t="shared" si="67"/>
        <v>0</v>
      </c>
      <c r="I3180" s="6"/>
      <c r="J3180" s="43"/>
      <c r="K3180" s="51"/>
      <c r="L3180" s="86"/>
      <c r="M3180" s="45"/>
      <c r="N3180" s="45"/>
    </row>
    <row r="3181" spans="1:14" ht="15" x14ac:dyDescent="0.25">
      <c r="A3181" s="1">
        <v>3172</v>
      </c>
      <c r="B3181" s="1" t="s">
        <v>436</v>
      </c>
      <c r="C3181" s="32" t="s">
        <v>30</v>
      </c>
      <c r="D3181" s="1">
        <v>5000</v>
      </c>
      <c r="E3181" s="1"/>
      <c r="F3181" s="1">
        <v>55.12</v>
      </c>
      <c r="G3181" s="1">
        <v>5000</v>
      </c>
      <c r="H3181" s="5">
        <f t="shared" si="67"/>
        <v>0</v>
      </c>
      <c r="I3181" s="6"/>
      <c r="J3181" s="43"/>
      <c r="K3181" s="51"/>
      <c r="L3181" s="86"/>
      <c r="M3181" s="45"/>
      <c r="N3181" s="45"/>
    </row>
    <row r="3182" spans="1:14" ht="15" x14ac:dyDescent="0.25">
      <c r="A3182" s="1">
        <v>3173</v>
      </c>
      <c r="B3182" s="1" t="s">
        <v>436</v>
      </c>
      <c r="C3182" s="32">
        <v>4371</v>
      </c>
      <c r="D3182" s="1">
        <v>12000</v>
      </c>
      <c r="E3182" s="1"/>
      <c r="F3182" s="1">
        <v>133.12</v>
      </c>
      <c r="G3182" s="1">
        <v>12000</v>
      </c>
      <c r="H3182" s="5">
        <f t="shared" si="67"/>
        <v>0</v>
      </c>
      <c r="I3182" s="6"/>
      <c r="J3182" s="43"/>
      <c r="K3182" s="51"/>
      <c r="L3182" s="86"/>
      <c r="M3182" s="45"/>
      <c r="N3182" s="45"/>
    </row>
    <row r="3183" spans="1:14" ht="15" x14ac:dyDescent="0.25">
      <c r="A3183" s="1">
        <v>3174</v>
      </c>
      <c r="B3183" s="1" t="s">
        <v>436</v>
      </c>
      <c r="C3183" s="32">
        <v>1910</v>
      </c>
      <c r="D3183" s="1">
        <v>25000</v>
      </c>
      <c r="E3183" s="1"/>
      <c r="F3183" s="1">
        <v>278.22000000000003</v>
      </c>
      <c r="G3183" s="1">
        <v>25000</v>
      </c>
      <c r="H3183" s="5">
        <f t="shared" si="67"/>
        <v>0</v>
      </c>
      <c r="I3183" s="6"/>
      <c r="J3183" s="43"/>
      <c r="K3183" s="51"/>
      <c r="L3183" s="86"/>
      <c r="M3183" s="45"/>
      <c r="N3183" s="45"/>
    </row>
    <row r="3184" spans="1:14" ht="15" x14ac:dyDescent="0.25">
      <c r="A3184" s="1">
        <v>3175</v>
      </c>
      <c r="B3184" s="1" t="s">
        <v>436</v>
      </c>
      <c r="C3184" s="32">
        <v>4.7199999999999999E-2</v>
      </c>
      <c r="D3184" s="1">
        <v>19000</v>
      </c>
      <c r="E3184" s="1"/>
      <c r="F3184" s="1">
        <v>211.25</v>
      </c>
      <c r="G3184" s="1">
        <v>19000</v>
      </c>
      <c r="H3184" s="5">
        <f t="shared" si="67"/>
        <v>0</v>
      </c>
      <c r="I3184" s="6"/>
      <c r="J3184" s="43"/>
      <c r="K3184" s="51"/>
      <c r="L3184" s="86"/>
      <c r="M3184" s="45"/>
      <c r="N3184" s="45"/>
    </row>
    <row r="3185" spans="1:15" ht="15" x14ac:dyDescent="0.25">
      <c r="A3185" s="1">
        <v>3176</v>
      </c>
      <c r="B3185" s="1" t="s">
        <v>436</v>
      </c>
      <c r="C3185" s="32" t="s">
        <v>30</v>
      </c>
      <c r="D3185" s="1">
        <v>4500</v>
      </c>
      <c r="E3185" s="1"/>
      <c r="F3185" s="1">
        <v>50.13</v>
      </c>
      <c r="G3185" s="1">
        <v>4500</v>
      </c>
      <c r="H3185" s="5">
        <f t="shared" si="67"/>
        <v>0</v>
      </c>
      <c r="I3185" s="6"/>
      <c r="J3185" s="43"/>
      <c r="K3185" s="51"/>
      <c r="L3185" s="86"/>
      <c r="M3185" s="45"/>
      <c r="N3185" s="45"/>
    </row>
    <row r="3186" spans="1:15" ht="15" x14ac:dyDescent="0.25">
      <c r="A3186" s="1">
        <v>3177</v>
      </c>
      <c r="B3186" s="1" t="s">
        <v>436</v>
      </c>
      <c r="C3186" s="32">
        <v>2.18E-2</v>
      </c>
      <c r="D3186" s="1">
        <v>27000</v>
      </c>
      <c r="E3186" s="1"/>
      <c r="F3186" s="1">
        <v>302.25</v>
      </c>
      <c r="G3186" s="1">
        <v>27000</v>
      </c>
      <c r="H3186" s="5">
        <f t="shared" si="67"/>
        <v>0</v>
      </c>
      <c r="I3186" s="6"/>
      <c r="J3186" s="43"/>
      <c r="K3186" s="51"/>
      <c r="L3186" s="86"/>
      <c r="M3186" s="45"/>
      <c r="N3186" s="45"/>
    </row>
    <row r="3187" spans="1:15" ht="15" x14ac:dyDescent="0.25">
      <c r="A3187" s="1">
        <v>3178</v>
      </c>
      <c r="B3187" s="1" t="s">
        <v>436</v>
      </c>
      <c r="C3187" s="32">
        <v>4365</v>
      </c>
      <c r="D3187" s="1">
        <v>18000</v>
      </c>
      <c r="E3187" s="1"/>
      <c r="F3187" s="1">
        <v>200.53</v>
      </c>
      <c r="G3187" s="1">
        <v>18000</v>
      </c>
      <c r="H3187" s="5">
        <f t="shared" si="67"/>
        <v>0</v>
      </c>
      <c r="I3187" s="6"/>
      <c r="J3187" s="43"/>
      <c r="K3187" s="51"/>
      <c r="L3187" s="86"/>
      <c r="M3187" s="45"/>
      <c r="N3187" s="45"/>
    </row>
    <row r="3188" spans="1:15" ht="15" x14ac:dyDescent="0.25">
      <c r="A3188" s="1">
        <v>3179</v>
      </c>
      <c r="B3188" s="1" t="s">
        <v>436</v>
      </c>
      <c r="C3188" s="32">
        <v>4098</v>
      </c>
      <c r="D3188" s="1">
        <v>30000</v>
      </c>
      <c r="E3188" s="1"/>
      <c r="F3188" s="1">
        <v>329.25</v>
      </c>
      <c r="G3188" s="1">
        <v>30000</v>
      </c>
      <c r="H3188" s="5">
        <f t="shared" si="67"/>
        <v>0</v>
      </c>
      <c r="I3188" s="6"/>
      <c r="J3188" s="43"/>
      <c r="K3188" s="51"/>
      <c r="L3188" s="86"/>
      <c r="M3188" s="45"/>
      <c r="N3188" s="45"/>
    </row>
    <row r="3189" spans="1:15" ht="15" x14ac:dyDescent="0.25">
      <c r="A3189" s="1">
        <v>3180</v>
      </c>
      <c r="B3189" s="1" t="s">
        <v>436</v>
      </c>
      <c r="C3189" s="32">
        <v>8.7499999999999994E-2</v>
      </c>
      <c r="D3189" s="1">
        <v>30000</v>
      </c>
      <c r="E3189" s="1"/>
      <c r="F3189" s="1">
        <v>329.25</v>
      </c>
      <c r="G3189" s="1">
        <v>30000</v>
      </c>
      <c r="H3189" s="5">
        <f t="shared" si="67"/>
        <v>0</v>
      </c>
      <c r="I3189" s="6"/>
      <c r="J3189" s="43"/>
      <c r="K3189" s="51"/>
      <c r="L3189" s="86"/>
      <c r="M3189" s="45"/>
      <c r="N3189" s="45"/>
    </row>
    <row r="3190" spans="1:15" ht="15" x14ac:dyDescent="0.25">
      <c r="A3190" s="1">
        <v>3181</v>
      </c>
      <c r="B3190" s="1" t="s">
        <v>436</v>
      </c>
      <c r="C3190" s="32">
        <v>4282</v>
      </c>
      <c r="D3190" s="1">
        <v>16000</v>
      </c>
      <c r="E3190" s="1"/>
      <c r="F3190" s="1">
        <v>178.22</v>
      </c>
      <c r="G3190" s="1">
        <v>16000</v>
      </c>
      <c r="H3190" s="5">
        <f t="shared" si="67"/>
        <v>0</v>
      </c>
      <c r="I3190" s="6"/>
      <c r="J3190" s="43"/>
      <c r="K3190" s="51"/>
      <c r="L3190" s="86"/>
      <c r="M3190" s="45"/>
      <c r="N3190" s="45"/>
    </row>
    <row r="3191" spans="1:15" ht="15" x14ac:dyDescent="0.25">
      <c r="A3191" s="1">
        <v>3182</v>
      </c>
      <c r="B3191" s="1" t="s">
        <v>436</v>
      </c>
      <c r="C3191" s="32">
        <v>2673</v>
      </c>
      <c r="D3191" s="1">
        <v>15000</v>
      </c>
      <c r="E3191" s="1"/>
      <c r="F3191" s="1">
        <v>167.15</v>
      </c>
      <c r="G3191" s="1">
        <v>15000</v>
      </c>
      <c r="H3191" s="5">
        <f t="shared" si="67"/>
        <v>0</v>
      </c>
      <c r="I3191" s="6"/>
      <c r="J3191" s="43"/>
      <c r="K3191" s="51"/>
      <c r="L3191" s="86"/>
      <c r="M3191" s="45"/>
      <c r="N3191" s="45"/>
    </row>
    <row r="3192" spans="1:15" ht="15" x14ac:dyDescent="0.25">
      <c r="A3192" s="1">
        <v>3183</v>
      </c>
      <c r="B3192" s="1" t="s">
        <v>436</v>
      </c>
      <c r="C3192" s="32">
        <v>2528</v>
      </c>
      <c r="D3192" s="1">
        <v>22000</v>
      </c>
      <c r="E3192" s="1"/>
      <c r="F3192" s="1">
        <v>234.25</v>
      </c>
      <c r="G3192" s="1">
        <v>22000</v>
      </c>
      <c r="H3192" s="5">
        <f t="shared" si="67"/>
        <v>0</v>
      </c>
      <c r="I3192" s="6"/>
      <c r="J3192" s="43"/>
      <c r="K3192" s="51"/>
      <c r="L3192" s="86"/>
      <c r="M3192" s="45"/>
      <c r="N3192" s="45"/>
    </row>
    <row r="3193" spans="1:15" ht="15" x14ac:dyDescent="0.25">
      <c r="A3193" s="1">
        <v>3184</v>
      </c>
      <c r="B3193" s="1" t="s">
        <v>436</v>
      </c>
      <c r="C3193" s="32">
        <v>3097</v>
      </c>
      <c r="D3193" s="1">
        <v>22000</v>
      </c>
      <c r="E3193" s="1"/>
      <c r="F3193" s="1">
        <v>234.25</v>
      </c>
      <c r="G3193" s="1">
        <v>22000</v>
      </c>
      <c r="H3193" s="5">
        <f t="shared" si="67"/>
        <v>0</v>
      </c>
      <c r="I3193" s="6"/>
      <c r="J3193" s="43"/>
      <c r="K3193" s="51"/>
      <c r="L3193" s="86"/>
      <c r="M3193" s="45"/>
      <c r="N3193" s="45"/>
    </row>
    <row r="3194" spans="1:15" ht="15" x14ac:dyDescent="0.25">
      <c r="A3194" s="1">
        <v>3185</v>
      </c>
      <c r="B3194" s="1" t="s">
        <v>436</v>
      </c>
      <c r="C3194" s="32">
        <v>9391</v>
      </c>
      <c r="D3194" s="1">
        <v>22000</v>
      </c>
      <c r="E3194" s="1"/>
      <c r="F3194" s="1">
        <v>234.25</v>
      </c>
      <c r="G3194" s="1">
        <v>22000</v>
      </c>
      <c r="H3194" s="5">
        <f t="shared" si="67"/>
        <v>0</v>
      </c>
      <c r="I3194" s="6"/>
      <c r="J3194" s="43"/>
      <c r="K3194" s="51"/>
      <c r="L3194" s="86"/>
      <c r="M3194" s="45"/>
      <c r="N3194" s="45"/>
    </row>
    <row r="3195" spans="1:15" ht="15" x14ac:dyDescent="0.25">
      <c r="A3195" s="1">
        <v>3186</v>
      </c>
      <c r="B3195" s="1" t="s">
        <v>436</v>
      </c>
      <c r="C3195" s="32">
        <v>9422</v>
      </c>
      <c r="D3195" s="1">
        <v>30000</v>
      </c>
      <c r="E3195" s="1"/>
      <c r="F3195" s="1">
        <v>329.25</v>
      </c>
      <c r="G3195" s="1">
        <v>30000</v>
      </c>
      <c r="H3195" s="5">
        <f t="shared" si="67"/>
        <v>0</v>
      </c>
      <c r="I3195" s="6"/>
      <c r="J3195" s="43"/>
      <c r="K3195" s="51"/>
      <c r="L3195" s="86"/>
      <c r="M3195" s="45"/>
      <c r="N3195" s="45"/>
    </row>
    <row r="3196" spans="1:15" ht="15" x14ac:dyDescent="0.25">
      <c r="A3196" s="1">
        <v>3187</v>
      </c>
      <c r="B3196" s="1" t="s">
        <v>436</v>
      </c>
      <c r="C3196" s="32">
        <v>8007</v>
      </c>
      <c r="D3196" s="1">
        <v>25000</v>
      </c>
      <c r="E3196" s="1"/>
      <c r="F3196" s="1">
        <v>278.22000000000003</v>
      </c>
      <c r="G3196" s="1">
        <v>25000</v>
      </c>
      <c r="H3196" s="5">
        <f t="shared" si="67"/>
        <v>0</v>
      </c>
      <c r="I3196" s="6"/>
      <c r="J3196" s="43"/>
      <c r="K3196" s="51"/>
      <c r="L3196" s="86"/>
      <c r="M3196" s="45"/>
      <c r="N3196" s="45"/>
    </row>
    <row r="3197" spans="1:15" ht="15" x14ac:dyDescent="0.25">
      <c r="A3197" s="1">
        <v>3188</v>
      </c>
      <c r="B3197" s="1" t="s">
        <v>436</v>
      </c>
      <c r="C3197" s="32">
        <v>6979</v>
      </c>
      <c r="D3197" s="1">
        <v>20000</v>
      </c>
      <c r="E3197" s="1"/>
      <c r="F3197" s="1">
        <v>222.25</v>
      </c>
      <c r="G3197" s="1">
        <v>20000</v>
      </c>
      <c r="H3197" s="5">
        <f t="shared" si="67"/>
        <v>0</v>
      </c>
      <c r="I3197" s="6"/>
      <c r="J3197" s="43"/>
      <c r="K3197" s="51"/>
      <c r="L3197" s="86"/>
      <c r="M3197" s="45"/>
      <c r="N3197" s="45"/>
    </row>
    <row r="3198" spans="1:15" ht="15" x14ac:dyDescent="0.25">
      <c r="A3198" s="1">
        <v>3189</v>
      </c>
      <c r="B3198" s="1" t="s">
        <v>436</v>
      </c>
      <c r="C3198" s="32">
        <v>9981</v>
      </c>
      <c r="D3198" s="1">
        <v>15000</v>
      </c>
      <c r="E3198" s="1"/>
      <c r="F3198" s="1">
        <v>167.15</v>
      </c>
      <c r="G3198" s="1">
        <v>15000</v>
      </c>
      <c r="H3198" s="5">
        <f t="shared" si="67"/>
        <v>0</v>
      </c>
      <c r="I3198" s="6"/>
      <c r="J3198" s="43"/>
      <c r="K3198" s="51"/>
      <c r="L3198" s="86"/>
      <c r="M3198" s="45"/>
      <c r="N3198" s="45"/>
    </row>
    <row r="3199" spans="1:15" ht="15" x14ac:dyDescent="0.25">
      <c r="A3199" s="1">
        <v>3190</v>
      </c>
      <c r="B3199" s="1" t="s">
        <v>436</v>
      </c>
      <c r="C3199" s="32">
        <v>2779</v>
      </c>
      <c r="D3199" s="1">
        <v>29000</v>
      </c>
      <c r="E3199" s="1"/>
      <c r="F3199" s="1">
        <v>323</v>
      </c>
      <c r="G3199" s="1">
        <v>29000</v>
      </c>
      <c r="H3199" s="5">
        <f t="shared" si="67"/>
        <v>0</v>
      </c>
      <c r="I3199" s="6"/>
      <c r="J3199" s="43"/>
      <c r="K3199" s="51"/>
      <c r="L3199" s="86"/>
      <c r="M3199" s="45"/>
      <c r="N3199" s="45"/>
    </row>
    <row r="3200" spans="1:15" ht="15" x14ac:dyDescent="0.25">
      <c r="A3200" s="1">
        <v>3191</v>
      </c>
      <c r="B3200" s="1" t="s">
        <v>436</v>
      </c>
      <c r="C3200" s="32">
        <v>2226</v>
      </c>
      <c r="D3200" s="1">
        <v>15000</v>
      </c>
      <c r="E3200" s="1"/>
      <c r="F3200" s="1">
        <v>167.15</v>
      </c>
      <c r="G3200" s="1">
        <v>15000</v>
      </c>
      <c r="H3200" s="5">
        <f t="shared" si="67"/>
        <v>0</v>
      </c>
      <c r="I3200" s="6"/>
      <c r="J3200" s="43"/>
      <c r="K3200" s="51"/>
      <c r="L3200" s="86">
        <f>1830793-1824845</f>
        <v>5948</v>
      </c>
      <c r="M3200" s="45" t="s">
        <v>432</v>
      </c>
      <c r="N3200" s="45">
        <v>618</v>
      </c>
      <c r="O3200">
        <f>5948-5330</f>
        <v>618</v>
      </c>
    </row>
    <row r="3201" spans="1:14" ht="15" x14ac:dyDescent="0.25">
      <c r="A3201" s="1">
        <v>3192</v>
      </c>
      <c r="B3201" s="1" t="s">
        <v>437</v>
      </c>
      <c r="C3201" s="32">
        <v>1452</v>
      </c>
      <c r="D3201" s="1">
        <v>13000</v>
      </c>
      <c r="E3201" s="1"/>
      <c r="F3201" s="1">
        <v>144.83000000000001</v>
      </c>
      <c r="G3201" s="1">
        <v>13000</v>
      </c>
      <c r="H3201" s="5">
        <f t="shared" si="67"/>
        <v>0</v>
      </c>
      <c r="I3201" s="6"/>
      <c r="J3201" s="43"/>
      <c r="K3201" s="51"/>
      <c r="L3201" s="86"/>
      <c r="M3201" s="45"/>
      <c r="N3201" s="45"/>
    </row>
    <row r="3202" spans="1:14" ht="15" x14ac:dyDescent="0.25">
      <c r="A3202" s="1">
        <v>3193</v>
      </c>
      <c r="B3202" s="1" t="s">
        <v>437</v>
      </c>
      <c r="C3202" s="32">
        <v>3665</v>
      </c>
      <c r="D3202" s="1">
        <v>13000</v>
      </c>
      <c r="E3202" s="1"/>
      <c r="F3202" s="1">
        <v>144.83000000000001</v>
      </c>
      <c r="G3202" s="1">
        <v>13000</v>
      </c>
      <c r="H3202" s="5">
        <f t="shared" si="67"/>
        <v>0</v>
      </c>
      <c r="I3202" s="6"/>
      <c r="J3202" s="43"/>
      <c r="K3202" s="51"/>
      <c r="L3202" s="86"/>
      <c r="M3202" s="45"/>
      <c r="N3202" s="45"/>
    </row>
    <row r="3203" spans="1:14" ht="15" x14ac:dyDescent="0.25">
      <c r="A3203" s="1">
        <v>3194</v>
      </c>
      <c r="B3203" s="1" t="s">
        <v>437</v>
      </c>
      <c r="C3203" s="32">
        <v>3662</v>
      </c>
      <c r="D3203" s="1">
        <v>17000</v>
      </c>
      <c r="E3203" s="1"/>
      <c r="F3203" s="1">
        <v>189.3</v>
      </c>
      <c r="G3203" s="1">
        <v>17000</v>
      </c>
      <c r="H3203" s="5">
        <f t="shared" si="67"/>
        <v>0</v>
      </c>
      <c r="I3203" s="6"/>
      <c r="J3203" s="43"/>
      <c r="K3203" s="51"/>
      <c r="L3203" s="86"/>
      <c r="M3203" s="45"/>
      <c r="N3203" s="45"/>
    </row>
    <row r="3204" spans="1:14" ht="15" x14ac:dyDescent="0.25">
      <c r="A3204" s="1">
        <v>3195</v>
      </c>
      <c r="B3204" s="1" t="s">
        <v>437</v>
      </c>
      <c r="C3204" s="32" t="s">
        <v>30</v>
      </c>
      <c r="D3204" s="1">
        <v>5000</v>
      </c>
      <c r="E3204" s="1"/>
      <c r="F3204" s="1">
        <v>55.15</v>
      </c>
      <c r="G3204" s="1">
        <v>5000</v>
      </c>
      <c r="H3204" s="5">
        <f t="shared" si="67"/>
        <v>0</v>
      </c>
      <c r="I3204" s="6"/>
      <c r="J3204" s="43"/>
      <c r="K3204" s="51"/>
      <c r="L3204" s="86"/>
      <c r="M3204" s="45"/>
      <c r="N3204" s="45"/>
    </row>
    <row r="3205" spans="1:14" ht="15" x14ac:dyDescent="0.25">
      <c r="A3205" s="1">
        <v>3196</v>
      </c>
      <c r="B3205" s="1" t="s">
        <v>437</v>
      </c>
      <c r="C3205" s="32">
        <v>4.7199999999999999E-2</v>
      </c>
      <c r="D3205" s="1">
        <v>19000</v>
      </c>
      <c r="E3205" s="1"/>
      <c r="F3205" s="1">
        <v>211.25</v>
      </c>
      <c r="G3205" s="1">
        <v>19000</v>
      </c>
      <c r="H3205" s="5">
        <f t="shared" si="67"/>
        <v>0</v>
      </c>
      <c r="I3205" s="6"/>
      <c r="J3205" s="43"/>
      <c r="K3205" s="51"/>
      <c r="L3205" s="86"/>
      <c r="M3205" s="45"/>
      <c r="N3205" s="45"/>
    </row>
    <row r="3206" spans="1:14" ht="15" x14ac:dyDescent="0.25">
      <c r="A3206" s="1">
        <v>3197</v>
      </c>
      <c r="B3206" s="1" t="s">
        <v>437</v>
      </c>
      <c r="C3206" s="32">
        <v>8562</v>
      </c>
      <c r="D3206" s="1">
        <v>30000</v>
      </c>
      <c r="E3206" s="1"/>
      <c r="F3206" s="1">
        <v>334.25</v>
      </c>
      <c r="G3206" s="1">
        <v>30000</v>
      </c>
      <c r="H3206" s="5">
        <f t="shared" si="67"/>
        <v>0</v>
      </c>
      <c r="I3206" s="6"/>
      <c r="J3206" s="43"/>
      <c r="K3206" s="51"/>
      <c r="L3206" s="86"/>
      <c r="M3206" s="45"/>
      <c r="N3206" s="45"/>
    </row>
    <row r="3207" spans="1:14" ht="15" x14ac:dyDescent="0.25">
      <c r="A3207" s="1">
        <v>3198</v>
      </c>
      <c r="B3207" s="1" t="s">
        <v>437</v>
      </c>
      <c r="C3207" s="32">
        <v>5965</v>
      </c>
      <c r="D3207" s="1">
        <v>30000</v>
      </c>
      <c r="E3207" s="1"/>
      <c r="F3207" s="1">
        <v>334.25</v>
      </c>
      <c r="G3207" s="1">
        <v>30000</v>
      </c>
      <c r="H3207" s="5">
        <f t="shared" si="67"/>
        <v>0</v>
      </c>
      <c r="I3207" s="6"/>
      <c r="J3207" s="43"/>
      <c r="K3207" s="51"/>
      <c r="L3207" s="86"/>
      <c r="M3207" s="45"/>
      <c r="N3207" s="45"/>
    </row>
    <row r="3208" spans="1:14" ht="15" x14ac:dyDescent="0.25">
      <c r="A3208" s="1">
        <v>3199</v>
      </c>
      <c r="B3208" s="1" t="s">
        <v>437</v>
      </c>
      <c r="C3208" s="32">
        <v>5428</v>
      </c>
      <c r="D3208" s="1">
        <v>30000</v>
      </c>
      <c r="E3208" s="1"/>
      <c r="F3208" s="1">
        <v>334.25</v>
      </c>
      <c r="G3208" s="1">
        <v>30000</v>
      </c>
      <c r="H3208" s="5">
        <f t="shared" si="67"/>
        <v>0</v>
      </c>
      <c r="I3208" s="6"/>
      <c r="J3208" s="43"/>
      <c r="K3208" s="51"/>
      <c r="L3208" s="86"/>
      <c r="M3208" s="45"/>
      <c r="N3208" s="45"/>
    </row>
    <row r="3209" spans="1:14" ht="15" x14ac:dyDescent="0.25">
      <c r="A3209" s="1">
        <v>3200</v>
      </c>
      <c r="B3209" s="1" t="s">
        <v>437</v>
      </c>
      <c r="C3209" s="32">
        <v>7071</v>
      </c>
      <c r="D3209" s="1">
        <v>15000</v>
      </c>
      <c r="E3209" s="1"/>
      <c r="F3209" s="1">
        <v>167.15</v>
      </c>
      <c r="G3209" s="1">
        <v>15000</v>
      </c>
      <c r="H3209" s="5">
        <f t="shared" si="67"/>
        <v>0</v>
      </c>
      <c r="I3209" s="6"/>
      <c r="J3209" s="43"/>
      <c r="K3209" s="51"/>
      <c r="L3209" s="86"/>
      <c r="M3209" s="45"/>
      <c r="N3209" s="45"/>
    </row>
    <row r="3210" spans="1:14" ht="15" x14ac:dyDescent="0.25">
      <c r="A3210" s="1">
        <v>3201</v>
      </c>
      <c r="B3210" s="1" t="s">
        <v>437</v>
      </c>
      <c r="C3210" s="32" t="s">
        <v>66</v>
      </c>
      <c r="D3210" s="1">
        <v>210</v>
      </c>
      <c r="E3210" s="1"/>
      <c r="F3210" s="1">
        <v>2.0499999999999998</v>
      </c>
      <c r="G3210" s="1">
        <v>210</v>
      </c>
      <c r="H3210" s="5">
        <f t="shared" si="67"/>
        <v>0</v>
      </c>
      <c r="I3210" s="6"/>
      <c r="J3210" s="43"/>
      <c r="K3210" s="51"/>
      <c r="L3210" s="86"/>
      <c r="M3210" s="45"/>
      <c r="N3210" s="45"/>
    </row>
    <row r="3211" spans="1:14" ht="15" x14ac:dyDescent="0.25">
      <c r="A3211" s="1">
        <v>3202</v>
      </c>
      <c r="B3211" s="1" t="s">
        <v>437</v>
      </c>
      <c r="C3211" s="32">
        <v>5.9299999999999999E-2</v>
      </c>
      <c r="D3211" s="1">
        <v>34000</v>
      </c>
      <c r="E3211" s="1"/>
      <c r="F3211" s="1">
        <v>371.25</v>
      </c>
      <c r="G3211" s="1">
        <v>34000</v>
      </c>
      <c r="H3211" s="5">
        <f t="shared" si="67"/>
        <v>0</v>
      </c>
      <c r="I3211" s="6"/>
      <c r="J3211" s="43"/>
      <c r="K3211" s="51"/>
      <c r="L3211" s="86"/>
      <c r="M3211" s="45"/>
      <c r="N3211" s="45"/>
    </row>
    <row r="3212" spans="1:14" ht="15" x14ac:dyDescent="0.25">
      <c r="A3212" s="1">
        <v>3203</v>
      </c>
      <c r="B3212" s="1" t="s">
        <v>437</v>
      </c>
      <c r="C3212" s="32">
        <v>2152</v>
      </c>
      <c r="D3212" s="1">
        <v>15000</v>
      </c>
      <c r="E3212" s="1"/>
      <c r="F3212" s="1">
        <v>167.15</v>
      </c>
      <c r="G3212" s="1">
        <v>15000</v>
      </c>
      <c r="H3212" s="5">
        <f t="shared" si="67"/>
        <v>0</v>
      </c>
      <c r="I3212" s="6"/>
      <c r="J3212" s="43"/>
      <c r="K3212" s="51"/>
      <c r="L3212" s="86"/>
      <c r="M3212" s="45"/>
      <c r="N3212" s="45"/>
    </row>
    <row r="3213" spans="1:14" ht="15" x14ac:dyDescent="0.25">
      <c r="A3213" s="1">
        <v>3204</v>
      </c>
      <c r="B3213" s="1" t="s">
        <v>437</v>
      </c>
      <c r="C3213" s="32">
        <v>1071</v>
      </c>
      <c r="D3213" s="1">
        <v>18000</v>
      </c>
      <c r="E3213" s="1"/>
      <c r="F3213" s="1">
        <v>200.5</v>
      </c>
      <c r="G3213" s="1">
        <v>18000</v>
      </c>
      <c r="H3213" s="5">
        <f t="shared" si="67"/>
        <v>0</v>
      </c>
      <c r="I3213" s="6"/>
      <c r="J3213" s="43"/>
      <c r="K3213" s="51"/>
      <c r="L3213" s="86"/>
      <c r="M3213" s="45"/>
      <c r="N3213" s="45"/>
    </row>
    <row r="3214" spans="1:14" ht="15" x14ac:dyDescent="0.25">
      <c r="A3214" s="1">
        <v>3205</v>
      </c>
      <c r="B3214" s="1" t="s">
        <v>437</v>
      </c>
      <c r="C3214" s="32">
        <v>3671</v>
      </c>
      <c r="D3214" s="1">
        <v>27000</v>
      </c>
      <c r="E3214" s="1"/>
      <c r="F3214" s="1">
        <v>300.82</v>
      </c>
      <c r="G3214" s="1">
        <v>27000</v>
      </c>
      <c r="H3214" s="5">
        <f t="shared" si="67"/>
        <v>0</v>
      </c>
      <c r="I3214" s="6"/>
      <c r="J3214" s="43"/>
      <c r="K3214" s="51"/>
      <c r="L3214" s="86"/>
      <c r="M3214" s="45"/>
      <c r="N3214" s="45"/>
    </row>
    <row r="3215" spans="1:14" ht="15" x14ac:dyDescent="0.25">
      <c r="A3215" s="1">
        <v>3206</v>
      </c>
      <c r="B3215" s="1" t="s">
        <v>437</v>
      </c>
      <c r="C3215" s="32">
        <v>3445</v>
      </c>
      <c r="D3215" s="1">
        <v>22000</v>
      </c>
      <c r="E3215" s="1"/>
      <c r="F3215" s="1">
        <v>240.65</v>
      </c>
      <c r="G3215" s="1">
        <v>22000</v>
      </c>
      <c r="H3215" s="5">
        <f t="shared" si="67"/>
        <v>0</v>
      </c>
      <c r="I3215" s="6"/>
      <c r="J3215" s="43"/>
      <c r="K3215" s="51"/>
      <c r="L3215" s="86"/>
      <c r="M3215" s="45"/>
      <c r="N3215" s="45"/>
    </row>
    <row r="3216" spans="1:14" ht="15" x14ac:dyDescent="0.25">
      <c r="A3216" s="1">
        <v>3207</v>
      </c>
      <c r="B3216" s="1" t="s">
        <v>437</v>
      </c>
      <c r="C3216" s="32">
        <v>2.4500000000000001E-2</v>
      </c>
      <c r="D3216" s="1">
        <v>40000</v>
      </c>
      <c r="E3216" s="1"/>
      <c r="F3216" s="1">
        <v>445.25</v>
      </c>
      <c r="G3216" s="1">
        <v>40000</v>
      </c>
      <c r="H3216" s="5">
        <f t="shared" si="67"/>
        <v>0</v>
      </c>
      <c r="I3216" s="6"/>
      <c r="J3216" s="43"/>
      <c r="K3216" s="51"/>
      <c r="L3216" s="86"/>
      <c r="M3216" s="45"/>
      <c r="N3216" s="45"/>
    </row>
    <row r="3217" spans="1:14" ht="15" x14ac:dyDescent="0.25">
      <c r="A3217" s="1">
        <v>3208</v>
      </c>
      <c r="B3217" s="1" t="s">
        <v>437</v>
      </c>
      <c r="C3217" s="32">
        <v>9780</v>
      </c>
      <c r="D3217" s="1">
        <v>20000</v>
      </c>
      <c r="E3217" s="1"/>
      <c r="F3217" s="1">
        <v>222.25</v>
      </c>
      <c r="G3217" s="1">
        <v>20000</v>
      </c>
      <c r="H3217" s="5">
        <f t="shared" si="67"/>
        <v>0</v>
      </c>
      <c r="I3217" s="6"/>
      <c r="J3217" s="43"/>
      <c r="K3217" s="51"/>
      <c r="L3217" s="86"/>
      <c r="M3217" s="45"/>
      <c r="N3217" s="45"/>
    </row>
    <row r="3218" spans="1:14" ht="15" x14ac:dyDescent="0.25">
      <c r="A3218" s="1">
        <v>3209</v>
      </c>
      <c r="B3218" s="1" t="s">
        <v>437</v>
      </c>
      <c r="C3218" s="32">
        <v>4657</v>
      </c>
      <c r="D3218" s="1">
        <v>23000</v>
      </c>
      <c r="E3218" s="1"/>
      <c r="F3218" s="1">
        <v>245.25</v>
      </c>
      <c r="G3218" s="1">
        <v>23000</v>
      </c>
      <c r="H3218" s="5">
        <f t="shared" si="67"/>
        <v>0</v>
      </c>
      <c r="I3218" s="6"/>
      <c r="J3218" s="43"/>
      <c r="K3218" s="51"/>
      <c r="L3218" s="86"/>
      <c r="M3218" s="45"/>
      <c r="N3218" s="45"/>
    </row>
    <row r="3219" spans="1:14" ht="15" x14ac:dyDescent="0.25">
      <c r="A3219" s="1">
        <v>3210</v>
      </c>
      <c r="B3219" s="1" t="s">
        <v>439</v>
      </c>
      <c r="C3219" s="32">
        <v>2067</v>
      </c>
      <c r="D3219" s="1">
        <v>14000</v>
      </c>
      <c r="E3219" s="1"/>
      <c r="F3219" s="1">
        <v>155.12</v>
      </c>
      <c r="G3219" s="1">
        <v>14000</v>
      </c>
      <c r="H3219" s="5">
        <f t="shared" si="67"/>
        <v>0</v>
      </c>
      <c r="I3219" s="6"/>
      <c r="J3219" s="43"/>
      <c r="K3219" s="51"/>
      <c r="L3219" s="86"/>
      <c r="M3219" s="45"/>
      <c r="N3219" s="45"/>
    </row>
    <row r="3220" spans="1:14" ht="15" x14ac:dyDescent="0.25">
      <c r="A3220" s="1">
        <v>3211</v>
      </c>
      <c r="B3220" s="1" t="s">
        <v>439</v>
      </c>
      <c r="C3220" s="32">
        <v>9944</v>
      </c>
      <c r="D3220" s="1">
        <v>14000</v>
      </c>
      <c r="E3220" s="1"/>
      <c r="F3220" s="1">
        <v>155.12</v>
      </c>
      <c r="G3220" s="1">
        <v>14000</v>
      </c>
      <c r="H3220" s="5">
        <f t="shared" si="67"/>
        <v>0</v>
      </c>
      <c r="I3220" s="6"/>
      <c r="J3220" s="43"/>
      <c r="K3220" s="51"/>
      <c r="L3220" s="86"/>
      <c r="M3220" s="45"/>
      <c r="N3220" s="45"/>
    </row>
    <row r="3221" spans="1:14" ht="15" x14ac:dyDescent="0.25">
      <c r="A3221" s="1">
        <v>3212</v>
      </c>
      <c r="B3221" s="1" t="s">
        <v>439</v>
      </c>
      <c r="C3221" s="32">
        <v>5076</v>
      </c>
      <c r="D3221" s="1">
        <v>18000</v>
      </c>
      <c r="E3221" s="1"/>
      <c r="F3221" s="1">
        <v>200.25</v>
      </c>
      <c r="G3221" s="1">
        <v>18000</v>
      </c>
      <c r="H3221" s="5">
        <f t="shared" si="67"/>
        <v>0</v>
      </c>
      <c r="I3221" s="6"/>
      <c r="J3221" s="43"/>
      <c r="K3221" s="51"/>
      <c r="L3221" s="86"/>
      <c r="M3221" s="45"/>
      <c r="N3221" s="45"/>
    </row>
    <row r="3222" spans="1:14" ht="15" x14ac:dyDescent="0.25">
      <c r="A3222" s="1">
        <v>3213</v>
      </c>
      <c r="B3222" s="1" t="s">
        <v>439</v>
      </c>
      <c r="C3222" s="32">
        <v>5077</v>
      </c>
      <c r="D3222" s="1">
        <v>18000</v>
      </c>
      <c r="E3222" s="1"/>
      <c r="F3222" s="1">
        <v>200.25</v>
      </c>
      <c r="G3222" s="1">
        <v>18000</v>
      </c>
      <c r="H3222" s="5">
        <f t="shared" si="67"/>
        <v>0</v>
      </c>
      <c r="I3222" s="6"/>
      <c r="J3222" s="43"/>
      <c r="K3222" s="51"/>
      <c r="L3222" s="86"/>
      <c r="M3222" s="45"/>
      <c r="N3222" s="45"/>
    </row>
    <row r="3223" spans="1:14" ht="15" x14ac:dyDescent="0.25">
      <c r="A3223" s="1">
        <v>3214</v>
      </c>
      <c r="B3223" s="1" t="s">
        <v>439</v>
      </c>
      <c r="C3223" s="32">
        <v>3614</v>
      </c>
      <c r="D3223" s="1">
        <v>7000</v>
      </c>
      <c r="E3223" s="1"/>
      <c r="F3223" s="1">
        <v>77.150000000000006</v>
      </c>
      <c r="G3223" s="1">
        <v>7000</v>
      </c>
      <c r="H3223" s="5">
        <f t="shared" si="67"/>
        <v>0</v>
      </c>
      <c r="I3223" s="6"/>
      <c r="J3223" s="43"/>
      <c r="K3223" s="51"/>
      <c r="L3223" s="86"/>
      <c r="M3223" s="45"/>
      <c r="N3223" s="45"/>
    </row>
    <row r="3224" spans="1:14" ht="15" x14ac:dyDescent="0.25">
      <c r="A3224" s="1">
        <v>3215</v>
      </c>
      <c r="B3224" s="1" t="s">
        <v>439</v>
      </c>
      <c r="C3224" s="32">
        <v>7373</v>
      </c>
      <c r="D3224" s="1">
        <v>17000</v>
      </c>
      <c r="E3224" s="1"/>
      <c r="F3224" s="1">
        <v>189.25</v>
      </c>
      <c r="G3224" s="1">
        <v>17000</v>
      </c>
      <c r="H3224" s="5">
        <f t="shared" ref="H3224:H3288" si="68">D3224-G3224</f>
        <v>0</v>
      </c>
      <c r="I3224" s="6"/>
      <c r="J3224" s="43"/>
      <c r="K3224" s="51"/>
      <c r="L3224" s="86"/>
      <c r="M3224" s="45"/>
      <c r="N3224" s="45"/>
    </row>
    <row r="3225" spans="1:14" ht="15" x14ac:dyDescent="0.25">
      <c r="A3225" s="1">
        <v>3216</v>
      </c>
      <c r="B3225" s="1" t="s">
        <v>439</v>
      </c>
      <c r="C3225" s="32">
        <v>4451</v>
      </c>
      <c r="D3225" s="1">
        <v>17000</v>
      </c>
      <c r="E3225" s="1"/>
      <c r="F3225" s="1">
        <v>189.25</v>
      </c>
      <c r="G3225" s="1">
        <v>17000</v>
      </c>
      <c r="H3225" s="5">
        <f t="shared" si="68"/>
        <v>0</v>
      </c>
      <c r="I3225" s="6"/>
      <c r="J3225" s="43"/>
      <c r="K3225" s="51"/>
      <c r="L3225" s="86"/>
      <c r="M3225" s="45"/>
      <c r="N3225" s="45"/>
    </row>
    <row r="3226" spans="1:14" ht="15" x14ac:dyDescent="0.25">
      <c r="A3226" s="1">
        <v>3217</v>
      </c>
      <c r="B3226" s="1" t="s">
        <v>439</v>
      </c>
      <c r="C3226" s="32">
        <v>7175</v>
      </c>
      <c r="D3226" s="1">
        <v>33000</v>
      </c>
      <c r="E3226" s="1"/>
      <c r="F3226" s="1">
        <v>367.85</v>
      </c>
      <c r="G3226" s="1">
        <v>33000</v>
      </c>
      <c r="H3226" s="5">
        <f t="shared" si="68"/>
        <v>0</v>
      </c>
      <c r="I3226" s="6"/>
      <c r="J3226" s="43"/>
      <c r="K3226" s="51"/>
      <c r="L3226" s="86"/>
      <c r="M3226" s="45"/>
      <c r="N3226" s="45"/>
    </row>
    <row r="3227" spans="1:14" ht="15" x14ac:dyDescent="0.25">
      <c r="A3227" s="1">
        <v>3218</v>
      </c>
      <c r="B3227" s="1" t="s">
        <v>439</v>
      </c>
      <c r="C3227" s="32">
        <v>7004</v>
      </c>
      <c r="D3227" s="1">
        <v>30000</v>
      </c>
      <c r="E3227" s="1"/>
      <c r="F3227" s="1">
        <v>312.25</v>
      </c>
      <c r="G3227" s="1">
        <v>30000</v>
      </c>
      <c r="H3227" s="5">
        <f t="shared" si="68"/>
        <v>0</v>
      </c>
      <c r="I3227" s="6"/>
      <c r="J3227" s="43"/>
      <c r="K3227" s="51"/>
      <c r="L3227" s="86"/>
      <c r="M3227" s="45"/>
      <c r="N3227" s="45"/>
    </row>
    <row r="3228" spans="1:14" ht="15" x14ac:dyDescent="0.25">
      <c r="A3228" s="1">
        <v>3219</v>
      </c>
      <c r="B3228" s="1" t="s">
        <v>439</v>
      </c>
      <c r="C3228" s="32">
        <v>6317</v>
      </c>
      <c r="D3228" s="1">
        <v>30000</v>
      </c>
      <c r="E3228" s="1"/>
      <c r="F3228" s="1">
        <v>367.85</v>
      </c>
      <c r="G3228" s="1">
        <v>30000</v>
      </c>
      <c r="H3228" s="5">
        <f t="shared" si="68"/>
        <v>0</v>
      </c>
      <c r="I3228" s="6"/>
      <c r="J3228" s="43"/>
      <c r="K3228" s="51"/>
      <c r="L3228" s="86"/>
      <c r="M3228" s="45"/>
      <c r="N3228" s="45"/>
    </row>
    <row r="3229" spans="1:14" ht="15" x14ac:dyDescent="0.25">
      <c r="A3229" s="1">
        <v>3220</v>
      </c>
      <c r="B3229" s="1" t="s">
        <v>439</v>
      </c>
      <c r="C3229" s="32">
        <v>4751</v>
      </c>
      <c r="D3229" s="1">
        <v>26000</v>
      </c>
      <c r="E3229" s="1"/>
      <c r="F3229" s="1">
        <v>276.25</v>
      </c>
      <c r="G3229" s="1">
        <v>26000</v>
      </c>
      <c r="H3229" s="5">
        <f t="shared" si="68"/>
        <v>0</v>
      </c>
      <c r="I3229" s="6"/>
      <c r="J3229" s="43"/>
      <c r="K3229" s="51"/>
      <c r="L3229" s="86"/>
      <c r="M3229" s="45"/>
      <c r="N3229" s="45"/>
    </row>
    <row r="3230" spans="1:14" ht="15" x14ac:dyDescent="0.25">
      <c r="A3230" s="1">
        <v>3221</v>
      </c>
      <c r="B3230" s="1" t="s">
        <v>439</v>
      </c>
      <c r="C3230" s="32">
        <v>6457</v>
      </c>
      <c r="D3230" s="1">
        <v>30000</v>
      </c>
      <c r="E3230" s="1"/>
      <c r="F3230" s="1">
        <v>335.56</v>
      </c>
      <c r="G3230" s="1">
        <v>30000</v>
      </c>
      <c r="H3230" s="5">
        <f t="shared" si="68"/>
        <v>0</v>
      </c>
      <c r="I3230" s="6"/>
      <c r="J3230" s="43"/>
      <c r="K3230" s="51"/>
      <c r="L3230" s="86"/>
      <c r="M3230" s="45"/>
      <c r="N3230" s="45"/>
    </row>
    <row r="3231" spans="1:14" ht="15" x14ac:dyDescent="0.25">
      <c r="A3231" s="1">
        <v>3222</v>
      </c>
      <c r="B3231" s="1" t="s">
        <v>439</v>
      </c>
      <c r="C3231" s="32">
        <v>5.04E-2</v>
      </c>
      <c r="D3231" s="1">
        <v>36000</v>
      </c>
      <c r="E3231" s="1"/>
      <c r="F3231" s="1">
        <v>401.07</v>
      </c>
      <c r="G3231" s="1">
        <v>36000</v>
      </c>
      <c r="H3231" s="5">
        <f t="shared" si="68"/>
        <v>0</v>
      </c>
      <c r="I3231" s="6"/>
      <c r="J3231" s="43"/>
      <c r="K3231" s="51"/>
      <c r="L3231" s="86"/>
      <c r="M3231" s="45"/>
      <c r="N3231" s="45"/>
    </row>
    <row r="3232" spans="1:14" ht="15" x14ac:dyDescent="0.25">
      <c r="A3232" s="1">
        <v>3223</v>
      </c>
      <c r="B3232" s="1" t="s">
        <v>439</v>
      </c>
      <c r="C3232" s="32">
        <v>4799</v>
      </c>
      <c r="D3232" s="1">
        <v>9750</v>
      </c>
      <c r="E3232" s="1"/>
      <c r="F3232" s="1">
        <v>108.25</v>
      </c>
      <c r="G3232" s="1">
        <v>9750</v>
      </c>
      <c r="H3232" s="5">
        <f t="shared" si="68"/>
        <v>0</v>
      </c>
      <c r="I3232" s="6"/>
      <c r="J3232" s="43"/>
      <c r="K3232" s="51"/>
      <c r="L3232" s="86"/>
      <c r="M3232" s="45"/>
      <c r="N3232" s="45"/>
    </row>
    <row r="3233" spans="1:14" ht="15" x14ac:dyDescent="0.25">
      <c r="A3233" s="1">
        <v>3224</v>
      </c>
      <c r="B3233" s="1" t="s">
        <v>439</v>
      </c>
      <c r="C3233" s="32">
        <v>1571</v>
      </c>
      <c r="D3233" s="1">
        <v>25000</v>
      </c>
      <c r="E3233" s="1"/>
      <c r="F3233" s="1">
        <v>278.22000000000003</v>
      </c>
      <c r="G3233" s="1">
        <v>25000</v>
      </c>
      <c r="H3233" s="5">
        <f t="shared" si="68"/>
        <v>0</v>
      </c>
      <c r="I3233" s="6"/>
      <c r="J3233" s="43"/>
      <c r="K3233" s="51"/>
      <c r="L3233" s="86"/>
      <c r="M3233" s="45"/>
      <c r="N3233" s="45"/>
    </row>
    <row r="3234" spans="1:14" ht="15" x14ac:dyDescent="0.25">
      <c r="A3234" s="1">
        <v>3225</v>
      </c>
      <c r="B3234" s="1" t="s">
        <v>439</v>
      </c>
      <c r="C3234" s="32">
        <v>1187</v>
      </c>
      <c r="D3234" s="1">
        <v>26000</v>
      </c>
      <c r="E3234" s="1"/>
      <c r="F3234" s="1">
        <v>265.25</v>
      </c>
      <c r="G3234" s="1">
        <v>26000</v>
      </c>
      <c r="H3234" s="5">
        <f t="shared" si="68"/>
        <v>0</v>
      </c>
      <c r="I3234" s="6"/>
      <c r="J3234" s="43"/>
      <c r="K3234" s="51"/>
      <c r="L3234" s="86"/>
      <c r="M3234" s="45"/>
      <c r="N3234" s="45"/>
    </row>
    <row r="3235" spans="1:14" ht="15" x14ac:dyDescent="0.25">
      <c r="A3235" s="1">
        <v>3226</v>
      </c>
      <c r="B3235" s="1" t="s">
        <v>439</v>
      </c>
      <c r="C3235" s="32">
        <v>5252</v>
      </c>
      <c r="D3235" s="1">
        <v>16000</v>
      </c>
      <c r="E3235" s="1"/>
      <c r="F3235" s="1">
        <v>178.22</v>
      </c>
      <c r="G3235" s="1">
        <v>16000</v>
      </c>
      <c r="H3235" s="5">
        <f t="shared" si="68"/>
        <v>0</v>
      </c>
      <c r="I3235" s="6"/>
      <c r="J3235" s="43"/>
      <c r="K3235" s="51"/>
      <c r="L3235" s="86"/>
      <c r="M3235" s="45"/>
      <c r="N3235" s="45"/>
    </row>
    <row r="3236" spans="1:14" ht="15" x14ac:dyDescent="0.25">
      <c r="A3236" s="1">
        <v>3227</v>
      </c>
      <c r="B3236" s="1" t="s">
        <v>439</v>
      </c>
      <c r="C3236" s="32">
        <v>5151</v>
      </c>
      <c r="D3236" s="1">
        <v>16000</v>
      </c>
      <c r="E3236" s="1"/>
      <c r="F3236" s="1">
        <v>178.22</v>
      </c>
      <c r="G3236" s="1">
        <v>16000</v>
      </c>
      <c r="H3236" s="5">
        <f t="shared" si="68"/>
        <v>0</v>
      </c>
      <c r="I3236" s="6"/>
      <c r="J3236" s="43"/>
      <c r="K3236" s="51"/>
      <c r="L3236" s="86">
        <f>1584754-1578805</f>
        <v>5949</v>
      </c>
      <c r="M3236" s="45" t="s">
        <v>440</v>
      </c>
      <c r="N3236" s="45">
        <f>5949-5329</f>
        <v>620</v>
      </c>
    </row>
    <row r="3237" spans="1:14" ht="15" x14ac:dyDescent="0.25">
      <c r="A3237" s="1">
        <v>3228</v>
      </c>
      <c r="B3237" s="1" t="s">
        <v>441</v>
      </c>
      <c r="C3237" s="32" t="s">
        <v>30</v>
      </c>
      <c r="D3237" s="1">
        <v>5000</v>
      </c>
      <c r="E3237" s="1"/>
      <c r="F3237" s="1">
        <v>55.7</v>
      </c>
      <c r="G3237" s="1">
        <v>5000</v>
      </c>
      <c r="H3237" s="5">
        <f t="shared" si="68"/>
        <v>0</v>
      </c>
      <c r="I3237" s="6"/>
      <c r="J3237" s="43"/>
      <c r="K3237" s="51"/>
      <c r="L3237" s="86"/>
      <c r="M3237" s="45"/>
      <c r="N3237" s="45"/>
    </row>
    <row r="3238" spans="1:14" ht="15" x14ac:dyDescent="0.25">
      <c r="A3238" s="1">
        <v>3229</v>
      </c>
      <c r="B3238" s="1" t="s">
        <v>441</v>
      </c>
      <c r="C3238" s="32">
        <v>8238</v>
      </c>
      <c r="D3238" s="1">
        <v>13000</v>
      </c>
      <c r="E3238" s="1"/>
      <c r="F3238" s="1">
        <v>144.12</v>
      </c>
      <c r="G3238" s="1">
        <v>13000</v>
      </c>
      <c r="H3238" s="5">
        <f t="shared" si="68"/>
        <v>0</v>
      </c>
      <c r="I3238" s="6"/>
      <c r="J3238" s="43"/>
      <c r="K3238" s="51"/>
      <c r="L3238" s="86"/>
      <c r="M3238" s="45"/>
      <c r="N3238" s="45"/>
    </row>
    <row r="3239" spans="1:14" ht="15" x14ac:dyDescent="0.25">
      <c r="A3239" s="1">
        <v>3230</v>
      </c>
      <c r="B3239" s="1" t="s">
        <v>441</v>
      </c>
      <c r="C3239" s="32" t="s">
        <v>30</v>
      </c>
      <c r="D3239" s="1">
        <v>4500</v>
      </c>
      <c r="E3239" s="1"/>
      <c r="F3239" s="1">
        <v>50.13</v>
      </c>
      <c r="G3239" s="1">
        <v>4500</v>
      </c>
      <c r="H3239" s="5">
        <f t="shared" si="68"/>
        <v>0</v>
      </c>
      <c r="I3239" s="6"/>
      <c r="J3239" s="43"/>
      <c r="K3239" s="51"/>
      <c r="L3239" s="86"/>
      <c r="M3239" s="45"/>
      <c r="N3239" s="45"/>
    </row>
    <row r="3240" spans="1:14" ht="15" x14ac:dyDescent="0.25">
      <c r="A3240" s="1">
        <v>3231</v>
      </c>
      <c r="B3240" s="1" t="s">
        <v>441</v>
      </c>
      <c r="C3240" s="32">
        <v>1299</v>
      </c>
      <c r="D3240" s="1">
        <v>12500</v>
      </c>
      <c r="E3240" s="1"/>
      <c r="F3240" s="1">
        <v>139.25</v>
      </c>
      <c r="G3240" s="1">
        <v>12500</v>
      </c>
      <c r="H3240" s="5">
        <f t="shared" si="68"/>
        <v>0</v>
      </c>
      <c r="I3240" s="6"/>
      <c r="J3240" s="43"/>
      <c r="K3240" s="51"/>
      <c r="L3240" s="86"/>
      <c r="M3240" s="45"/>
      <c r="N3240" s="45"/>
    </row>
    <row r="3241" spans="1:14" ht="15" x14ac:dyDescent="0.25">
      <c r="A3241" s="1">
        <v>3232</v>
      </c>
      <c r="B3241" s="1" t="s">
        <v>441</v>
      </c>
      <c r="C3241" s="32">
        <v>4092</v>
      </c>
      <c r="D3241" s="1">
        <v>14000</v>
      </c>
      <c r="E3241" s="1"/>
      <c r="F3241" s="1">
        <v>155.12</v>
      </c>
      <c r="G3241" s="1">
        <v>14000</v>
      </c>
      <c r="H3241" s="5">
        <f t="shared" si="68"/>
        <v>0</v>
      </c>
      <c r="I3241" s="6"/>
      <c r="J3241" s="43"/>
      <c r="K3241" s="51"/>
      <c r="L3241" s="86"/>
      <c r="M3241" s="45"/>
      <c r="N3241" s="45"/>
    </row>
    <row r="3242" spans="1:14" ht="15" x14ac:dyDescent="0.25">
      <c r="A3242" s="1">
        <v>3233</v>
      </c>
      <c r="B3242" s="1" t="s">
        <v>441</v>
      </c>
      <c r="C3242" s="32">
        <v>3855</v>
      </c>
      <c r="D3242" s="1">
        <v>15000</v>
      </c>
      <c r="E3242" s="1"/>
      <c r="F3242" s="1">
        <v>167.15</v>
      </c>
      <c r="G3242" s="1">
        <v>15000</v>
      </c>
      <c r="H3242" s="5">
        <f t="shared" si="68"/>
        <v>0</v>
      </c>
      <c r="I3242" s="6"/>
      <c r="J3242" s="43"/>
      <c r="K3242" s="51"/>
      <c r="L3242" s="86"/>
      <c r="M3242" s="45"/>
      <c r="N3242" s="45"/>
    </row>
    <row r="3243" spans="1:14" ht="15" x14ac:dyDescent="0.25">
      <c r="A3243" s="1">
        <v>3234</v>
      </c>
      <c r="B3243" s="1" t="s">
        <v>441</v>
      </c>
      <c r="C3243" s="32">
        <v>4032</v>
      </c>
      <c r="D3243" s="1">
        <v>13000</v>
      </c>
      <c r="E3243" s="1"/>
      <c r="F3243" s="1">
        <v>144.12</v>
      </c>
      <c r="G3243" s="1">
        <v>13000</v>
      </c>
      <c r="H3243" s="5">
        <f t="shared" si="68"/>
        <v>0</v>
      </c>
      <c r="I3243" s="6"/>
      <c r="J3243" s="43"/>
      <c r="K3243" s="51"/>
      <c r="L3243" s="86"/>
      <c r="M3243" s="45"/>
      <c r="N3243" s="45"/>
    </row>
    <row r="3244" spans="1:14" ht="15" x14ac:dyDescent="0.25">
      <c r="A3244" s="1">
        <v>3235</v>
      </c>
      <c r="B3244" s="1" t="s">
        <v>441</v>
      </c>
      <c r="C3244" s="32">
        <v>8586</v>
      </c>
      <c r="D3244" s="1">
        <v>18000</v>
      </c>
      <c r="E3244" s="1"/>
      <c r="F3244" s="1">
        <v>200.53</v>
      </c>
      <c r="G3244" s="1">
        <v>18000</v>
      </c>
      <c r="H3244" s="5">
        <f t="shared" si="68"/>
        <v>0</v>
      </c>
      <c r="I3244" s="6"/>
      <c r="J3244" s="43"/>
      <c r="K3244" s="51"/>
      <c r="L3244" s="86"/>
      <c r="M3244" s="45"/>
      <c r="N3244" s="45"/>
    </row>
    <row r="3245" spans="1:14" ht="15" x14ac:dyDescent="0.25">
      <c r="A3245" s="1">
        <v>3236</v>
      </c>
      <c r="B3245" s="1" t="s">
        <v>441</v>
      </c>
      <c r="C3245" s="32">
        <v>9259</v>
      </c>
      <c r="D3245" s="1">
        <v>19000</v>
      </c>
      <c r="E3245" s="1"/>
      <c r="F3245" s="1">
        <v>211.12</v>
      </c>
      <c r="G3245" s="1">
        <v>19000</v>
      </c>
      <c r="H3245" s="5">
        <f t="shared" si="68"/>
        <v>0</v>
      </c>
      <c r="I3245" s="6"/>
      <c r="J3245" s="43"/>
      <c r="K3245" s="51"/>
      <c r="L3245" s="86"/>
      <c r="M3245" s="45"/>
      <c r="N3245" s="45"/>
    </row>
    <row r="3246" spans="1:14" ht="15" x14ac:dyDescent="0.25">
      <c r="A3246" s="1">
        <v>3237</v>
      </c>
      <c r="B3246" s="1" t="s">
        <v>441</v>
      </c>
      <c r="C3246" s="32">
        <v>3197</v>
      </c>
      <c r="D3246" s="1">
        <v>15000</v>
      </c>
      <c r="E3246" s="1"/>
      <c r="F3246" s="1">
        <v>167.15</v>
      </c>
      <c r="G3246" s="1">
        <v>15000</v>
      </c>
      <c r="H3246" s="5">
        <f t="shared" si="68"/>
        <v>0</v>
      </c>
      <c r="I3246" s="6"/>
      <c r="J3246" s="43"/>
      <c r="K3246" s="51"/>
      <c r="L3246" s="86"/>
      <c r="M3246" s="45"/>
      <c r="N3246" s="45"/>
    </row>
    <row r="3247" spans="1:14" ht="15" x14ac:dyDescent="0.25">
      <c r="A3247" s="1">
        <v>3238</v>
      </c>
      <c r="B3247" s="1" t="s">
        <v>441</v>
      </c>
      <c r="C3247" s="32">
        <v>4925</v>
      </c>
      <c r="D3247" s="1">
        <v>14000</v>
      </c>
      <c r="E3247" s="1"/>
      <c r="F3247" s="1">
        <v>155.12</v>
      </c>
      <c r="G3247" s="1">
        <v>14000</v>
      </c>
      <c r="H3247" s="5">
        <f t="shared" si="68"/>
        <v>0</v>
      </c>
      <c r="I3247" s="6"/>
      <c r="J3247" s="43"/>
      <c r="K3247" s="51"/>
      <c r="L3247" s="86"/>
      <c r="M3247" s="45"/>
      <c r="N3247" s="45"/>
    </row>
    <row r="3248" spans="1:14" ht="15" x14ac:dyDescent="0.25">
      <c r="A3248" s="1">
        <v>3239</v>
      </c>
      <c r="B3248" s="1" t="s">
        <v>441</v>
      </c>
      <c r="C3248" s="32">
        <v>2497</v>
      </c>
      <c r="D3248" s="1">
        <v>20000</v>
      </c>
      <c r="E3248" s="1"/>
      <c r="F3248" s="1">
        <v>222.2</v>
      </c>
      <c r="G3248" s="1">
        <v>20000</v>
      </c>
      <c r="H3248" s="5">
        <f t="shared" si="68"/>
        <v>0</v>
      </c>
      <c r="I3248" s="6"/>
      <c r="J3248" s="43"/>
      <c r="K3248" s="51"/>
      <c r="L3248" s="86"/>
      <c r="M3248" s="45"/>
      <c r="N3248" s="45"/>
    </row>
    <row r="3249" spans="1:14" ht="15" x14ac:dyDescent="0.25">
      <c r="A3249" s="1">
        <v>3240</v>
      </c>
      <c r="B3249" s="1" t="s">
        <v>441</v>
      </c>
      <c r="C3249" s="32">
        <v>4.7199999999999999E-2</v>
      </c>
      <c r="D3249" s="1">
        <v>18000</v>
      </c>
      <c r="E3249" s="1"/>
      <c r="F3249" s="1">
        <v>222.2</v>
      </c>
      <c r="G3249" s="1">
        <v>18000</v>
      </c>
      <c r="H3249" s="5">
        <f t="shared" si="68"/>
        <v>0</v>
      </c>
      <c r="I3249" s="6"/>
      <c r="J3249" s="43"/>
      <c r="K3249" s="51"/>
      <c r="L3249" s="86"/>
      <c r="M3249" s="45"/>
      <c r="N3249" s="45"/>
    </row>
    <row r="3250" spans="1:14" ht="15" x14ac:dyDescent="0.25">
      <c r="A3250" s="1">
        <v>3241</v>
      </c>
      <c r="B3250" s="1" t="s">
        <v>441</v>
      </c>
      <c r="C3250" s="32">
        <v>3363</v>
      </c>
      <c r="D3250" s="1">
        <v>14000</v>
      </c>
      <c r="E3250" s="1"/>
      <c r="F3250" s="1">
        <v>155.12</v>
      </c>
      <c r="G3250" s="1">
        <v>14000</v>
      </c>
      <c r="H3250" s="5">
        <f t="shared" si="68"/>
        <v>0</v>
      </c>
      <c r="I3250" s="6"/>
      <c r="J3250" s="43"/>
      <c r="K3250" s="51"/>
      <c r="L3250" s="86"/>
      <c r="M3250" s="45"/>
      <c r="N3250" s="45"/>
    </row>
    <row r="3251" spans="1:14" ht="15" x14ac:dyDescent="0.25">
      <c r="A3251" s="1">
        <v>3242</v>
      </c>
      <c r="B3251" s="1" t="s">
        <v>441</v>
      </c>
      <c r="C3251" s="32">
        <v>3662</v>
      </c>
      <c r="D3251" s="1">
        <v>18000</v>
      </c>
      <c r="E3251" s="1"/>
      <c r="F3251" s="1">
        <v>200.53</v>
      </c>
      <c r="G3251" s="1">
        <v>18000</v>
      </c>
      <c r="H3251" s="5">
        <f t="shared" si="68"/>
        <v>0</v>
      </c>
      <c r="I3251" s="6"/>
      <c r="J3251" s="43"/>
      <c r="K3251" s="51"/>
      <c r="L3251" s="86"/>
      <c r="M3251" s="45"/>
      <c r="N3251" s="45"/>
    </row>
    <row r="3252" spans="1:14" ht="15" x14ac:dyDescent="0.25">
      <c r="A3252" s="1">
        <v>3243</v>
      </c>
      <c r="B3252" s="1" t="s">
        <v>441</v>
      </c>
      <c r="C3252" s="32">
        <v>8440</v>
      </c>
      <c r="D3252" s="1">
        <v>18000</v>
      </c>
      <c r="E3252" s="1"/>
      <c r="F3252" s="1">
        <v>200.53</v>
      </c>
      <c r="G3252" s="1">
        <v>18000</v>
      </c>
      <c r="H3252" s="5">
        <f t="shared" si="68"/>
        <v>0</v>
      </c>
      <c r="I3252" s="6"/>
      <c r="J3252" s="43"/>
      <c r="K3252" s="51"/>
      <c r="L3252" s="86"/>
      <c r="M3252" s="45"/>
      <c r="N3252" s="45"/>
    </row>
    <row r="3253" spans="1:14" ht="15" x14ac:dyDescent="0.25">
      <c r="A3253" s="1">
        <v>3244</v>
      </c>
      <c r="B3253" s="1" t="s">
        <v>441</v>
      </c>
      <c r="C3253" s="32">
        <v>9906</v>
      </c>
      <c r="D3253" s="1">
        <v>5000</v>
      </c>
      <c r="E3253" s="1"/>
      <c r="F3253" s="1">
        <v>55.12</v>
      </c>
      <c r="G3253" s="1">
        <v>5000</v>
      </c>
      <c r="H3253" s="5">
        <f t="shared" si="68"/>
        <v>0</v>
      </c>
      <c r="I3253" s="6"/>
      <c r="J3253" s="43"/>
      <c r="K3253" s="51"/>
      <c r="L3253" s="86"/>
      <c r="M3253" s="45"/>
      <c r="N3253" s="45"/>
    </row>
    <row r="3254" spans="1:14" ht="15" x14ac:dyDescent="0.25">
      <c r="A3254" s="1">
        <v>3245</v>
      </c>
      <c r="B3254" s="1" t="s">
        <v>441</v>
      </c>
      <c r="C3254" s="32">
        <v>8569</v>
      </c>
      <c r="D3254" s="1">
        <v>11000</v>
      </c>
      <c r="E3254" s="1"/>
      <c r="F3254" s="1">
        <v>122.25</v>
      </c>
      <c r="G3254" s="1">
        <v>11000</v>
      </c>
      <c r="H3254" s="5">
        <f t="shared" si="68"/>
        <v>0</v>
      </c>
      <c r="I3254" s="6"/>
      <c r="J3254" s="43"/>
      <c r="K3254" s="51"/>
      <c r="L3254" s="86"/>
      <c r="M3254" s="45"/>
      <c r="N3254" s="45"/>
    </row>
    <row r="3255" spans="1:14" ht="15" x14ac:dyDescent="0.25">
      <c r="A3255" s="1">
        <v>3246</v>
      </c>
      <c r="B3255" s="1" t="s">
        <v>441</v>
      </c>
      <c r="C3255" s="32">
        <v>4135</v>
      </c>
      <c r="D3255" s="1">
        <v>20000</v>
      </c>
      <c r="E3255" s="1"/>
      <c r="F3255" s="1">
        <v>222.2</v>
      </c>
      <c r="G3255" s="1">
        <v>20000</v>
      </c>
      <c r="H3255" s="5">
        <f t="shared" si="68"/>
        <v>0</v>
      </c>
      <c r="I3255" s="6"/>
      <c r="J3255" s="43"/>
      <c r="K3255" s="51"/>
      <c r="L3255" s="86"/>
      <c r="M3255" s="45"/>
      <c r="N3255" s="45"/>
    </row>
    <row r="3256" spans="1:14" ht="15" x14ac:dyDescent="0.25">
      <c r="A3256" s="1">
        <v>3247</v>
      </c>
      <c r="B3256" s="1" t="s">
        <v>441</v>
      </c>
      <c r="C3256" s="32">
        <v>4482</v>
      </c>
      <c r="D3256" s="1">
        <v>20000</v>
      </c>
      <c r="E3256" s="1"/>
      <c r="F3256" s="1">
        <v>222.2</v>
      </c>
      <c r="G3256" s="1">
        <v>20000</v>
      </c>
      <c r="H3256" s="5">
        <f t="shared" si="68"/>
        <v>0</v>
      </c>
      <c r="I3256" s="6"/>
      <c r="J3256" s="43"/>
      <c r="K3256" s="51"/>
      <c r="L3256" s="86"/>
      <c r="M3256" s="45"/>
      <c r="N3256" s="45"/>
    </row>
    <row r="3257" spans="1:14" ht="15" x14ac:dyDescent="0.25">
      <c r="A3257" s="1">
        <v>3248</v>
      </c>
      <c r="B3257" s="1" t="s">
        <v>441</v>
      </c>
      <c r="C3257" s="32">
        <v>4579</v>
      </c>
      <c r="D3257" s="1">
        <v>20000</v>
      </c>
      <c r="E3257" s="1"/>
      <c r="F3257" s="1">
        <v>222.2</v>
      </c>
      <c r="G3257" s="1">
        <v>20000</v>
      </c>
      <c r="H3257" s="5">
        <f t="shared" si="68"/>
        <v>0</v>
      </c>
      <c r="I3257" s="6"/>
      <c r="J3257" s="43"/>
      <c r="K3257" s="51"/>
      <c r="L3257" s="86"/>
      <c r="M3257" s="45"/>
      <c r="N3257" s="45"/>
    </row>
    <row r="3258" spans="1:14" ht="15" x14ac:dyDescent="0.25">
      <c r="A3258" s="1">
        <v>3249</v>
      </c>
      <c r="B3258" s="1" t="s">
        <v>441</v>
      </c>
      <c r="C3258" s="32">
        <v>6022</v>
      </c>
      <c r="D3258" s="1">
        <v>20000</v>
      </c>
      <c r="E3258" s="1"/>
      <c r="F3258" s="1">
        <v>222.2</v>
      </c>
      <c r="G3258" s="1">
        <v>20000</v>
      </c>
      <c r="H3258" s="5">
        <f t="shared" si="68"/>
        <v>0</v>
      </c>
      <c r="I3258" s="6"/>
      <c r="J3258" s="43"/>
      <c r="K3258" s="51"/>
      <c r="L3258" s="86"/>
      <c r="M3258" s="45"/>
      <c r="N3258" s="45"/>
    </row>
    <row r="3259" spans="1:14" ht="15" x14ac:dyDescent="0.25">
      <c r="A3259" s="1">
        <v>3250</v>
      </c>
      <c r="B3259" s="1" t="s">
        <v>441</v>
      </c>
      <c r="C3259" s="32">
        <v>2689</v>
      </c>
      <c r="D3259" s="1">
        <v>20000</v>
      </c>
      <c r="E3259" s="1"/>
      <c r="F3259" s="1">
        <v>222.2</v>
      </c>
      <c r="G3259" s="1">
        <v>20000</v>
      </c>
      <c r="H3259" s="5">
        <f t="shared" si="68"/>
        <v>0</v>
      </c>
      <c r="I3259" s="6"/>
      <c r="J3259" s="43"/>
      <c r="K3259" s="51"/>
      <c r="L3259" s="86"/>
      <c r="M3259" s="45"/>
      <c r="N3259" s="45"/>
    </row>
    <row r="3260" spans="1:14" ht="15" x14ac:dyDescent="0.25">
      <c r="A3260" s="1">
        <v>3251</v>
      </c>
      <c r="B3260" s="1" t="s">
        <v>441</v>
      </c>
      <c r="C3260" s="32">
        <v>3317</v>
      </c>
      <c r="D3260" s="1">
        <v>30000</v>
      </c>
      <c r="E3260" s="1"/>
      <c r="F3260" s="1">
        <v>334.22</v>
      </c>
      <c r="G3260" s="1">
        <v>30000</v>
      </c>
      <c r="H3260" s="5">
        <f t="shared" si="68"/>
        <v>0</v>
      </c>
      <c r="I3260" s="6"/>
      <c r="J3260" s="43"/>
      <c r="K3260" s="51"/>
      <c r="L3260" s="86"/>
      <c r="M3260" s="45"/>
      <c r="N3260" s="45"/>
    </row>
    <row r="3261" spans="1:14" ht="15" x14ac:dyDescent="0.25">
      <c r="A3261" s="1">
        <v>3252</v>
      </c>
      <c r="B3261" s="1" t="s">
        <v>441</v>
      </c>
      <c r="C3261" s="32">
        <v>6461</v>
      </c>
      <c r="D3261" s="1">
        <v>30000</v>
      </c>
      <c r="E3261" s="1"/>
      <c r="F3261" s="1">
        <v>334.22</v>
      </c>
      <c r="G3261" s="1">
        <v>30000</v>
      </c>
      <c r="H3261" s="5">
        <f t="shared" si="68"/>
        <v>0</v>
      </c>
      <c r="I3261" s="6"/>
      <c r="J3261" s="43"/>
      <c r="K3261" s="51"/>
      <c r="L3261" s="86"/>
      <c r="M3261" s="45"/>
      <c r="N3261" s="45"/>
    </row>
    <row r="3262" spans="1:14" ht="15" x14ac:dyDescent="0.25">
      <c r="A3262" s="1">
        <v>3253</v>
      </c>
      <c r="B3262" s="1" t="s">
        <v>441</v>
      </c>
      <c r="C3262" s="32">
        <v>3158</v>
      </c>
      <c r="D3262" s="1">
        <v>30000</v>
      </c>
      <c r="E3262" s="1"/>
      <c r="F3262" s="1">
        <v>334.22</v>
      </c>
      <c r="G3262" s="1">
        <v>30000</v>
      </c>
      <c r="H3262" s="5">
        <f t="shared" si="68"/>
        <v>0</v>
      </c>
      <c r="I3262" s="6"/>
      <c r="J3262" s="43"/>
      <c r="K3262" s="51"/>
      <c r="L3262" s="86"/>
      <c r="M3262" s="45"/>
      <c r="N3262" s="45"/>
    </row>
    <row r="3263" spans="1:14" ht="15" x14ac:dyDescent="0.25">
      <c r="A3263" s="1">
        <v>3254</v>
      </c>
      <c r="B3263" s="1" t="s">
        <v>441</v>
      </c>
      <c r="C3263" s="32">
        <v>1372</v>
      </c>
      <c r="D3263" s="1">
        <v>30000</v>
      </c>
      <c r="E3263" s="1"/>
      <c r="F3263" s="1">
        <v>334.22</v>
      </c>
      <c r="G3263" s="1">
        <v>30000</v>
      </c>
      <c r="H3263" s="5">
        <f t="shared" si="68"/>
        <v>0</v>
      </c>
      <c r="I3263" s="6"/>
      <c r="J3263" s="43"/>
      <c r="K3263" s="51"/>
      <c r="L3263" s="86"/>
      <c r="M3263" s="45"/>
      <c r="N3263" s="45"/>
    </row>
    <row r="3264" spans="1:14" ht="15" x14ac:dyDescent="0.25">
      <c r="A3264" s="1">
        <v>3255</v>
      </c>
      <c r="B3264" s="1" t="s">
        <v>441</v>
      </c>
      <c r="C3264" s="32">
        <v>4295</v>
      </c>
      <c r="D3264" s="1">
        <v>30000</v>
      </c>
      <c r="E3264" s="1"/>
      <c r="F3264" s="1">
        <v>334.22</v>
      </c>
      <c r="G3264" s="1">
        <v>30000</v>
      </c>
      <c r="H3264" s="5">
        <f t="shared" si="68"/>
        <v>0</v>
      </c>
      <c r="I3264" s="6"/>
      <c r="J3264" s="43"/>
      <c r="K3264" s="51"/>
      <c r="L3264" s="86"/>
      <c r="M3264" s="45"/>
      <c r="N3264" s="45"/>
    </row>
    <row r="3265" spans="1:14" ht="15" x14ac:dyDescent="0.25">
      <c r="A3265" s="1">
        <v>3256</v>
      </c>
      <c r="B3265" s="1" t="s">
        <v>441</v>
      </c>
      <c r="C3265" s="32">
        <v>5.9400000000000001E-2</v>
      </c>
      <c r="D3265" s="1">
        <v>34000</v>
      </c>
      <c r="E3265" s="1"/>
      <c r="F3265" s="1">
        <v>378.29</v>
      </c>
      <c r="G3265" s="1">
        <v>34000</v>
      </c>
      <c r="H3265" s="5">
        <f t="shared" si="68"/>
        <v>0</v>
      </c>
      <c r="I3265" s="6"/>
      <c r="J3265" s="43"/>
      <c r="K3265" s="51"/>
      <c r="L3265" s="86"/>
      <c r="M3265" s="45"/>
      <c r="N3265" s="45"/>
    </row>
    <row r="3266" spans="1:14" ht="15" x14ac:dyDescent="0.25">
      <c r="A3266" s="1">
        <v>3257</v>
      </c>
      <c r="B3266" s="1" t="s">
        <v>441</v>
      </c>
      <c r="C3266" s="32">
        <v>4225</v>
      </c>
      <c r="D3266" s="1">
        <v>34000</v>
      </c>
      <c r="E3266" s="1"/>
      <c r="F3266" s="1">
        <v>378.29</v>
      </c>
      <c r="G3266" s="1">
        <v>34000</v>
      </c>
      <c r="H3266" s="5">
        <f t="shared" si="68"/>
        <v>0</v>
      </c>
      <c r="I3266" s="6"/>
      <c r="J3266" s="43"/>
      <c r="K3266" s="51"/>
      <c r="L3266" s="86"/>
      <c r="M3266" s="45"/>
      <c r="N3266" s="45"/>
    </row>
    <row r="3267" spans="1:14" ht="15" x14ac:dyDescent="0.25">
      <c r="A3267" s="1">
        <v>3258</v>
      </c>
      <c r="B3267" s="1" t="s">
        <v>441</v>
      </c>
      <c r="C3267" s="32">
        <v>5417</v>
      </c>
      <c r="D3267" s="1">
        <v>24000</v>
      </c>
      <c r="E3267" s="1"/>
      <c r="F3267" s="1">
        <v>251.78</v>
      </c>
      <c r="G3267" s="1">
        <v>24000</v>
      </c>
      <c r="H3267" s="5">
        <f t="shared" si="68"/>
        <v>0</v>
      </c>
      <c r="I3267" s="6"/>
      <c r="J3267" s="43"/>
      <c r="K3267" s="51"/>
      <c r="L3267" s="86"/>
      <c r="M3267" s="45"/>
      <c r="N3267" s="45"/>
    </row>
    <row r="3268" spans="1:14" ht="15" x14ac:dyDescent="0.25">
      <c r="A3268" s="1">
        <v>3259</v>
      </c>
      <c r="B3268" s="1" t="s">
        <v>441</v>
      </c>
      <c r="C3268" s="32">
        <v>1256</v>
      </c>
      <c r="D3268" s="1">
        <v>25000</v>
      </c>
      <c r="E3268" s="1"/>
      <c r="F3268" s="1">
        <v>278.22000000000003</v>
      </c>
      <c r="G3268" s="1">
        <v>25000</v>
      </c>
      <c r="H3268" s="5">
        <f t="shared" si="68"/>
        <v>0</v>
      </c>
      <c r="I3268" s="6"/>
      <c r="J3268" s="43"/>
      <c r="K3268" s="51"/>
      <c r="L3268" s="86">
        <f>1698214-1692805</f>
        <v>5409</v>
      </c>
      <c r="M3268" s="45" t="s">
        <v>442</v>
      </c>
      <c r="N3268" s="45">
        <f>5409-4789</f>
        <v>620</v>
      </c>
    </row>
    <row r="3269" spans="1:14" ht="15" x14ac:dyDescent="0.25">
      <c r="A3269" s="1">
        <v>3260</v>
      </c>
      <c r="B3269" s="1" t="s">
        <v>443</v>
      </c>
      <c r="C3269" s="32">
        <v>1452</v>
      </c>
      <c r="D3269" s="1">
        <v>13000</v>
      </c>
      <c r="E3269" s="1"/>
      <c r="F3269" s="1">
        <v>144.13</v>
      </c>
      <c r="G3269" s="1">
        <v>13000</v>
      </c>
      <c r="H3269" s="5">
        <f t="shared" si="68"/>
        <v>0</v>
      </c>
      <c r="I3269" s="6"/>
      <c r="J3269" s="43"/>
      <c r="K3269" s="51"/>
      <c r="L3269" s="86"/>
      <c r="M3269" s="45"/>
      <c r="N3269" s="45"/>
    </row>
    <row r="3270" spans="1:14" ht="15" x14ac:dyDescent="0.25">
      <c r="A3270" s="1">
        <v>3261</v>
      </c>
      <c r="B3270" s="1" t="s">
        <v>443</v>
      </c>
      <c r="C3270" s="32">
        <v>7071</v>
      </c>
      <c r="D3270" s="1">
        <v>14000</v>
      </c>
      <c r="E3270" s="1"/>
      <c r="F3270" s="1">
        <v>155.12</v>
      </c>
      <c r="G3270" s="1">
        <v>14000</v>
      </c>
      <c r="H3270" s="5">
        <f t="shared" si="68"/>
        <v>0</v>
      </c>
      <c r="I3270" s="6"/>
      <c r="J3270" s="43"/>
      <c r="K3270" s="51"/>
      <c r="L3270" s="86"/>
      <c r="M3270" s="45"/>
      <c r="N3270" s="45"/>
    </row>
    <row r="3271" spans="1:14" ht="15" x14ac:dyDescent="0.25">
      <c r="A3271" s="1">
        <v>3262</v>
      </c>
      <c r="B3271" s="1" t="s">
        <v>443</v>
      </c>
      <c r="C3271" s="32">
        <v>4282</v>
      </c>
      <c r="D3271" s="1">
        <v>16000</v>
      </c>
      <c r="E3271" s="1"/>
      <c r="F3271" s="1">
        <v>178.22</v>
      </c>
      <c r="G3271" s="1">
        <v>16000</v>
      </c>
      <c r="H3271" s="5">
        <f t="shared" si="68"/>
        <v>0</v>
      </c>
      <c r="I3271" s="6"/>
      <c r="J3271" s="43"/>
      <c r="K3271" s="51"/>
      <c r="L3271" s="86"/>
      <c r="M3271" s="45"/>
      <c r="N3271" s="45"/>
    </row>
    <row r="3272" spans="1:14" ht="15" x14ac:dyDescent="0.25">
      <c r="A3272" s="1">
        <v>3263</v>
      </c>
      <c r="B3272" s="1" t="s">
        <v>443</v>
      </c>
      <c r="C3272" s="32">
        <v>2973</v>
      </c>
      <c r="D3272" s="1">
        <v>16000</v>
      </c>
      <c r="E3272" s="1"/>
      <c r="F3272" s="1">
        <v>178.22</v>
      </c>
      <c r="G3272" s="1">
        <v>16000</v>
      </c>
      <c r="H3272" s="5">
        <f t="shared" si="68"/>
        <v>0</v>
      </c>
      <c r="I3272" s="6"/>
      <c r="J3272" s="43"/>
      <c r="K3272" s="51"/>
      <c r="L3272" s="86"/>
      <c r="M3272" s="45"/>
      <c r="N3272" s="45"/>
    </row>
    <row r="3273" spans="1:14" ht="15" x14ac:dyDescent="0.25">
      <c r="A3273" s="1">
        <v>3264</v>
      </c>
      <c r="B3273" s="1" t="s">
        <v>443</v>
      </c>
      <c r="C3273" s="32" t="s">
        <v>63</v>
      </c>
      <c r="D3273" s="1">
        <v>3500</v>
      </c>
      <c r="E3273" s="1"/>
      <c r="F3273" s="1">
        <v>38.130000000000003</v>
      </c>
      <c r="G3273" s="1">
        <v>3500</v>
      </c>
      <c r="H3273" s="5">
        <f t="shared" si="68"/>
        <v>0</v>
      </c>
      <c r="I3273" s="6"/>
      <c r="J3273" s="43"/>
      <c r="K3273" s="51"/>
      <c r="L3273" s="86"/>
      <c r="M3273" s="45"/>
      <c r="N3273" s="45"/>
    </row>
    <row r="3274" spans="1:14" ht="15.75" customHeight="1" x14ac:dyDescent="0.25">
      <c r="A3274" s="1">
        <v>3265</v>
      </c>
      <c r="B3274" s="1" t="s">
        <v>443</v>
      </c>
      <c r="C3274" s="32">
        <v>1352</v>
      </c>
      <c r="D3274" s="1">
        <v>13000</v>
      </c>
      <c r="E3274" s="1"/>
      <c r="F3274" s="1">
        <v>144.25</v>
      </c>
      <c r="G3274" s="1">
        <v>13000</v>
      </c>
      <c r="H3274" s="5">
        <f t="shared" si="68"/>
        <v>0</v>
      </c>
      <c r="I3274" s="6"/>
      <c r="J3274" s="43"/>
      <c r="K3274" s="51"/>
      <c r="L3274" s="86"/>
      <c r="M3274" s="45"/>
      <c r="N3274" s="45"/>
    </row>
    <row r="3275" spans="1:14" ht="15" x14ac:dyDescent="0.25">
      <c r="A3275" s="1">
        <v>3266</v>
      </c>
      <c r="B3275" s="1" t="s">
        <v>443</v>
      </c>
      <c r="C3275" s="32">
        <v>5958</v>
      </c>
      <c r="D3275" s="1">
        <v>16000</v>
      </c>
      <c r="E3275" s="1"/>
      <c r="F3275" s="1">
        <v>178.22</v>
      </c>
      <c r="G3275" s="1">
        <v>16000</v>
      </c>
      <c r="H3275" s="5">
        <f t="shared" si="68"/>
        <v>0</v>
      </c>
      <c r="I3275" s="6"/>
      <c r="J3275" s="43"/>
      <c r="K3275" s="51"/>
      <c r="L3275" s="86"/>
      <c r="M3275" s="45"/>
      <c r="N3275" s="45"/>
    </row>
    <row r="3276" spans="1:14" ht="15" x14ac:dyDescent="0.25">
      <c r="A3276" s="1">
        <v>3267</v>
      </c>
      <c r="B3276" s="1" t="s">
        <v>443</v>
      </c>
      <c r="C3276" s="32">
        <v>8956</v>
      </c>
      <c r="D3276" s="1">
        <v>20178</v>
      </c>
      <c r="E3276" s="1"/>
      <c r="F3276" s="1">
        <v>224.85</v>
      </c>
      <c r="G3276" s="1">
        <v>20178</v>
      </c>
      <c r="H3276" s="5">
        <f t="shared" si="68"/>
        <v>0</v>
      </c>
      <c r="I3276" s="6"/>
      <c r="J3276" s="43"/>
      <c r="K3276" s="51"/>
      <c r="L3276" s="86"/>
      <c r="M3276" s="45"/>
      <c r="N3276" s="45"/>
    </row>
    <row r="3277" spans="1:14" ht="15" x14ac:dyDescent="0.25">
      <c r="A3277" s="1">
        <v>3268</v>
      </c>
      <c r="B3277" s="1" t="s">
        <v>443</v>
      </c>
      <c r="C3277" s="32">
        <v>9905</v>
      </c>
      <c r="D3277" s="1">
        <v>13000</v>
      </c>
      <c r="E3277" s="1"/>
      <c r="F3277" s="1">
        <v>144.25</v>
      </c>
      <c r="G3277" s="1">
        <v>13000</v>
      </c>
      <c r="H3277" s="5">
        <f t="shared" si="68"/>
        <v>0</v>
      </c>
      <c r="I3277" s="6"/>
      <c r="J3277" s="43"/>
      <c r="K3277" s="51"/>
      <c r="L3277" s="86"/>
      <c r="M3277" s="45"/>
      <c r="N3277" s="45"/>
    </row>
    <row r="3278" spans="1:14" ht="15" x14ac:dyDescent="0.25">
      <c r="A3278" s="1">
        <v>3269</v>
      </c>
      <c r="B3278" s="1" t="s">
        <v>443</v>
      </c>
      <c r="C3278" s="32">
        <v>1598</v>
      </c>
      <c r="D3278" s="1">
        <v>12000</v>
      </c>
      <c r="E3278" s="1"/>
      <c r="F3278" s="1">
        <v>133.25</v>
      </c>
      <c r="G3278" s="1">
        <v>12000</v>
      </c>
      <c r="H3278" s="5">
        <f t="shared" si="68"/>
        <v>0</v>
      </c>
      <c r="I3278" s="6"/>
      <c r="J3278" s="43"/>
      <c r="K3278" s="51"/>
      <c r="L3278" s="86"/>
      <c r="M3278" s="45"/>
      <c r="N3278" s="45"/>
    </row>
    <row r="3279" spans="1:14" ht="15" x14ac:dyDescent="0.25">
      <c r="A3279" s="1">
        <v>3270</v>
      </c>
      <c r="B3279" s="1" t="s">
        <v>443</v>
      </c>
      <c r="C3279" s="32">
        <v>2829</v>
      </c>
      <c r="D3279" s="1">
        <v>20000</v>
      </c>
      <c r="E3279" s="1"/>
      <c r="F3279" s="1">
        <v>222.25</v>
      </c>
      <c r="G3279" s="1">
        <v>20000</v>
      </c>
      <c r="H3279" s="5">
        <f t="shared" si="68"/>
        <v>0</v>
      </c>
      <c r="I3279" s="6"/>
      <c r="J3279" s="43"/>
      <c r="K3279" s="51"/>
      <c r="L3279" s="86"/>
      <c r="M3279" s="45"/>
      <c r="N3279" s="45"/>
    </row>
    <row r="3280" spans="1:14" ht="15" x14ac:dyDescent="0.25">
      <c r="A3280" s="1">
        <v>3271</v>
      </c>
      <c r="B3280" s="1" t="s">
        <v>443</v>
      </c>
      <c r="C3280" s="32">
        <v>2777</v>
      </c>
      <c r="D3280" s="1">
        <v>26000</v>
      </c>
      <c r="E3280" s="1"/>
      <c r="F3280" s="1">
        <v>289.14999999999998</v>
      </c>
      <c r="G3280" s="1">
        <v>26000</v>
      </c>
      <c r="H3280" s="5">
        <f t="shared" si="68"/>
        <v>0</v>
      </c>
      <c r="I3280" s="6"/>
      <c r="J3280" s="43"/>
      <c r="K3280" s="51"/>
      <c r="L3280" s="86"/>
      <c r="M3280" s="45"/>
      <c r="N3280" s="45"/>
    </row>
    <row r="3281" spans="1:14" ht="15" x14ac:dyDescent="0.25">
      <c r="A3281" s="1">
        <v>3272</v>
      </c>
      <c r="B3281" s="1" t="s">
        <v>443</v>
      </c>
      <c r="C3281" s="32">
        <v>6596</v>
      </c>
      <c r="D3281" s="1">
        <v>14000</v>
      </c>
      <c r="E3281" s="1"/>
      <c r="F3281" s="1">
        <v>155.25</v>
      </c>
      <c r="G3281" s="1">
        <v>14000</v>
      </c>
      <c r="H3281" s="5">
        <f t="shared" si="68"/>
        <v>0</v>
      </c>
      <c r="I3281" s="6"/>
      <c r="J3281" s="43"/>
      <c r="K3281" s="51"/>
      <c r="L3281" s="86"/>
      <c r="M3281" s="45"/>
      <c r="N3281" s="45"/>
    </row>
    <row r="3282" spans="1:14" ht="15" x14ac:dyDescent="0.25">
      <c r="A3282" s="1">
        <v>3273</v>
      </c>
      <c r="B3282" s="1" t="s">
        <v>443</v>
      </c>
      <c r="C3282" s="32">
        <v>4.1500000000000002E-2</v>
      </c>
      <c r="D3282" s="1">
        <v>8000</v>
      </c>
      <c r="E3282" s="1"/>
      <c r="F3282" s="1">
        <v>89.15</v>
      </c>
      <c r="G3282" s="1">
        <v>8000</v>
      </c>
      <c r="H3282" s="5">
        <f t="shared" si="68"/>
        <v>0</v>
      </c>
      <c r="I3282" s="6"/>
      <c r="J3282" s="43"/>
      <c r="K3282" s="51"/>
      <c r="L3282" s="86"/>
      <c r="M3282" s="45"/>
      <c r="N3282" s="45"/>
    </row>
    <row r="3283" spans="1:14" ht="15" x14ac:dyDescent="0.25">
      <c r="A3283" s="1">
        <v>3274</v>
      </c>
      <c r="B3283" s="1" t="s">
        <v>443</v>
      </c>
      <c r="C3283" s="32">
        <v>9665</v>
      </c>
      <c r="D3283" s="1">
        <v>6000</v>
      </c>
      <c r="E3283" s="1"/>
      <c r="F3283" s="1">
        <v>66.12</v>
      </c>
      <c r="G3283" s="1">
        <v>6000</v>
      </c>
      <c r="H3283" s="5">
        <f t="shared" si="68"/>
        <v>0</v>
      </c>
      <c r="I3283" s="6"/>
      <c r="J3283" s="43"/>
      <c r="K3283" s="51"/>
      <c r="L3283" s="86"/>
      <c r="M3283" s="45"/>
      <c r="N3283" s="45"/>
    </row>
    <row r="3284" spans="1:14" ht="15" x14ac:dyDescent="0.25">
      <c r="A3284" s="1">
        <v>3275</v>
      </c>
      <c r="B3284" s="1" t="s">
        <v>443</v>
      </c>
      <c r="C3284" s="32">
        <v>6496</v>
      </c>
      <c r="D3284" s="1">
        <v>14000</v>
      </c>
      <c r="E3284" s="1"/>
      <c r="F3284" s="1">
        <v>144.15</v>
      </c>
      <c r="G3284" s="1">
        <v>14000</v>
      </c>
      <c r="H3284" s="5">
        <f t="shared" si="68"/>
        <v>0</v>
      </c>
      <c r="I3284" s="6"/>
      <c r="J3284" s="43"/>
      <c r="K3284" s="51"/>
      <c r="L3284" s="86"/>
      <c r="M3284" s="45"/>
      <c r="N3284" s="45"/>
    </row>
    <row r="3285" spans="1:14" ht="15" x14ac:dyDescent="0.25">
      <c r="A3285" s="1">
        <v>3276</v>
      </c>
      <c r="B3285" s="1" t="s">
        <v>443</v>
      </c>
      <c r="C3285" s="32">
        <v>3365</v>
      </c>
      <c r="D3285" s="1">
        <v>7000</v>
      </c>
      <c r="E3285" s="1"/>
      <c r="F3285" s="1">
        <v>77.930000000000007</v>
      </c>
      <c r="G3285" s="1">
        <v>7000</v>
      </c>
      <c r="H3285" s="5">
        <f t="shared" si="68"/>
        <v>0</v>
      </c>
      <c r="I3285" s="6"/>
      <c r="J3285" s="43"/>
      <c r="K3285" s="51"/>
      <c r="L3285" s="86"/>
      <c r="M3285" s="45"/>
      <c r="N3285" s="45"/>
    </row>
    <row r="3286" spans="1:14" ht="15" x14ac:dyDescent="0.25">
      <c r="A3286" s="1">
        <v>3277</v>
      </c>
      <c r="B3286" s="1" t="s">
        <v>443</v>
      </c>
      <c r="C3286" s="32">
        <v>6214</v>
      </c>
      <c r="D3286" s="1">
        <v>19000</v>
      </c>
      <c r="E3286" s="1"/>
      <c r="F3286" s="1">
        <v>211.15</v>
      </c>
      <c r="G3286" s="1">
        <v>19000</v>
      </c>
      <c r="H3286" s="5">
        <f t="shared" si="68"/>
        <v>0</v>
      </c>
      <c r="I3286" s="6"/>
      <c r="J3286" s="43"/>
      <c r="K3286" s="51"/>
      <c r="L3286" s="86"/>
      <c r="M3286" s="45"/>
      <c r="N3286" s="45"/>
    </row>
    <row r="3287" spans="1:14" ht="15" x14ac:dyDescent="0.25">
      <c r="A3287" s="1">
        <v>3278</v>
      </c>
      <c r="B3287" s="1" t="s">
        <v>443</v>
      </c>
      <c r="C3287" s="32">
        <v>2545</v>
      </c>
      <c r="D3287" s="1">
        <v>15000</v>
      </c>
      <c r="E3287" s="1"/>
      <c r="F3287" s="1">
        <v>167.15</v>
      </c>
      <c r="G3287" s="1">
        <v>15000</v>
      </c>
      <c r="H3287" s="5">
        <f t="shared" si="68"/>
        <v>0</v>
      </c>
      <c r="I3287" s="6"/>
      <c r="J3287" s="43"/>
      <c r="K3287" s="51"/>
      <c r="L3287" s="86"/>
      <c r="M3287" s="45"/>
      <c r="N3287" s="45"/>
    </row>
    <row r="3288" spans="1:14" ht="15" x14ac:dyDescent="0.25">
      <c r="A3288" s="1">
        <v>3279</v>
      </c>
      <c r="B3288" s="1" t="s">
        <v>443</v>
      </c>
      <c r="C3288" s="32">
        <v>4371</v>
      </c>
      <c r="D3288" s="1">
        <v>12000</v>
      </c>
      <c r="E3288" s="1"/>
      <c r="F3288" s="1">
        <v>133.25</v>
      </c>
      <c r="G3288" s="1">
        <v>12000</v>
      </c>
      <c r="H3288" s="5">
        <f t="shared" si="68"/>
        <v>0</v>
      </c>
      <c r="I3288" s="6"/>
      <c r="J3288" s="43"/>
      <c r="K3288" s="51"/>
      <c r="L3288" s="86"/>
      <c r="M3288" s="45"/>
      <c r="N3288" s="45"/>
    </row>
    <row r="3289" spans="1:14" ht="15" x14ac:dyDescent="0.25">
      <c r="A3289" s="1">
        <v>3280</v>
      </c>
      <c r="B3289" s="1" t="s">
        <v>443</v>
      </c>
      <c r="C3289" s="32">
        <v>1266</v>
      </c>
      <c r="D3289" s="1">
        <v>13000</v>
      </c>
      <c r="E3289" s="1"/>
      <c r="F3289" s="1">
        <v>144.12</v>
      </c>
      <c r="G3289" s="1">
        <v>13000</v>
      </c>
      <c r="H3289" s="5">
        <f t="shared" ref="H3289:H3352" si="69">D3289-G3289</f>
        <v>0</v>
      </c>
      <c r="I3289" s="6"/>
      <c r="J3289" s="43"/>
      <c r="K3289" s="51"/>
      <c r="L3289" s="86"/>
      <c r="M3289" s="45"/>
      <c r="N3289" s="45"/>
    </row>
    <row r="3290" spans="1:14" ht="15" x14ac:dyDescent="0.25">
      <c r="A3290" s="1">
        <v>3281</v>
      </c>
      <c r="B3290" s="1" t="s">
        <v>443</v>
      </c>
      <c r="C3290" s="32">
        <v>9669</v>
      </c>
      <c r="D3290" s="1">
        <v>6000</v>
      </c>
      <c r="E3290" s="1"/>
      <c r="F3290" s="1">
        <v>66.12</v>
      </c>
      <c r="G3290" s="1">
        <v>6000</v>
      </c>
      <c r="H3290" s="5">
        <f t="shared" si="69"/>
        <v>0</v>
      </c>
      <c r="I3290" s="6"/>
      <c r="J3290" s="43"/>
      <c r="K3290" s="51"/>
      <c r="L3290" s="86"/>
      <c r="M3290" s="45"/>
      <c r="N3290" s="45"/>
    </row>
    <row r="3291" spans="1:14" ht="15" x14ac:dyDescent="0.25">
      <c r="A3291" s="1">
        <v>3282</v>
      </c>
      <c r="B3291" s="1" t="s">
        <v>443</v>
      </c>
      <c r="C3291" s="32">
        <v>9979</v>
      </c>
      <c r="D3291" s="1">
        <v>6000</v>
      </c>
      <c r="E3291" s="1"/>
      <c r="F3291" s="1">
        <v>66.12</v>
      </c>
      <c r="G3291" s="1">
        <v>6000</v>
      </c>
      <c r="H3291" s="5">
        <f t="shared" si="69"/>
        <v>0</v>
      </c>
      <c r="I3291" s="6"/>
      <c r="J3291" s="43"/>
      <c r="K3291" s="51"/>
      <c r="L3291" s="86"/>
      <c r="M3291" s="45"/>
      <c r="N3291" s="45"/>
    </row>
    <row r="3292" spans="1:14" ht="15" x14ac:dyDescent="0.25">
      <c r="A3292" s="1">
        <v>3283</v>
      </c>
      <c r="B3292" s="1" t="s">
        <v>443</v>
      </c>
      <c r="C3292" s="32">
        <v>4437</v>
      </c>
      <c r="D3292" s="1">
        <v>10000</v>
      </c>
      <c r="E3292" s="1"/>
      <c r="F3292" s="1">
        <v>111.25</v>
      </c>
      <c r="G3292" s="1">
        <v>10000</v>
      </c>
      <c r="H3292" s="5">
        <f t="shared" si="69"/>
        <v>0</v>
      </c>
      <c r="I3292" s="6"/>
      <c r="J3292" s="43"/>
      <c r="K3292" s="51"/>
      <c r="L3292" s="86"/>
      <c r="M3292" s="45"/>
      <c r="N3292" s="45"/>
    </row>
    <row r="3293" spans="1:14" ht="15" x14ac:dyDescent="0.25">
      <c r="A3293" s="1">
        <v>3284</v>
      </c>
      <c r="B3293" s="1" t="s">
        <v>443</v>
      </c>
      <c r="C3293" s="32">
        <v>1652</v>
      </c>
      <c r="D3293" s="1">
        <v>14000</v>
      </c>
      <c r="E3293" s="1"/>
      <c r="F3293" s="1">
        <v>144.15</v>
      </c>
      <c r="G3293" s="1">
        <v>14000</v>
      </c>
      <c r="H3293" s="5">
        <f t="shared" si="69"/>
        <v>0</v>
      </c>
      <c r="I3293" s="6"/>
      <c r="J3293" s="43"/>
      <c r="K3293" s="51"/>
      <c r="L3293" s="86"/>
      <c r="M3293" s="45"/>
      <c r="N3293" s="45"/>
    </row>
    <row r="3294" spans="1:14" ht="15" x14ac:dyDescent="0.25">
      <c r="A3294" s="1">
        <v>3285</v>
      </c>
      <c r="B3294" s="1" t="s">
        <v>443</v>
      </c>
      <c r="C3294" s="32">
        <v>3398</v>
      </c>
      <c r="D3294" s="1">
        <v>13000</v>
      </c>
      <c r="E3294" s="1"/>
      <c r="F3294" s="1">
        <v>144.12</v>
      </c>
      <c r="G3294" s="1">
        <v>13000</v>
      </c>
      <c r="H3294" s="5">
        <f t="shared" si="69"/>
        <v>0</v>
      </c>
      <c r="I3294" s="6"/>
      <c r="J3294" s="43"/>
      <c r="K3294" s="51"/>
      <c r="L3294" s="86"/>
      <c r="M3294" s="45"/>
      <c r="N3294" s="45"/>
    </row>
    <row r="3295" spans="1:14" ht="15" x14ac:dyDescent="0.25">
      <c r="A3295" s="1">
        <v>3286</v>
      </c>
      <c r="B3295" s="1" t="s">
        <v>443</v>
      </c>
      <c r="C3295" s="32">
        <v>2975</v>
      </c>
      <c r="D3295" s="1">
        <v>14000</v>
      </c>
      <c r="E3295" s="1"/>
      <c r="F3295" s="1">
        <v>144.15</v>
      </c>
      <c r="G3295" s="1">
        <v>14000</v>
      </c>
      <c r="H3295" s="5">
        <f t="shared" si="69"/>
        <v>0</v>
      </c>
      <c r="I3295" s="6"/>
      <c r="J3295" s="43"/>
      <c r="K3295" s="51"/>
      <c r="L3295" s="86"/>
      <c r="M3295" s="45"/>
      <c r="N3295" s="45"/>
    </row>
    <row r="3296" spans="1:14" ht="15" x14ac:dyDescent="0.25">
      <c r="A3296" s="1">
        <v>3287</v>
      </c>
      <c r="B3296" s="1" t="s">
        <v>443</v>
      </c>
      <c r="C3296" s="32">
        <v>2.1399999999999999E-2</v>
      </c>
      <c r="D3296" s="1">
        <v>19200</v>
      </c>
      <c r="E3296" s="1"/>
      <c r="F3296" s="1">
        <v>213.9</v>
      </c>
      <c r="G3296" s="1">
        <v>19200</v>
      </c>
      <c r="H3296" s="5">
        <f t="shared" si="69"/>
        <v>0</v>
      </c>
      <c r="I3296" s="6"/>
      <c r="J3296" s="43"/>
      <c r="K3296" s="51"/>
      <c r="L3296" s="86"/>
      <c r="M3296" s="45"/>
      <c r="N3296" s="45"/>
    </row>
    <row r="3297" spans="1:14" ht="15" x14ac:dyDescent="0.25">
      <c r="A3297" s="1">
        <v>3288</v>
      </c>
      <c r="B3297" s="1" t="s">
        <v>443</v>
      </c>
      <c r="C3297" s="32">
        <v>6318</v>
      </c>
      <c r="D3297" s="1">
        <v>22000</v>
      </c>
      <c r="E3297" s="1"/>
      <c r="F3297" s="1">
        <v>245.1</v>
      </c>
      <c r="G3297" s="1">
        <v>22000</v>
      </c>
      <c r="H3297" s="5">
        <f t="shared" si="69"/>
        <v>0</v>
      </c>
      <c r="I3297" s="6"/>
      <c r="J3297" s="43"/>
      <c r="K3297" s="51"/>
      <c r="L3297" s="86"/>
      <c r="M3297" s="45"/>
      <c r="N3297" s="45"/>
    </row>
    <row r="3298" spans="1:14" ht="15" x14ac:dyDescent="0.25">
      <c r="A3298" s="1">
        <v>3289</v>
      </c>
      <c r="B3298" s="1" t="s">
        <v>443</v>
      </c>
      <c r="C3298" s="32">
        <v>1071</v>
      </c>
      <c r="D3298" s="1">
        <v>13000</v>
      </c>
      <c r="E3298" s="1"/>
      <c r="F3298" s="1">
        <v>144.82</v>
      </c>
      <c r="G3298" s="1">
        <v>13000</v>
      </c>
      <c r="H3298" s="5">
        <f t="shared" si="69"/>
        <v>0</v>
      </c>
      <c r="I3298" s="6"/>
      <c r="J3298" s="43"/>
      <c r="K3298" s="51"/>
      <c r="L3298" s="86"/>
      <c r="M3298" s="45"/>
      <c r="N3298" s="45"/>
    </row>
    <row r="3299" spans="1:14" ht="15" x14ac:dyDescent="0.25">
      <c r="A3299" s="1">
        <v>3290</v>
      </c>
      <c r="B3299" s="1" t="s">
        <v>443</v>
      </c>
      <c r="C3299" s="32">
        <v>5956</v>
      </c>
      <c r="D3299" s="1">
        <v>14000</v>
      </c>
      <c r="E3299" s="1"/>
      <c r="F3299" s="1">
        <v>155.97</v>
      </c>
      <c r="G3299" s="1">
        <v>14000</v>
      </c>
      <c r="H3299" s="5">
        <f t="shared" si="69"/>
        <v>0</v>
      </c>
      <c r="I3299" s="6"/>
      <c r="J3299" s="43"/>
      <c r="K3299" s="51"/>
      <c r="L3299" s="86"/>
      <c r="M3299" s="45"/>
      <c r="N3299" s="45"/>
    </row>
    <row r="3300" spans="1:14" ht="15" x14ac:dyDescent="0.25">
      <c r="A3300" s="1">
        <v>3291</v>
      </c>
      <c r="B3300" s="1" t="s">
        <v>443</v>
      </c>
      <c r="C3300" s="32">
        <v>1260</v>
      </c>
      <c r="D3300" s="1">
        <v>25000</v>
      </c>
      <c r="E3300" s="1"/>
      <c r="F3300" s="1">
        <v>278.25</v>
      </c>
      <c r="G3300" s="1">
        <v>25000</v>
      </c>
      <c r="H3300" s="5">
        <f t="shared" si="69"/>
        <v>0</v>
      </c>
      <c r="I3300" s="6"/>
      <c r="J3300" s="43"/>
      <c r="K3300" s="51"/>
      <c r="L3300" s="86"/>
      <c r="M3300" s="45"/>
      <c r="N3300" s="45"/>
    </row>
    <row r="3301" spans="1:14" ht="15" x14ac:dyDescent="0.25">
      <c r="A3301" s="1">
        <v>3292</v>
      </c>
      <c r="B3301" s="1" t="s">
        <v>443</v>
      </c>
      <c r="C3301" s="32">
        <v>1252</v>
      </c>
      <c r="D3301" s="1">
        <v>15000</v>
      </c>
      <c r="E3301" s="1"/>
      <c r="F3301" s="1">
        <v>167.11</v>
      </c>
      <c r="G3301" s="1">
        <v>15000</v>
      </c>
      <c r="H3301" s="5">
        <f t="shared" si="69"/>
        <v>0</v>
      </c>
      <c r="I3301" s="6"/>
      <c r="J3301" s="43"/>
      <c r="K3301" s="51"/>
      <c r="L3301" s="86"/>
      <c r="M3301" s="45"/>
      <c r="N3301" s="45"/>
    </row>
    <row r="3302" spans="1:14" ht="15" x14ac:dyDescent="0.25">
      <c r="A3302" s="1">
        <v>3293</v>
      </c>
      <c r="B3302" s="1" t="s">
        <v>443</v>
      </c>
      <c r="C3302" s="32">
        <v>5252</v>
      </c>
      <c r="D3302" s="1">
        <v>15000</v>
      </c>
      <c r="E3302" s="1"/>
      <c r="F3302" s="1">
        <v>167.11</v>
      </c>
      <c r="G3302" s="1">
        <v>15000</v>
      </c>
      <c r="H3302" s="5">
        <f t="shared" si="69"/>
        <v>0</v>
      </c>
      <c r="I3302" s="6"/>
      <c r="J3302" s="43"/>
      <c r="K3302" s="51"/>
      <c r="L3302" s="86"/>
      <c r="M3302" s="45"/>
      <c r="N3302" s="45"/>
    </row>
    <row r="3303" spans="1:14" ht="15" x14ac:dyDescent="0.25">
      <c r="A3303" s="1">
        <v>3294</v>
      </c>
      <c r="B3303" s="1" t="s">
        <v>443</v>
      </c>
      <c r="C3303" s="32">
        <v>4863</v>
      </c>
      <c r="D3303" s="1">
        <v>15000</v>
      </c>
      <c r="E3303" s="1"/>
      <c r="F3303" s="1">
        <v>167.11</v>
      </c>
      <c r="G3303" s="1">
        <v>15000</v>
      </c>
      <c r="H3303" s="5">
        <f t="shared" si="69"/>
        <v>0</v>
      </c>
      <c r="I3303" s="6"/>
      <c r="J3303" s="43"/>
      <c r="K3303" s="51"/>
      <c r="L3303" s="86"/>
      <c r="M3303" s="45"/>
      <c r="N3303" s="45"/>
    </row>
    <row r="3304" spans="1:14" ht="15" x14ac:dyDescent="0.25">
      <c r="A3304" s="1">
        <v>3295</v>
      </c>
      <c r="B3304" s="1" t="s">
        <v>443</v>
      </c>
      <c r="C3304" s="32">
        <v>4414</v>
      </c>
      <c r="D3304" s="1">
        <v>20000</v>
      </c>
      <c r="E3304" s="1"/>
      <c r="F3304" s="1">
        <v>222.25</v>
      </c>
      <c r="G3304" s="1">
        <v>20000</v>
      </c>
      <c r="H3304" s="5">
        <f t="shared" si="69"/>
        <v>0</v>
      </c>
      <c r="I3304" s="6"/>
      <c r="J3304" s="43"/>
      <c r="K3304" s="51"/>
      <c r="L3304" s="86"/>
      <c r="M3304" s="45"/>
      <c r="N3304" s="45"/>
    </row>
    <row r="3305" spans="1:14" ht="15" x14ac:dyDescent="0.25">
      <c r="A3305" s="1">
        <v>3296</v>
      </c>
      <c r="B3305" s="1" t="s">
        <v>443</v>
      </c>
      <c r="C3305" s="32">
        <v>3.0700000000000002E-2</v>
      </c>
      <c r="D3305" s="1">
        <v>20000</v>
      </c>
      <c r="E3305" s="1"/>
      <c r="F3305" s="1">
        <v>222.25</v>
      </c>
      <c r="G3305" s="1">
        <v>20000</v>
      </c>
      <c r="H3305" s="5">
        <f t="shared" si="69"/>
        <v>0</v>
      </c>
      <c r="I3305" s="6"/>
      <c r="J3305" s="43"/>
      <c r="K3305" s="51"/>
      <c r="L3305" s="86"/>
      <c r="M3305" s="45"/>
      <c r="N3305" s="45"/>
    </row>
    <row r="3306" spans="1:14" ht="15" x14ac:dyDescent="0.25">
      <c r="A3306" s="1">
        <v>3297</v>
      </c>
      <c r="B3306" s="1" t="s">
        <v>443</v>
      </c>
      <c r="C3306" s="32">
        <v>1.3299999999999999E-2</v>
      </c>
      <c r="D3306" s="1">
        <v>20000</v>
      </c>
      <c r="E3306" s="1"/>
      <c r="F3306" s="1">
        <v>222.25</v>
      </c>
      <c r="G3306" s="1">
        <v>20000</v>
      </c>
      <c r="H3306" s="5">
        <f t="shared" si="69"/>
        <v>0</v>
      </c>
      <c r="I3306" s="6"/>
      <c r="J3306" s="43"/>
      <c r="K3306" s="51"/>
      <c r="L3306" s="86"/>
      <c r="M3306" s="45"/>
      <c r="N3306" s="45"/>
    </row>
    <row r="3307" spans="1:14" ht="15" x14ac:dyDescent="0.25">
      <c r="A3307" s="1">
        <v>3298</v>
      </c>
      <c r="B3307" s="1" t="s">
        <v>443</v>
      </c>
      <c r="C3307" s="32">
        <v>1343</v>
      </c>
      <c r="D3307" s="1">
        <v>30000</v>
      </c>
      <c r="E3307" s="1"/>
      <c r="F3307" s="1">
        <v>334.22</v>
      </c>
      <c r="G3307" s="1">
        <v>30000</v>
      </c>
      <c r="H3307" s="5">
        <f t="shared" si="69"/>
        <v>0</v>
      </c>
      <c r="I3307" s="6"/>
      <c r="J3307" s="43"/>
      <c r="K3307" s="51"/>
      <c r="L3307" s="86"/>
      <c r="M3307" s="45"/>
      <c r="N3307" s="45"/>
    </row>
    <row r="3308" spans="1:14" ht="15" x14ac:dyDescent="0.25">
      <c r="A3308" s="1">
        <v>3299</v>
      </c>
      <c r="B3308" s="1" t="s">
        <v>443</v>
      </c>
      <c r="C3308" s="32">
        <v>4643</v>
      </c>
      <c r="D3308" s="1">
        <v>30000</v>
      </c>
      <c r="E3308" s="1"/>
      <c r="F3308" s="1">
        <v>334.22</v>
      </c>
      <c r="G3308" s="1">
        <v>30000</v>
      </c>
      <c r="H3308" s="5">
        <f t="shared" si="69"/>
        <v>0</v>
      </c>
      <c r="I3308" s="6"/>
      <c r="J3308" s="43"/>
      <c r="K3308" s="51"/>
      <c r="L3308" s="86"/>
      <c r="M3308" s="45"/>
      <c r="N3308" s="45"/>
    </row>
    <row r="3309" spans="1:14" ht="15" x14ac:dyDescent="0.25">
      <c r="A3309" s="1">
        <v>3300</v>
      </c>
      <c r="B3309" s="1" t="s">
        <v>443</v>
      </c>
      <c r="C3309" s="32">
        <v>6126</v>
      </c>
      <c r="D3309" s="1">
        <v>30000</v>
      </c>
      <c r="E3309" s="1"/>
      <c r="F3309" s="1">
        <v>334.22</v>
      </c>
      <c r="G3309" s="1">
        <v>30000</v>
      </c>
      <c r="H3309" s="5">
        <f t="shared" si="69"/>
        <v>0</v>
      </c>
      <c r="I3309" s="6"/>
      <c r="J3309" s="43"/>
      <c r="K3309" s="51"/>
      <c r="L3309" s="86"/>
      <c r="M3309" s="45"/>
      <c r="N3309" s="45"/>
    </row>
    <row r="3310" spans="1:14" ht="15" x14ac:dyDescent="0.25">
      <c r="A3310" s="1">
        <v>3301</v>
      </c>
      <c r="B3310" s="1" t="s">
        <v>443</v>
      </c>
      <c r="C3310" s="32">
        <v>8592</v>
      </c>
      <c r="D3310" s="1">
        <v>30000</v>
      </c>
      <c r="E3310" s="1"/>
      <c r="F3310" s="1">
        <v>334.22</v>
      </c>
      <c r="G3310" s="1">
        <v>30000</v>
      </c>
      <c r="H3310" s="5">
        <f t="shared" si="69"/>
        <v>0</v>
      </c>
      <c r="I3310" s="6"/>
      <c r="J3310" s="43"/>
      <c r="K3310" s="51"/>
      <c r="L3310" s="86"/>
      <c r="M3310" s="45"/>
      <c r="N3310" s="45"/>
    </row>
    <row r="3311" spans="1:14" ht="15" x14ac:dyDescent="0.25">
      <c r="A3311" s="1">
        <v>3302</v>
      </c>
      <c r="B3311" s="1" t="s">
        <v>443</v>
      </c>
      <c r="C3311" s="32">
        <v>7106</v>
      </c>
      <c r="D3311" s="1">
        <v>30000</v>
      </c>
      <c r="E3311" s="1"/>
      <c r="F3311" s="1">
        <v>334.22</v>
      </c>
      <c r="G3311" s="1">
        <v>30000</v>
      </c>
      <c r="H3311" s="5">
        <f t="shared" si="69"/>
        <v>0</v>
      </c>
      <c r="I3311" s="6"/>
      <c r="J3311" s="43"/>
      <c r="K3311" s="51"/>
      <c r="L3311" s="86"/>
      <c r="M3311" s="45"/>
      <c r="N3311" s="45"/>
    </row>
    <row r="3312" spans="1:14" ht="15" x14ac:dyDescent="0.25">
      <c r="A3312" s="1">
        <v>3303</v>
      </c>
      <c r="B3312" s="1" t="s">
        <v>443</v>
      </c>
      <c r="C3312" s="32">
        <v>1811</v>
      </c>
      <c r="D3312" s="1">
        <v>33000</v>
      </c>
      <c r="E3312" s="1"/>
      <c r="F3312" s="1">
        <v>357.25</v>
      </c>
      <c r="G3312" s="1">
        <v>33000</v>
      </c>
      <c r="H3312" s="5">
        <f t="shared" si="69"/>
        <v>0</v>
      </c>
      <c r="I3312" s="6"/>
      <c r="J3312" s="43"/>
      <c r="K3312" s="51"/>
      <c r="L3312" s="86"/>
      <c r="M3312" s="45"/>
      <c r="N3312" s="45"/>
    </row>
    <row r="3313" spans="1:14" ht="15" x14ac:dyDescent="0.25">
      <c r="A3313" s="1">
        <v>3304</v>
      </c>
      <c r="B3313" s="1" t="s">
        <v>443</v>
      </c>
      <c r="C3313" s="32">
        <v>7605</v>
      </c>
      <c r="D3313" s="1">
        <v>21000</v>
      </c>
      <c r="E3313" s="1"/>
      <c r="F3313" s="1">
        <v>233.25</v>
      </c>
      <c r="G3313" s="1">
        <v>21000</v>
      </c>
      <c r="H3313" s="5">
        <f t="shared" si="69"/>
        <v>0</v>
      </c>
      <c r="I3313" s="6"/>
      <c r="J3313" s="43"/>
      <c r="K3313" s="51"/>
      <c r="L3313" s="86"/>
      <c r="M3313" s="45"/>
      <c r="N3313" s="45"/>
    </row>
    <row r="3314" spans="1:14" ht="15" x14ac:dyDescent="0.25">
      <c r="A3314" s="1">
        <v>3305</v>
      </c>
      <c r="B3314" s="1" t="s">
        <v>444</v>
      </c>
      <c r="C3314" s="32">
        <v>1046</v>
      </c>
      <c r="D3314" s="1">
        <v>13000</v>
      </c>
      <c r="E3314" s="1"/>
      <c r="F3314" s="1">
        <v>144.13</v>
      </c>
      <c r="G3314" s="1">
        <v>13000</v>
      </c>
      <c r="H3314" s="5">
        <f t="shared" si="69"/>
        <v>0</v>
      </c>
      <c r="I3314" s="6"/>
      <c r="J3314" s="43"/>
      <c r="K3314" s="51"/>
      <c r="L3314" s="86"/>
      <c r="M3314" s="45"/>
      <c r="N3314" s="45"/>
    </row>
    <row r="3315" spans="1:14" ht="15" x14ac:dyDescent="0.25">
      <c r="A3315" s="1">
        <v>3306</v>
      </c>
      <c r="B3315" s="1" t="s">
        <v>444</v>
      </c>
      <c r="C3315" s="32">
        <v>9668</v>
      </c>
      <c r="D3315" s="1">
        <v>10000</v>
      </c>
      <c r="E3315" s="1"/>
      <c r="F3315" s="1">
        <v>111.41</v>
      </c>
      <c r="G3315" s="1">
        <v>10000</v>
      </c>
      <c r="H3315" s="5">
        <f t="shared" si="69"/>
        <v>0</v>
      </c>
      <c r="I3315" s="6"/>
      <c r="J3315" s="43"/>
      <c r="K3315" s="51"/>
      <c r="L3315" s="86"/>
      <c r="M3315" s="45"/>
      <c r="N3315" s="45"/>
    </row>
    <row r="3316" spans="1:14" ht="15" x14ac:dyDescent="0.25">
      <c r="A3316" s="1">
        <v>3307</v>
      </c>
      <c r="B3316" s="1" t="s">
        <v>444</v>
      </c>
      <c r="C3316" s="32" t="s">
        <v>30</v>
      </c>
      <c r="D3316" s="1">
        <v>4500</v>
      </c>
      <c r="E3316" s="1"/>
      <c r="F3316" s="1">
        <v>50.13</v>
      </c>
      <c r="G3316" s="1">
        <v>4500</v>
      </c>
      <c r="H3316" s="5">
        <f t="shared" si="69"/>
        <v>0</v>
      </c>
      <c r="I3316" s="6"/>
      <c r="J3316" s="43"/>
      <c r="K3316" s="51"/>
      <c r="L3316" s="86"/>
      <c r="M3316" s="45"/>
      <c r="N3316" s="45"/>
    </row>
    <row r="3317" spans="1:14" ht="15" x14ac:dyDescent="0.25">
      <c r="A3317" s="1">
        <v>3308</v>
      </c>
      <c r="B3317" s="1" t="s">
        <v>444</v>
      </c>
      <c r="C3317" s="32">
        <v>6625</v>
      </c>
      <c r="D3317" s="1">
        <v>24000</v>
      </c>
      <c r="E3317" s="1"/>
      <c r="F3317" s="1">
        <v>267.14999999999998</v>
      </c>
      <c r="G3317" s="1">
        <v>24000</v>
      </c>
      <c r="H3317" s="5">
        <f t="shared" si="69"/>
        <v>0</v>
      </c>
      <c r="I3317" s="6"/>
      <c r="J3317" s="43"/>
      <c r="K3317" s="51"/>
      <c r="L3317" s="86"/>
      <c r="M3317" s="45"/>
      <c r="N3317" s="45"/>
    </row>
    <row r="3318" spans="1:14" ht="15" x14ac:dyDescent="0.25">
      <c r="A3318" s="1">
        <v>3309</v>
      </c>
      <c r="B3318" s="1" t="s">
        <v>444</v>
      </c>
      <c r="C3318" s="32">
        <v>5931</v>
      </c>
      <c r="D3318" s="1">
        <v>16000</v>
      </c>
      <c r="E3318" s="1"/>
      <c r="F3318" s="1">
        <v>178.25</v>
      </c>
      <c r="G3318" s="1">
        <v>16000</v>
      </c>
      <c r="H3318" s="5">
        <f t="shared" si="69"/>
        <v>0</v>
      </c>
      <c r="I3318" s="6"/>
      <c r="J3318" s="43"/>
      <c r="K3318" s="51"/>
      <c r="L3318" s="86"/>
      <c r="M3318" s="45"/>
      <c r="N3318" s="45"/>
    </row>
    <row r="3319" spans="1:14" ht="15" x14ac:dyDescent="0.25">
      <c r="A3319" s="1">
        <v>3310</v>
      </c>
      <c r="B3319" s="1" t="s">
        <v>444</v>
      </c>
      <c r="C3319" s="32">
        <v>6048</v>
      </c>
      <c r="D3319" s="1">
        <v>12000</v>
      </c>
      <c r="E3319" s="1"/>
      <c r="F3319" s="1">
        <v>133.25</v>
      </c>
      <c r="G3319" s="1">
        <v>12000</v>
      </c>
      <c r="H3319" s="5">
        <f t="shared" si="69"/>
        <v>0</v>
      </c>
      <c r="I3319" s="6"/>
      <c r="J3319" s="43"/>
      <c r="K3319" s="51"/>
      <c r="L3319" s="86"/>
      <c r="M3319" s="45"/>
      <c r="N3319" s="45"/>
    </row>
    <row r="3320" spans="1:14" ht="15" x14ac:dyDescent="0.25">
      <c r="A3320" s="1">
        <v>3311</v>
      </c>
      <c r="B3320" s="1" t="s">
        <v>444</v>
      </c>
      <c r="C3320" s="32">
        <v>1229</v>
      </c>
      <c r="D3320" s="1">
        <v>20000</v>
      </c>
      <c r="E3320" s="1"/>
      <c r="F3320" s="1">
        <v>222.25</v>
      </c>
      <c r="G3320" s="1">
        <v>20000</v>
      </c>
      <c r="H3320" s="5">
        <f t="shared" si="69"/>
        <v>0</v>
      </c>
      <c r="I3320" s="6"/>
      <c r="J3320" s="43"/>
      <c r="K3320" s="51"/>
      <c r="L3320" s="86"/>
      <c r="M3320" s="45"/>
      <c r="N3320" s="45"/>
    </row>
    <row r="3321" spans="1:14" ht="15" x14ac:dyDescent="0.25">
      <c r="A3321" s="1">
        <v>3312</v>
      </c>
      <c r="B3321" s="1" t="s">
        <v>444</v>
      </c>
      <c r="C3321" s="32">
        <v>2152</v>
      </c>
      <c r="D3321" s="1">
        <v>15000</v>
      </c>
      <c r="E3321" s="1"/>
      <c r="F3321" s="1">
        <v>167.15</v>
      </c>
      <c r="G3321" s="1">
        <v>15000</v>
      </c>
      <c r="H3321" s="5">
        <f t="shared" si="69"/>
        <v>0</v>
      </c>
      <c r="I3321" s="6"/>
      <c r="J3321" s="43"/>
      <c r="K3321" s="51"/>
      <c r="L3321" s="86"/>
      <c r="M3321" s="45"/>
      <c r="N3321" s="45"/>
    </row>
    <row r="3322" spans="1:14" ht="15" x14ac:dyDescent="0.25">
      <c r="A3322" s="1">
        <v>3313</v>
      </c>
      <c r="B3322" s="1" t="s">
        <v>444</v>
      </c>
      <c r="C3322" s="32">
        <v>0.47199999999999998</v>
      </c>
      <c r="D3322" s="1">
        <v>18000</v>
      </c>
      <c r="E3322" s="1"/>
      <c r="F3322" s="1">
        <v>200.53</v>
      </c>
      <c r="G3322" s="1">
        <v>18000</v>
      </c>
      <c r="H3322" s="5">
        <f t="shared" si="69"/>
        <v>0</v>
      </c>
      <c r="I3322" s="6"/>
      <c r="J3322" s="43"/>
      <c r="K3322" s="51"/>
      <c r="L3322" s="86"/>
      <c r="M3322" s="45"/>
      <c r="N3322" s="45"/>
    </row>
    <row r="3323" spans="1:14" ht="15" x14ac:dyDescent="0.25">
      <c r="A3323" s="1">
        <v>3314</v>
      </c>
      <c r="B3323" s="1" t="s">
        <v>444</v>
      </c>
      <c r="C3323" s="32">
        <v>6496</v>
      </c>
      <c r="D3323" s="1">
        <v>12000</v>
      </c>
      <c r="E3323" s="1"/>
      <c r="F3323" s="1">
        <v>133.25</v>
      </c>
      <c r="G3323" s="1">
        <v>12000</v>
      </c>
      <c r="H3323" s="5">
        <f t="shared" si="69"/>
        <v>0</v>
      </c>
      <c r="I3323" s="6"/>
      <c r="J3323" s="43"/>
      <c r="K3323" s="51"/>
      <c r="L3323" s="86"/>
      <c r="M3323" s="45"/>
      <c r="N3323" s="45"/>
    </row>
    <row r="3324" spans="1:14" ht="15" x14ac:dyDescent="0.25">
      <c r="A3324" s="1">
        <v>3315</v>
      </c>
      <c r="B3324" s="1" t="s">
        <v>444</v>
      </c>
      <c r="C3324" s="32">
        <v>6758</v>
      </c>
      <c r="D3324" s="1">
        <v>13000</v>
      </c>
      <c r="E3324" s="1"/>
      <c r="F3324" s="1">
        <v>144.13</v>
      </c>
      <c r="G3324" s="1">
        <v>13000</v>
      </c>
      <c r="H3324" s="5">
        <f t="shared" si="69"/>
        <v>0</v>
      </c>
      <c r="I3324" s="6"/>
      <c r="J3324" s="43"/>
      <c r="K3324" s="51"/>
      <c r="L3324" s="86"/>
      <c r="M3324" s="45"/>
      <c r="N3324" s="45"/>
    </row>
    <row r="3325" spans="1:14" ht="15" x14ac:dyDescent="0.25">
      <c r="A3325" s="1">
        <v>3316</v>
      </c>
      <c r="B3325" s="1" t="s">
        <v>444</v>
      </c>
      <c r="C3325" s="32">
        <v>2681</v>
      </c>
      <c r="D3325" s="1">
        <v>16000</v>
      </c>
      <c r="E3325" s="1"/>
      <c r="F3325" s="1">
        <v>178.22</v>
      </c>
      <c r="G3325" s="1">
        <v>16000</v>
      </c>
      <c r="H3325" s="5">
        <f t="shared" si="69"/>
        <v>0</v>
      </c>
      <c r="I3325" s="6"/>
      <c r="J3325" s="43"/>
      <c r="K3325" s="51"/>
      <c r="L3325" s="86"/>
      <c r="M3325" s="45"/>
      <c r="N3325" s="45"/>
    </row>
    <row r="3326" spans="1:14" ht="15" x14ac:dyDescent="0.25">
      <c r="A3326" s="1">
        <v>3317</v>
      </c>
      <c r="B3326" s="1" t="s">
        <v>444</v>
      </c>
      <c r="C3326" s="32">
        <v>3941</v>
      </c>
      <c r="D3326" s="1">
        <v>12000</v>
      </c>
      <c r="E3326" s="1"/>
      <c r="F3326" s="1">
        <v>133.25</v>
      </c>
      <c r="G3326" s="1">
        <v>12000</v>
      </c>
      <c r="H3326" s="5">
        <f t="shared" si="69"/>
        <v>0</v>
      </c>
      <c r="I3326" s="6"/>
      <c r="J3326" s="43"/>
      <c r="K3326" s="51"/>
      <c r="L3326" s="86"/>
      <c r="M3326" s="45"/>
      <c r="N3326" s="45"/>
    </row>
    <row r="3327" spans="1:14" ht="15" x14ac:dyDescent="0.25">
      <c r="A3327" s="1">
        <v>3318</v>
      </c>
      <c r="B3327" s="1" t="s">
        <v>444</v>
      </c>
      <c r="C3327" s="32">
        <v>2395</v>
      </c>
      <c r="D3327" s="1">
        <v>18000</v>
      </c>
      <c r="E3327" s="1"/>
      <c r="F3327" s="1">
        <v>200.52</v>
      </c>
      <c r="G3327" s="1">
        <v>18000</v>
      </c>
      <c r="H3327" s="5">
        <f t="shared" si="69"/>
        <v>0</v>
      </c>
      <c r="I3327" s="6"/>
      <c r="J3327" s="43"/>
      <c r="K3327" s="51"/>
      <c r="L3327" s="86"/>
      <c r="M3327" s="45"/>
      <c r="N3327" s="45"/>
    </row>
    <row r="3328" spans="1:14" ht="15" x14ac:dyDescent="0.25">
      <c r="A3328" s="1">
        <v>3319</v>
      </c>
      <c r="B3328" s="1" t="s">
        <v>444</v>
      </c>
      <c r="C3328" s="32" t="s">
        <v>30</v>
      </c>
      <c r="D3328" s="1">
        <v>7000</v>
      </c>
      <c r="E3328" s="1"/>
      <c r="F3328" s="1">
        <v>77.930000000000007</v>
      </c>
      <c r="G3328" s="1">
        <v>7000</v>
      </c>
      <c r="H3328" s="5">
        <f t="shared" si="69"/>
        <v>0</v>
      </c>
      <c r="I3328" s="6"/>
      <c r="J3328" s="43"/>
      <c r="K3328" s="51"/>
      <c r="L3328" s="86"/>
      <c r="M3328" s="45"/>
      <c r="N3328" s="45"/>
    </row>
    <row r="3329" spans="1:14" ht="15" x14ac:dyDescent="0.25">
      <c r="A3329" s="1">
        <v>3320</v>
      </c>
      <c r="B3329" s="1" t="s">
        <v>444</v>
      </c>
      <c r="C3329" s="32">
        <v>2067</v>
      </c>
      <c r="D3329" s="1">
        <v>14000</v>
      </c>
      <c r="E3329" s="1"/>
      <c r="F3329" s="1">
        <v>155.13999999999999</v>
      </c>
      <c r="G3329" s="1">
        <v>14000</v>
      </c>
      <c r="H3329" s="5">
        <f t="shared" si="69"/>
        <v>0</v>
      </c>
      <c r="I3329" s="6"/>
      <c r="J3329" s="43"/>
      <c r="K3329" s="51"/>
      <c r="L3329" s="86"/>
      <c r="M3329" s="45"/>
      <c r="N3329" s="45"/>
    </row>
    <row r="3330" spans="1:14" ht="15" x14ac:dyDescent="0.25">
      <c r="A3330" s="1">
        <v>3321</v>
      </c>
      <c r="B3330" s="1" t="s">
        <v>444</v>
      </c>
      <c r="C3330" s="32">
        <v>7411</v>
      </c>
      <c r="D3330" s="1">
        <v>21350</v>
      </c>
      <c r="E3330" s="1"/>
      <c r="F3330" s="1">
        <v>237</v>
      </c>
      <c r="G3330" s="1">
        <v>21350</v>
      </c>
      <c r="H3330" s="5">
        <f t="shared" si="69"/>
        <v>0</v>
      </c>
      <c r="I3330" s="6"/>
      <c r="J3330" s="43"/>
      <c r="K3330" s="51"/>
      <c r="L3330" s="86"/>
      <c r="M3330" s="45"/>
      <c r="N3330" s="45"/>
    </row>
    <row r="3331" spans="1:14" ht="15" x14ac:dyDescent="0.25">
      <c r="A3331" s="1">
        <v>3322</v>
      </c>
      <c r="B3331" s="1" t="s">
        <v>444</v>
      </c>
      <c r="C3331" s="32">
        <v>6671</v>
      </c>
      <c r="D3331" s="1">
        <v>12000</v>
      </c>
      <c r="E3331" s="1"/>
      <c r="F3331" s="1">
        <v>133.25</v>
      </c>
      <c r="G3331" s="1">
        <v>12000</v>
      </c>
      <c r="H3331" s="5">
        <f t="shared" si="69"/>
        <v>0</v>
      </c>
      <c r="I3331" s="6"/>
      <c r="J3331" s="43"/>
      <c r="K3331" s="51"/>
      <c r="L3331" s="86"/>
      <c r="M3331" s="45"/>
      <c r="N3331" s="45"/>
    </row>
    <row r="3332" spans="1:14" ht="15" x14ac:dyDescent="0.25">
      <c r="A3332" s="1">
        <v>3323</v>
      </c>
      <c r="B3332" s="1" t="s">
        <v>444</v>
      </c>
      <c r="C3332" s="32">
        <v>2995</v>
      </c>
      <c r="D3332" s="1">
        <v>15000</v>
      </c>
      <c r="E3332" s="1"/>
      <c r="F3332" s="1">
        <v>167.11</v>
      </c>
      <c r="G3332" s="1">
        <v>15000</v>
      </c>
      <c r="H3332" s="5">
        <f t="shared" si="69"/>
        <v>0</v>
      </c>
      <c r="I3332" s="6"/>
      <c r="J3332" s="43"/>
      <c r="K3332" s="51"/>
      <c r="L3332" s="86"/>
      <c r="M3332" s="45"/>
      <c r="N3332" s="45"/>
    </row>
    <row r="3333" spans="1:14" ht="15" x14ac:dyDescent="0.25">
      <c r="A3333" s="1">
        <v>3324</v>
      </c>
      <c r="B3333" s="1" t="s">
        <v>444</v>
      </c>
      <c r="C3333" s="32">
        <v>2345</v>
      </c>
      <c r="D3333" s="1">
        <v>5000</v>
      </c>
      <c r="E3333" s="1"/>
      <c r="F3333" s="1">
        <v>55.7</v>
      </c>
      <c r="G3333" s="1">
        <v>5000</v>
      </c>
      <c r="H3333" s="5">
        <f t="shared" si="69"/>
        <v>0</v>
      </c>
      <c r="I3333" s="6"/>
      <c r="J3333" s="43"/>
      <c r="K3333" s="51"/>
      <c r="L3333" s="86"/>
      <c r="M3333" s="45"/>
      <c r="N3333" s="45"/>
    </row>
    <row r="3334" spans="1:14" ht="15" x14ac:dyDescent="0.25">
      <c r="A3334" s="1">
        <v>3325</v>
      </c>
      <c r="B3334" s="1" t="s">
        <v>444</v>
      </c>
      <c r="C3334" s="32">
        <v>3419</v>
      </c>
      <c r="D3334" s="1">
        <v>20000</v>
      </c>
      <c r="E3334" s="1"/>
      <c r="F3334" s="1">
        <v>212.25</v>
      </c>
      <c r="G3334" s="1">
        <v>20000</v>
      </c>
      <c r="H3334" s="5">
        <f t="shared" si="69"/>
        <v>0</v>
      </c>
      <c r="I3334" s="6"/>
      <c r="J3334" s="43"/>
      <c r="K3334" s="51"/>
      <c r="L3334" s="86"/>
      <c r="M3334" s="45"/>
      <c r="N3334" s="45"/>
    </row>
    <row r="3335" spans="1:14" ht="15" x14ac:dyDescent="0.25">
      <c r="A3335" s="1">
        <v>3326</v>
      </c>
      <c r="B3335" s="1" t="s">
        <v>444</v>
      </c>
      <c r="C3335" s="32">
        <v>9743</v>
      </c>
      <c r="D3335" s="1">
        <v>20000</v>
      </c>
      <c r="E3335" s="1"/>
      <c r="F3335" s="1">
        <v>212.25</v>
      </c>
      <c r="G3335" s="1">
        <v>20000</v>
      </c>
      <c r="H3335" s="5">
        <f t="shared" si="69"/>
        <v>0</v>
      </c>
      <c r="I3335" s="6"/>
      <c r="J3335" s="43"/>
      <c r="K3335" s="51"/>
      <c r="L3335" s="86"/>
      <c r="M3335" s="45"/>
      <c r="N3335" s="45"/>
    </row>
    <row r="3336" spans="1:14" ht="15" x14ac:dyDescent="0.25">
      <c r="A3336" s="1">
        <v>3327</v>
      </c>
      <c r="B3336" s="1" t="s">
        <v>444</v>
      </c>
      <c r="C3336" s="32">
        <v>9935</v>
      </c>
      <c r="D3336" s="1">
        <v>20000</v>
      </c>
      <c r="E3336" s="1"/>
      <c r="F3336" s="1">
        <v>212.25</v>
      </c>
      <c r="G3336" s="1">
        <v>20000</v>
      </c>
      <c r="H3336" s="5">
        <f t="shared" si="69"/>
        <v>0</v>
      </c>
      <c r="I3336" s="6"/>
      <c r="J3336" s="43"/>
      <c r="K3336" s="51"/>
      <c r="L3336" s="86"/>
      <c r="M3336" s="45"/>
      <c r="N3336" s="45"/>
    </row>
    <row r="3337" spans="1:14" ht="15" x14ac:dyDescent="0.25">
      <c r="A3337" s="1">
        <v>3328</v>
      </c>
      <c r="B3337" s="1" t="s">
        <v>444</v>
      </c>
      <c r="C3337" s="32">
        <v>3147</v>
      </c>
      <c r="D3337" s="1">
        <v>20000</v>
      </c>
      <c r="E3337" s="1"/>
      <c r="F3337" s="1">
        <v>212.25</v>
      </c>
      <c r="G3337" s="1">
        <v>20000</v>
      </c>
      <c r="H3337" s="5">
        <f t="shared" si="69"/>
        <v>0</v>
      </c>
      <c r="I3337" s="6"/>
      <c r="J3337" s="43"/>
      <c r="K3337" s="51"/>
      <c r="L3337" s="86"/>
      <c r="M3337" s="45"/>
      <c r="N3337" s="45"/>
    </row>
    <row r="3338" spans="1:14" ht="15" x14ac:dyDescent="0.25">
      <c r="A3338" s="1">
        <v>3329</v>
      </c>
      <c r="B3338" s="1" t="s">
        <v>444</v>
      </c>
      <c r="C3338" s="32">
        <v>9383</v>
      </c>
      <c r="D3338" s="1">
        <v>30000</v>
      </c>
      <c r="E3338" s="1"/>
      <c r="F3338" s="1">
        <v>305.25</v>
      </c>
      <c r="G3338" s="1">
        <v>30000</v>
      </c>
      <c r="H3338" s="5">
        <f t="shared" si="69"/>
        <v>0</v>
      </c>
      <c r="I3338" s="6"/>
      <c r="J3338" s="43"/>
      <c r="K3338" s="51"/>
      <c r="L3338" s="86"/>
      <c r="M3338" s="45"/>
      <c r="N3338" s="45"/>
    </row>
    <row r="3339" spans="1:14" ht="15" x14ac:dyDescent="0.25">
      <c r="A3339" s="1">
        <v>3330</v>
      </c>
      <c r="B3339" s="1" t="s">
        <v>444</v>
      </c>
      <c r="C3339" s="32">
        <v>4170</v>
      </c>
      <c r="D3339" s="1">
        <v>30000</v>
      </c>
      <c r="E3339" s="1"/>
      <c r="F3339" s="1">
        <v>305.25</v>
      </c>
      <c r="G3339" s="1">
        <v>30000</v>
      </c>
      <c r="H3339" s="5">
        <f t="shared" si="69"/>
        <v>0</v>
      </c>
      <c r="I3339" s="6"/>
      <c r="J3339" s="43"/>
      <c r="K3339" s="51"/>
      <c r="L3339" s="86"/>
      <c r="M3339" s="45"/>
      <c r="N3339" s="45"/>
    </row>
    <row r="3340" spans="1:14" ht="15" x14ac:dyDescent="0.25">
      <c r="A3340" s="1">
        <v>3331</v>
      </c>
      <c r="B3340" s="1" t="s">
        <v>444</v>
      </c>
      <c r="C3340" s="32">
        <v>1121</v>
      </c>
      <c r="D3340" s="1">
        <v>30000</v>
      </c>
      <c r="E3340" s="1"/>
      <c r="F3340" s="1">
        <v>334.42</v>
      </c>
      <c r="G3340" s="1">
        <v>30000</v>
      </c>
      <c r="H3340" s="5">
        <f t="shared" si="69"/>
        <v>0</v>
      </c>
      <c r="I3340" s="6"/>
      <c r="J3340" s="43"/>
      <c r="K3340" s="51"/>
      <c r="L3340" s="86"/>
      <c r="M3340" s="45"/>
      <c r="N3340" s="45"/>
    </row>
    <row r="3341" spans="1:14" ht="15" x14ac:dyDescent="0.25">
      <c r="A3341" s="1">
        <v>3332</v>
      </c>
      <c r="B3341" s="1" t="s">
        <v>444</v>
      </c>
      <c r="C3341" s="32">
        <v>8.2400000000000001E-2</v>
      </c>
      <c r="D3341" s="1">
        <v>32000</v>
      </c>
      <c r="E3341" s="1"/>
      <c r="F3341" s="1">
        <v>334.42</v>
      </c>
      <c r="G3341" s="1">
        <v>32000</v>
      </c>
      <c r="H3341" s="5">
        <f t="shared" si="69"/>
        <v>0</v>
      </c>
      <c r="I3341" s="6"/>
      <c r="J3341" s="43"/>
      <c r="K3341" s="51"/>
      <c r="L3341" s="86"/>
      <c r="M3341" s="45"/>
      <c r="N3341" s="45"/>
    </row>
    <row r="3342" spans="1:14" ht="15" x14ac:dyDescent="0.25">
      <c r="A3342" s="1">
        <v>3333</v>
      </c>
      <c r="B3342" s="1" t="s">
        <v>444</v>
      </c>
      <c r="C3342" s="32" t="s">
        <v>63</v>
      </c>
      <c r="D3342" s="1">
        <v>3500</v>
      </c>
      <c r="E3342" s="1"/>
      <c r="F3342" s="1">
        <v>35.18</v>
      </c>
      <c r="G3342" s="1">
        <v>3500</v>
      </c>
      <c r="H3342" s="5">
        <f t="shared" si="69"/>
        <v>0</v>
      </c>
      <c r="I3342" s="6"/>
      <c r="J3342" s="43"/>
      <c r="K3342" s="51"/>
      <c r="L3342" s="86"/>
      <c r="M3342" s="45"/>
      <c r="N3342" s="45"/>
    </row>
    <row r="3343" spans="1:14" ht="15" x14ac:dyDescent="0.25">
      <c r="A3343" s="1">
        <v>3334</v>
      </c>
      <c r="B3343" s="1" t="s">
        <v>444</v>
      </c>
      <c r="C3343" s="32">
        <v>4476</v>
      </c>
      <c r="D3343" s="1">
        <v>18000</v>
      </c>
      <c r="E3343" s="1"/>
      <c r="F3343" s="1">
        <v>200.25</v>
      </c>
      <c r="G3343" s="1">
        <v>18000</v>
      </c>
      <c r="H3343" s="5">
        <f t="shared" si="69"/>
        <v>0</v>
      </c>
      <c r="I3343" s="6"/>
      <c r="J3343" s="43"/>
      <c r="K3343" s="51"/>
      <c r="L3343" s="86"/>
      <c r="M3343" s="45"/>
      <c r="N3343" s="45"/>
    </row>
    <row r="3344" spans="1:14" ht="15" x14ac:dyDescent="0.25">
      <c r="A3344" s="1">
        <v>3335</v>
      </c>
      <c r="B3344" s="1" t="s">
        <v>444</v>
      </c>
      <c r="C3344" s="32">
        <v>5728</v>
      </c>
      <c r="D3344" s="1">
        <v>27000</v>
      </c>
      <c r="E3344" s="1"/>
      <c r="F3344" s="1">
        <v>300.81</v>
      </c>
      <c r="G3344" s="1">
        <v>27000</v>
      </c>
      <c r="H3344" s="5">
        <f t="shared" si="69"/>
        <v>0</v>
      </c>
      <c r="I3344" s="6"/>
      <c r="J3344" s="43"/>
      <c r="K3344" s="51"/>
      <c r="L3344" s="86"/>
      <c r="M3344" s="45"/>
      <c r="N3344" s="45"/>
    </row>
    <row r="3345" spans="1:14" ht="15" x14ac:dyDescent="0.25">
      <c r="A3345" s="1">
        <v>3336</v>
      </c>
      <c r="B3345" s="1" t="s">
        <v>444</v>
      </c>
      <c r="C3345" s="32">
        <v>6447</v>
      </c>
      <c r="D3345" s="1">
        <v>27000</v>
      </c>
      <c r="E3345" s="1"/>
      <c r="F3345" s="1">
        <v>300.81</v>
      </c>
      <c r="G3345" s="1">
        <v>27000</v>
      </c>
      <c r="H3345" s="5">
        <f t="shared" si="69"/>
        <v>0</v>
      </c>
      <c r="I3345" s="6"/>
      <c r="J3345" s="43"/>
      <c r="K3345" s="51"/>
      <c r="L3345" s="86"/>
      <c r="M3345" s="45"/>
      <c r="N3345" s="45"/>
    </row>
    <row r="3346" spans="1:14" ht="15" x14ac:dyDescent="0.25">
      <c r="A3346" s="1">
        <v>3337</v>
      </c>
      <c r="B3346" s="1" t="s">
        <v>444</v>
      </c>
      <c r="C3346" s="32">
        <v>8382</v>
      </c>
      <c r="D3346" s="1">
        <v>25000</v>
      </c>
      <c r="E3346" s="1"/>
      <c r="F3346" s="1">
        <v>278.22000000000003</v>
      </c>
      <c r="G3346" s="1">
        <v>25000</v>
      </c>
      <c r="H3346" s="5">
        <f t="shared" si="69"/>
        <v>0</v>
      </c>
      <c r="I3346" s="6"/>
      <c r="J3346" s="43"/>
      <c r="K3346" s="51"/>
      <c r="L3346" s="86"/>
      <c r="M3346" s="45"/>
      <c r="N3346" s="45"/>
    </row>
    <row r="3347" spans="1:14" ht="15" x14ac:dyDescent="0.25">
      <c r="A3347" s="1">
        <v>3338</v>
      </c>
      <c r="B3347" s="1" t="s">
        <v>444</v>
      </c>
      <c r="C3347" s="32">
        <v>3419</v>
      </c>
      <c r="D3347" s="1">
        <v>25000</v>
      </c>
      <c r="E3347" s="1"/>
      <c r="F3347" s="1">
        <v>278.22000000000003</v>
      </c>
      <c r="G3347" s="1">
        <v>25000</v>
      </c>
      <c r="H3347" s="5">
        <f t="shared" si="69"/>
        <v>0</v>
      </c>
      <c r="I3347" s="6"/>
      <c r="J3347" s="43"/>
      <c r="K3347" s="51"/>
      <c r="L3347" s="86"/>
      <c r="M3347" s="45"/>
      <c r="N3347" s="45"/>
    </row>
    <row r="3348" spans="1:14" ht="15" x14ac:dyDescent="0.25">
      <c r="A3348" s="1">
        <v>3339</v>
      </c>
      <c r="B3348" s="1" t="s">
        <v>444</v>
      </c>
      <c r="C3348" s="32">
        <v>5015</v>
      </c>
      <c r="D3348" s="1">
        <v>25000</v>
      </c>
      <c r="E3348" s="1"/>
      <c r="F3348" s="1">
        <v>278.22000000000003</v>
      </c>
      <c r="G3348" s="1">
        <v>25000</v>
      </c>
      <c r="H3348" s="5">
        <f t="shared" si="69"/>
        <v>0</v>
      </c>
      <c r="I3348" s="6"/>
      <c r="J3348" s="43"/>
      <c r="K3348" s="51"/>
      <c r="L3348" s="86"/>
      <c r="M3348" s="45"/>
      <c r="N3348" s="45"/>
    </row>
    <row r="3349" spans="1:14" ht="15" x14ac:dyDescent="0.25">
      <c r="A3349" s="1">
        <v>3340</v>
      </c>
      <c r="B3349" s="1" t="s">
        <v>444</v>
      </c>
      <c r="C3349" s="32">
        <v>4077</v>
      </c>
      <c r="D3349" s="1">
        <v>25000</v>
      </c>
      <c r="E3349" s="1"/>
      <c r="F3349" s="1">
        <v>278.22000000000003</v>
      </c>
      <c r="G3349" s="1">
        <v>25000</v>
      </c>
      <c r="H3349" s="5">
        <f t="shared" si="69"/>
        <v>0</v>
      </c>
      <c r="I3349" s="6"/>
      <c r="J3349" s="43"/>
      <c r="K3349" s="51"/>
      <c r="L3349" s="86">
        <f>2529442-2518033</f>
        <v>11409</v>
      </c>
      <c r="M3349" s="45" t="s">
        <v>446</v>
      </c>
      <c r="N3349" s="45">
        <f>5409-4789</f>
        <v>620</v>
      </c>
    </row>
    <row r="3350" spans="1:14" ht="15" x14ac:dyDescent="0.25">
      <c r="A3350" s="1">
        <v>3341</v>
      </c>
      <c r="B3350" s="1" t="s">
        <v>445</v>
      </c>
      <c r="C3350" s="32">
        <v>6596</v>
      </c>
      <c r="D3350" s="1">
        <v>15000</v>
      </c>
      <c r="E3350" s="1"/>
      <c r="F3350" s="1">
        <v>167.11</v>
      </c>
      <c r="G3350" s="1">
        <v>15000</v>
      </c>
      <c r="H3350" s="5">
        <f t="shared" si="69"/>
        <v>0</v>
      </c>
      <c r="I3350" s="6"/>
      <c r="J3350" s="43"/>
      <c r="K3350" s="51"/>
      <c r="L3350" s="86"/>
      <c r="M3350" s="45"/>
      <c r="N3350" s="45"/>
    </row>
    <row r="3351" spans="1:14" ht="15" x14ac:dyDescent="0.25">
      <c r="A3351" s="1">
        <v>3342</v>
      </c>
      <c r="B3351" s="1" t="s">
        <v>445</v>
      </c>
      <c r="C3351" s="32">
        <v>1352</v>
      </c>
      <c r="D3351" s="1">
        <v>13000</v>
      </c>
      <c r="E3351" s="1"/>
      <c r="F3351" s="1">
        <v>144.13</v>
      </c>
      <c r="G3351" s="1">
        <v>13000</v>
      </c>
      <c r="H3351" s="5">
        <f t="shared" si="69"/>
        <v>0</v>
      </c>
      <c r="I3351" s="6"/>
      <c r="J3351" s="43"/>
      <c r="K3351" s="51"/>
      <c r="L3351" s="86"/>
      <c r="M3351" s="45"/>
      <c r="N3351" s="45"/>
    </row>
    <row r="3352" spans="1:14" ht="15" x14ac:dyDescent="0.25">
      <c r="A3352" s="1">
        <v>3343</v>
      </c>
      <c r="B3352" s="1" t="s">
        <v>445</v>
      </c>
      <c r="C3352" s="32">
        <v>9669</v>
      </c>
      <c r="D3352" s="1">
        <v>7000</v>
      </c>
      <c r="E3352" s="1"/>
      <c r="F3352" s="1">
        <v>77.2</v>
      </c>
      <c r="G3352" s="1">
        <v>7000</v>
      </c>
      <c r="H3352" s="5">
        <f t="shared" si="69"/>
        <v>0</v>
      </c>
      <c r="I3352" s="6"/>
      <c r="J3352" s="43"/>
      <c r="K3352" s="51"/>
      <c r="L3352" s="86"/>
      <c r="M3352" s="45"/>
      <c r="N3352" s="45"/>
    </row>
    <row r="3353" spans="1:14" ht="15" x14ac:dyDescent="0.25">
      <c r="A3353" s="1">
        <v>3344</v>
      </c>
      <c r="B3353" s="1" t="s">
        <v>445</v>
      </c>
      <c r="C3353" s="32">
        <v>1752</v>
      </c>
      <c r="D3353" s="1">
        <v>14000</v>
      </c>
      <c r="E3353" s="1"/>
      <c r="F3353" s="1">
        <v>155.25</v>
      </c>
      <c r="G3353" s="1">
        <v>14000</v>
      </c>
      <c r="H3353" s="5">
        <f t="shared" ref="H3353:H3416" si="70">D3353-G3353</f>
        <v>0</v>
      </c>
      <c r="I3353" s="6"/>
      <c r="J3353" s="43"/>
      <c r="K3353" s="51"/>
      <c r="L3353" s="86"/>
      <c r="M3353" s="45"/>
      <c r="N3353" s="45"/>
    </row>
    <row r="3354" spans="1:14" ht="15" x14ac:dyDescent="0.25">
      <c r="A3354" s="1">
        <v>3345</v>
      </c>
      <c r="B3354" s="1" t="s">
        <v>445</v>
      </c>
      <c r="C3354" s="32">
        <v>0.16500000000000001</v>
      </c>
      <c r="D3354" s="1">
        <v>4000</v>
      </c>
      <c r="E3354" s="1"/>
      <c r="F3354" s="1">
        <v>44.83</v>
      </c>
      <c r="G3354" s="1">
        <v>4000</v>
      </c>
      <c r="H3354" s="5">
        <f t="shared" si="70"/>
        <v>0</v>
      </c>
      <c r="I3354" s="6"/>
      <c r="J3354" s="43"/>
      <c r="K3354" s="51"/>
      <c r="L3354" s="86"/>
      <c r="M3354" s="45"/>
      <c r="N3354" s="45"/>
    </row>
    <row r="3355" spans="1:14" ht="15" x14ac:dyDescent="0.25">
      <c r="A3355" s="1">
        <v>3346</v>
      </c>
      <c r="B3355" s="1" t="s">
        <v>445</v>
      </c>
      <c r="C3355" s="32" t="s">
        <v>66</v>
      </c>
      <c r="D3355" s="1">
        <v>210</v>
      </c>
      <c r="E3355" s="1"/>
      <c r="F3355" s="1">
        <v>2.0499999999999998</v>
      </c>
      <c r="G3355" s="1">
        <v>210</v>
      </c>
      <c r="H3355" s="5">
        <f t="shared" si="70"/>
        <v>0</v>
      </c>
      <c r="I3355" s="6"/>
      <c r="J3355" s="43"/>
      <c r="K3355" s="51"/>
      <c r="L3355" s="86"/>
      <c r="M3355" s="45"/>
      <c r="N3355" s="45"/>
    </row>
    <row r="3356" spans="1:14" ht="15" x14ac:dyDescent="0.25">
      <c r="A3356" s="1">
        <v>3347</v>
      </c>
      <c r="B3356" s="1" t="s">
        <v>445</v>
      </c>
      <c r="C3356" s="32" t="s">
        <v>30</v>
      </c>
      <c r="D3356" s="1">
        <v>5000</v>
      </c>
      <c r="E3356" s="1"/>
      <c r="F3356" s="1">
        <v>55.15</v>
      </c>
      <c r="G3356" s="1">
        <v>5000</v>
      </c>
      <c r="H3356" s="5">
        <f t="shared" si="70"/>
        <v>0</v>
      </c>
      <c r="I3356" s="6"/>
      <c r="J3356" s="43"/>
      <c r="K3356" s="51"/>
      <c r="L3356" s="86"/>
      <c r="M3356" s="45"/>
      <c r="N3356" s="45"/>
    </row>
    <row r="3357" spans="1:14" ht="15" x14ac:dyDescent="0.25">
      <c r="A3357" s="1">
        <v>3348</v>
      </c>
      <c r="B3357" s="1" t="s">
        <v>445</v>
      </c>
      <c r="C3357" s="32" t="s">
        <v>30</v>
      </c>
      <c r="D3357" s="1">
        <v>7000</v>
      </c>
      <c r="E3357" s="1"/>
      <c r="F3357" s="1">
        <v>77.2</v>
      </c>
      <c r="G3357" s="1">
        <v>7000</v>
      </c>
      <c r="H3357" s="5">
        <f t="shared" si="70"/>
        <v>0</v>
      </c>
      <c r="I3357" s="6"/>
      <c r="J3357" s="43"/>
      <c r="K3357" s="51"/>
      <c r="L3357" s="86"/>
      <c r="M3357" s="45"/>
      <c r="N3357" s="45"/>
    </row>
    <row r="3358" spans="1:14" ht="15" x14ac:dyDescent="0.25">
      <c r="A3358" s="1">
        <v>3349</v>
      </c>
      <c r="B3358" s="1" t="s">
        <v>445</v>
      </c>
      <c r="C3358" s="32">
        <v>6496</v>
      </c>
      <c r="D3358" s="1">
        <v>15000</v>
      </c>
      <c r="E3358" s="1"/>
      <c r="F3358" s="1">
        <v>167.15</v>
      </c>
      <c r="G3358" s="1">
        <v>15000</v>
      </c>
      <c r="H3358" s="5">
        <f t="shared" si="70"/>
        <v>0</v>
      </c>
      <c r="I3358" s="6"/>
      <c r="J3358" s="43"/>
      <c r="K3358" s="51"/>
      <c r="L3358" s="86"/>
      <c r="M3358" s="45"/>
      <c r="N3358" s="45"/>
    </row>
    <row r="3359" spans="1:14" ht="15" x14ac:dyDescent="0.25">
      <c r="A3359" s="1">
        <v>3350</v>
      </c>
      <c r="B3359" s="1" t="s">
        <v>445</v>
      </c>
      <c r="C3359" s="32">
        <v>6471</v>
      </c>
      <c r="D3359" s="1">
        <v>20000</v>
      </c>
      <c r="E3359" s="1"/>
      <c r="F3359" s="1">
        <v>222.2</v>
      </c>
      <c r="G3359" s="1">
        <v>20000</v>
      </c>
      <c r="H3359" s="5">
        <f t="shared" si="70"/>
        <v>0</v>
      </c>
      <c r="I3359" s="6"/>
      <c r="J3359" s="43"/>
      <c r="K3359" s="51"/>
      <c r="L3359" s="86"/>
      <c r="M3359" s="45"/>
      <c r="N3359" s="45"/>
    </row>
    <row r="3360" spans="1:14" ht="15" x14ac:dyDescent="0.25">
      <c r="A3360" s="1">
        <v>3351</v>
      </c>
      <c r="B3360" s="1" t="s">
        <v>445</v>
      </c>
      <c r="C3360" s="32">
        <v>9192</v>
      </c>
      <c r="D3360" s="1">
        <v>17000</v>
      </c>
      <c r="E3360" s="1"/>
      <c r="F3360" s="1">
        <v>189.25</v>
      </c>
      <c r="G3360" s="1">
        <v>17000</v>
      </c>
      <c r="H3360" s="5">
        <f t="shared" si="70"/>
        <v>0</v>
      </c>
      <c r="I3360" s="6"/>
      <c r="J3360" s="43"/>
      <c r="K3360" s="51"/>
      <c r="L3360" s="86"/>
      <c r="M3360" s="45"/>
      <c r="N3360" s="45"/>
    </row>
    <row r="3361" spans="1:14" ht="15" x14ac:dyDescent="0.25">
      <c r="A3361" s="1">
        <v>3352</v>
      </c>
      <c r="B3361" s="1" t="s">
        <v>445</v>
      </c>
      <c r="C3361" s="32">
        <v>2975</v>
      </c>
      <c r="D3361" s="1">
        <v>14000</v>
      </c>
      <c r="E3361" s="1"/>
      <c r="F3361" s="1">
        <v>155.25</v>
      </c>
      <c r="G3361" s="1">
        <v>14000</v>
      </c>
      <c r="H3361" s="5">
        <f t="shared" si="70"/>
        <v>0</v>
      </c>
      <c r="I3361" s="6"/>
      <c r="J3361" s="43"/>
      <c r="K3361" s="51"/>
      <c r="L3361" s="86"/>
      <c r="M3361" s="45"/>
      <c r="N3361" s="45"/>
    </row>
    <row r="3362" spans="1:14" ht="15" x14ac:dyDescent="0.25">
      <c r="A3362" s="1">
        <v>3353</v>
      </c>
      <c r="B3362" s="1" t="s">
        <v>445</v>
      </c>
      <c r="C3362" s="32">
        <v>7171</v>
      </c>
      <c r="D3362" s="1">
        <v>20000</v>
      </c>
      <c r="E3362" s="1"/>
      <c r="F3362" s="1">
        <v>222.25</v>
      </c>
      <c r="G3362" s="1">
        <v>20000</v>
      </c>
      <c r="H3362" s="5">
        <f t="shared" si="70"/>
        <v>0</v>
      </c>
      <c r="I3362" s="6"/>
      <c r="J3362" s="43"/>
      <c r="K3362" s="51"/>
      <c r="L3362" s="86"/>
      <c r="M3362" s="45"/>
      <c r="N3362" s="45"/>
    </row>
    <row r="3363" spans="1:14" ht="15" x14ac:dyDescent="0.25">
      <c r="A3363" s="1">
        <v>3354</v>
      </c>
      <c r="B3363" s="1" t="s">
        <v>445</v>
      </c>
      <c r="C3363" s="32">
        <v>8569</v>
      </c>
      <c r="D3363" s="1">
        <v>13000</v>
      </c>
      <c r="E3363" s="1"/>
      <c r="F3363" s="1">
        <v>144.13</v>
      </c>
      <c r="G3363" s="1">
        <v>13000</v>
      </c>
      <c r="H3363" s="5">
        <f t="shared" si="70"/>
        <v>0</v>
      </c>
      <c r="I3363" s="6"/>
      <c r="J3363" s="43"/>
      <c r="K3363" s="51"/>
      <c r="L3363" s="86"/>
      <c r="M3363" s="45"/>
      <c r="N3363" s="45"/>
    </row>
    <row r="3364" spans="1:14" ht="15" x14ac:dyDescent="0.25">
      <c r="A3364" s="1">
        <v>3355</v>
      </c>
      <c r="B3364" s="1" t="s">
        <v>445</v>
      </c>
      <c r="C3364" s="32">
        <v>3175</v>
      </c>
      <c r="D3364" s="1">
        <v>15000</v>
      </c>
      <c r="E3364" s="1"/>
      <c r="F3364" s="1">
        <v>167.15</v>
      </c>
      <c r="G3364" s="1">
        <v>15000</v>
      </c>
      <c r="H3364" s="5">
        <f t="shared" si="70"/>
        <v>0</v>
      </c>
      <c r="I3364" s="6"/>
      <c r="J3364" s="43"/>
      <c r="K3364" s="51"/>
      <c r="L3364" s="86"/>
      <c r="M3364" s="45"/>
      <c r="N3364" s="45"/>
    </row>
    <row r="3365" spans="1:14" ht="15" x14ac:dyDescent="0.25">
      <c r="A3365" s="1">
        <v>3356</v>
      </c>
      <c r="B3365" s="1" t="s">
        <v>445</v>
      </c>
      <c r="C3365" s="32">
        <v>1452</v>
      </c>
      <c r="D3365" s="1">
        <v>13000</v>
      </c>
      <c r="E3365" s="1"/>
      <c r="F3365" s="1">
        <v>149.12</v>
      </c>
      <c r="G3365" s="1">
        <v>13000</v>
      </c>
      <c r="H3365" s="5">
        <f t="shared" si="70"/>
        <v>0</v>
      </c>
      <c r="I3365" s="6"/>
      <c r="J3365" s="43"/>
      <c r="K3365" s="51"/>
      <c r="L3365" s="86"/>
      <c r="M3365" s="45"/>
      <c r="N3365" s="45"/>
    </row>
    <row r="3366" spans="1:14" ht="15" x14ac:dyDescent="0.25">
      <c r="A3366" s="1">
        <v>3357</v>
      </c>
      <c r="B3366" s="1" t="s">
        <v>445</v>
      </c>
      <c r="C3366" s="32">
        <v>3848</v>
      </c>
      <c r="D3366" s="1">
        <v>20000</v>
      </c>
      <c r="E3366" s="1"/>
      <c r="F3366" s="1">
        <v>222.25</v>
      </c>
      <c r="G3366" s="1">
        <v>20000</v>
      </c>
      <c r="H3366" s="5">
        <f t="shared" si="70"/>
        <v>0</v>
      </c>
      <c r="I3366" s="6"/>
      <c r="J3366" s="43"/>
      <c r="K3366" s="51"/>
      <c r="L3366" s="86"/>
      <c r="M3366" s="45"/>
      <c r="N3366" s="45"/>
    </row>
    <row r="3367" spans="1:14" ht="15" x14ac:dyDescent="0.25">
      <c r="A3367" s="1">
        <v>3358</v>
      </c>
      <c r="B3367" s="1" t="s">
        <v>445</v>
      </c>
      <c r="C3367" s="32">
        <v>4282</v>
      </c>
      <c r="D3367" s="1">
        <v>16000</v>
      </c>
      <c r="E3367" s="1"/>
      <c r="F3367" s="1">
        <v>178.22</v>
      </c>
      <c r="G3367" s="1">
        <v>16000</v>
      </c>
      <c r="H3367" s="5">
        <f t="shared" si="70"/>
        <v>0</v>
      </c>
      <c r="I3367" s="6"/>
      <c r="J3367" s="43"/>
      <c r="K3367" s="51"/>
      <c r="L3367" s="86"/>
      <c r="M3367" s="45"/>
      <c r="N3367" s="45"/>
    </row>
    <row r="3368" spans="1:14" ht="15" x14ac:dyDescent="0.25">
      <c r="A3368" s="1">
        <v>3359</v>
      </c>
      <c r="B3368" s="1" t="s">
        <v>445</v>
      </c>
      <c r="C3368" s="32">
        <v>5576</v>
      </c>
      <c r="D3368" s="1">
        <v>18000</v>
      </c>
      <c r="E3368" s="1"/>
      <c r="F3368" s="1">
        <v>185.25</v>
      </c>
      <c r="G3368" s="1">
        <v>18000</v>
      </c>
      <c r="H3368" s="5">
        <f t="shared" si="70"/>
        <v>0</v>
      </c>
      <c r="I3368" s="6"/>
      <c r="J3368" s="43"/>
      <c r="K3368" s="51"/>
      <c r="L3368" s="86"/>
      <c r="M3368" s="45"/>
      <c r="N3368" s="45"/>
    </row>
    <row r="3369" spans="1:14" ht="15" x14ac:dyDescent="0.25">
      <c r="A3369" s="1">
        <v>3360</v>
      </c>
      <c r="B3369" s="1" t="s">
        <v>445</v>
      </c>
      <c r="C3369" s="32">
        <v>1332</v>
      </c>
      <c r="D3369" s="1">
        <v>13000</v>
      </c>
      <c r="E3369" s="1"/>
      <c r="F3369" s="1">
        <v>144.25</v>
      </c>
      <c r="G3369" s="1">
        <v>13000</v>
      </c>
      <c r="H3369" s="5">
        <f t="shared" si="70"/>
        <v>0</v>
      </c>
      <c r="I3369" s="6"/>
      <c r="J3369" s="43"/>
      <c r="K3369" s="51"/>
      <c r="L3369" s="86"/>
      <c r="M3369" s="45"/>
      <c r="N3369" s="45"/>
    </row>
    <row r="3370" spans="1:14" ht="15" x14ac:dyDescent="0.25">
      <c r="A3370" s="1">
        <v>3361</v>
      </c>
      <c r="B3370" s="1" t="s">
        <v>445</v>
      </c>
      <c r="C3370" s="32">
        <v>1212</v>
      </c>
      <c r="D3370" s="1">
        <v>22000</v>
      </c>
      <c r="E3370" s="1"/>
      <c r="F3370" s="1">
        <v>241.2</v>
      </c>
      <c r="G3370" s="1">
        <v>22000</v>
      </c>
      <c r="H3370" s="5">
        <f t="shared" si="70"/>
        <v>0</v>
      </c>
      <c r="I3370" s="6"/>
      <c r="J3370" s="43"/>
      <c r="K3370" s="51"/>
      <c r="L3370" s="86"/>
      <c r="M3370" s="45"/>
      <c r="N3370" s="45"/>
    </row>
    <row r="3371" spans="1:14" ht="15" x14ac:dyDescent="0.25">
      <c r="A3371" s="1">
        <v>3362</v>
      </c>
      <c r="B3371" s="1" t="s">
        <v>445</v>
      </c>
      <c r="C3371" s="32">
        <v>6126</v>
      </c>
      <c r="D3371" s="1">
        <v>30000</v>
      </c>
      <c r="E3371" s="1"/>
      <c r="F3371" s="1">
        <v>317.52</v>
      </c>
      <c r="G3371" s="1">
        <v>30000</v>
      </c>
      <c r="H3371" s="5">
        <f t="shared" si="70"/>
        <v>0</v>
      </c>
      <c r="I3371" s="6"/>
      <c r="J3371" s="43"/>
      <c r="K3371" s="51"/>
      <c r="L3371" s="86"/>
      <c r="M3371" s="45"/>
      <c r="N3371" s="45"/>
    </row>
    <row r="3372" spans="1:14" ht="15" x14ac:dyDescent="0.25">
      <c r="A3372" s="1">
        <v>3363</v>
      </c>
      <c r="B3372" s="1" t="s">
        <v>445</v>
      </c>
      <c r="C3372" s="32">
        <v>4041</v>
      </c>
      <c r="D3372" s="1">
        <v>20000</v>
      </c>
      <c r="E3372" s="1"/>
      <c r="F3372" s="1">
        <v>222.25</v>
      </c>
      <c r="G3372" s="1">
        <v>20000</v>
      </c>
      <c r="H3372" s="5">
        <f t="shared" si="70"/>
        <v>0</v>
      </c>
      <c r="I3372" s="6"/>
      <c r="J3372" s="43"/>
      <c r="K3372" s="51"/>
      <c r="L3372" s="86"/>
      <c r="M3372" s="45"/>
      <c r="N3372" s="45"/>
    </row>
    <row r="3373" spans="1:14" ht="15" x14ac:dyDescent="0.25">
      <c r="A3373" s="1">
        <v>3364</v>
      </c>
      <c r="B3373" s="1" t="s">
        <v>445</v>
      </c>
      <c r="C3373" s="32">
        <v>4819</v>
      </c>
      <c r="D3373" s="1">
        <v>18000</v>
      </c>
      <c r="E3373" s="1"/>
      <c r="F3373" s="1">
        <v>200.53</v>
      </c>
      <c r="G3373" s="1">
        <v>18000</v>
      </c>
      <c r="H3373" s="5">
        <f t="shared" si="70"/>
        <v>0</v>
      </c>
      <c r="I3373" s="6"/>
      <c r="J3373" s="43"/>
      <c r="K3373" s="51"/>
      <c r="L3373" s="86"/>
      <c r="M3373" s="45"/>
      <c r="N3373" s="45"/>
    </row>
    <row r="3374" spans="1:14" ht="15" x14ac:dyDescent="0.25">
      <c r="A3374" s="1">
        <v>3365</v>
      </c>
      <c r="B3374" s="1" t="s">
        <v>445</v>
      </c>
      <c r="C3374" s="32">
        <v>4105</v>
      </c>
      <c r="D3374" s="1">
        <v>13000</v>
      </c>
      <c r="E3374" s="1"/>
      <c r="F3374" s="1">
        <v>144.83000000000001</v>
      </c>
      <c r="G3374" s="1">
        <v>13000</v>
      </c>
      <c r="H3374" s="5">
        <f t="shared" si="70"/>
        <v>0</v>
      </c>
      <c r="I3374" s="6"/>
      <c r="J3374" s="43"/>
      <c r="K3374" s="51"/>
      <c r="L3374" s="86"/>
      <c r="M3374" s="45"/>
      <c r="N3374" s="45"/>
    </row>
    <row r="3375" spans="1:14" ht="15" x14ac:dyDescent="0.25">
      <c r="A3375" s="1">
        <v>3366</v>
      </c>
      <c r="B3375" s="1" t="s">
        <v>445</v>
      </c>
      <c r="C3375" s="32">
        <v>1832</v>
      </c>
      <c r="D3375" s="1">
        <v>12500</v>
      </c>
      <c r="E3375" s="1"/>
      <c r="F3375" s="1">
        <v>139.26</v>
      </c>
      <c r="G3375" s="1">
        <v>12500</v>
      </c>
      <c r="H3375" s="5">
        <f t="shared" si="70"/>
        <v>0</v>
      </c>
      <c r="I3375" s="6"/>
      <c r="J3375" s="43"/>
      <c r="K3375" s="51"/>
      <c r="L3375" s="86"/>
      <c r="M3375" s="45"/>
      <c r="N3375" s="45"/>
    </row>
    <row r="3376" spans="1:14" ht="15" x14ac:dyDescent="0.25">
      <c r="A3376" s="1">
        <v>3367</v>
      </c>
      <c r="B3376" s="1" t="s">
        <v>445</v>
      </c>
      <c r="C3376" s="32">
        <v>0.47399999999999998</v>
      </c>
      <c r="D3376" s="1">
        <v>30000</v>
      </c>
      <c r="E3376" s="1"/>
      <c r="F3376" s="1">
        <v>334.22</v>
      </c>
      <c r="G3376" s="1">
        <v>30000</v>
      </c>
      <c r="H3376" s="5">
        <f t="shared" si="70"/>
        <v>0</v>
      </c>
      <c r="I3376" s="6"/>
      <c r="J3376" s="43"/>
      <c r="K3376" s="51"/>
      <c r="L3376" s="86"/>
      <c r="M3376" s="45"/>
      <c r="N3376" s="45"/>
    </row>
    <row r="3377" spans="1:14" ht="15" x14ac:dyDescent="0.25">
      <c r="A3377" s="1">
        <v>3368</v>
      </c>
      <c r="B3377" s="1" t="s">
        <v>445</v>
      </c>
      <c r="C3377" s="32">
        <v>4732</v>
      </c>
      <c r="D3377" s="1">
        <v>20000</v>
      </c>
      <c r="E3377" s="1"/>
      <c r="F3377" s="1">
        <v>222.52</v>
      </c>
      <c r="G3377" s="1">
        <v>20000</v>
      </c>
      <c r="H3377" s="5">
        <f t="shared" si="70"/>
        <v>0</v>
      </c>
      <c r="I3377" s="6"/>
      <c r="J3377" s="43"/>
      <c r="K3377" s="51"/>
      <c r="L3377" s="86"/>
      <c r="M3377" s="45"/>
      <c r="N3377" s="45"/>
    </row>
    <row r="3378" spans="1:14" ht="15" x14ac:dyDescent="0.25">
      <c r="A3378" s="1">
        <v>3369</v>
      </c>
      <c r="B3378" s="1" t="s">
        <v>445</v>
      </c>
      <c r="C3378" s="32">
        <v>1664</v>
      </c>
      <c r="D3378" s="1">
        <v>28000</v>
      </c>
      <c r="E3378" s="1"/>
      <c r="F3378" s="1">
        <v>291.39999999999998</v>
      </c>
      <c r="G3378" s="1">
        <v>28000</v>
      </c>
      <c r="H3378" s="5">
        <f t="shared" si="70"/>
        <v>0</v>
      </c>
      <c r="I3378" s="6"/>
      <c r="J3378" s="43"/>
      <c r="K3378" s="51"/>
      <c r="L3378" s="86"/>
      <c r="M3378" s="45"/>
      <c r="N3378" s="45"/>
    </row>
    <row r="3379" spans="1:14" ht="15" x14ac:dyDescent="0.25">
      <c r="A3379" s="1">
        <v>3370</v>
      </c>
      <c r="B3379" s="1" t="s">
        <v>445</v>
      </c>
      <c r="C3379" s="32">
        <v>4406</v>
      </c>
      <c r="D3379" s="1">
        <v>15000</v>
      </c>
      <c r="E3379" s="1"/>
      <c r="F3379" s="1">
        <v>167.11</v>
      </c>
      <c r="G3379" s="1">
        <v>15000</v>
      </c>
      <c r="H3379" s="5">
        <f t="shared" si="70"/>
        <v>0</v>
      </c>
      <c r="I3379" s="6"/>
      <c r="J3379" s="43"/>
      <c r="K3379" s="51"/>
      <c r="L3379" s="86"/>
      <c r="M3379" s="45"/>
      <c r="N3379" s="45"/>
    </row>
    <row r="3380" spans="1:14" ht="15" x14ac:dyDescent="0.25">
      <c r="A3380" s="1">
        <v>3371</v>
      </c>
      <c r="B3380" s="1" t="s">
        <v>445</v>
      </c>
      <c r="C3380" s="32">
        <v>9630</v>
      </c>
      <c r="D3380" s="1">
        <v>27000</v>
      </c>
      <c r="E3380" s="1"/>
      <c r="F3380" s="1">
        <v>300.89999999999998</v>
      </c>
      <c r="G3380" s="1">
        <v>27000</v>
      </c>
      <c r="H3380" s="5">
        <f t="shared" si="70"/>
        <v>0</v>
      </c>
      <c r="I3380" s="6"/>
      <c r="J3380" s="43"/>
      <c r="K3380" s="51"/>
      <c r="L3380" s="86"/>
      <c r="M3380" s="45"/>
      <c r="N3380" s="45"/>
    </row>
    <row r="3381" spans="1:14" ht="15" x14ac:dyDescent="0.25">
      <c r="A3381" s="1">
        <v>3372</v>
      </c>
      <c r="B3381" s="1" t="s">
        <v>445</v>
      </c>
      <c r="C3381" s="32">
        <v>4730</v>
      </c>
      <c r="D3381" s="1">
        <v>40000</v>
      </c>
      <c r="E3381" s="1"/>
      <c r="F3381" s="1">
        <v>445.63</v>
      </c>
      <c r="G3381" s="1">
        <v>40000</v>
      </c>
      <c r="H3381" s="5">
        <f t="shared" si="70"/>
        <v>0</v>
      </c>
      <c r="I3381" s="6"/>
      <c r="J3381" s="43"/>
      <c r="K3381" s="51"/>
      <c r="L3381" s="86"/>
      <c r="M3381" s="45"/>
      <c r="N3381" s="45"/>
    </row>
    <row r="3382" spans="1:14" ht="15" x14ac:dyDescent="0.25">
      <c r="A3382" s="1">
        <v>3373</v>
      </c>
      <c r="B3382" s="1" t="s">
        <v>445</v>
      </c>
      <c r="C3382" s="32">
        <v>1911</v>
      </c>
      <c r="D3382" s="1">
        <v>25000</v>
      </c>
      <c r="E3382" s="1"/>
      <c r="F3382" s="1">
        <v>278.22000000000003</v>
      </c>
      <c r="G3382" s="1">
        <v>25000</v>
      </c>
      <c r="H3382" s="5">
        <f t="shared" si="70"/>
        <v>0</v>
      </c>
      <c r="I3382" s="6"/>
      <c r="J3382" s="43"/>
      <c r="K3382" s="51"/>
      <c r="L3382" s="86"/>
      <c r="M3382" s="45"/>
      <c r="N3382" s="45"/>
    </row>
    <row r="3383" spans="1:14" ht="15" x14ac:dyDescent="0.25">
      <c r="A3383" s="1">
        <v>3374</v>
      </c>
      <c r="B3383" s="1" t="s">
        <v>445</v>
      </c>
      <c r="C3383" s="32">
        <v>6364</v>
      </c>
      <c r="D3383" s="1">
        <v>20000</v>
      </c>
      <c r="E3383" s="1"/>
      <c r="F3383" s="1">
        <v>222.81</v>
      </c>
      <c r="G3383" s="1">
        <v>20000</v>
      </c>
      <c r="H3383" s="5">
        <f t="shared" si="70"/>
        <v>0</v>
      </c>
      <c r="I3383" s="6"/>
      <c r="J3383" s="43"/>
      <c r="K3383" s="51"/>
      <c r="L3383" s="86"/>
      <c r="M3383" s="45"/>
      <c r="N3383" s="45"/>
    </row>
    <row r="3384" spans="1:14" ht="15" x14ac:dyDescent="0.25">
      <c r="A3384" s="1">
        <v>3375</v>
      </c>
      <c r="B3384" s="1" t="s">
        <v>445</v>
      </c>
      <c r="C3384" s="32">
        <v>4608</v>
      </c>
      <c r="D3384" s="1">
        <v>16000</v>
      </c>
      <c r="E3384" s="1"/>
      <c r="F3384" s="1">
        <v>177.48</v>
      </c>
      <c r="G3384" s="1">
        <v>16000</v>
      </c>
      <c r="H3384" s="5">
        <f t="shared" si="70"/>
        <v>0</v>
      </c>
      <c r="I3384" s="6"/>
      <c r="J3384" s="43"/>
      <c r="K3384" s="51"/>
      <c r="L3384" s="86"/>
      <c r="M3384" s="45"/>
      <c r="N3384" s="45"/>
    </row>
    <row r="3385" spans="1:14" ht="15" x14ac:dyDescent="0.25">
      <c r="A3385" s="1">
        <v>3376</v>
      </c>
      <c r="B3385" s="1" t="s">
        <v>445</v>
      </c>
      <c r="C3385" s="32">
        <v>5857</v>
      </c>
      <c r="D3385" s="1">
        <v>18000</v>
      </c>
      <c r="E3385" s="1"/>
      <c r="F3385" s="1">
        <v>200.53</v>
      </c>
      <c r="G3385" s="1">
        <v>18000</v>
      </c>
      <c r="H3385" s="5">
        <f t="shared" si="70"/>
        <v>0</v>
      </c>
      <c r="I3385" s="6"/>
      <c r="J3385" s="43"/>
      <c r="K3385" s="51"/>
      <c r="L3385" s="86"/>
      <c r="M3385" s="45"/>
      <c r="N3385" s="45"/>
    </row>
    <row r="3386" spans="1:14" ht="15" x14ac:dyDescent="0.25">
      <c r="A3386" s="1">
        <v>3377</v>
      </c>
      <c r="B3386" s="1" t="s">
        <v>445</v>
      </c>
      <c r="C3386" s="32">
        <v>1071</v>
      </c>
      <c r="D3386" s="1">
        <v>13000</v>
      </c>
      <c r="E3386" s="1"/>
      <c r="F3386" s="1">
        <v>144.15</v>
      </c>
      <c r="G3386" s="1">
        <v>13000</v>
      </c>
      <c r="H3386" s="5">
        <f t="shared" si="70"/>
        <v>0</v>
      </c>
      <c r="I3386" s="6"/>
      <c r="J3386" s="43"/>
      <c r="K3386" s="51"/>
      <c r="L3386" s="86"/>
      <c r="M3386" s="45"/>
      <c r="N3386" s="45"/>
    </row>
    <row r="3387" spans="1:14" ht="15" x14ac:dyDescent="0.25">
      <c r="A3387" s="1">
        <v>3378</v>
      </c>
      <c r="B3387" s="1" t="s">
        <v>445</v>
      </c>
      <c r="C3387" s="32">
        <v>2133</v>
      </c>
      <c r="D3387" s="1">
        <v>17000</v>
      </c>
      <c r="E3387" s="1"/>
      <c r="F3387" s="1">
        <v>188.33</v>
      </c>
      <c r="G3387" s="1">
        <v>17000</v>
      </c>
      <c r="H3387" s="5">
        <f t="shared" si="70"/>
        <v>0</v>
      </c>
      <c r="I3387" s="6"/>
      <c r="J3387" s="43"/>
      <c r="K3387" s="51"/>
      <c r="L3387" s="86"/>
      <c r="M3387" s="45"/>
      <c r="N3387" s="45"/>
    </row>
    <row r="3388" spans="1:14" ht="15" x14ac:dyDescent="0.25">
      <c r="A3388" s="1">
        <v>3379</v>
      </c>
      <c r="B3388" s="1" t="s">
        <v>445</v>
      </c>
      <c r="C3388" s="32">
        <v>2973</v>
      </c>
      <c r="D3388" s="1">
        <v>16000</v>
      </c>
      <c r="E3388" s="1"/>
      <c r="F3388" s="1">
        <v>177.48</v>
      </c>
      <c r="G3388" s="1">
        <v>16000</v>
      </c>
      <c r="H3388" s="5">
        <f t="shared" si="70"/>
        <v>0</v>
      </c>
      <c r="I3388" s="6"/>
      <c r="J3388" s="43"/>
      <c r="K3388" s="51"/>
      <c r="L3388" s="86"/>
      <c r="M3388" s="45"/>
      <c r="N3388" s="45"/>
    </row>
    <row r="3389" spans="1:14" ht="15" x14ac:dyDescent="0.25">
      <c r="A3389" s="1">
        <v>3380</v>
      </c>
      <c r="B3389" s="1" t="s">
        <v>445</v>
      </c>
      <c r="C3389" s="32">
        <v>5.1000000000000004E-3</v>
      </c>
      <c r="D3389" s="1">
        <v>16000</v>
      </c>
      <c r="E3389" s="1"/>
      <c r="F3389" s="1">
        <v>177.48</v>
      </c>
      <c r="G3389" s="1">
        <v>16000</v>
      </c>
      <c r="H3389" s="5">
        <f t="shared" si="70"/>
        <v>0</v>
      </c>
      <c r="I3389" s="6"/>
      <c r="J3389" s="43"/>
      <c r="K3389" s="51"/>
      <c r="L3389" s="86"/>
      <c r="M3389" s="45"/>
      <c r="N3389" s="45"/>
    </row>
    <row r="3390" spans="1:14" ht="15" x14ac:dyDescent="0.25">
      <c r="A3390" s="1">
        <v>3381</v>
      </c>
      <c r="B3390" s="1" t="s">
        <v>445</v>
      </c>
      <c r="C3390" s="32">
        <v>5151</v>
      </c>
      <c r="D3390" s="1">
        <v>16000</v>
      </c>
      <c r="E3390" s="1"/>
      <c r="F3390" s="1">
        <v>177.48</v>
      </c>
      <c r="G3390" s="1">
        <v>16000</v>
      </c>
      <c r="H3390" s="5">
        <f t="shared" si="70"/>
        <v>0</v>
      </c>
      <c r="I3390" s="6"/>
      <c r="J3390" s="43"/>
      <c r="K3390" s="51"/>
      <c r="L3390" s="86"/>
      <c r="M3390" s="45"/>
      <c r="N3390" s="45"/>
    </row>
    <row r="3391" spans="1:14" ht="15" x14ac:dyDescent="0.25">
      <c r="A3391" s="1">
        <v>3382</v>
      </c>
      <c r="B3391" s="1" t="s">
        <v>445</v>
      </c>
      <c r="C3391" s="32">
        <v>9870</v>
      </c>
      <c r="D3391" s="1">
        <v>21000</v>
      </c>
      <c r="E3391" s="1"/>
      <c r="F3391" s="1">
        <v>202.25</v>
      </c>
      <c r="G3391" s="1">
        <v>21000</v>
      </c>
      <c r="H3391" s="5">
        <f t="shared" si="70"/>
        <v>0</v>
      </c>
      <c r="I3391" s="6"/>
      <c r="J3391" s="43"/>
      <c r="K3391" s="51"/>
      <c r="L3391" s="86"/>
      <c r="M3391" s="45"/>
      <c r="N3391" s="45"/>
    </row>
    <row r="3392" spans="1:14" ht="15" x14ac:dyDescent="0.25">
      <c r="A3392" s="1">
        <v>3383</v>
      </c>
      <c r="B3392" s="1" t="s">
        <v>445</v>
      </c>
      <c r="C3392" s="32">
        <v>8282</v>
      </c>
      <c r="D3392" s="1">
        <v>33000</v>
      </c>
      <c r="E3392" s="1"/>
      <c r="F3392" s="1">
        <v>337.94</v>
      </c>
      <c r="G3392" s="1">
        <v>33000</v>
      </c>
      <c r="H3392" s="5">
        <f t="shared" si="70"/>
        <v>0</v>
      </c>
      <c r="I3392" s="6"/>
      <c r="J3392" s="43"/>
      <c r="K3392" s="51"/>
      <c r="L3392" s="86">
        <f>2255152-2249743</f>
        <v>5409</v>
      </c>
      <c r="M3392" s="45" t="s">
        <v>446</v>
      </c>
      <c r="N3392" s="45">
        <f>5409-4788</f>
        <v>621</v>
      </c>
    </row>
    <row r="3393" spans="1:14" ht="15" x14ac:dyDescent="0.25">
      <c r="A3393" s="1">
        <v>3384</v>
      </c>
      <c r="B3393" s="1" t="s">
        <v>447</v>
      </c>
      <c r="C3393" s="32">
        <v>9379</v>
      </c>
      <c r="D3393" s="1">
        <v>27000</v>
      </c>
      <c r="E3393" s="1"/>
      <c r="F3393" s="1">
        <v>300.85000000000002</v>
      </c>
      <c r="G3393" s="1">
        <v>27000</v>
      </c>
      <c r="H3393" s="5">
        <f t="shared" si="70"/>
        <v>0</v>
      </c>
      <c r="I3393" s="6"/>
      <c r="J3393" s="43"/>
      <c r="K3393" s="51"/>
      <c r="L3393" s="86"/>
      <c r="M3393" s="45"/>
      <c r="N3393" s="45"/>
    </row>
    <row r="3394" spans="1:14" ht="15" x14ac:dyDescent="0.25">
      <c r="A3394" s="1">
        <v>3385</v>
      </c>
      <c r="B3394" s="1" t="s">
        <v>447</v>
      </c>
      <c r="C3394" s="32">
        <v>9389</v>
      </c>
      <c r="D3394" s="1">
        <v>25000</v>
      </c>
      <c r="E3394" s="1"/>
      <c r="F3394" s="1">
        <v>270.25</v>
      </c>
      <c r="G3394" s="1">
        <v>25000</v>
      </c>
      <c r="H3394" s="5">
        <f t="shared" si="70"/>
        <v>0</v>
      </c>
      <c r="I3394" s="6"/>
      <c r="J3394" s="43"/>
      <c r="K3394" s="51"/>
      <c r="L3394" s="86"/>
      <c r="M3394" s="45"/>
      <c r="N3394" s="45"/>
    </row>
    <row r="3395" spans="1:14" ht="15" x14ac:dyDescent="0.25">
      <c r="A3395" s="1">
        <v>3386</v>
      </c>
      <c r="B3395" s="1" t="s">
        <v>447</v>
      </c>
      <c r="C3395" s="32">
        <v>5335</v>
      </c>
      <c r="D3395" s="1">
        <v>18000</v>
      </c>
      <c r="E3395" s="1"/>
      <c r="F3395" s="1">
        <v>200.25</v>
      </c>
      <c r="G3395" s="1">
        <v>18000</v>
      </c>
      <c r="H3395" s="5">
        <f t="shared" si="70"/>
        <v>0</v>
      </c>
      <c r="I3395" s="6"/>
      <c r="J3395" s="43"/>
      <c r="K3395" s="51"/>
      <c r="L3395" s="86"/>
      <c r="M3395" s="45"/>
      <c r="N3395" s="45"/>
    </row>
    <row r="3396" spans="1:14" ht="15" x14ac:dyDescent="0.25">
      <c r="A3396" s="1">
        <v>3387</v>
      </c>
      <c r="B3396" s="1" t="s">
        <v>447</v>
      </c>
      <c r="C3396" s="32">
        <v>4092</v>
      </c>
      <c r="D3396" s="1">
        <v>24000</v>
      </c>
      <c r="E3396" s="1"/>
      <c r="F3396" s="1">
        <v>267.58</v>
      </c>
      <c r="G3396" s="1">
        <v>24000</v>
      </c>
      <c r="H3396" s="5">
        <f t="shared" si="70"/>
        <v>0</v>
      </c>
      <c r="I3396" s="6"/>
      <c r="J3396" s="43"/>
      <c r="K3396" s="51"/>
      <c r="L3396" s="86"/>
      <c r="M3396" s="45"/>
      <c r="N3396" s="45"/>
    </row>
    <row r="3397" spans="1:14" ht="15" x14ac:dyDescent="0.25">
      <c r="A3397" s="1">
        <v>3388</v>
      </c>
      <c r="B3397" s="1" t="s">
        <v>447</v>
      </c>
      <c r="C3397" s="32">
        <v>5.5100000000000003E-2</v>
      </c>
      <c r="D3397" s="1">
        <v>15000</v>
      </c>
      <c r="E3397" s="1"/>
      <c r="F3397" s="1">
        <v>167.15</v>
      </c>
      <c r="G3397" s="1">
        <v>15000</v>
      </c>
      <c r="H3397" s="5">
        <f t="shared" si="70"/>
        <v>0</v>
      </c>
      <c r="I3397" s="6"/>
      <c r="J3397" s="43"/>
      <c r="K3397" s="51"/>
      <c r="L3397" s="86"/>
      <c r="M3397" s="45"/>
      <c r="N3397" s="45"/>
    </row>
    <row r="3398" spans="1:14" ht="15" x14ac:dyDescent="0.25">
      <c r="A3398" s="1">
        <v>3389</v>
      </c>
      <c r="B3398" s="1" t="s">
        <v>447</v>
      </c>
      <c r="C3398" s="32" t="s">
        <v>30</v>
      </c>
      <c r="D3398" s="1">
        <v>4500</v>
      </c>
      <c r="E3398" s="1"/>
      <c r="F3398" s="1">
        <v>50.13</v>
      </c>
      <c r="G3398" s="1">
        <v>4500</v>
      </c>
      <c r="H3398" s="5">
        <f t="shared" si="70"/>
        <v>0</v>
      </c>
      <c r="I3398" s="6"/>
      <c r="J3398" s="43"/>
      <c r="K3398" s="51"/>
      <c r="L3398" s="86"/>
      <c r="M3398" s="45"/>
      <c r="N3398" s="45"/>
    </row>
    <row r="3399" spans="1:14" ht="15" x14ac:dyDescent="0.25">
      <c r="A3399" s="1">
        <v>3390</v>
      </c>
      <c r="B3399" s="1" t="s">
        <v>447</v>
      </c>
      <c r="C3399" s="32">
        <v>6048</v>
      </c>
      <c r="D3399" s="1">
        <v>12000</v>
      </c>
      <c r="E3399" s="1"/>
      <c r="F3399" s="1">
        <v>133.25</v>
      </c>
      <c r="G3399" s="1">
        <v>12000</v>
      </c>
      <c r="H3399" s="5">
        <f t="shared" si="70"/>
        <v>0</v>
      </c>
      <c r="I3399" s="6"/>
      <c r="J3399" s="43"/>
      <c r="K3399" s="51"/>
      <c r="L3399" s="86"/>
      <c r="M3399" s="45"/>
      <c r="N3399" s="45"/>
    </row>
    <row r="3400" spans="1:14" ht="15" x14ac:dyDescent="0.25">
      <c r="A3400" s="1">
        <v>3391</v>
      </c>
      <c r="B3400" s="1" t="s">
        <v>447</v>
      </c>
      <c r="C3400" s="32">
        <v>1266</v>
      </c>
      <c r="D3400" s="1">
        <v>13000</v>
      </c>
      <c r="E3400" s="1"/>
      <c r="F3400" s="1">
        <v>144.15</v>
      </c>
      <c r="G3400" s="1">
        <v>13000</v>
      </c>
      <c r="H3400" s="5">
        <f t="shared" si="70"/>
        <v>0</v>
      </c>
      <c r="I3400" s="6"/>
      <c r="J3400" s="43"/>
      <c r="K3400" s="51"/>
      <c r="L3400" s="86"/>
      <c r="M3400" s="45"/>
      <c r="N3400" s="45"/>
    </row>
    <row r="3401" spans="1:14" ht="15" x14ac:dyDescent="0.25">
      <c r="A3401" s="1">
        <v>3392</v>
      </c>
      <c r="B3401" s="1" t="s">
        <v>447</v>
      </c>
      <c r="C3401" s="32">
        <v>3443</v>
      </c>
      <c r="D3401" s="1">
        <v>16000</v>
      </c>
      <c r="E3401" s="1"/>
      <c r="F3401" s="1">
        <v>178.22</v>
      </c>
      <c r="G3401" s="1">
        <v>16000</v>
      </c>
      <c r="H3401" s="5">
        <f t="shared" si="70"/>
        <v>0</v>
      </c>
      <c r="I3401" s="6"/>
      <c r="J3401" s="43"/>
      <c r="K3401" s="51"/>
      <c r="L3401" s="86"/>
      <c r="M3401" s="45"/>
      <c r="N3401" s="45"/>
    </row>
    <row r="3402" spans="1:14" ht="15" x14ac:dyDescent="0.25">
      <c r="A3402" s="1">
        <v>3393</v>
      </c>
      <c r="B3402" s="1" t="s">
        <v>447</v>
      </c>
      <c r="C3402" s="32">
        <v>5958</v>
      </c>
      <c r="D3402" s="1">
        <v>16000</v>
      </c>
      <c r="E3402" s="1"/>
      <c r="F3402" s="1">
        <v>178.22</v>
      </c>
      <c r="G3402" s="1">
        <v>16000</v>
      </c>
      <c r="H3402" s="5">
        <f t="shared" si="70"/>
        <v>0</v>
      </c>
      <c r="I3402" s="6"/>
      <c r="J3402" s="43"/>
      <c r="K3402" s="51"/>
      <c r="L3402" s="86"/>
      <c r="M3402" s="45"/>
      <c r="N3402" s="45"/>
    </row>
    <row r="3403" spans="1:14" ht="15" x14ac:dyDescent="0.25">
      <c r="A3403" s="1">
        <v>3394</v>
      </c>
      <c r="B3403" s="1" t="s">
        <v>447</v>
      </c>
      <c r="C3403" s="32">
        <v>1020</v>
      </c>
      <c r="D3403" s="1">
        <v>27000</v>
      </c>
      <c r="E3403" s="1"/>
      <c r="F3403" s="1">
        <v>300.14999999999998</v>
      </c>
      <c r="G3403" s="1">
        <v>27000</v>
      </c>
      <c r="H3403" s="5">
        <f t="shared" si="70"/>
        <v>0</v>
      </c>
      <c r="I3403" s="6"/>
      <c r="J3403" s="43"/>
      <c r="K3403" s="51"/>
      <c r="L3403" s="86"/>
      <c r="M3403" s="45"/>
      <c r="N3403" s="45"/>
    </row>
    <row r="3404" spans="1:14" ht="15" x14ac:dyDescent="0.25">
      <c r="A3404" s="1">
        <v>3395</v>
      </c>
      <c r="B3404" s="1" t="s">
        <v>447</v>
      </c>
      <c r="C3404" s="32">
        <v>2681</v>
      </c>
      <c r="D3404" s="1">
        <v>16000</v>
      </c>
      <c r="E3404" s="1"/>
      <c r="F3404" s="1">
        <v>178.22</v>
      </c>
      <c r="G3404" s="1">
        <v>16000</v>
      </c>
      <c r="H3404" s="5">
        <f t="shared" si="70"/>
        <v>0</v>
      </c>
      <c r="I3404" s="6"/>
      <c r="J3404" s="43"/>
      <c r="K3404" s="51"/>
      <c r="L3404" s="86"/>
      <c r="M3404" s="45"/>
      <c r="N3404" s="45"/>
    </row>
    <row r="3405" spans="1:14" ht="15" x14ac:dyDescent="0.25">
      <c r="A3405" s="1">
        <v>3396</v>
      </c>
      <c r="B3405" s="1" t="s">
        <v>447</v>
      </c>
      <c r="C3405" s="32">
        <v>6931</v>
      </c>
      <c r="D3405" s="1">
        <v>18000</v>
      </c>
      <c r="E3405" s="1"/>
      <c r="F3405" s="1">
        <v>200.25</v>
      </c>
      <c r="G3405" s="1">
        <v>18000</v>
      </c>
      <c r="H3405" s="5">
        <f t="shared" si="70"/>
        <v>0</v>
      </c>
      <c r="I3405" s="6"/>
      <c r="J3405" s="43"/>
      <c r="K3405" s="51"/>
      <c r="L3405" s="86"/>
      <c r="M3405" s="45"/>
      <c r="N3405" s="45"/>
    </row>
    <row r="3406" spans="1:14" ht="15" x14ac:dyDescent="0.25">
      <c r="A3406" s="1">
        <v>3397</v>
      </c>
      <c r="B3406" s="1" t="s">
        <v>447</v>
      </c>
      <c r="C3406" s="32">
        <v>9645</v>
      </c>
      <c r="D3406" s="1">
        <v>17000</v>
      </c>
      <c r="E3406" s="1"/>
      <c r="F3406" s="1">
        <v>189.25</v>
      </c>
      <c r="G3406" s="1">
        <v>17000</v>
      </c>
      <c r="H3406" s="5">
        <f t="shared" si="70"/>
        <v>0</v>
      </c>
      <c r="I3406" s="6"/>
      <c r="J3406" s="43"/>
      <c r="K3406" s="51"/>
      <c r="L3406" s="86"/>
      <c r="M3406" s="45"/>
      <c r="N3406" s="45"/>
    </row>
    <row r="3407" spans="1:14" ht="15" x14ac:dyDescent="0.25">
      <c r="A3407" s="1">
        <v>3398</v>
      </c>
      <c r="B3407" s="1" t="s">
        <v>447</v>
      </c>
      <c r="C3407" s="32">
        <v>8.6400000000000005E-2</v>
      </c>
      <c r="D3407" s="1">
        <v>18000</v>
      </c>
      <c r="E3407" s="1"/>
      <c r="F3407" s="1">
        <v>200.25</v>
      </c>
      <c r="G3407" s="1">
        <v>18000</v>
      </c>
      <c r="H3407" s="5">
        <f t="shared" si="70"/>
        <v>0</v>
      </c>
      <c r="I3407" s="6"/>
      <c r="J3407" s="43"/>
      <c r="K3407" s="51"/>
      <c r="L3407" s="86"/>
      <c r="M3407" s="45"/>
      <c r="N3407" s="45"/>
    </row>
    <row r="3408" spans="1:14" ht="15" x14ac:dyDescent="0.25">
      <c r="A3408" s="1">
        <v>3399</v>
      </c>
      <c r="B3408" s="1" t="s">
        <v>447</v>
      </c>
      <c r="C3408" s="32">
        <v>6.5000000000000002E-2</v>
      </c>
      <c r="D3408" s="1">
        <v>10000</v>
      </c>
      <c r="E3408" s="1"/>
      <c r="F3408" s="1">
        <v>111.41</v>
      </c>
      <c r="G3408" s="1">
        <v>10000</v>
      </c>
      <c r="H3408" s="5">
        <f t="shared" si="70"/>
        <v>0</v>
      </c>
      <c r="I3408" s="6"/>
      <c r="J3408" s="43"/>
      <c r="K3408" s="51"/>
      <c r="L3408" s="86"/>
      <c r="M3408" s="45"/>
      <c r="N3408" s="45"/>
    </row>
    <row r="3409" spans="1:14" ht="15" x14ac:dyDescent="0.25">
      <c r="A3409" s="1">
        <v>3400</v>
      </c>
      <c r="B3409" s="1" t="s">
        <v>447</v>
      </c>
      <c r="C3409" s="32">
        <v>6423</v>
      </c>
      <c r="D3409" s="1">
        <v>10000</v>
      </c>
      <c r="E3409" s="1"/>
      <c r="F3409" s="1">
        <v>111.41</v>
      </c>
      <c r="G3409" s="1">
        <v>10000</v>
      </c>
      <c r="H3409" s="5">
        <f t="shared" si="70"/>
        <v>0</v>
      </c>
      <c r="I3409" s="6"/>
      <c r="J3409" s="43"/>
      <c r="K3409" s="51"/>
      <c r="L3409" s="86"/>
      <c r="M3409" s="45"/>
      <c r="N3409" s="45"/>
    </row>
    <row r="3410" spans="1:14" ht="15" x14ac:dyDescent="0.25">
      <c r="A3410" s="1">
        <v>3401</v>
      </c>
      <c r="B3410" s="1" t="s">
        <v>447</v>
      </c>
      <c r="C3410" s="32">
        <v>6014</v>
      </c>
      <c r="D3410" s="1">
        <v>20000</v>
      </c>
      <c r="E3410" s="1"/>
      <c r="F3410" s="1">
        <v>222.82</v>
      </c>
      <c r="G3410" s="1">
        <v>20000</v>
      </c>
      <c r="H3410" s="5">
        <f t="shared" si="70"/>
        <v>0</v>
      </c>
      <c r="I3410" s="6"/>
      <c r="J3410" s="43"/>
      <c r="K3410" s="51"/>
      <c r="L3410" s="86"/>
      <c r="M3410" s="45"/>
      <c r="N3410" s="45"/>
    </row>
    <row r="3411" spans="1:14" ht="15" x14ac:dyDescent="0.25">
      <c r="A3411" s="1">
        <v>3402</v>
      </c>
      <c r="B3411" s="1" t="s">
        <v>447</v>
      </c>
      <c r="C3411" s="32">
        <v>9508</v>
      </c>
      <c r="D3411" s="1">
        <v>20000</v>
      </c>
      <c r="E3411" s="1"/>
      <c r="F3411" s="1">
        <v>222.82</v>
      </c>
      <c r="G3411" s="1">
        <v>20000</v>
      </c>
      <c r="H3411" s="5">
        <f t="shared" si="70"/>
        <v>0</v>
      </c>
      <c r="I3411" s="6"/>
      <c r="J3411" s="43"/>
      <c r="K3411" s="51"/>
      <c r="L3411" s="86"/>
      <c r="M3411" s="45"/>
      <c r="N3411" s="45"/>
    </row>
    <row r="3412" spans="1:14" ht="15" x14ac:dyDescent="0.25">
      <c r="A3412" s="1">
        <v>3403</v>
      </c>
      <c r="B3412" s="1" t="s">
        <v>447</v>
      </c>
      <c r="C3412" s="32">
        <v>4148</v>
      </c>
      <c r="D3412" s="1">
        <v>30000</v>
      </c>
      <c r="E3412" s="1"/>
      <c r="F3412" s="1">
        <v>334.22</v>
      </c>
      <c r="G3412" s="1">
        <v>30000</v>
      </c>
      <c r="H3412" s="5">
        <f t="shared" si="70"/>
        <v>0</v>
      </c>
      <c r="I3412" s="6"/>
      <c r="J3412" s="43"/>
      <c r="K3412" s="51"/>
      <c r="L3412" s="86"/>
      <c r="M3412" s="45"/>
      <c r="N3412" s="45"/>
    </row>
    <row r="3413" spans="1:14" ht="15" x14ac:dyDescent="0.25">
      <c r="A3413" s="1">
        <v>3404</v>
      </c>
      <c r="B3413" s="1" t="s">
        <v>447</v>
      </c>
      <c r="C3413" s="32">
        <v>7888</v>
      </c>
      <c r="D3413" s="1">
        <v>25000</v>
      </c>
      <c r="E3413" s="1"/>
      <c r="F3413" s="1">
        <v>278.52</v>
      </c>
      <c r="G3413" s="1">
        <v>25000</v>
      </c>
      <c r="H3413" s="5">
        <f t="shared" si="70"/>
        <v>0</v>
      </c>
      <c r="I3413" s="6"/>
      <c r="J3413" s="43"/>
      <c r="K3413" s="51"/>
      <c r="L3413" s="86"/>
      <c r="M3413" s="45"/>
      <c r="N3413" s="45"/>
    </row>
    <row r="3414" spans="1:14" ht="15" x14ac:dyDescent="0.25">
      <c r="A3414" s="1">
        <v>3405</v>
      </c>
      <c r="B3414" s="1" t="s">
        <v>447</v>
      </c>
      <c r="C3414" s="32">
        <v>1403</v>
      </c>
      <c r="D3414" s="1">
        <v>25000</v>
      </c>
      <c r="E3414" s="1"/>
      <c r="F3414" s="1">
        <v>278.52</v>
      </c>
      <c r="G3414" s="1">
        <v>25000</v>
      </c>
      <c r="H3414" s="5">
        <f t="shared" si="70"/>
        <v>0</v>
      </c>
      <c r="I3414" s="6"/>
      <c r="J3414" s="43"/>
      <c r="K3414" s="51"/>
      <c r="L3414" s="86"/>
      <c r="M3414" s="45"/>
      <c r="N3414" s="45"/>
    </row>
    <row r="3415" spans="1:14" ht="15" x14ac:dyDescent="0.25">
      <c r="A3415" s="1">
        <v>3406</v>
      </c>
      <c r="B3415" s="1" t="s">
        <v>447</v>
      </c>
      <c r="C3415" s="32">
        <v>3963</v>
      </c>
      <c r="D3415" s="1">
        <v>15000</v>
      </c>
      <c r="E3415" s="1"/>
      <c r="F3415" s="1">
        <v>167.11</v>
      </c>
      <c r="G3415" s="1">
        <v>15000</v>
      </c>
      <c r="H3415" s="5">
        <f t="shared" si="70"/>
        <v>0</v>
      </c>
      <c r="I3415" s="6"/>
      <c r="J3415" s="43"/>
      <c r="K3415" s="51"/>
      <c r="L3415" s="86"/>
      <c r="M3415" s="45"/>
      <c r="N3415" s="45"/>
    </row>
    <row r="3416" spans="1:14" ht="15" x14ac:dyDescent="0.25">
      <c r="A3416" s="1">
        <v>3407</v>
      </c>
      <c r="B3416" s="1" t="s">
        <v>447</v>
      </c>
      <c r="C3416" s="32">
        <v>1059</v>
      </c>
      <c r="D3416" s="1">
        <v>15000</v>
      </c>
      <c r="E3416" s="1"/>
      <c r="F3416" s="1">
        <v>167.11</v>
      </c>
      <c r="G3416" s="1">
        <v>15000</v>
      </c>
      <c r="H3416" s="5">
        <f t="shared" si="70"/>
        <v>0</v>
      </c>
      <c r="I3416" s="6"/>
      <c r="J3416" s="43"/>
      <c r="K3416" s="51"/>
      <c r="L3416" s="86"/>
      <c r="M3416" s="45"/>
      <c r="N3416" s="45"/>
    </row>
    <row r="3417" spans="1:14" ht="15" x14ac:dyDescent="0.25">
      <c r="A3417" s="1">
        <v>3408</v>
      </c>
      <c r="B3417" s="1" t="s">
        <v>447</v>
      </c>
      <c r="C3417" s="32">
        <v>4.7000000000000002E-3</v>
      </c>
      <c r="D3417" s="1">
        <v>15000</v>
      </c>
      <c r="E3417" s="1"/>
      <c r="F3417" s="1">
        <v>167.11</v>
      </c>
      <c r="G3417" s="1">
        <v>15000</v>
      </c>
      <c r="H3417" s="5">
        <f t="shared" ref="H3417:H3480" si="71">D3417-G3417</f>
        <v>0</v>
      </c>
      <c r="I3417" s="6"/>
      <c r="J3417" s="43"/>
      <c r="K3417" s="51"/>
      <c r="L3417" s="86"/>
      <c r="M3417" s="45"/>
      <c r="N3417" s="45"/>
    </row>
    <row r="3418" spans="1:14" ht="15" x14ac:dyDescent="0.25">
      <c r="A3418" s="1">
        <v>3409</v>
      </c>
      <c r="B3418" s="1" t="s">
        <v>447</v>
      </c>
      <c r="C3418" s="32">
        <v>4751</v>
      </c>
      <c r="D3418" s="1">
        <v>22000</v>
      </c>
      <c r="E3418" s="1"/>
      <c r="F3418" s="1">
        <v>245.28</v>
      </c>
      <c r="G3418" s="1">
        <v>22000</v>
      </c>
      <c r="H3418" s="5">
        <f t="shared" si="71"/>
        <v>0</v>
      </c>
      <c r="I3418" s="6"/>
      <c r="J3418" s="43"/>
      <c r="K3418" s="51"/>
      <c r="L3418" s="86"/>
      <c r="M3418" s="45"/>
      <c r="N3418" s="45"/>
    </row>
    <row r="3419" spans="1:14" ht="15" x14ac:dyDescent="0.25">
      <c r="A3419" s="1">
        <v>3410</v>
      </c>
      <c r="B3419" s="1" t="s">
        <v>447</v>
      </c>
      <c r="C3419" s="32">
        <v>9486</v>
      </c>
      <c r="D3419" s="1">
        <v>18000</v>
      </c>
      <c r="E3419" s="1"/>
      <c r="F3419" s="1">
        <v>200.53</v>
      </c>
      <c r="G3419" s="1">
        <v>18000</v>
      </c>
      <c r="H3419" s="5">
        <f t="shared" si="71"/>
        <v>0</v>
      </c>
      <c r="I3419" s="6"/>
      <c r="J3419" s="43"/>
      <c r="K3419" s="51"/>
      <c r="L3419" s="86"/>
      <c r="M3419" s="45"/>
      <c r="N3419" s="45"/>
    </row>
    <row r="3420" spans="1:14" ht="15" x14ac:dyDescent="0.25">
      <c r="A3420" s="1">
        <v>3411</v>
      </c>
      <c r="B3420" s="1" t="s">
        <v>447</v>
      </c>
      <c r="C3420" s="32">
        <v>1816</v>
      </c>
      <c r="D3420" s="1">
        <v>23000</v>
      </c>
      <c r="E3420" s="1"/>
      <c r="F3420" s="1">
        <v>218.25</v>
      </c>
      <c r="G3420" s="1">
        <v>23000</v>
      </c>
      <c r="H3420" s="5">
        <f t="shared" si="71"/>
        <v>0</v>
      </c>
      <c r="I3420" s="6"/>
      <c r="J3420" s="43"/>
      <c r="K3420" s="51"/>
      <c r="L3420" s="86"/>
      <c r="M3420" s="45"/>
      <c r="N3420" s="45"/>
    </row>
    <row r="3421" spans="1:14" ht="15" x14ac:dyDescent="0.25">
      <c r="A3421" s="1">
        <v>3412</v>
      </c>
      <c r="B3421" s="1" t="s">
        <v>447</v>
      </c>
      <c r="C3421" s="32">
        <v>5252</v>
      </c>
      <c r="D3421" s="1">
        <v>16000</v>
      </c>
      <c r="E3421" s="1"/>
      <c r="F3421" s="1">
        <v>178.22</v>
      </c>
      <c r="G3421" s="1">
        <v>16000</v>
      </c>
      <c r="H3421" s="5">
        <f t="shared" si="71"/>
        <v>0</v>
      </c>
      <c r="I3421" s="6"/>
      <c r="J3421" s="43"/>
      <c r="K3421" s="51"/>
      <c r="L3421" s="86"/>
      <c r="M3421" s="45"/>
      <c r="N3421" s="45"/>
    </row>
    <row r="3422" spans="1:14" ht="15" x14ac:dyDescent="0.25">
      <c r="A3422" s="1">
        <v>3413</v>
      </c>
      <c r="B3422" s="1" t="s">
        <v>447</v>
      </c>
      <c r="C3422" s="32">
        <v>9767</v>
      </c>
      <c r="D3422" s="1">
        <v>13000</v>
      </c>
      <c r="E3422" s="1"/>
      <c r="F3422" s="1">
        <v>144.13</v>
      </c>
      <c r="G3422" s="1">
        <v>13000</v>
      </c>
      <c r="H3422" s="5">
        <f t="shared" si="71"/>
        <v>0</v>
      </c>
      <c r="I3422" s="6"/>
      <c r="J3422" s="43"/>
      <c r="K3422" s="51"/>
      <c r="L3422" s="86"/>
      <c r="M3422" s="45"/>
      <c r="N3422" s="45"/>
    </row>
    <row r="3423" spans="1:14" ht="15" x14ac:dyDescent="0.25">
      <c r="A3423" s="1">
        <v>3414</v>
      </c>
      <c r="B3423" s="1" t="s">
        <v>447</v>
      </c>
      <c r="C3423" s="32">
        <v>3398</v>
      </c>
      <c r="D3423" s="1">
        <v>13000</v>
      </c>
      <c r="E3423" s="1"/>
      <c r="F3423" s="1">
        <v>144.13</v>
      </c>
      <c r="G3423" s="1">
        <v>13000</v>
      </c>
      <c r="H3423" s="5">
        <f t="shared" si="71"/>
        <v>0</v>
      </c>
      <c r="I3423" s="6"/>
      <c r="J3423" s="43"/>
      <c r="K3423" s="51"/>
      <c r="L3423" s="86">
        <f>2011652-2006243</f>
        <v>5409</v>
      </c>
      <c r="M3423" s="45" t="s">
        <v>446</v>
      </c>
      <c r="N3423" s="45">
        <f>5409-4788</f>
        <v>621</v>
      </c>
    </row>
    <row r="3424" spans="1:14" ht="15" x14ac:dyDescent="0.25">
      <c r="A3424" s="1">
        <v>3415</v>
      </c>
      <c r="B3424" s="1" t="s">
        <v>448</v>
      </c>
      <c r="C3424" s="32">
        <v>3855</v>
      </c>
      <c r="D3424" s="1">
        <v>15000</v>
      </c>
      <c r="E3424" s="1"/>
      <c r="F3424" s="1">
        <v>167.11</v>
      </c>
      <c r="G3424" s="1">
        <v>15000</v>
      </c>
      <c r="H3424" s="5">
        <f t="shared" si="71"/>
        <v>0</v>
      </c>
      <c r="I3424" s="6"/>
      <c r="J3424" s="43"/>
      <c r="K3424" s="51"/>
      <c r="L3424" s="86"/>
      <c r="M3424" s="45"/>
      <c r="N3424" s="45"/>
    </row>
    <row r="3425" spans="1:14" ht="15" x14ac:dyDescent="0.25">
      <c r="A3425" s="1">
        <v>3416</v>
      </c>
      <c r="B3425" s="1" t="s">
        <v>448</v>
      </c>
      <c r="C3425" s="32">
        <v>3197</v>
      </c>
      <c r="D3425" s="1">
        <v>15000</v>
      </c>
      <c r="E3425" s="1"/>
      <c r="F3425" s="1">
        <v>167.11</v>
      </c>
      <c r="G3425" s="1">
        <v>15000</v>
      </c>
      <c r="H3425" s="5">
        <f t="shared" si="71"/>
        <v>0</v>
      </c>
      <c r="I3425" s="6"/>
      <c r="J3425" s="43"/>
      <c r="K3425" s="51"/>
      <c r="L3425" s="86"/>
      <c r="M3425" s="45"/>
      <c r="N3425" s="45"/>
    </row>
    <row r="3426" spans="1:14" ht="15" x14ac:dyDescent="0.25">
      <c r="A3426" s="1">
        <v>3417</v>
      </c>
      <c r="B3426" s="1" t="s">
        <v>448</v>
      </c>
      <c r="C3426" s="32">
        <v>1046</v>
      </c>
      <c r="D3426" s="1">
        <v>13000</v>
      </c>
      <c r="E3426" s="1"/>
      <c r="F3426" s="1">
        <v>144.81</v>
      </c>
      <c r="G3426" s="1">
        <v>13000</v>
      </c>
      <c r="H3426" s="5">
        <f t="shared" si="71"/>
        <v>0</v>
      </c>
      <c r="I3426" s="6"/>
      <c r="J3426" s="43"/>
      <c r="K3426" s="51"/>
      <c r="L3426" s="86"/>
      <c r="M3426" s="45"/>
      <c r="N3426" s="45"/>
    </row>
    <row r="3427" spans="1:14" ht="15" x14ac:dyDescent="0.25">
      <c r="A3427" s="1">
        <v>3418</v>
      </c>
      <c r="B3427" s="1" t="s">
        <v>448</v>
      </c>
      <c r="C3427" s="32">
        <v>4032</v>
      </c>
      <c r="D3427" s="1">
        <v>24000</v>
      </c>
      <c r="E3427" s="1"/>
      <c r="F3427" s="1">
        <v>267.52</v>
      </c>
      <c r="G3427" s="1">
        <v>24000</v>
      </c>
      <c r="H3427" s="5">
        <f t="shared" si="71"/>
        <v>0</v>
      </c>
      <c r="I3427" s="6"/>
      <c r="J3427" s="43"/>
      <c r="K3427" s="51"/>
      <c r="L3427" s="86"/>
      <c r="M3427" s="45"/>
      <c r="N3427" s="45"/>
    </row>
    <row r="3428" spans="1:14" ht="15" x14ac:dyDescent="0.25">
      <c r="A3428" s="1">
        <v>3419</v>
      </c>
      <c r="B3428" s="1" t="s">
        <v>448</v>
      </c>
      <c r="C3428" s="32">
        <v>4.1500000000000002E-2</v>
      </c>
      <c r="D3428" s="1">
        <v>8000</v>
      </c>
      <c r="E3428" s="1"/>
      <c r="F3428" s="1">
        <v>89.99</v>
      </c>
      <c r="G3428" s="1">
        <v>8000</v>
      </c>
      <c r="H3428" s="5">
        <f t="shared" si="71"/>
        <v>0</v>
      </c>
      <c r="I3428" s="6"/>
      <c r="J3428" s="43"/>
      <c r="K3428" s="51"/>
      <c r="L3428" s="86"/>
      <c r="M3428" s="45"/>
      <c r="N3428" s="45"/>
    </row>
    <row r="3429" spans="1:14" ht="15" x14ac:dyDescent="0.25">
      <c r="A3429" s="1">
        <v>3420</v>
      </c>
      <c r="B3429" s="1" t="s">
        <v>448</v>
      </c>
      <c r="C3429" s="32">
        <v>5.1999999999999998E-3</v>
      </c>
      <c r="D3429" s="1">
        <v>16000</v>
      </c>
      <c r="E3429" s="1"/>
      <c r="F3429" s="1">
        <v>178.22</v>
      </c>
      <c r="G3429" s="1">
        <v>16000</v>
      </c>
      <c r="H3429" s="5">
        <f t="shared" si="71"/>
        <v>0</v>
      </c>
      <c r="I3429" s="6"/>
      <c r="J3429" s="43"/>
      <c r="K3429" s="51"/>
      <c r="L3429" s="86"/>
      <c r="M3429" s="45"/>
      <c r="N3429" s="45"/>
    </row>
    <row r="3430" spans="1:14" ht="15" x14ac:dyDescent="0.25">
      <c r="A3430" s="1">
        <v>3421</v>
      </c>
      <c r="B3430" s="1" t="s">
        <v>448</v>
      </c>
      <c r="C3430" s="32" t="s">
        <v>30</v>
      </c>
      <c r="D3430" s="1">
        <v>5000</v>
      </c>
      <c r="E3430" s="1"/>
      <c r="F3430" s="1">
        <v>55.12</v>
      </c>
      <c r="G3430" s="1">
        <v>5000</v>
      </c>
      <c r="H3430" s="5">
        <f t="shared" si="71"/>
        <v>0</v>
      </c>
      <c r="I3430" s="6"/>
      <c r="J3430" s="43"/>
      <c r="K3430" s="51"/>
      <c r="L3430" s="86"/>
      <c r="M3430" s="45"/>
      <c r="N3430" s="45"/>
    </row>
    <row r="3431" spans="1:14" ht="15" x14ac:dyDescent="0.25">
      <c r="A3431" s="1">
        <v>3422</v>
      </c>
      <c r="B3431" s="1" t="s">
        <v>448</v>
      </c>
      <c r="C3431" s="32" t="s">
        <v>63</v>
      </c>
      <c r="D3431" s="1">
        <v>3500</v>
      </c>
      <c r="E3431" s="1"/>
      <c r="F3431" s="1">
        <v>38.15</v>
      </c>
      <c r="G3431" s="1">
        <v>3500</v>
      </c>
      <c r="H3431" s="5">
        <f t="shared" si="71"/>
        <v>0</v>
      </c>
      <c r="I3431" s="6"/>
      <c r="J3431" s="43"/>
      <c r="K3431" s="51"/>
      <c r="L3431" s="86"/>
      <c r="M3431" s="45"/>
      <c r="N3431" s="45"/>
    </row>
    <row r="3432" spans="1:14" ht="15" x14ac:dyDescent="0.25">
      <c r="A3432" s="1">
        <v>3423</v>
      </c>
      <c r="B3432" s="1" t="s">
        <v>448</v>
      </c>
      <c r="C3432" s="32" t="s">
        <v>66</v>
      </c>
      <c r="D3432" s="1">
        <v>100</v>
      </c>
      <c r="E3432" s="1"/>
      <c r="F3432" s="1">
        <v>1.05</v>
      </c>
      <c r="G3432" s="1">
        <v>100</v>
      </c>
      <c r="H3432" s="5">
        <f t="shared" si="71"/>
        <v>0</v>
      </c>
      <c r="I3432" s="6"/>
      <c r="J3432" s="43"/>
      <c r="K3432" s="51"/>
      <c r="L3432" s="86"/>
      <c r="M3432" s="45"/>
      <c r="N3432" s="45"/>
    </row>
    <row r="3433" spans="1:14" ht="15" x14ac:dyDescent="0.25">
      <c r="A3433" s="1">
        <v>3424</v>
      </c>
      <c r="B3433" s="1" t="s">
        <v>448</v>
      </c>
      <c r="C3433" s="32" t="s">
        <v>30</v>
      </c>
      <c r="D3433" s="1">
        <v>5000</v>
      </c>
      <c r="E3433" s="1"/>
      <c r="F3433" s="1">
        <v>55.13</v>
      </c>
      <c r="G3433" s="1">
        <v>5000</v>
      </c>
      <c r="H3433" s="5">
        <f t="shared" si="71"/>
        <v>0</v>
      </c>
      <c r="I3433" s="6"/>
      <c r="J3433" s="43"/>
      <c r="K3433" s="51"/>
      <c r="L3433" s="86"/>
      <c r="M3433" s="45"/>
      <c r="N3433" s="45"/>
    </row>
    <row r="3434" spans="1:14" ht="15" x14ac:dyDescent="0.25">
      <c r="A3434" s="1">
        <v>3425</v>
      </c>
      <c r="B3434" s="1" t="s">
        <v>448</v>
      </c>
      <c r="C3434" s="32">
        <v>2779</v>
      </c>
      <c r="D3434" s="1">
        <v>20000</v>
      </c>
      <c r="E3434" s="1"/>
      <c r="F3434" s="1">
        <v>222.82</v>
      </c>
      <c r="G3434" s="1">
        <v>20000</v>
      </c>
      <c r="H3434" s="5">
        <f t="shared" si="71"/>
        <v>0</v>
      </c>
      <c r="I3434" s="6"/>
      <c r="J3434" s="43"/>
      <c r="K3434" s="51"/>
      <c r="L3434" s="86"/>
      <c r="M3434" s="45"/>
      <c r="N3434" s="45"/>
    </row>
    <row r="3435" spans="1:14" ht="15" x14ac:dyDescent="0.25">
      <c r="A3435" s="1">
        <v>3426</v>
      </c>
      <c r="B3435" s="1" t="s">
        <v>448</v>
      </c>
      <c r="C3435" s="32">
        <v>5777</v>
      </c>
      <c r="D3435" s="1">
        <v>20000</v>
      </c>
      <c r="E3435" s="1"/>
      <c r="F3435" s="1">
        <v>222.82</v>
      </c>
      <c r="G3435" s="1">
        <v>20000</v>
      </c>
      <c r="H3435" s="5">
        <f t="shared" si="71"/>
        <v>0</v>
      </c>
      <c r="I3435" s="6"/>
      <c r="J3435" s="43"/>
      <c r="K3435" s="51"/>
      <c r="L3435" s="86"/>
      <c r="M3435" s="45"/>
      <c r="N3435" s="45"/>
    </row>
    <row r="3436" spans="1:14" ht="15" x14ac:dyDescent="0.25">
      <c r="A3436" s="1">
        <v>3427</v>
      </c>
      <c r="B3436" s="1" t="s">
        <v>448</v>
      </c>
      <c r="C3436" s="32">
        <v>3273</v>
      </c>
      <c r="D3436" s="1">
        <v>30000</v>
      </c>
      <c r="E3436" s="1"/>
      <c r="F3436" s="1">
        <v>334.25</v>
      </c>
      <c r="G3436" s="1">
        <v>30000</v>
      </c>
      <c r="H3436" s="5">
        <f t="shared" si="71"/>
        <v>0</v>
      </c>
      <c r="I3436" s="6"/>
      <c r="J3436" s="43"/>
      <c r="K3436" s="51"/>
      <c r="L3436" s="86"/>
      <c r="M3436" s="45"/>
      <c r="N3436" s="45"/>
    </row>
    <row r="3437" spans="1:14" ht="15" x14ac:dyDescent="0.25">
      <c r="A3437" s="1">
        <v>3428</v>
      </c>
      <c r="B3437" s="1" t="s">
        <v>448</v>
      </c>
      <c r="C3437" s="32">
        <v>2593</v>
      </c>
      <c r="D3437" s="1">
        <v>25000</v>
      </c>
      <c r="E3437" s="1"/>
      <c r="F3437" s="1">
        <v>278.22000000000003</v>
      </c>
      <c r="G3437" s="1">
        <v>25000</v>
      </c>
      <c r="H3437" s="5">
        <f t="shared" si="71"/>
        <v>0</v>
      </c>
      <c r="I3437" s="6"/>
      <c r="J3437" s="43"/>
      <c r="K3437" s="51"/>
      <c r="L3437" s="86"/>
      <c r="M3437" s="45"/>
      <c r="N3437" s="45"/>
    </row>
    <row r="3438" spans="1:14" ht="15" x14ac:dyDescent="0.25">
      <c r="A3438" s="1">
        <v>3429</v>
      </c>
      <c r="B3438" s="1" t="s">
        <v>448</v>
      </c>
      <c r="C3438" s="32">
        <v>3537</v>
      </c>
      <c r="D3438" s="1">
        <v>26000</v>
      </c>
      <c r="E3438" s="1"/>
      <c r="F3438" s="1">
        <v>289.25</v>
      </c>
      <c r="G3438" s="1">
        <v>26000</v>
      </c>
      <c r="H3438" s="5">
        <f t="shared" si="71"/>
        <v>0</v>
      </c>
      <c r="I3438" s="6"/>
      <c r="J3438" s="43"/>
      <c r="K3438" s="51"/>
      <c r="L3438" s="86"/>
      <c r="M3438" s="45"/>
      <c r="N3438" s="45"/>
    </row>
    <row r="3439" spans="1:14" ht="15" x14ac:dyDescent="0.25">
      <c r="A3439" s="1">
        <v>3430</v>
      </c>
      <c r="B3439" s="1" t="s">
        <v>448</v>
      </c>
      <c r="C3439" s="32">
        <v>4131</v>
      </c>
      <c r="D3439" s="1">
        <v>22000</v>
      </c>
      <c r="E3439" s="1"/>
      <c r="F3439" s="1">
        <v>245.28</v>
      </c>
      <c r="G3439" s="1">
        <v>22000</v>
      </c>
      <c r="H3439" s="5">
        <f t="shared" si="71"/>
        <v>0</v>
      </c>
      <c r="I3439" s="6"/>
      <c r="J3439" s="43"/>
      <c r="K3439" s="51"/>
      <c r="L3439" s="86"/>
      <c r="M3439" s="45"/>
      <c r="N3439" s="45"/>
    </row>
    <row r="3440" spans="1:14" ht="15" x14ac:dyDescent="0.25">
      <c r="A3440" s="1">
        <v>3431</v>
      </c>
      <c r="B3440" s="1" t="s">
        <v>448</v>
      </c>
      <c r="C3440" s="32">
        <v>2740</v>
      </c>
      <c r="D3440" s="1">
        <v>17000</v>
      </c>
      <c r="E3440" s="1"/>
      <c r="F3440" s="1">
        <v>189.33</v>
      </c>
      <c r="G3440" s="1">
        <v>17000</v>
      </c>
      <c r="H3440" s="5">
        <f t="shared" si="71"/>
        <v>0</v>
      </c>
      <c r="I3440" s="6"/>
      <c r="J3440" s="43"/>
      <c r="K3440" s="51"/>
      <c r="L3440" s="86"/>
      <c r="M3440" s="45"/>
      <c r="N3440" s="45"/>
    </row>
    <row r="3441" spans="1:14" ht="15" x14ac:dyDescent="0.25">
      <c r="A3441" s="1">
        <v>3432</v>
      </c>
      <c r="B3441" s="1" t="s">
        <v>448</v>
      </c>
      <c r="C3441" s="32">
        <v>1781</v>
      </c>
      <c r="D3441" s="1">
        <v>27000</v>
      </c>
      <c r="E3441" s="1"/>
      <c r="F3441" s="1">
        <v>300.27999999999997</v>
      </c>
      <c r="G3441" s="1">
        <v>27000</v>
      </c>
      <c r="H3441" s="5">
        <f t="shared" si="71"/>
        <v>0</v>
      </c>
      <c r="I3441" s="6"/>
      <c r="J3441" s="43"/>
      <c r="K3441" s="51"/>
      <c r="L3441" s="86"/>
      <c r="M3441" s="45"/>
      <c r="N3441" s="45"/>
    </row>
    <row r="3442" spans="1:14" ht="15" x14ac:dyDescent="0.25">
      <c r="A3442" s="1">
        <v>3433</v>
      </c>
      <c r="B3442" s="1" t="s">
        <v>448</v>
      </c>
      <c r="C3442" s="32">
        <v>5616</v>
      </c>
      <c r="D3442" s="1">
        <v>28000</v>
      </c>
      <c r="E3442" s="1"/>
      <c r="F3442" s="1">
        <v>311.25</v>
      </c>
      <c r="G3442" s="1">
        <v>28000</v>
      </c>
      <c r="H3442" s="5">
        <f t="shared" si="71"/>
        <v>0</v>
      </c>
      <c r="I3442" s="6"/>
      <c r="J3442" s="43"/>
      <c r="K3442" s="51"/>
      <c r="L3442" s="86"/>
      <c r="M3442" s="45"/>
      <c r="N3442" s="45"/>
    </row>
    <row r="3443" spans="1:14" ht="15" x14ac:dyDescent="0.25">
      <c r="A3443" s="1">
        <v>3434</v>
      </c>
      <c r="B3443" s="1" t="s">
        <v>448</v>
      </c>
      <c r="C3443" s="32">
        <v>8701</v>
      </c>
      <c r="D3443" s="1">
        <v>28000</v>
      </c>
      <c r="E3443" s="1"/>
      <c r="F3443" s="1">
        <v>311.25</v>
      </c>
      <c r="G3443" s="1">
        <v>28000</v>
      </c>
      <c r="H3443" s="5">
        <f t="shared" si="71"/>
        <v>0</v>
      </c>
      <c r="I3443" s="6"/>
      <c r="J3443" s="43"/>
      <c r="K3443" s="51"/>
      <c r="L3443" s="86"/>
      <c r="M3443" s="45"/>
      <c r="N3443" s="45"/>
    </row>
    <row r="3444" spans="1:14" ht="15" x14ac:dyDescent="0.25">
      <c r="A3444" s="1">
        <v>3435</v>
      </c>
      <c r="B3444" s="1" t="s">
        <v>448</v>
      </c>
      <c r="C3444" s="32">
        <v>2.7199999999999998E-2</v>
      </c>
      <c r="D3444" s="1">
        <v>28000</v>
      </c>
      <c r="E3444" s="1"/>
      <c r="F3444" s="1">
        <v>311.25</v>
      </c>
      <c r="G3444" s="1">
        <v>28000</v>
      </c>
      <c r="H3444" s="5">
        <f t="shared" si="71"/>
        <v>0</v>
      </c>
      <c r="I3444" s="6"/>
      <c r="J3444" s="43"/>
      <c r="K3444" s="51"/>
      <c r="L3444" s="86"/>
      <c r="M3444" s="45"/>
      <c r="N3444" s="45"/>
    </row>
    <row r="3445" spans="1:14" ht="15" x14ac:dyDescent="0.25">
      <c r="A3445" s="1">
        <v>3436</v>
      </c>
      <c r="B3445" s="1" t="s">
        <v>448</v>
      </c>
      <c r="C3445" s="32">
        <v>2995</v>
      </c>
      <c r="D3445" s="1">
        <v>14000</v>
      </c>
      <c r="E3445" s="1"/>
      <c r="F3445" s="1">
        <v>155.97</v>
      </c>
      <c r="G3445" s="1">
        <v>14000</v>
      </c>
      <c r="H3445" s="5">
        <f t="shared" si="71"/>
        <v>0</v>
      </c>
      <c r="I3445" s="6"/>
      <c r="J3445" s="43"/>
      <c r="K3445" s="51"/>
      <c r="L3445" s="86"/>
      <c r="M3445" s="45"/>
      <c r="N3445" s="45"/>
    </row>
    <row r="3446" spans="1:14" ht="15" x14ac:dyDescent="0.25">
      <c r="A3446" s="1">
        <v>3437</v>
      </c>
      <c r="B3446" s="1" t="s">
        <v>448</v>
      </c>
      <c r="C3446" s="32">
        <v>1606</v>
      </c>
      <c r="D3446" s="1">
        <v>29000</v>
      </c>
      <c r="E3446" s="1"/>
      <c r="F3446" s="1">
        <v>323.25</v>
      </c>
      <c r="G3446" s="1">
        <v>29000</v>
      </c>
      <c r="H3446" s="5">
        <f t="shared" si="71"/>
        <v>0</v>
      </c>
      <c r="I3446" s="6"/>
      <c r="J3446" s="43"/>
      <c r="K3446" s="51"/>
      <c r="L3446" s="86"/>
      <c r="M3446" s="45"/>
      <c r="N3446" s="45"/>
    </row>
    <row r="3447" spans="1:14" ht="15" x14ac:dyDescent="0.25">
      <c r="A3447" s="1">
        <v>3438</v>
      </c>
      <c r="B3447" s="1" t="s">
        <v>448</v>
      </c>
      <c r="C3447" s="32">
        <v>8763</v>
      </c>
      <c r="D3447" s="1">
        <v>29000</v>
      </c>
      <c r="E3447" s="1"/>
      <c r="F3447" s="1">
        <v>323.25</v>
      </c>
      <c r="G3447" s="1">
        <v>29000</v>
      </c>
      <c r="H3447" s="5">
        <f t="shared" si="71"/>
        <v>0</v>
      </c>
      <c r="I3447" s="6"/>
      <c r="J3447" s="43"/>
      <c r="K3447" s="51"/>
      <c r="L3447" s="86">
        <f>1759252-1753843</f>
        <v>5409</v>
      </c>
      <c r="M3447" s="45" t="s">
        <v>446</v>
      </c>
      <c r="N3447" s="45">
        <f>5409-4788</f>
        <v>621</v>
      </c>
    </row>
    <row r="3448" spans="1:14" ht="15" x14ac:dyDescent="0.25">
      <c r="A3448" s="1">
        <v>3439</v>
      </c>
      <c r="B3448" s="1" t="s">
        <v>449</v>
      </c>
      <c r="C3448" s="32">
        <v>2152</v>
      </c>
      <c r="D3448" s="1">
        <v>15000</v>
      </c>
      <c r="E3448" s="1"/>
      <c r="F3448" s="1">
        <v>167.11</v>
      </c>
      <c r="G3448" s="1">
        <v>15000</v>
      </c>
      <c r="H3448" s="5">
        <f t="shared" si="71"/>
        <v>0</v>
      </c>
      <c r="I3448" s="6"/>
      <c r="J3448" s="43"/>
      <c r="K3448" s="51"/>
      <c r="L3448" s="86"/>
      <c r="M3448" s="45"/>
      <c r="N3448" s="45"/>
    </row>
    <row r="3449" spans="1:14" ht="15" x14ac:dyDescent="0.25">
      <c r="A3449" s="1">
        <v>3440</v>
      </c>
      <c r="B3449" s="1" t="s">
        <v>449</v>
      </c>
      <c r="C3449" s="32">
        <v>6214</v>
      </c>
      <c r="D3449" s="1">
        <v>20000</v>
      </c>
      <c r="E3449" s="1"/>
      <c r="F3449" s="1">
        <v>222.82</v>
      </c>
      <c r="G3449" s="1">
        <v>20000</v>
      </c>
      <c r="H3449" s="5">
        <f t="shared" si="71"/>
        <v>0</v>
      </c>
      <c r="I3449" s="6"/>
      <c r="J3449" s="43"/>
      <c r="K3449" s="51"/>
      <c r="L3449" s="86"/>
      <c r="M3449" s="45"/>
      <c r="N3449" s="45"/>
    </row>
    <row r="3450" spans="1:14" ht="15" x14ac:dyDescent="0.25">
      <c r="A3450" s="1">
        <v>3441</v>
      </c>
      <c r="B3450" s="1" t="s">
        <v>449</v>
      </c>
      <c r="C3450" s="32">
        <v>4966</v>
      </c>
      <c r="D3450" s="1">
        <v>6000</v>
      </c>
      <c r="E3450" s="1"/>
      <c r="F3450" s="1">
        <v>55.12</v>
      </c>
      <c r="G3450" s="1">
        <v>6000</v>
      </c>
      <c r="H3450" s="5">
        <f t="shared" si="71"/>
        <v>0</v>
      </c>
      <c r="I3450" s="6"/>
      <c r="J3450" s="43"/>
      <c r="K3450" s="51"/>
      <c r="L3450" s="86"/>
      <c r="M3450" s="45"/>
      <c r="N3450" s="45"/>
    </row>
    <row r="3451" spans="1:14" ht="15" x14ac:dyDescent="0.25">
      <c r="A3451" s="1">
        <v>3442</v>
      </c>
      <c r="B3451" s="1" t="s">
        <v>449</v>
      </c>
      <c r="C3451" s="32">
        <v>8586</v>
      </c>
      <c r="D3451" s="1">
        <v>16000</v>
      </c>
      <c r="E3451" s="1"/>
      <c r="F3451" s="1">
        <v>178.22</v>
      </c>
      <c r="G3451" s="1">
        <v>16000</v>
      </c>
      <c r="H3451" s="5">
        <f t="shared" si="71"/>
        <v>0</v>
      </c>
      <c r="I3451" s="6"/>
      <c r="J3451" s="43"/>
      <c r="K3451" s="51"/>
      <c r="L3451" s="86"/>
      <c r="M3451" s="45"/>
      <c r="N3451" s="45"/>
    </row>
    <row r="3452" spans="1:14" ht="15" x14ac:dyDescent="0.25">
      <c r="A3452" s="1">
        <v>3443</v>
      </c>
      <c r="B3452" s="1" t="s">
        <v>449</v>
      </c>
      <c r="C3452" s="32">
        <v>3.3099999999999997E-2</v>
      </c>
      <c r="D3452" s="1">
        <v>20000</v>
      </c>
      <c r="E3452" s="1"/>
      <c r="F3452" s="1">
        <v>222.82</v>
      </c>
      <c r="G3452" s="1">
        <v>20000</v>
      </c>
      <c r="H3452" s="5">
        <f t="shared" si="71"/>
        <v>0</v>
      </c>
      <c r="I3452" s="6"/>
      <c r="J3452" s="43"/>
      <c r="K3452" s="51"/>
      <c r="L3452" s="86"/>
      <c r="M3452" s="45"/>
      <c r="N3452" s="45"/>
    </row>
    <row r="3453" spans="1:14" ht="15" x14ac:dyDescent="0.25">
      <c r="A3453" s="1">
        <v>3444</v>
      </c>
      <c r="B3453" s="1" t="s">
        <v>449</v>
      </c>
      <c r="C3453" s="32">
        <v>6048</v>
      </c>
      <c r="D3453" s="1">
        <v>12000</v>
      </c>
      <c r="E3453" s="1"/>
      <c r="F3453" s="1">
        <v>133.25</v>
      </c>
      <c r="G3453" s="1">
        <v>12000</v>
      </c>
      <c r="H3453" s="5">
        <f t="shared" si="71"/>
        <v>0</v>
      </c>
      <c r="I3453" s="6"/>
      <c r="J3453" s="43"/>
      <c r="K3453" s="51"/>
      <c r="L3453" s="86"/>
      <c r="M3453" s="45"/>
      <c r="N3453" s="45"/>
    </row>
    <row r="3454" spans="1:14" ht="15" x14ac:dyDescent="0.25">
      <c r="A3454" s="1">
        <v>3445</v>
      </c>
      <c r="B3454" s="1" t="s">
        <v>449</v>
      </c>
      <c r="C3454" s="32">
        <v>1452</v>
      </c>
      <c r="D3454" s="1">
        <v>10000</v>
      </c>
      <c r="E3454" s="1"/>
      <c r="F3454" s="1">
        <v>111.15</v>
      </c>
      <c r="G3454" s="1">
        <v>10000</v>
      </c>
      <c r="H3454" s="5">
        <f t="shared" si="71"/>
        <v>0</v>
      </c>
      <c r="I3454" s="6"/>
      <c r="J3454" s="43"/>
      <c r="K3454" s="51"/>
      <c r="L3454" s="86"/>
      <c r="M3454" s="45"/>
      <c r="N3454" s="45"/>
    </row>
    <row r="3455" spans="1:14" ht="15" x14ac:dyDescent="0.25">
      <c r="A3455" s="1">
        <v>3446</v>
      </c>
      <c r="B3455" s="1" t="s">
        <v>449</v>
      </c>
      <c r="C3455" s="32">
        <v>2774</v>
      </c>
      <c r="D3455" s="1">
        <v>14000</v>
      </c>
      <c r="E3455" s="1"/>
      <c r="F3455" s="1">
        <v>155.94999999999999</v>
      </c>
      <c r="G3455" s="1">
        <v>14000</v>
      </c>
      <c r="H3455" s="5">
        <f t="shared" si="71"/>
        <v>0</v>
      </c>
      <c r="I3455" s="6"/>
      <c r="J3455" s="43"/>
      <c r="K3455" s="51"/>
      <c r="L3455" s="86"/>
      <c r="M3455" s="45"/>
      <c r="N3455" s="45"/>
    </row>
    <row r="3456" spans="1:14" ht="15" x14ac:dyDescent="0.25">
      <c r="A3456" s="1">
        <v>3447</v>
      </c>
      <c r="B3456" s="1" t="s">
        <v>449</v>
      </c>
      <c r="C3456" s="32">
        <v>9977</v>
      </c>
      <c r="D3456" s="1">
        <v>15000</v>
      </c>
      <c r="E3456" s="1"/>
      <c r="F3456" s="1">
        <v>167.11</v>
      </c>
      <c r="G3456" s="1">
        <v>15000</v>
      </c>
      <c r="H3456" s="5">
        <f t="shared" si="71"/>
        <v>0</v>
      </c>
      <c r="I3456" s="6"/>
      <c r="J3456" s="43"/>
      <c r="K3456" s="51"/>
      <c r="L3456" s="86"/>
      <c r="M3456" s="45"/>
      <c r="N3456" s="45"/>
    </row>
    <row r="3457" spans="1:14" ht="15" x14ac:dyDescent="0.25">
      <c r="A3457" s="1">
        <v>3448</v>
      </c>
      <c r="B3457" s="1" t="s">
        <v>449</v>
      </c>
      <c r="C3457" s="32">
        <v>6596</v>
      </c>
      <c r="D3457" s="1">
        <v>14000</v>
      </c>
      <c r="E3457" s="1"/>
      <c r="F3457" s="1">
        <v>155.94999999999999</v>
      </c>
      <c r="G3457" s="1">
        <v>14000</v>
      </c>
      <c r="H3457" s="5">
        <f t="shared" si="71"/>
        <v>0</v>
      </c>
      <c r="I3457" s="6"/>
      <c r="J3457" s="43"/>
      <c r="K3457" s="51"/>
      <c r="L3457" s="86"/>
      <c r="M3457" s="45"/>
      <c r="N3457" s="45"/>
    </row>
    <row r="3458" spans="1:14" ht="15" x14ac:dyDescent="0.25">
      <c r="A3458" s="1">
        <v>3449</v>
      </c>
      <c r="B3458" s="1" t="s">
        <v>449</v>
      </c>
      <c r="C3458" s="32">
        <v>7677</v>
      </c>
      <c r="D3458" s="1">
        <v>15000</v>
      </c>
      <c r="E3458" s="1"/>
      <c r="F3458" s="1">
        <v>167.11</v>
      </c>
      <c r="G3458" s="1">
        <v>15000</v>
      </c>
      <c r="H3458" s="5">
        <f t="shared" si="71"/>
        <v>0</v>
      </c>
      <c r="I3458" s="6"/>
      <c r="J3458" s="43"/>
      <c r="K3458" s="51"/>
      <c r="L3458" s="86"/>
      <c r="M3458" s="45"/>
      <c r="N3458" s="45"/>
    </row>
    <row r="3459" spans="1:14" ht="15" x14ac:dyDescent="0.25">
      <c r="A3459" s="1">
        <v>3450</v>
      </c>
      <c r="B3459" s="1" t="s">
        <v>449</v>
      </c>
      <c r="C3459" s="32">
        <v>6496</v>
      </c>
      <c r="D3459" s="1">
        <v>14000</v>
      </c>
      <c r="E3459" s="1"/>
      <c r="F3459" s="1">
        <v>155.94999999999999</v>
      </c>
      <c r="G3459" s="1">
        <v>14000</v>
      </c>
      <c r="H3459" s="5">
        <f t="shared" si="71"/>
        <v>0</v>
      </c>
      <c r="I3459" s="6"/>
      <c r="J3459" s="43"/>
      <c r="K3459" s="51"/>
      <c r="L3459" s="86"/>
      <c r="M3459" s="45"/>
      <c r="N3459" s="45"/>
    </row>
    <row r="3460" spans="1:14" ht="15" x14ac:dyDescent="0.25">
      <c r="A3460" s="1">
        <v>3451</v>
      </c>
      <c r="B3460" s="1" t="s">
        <v>449</v>
      </c>
      <c r="C3460" s="32" t="s">
        <v>30</v>
      </c>
      <c r="D3460" s="1">
        <v>5000</v>
      </c>
      <c r="E3460" s="1"/>
      <c r="F3460" s="1">
        <v>55.12</v>
      </c>
      <c r="G3460" s="1">
        <v>5000</v>
      </c>
      <c r="H3460" s="5">
        <f t="shared" si="71"/>
        <v>0</v>
      </c>
      <c r="I3460" s="6"/>
      <c r="J3460" s="43"/>
      <c r="K3460" s="51"/>
      <c r="L3460" s="86"/>
      <c r="M3460" s="45"/>
      <c r="N3460" s="45"/>
    </row>
    <row r="3461" spans="1:14" ht="15" x14ac:dyDescent="0.25">
      <c r="A3461" s="1">
        <v>3452</v>
      </c>
      <c r="B3461" s="1" t="s">
        <v>449</v>
      </c>
      <c r="C3461" s="32" t="s">
        <v>30</v>
      </c>
      <c r="D3461" s="1">
        <v>4500</v>
      </c>
      <c r="E3461" s="1"/>
      <c r="F3461" s="1">
        <v>50.15</v>
      </c>
      <c r="G3461" s="1">
        <v>4500</v>
      </c>
      <c r="H3461" s="5">
        <f t="shared" si="71"/>
        <v>0</v>
      </c>
      <c r="I3461" s="6"/>
      <c r="J3461" s="43"/>
      <c r="K3461" s="51"/>
      <c r="L3461" s="86"/>
      <c r="M3461" s="45"/>
      <c r="N3461" s="45"/>
    </row>
    <row r="3462" spans="1:14" ht="15" x14ac:dyDescent="0.25">
      <c r="A3462" s="1">
        <v>3453</v>
      </c>
      <c r="B3462" s="1" t="s">
        <v>449</v>
      </c>
      <c r="C3462" s="32">
        <v>8665</v>
      </c>
      <c r="D3462" s="1">
        <v>20000</v>
      </c>
      <c r="E3462" s="1"/>
      <c r="F3462" s="1">
        <v>222.82</v>
      </c>
      <c r="G3462" s="1">
        <v>20000</v>
      </c>
      <c r="H3462" s="5">
        <f t="shared" si="71"/>
        <v>0</v>
      </c>
      <c r="I3462" s="6"/>
      <c r="J3462" s="43"/>
      <c r="K3462" s="51"/>
      <c r="L3462" s="86"/>
      <c r="M3462" s="45"/>
      <c r="N3462" s="45"/>
    </row>
    <row r="3463" spans="1:14" ht="15" x14ac:dyDescent="0.25">
      <c r="A3463" s="1">
        <v>3454</v>
      </c>
      <c r="B3463" s="1" t="s">
        <v>449</v>
      </c>
      <c r="C3463" s="32">
        <v>3745</v>
      </c>
      <c r="D3463" s="1">
        <v>15000</v>
      </c>
      <c r="E3463" s="1"/>
      <c r="F3463" s="1">
        <v>167.11</v>
      </c>
      <c r="G3463" s="1">
        <v>15000</v>
      </c>
      <c r="H3463" s="5">
        <f t="shared" si="71"/>
        <v>0</v>
      </c>
      <c r="I3463" s="6"/>
      <c r="J3463" s="43"/>
      <c r="K3463" s="51"/>
      <c r="L3463" s="86"/>
      <c r="M3463" s="45"/>
      <c r="N3463" s="45"/>
    </row>
    <row r="3464" spans="1:14" ht="15" x14ac:dyDescent="0.25">
      <c r="A3464" s="1">
        <v>3455</v>
      </c>
      <c r="B3464" s="1" t="s">
        <v>449</v>
      </c>
      <c r="C3464" s="32">
        <v>3527</v>
      </c>
      <c r="D3464" s="1">
        <v>15000</v>
      </c>
      <c r="E3464" s="1"/>
      <c r="F3464" s="1">
        <v>167.11</v>
      </c>
      <c r="G3464" s="1">
        <v>15000</v>
      </c>
      <c r="H3464" s="5">
        <f t="shared" si="71"/>
        <v>0</v>
      </c>
      <c r="I3464" s="6"/>
      <c r="J3464" s="43"/>
      <c r="K3464" s="51"/>
      <c r="L3464" s="86"/>
      <c r="M3464" s="45"/>
      <c r="N3464" s="45"/>
    </row>
    <row r="3465" spans="1:14" ht="15" x14ac:dyDescent="0.25">
      <c r="A3465" s="1">
        <v>3456</v>
      </c>
      <c r="B3465" s="1" t="s">
        <v>449</v>
      </c>
      <c r="C3465" s="32">
        <v>3477</v>
      </c>
      <c r="D3465" s="1">
        <v>15000</v>
      </c>
      <c r="E3465" s="1"/>
      <c r="F3465" s="1">
        <v>167.11</v>
      </c>
      <c r="G3465" s="1">
        <v>15000</v>
      </c>
      <c r="H3465" s="5">
        <f t="shared" si="71"/>
        <v>0</v>
      </c>
      <c r="I3465" s="6"/>
      <c r="J3465" s="43"/>
      <c r="K3465" s="51"/>
      <c r="L3465" s="86"/>
      <c r="M3465" s="45"/>
      <c r="N3465" s="45"/>
    </row>
    <row r="3466" spans="1:14" ht="15" x14ac:dyDescent="0.25">
      <c r="A3466" s="1">
        <v>3457</v>
      </c>
      <c r="B3466" s="1" t="s">
        <v>449</v>
      </c>
      <c r="C3466" s="32">
        <v>3326</v>
      </c>
      <c r="D3466" s="1">
        <v>15000</v>
      </c>
      <c r="E3466" s="1"/>
      <c r="F3466" s="1">
        <v>167.11</v>
      </c>
      <c r="G3466" s="1">
        <v>15000</v>
      </c>
      <c r="H3466" s="5">
        <f t="shared" si="71"/>
        <v>0</v>
      </c>
      <c r="I3466" s="6"/>
      <c r="J3466" s="43"/>
      <c r="K3466" s="51"/>
      <c r="L3466" s="86"/>
      <c r="M3466" s="45"/>
      <c r="N3466" s="45"/>
    </row>
    <row r="3467" spans="1:14" ht="15" x14ac:dyDescent="0.25">
      <c r="A3467" s="1">
        <v>3458</v>
      </c>
      <c r="B3467" s="1" t="s">
        <v>449</v>
      </c>
      <c r="C3467" s="32">
        <v>8465</v>
      </c>
      <c r="D3467" s="1">
        <v>5000</v>
      </c>
      <c r="E3467" s="1"/>
      <c r="F3467" s="1">
        <v>55.12</v>
      </c>
      <c r="G3467" s="1">
        <v>5000</v>
      </c>
      <c r="H3467" s="5">
        <f t="shared" si="71"/>
        <v>0</v>
      </c>
      <c r="I3467" s="6"/>
      <c r="J3467" s="43"/>
      <c r="K3467" s="51"/>
      <c r="L3467" s="86"/>
      <c r="M3467" s="45"/>
      <c r="N3467" s="45"/>
    </row>
    <row r="3468" spans="1:14" ht="15" x14ac:dyDescent="0.25">
      <c r="A3468" s="1">
        <v>3459</v>
      </c>
      <c r="B3468" s="1" t="s">
        <v>449</v>
      </c>
      <c r="C3468" s="32">
        <v>4268</v>
      </c>
      <c r="D3468" s="1">
        <v>20000</v>
      </c>
      <c r="E3468" s="1"/>
      <c r="F3468" s="1">
        <v>222.82</v>
      </c>
      <c r="G3468" s="1">
        <v>20000</v>
      </c>
      <c r="H3468" s="5">
        <f t="shared" si="71"/>
        <v>0</v>
      </c>
      <c r="I3468" s="6"/>
      <c r="J3468" s="43"/>
      <c r="K3468" s="51"/>
      <c r="L3468" s="86"/>
      <c r="M3468" s="45"/>
      <c r="N3468" s="45"/>
    </row>
    <row r="3469" spans="1:14" ht="15" x14ac:dyDescent="0.25">
      <c r="A3469" s="1">
        <v>3460</v>
      </c>
      <c r="B3469" s="1" t="s">
        <v>449</v>
      </c>
      <c r="C3469" s="32">
        <v>6212</v>
      </c>
      <c r="D3469" s="1">
        <v>20000</v>
      </c>
      <c r="E3469" s="1"/>
      <c r="F3469" s="1">
        <v>222.82</v>
      </c>
      <c r="G3469" s="1">
        <v>20000</v>
      </c>
      <c r="H3469" s="5">
        <f t="shared" si="71"/>
        <v>0</v>
      </c>
      <c r="I3469" s="6"/>
      <c r="J3469" s="43"/>
      <c r="K3469" s="51"/>
      <c r="L3469" s="86"/>
      <c r="M3469" s="45"/>
      <c r="N3469" s="45"/>
    </row>
    <row r="3470" spans="1:14" ht="15" x14ac:dyDescent="0.25">
      <c r="A3470" s="1">
        <v>3461</v>
      </c>
      <c r="B3470" s="1" t="s">
        <v>449</v>
      </c>
      <c r="C3470" s="32">
        <v>6924</v>
      </c>
      <c r="D3470" s="1">
        <v>20000</v>
      </c>
      <c r="E3470" s="1"/>
      <c r="F3470" s="1">
        <v>222.82</v>
      </c>
      <c r="G3470" s="1">
        <v>20000</v>
      </c>
      <c r="H3470" s="5">
        <f t="shared" si="71"/>
        <v>0</v>
      </c>
      <c r="I3470" s="6"/>
      <c r="J3470" s="43"/>
      <c r="K3470" s="51"/>
      <c r="L3470" s="86"/>
      <c r="M3470" s="45"/>
      <c r="N3470" s="45"/>
    </row>
    <row r="3471" spans="1:14" ht="15" x14ac:dyDescent="0.25">
      <c r="A3471" s="1">
        <v>3462</v>
      </c>
      <c r="B3471" s="1" t="s">
        <v>449</v>
      </c>
      <c r="C3471" s="32">
        <v>4786</v>
      </c>
      <c r="D3471" s="1">
        <v>28000</v>
      </c>
      <c r="E3471" s="1"/>
      <c r="F3471" s="1">
        <v>300.81</v>
      </c>
      <c r="G3471" s="1">
        <v>28000</v>
      </c>
      <c r="H3471" s="5">
        <f t="shared" si="71"/>
        <v>0</v>
      </c>
      <c r="I3471" s="6"/>
      <c r="J3471" s="43"/>
      <c r="K3471" s="51"/>
      <c r="L3471" s="86"/>
      <c r="M3471" s="45"/>
      <c r="N3471" s="45"/>
    </row>
    <row r="3472" spans="1:14" ht="15" x14ac:dyDescent="0.25">
      <c r="A3472" s="1">
        <v>3463</v>
      </c>
      <c r="B3472" s="1" t="s">
        <v>449</v>
      </c>
      <c r="C3472" s="32">
        <v>5783</v>
      </c>
      <c r="D3472" s="1">
        <v>22000</v>
      </c>
      <c r="E3472" s="1"/>
      <c r="F3472" s="1">
        <v>241.25</v>
      </c>
      <c r="G3472" s="1">
        <v>22000</v>
      </c>
      <c r="H3472" s="5">
        <f t="shared" si="71"/>
        <v>0</v>
      </c>
      <c r="I3472" s="6"/>
      <c r="J3472" s="43"/>
      <c r="K3472" s="51"/>
      <c r="L3472" s="86"/>
      <c r="M3472" s="45"/>
      <c r="N3472" s="45"/>
    </row>
    <row r="3473" spans="1:14" ht="15" x14ac:dyDescent="0.25">
      <c r="A3473" s="1">
        <v>3464</v>
      </c>
      <c r="B3473" s="1" t="s">
        <v>449</v>
      </c>
      <c r="C3473" s="32">
        <v>5278</v>
      </c>
      <c r="D3473" s="1">
        <v>22000</v>
      </c>
      <c r="E3473" s="1"/>
      <c r="F3473" s="1">
        <v>241.25</v>
      </c>
      <c r="G3473" s="1">
        <v>22000</v>
      </c>
      <c r="H3473" s="5">
        <f t="shared" si="71"/>
        <v>0</v>
      </c>
      <c r="I3473" s="6"/>
      <c r="J3473" s="43"/>
      <c r="K3473" s="51"/>
      <c r="L3473" s="86"/>
      <c r="M3473" s="45"/>
      <c r="N3473" s="45"/>
    </row>
    <row r="3474" spans="1:14" ht="15" x14ac:dyDescent="0.25">
      <c r="A3474" s="1">
        <v>3465</v>
      </c>
      <c r="B3474" s="1" t="s">
        <v>449</v>
      </c>
      <c r="C3474" s="32">
        <v>5.62E-2</v>
      </c>
      <c r="D3474" s="1">
        <v>23000</v>
      </c>
      <c r="E3474" s="1"/>
      <c r="F3474" s="1">
        <v>202.25</v>
      </c>
      <c r="G3474" s="1">
        <v>23000</v>
      </c>
      <c r="H3474" s="5">
        <f t="shared" si="71"/>
        <v>0</v>
      </c>
      <c r="I3474" s="6"/>
      <c r="J3474" s="43"/>
      <c r="K3474" s="51"/>
      <c r="L3474" s="86"/>
      <c r="M3474" s="45"/>
      <c r="N3474" s="45"/>
    </row>
    <row r="3475" spans="1:14" ht="15" x14ac:dyDescent="0.25">
      <c r="A3475" s="1">
        <v>3466</v>
      </c>
      <c r="B3475" s="1" t="s">
        <v>449</v>
      </c>
      <c r="C3475" s="32">
        <v>3842</v>
      </c>
      <c r="D3475" s="1">
        <v>26000</v>
      </c>
      <c r="E3475" s="1"/>
      <c r="F3475" s="1">
        <v>289.66000000000003</v>
      </c>
      <c r="G3475" s="1">
        <v>26000</v>
      </c>
      <c r="H3475" s="5">
        <f t="shared" si="71"/>
        <v>0</v>
      </c>
      <c r="I3475" s="6"/>
      <c r="J3475" s="43"/>
      <c r="K3475" s="51"/>
      <c r="L3475" s="86">
        <f>2007751-1800343</f>
        <v>207408</v>
      </c>
      <c r="M3475" s="45" t="s">
        <v>453</v>
      </c>
      <c r="N3475" s="45">
        <f>207408-205316</f>
        <v>2092</v>
      </c>
    </row>
    <row r="3476" spans="1:14" ht="15" x14ac:dyDescent="0.25">
      <c r="A3476" s="1">
        <v>3467</v>
      </c>
      <c r="B3476" s="1" t="s">
        <v>450</v>
      </c>
      <c r="C3476" s="32">
        <v>5235</v>
      </c>
      <c r="D3476" s="1">
        <v>18000</v>
      </c>
      <c r="E3476" s="1"/>
      <c r="F3476" s="1">
        <v>200.25</v>
      </c>
      <c r="G3476" s="1">
        <v>18000</v>
      </c>
      <c r="H3476" s="5">
        <f t="shared" si="71"/>
        <v>0</v>
      </c>
      <c r="I3476" s="6"/>
      <c r="J3476" s="43"/>
      <c r="K3476" s="51"/>
      <c r="L3476" s="86"/>
      <c r="M3476" s="45"/>
      <c r="N3476" s="45"/>
    </row>
    <row r="3477" spans="1:14" ht="15" x14ac:dyDescent="0.25">
      <c r="A3477" s="1">
        <v>3468</v>
      </c>
      <c r="B3477" s="1" t="s">
        <v>450</v>
      </c>
      <c r="C3477" s="32">
        <v>5906</v>
      </c>
      <c r="D3477" s="1">
        <v>25000</v>
      </c>
      <c r="E3477" s="1"/>
      <c r="F3477" s="1">
        <v>278.22000000000003</v>
      </c>
      <c r="G3477" s="1">
        <v>25000</v>
      </c>
      <c r="H3477" s="5">
        <f t="shared" si="71"/>
        <v>0</v>
      </c>
      <c r="I3477" s="6"/>
      <c r="J3477" s="43"/>
      <c r="K3477" s="51"/>
      <c r="L3477" s="86"/>
      <c r="M3477" s="45"/>
      <c r="N3477" s="45"/>
    </row>
    <row r="3478" spans="1:14" ht="15" x14ac:dyDescent="0.25">
      <c r="A3478" s="1">
        <v>3469</v>
      </c>
      <c r="B3478" s="1" t="s">
        <v>450</v>
      </c>
      <c r="C3478" s="32">
        <v>8981</v>
      </c>
      <c r="D3478" s="1">
        <v>26000</v>
      </c>
      <c r="E3478" s="1"/>
      <c r="F3478" s="1">
        <v>289.25</v>
      </c>
      <c r="G3478" s="1">
        <v>26000</v>
      </c>
      <c r="H3478" s="5">
        <f t="shared" si="71"/>
        <v>0</v>
      </c>
      <c r="I3478" s="6"/>
      <c r="J3478" s="43"/>
      <c r="K3478" s="51"/>
      <c r="L3478" s="86"/>
      <c r="M3478" s="45"/>
      <c r="N3478" s="45"/>
    </row>
    <row r="3479" spans="1:14" ht="15" x14ac:dyDescent="0.25">
      <c r="A3479" s="1">
        <v>3470</v>
      </c>
      <c r="B3479" s="1" t="s">
        <v>450</v>
      </c>
      <c r="C3479" s="32">
        <v>3443</v>
      </c>
      <c r="D3479" s="1">
        <v>16000</v>
      </c>
      <c r="E3479" s="1"/>
      <c r="F3479" s="1">
        <v>178.25</v>
      </c>
      <c r="G3479" s="1">
        <v>16000</v>
      </c>
      <c r="H3479" s="5">
        <f t="shared" si="71"/>
        <v>0</v>
      </c>
      <c r="I3479" s="6"/>
      <c r="J3479" s="43"/>
      <c r="K3479" s="51"/>
      <c r="L3479" s="86"/>
      <c r="M3479" s="45"/>
      <c r="N3479" s="45"/>
    </row>
    <row r="3480" spans="1:14" ht="15" x14ac:dyDescent="0.25">
      <c r="A3480" s="1">
        <v>3471</v>
      </c>
      <c r="B3480" s="1" t="s">
        <v>450</v>
      </c>
      <c r="C3480" s="32">
        <v>5.1000000000000004E-3</v>
      </c>
      <c r="D3480" s="1">
        <v>16000</v>
      </c>
      <c r="E3480" s="1"/>
      <c r="F3480" s="1">
        <v>178.25</v>
      </c>
      <c r="G3480" s="1">
        <v>16000</v>
      </c>
      <c r="H3480" s="5">
        <f t="shared" si="71"/>
        <v>0</v>
      </c>
      <c r="I3480" s="6"/>
      <c r="J3480" s="43"/>
      <c r="K3480" s="51"/>
      <c r="L3480" s="86"/>
      <c r="M3480" s="45"/>
      <c r="N3480" s="45"/>
    </row>
    <row r="3481" spans="1:14" ht="15" x14ac:dyDescent="0.25">
      <c r="A3481" s="1">
        <v>3472</v>
      </c>
      <c r="B3481" s="1" t="s">
        <v>450</v>
      </c>
      <c r="C3481" s="32">
        <v>5151</v>
      </c>
      <c r="D3481" s="1">
        <v>16000</v>
      </c>
      <c r="E3481" s="1"/>
      <c r="F3481" s="1">
        <v>178.25</v>
      </c>
      <c r="G3481" s="1">
        <v>16000</v>
      </c>
      <c r="H3481" s="5">
        <f t="shared" ref="H3481:H3544" si="72">D3481-G3481</f>
        <v>0</v>
      </c>
      <c r="I3481" s="6"/>
      <c r="J3481" s="43"/>
      <c r="K3481" s="51"/>
      <c r="L3481" s="86"/>
      <c r="M3481" s="45"/>
      <c r="N3481" s="45"/>
    </row>
    <row r="3482" spans="1:14" ht="15" x14ac:dyDescent="0.25">
      <c r="A3482" s="1">
        <v>3473</v>
      </c>
      <c r="B3482" s="1" t="s">
        <v>450</v>
      </c>
      <c r="C3482" s="32">
        <v>6815</v>
      </c>
      <c r="D3482" s="1">
        <v>18504</v>
      </c>
      <c r="E3482" s="1"/>
      <c r="F3482" s="1">
        <v>206.34</v>
      </c>
      <c r="G3482" s="1">
        <v>18504</v>
      </c>
      <c r="H3482" s="5">
        <f t="shared" si="72"/>
        <v>0</v>
      </c>
      <c r="I3482" s="6"/>
      <c r="J3482" s="43"/>
      <c r="K3482" s="51"/>
      <c r="L3482" s="86"/>
      <c r="M3482" s="45"/>
      <c r="N3482" s="45"/>
    </row>
    <row r="3483" spans="1:14" ht="15" x14ac:dyDescent="0.25">
      <c r="A3483" s="1">
        <v>3474</v>
      </c>
      <c r="B3483" s="1" t="s">
        <v>450</v>
      </c>
      <c r="C3483" s="32">
        <v>3197</v>
      </c>
      <c r="D3483" s="1">
        <v>15000</v>
      </c>
      <c r="E3483" s="1"/>
      <c r="F3483" s="1">
        <v>167.15</v>
      </c>
      <c r="G3483" s="1">
        <v>15000</v>
      </c>
      <c r="H3483" s="5">
        <f t="shared" si="72"/>
        <v>0</v>
      </c>
      <c r="I3483" s="6"/>
      <c r="J3483" s="43"/>
      <c r="K3483" s="51"/>
      <c r="L3483" s="86"/>
      <c r="M3483" s="45"/>
      <c r="N3483" s="45"/>
    </row>
    <row r="3484" spans="1:14" ht="15" x14ac:dyDescent="0.25">
      <c r="A3484" s="1">
        <v>3475</v>
      </c>
      <c r="B3484" s="1" t="s">
        <v>450</v>
      </c>
      <c r="C3484" s="32">
        <v>2673</v>
      </c>
      <c r="D3484" s="1">
        <v>15000</v>
      </c>
      <c r="E3484" s="1"/>
      <c r="F3484" s="1">
        <v>167.15</v>
      </c>
      <c r="G3484" s="1">
        <v>15000</v>
      </c>
      <c r="H3484" s="5">
        <f t="shared" si="72"/>
        <v>0</v>
      </c>
      <c r="I3484" s="6"/>
      <c r="J3484" s="43"/>
      <c r="K3484" s="51"/>
      <c r="L3484" s="86"/>
      <c r="M3484" s="45"/>
      <c r="N3484" s="45"/>
    </row>
    <row r="3485" spans="1:14" ht="15" x14ac:dyDescent="0.25">
      <c r="A3485" s="1">
        <v>3476</v>
      </c>
      <c r="B3485" s="1" t="s">
        <v>450</v>
      </c>
      <c r="C3485" s="32">
        <v>2067</v>
      </c>
      <c r="D3485" s="1">
        <v>15000</v>
      </c>
      <c r="E3485" s="1"/>
      <c r="F3485" s="1">
        <v>167.15</v>
      </c>
      <c r="G3485" s="1">
        <v>15000</v>
      </c>
      <c r="H3485" s="5">
        <f t="shared" si="72"/>
        <v>0</v>
      </c>
      <c r="I3485" s="6"/>
      <c r="J3485" s="43"/>
      <c r="K3485" s="51"/>
      <c r="L3485" s="86"/>
      <c r="M3485" s="45"/>
      <c r="N3485" s="45"/>
    </row>
    <row r="3486" spans="1:14" ht="15" x14ac:dyDescent="0.25">
      <c r="A3486" s="1">
        <v>3477</v>
      </c>
      <c r="B3486" s="1" t="s">
        <v>450</v>
      </c>
      <c r="C3486" s="32">
        <v>3643</v>
      </c>
      <c r="D3486" s="1">
        <v>32000</v>
      </c>
      <c r="E3486" s="1"/>
      <c r="F3486" s="1">
        <v>356.51</v>
      </c>
      <c r="G3486" s="1">
        <v>32000</v>
      </c>
      <c r="H3486" s="5">
        <f t="shared" si="72"/>
        <v>0</v>
      </c>
      <c r="I3486" s="6"/>
      <c r="J3486" s="43"/>
      <c r="K3486" s="51"/>
      <c r="L3486" s="86"/>
      <c r="M3486" s="45"/>
      <c r="N3486" s="45"/>
    </row>
    <row r="3487" spans="1:14" ht="15" x14ac:dyDescent="0.25">
      <c r="A3487" s="1">
        <v>3478</v>
      </c>
      <c r="B3487" s="1" t="s">
        <v>450</v>
      </c>
      <c r="C3487" s="32">
        <v>9383</v>
      </c>
      <c r="D3487" s="1">
        <v>32000</v>
      </c>
      <c r="E3487" s="1"/>
      <c r="F3487" s="1">
        <v>356.51</v>
      </c>
      <c r="G3487" s="1">
        <v>32000</v>
      </c>
      <c r="H3487" s="5">
        <f t="shared" si="72"/>
        <v>0</v>
      </c>
      <c r="I3487" s="6"/>
      <c r="J3487" s="43"/>
      <c r="K3487" s="51"/>
      <c r="L3487" s="86"/>
      <c r="M3487" s="45"/>
      <c r="N3487" s="45"/>
    </row>
    <row r="3488" spans="1:14" ht="15" x14ac:dyDescent="0.25">
      <c r="A3488" s="1">
        <v>3479</v>
      </c>
      <c r="B3488" s="1" t="s">
        <v>450</v>
      </c>
      <c r="C3488" s="32">
        <v>6037</v>
      </c>
      <c r="D3488" s="1">
        <v>23000</v>
      </c>
      <c r="E3488" s="1"/>
      <c r="F3488" s="1">
        <v>256.25</v>
      </c>
      <c r="G3488" s="1">
        <v>23000</v>
      </c>
      <c r="H3488" s="5">
        <f t="shared" si="72"/>
        <v>0</v>
      </c>
      <c r="I3488" s="6"/>
      <c r="J3488" s="43"/>
      <c r="K3488" s="51"/>
      <c r="L3488" s="86"/>
      <c r="M3488" s="45"/>
      <c r="N3488" s="45"/>
    </row>
    <row r="3489" spans="1:14" ht="15" x14ac:dyDescent="0.25">
      <c r="A3489" s="1">
        <v>3480</v>
      </c>
      <c r="B3489" s="1" t="s">
        <v>450</v>
      </c>
      <c r="C3489" s="32">
        <v>9356</v>
      </c>
      <c r="D3489" s="1">
        <v>28300</v>
      </c>
      <c r="E3489" s="1"/>
      <c r="F3489" s="1">
        <v>315.25</v>
      </c>
      <c r="G3489" s="1">
        <v>28300</v>
      </c>
      <c r="H3489" s="5">
        <f t="shared" si="72"/>
        <v>0</v>
      </c>
      <c r="I3489" s="6"/>
      <c r="J3489" s="43"/>
      <c r="K3489" s="51"/>
      <c r="L3489" s="86"/>
      <c r="M3489" s="45"/>
      <c r="N3489" s="45"/>
    </row>
    <row r="3490" spans="1:14" ht="15" x14ac:dyDescent="0.25">
      <c r="A3490" s="1">
        <v>3481</v>
      </c>
      <c r="B3490" s="1" t="s">
        <v>450</v>
      </c>
      <c r="C3490" s="32">
        <v>5897</v>
      </c>
      <c r="D3490" s="1">
        <v>20404</v>
      </c>
      <c r="E3490" s="1"/>
      <c r="F3490" s="1">
        <v>227.25</v>
      </c>
      <c r="G3490" s="1">
        <v>20404</v>
      </c>
      <c r="H3490" s="5">
        <f t="shared" si="72"/>
        <v>0</v>
      </c>
      <c r="I3490" s="6"/>
      <c r="J3490" s="43"/>
      <c r="K3490" s="51"/>
      <c r="L3490" s="86"/>
      <c r="M3490" s="45"/>
      <c r="N3490" s="45"/>
    </row>
    <row r="3491" spans="1:14" ht="15" x14ac:dyDescent="0.25">
      <c r="A3491" s="1">
        <v>3482</v>
      </c>
      <c r="B3491" s="1" t="s">
        <v>450</v>
      </c>
      <c r="C3491" s="32">
        <v>9060</v>
      </c>
      <c r="D3491" s="1">
        <v>15000</v>
      </c>
      <c r="E3491" s="1"/>
      <c r="F3491" s="1">
        <v>167.15</v>
      </c>
      <c r="G3491" s="1">
        <v>15000</v>
      </c>
      <c r="H3491" s="5">
        <f t="shared" si="72"/>
        <v>0</v>
      </c>
      <c r="I3491" s="6"/>
      <c r="J3491" s="43"/>
      <c r="K3491" s="51"/>
      <c r="L3491" s="86"/>
      <c r="M3491" s="45"/>
      <c r="N3491" s="45"/>
    </row>
    <row r="3492" spans="1:14" ht="15" x14ac:dyDescent="0.25">
      <c r="A3492" s="1">
        <v>3483</v>
      </c>
      <c r="B3492" s="1" t="s">
        <v>450</v>
      </c>
      <c r="C3492" s="32">
        <v>9390</v>
      </c>
      <c r="D3492" s="1">
        <v>25000</v>
      </c>
      <c r="E3492" s="1"/>
      <c r="F3492" s="1">
        <v>272.25</v>
      </c>
      <c r="G3492" s="1">
        <v>25000</v>
      </c>
      <c r="H3492" s="5">
        <f t="shared" si="72"/>
        <v>0</v>
      </c>
      <c r="I3492" s="6"/>
      <c r="J3492" s="43"/>
      <c r="K3492" s="51"/>
      <c r="L3492" s="86"/>
      <c r="M3492" s="45"/>
      <c r="N3492" s="45"/>
    </row>
    <row r="3493" spans="1:14" ht="15" x14ac:dyDescent="0.25">
      <c r="A3493" s="1">
        <v>3484</v>
      </c>
      <c r="B3493" s="1" t="s">
        <v>450</v>
      </c>
      <c r="C3493" s="32">
        <v>7186</v>
      </c>
      <c r="D3493" s="1">
        <v>25000</v>
      </c>
      <c r="E3493" s="1"/>
      <c r="F3493" s="1">
        <v>272.25</v>
      </c>
      <c r="G3493" s="1">
        <v>25000</v>
      </c>
      <c r="H3493" s="5">
        <f t="shared" si="72"/>
        <v>0</v>
      </c>
      <c r="I3493" s="6"/>
      <c r="J3493" s="43"/>
      <c r="K3493" s="51"/>
      <c r="L3493" s="86"/>
      <c r="M3493" s="45"/>
      <c r="N3493" s="45"/>
    </row>
    <row r="3494" spans="1:14" ht="15" x14ac:dyDescent="0.25">
      <c r="A3494" s="1">
        <v>3485</v>
      </c>
      <c r="B3494" s="1" t="s">
        <v>450</v>
      </c>
      <c r="C3494" s="32">
        <v>2497</v>
      </c>
      <c r="D3494" s="1">
        <v>6000</v>
      </c>
      <c r="E3494" s="1"/>
      <c r="F3494" s="1">
        <v>66.84</v>
      </c>
      <c r="G3494" s="1">
        <v>6000</v>
      </c>
      <c r="H3494" s="5">
        <f t="shared" si="72"/>
        <v>0</v>
      </c>
      <c r="I3494" s="6"/>
      <c r="J3494" s="43"/>
      <c r="K3494" s="51"/>
      <c r="L3494" s="86"/>
      <c r="M3494" s="45"/>
      <c r="N3494" s="45"/>
    </row>
    <row r="3495" spans="1:14" ht="15" x14ac:dyDescent="0.25">
      <c r="A3495" s="1">
        <v>3486</v>
      </c>
      <c r="B3495" s="1" t="s">
        <v>450</v>
      </c>
      <c r="C3495" s="32">
        <v>3695</v>
      </c>
      <c r="D3495" s="1">
        <v>20000</v>
      </c>
      <c r="E3495" s="1"/>
      <c r="F3495" s="1">
        <v>222.82</v>
      </c>
      <c r="G3495" s="1">
        <v>20000</v>
      </c>
      <c r="H3495" s="5">
        <f t="shared" si="72"/>
        <v>0</v>
      </c>
      <c r="I3495" s="6"/>
      <c r="J3495" s="43"/>
      <c r="K3495" s="51"/>
      <c r="L3495" s="86"/>
      <c r="M3495" s="45"/>
      <c r="N3495" s="45"/>
    </row>
    <row r="3496" spans="1:14" ht="15" x14ac:dyDescent="0.25">
      <c r="A3496" s="1">
        <v>3487</v>
      </c>
      <c r="B3496" s="1" t="s">
        <v>450</v>
      </c>
      <c r="C3496" s="32">
        <v>7266</v>
      </c>
      <c r="D3496" s="1">
        <v>30000</v>
      </c>
      <c r="E3496" s="1"/>
      <c r="F3496" s="1">
        <v>311.25</v>
      </c>
      <c r="G3496" s="1">
        <v>30000</v>
      </c>
      <c r="H3496" s="5">
        <f t="shared" si="72"/>
        <v>0</v>
      </c>
      <c r="I3496" s="6"/>
      <c r="J3496" s="43"/>
      <c r="K3496" s="51"/>
      <c r="L3496" s="86"/>
      <c r="M3496" s="45"/>
      <c r="N3496" s="45"/>
    </row>
    <row r="3497" spans="1:14" ht="15" x14ac:dyDescent="0.25">
      <c r="A3497" s="1">
        <v>3488</v>
      </c>
      <c r="B3497" s="1" t="s">
        <v>450</v>
      </c>
      <c r="C3497" s="32">
        <v>1336</v>
      </c>
      <c r="D3497" s="1">
        <v>20000</v>
      </c>
      <c r="E3497" s="1"/>
      <c r="F3497" s="1">
        <v>222.82</v>
      </c>
      <c r="G3497" s="1">
        <v>20000</v>
      </c>
      <c r="H3497" s="5">
        <f t="shared" si="72"/>
        <v>0</v>
      </c>
      <c r="I3497" s="6"/>
      <c r="J3497" s="43"/>
      <c r="K3497" s="51"/>
      <c r="L3497" s="86"/>
      <c r="M3497" s="45"/>
      <c r="N3497" s="45"/>
    </row>
    <row r="3498" spans="1:14" ht="15" x14ac:dyDescent="0.25">
      <c r="A3498" s="1">
        <v>3489</v>
      </c>
      <c r="B3498" s="1" t="s">
        <v>450</v>
      </c>
      <c r="C3498" s="32">
        <v>9903</v>
      </c>
      <c r="D3498" s="1">
        <v>20000</v>
      </c>
      <c r="E3498" s="1"/>
      <c r="F3498" s="1">
        <v>222.82</v>
      </c>
      <c r="G3498" s="1">
        <v>20000</v>
      </c>
      <c r="H3498" s="5">
        <f t="shared" si="72"/>
        <v>0</v>
      </c>
      <c r="I3498" s="6"/>
      <c r="J3498" s="43"/>
      <c r="K3498" s="51"/>
      <c r="L3498" s="86">
        <f>1883489-1677551</f>
        <v>205938</v>
      </c>
      <c r="M3498" s="45" t="s">
        <v>453</v>
      </c>
      <c r="N3498" s="45">
        <f>205938-205316</f>
        <v>622</v>
      </c>
    </row>
    <row r="3499" spans="1:14" ht="15" x14ac:dyDescent="0.25">
      <c r="A3499" s="1">
        <v>3490</v>
      </c>
      <c r="B3499" s="1" t="s">
        <v>454</v>
      </c>
      <c r="C3499" s="32">
        <v>5605</v>
      </c>
      <c r="D3499" s="1">
        <v>20000</v>
      </c>
      <c r="E3499" s="1"/>
      <c r="F3499" s="1">
        <v>222.82</v>
      </c>
      <c r="G3499" s="1">
        <v>20000</v>
      </c>
      <c r="H3499" s="5">
        <f t="shared" si="72"/>
        <v>0</v>
      </c>
      <c r="I3499" s="6"/>
      <c r="J3499" s="43"/>
      <c r="K3499" s="51"/>
      <c r="L3499" s="86"/>
      <c r="M3499" s="45"/>
      <c r="N3499" s="45"/>
    </row>
    <row r="3500" spans="1:14" ht="15" x14ac:dyDescent="0.25">
      <c r="A3500" s="1">
        <v>3491</v>
      </c>
      <c r="B3500" s="1" t="s">
        <v>454</v>
      </c>
      <c r="C3500" s="32">
        <v>9191</v>
      </c>
      <c r="D3500" s="1">
        <v>20000</v>
      </c>
      <c r="E3500" s="1"/>
      <c r="F3500" s="1">
        <v>222.82</v>
      </c>
      <c r="G3500" s="1">
        <v>20000</v>
      </c>
      <c r="H3500" s="5">
        <f t="shared" si="72"/>
        <v>0</v>
      </c>
      <c r="I3500" s="6"/>
      <c r="J3500" s="43"/>
      <c r="K3500" s="51"/>
      <c r="L3500" s="86"/>
      <c r="M3500" s="45"/>
      <c r="N3500" s="45"/>
    </row>
    <row r="3501" spans="1:14" ht="15" x14ac:dyDescent="0.25">
      <c r="A3501" s="1">
        <v>3492</v>
      </c>
      <c r="B3501" s="1" t="s">
        <v>454</v>
      </c>
      <c r="C3501" s="32">
        <v>1113</v>
      </c>
      <c r="D3501" s="1">
        <v>25000</v>
      </c>
      <c r="E3501" s="1"/>
      <c r="F3501" s="1">
        <v>278.22000000000003</v>
      </c>
      <c r="G3501" s="1">
        <v>25000</v>
      </c>
      <c r="H3501" s="5">
        <f t="shared" si="72"/>
        <v>0</v>
      </c>
      <c r="I3501" s="6"/>
      <c r="J3501" s="43"/>
      <c r="K3501" s="51"/>
      <c r="L3501" s="86"/>
      <c r="M3501" s="45"/>
      <c r="N3501" s="45"/>
    </row>
    <row r="3502" spans="1:14" ht="15" x14ac:dyDescent="0.25">
      <c r="A3502" s="1">
        <v>3493</v>
      </c>
      <c r="B3502" s="1" t="s">
        <v>454</v>
      </c>
      <c r="C3502" s="32">
        <v>3.8899999999999997E-2</v>
      </c>
      <c r="D3502" s="1">
        <v>25000</v>
      </c>
      <c r="E3502" s="1"/>
      <c r="F3502" s="1">
        <v>278.22000000000003</v>
      </c>
      <c r="G3502" s="1">
        <v>25000</v>
      </c>
      <c r="H3502" s="5">
        <f t="shared" si="72"/>
        <v>0</v>
      </c>
      <c r="I3502" s="6"/>
      <c r="J3502" s="43"/>
      <c r="K3502" s="51"/>
      <c r="L3502" s="86"/>
      <c r="M3502" s="45"/>
      <c r="N3502" s="45"/>
    </row>
    <row r="3503" spans="1:14" ht="15" x14ac:dyDescent="0.25">
      <c r="A3503" s="1">
        <v>3494</v>
      </c>
      <c r="B3503" s="1" t="s">
        <v>454</v>
      </c>
      <c r="C3503" s="32" t="s">
        <v>30</v>
      </c>
      <c r="D3503" s="1">
        <v>4500</v>
      </c>
      <c r="E3503" s="1"/>
      <c r="F3503" s="1">
        <v>50.13</v>
      </c>
      <c r="G3503" s="1">
        <v>4500</v>
      </c>
      <c r="H3503" s="5">
        <f t="shared" si="72"/>
        <v>0</v>
      </c>
      <c r="I3503" s="6"/>
      <c r="J3503" s="43"/>
      <c r="K3503" s="51"/>
      <c r="L3503" s="86"/>
      <c r="M3503" s="45"/>
      <c r="N3503" s="45"/>
    </row>
    <row r="3504" spans="1:14" ht="15" x14ac:dyDescent="0.25">
      <c r="A3504" s="1">
        <v>3495</v>
      </c>
      <c r="B3504" s="1" t="s">
        <v>454</v>
      </c>
      <c r="C3504" s="32">
        <v>7677</v>
      </c>
      <c r="D3504" s="1">
        <v>15000</v>
      </c>
      <c r="E3504" s="1"/>
      <c r="F3504" s="1">
        <v>167.11</v>
      </c>
      <c r="G3504" s="1">
        <v>15000</v>
      </c>
      <c r="H3504" s="5">
        <f t="shared" si="72"/>
        <v>0</v>
      </c>
      <c r="I3504" s="6"/>
      <c r="J3504" s="43"/>
      <c r="K3504" s="51"/>
      <c r="L3504" s="86"/>
      <c r="M3504" s="45"/>
      <c r="N3504" s="45"/>
    </row>
    <row r="3505" spans="1:14" ht="15" x14ac:dyDescent="0.25">
      <c r="A3505" s="1">
        <v>3496</v>
      </c>
      <c r="B3505" s="1" t="s">
        <v>454</v>
      </c>
      <c r="C3505" s="32">
        <v>8859</v>
      </c>
      <c r="D3505" s="1">
        <v>22000</v>
      </c>
      <c r="E3505" s="1"/>
      <c r="F3505" s="1">
        <v>245.25</v>
      </c>
      <c r="G3505" s="1">
        <v>22000</v>
      </c>
      <c r="H3505" s="5">
        <f t="shared" si="72"/>
        <v>0</v>
      </c>
      <c r="I3505" s="6"/>
      <c r="J3505" s="43"/>
      <c r="K3505" s="51"/>
      <c r="L3505" s="86"/>
      <c r="M3505" s="45"/>
      <c r="N3505" s="45"/>
    </row>
    <row r="3506" spans="1:14" ht="15" x14ac:dyDescent="0.25">
      <c r="A3506" s="1">
        <v>3497</v>
      </c>
      <c r="B3506" s="1" t="s">
        <v>454</v>
      </c>
      <c r="C3506" s="32" t="s">
        <v>63</v>
      </c>
      <c r="D3506" s="1">
        <v>3500</v>
      </c>
      <c r="E3506" s="1"/>
      <c r="F3506" s="1">
        <v>38.97</v>
      </c>
      <c r="G3506" s="1">
        <v>3500</v>
      </c>
      <c r="H3506" s="5">
        <f t="shared" si="72"/>
        <v>0</v>
      </c>
      <c r="I3506" s="6"/>
      <c r="J3506" s="43"/>
      <c r="K3506" s="51"/>
      <c r="L3506" s="86"/>
      <c r="M3506" s="45"/>
      <c r="N3506" s="45"/>
    </row>
    <row r="3507" spans="1:14" ht="15" x14ac:dyDescent="0.25">
      <c r="A3507" s="1">
        <v>3498</v>
      </c>
      <c r="B3507" s="1" t="s">
        <v>454</v>
      </c>
      <c r="C3507" s="32" t="s">
        <v>30</v>
      </c>
      <c r="D3507" s="1">
        <v>7000</v>
      </c>
      <c r="E3507" s="1"/>
      <c r="F3507" s="1">
        <v>77.97</v>
      </c>
      <c r="G3507" s="1">
        <v>7000</v>
      </c>
      <c r="H3507" s="5">
        <f t="shared" si="72"/>
        <v>0</v>
      </c>
      <c r="I3507" s="6"/>
      <c r="J3507" s="43"/>
      <c r="K3507" s="51"/>
      <c r="L3507" s="86"/>
      <c r="M3507" s="45"/>
      <c r="N3507" s="45"/>
    </row>
    <row r="3508" spans="1:14" ht="15" x14ac:dyDescent="0.25">
      <c r="A3508" s="1">
        <v>3499</v>
      </c>
      <c r="B3508" s="1" t="s">
        <v>454</v>
      </c>
      <c r="C3508" s="32" t="s">
        <v>30</v>
      </c>
      <c r="D3508" s="1">
        <v>5000</v>
      </c>
      <c r="E3508" s="1"/>
      <c r="F3508" s="1">
        <v>55.7</v>
      </c>
      <c r="G3508" s="1">
        <v>5000</v>
      </c>
      <c r="H3508" s="5">
        <f t="shared" si="72"/>
        <v>0</v>
      </c>
      <c r="I3508" s="6"/>
      <c r="J3508" s="43"/>
      <c r="K3508" s="51"/>
      <c r="L3508" s="86"/>
      <c r="M3508" s="45"/>
      <c r="N3508" s="45"/>
    </row>
    <row r="3509" spans="1:14" ht="15" x14ac:dyDescent="0.25">
      <c r="A3509" s="1">
        <v>3500</v>
      </c>
      <c r="B3509" s="1" t="s">
        <v>454</v>
      </c>
      <c r="C3509" s="32">
        <v>1000</v>
      </c>
      <c r="D3509" s="1">
        <v>10000</v>
      </c>
      <c r="E3509" s="1"/>
      <c r="F3509" s="1">
        <v>111.41</v>
      </c>
      <c r="G3509" s="1">
        <v>10000</v>
      </c>
      <c r="H3509" s="5">
        <f t="shared" si="72"/>
        <v>0</v>
      </c>
      <c r="I3509" s="6"/>
      <c r="J3509" s="43"/>
      <c r="K3509" s="51"/>
      <c r="L3509" s="86"/>
      <c r="M3509" s="45"/>
      <c r="N3509" s="45"/>
    </row>
    <row r="3510" spans="1:14" ht="15" x14ac:dyDescent="0.25">
      <c r="A3510" s="1">
        <v>3501</v>
      </c>
      <c r="B3510" s="1" t="s">
        <v>454</v>
      </c>
      <c r="C3510" s="32">
        <v>1149</v>
      </c>
      <c r="D3510" s="1">
        <v>10000</v>
      </c>
      <c r="E3510" s="1"/>
      <c r="F3510" s="1">
        <v>111.41</v>
      </c>
      <c r="G3510" s="1">
        <v>10000</v>
      </c>
      <c r="H3510" s="5">
        <f t="shared" si="72"/>
        <v>0</v>
      </c>
      <c r="I3510" s="6"/>
      <c r="J3510" s="43"/>
      <c r="K3510" s="51"/>
      <c r="L3510" s="86"/>
      <c r="M3510" s="45"/>
      <c r="N3510" s="45"/>
    </row>
    <row r="3511" spans="1:14" ht="15" x14ac:dyDescent="0.25">
      <c r="A3511" s="1">
        <v>3502</v>
      </c>
      <c r="B3511" s="1" t="s">
        <v>454</v>
      </c>
      <c r="C3511" s="32">
        <v>0.46700000000000003</v>
      </c>
      <c r="D3511" s="1">
        <v>10000</v>
      </c>
      <c r="E3511" s="1"/>
      <c r="F3511" s="1">
        <v>111.41</v>
      </c>
      <c r="G3511" s="1">
        <v>10000</v>
      </c>
      <c r="H3511" s="5">
        <f t="shared" si="72"/>
        <v>0</v>
      </c>
      <c r="I3511" s="6"/>
      <c r="J3511" s="43"/>
      <c r="K3511" s="51"/>
      <c r="L3511" s="86"/>
      <c r="M3511" s="45"/>
      <c r="N3511" s="45"/>
    </row>
    <row r="3512" spans="1:14" ht="15" x14ac:dyDescent="0.25">
      <c r="A3512" s="1">
        <v>3503</v>
      </c>
      <c r="B3512" s="1" t="s">
        <v>454</v>
      </c>
      <c r="C3512" s="32">
        <v>2296</v>
      </c>
      <c r="D3512" s="1">
        <v>30000</v>
      </c>
      <c r="E3512" s="1"/>
      <c r="F3512" s="1">
        <v>334.22</v>
      </c>
      <c r="G3512" s="1">
        <v>30000</v>
      </c>
      <c r="H3512" s="5">
        <f t="shared" si="72"/>
        <v>0</v>
      </c>
      <c r="I3512" s="6"/>
      <c r="J3512" s="43"/>
      <c r="K3512" s="51"/>
      <c r="L3512" s="86"/>
      <c r="M3512" s="45"/>
      <c r="N3512" s="45"/>
    </row>
    <row r="3513" spans="1:14" ht="15" x14ac:dyDescent="0.25">
      <c r="A3513" s="1">
        <v>3504</v>
      </c>
      <c r="B3513" s="1" t="s">
        <v>454</v>
      </c>
      <c r="C3513" s="32">
        <v>8929</v>
      </c>
      <c r="D3513" s="1">
        <v>30000</v>
      </c>
      <c r="E3513" s="1"/>
      <c r="F3513" s="1">
        <v>334.22</v>
      </c>
      <c r="G3513" s="1">
        <v>30000</v>
      </c>
      <c r="H3513" s="5">
        <f t="shared" si="72"/>
        <v>0</v>
      </c>
      <c r="I3513" s="6"/>
      <c r="J3513" s="43"/>
      <c r="K3513" s="51"/>
      <c r="L3513" s="86"/>
      <c r="M3513" s="45"/>
      <c r="N3513" s="45"/>
    </row>
    <row r="3514" spans="1:14" ht="15" x14ac:dyDescent="0.25">
      <c r="A3514" s="1">
        <v>3505</v>
      </c>
      <c r="B3514" s="1" t="s">
        <v>454</v>
      </c>
      <c r="C3514" s="32">
        <v>4579</v>
      </c>
      <c r="D3514" s="1">
        <v>20000</v>
      </c>
      <c r="E3514" s="1"/>
      <c r="F3514" s="1">
        <v>222.82</v>
      </c>
      <c r="G3514" s="1">
        <v>20000</v>
      </c>
      <c r="H3514" s="5">
        <f t="shared" si="72"/>
        <v>0</v>
      </c>
      <c r="I3514" s="6"/>
      <c r="J3514" s="43"/>
      <c r="K3514" s="51"/>
      <c r="L3514" s="86"/>
      <c r="M3514" s="45"/>
      <c r="N3514" s="45"/>
    </row>
    <row r="3515" spans="1:14" ht="15" x14ac:dyDescent="0.25">
      <c r="A3515" s="1">
        <v>3506</v>
      </c>
      <c r="B3515" s="1" t="s">
        <v>454</v>
      </c>
      <c r="C3515" s="32">
        <v>3391</v>
      </c>
      <c r="D3515" s="1">
        <v>20000</v>
      </c>
      <c r="E3515" s="1"/>
      <c r="F3515" s="1">
        <v>222.82</v>
      </c>
      <c r="G3515" s="1">
        <v>20000</v>
      </c>
      <c r="H3515" s="5">
        <f t="shared" si="72"/>
        <v>0</v>
      </c>
      <c r="I3515" s="6"/>
      <c r="J3515" s="43"/>
      <c r="K3515" s="51"/>
      <c r="L3515" s="86"/>
      <c r="M3515" s="45"/>
      <c r="N3515" s="45"/>
    </row>
    <row r="3516" spans="1:14" ht="15" x14ac:dyDescent="0.25">
      <c r="A3516" s="1">
        <v>3507</v>
      </c>
      <c r="B3516" s="1" t="s">
        <v>454</v>
      </c>
      <c r="C3516" s="32">
        <v>5929</v>
      </c>
      <c r="D3516" s="1">
        <v>20000</v>
      </c>
      <c r="E3516" s="1"/>
      <c r="F3516" s="1">
        <v>222.82</v>
      </c>
      <c r="G3516" s="1">
        <v>20000</v>
      </c>
      <c r="H3516" s="5">
        <f t="shared" si="72"/>
        <v>0</v>
      </c>
      <c r="I3516" s="6"/>
      <c r="J3516" s="43"/>
      <c r="K3516" s="51"/>
      <c r="L3516" s="86"/>
      <c r="M3516" s="45"/>
      <c r="N3516" s="45"/>
    </row>
    <row r="3517" spans="1:14" ht="15" x14ac:dyDescent="0.25">
      <c r="A3517" s="1">
        <v>3508</v>
      </c>
      <c r="B3517" s="1" t="s">
        <v>454</v>
      </c>
      <c r="C3517" s="32">
        <v>1581</v>
      </c>
      <c r="D3517" s="1">
        <v>20000</v>
      </c>
      <c r="E3517" s="1"/>
      <c r="F3517" s="1">
        <v>222.82</v>
      </c>
      <c r="G3517" s="1">
        <v>20000</v>
      </c>
      <c r="H3517" s="5">
        <f t="shared" si="72"/>
        <v>0</v>
      </c>
      <c r="I3517" s="6"/>
      <c r="J3517" s="43"/>
      <c r="K3517" s="51"/>
      <c r="L3517" s="86"/>
      <c r="M3517" s="45"/>
      <c r="N3517" s="45"/>
    </row>
    <row r="3518" spans="1:14" ht="15" x14ac:dyDescent="0.25">
      <c r="A3518" s="1">
        <v>3509</v>
      </c>
      <c r="B3518" s="1" t="s">
        <v>454</v>
      </c>
      <c r="C3518" s="32">
        <v>4124</v>
      </c>
      <c r="D3518" s="1">
        <v>27000</v>
      </c>
      <c r="E3518" s="1"/>
      <c r="F3518" s="1">
        <v>300.81</v>
      </c>
      <c r="G3518" s="1">
        <v>27000</v>
      </c>
      <c r="H3518" s="5">
        <f t="shared" si="72"/>
        <v>0</v>
      </c>
      <c r="I3518" s="6"/>
      <c r="J3518" s="43"/>
      <c r="K3518" s="51"/>
      <c r="L3518" s="86"/>
      <c r="M3518" s="45"/>
      <c r="N3518" s="45"/>
    </row>
    <row r="3519" spans="1:14" ht="15" x14ac:dyDescent="0.25">
      <c r="A3519" s="1">
        <v>3510</v>
      </c>
      <c r="B3519" s="1" t="s">
        <v>454</v>
      </c>
      <c r="C3519" s="32">
        <v>2995</v>
      </c>
      <c r="D3519" s="1">
        <v>13000</v>
      </c>
      <c r="E3519" s="1"/>
      <c r="F3519" s="1">
        <v>144.83000000000001</v>
      </c>
      <c r="G3519" s="1">
        <v>13000</v>
      </c>
      <c r="H3519" s="5">
        <f t="shared" si="72"/>
        <v>0</v>
      </c>
      <c r="I3519" s="6"/>
      <c r="J3519" s="43"/>
      <c r="K3519" s="51"/>
      <c r="L3519" s="86"/>
      <c r="M3519" s="45"/>
      <c r="N3519" s="45"/>
    </row>
    <row r="3520" spans="1:14" ht="15" x14ac:dyDescent="0.25">
      <c r="A3520" s="1">
        <v>3511</v>
      </c>
      <c r="B3520" s="1" t="s">
        <v>454</v>
      </c>
      <c r="C3520" s="32">
        <v>8259</v>
      </c>
      <c r="D3520" s="1">
        <v>17000</v>
      </c>
      <c r="E3520" s="1"/>
      <c r="F3520" s="1">
        <v>189.35</v>
      </c>
      <c r="G3520" s="1">
        <v>17000</v>
      </c>
      <c r="H3520" s="5">
        <f t="shared" si="72"/>
        <v>0</v>
      </c>
      <c r="I3520" s="6"/>
      <c r="J3520" s="43"/>
      <c r="K3520" s="51"/>
      <c r="L3520" s="86"/>
      <c r="M3520" s="45"/>
      <c r="N3520" s="45"/>
    </row>
    <row r="3521" spans="1:14" ht="15" x14ac:dyDescent="0.25">
      <c r="A3521" s="1">
        <v>3512</v>
      </c>
      <c r="B3521" s="1" t="s">
        <v>454</v>
      </c>
      <c r="C3521" s="32">
        <v>1046</v>
      </c>
      <c r="D3521" s="1">
        <v>13000</v>
      </c>
      <c r="E3521" s="1"/>
      <c r="F3521" s="1">
        <v>144.83000000000001</v>
      </c>
      <c r="G3521" s="1">
        <v>13000</v>
      </c>
      <c r="H3521" s="5">
        <f t="shared" si="72"/>
        <v>0</v>
      </c>
      <c r="I3521" s="6"/>
      <c r="J3521" s="43"/>
      <c r="K3521" s="51"/>
      <c r="L3521" s="86"/>
      <c r="M3521" s="45"/>
      <c r="N3521" s="45"/>
    </row>
    <row r="3522" spans="1:14" ht="15" x14ac:dyDescent="0.25">
      <c r="A3522" s="1">
        <v>3513</v>
      </c>
      <c r="B3522" s="1" t="s">
        <v>454</v>
      </c>
      <c r="C3522" s="32">
        <v>1329</v>
      </c>
      <c r="D3522" s="1">
        <v>21000</v>
      </c>
      <c r="E3522" s="1"/>
      <c r="F3522" s="1">
        <v>233.46</v>
      </c>
      <c r="G3522" s="1">
        <v>21000</v>
      </c>
      <c r="H3522" s="5">
        <f t="shared" si="72"/>
        <v>0</v>
      </c>
      <c r="I3522" s="6"/>
      <c r="J3522" s="43"/>
      <c r="K3522" s="51"/>
      <c r="L3522" s="86"/>
      <c r="M3522" s="45"/>
      <c r="N3522" s="45"/>
    </row>
    <row r="3523" spans="1:14" ht="15" x14ac:dyDescent="0.25">
      <c r="A3523" s="1">
        <v>3514</v>
      </c>
      <c r="B3523" s="1" t="s">
        <v>454</v>
      </c>
      <c r="C3523" s="32">
        <v>3826</v>
      </c>
      <c r="D3523" s="1">
        <v>25896</v>
      </c>
      <c r="E3523" s="1"/>
      <c r="F3523" s="1">
        <v>288.5</v>
      </c>
      <c r="G3523" s="1">
        <v>25896</v>
      </c>
      <c r="H3523" s="5">
        <f t="shared" si="72"/>
        <v>0</v>
      </c>
      <c r="I3523" s="6"/>
      <c r="J3523" s="43"/>
      <c r="K3523" s="51"/>
      <c r="L3523" s="86"/>
      <c r="M3523" s="45"/>
      <c r="N3523" s="45"/>
    </row>
    <row r="3524" spans="1:14" ht="15" x14ac:dyDescent="0.25">
      <c r="A3524" s="1">
        <v>3515</v>
      </c>
      <c r="B3524" s="1" t="s">
        <v>454</v>
      </c>
      <c r="C3524" s="32">
        <v>7567</v>
      </c>
      <c r="D3524" s="1">
        <v>27000</v>
      </c>
      <c r="E3524" s="1"/>
      <c r="F3524" s="1">
        <v>268.8</v>
      </c>
      <c r="G3524" s="1">
        <v>27000</v>
      </c>
      <c r="H3524" s="5">
        <f t="shared" si="72"/>
        <v>0</v>
      </c>
      <c r="I3524" s="6"/>
      <c r="J3524" s="43"/>
      <c r="K3524" s="51"/>
      <c r="L3524" s="86"/>
      <c r="M3524" s="45"/>
      <c r="N3524" s="45"/>
    </row>
    <row r="3525" spans="1:14" ht="15" x14ac:dyDescent="0.25">
      <c r="A3525" s="1">
        <v>3516</v>
      </c>
      <c r="B3525" s="1" t="s">
        <v>454</v>
      </c>
      <c r="C3525" s="32">
        <v>5137</v>
      </c>
      <c r="D3525" s="1">
        <v>26000</v>
      </c>
      <c r="E3525" s="1"/>
      <c r="F3525" s="1">
        <v>289.66000000000003</v>
      </c>
      <c r="G3525" s="1">
        <v>26000</v>
      </c>
      <c r="H3525" s="5">
        <f t="shared" si="72"/>
        <v>0</v>
      </c>
      <c r="I3525" s="6"/>
      <c r="J3525" s="43"/>
      <c r="K3525" s="51"/>
      <c r="L3525" s="86"/>
      <c r="M3525" s="45"/>
      <c r="N3525" s="45"/>
    </row>
    <row r="3526" spans="1:14" ht="15" x14ac:dyDescent="0.25">
      <c r="A3526" s="1">
        <v>3517</v>
      </c>
      <c r="B3526" s="1" t="s">
        <v>454</v>
      </c>
      <c r="C3526" s="32">
        <v>9550</v>
      </c>
      <c r="D3526" s="1">
        <v>32000</v>
      </c>
      <c r="E3526" s="1"/>
      <c r="F3526" s="1">
        <v>356.51</v>
      </c>
      <c r="G3526" s="1">
        <v>32000</v>
      </c>
      <c r="H3526" s="5">
        <f t="shared" si="72"/>
        <v>0</v>
      </c>
      <c r="I3526" s="6"/>
      <c r="J3526" s="43"/>
      <c r="K3526" s="51"/>
      <c r="L3526" s="86"/>
      <c r="M3526" s="45"/>
      <c r="N3526" s="45"/>
    </row>
    <row r="3527" spans="1:14" ht="15" x14ac:dyDescent="0.25">
      <c r="A3527" s="1">
        <v>3518</v>
      </c>
      <c r="B3527" s="1" t="s">
        <v>454</v>
      </c>
      <c r="C3527" s="32">
        <v>9384</v>
      </c>
      <c r="D3527" s="1">
        <v>31000</v>
      </c>
      <c r="E3527" s="1"/>
      <c r="F3527" s="1">
        <v>324.25</v>
      </c>
      <c r="G3527" s="1">
        <v>31000</v>
      </c>
      <c r="H3527" s="5">
        <f t="shared" si="72"/>
        <v>0</v>
      </c>
      <c r="I3527" s="6"/>
      <c r="J3527" s="43"/>
      <c r="K3527" s="51"/>
      <c r="L3527" s="86"/>
      <c r="M3527" s="45"/>
      <c r="N3527" s="45"/>
    </row>
    <row r="3528" spans="1:14" ht="15" x14ac:dyDescent="0.25">
      <c r="A3528" s="1">
        <v>3519</v>
      </c>
      <c r="B3528" s="1" t="s">
        <v>454</v>
      </c>
      <c r="C3528" s="32">
        <v>2726</v>
      </c>
      <c r="D3528" s="1">
        <v>15000</v>
      </c>
      <c r="E3528" s="1"/>
      <c r="F3528" s="1">
        <v>167.15</v>
      </c>
      <c r="G3528" s="1">
        <v>15000</v>
      </c>
      <c r="H3528" s="5">
        <f t="shared" si="72"/>
        <v>0</v>
      </c>
      <c r="I3528" s="6"/>
      <c r="J3528" s="43"/>
      <c r="K3528" s="51"/>
      <c r="L3528" s="86"/>
      <c r="M3528" s="45"/>
      <c r="N3528" s="45"/>
    </row>
    <row r="3529" spans="1:14" ht="15" x14ac:dyDescent="0.25">
      <c r="A3529" s="1">
        <v>3520</v>
      </c>
      <c r="B3529" s="1" t="s">
        <v>454</v>
      </c>
      <c r="C3529" s="32">
        <v>7605</v>
      </c>
      <c r="D3529" s="1">
        <v>25000</v>
      </c>
      <c r="E3529" s="1"/>
      <c r="F3529" s="1">
        <v>278.22000000000003</v>
      </c>
      <c r="G3529" s="1">
        <v>25000</v>
      </c>
      <c r="H3529" s="5">
        <f t="shared" si="72"/>
        <v>0</v>
      </c>
      <c r="I3529" s="6"/>
      <c r="J3529" s="43"/>
      <c r="K3529" s="51"/>
      <c r="L3529" s="86"/>
      <c r="M3529" s="45"/>
      <c r="N3529" s="45"/>
    </row>
    <row r="3530" spans="1:14" ht="15" x14ac:dyDescent="0.25">
      <c r="A3530" s="1">
        <v>3521</v>
      </c>
      <c r="B3530" s="1" t="s">
        <v>454</v>
      </c>
      <c r="C3530" s="32">
        <v>2897</v>
      </c>
      <c r="D3530" s="1">
        <v>25000</v>
      </c>
      <c r="E3530" s="1"/>
      <c r="F3530" s="1">
        <v>278.22000000000003</v>
      </c>
      <c r="G3530" s="1">
        <v>25000</v>
      </c>
      <c r="H3530" s="5">
        <f t="shared" si="72"/>
        <v>0</v>
      </c>
      <c r="I3530" s="6"/>
      <c r="J3530" s="43"/>
      <c r="K3530" s="51"/>
      <c r="L3530" s="86"/>
      <c r="M3530" s="45"/>
      <c r="N3530" s="45"/>
    </row>
    <row r="3531" spans="1:14" ht="15" x14ac:dyDescent="0.25">
      <c r="A3531" s="1">
        <v>3522</v>
      </c>
      <c r="B3531" s="1" t="s">
        <v>454</v>
      </c>
      <c r="C3531" s="32">
        <v>5487</v>
      </c>
      <c r="D3531" s="1">
        <v>25000</v>
      </c>
      <c r="E3531" s="1"/>
      <c r="F3531" s="1">
        <v>278.22000000000003</v>
      </c>
      <c r="G3531" s="1">
        <v>25000</v>
      </c>
      <c r="H3531" s="5">
        <f t="shared" si="72"/>
        <v>0</v>
      </c>
      <c r="I3531" s="6"/>
      <c r="J3531" s="43"/>
      <c r="K3531" s="51"/>
      <c r="L3531" s="86"/>
      <c r="M3531" s="45"/>
      <c r="N3531" s="45"/>
    </row>
    <row r="3532" spans="1:14" ht="15" x14ac:dyDescent="0.25">
      <c r="A3532" s="1">
        <v>3523</v>
      </c>
      <c r="B3532" s="1" t="s">
        <v>455</v>
      </c>
      <c r="C3532" s="32">
        <v>6758</v>
      </c>
      <c r="D3532" s="1">
        <v>13000</v>
      </c>
      <c r="E3532" s="1"/>
      <c r="F3532" s="1">
        <v>144.13</v>
      </c>
      <c r="G3532" s="1">
        <v>13000</v>
      </c>
      <c r="H3532" s="5">
        <f t="shared" si="72"/>
        <v>0</v>
      </c>
      <c r="I3532" s="6"/>
      <c r="J3532" s="43"/>
      <c r="K3532" s="51"/>
      <c r="L3532" s="86"/>
      <c r="M3532" s="45"/>
      <c r="N3532" s="45"/>
    </row>
    <row r="3533" spans="1:14" ht="15" x14ac:dyDescent="0.25">
      <c r="A3533" s="1">
        <v>3524</v>
      </c>
      <c r="B3533" s="1" t="s">
        <v>455</v>
      </c>
      <c r="C3533" s="32">
        <v>3398</v>
      </c>
      <c r="D3533" s="1">
        <v>13000</v>
      </c>
      <c r="E3533" s="1"/>
      <c r="F3533" s="1">
        <v>144.13</v>
      </c>
      <c r="G3533" s="1">
        <v>13000</v>
      </c>
      <c r="H3533" s="5">
        <f t="shared" si="72"/>
        <v>0</v>
      </c>
      <c r="I3533" s="6"/>
      <c r="J3533" s="43"/>
      <c r="K3533" s="51"/>
      <c r="L3533" s="86"/>
      <c r="M3533" s="45"/>
      <c r="N3533" s="45"/>
    </row>
    <row r="3534" spans="1:14" ht="15" x14ac:dyDescent="0.25">
      <c r="A3534" s="1">
        <v>3525</v>
      </c>
      <c r="B3534" s="1" t="s">
        <v>455</v>
      </c>
      <c r="C3534" s="32">
        <v>4747</v>
      </c>
      <c r="D3534" s="1">
        <v>13000</v>
      </c>
      <c r="E3534" s="1"/>
      <c r="F3534" s="1">
        <v>144.13</v>
      </c>
      <c r="G3534" s="1">
        <v>13000</v>
      </c>
      <c r="H3534" s="5">
        <f t="shared" si="72"/>
        <v>0</v>
      </c>
      <c r="I3534" s="6"/>
      <c r="J3534" s="43"/>
      <c r="K3534" s="51"/>
      <c r="L3534" s="86"/>
      <c r="M3534" s="45"/>
      <c r="N3534" s="45"/>
    </row>
    <row r="3535" spans="1:14" ht="15" x14ac:dyDescent="0.25">
      <c r="A3535" s="1">
        <v>3526</v>
      </c>
      <c r="B3535" s="1" t="s">
        <v>455</v>
      </c>
      <c r="C3535" s="32">
        <v>1452</v>
      </c>
      <c r="D3535" s="1">
        <v>13000</v>
      </c>
      <c r="E3535" s="1"/>
      <c r="F3535" s="1">
        <v>144.13</v>
      </c>
      <c r="G3535" s="1">
        <v>13000</v>
      </c>
      <c r="H3535" s="5">
        <f t="shared" si="72"/>
        <v>0</v>
      </c>
      <c r="I3535" s="6"/>
      <c r="J3535" s="43"/>
      <c r="K3535" s="51"/>
      <c r="L3535" s="86"/>
      <c r="M3535" s="45"/>
      <c r="N3535" s="45"/>
    </row>
    <row r="3536" spans="1:14" ht="15" x14ac:dyDescent="0.25">
      <c r="A3536" s="1">
        <v>3527</v>
      </c>
      <c r="B3536" s="1" t="s">
        <v>455</v>
      </c>
      <c r="C3536" s="32">
        <v>2497</v>
      </c>
      <c r="D3536" s="1">
        <v>13000</v>
      </c>
      <c r="E3536" s="1"/>
      <c r="F3536" s="1">
        <v>144.13</v>
      </c>
      <c r="G3536" s="1">
        <v>13000</v>
      </c>
      <c r="H3536" s="5">
        <f t="shared" si="72"/>
        <v>0</v>
      </c>
      <c r="I3536" s="6"/>
      <c r="J3536" s="43"/>
      <c r="K3536" s="51"/>
      <c r="L3536" s="86"/>
      <c r="M3536" s="45"/>
      <c r="N3536" s="45"/>
    </row>
    <row r="3537" spans="1:14" ht="15" x14ac:dyDescent="0.25">
      <c r="A3537" s="1">
        <v>3528</v>
      </c>
      <c r="B3537" s="1" t="s">
        <v>455</v>
      </c>
      <c r="C3537" s="32">
        <v>9179</v>
      </c>
      <c r="D3537" s="1">
        <v>14000</v>
      </c>
      <c r="E3537" s="1"/>
      <c r="F3537" s="1">
        <v>155.9</v>
      </c>
      <c r="G3537" s="1">
        <v>14000</v>
      </c>
      <c r="H3537" s="5">
        <f t="shared" si="72"/>
        <v>0</v>
      </c>
      <c r="I3537" s="6"/>
      <c r="J3537" s="43"/>
      <c r="K3537" s="51"/>
      <c r="L3537" s="86"/>
      <c r="M3537" s="45"/>
      <c r="N3537" s="45"/>
    </row>
    <row r="3538" spans="1:14" ht="15" x14ac:dyDescent="0.25">
      <c r="A3538" s="1">
        <v>3529</v>
      </c>
      <c r="B3538" s="1" t="s">
        <v>455</v>
      </c>
      <c r="C3538" s="32">
        <v>1752</v>
      </c>
      <c r="D3538" s="1">
        <v>14000</v>
      </c>
      <c r="E3538" s="1"/>
      <c r="F3538" s="1">
        <v>155.9</v>
      </c>
      <c r="G3538" s="1">
        <v>14000</v>
      </c>
      <c r="H3538" s="5">
        <f t="shared" si="72"/>
        <v>0</v>
      </c>
      <c r="I3538" s="6"/>
      <c r="J3538" s="43"/>
      <c r="K3538" s="51"/>
      <c r="L3538" s="86"/>
      <c r="M3538" s="45"/>
      <c r="N3538" s="45"/>
    </row>
    <row r="3539" spans="1:14" ht="15" x14ac:dyDescent="0.25">
      <c r="A3539" s="1">
        <v>3530</v>
      </c>
      <c r="B3539" s="1" t="s">
        <v>455</v>
      </c>
      <c r="C3539" s="32">
        <v>9977</v>
      </c>
      <c r="D3539" s="1">
        <v>14000</v>
      </c>
      <c r="E3539" s="1"/>
      <c r="F3539" s="1">
        <v>155.9</v>
      </c>
      <c r="G3539" s="1">
        <v>14000</v>
      </c>
      <c r="H3539" s="5">
        <f t="shared" si="72"/>
        <v>0</v>
      </c>
      <c r="I3539" s="6"/>
      <c r="J3539" s="43"/>
      <c r="K3539" s="51"/>
      <c r="L3539" s="86"/>
      <c r="M3539" s="45"/>
      <c r="N3539" s="45"/>
    </row>
    <row r="3540" spans="1:14" ht="15" x14ac:dyDescent="0.25">
      <c r="A3540" s="1">
        <v>3531</v>
      </c>
      <c r="B3540" s="1" t="s">
        <v>455</v>
      </c>
      <c r="C3540" s="32">
        <v>1167</v>
      </c>
      <c r="D3540" s="1">
        <v>14000</v>
      </c>
      <c r="E3540" s="1"/>
      <c r="F3540" s="1">
        <v>155.9</v>
      </c>
      <c r="G3540" s="1">
        <v>14000</v>
      </c>
      <c r="H3540" s="5">
        <f t="shared" si="72"/>
        <v>0</v>
      </c>
      <c r="I3540" s="6"/>
      <c r="J3540" s="43"/>
      <c r="K3540" s="51"/>
      <c r="L3540" s="86"/>
      <c r="M3540" s="45"/>
      <c r="N3540" s="45"/>
    </row>
    <row r="3541" spans="1:14" ht="15" x14ac:dyDescent="0.25">
      <c r="A3541" s="1">
        <v>3532</v>
      </c>
      <c r="B3541" s="1" t="s">
        <v>455</v>
      </c>
      <c r="C3541" s="32">
        <v>1352</v>
      </c>
      <c r="D3541" s="1">
        <v>11000</v>
      </c>
      <c r="E3541" s="1"/>
      <c r="F3541" s="1">
        <v>122.5</v>
      </c>
      <c r="G3541" s="1">
        <v>11000</v>
      </c>
      <c r="H3541" s="5">
        <f t="shared" si="72"/>
        <v>0</v>
      </c>
      <c r="I3541" s="6"/>
      <c r="J3541" s="43"/>
      <c r="K3541" s="51"/>
      <c r="L3541" s="86"/>
      <c r="M3541" s="45"/>
      <c r="N3541" s="45"/>
    </row>
    <row r="3542" spans="1:14" ht="15" x14ac:dyDescent="0.25">
      <c r="A3542" s="1">
        <v>3533</v>
      </c>
      <c r="B3542" s="1" t="s">
        <v>455</v>
      </c>
      <c r="C3542" s="32">
        <v>6048</v>
      </c>
      <c r="D3542" s="1">
        <v>12000</v>
      </c>
      <c r="E3542" s="1"/>
      <c r="F3542" s="1">
        <v>133.6</v>
      </c>
      <c r="G3542" s="1">
        <v>12000</v>
      </c>
      <c r="H3542" s="5">
        <f t="shared" si="72"/>
        <v>0</v>
      </c>
      <c r="I3542" s="6"/>
      <c r="J3542" s="43"/>
      <c r="K3542" s="51"/>
      <c r="L3542" s="86"/>
      <c r="M3542" s="45"/>
      <c r="N3542" s="45"/>
    </row>
    <row r="3543" spans="1:14" ht="15" x14ac:dyDescent="0.25">
      <c r="A3543" s="1">
        <v>3534</v>
      </c>
      <c r="B3543" s="1" t="s">
        <v>455</v>
      </c>
      <c r="C3543" s="32" t="s">
        <v>30</v>
      </c>
      <c r="D3543" s="1">
        <v>5000</v>
      </c>
      <c r="E3543" s="1"/>
      <c r="F3543" s="1">
        <v>55.7</v>
      </c>
      <c r="G3543" s="1">
        <v>5000</v>
      </c>
      <c r="H3543" s="5">
        <f t="shared" si="72"/>
        <v>0</v>
      </c>
      <c r="I3543" s="6"/>
      <c r="J3543" s="43"/>
      <c r="K3543" s="51"/>
      <c r="L3543" s="86"/>
      <c r="M3543" s="45"/>
      <c r="N3543" s="45"/>
    </row>
    <row r="3544" spans="1:14" ht="15" x14ac:dyDescent="0.25">
      <c r="A3544" s="1">
        <v>3535</v>
      </c>
      <c r="B3544" s="1" t="s">
        <v>455</v>
      </c>
      <c r="C3544" s="32">
        <v>6931</v>
      </c>
      <c r="D3544" s="1">
        <v>17000</v>
      </c>
      <c r="E3544" s="1"/>
      <c r="F3544" s="1">
        <v>189.32</v>
      </c>
      <c r="G3544" s="1">
        <v>17000</v>
      </c>
      <c r="H3544" s="5">
        <f t="shared" si="72"/>
        <v>0</v>
      </c>
      <c r="I3544" s="6"/>
      <c r="J3544" s="43"/>
      <c r="K3544" s="51"/>
      <c r="L3544" s="86"/>
      <c r="M3544" s="45"/>
      <c r="N3544" s="45"/>
    </row>
    <row r="3545" spans="1:14" ht="15" x14ac:dyDescent="0.25">
      <c r="A3545" s="1">
        <v>3536</v>
      </c>
      <c r="B3545" s="1" t="s">
        <v>455</v>
      </c>
      <c r="C3545" s="32">
        <v>3529</v>
      </c>
      <c r="D3545" s="1">
        <v>17000</v>
      </c>
      <c r="E3545" s="1"/>
      <c r="F3545" s="1">
        <v>189.32</v>
      </c>
      <c r="G3545" s="1">
        <v>17000</v>
      </c>
      <c r="H3545" s="5">
        <f t="shared" ref="H3545:H3608" si="73">D3545-G3545</f>
        <v>0</v>
      </c>
      <c r="I3545" s="6"/>
      <c r="J3545" s="43"/>
      <c r="K3545" s="51"/>
      <c r="L3545" s="86"/>
      <c r="M3545" s="45"/>
      <c r="N3545" s="45"/>
    </row>
    <row r="3546" spans="1:14" ht="15" x14ac:dyDescent="0.25">
      <c r="A3546" s="1">
        <v>3537</v>
      </c>
      <c r="B3546" s="1" t="s">
        <v>455</v>
      </c>
      <c r="C3546" s="32">
        <v>5252</v>
      </c>
      <c r="D3546" s="1">
        <v>16000</v>
      </c>
      <c r="E3546" s="1"/>
      <c r="F3546" s="1">
        <v>178.22</v>
      </c>
      <c r="G3546" s="1">
        <v>16000</v>
      </c>
      <c r="H3546" s="5">
        <f t="shared" si="73"/>
        <v>0</v>
      </c>
      <c r="I3546" s="6"/>
      <c r="J3546" s="43"/>
      <c r="K3546" s="51"/>
      <c r="L3546" s="86"/>
      <c r="M3546" s="45"/>
      <c r="N3546" s="45"/>
    </row>
    <row r="3547" spans="1:14" ht="15" x14ac:dyDescent="0.25">
      <c r="A3547" s="1">
        <v>3538</v>
      </c>
      <c r="B3547" s="1" t="s">
        <v>455</v>
      </c>
      <c r="C3547" s="32">
        <v>2828</v>
      </c>
      <c r="D3547" s="1">
        <v>20000</v>
      </c>
      <c r="E3547" s="1"/>
      <c r="F3547" s="1">
        <v>222.82</v>
      </c>
      <c r="G3547" s="1">
        <v>20000</v>
      </c>
      <c r="H3547" s="5">
        <f t="shared" si="73"/>
        <v>0</v>
      </c>
      <c r="I3547" s="6"/>
      <c r="J3547" s="43"/>
      <c r="K3547" s="51"/>
      <c r="L3547" s="86"/>
      <c r="M3547" s="45"/>
      <c r="N3547" s="45"/>
    </row>
    <row r="3548" spans="1:14" ht="15" x14ac:dyDescent="0.25">
      <c r="A3548" s="1">
        <v>3539</v>
      </c>
      <c r="B3548" s="1" t="s">
        <v>455</v>
      </c>
      <c r="C3548" s="32">
        <v>5657</v>
      </c>
      <c r="D3548" s="1">
        <v>20000</v>
      </c>
      <c r="E3548" s="1"/>
      <c r="F3548" s="1">
        <v>222.82</v>
      </c>
      <c r="G3548" s="1">
        <v>20000</v>
      </c>
      <c r="H3548" s="5">
        <f t="shared" si="73"/>
        <v>0</v>
      </c>
      <c r="I3548" s="6"/>
      <c r="J3548" s="43"/>
      <c r="K3548" s="51"/>
      <c r="L3548" s="86"/>
      <c r="M3548" s="45"/>
      <c r="N3548" s="45"/>
    </row>
    <row r="3549" spans="1:14" ht="15" x14ac:dyDescent="0.25">
      <c r="A3549" s="1">
        <v>3540</v>
      </c>
      <c r="B3549" s="1" t="s">
        <v>455</v>
      </c>
      <c r="C3549" s="32">
        <v>3662</v>
      </c>
      <c r="D3549" s="1">
        <v>20000</v>
      </c>
      <c r="E3549" s="1"/>
      <c r="F3549" s="1">
        <v>222.82</v>
      </c>
      <c r="G3549" s="1">
        <v>20000</v>
      </c>
      <c r="H3549" s="5">
        <f t="shared" si="73"/>
        <v>0</v>
      </c>
      <c r="I3549" s="6"/>
      <c r="J3549" s="43"/>
      <c r="K3549" s="51"/>
      <c r="L3549" s="86"/>
      <c r="M3549" s="45"/>
      <c r="N3549" s="45"/>
    </row>
    <row r="3550" spans="1:14" ht="15" x14ac:dyDescent="0.25">
      <c r="A3550" s="1">
        <v>3541</v>
      </c>
      <c r="B3550" s="1" t="s">
        <v>455</v>
      </c>
      <c r="C3550" s="32" t="s">
        <v>66</v>
      </c>
      <c r="D3550" s="1">
        <v>210</v>
      </c>
      <c r="E3550" s="1"/>
      <c r="F3550" s="1">
        <v>2.08</v>
      </c>
      <c r="G3550" s="1">
        <v>210</v>
      </c>
      <c r="H3550" s="5">
        <f t="shared" si="73"/>
        <v>0</v>
      </c>
      <c r="I3550" s="6"/>
      <c r="J3550" s="43"/>
      <c r="K3550" s="51"/>
      <c r="L3550" s="86"/>
      <c r="M3550" s="45"/>
      <c r="N3550" s="45"/>
    </row>
    <row r="3551" spans="1:14" ht="15" x14ac:dyDescent="0.25">
      <c r="A3551" s="1">
        <v>3542</v>
      </c>
      <c r="B3551" s="1" t="s">
        <v>455</v>
      </c>
      <c r="C3551" s="32">
        <v>2192</v>
      </c>
      <c r="D3551" s="1">
        <v>23000</v>
      </c>
      <c r="E3551" s="1"/>
      <c r="F3551" s="1">
        <v>256.24</v>
      </c>
      <c r="G3551" s="1">
        <v>23000</v>
      </c>
      <c r="H3551" s="5">
        <f t="shared" si="73"/>
        <v>0</v>
      </c>
      <c r="I3551" s="6"/>
      <c r="J3551" s="43"/>
      <c r="K3551" s="51"/>
      <c r="L3551" s="86"/>
      <c r="M3551" s="45"/>
      <c r="N3551" s="45"/>
    </row>
    <row r="3552" spans="1:14" ht="15" x14ac:dyDescent="0.25">
      <c r="A3552" s="1">
        <v>3543</v>
      </c>
      <c r="B3552" s="1" t="s">
        <v>455</v>
      </c>
      <c r="C3552" s="32">
        <v>6251</v>
      </c>
      <c r="D3552" s="1">
        <v>23000</v>
      </c>
      <c r="E3552" s="1"/>
      <c r="F3552" s="1">
        <v>256.24</v>
      </c>
      <c r="G3552" s="1">
        <v>23000</v>
      </c>
      <c r="H3552" s="5">
        <f t="shared" si="73"/>
        <v>0</v>
      </c>
      <c r="I3552" s="6"/>
      <c r="J3552" s="43"/>
      <c r="K3552" s="51"/>
      <c r="L3552" s="86"/>
      <c r="M3552" s="45"/>
      <c r="N3552" s="45"/>
    </row>
    <row r="3553" spans="1:14" ht="15" x14ac:dyDescent="0.25">
      <c r="A3553" s="1">
        <v>3544</v>
      </c>
      <c r="B3553" s="1" t="s">
        <v>455</v>
      </c>
      <c r="C3553" s="32">
        <v>4413</v>
      </c>
      <c r="D3553" s="1">
        <v>25000</v>
      </c>
      <c r="E3553" s="1"/>
      <c r="F3553" s="1">
        <v>278.22000000000003</v>
      </c>
      <c r="G3553" s="1">
        <v>25000</v>
      </c>
      <c r="H3553" s="5">
        <f t="shared" si="73"/>
        <v>0</v>
      </c>
      <c r="I3553" s="6"/>
      <c r="J3553" s="43"/>
      <c r="K3553" s="51"/>
      <c r="L3553" s="86"/>
      <c r="M3553" s="45"/>
      <c r="N3553" s="45"/>
    </row>
    <row r="3554" spans="1:14" ht="15" x14ac:dyDescent="0.25">
      <c r="A3554" s="1">
        <v>3545</v>
      </c>
      <c r="B3554" s="1" t="s">
        <v>455</v>
      </c>
      <c r="C3554" s="32">
        <v>1212</v>
      </c>
      <c r="D3554" s="1">
        <v>25000</v>
      </c>
      <c r="E3554" s="1"/>
      <c r="F3554" s="1">
        <v>278.22000000000003</v>
      </c>
      <c r="G3554" s="1">
        <v>25000</v>
      </c>
      <c r="H3554" s="5">
        <f t="shared" si="73"/>
        <v>0</v>
      </c>
      <c r="I3554" s="6"/>
      <c r="J3554" s="43"/>
      <c r="K3554" s="51"/>
      <c r="L3554" s="86"/>
      <c r="M3554" s="45"/>
      <c r="N3554" s="45"/>
    </row>
    <row r="3555" spans="1:14" ht="15" x14ac:dyDescent="0.25">
      <c r="A3555" s="1">
        <v>3546</v>
      </c>
      <c r="B3555" s="1" t="s">
        <v>455</v>
      </c>
      <c r="C3555" s="32">
        <v>2153</v>
      </c>
      <c r="D3555" s="1">
        <v>25000</v>
      </c>
      <c r="E3555" s="1"/>
      <c r="F3555" s="1">
        <v>278.22000000000003</v>
      </c>
      <c r="G3555" s="1">
        <v>25000</v>
      </c>
      <c r="H3555" s="5">
        <f t="shared" si="73"/>
        <v>0</v>
      </c>
      <c r="I3555" s="6"/>
      <c r="J3555" s="43"/>
      <c r="K3555" s="51"/>
      <c r="L3555" s="86"/>
      <c r="M3555" s="45"/>
      <c r="N3555" s="45"/>
    </row>
    <row r="3556" spans="1:14" ht="15" x14ac:dyDescent="0.25">
      <c r="A3556" s="1">
        <v>3547</v>
      </c>
      <c r="B3556" s="1" t="s">
        <v>455</v>
      </c>
      <c r="C3556" s="32">
        <v>5088</v>
      </c>
      <c r="D3556" s="1">
        <v>30000</v>
      </c>
      <c r="E3556" s="1"/>
      <c r="F3556" s="1">
        <v>320.25</v>
      </c>
      <c r="G3556" s="1">
        <v>30000</v>
      </c>
      <c r="H3556" s="5">
        <f t="shared" si="73"/>
        <v>0</v>
      </c>
      <c r="I3556" s="6"/>
      <c r="J3556" s="43"/>
      <c r="K3556" s="51"/>
      <c r="L3556" s="86"/>
      <c r="M3556" s="45"/>
      <c r="N3556" s="45"/>
    </row>
    <row r="3557" spans="1:14" ht="15" x14ac:dyDescent="0.25">
      <c r="A3557" s="1">
        <v>3548</v>
      </c>
      <c r="B3557" s="1" t="s">
        <v>455</v>
      </c>
      <c r="C3557" s="32">
        <v>9.4000000000000004E-3</v>
      </c>
      <c r="D3557" s="1">
        <v>30000</v>
      </c>
      <c r="E3557" s="1"/>
      <c r="F3557" s="1">
        <v>320.25</v>
      </c>
      <c r="G3557" s="1">
        <v>30000</v>
      </c>
      <c r="H3557" s="5">
        <f t="shared" si="73"/>
        <v>0</v>
      </c>
      <c r="I3557" s="6"/>
      <c r="J3557" s="43"/>
      <c r="K3557" s="51"/>
      <c r="L3557" s="86"/>
      <c r="M3557" s="45"/>
      <c r="N3557" s="45"/>
    </row>
    <row r="3558" spans="1:14" ht="15" x14ac:dyDescent="0.25">
      <c r="A3558" s="1">
        <v>3549</v>
      </c>
      <c r="B3558" s="1" t="s">
        <v>455</v>
      </c>
      <c r="C3558" s="32">
        <v>1235</v>
      </c>
      <c r="D3558" s="1">
        <v>34000</v>
      </c>
      <c r="E3558" s="1"/>
      <c r="F3558" s="1">
        <v>378.25</v>
      </c>
      <c r="G3558" s="1">
        <v>34000</v>
      </c>
      <c r="H3558" s="5">
        <f t="shared" si="73"/>
        <v>0</v>
      </c>
      <c r="I3558" s="6"/>
      <c r="J3558" s="43"/>
      <c r="K3558" s="51"/>
      <c r="L3558" s="86"/>
      <c r="M3558" s="45"/>
      <c r="N3558" s="45"/>
    </row>
    <row r="3559" spans="1:14" ht="15" x14ac:dyDescent="0.25">
      <c r="A3559" s="1">
        <v>3550</v>
      </c>
      <c r="B3559" s="1" t="s">
        <v>455</v>
      </c>
      <c r="C3559" s="32">
        <v>8.6900000000000005E-2</v>
      </c>
      <c r="D3559" s="1">
        <v>33000</v>
      </c>
      <c r="E3559" s="1"/>
      <c r="F3559" s="1">
        <v>356.25</v>
      </c>
      <c r="G3559" s="1">
        <v>33000</v>
      </c>
      <c r="H3559" s="5">
        <f t="shared" si="73"/>
        <v>0</v>
      </c>
      <c r="I3559" s="6"/>
      <c r="J3559" s="43"/>
      <c r="K3559" s="51"/>
      <c r="L3559" s="86">
        <f>2224657-2430595</f>
        <v>-205938</v>
      </c>
      <c r="M3559" s="45" t="s">
        <v>453</v>
      </c>
      <c r="N3559" s="45">
        <f>205938-205316</f>
        <v>622</v>
      </c>
    </row>
    <row r="3560" spans="1:14" ht="15" x14ac:dyDescent="0.25">
      <c r="A3560" s="1">
        <v>3551</v>
      </c>
      <c r="B3560" s="1" t="s">
        <v>456</v>
      </c>
      <c r="C3560" s="32">
        <v>5.1999999999999998E-3</v>
      </c>
      <c r="D3560" s="1">
        <v>16000</v>
      </c>
      <c r="E3560" s="1"/>
      <c r="F3560" s="1">
        <v>178.22</v>
      </c>
      <c r="G3560" s="1">
        <v>16000</v>
      </c>
      <c r="H3560" s="5">
        <f t="shared" si="73"/>
        <v>0</v>
      </c>
      <c r="I3560" s="6"/>
      <c r="J3560" s="43"/>
      <c r="K3560" s="51"/>
      <c r="L3560" s="86"/>
      <c r="M3560" s="45"/>
      <c r="N3560" s="45"/>
    </row>
    <row r="3561" spans="1:14" ht="15" x14ac:dyDescent="0.25">
      <c r="A3561" s="1">
        <v>3552</v>
      </c>
      <c r="B3561" s="1" t="s">
        <v>456</v>
      </c>
      <c r="C3561" s="32">
        <v>2681</v>
      </c>
      <c r="D3561" s="1">
        <v>16000</v>
      </c>
      <c r="E3561" s="1"/>
      <c r="F3561" s="1">
        <v>178.22</v>
      </c>
      <c r="G3561" s="1">
        <v>16000</v>
      </c>
      <c r="H3561" s="5">
        <f t="shared" si="73"/>
        <v>0</v>
      </c>
      <c r="I3561" s="6"/>
      <c r="J3561" s="43"/>
      <c r="K3561" s="51"/>
      <c r="L3561" s="86"/>
      <c r="M3561" s="45"/>
      <c r="N3561" s="45"/>
    </row>
    <row r="3562" spans="1:14" ht="15" x14ac:dyDescent="0.25">
      <c r="A3562" s="1">
        <v>3553</v>
      </c>
      <c r="B3562" s="1" t="s">
        <v>456</v>
      </c>
      <c r="C3562" s="32">
        <v>5931</v>
      </c>
      <c r="D3562" s="1">
        <v>16000</v>
      </c>
      <c r="E3562" s="1"/>
      <c r="F3562" s="1">
        <v>178.22</v>
      </c>
      <c r="G3562" s="1">
        <v>16000</v>
      </c>
      <c r="H3562" s="5">
        <f t="shared" si="73"/>
        <v>0</v>
      </c>
      <c r="I3562" s="6"/>
      <c r="J3562" s="43"/>
      <c r="K3562" s="51"/>
      <c r="L3562" s="86"/>
      <c r="M3562" s="45"/>
      <c r="N3562" s="45"/>
    </row>
    <row r="3563" spans="1:14" ht="15" x14ac:dyDescent="0.25">
      <c r="A3563" s="1">
        <v>3554</v>
      </c>
      <c r="B3563" s="1" t="s">
        <v>456</v>
      </c>
      <c r="C3563" s="32">
        <v>1168</v>
      </c>
      <c r="D3563" s="1">
        <v>14000</v>
      </c>
      <c r="E3563" s="1"/>
      <c r="F3563" s="1">
        <v>155.25</v>
      </c>
      <c r="G3563" s="1">
        <v>14000</v>
      </c>
      <c r="H3563" s="5">
        <f t="shared" si="73"/>
        <v>0</v>
      </c>
      <c r="I3563" s="6"/>
      <c r="J3563" s="43"/>
      <c r="K3563" s="51"/>
      <c r="L3563" s="86"/>
      <c r="M3563" s="45"/>
      <c r="N3563" s="45"/>
    </row>
    <row r="3564" spans="1:14" ht="15" x14ac:dyDescent="0.25">
      <c r="A3564" s="1">
        <v>3555</v>
      </c>
      <c r="B3564" s="1" t="s">
        <v>456</v>
      </c>
      <c r="C3564" s="32">
        <v>2152</v>
      </c>
      <c r="D3564" s="1">
        <v>15000</v>
      </c>
      <c r="E3564" s="1"/>
      <c r="F3564" s="1">
        <v>178.22</v>
      </c>
      <c r="G3564" s="1">
        <v>15000</v>
      </c>
      <c r="H3564" s="5">
        <f t="shared" si="73"/>
        <v>0</v>
      </c>
      <c r="I3564" s="6"/>
      <c r="J3564" s="43"/>
      <c r="K3564" s="51"/>
      <c r="L3564" s="86"/>
      <c r="M3564" s="45"/>
      <c r="N3564" s="45"/>
    </row>
    <row r="3565" spans="1:14" ht="15" x14ac:dyDescent="0.25">
      <c r="A3565" s="1">
        <v>3556</v>
      </c>
      <c r="B3565" s="1" t="s">
        <v>456</v>
      </c>
      <c r="C3565" s="32">
        <v>3197</v>
      </c>
      <c r="D3565" s="1">
        <v>15000</v>
      </c>
      <c r="E3565" s="1"/>
      <c r="F3565" s="1">
        <v>167.15</v>
      </c>
      <c r="G3565" s="1">
        <v>15000</v>
      </c>
      <c r="H3565" s="5">
        <f t="shared" si="73"/>
        <v>0</v>
      </c>
      <c r="I3565" s="6"/>
      <c r="J3565" s="43"/>
      <c r="K3565" s="51"/>
      <c r="L3565" s="86"/>
      <c r="M3565" s="45"/>
      <c r="N3565" s="45"/>
    </row>
    <row r="3566" spans="1:14" ht="15" x14ac:dyDescent="0.25">
      <c r="A3566" s="1">
        <v>3557</v>
      </c>
      <c r="B3566" s="1" t="s">
        <v>456</v>
      </c>
      <c r="C3566" s="32">
        <v>5931</v>
      </c>
      <c r="D3566" s="1">
        <v>17000</v>
      </c>
      <c r="E3566" s="1"/>
      <c r="F3566" s="1">
        <v>189.24</v>
      </c>
      <c r="G3566" s="1">
        <v>17000</v>
      </c>
      <c r="H3566" s="5">
        <f t="shared" si="73"/>
        <v>0</v>
      </c>
      <c r="I3566" s="6"/>
      <c r="J3566" s="43"/>
      <c r="K3566" s="51"/>
      <c r="L3566" s="86"/>
      <c r="M3566" s="45"/>
      <c r="N3566" s="45"/>
    </row>
    <row r="3567" spans="1:14" ht="15" x14ac:dyDescent="0.25">
      <c r="A3567" s="1">
        <v>3558</v>
      </c>
      <c r="B3567" s="1" t="s">
        <v>456</v>
      </c>
      <c r="C3567" s="32">
        <v>5403</v>
      </c>
      <c r="D3567" s="1">
        <v>12000</v>
      </c>
      <c r="E3567" s="1"/>
      <c r="F3567" s="1">
        <v>133.25</v>
      </c>
      <c r="G3567" s="1">
        <v>12000</v>
      </c>
      <c r="H3567" s="5">
        <f t="shared" si="73"/>
        <v>0</v>
      </c>
      <c r="I3567" s="6"/>
      <c r="J3567" s="43"/>
      <c r="K3567" s="51"/>
      <c r="L3567" s="86"/>
      <c r="M3567" s="45"/>
      <c r="N3567" s="45"/>
    </row>
    <row r="3568" spans="1:14" ht="15" x14ac:dyDescent="0.25">
      <c r="A3568" s="1">
        <v>3559</v>
      </c>
      <c r="B3568" s="1" t="s">
        <v>456</v>
      </c>
      <c r="C3568" s="32">
        <v>5681</v>
      </c>
      <c r="D3568" s="1">
        <v>14000</v>
      </c>
      <c r="E3568" s="1"/>
      <c r="F3568" s="1">
        <v>155.25</v>
      </c>
      <c r="G3568" s="1">
        <v>14000</v>
      </c>
      <c r="H3568" s="5">
        <f t="shared" si="73"/>
        <v>0</v>
      </c>
      <c r="I3568" s="6"/>
      <c r="J3568" s="43"/>
      <c r="K3568" s="51"/>
      <c r="L3568" s="86"/>
      <c r="M3568" s="45"/>
      <c r="N3568" s="45"/>
    </row>
    <row r="3569" spans="1:14" ht="15" x14ac:dyDescent="0.25">
      <c r="A3569" s="1">
        <v>3560</v>
      </c>
      <c r="B3569" s="1" t="s">
        <v>456</v>
      </c>
      <c r="C3569" s="32">
        <v>5397</v>
      </c>
      <c r="D3569" s="1">
        <v>15000</v>
      </c>
      <c r="E3569" s="1"/>
      <c r="F3569" s="1">
        <v>167.15</v>
      </c>
      <c r="G3569" s="1">
        <v>15000</v>
      </c>
      <c r="H3569" s="5">
        <f t="shared" si="73"/>
        <v>0</v>
      </c>
      <c r="I3569" s="6"/>
      <c r="J3569" s="43"/>
      <c r="K3569" s="51"/>
      <c r="L3569" s="86"/>
      <c r="M3569" s="45"/>
      <c r="N3569" s="45"/>
    </row>
    <row r="3570" spans="1:14" ht="15" x14ac:dyDescent="0.25">
      <c r="A3570" s="1">
        <v>3561</v>
      </c>
      <c r="B3570" s="1" t="s">
        <v>456</v>
      </c>
      <c r="C3570" s="32">
        <v>2420</v>
      </c>
      <c r="D3570" s="1">
        <v>22000</v>
      </c>
      <c r="E3570" s="1"/>
      <c r="F3570" s="1">
        <v>245.25</v>
      </c>
      <c r="G3570" s="1">
        <v>22000</v>
      </c>
      <c r="H3570" s="5">
        <f t="shared" si="73"/>
        <v>0</v>
      </c>
      <c r="I3570" s="6"/>
      <c r="J3570" s="43"/>
      <c r="K3570" s="51"/>
      <c r="L3570" s="86"/>
      <c r="M3570" s="45"/>
      <c r="N3570" s="45"/>
    </row>
    <row r="3571" spans="1:14" ht="15" x14ac:dyDescent="0.25">
      <c r="A3571" s="1">
        <v>3562</v>
      </c>
      <c r="B3571" s="1" t="s">
        <v>456</v>
      </c>
      <c r="C3571" s="32">
        <v>6538</v>
      </c>
      <c r="D3571" s="1">
        <v>10000</v>
      </c>
      <c r="E3571" s="1"/>
      <c r="F3571" s="1">
        <v>111.25</v>
      </c>
      <c r="G3571" s="1">
        <v>10000</v>
      </c>
      <c r="H3571" s="5">
        <f t="shared" si="73"/>
        <v>0</v>
      </c>
      <c r="I3571" s="6"/>
      <c r="J3571" s="43"/>
      <c r="K3571" s="51"/>
      <c r="L3571" s="86"/>
      <c r="M3571" s="45"/>
      <c r="N3571" s="45"/>
    </row>
    <row r="3572" spans="1:14" ht="15" x14ac:dyDescent="0.25">
      <c r="A3572" s="1">
        <v>3563</v>
      </c>
      <c r="B3572" s="1" t="s">
        <v>456</v>
      </c>
      <c r="C3572" s="32" t="s">
        <v>30</v>
      </c>
      <c r="D3572" s="1">
        <v>5000</v>
      </c>
      <c r="E3572" s="1"/>
      <c r="F3572" s="1">
        <v>55.15</v>
      </c>
      <c r="G3572" s="1">
        <v>5000</v>
      </c>
      <c r="H3572" s="5">
        <f t="shared" si="73"/>
        <v>0</v>
      </c>
      <c r="I3572" s="6"/>
      <c r="J3572" s="43"/>
      <c r="K3572" s="51"/>
      <c r="L3572" s="86"/>
      <c r="M3572" s="45"/>
      <c r="N3572" s="45"/>
    </row>
    <row r="3573" spans="1:14" ht="15" x14ac:dyDescent="0.25">
      <c r="A3573" s="1">
        <v>3564</v>
      </c>
      <c r="B3573" s="1" t="s">
        <v>456</v>
      </c>
      <c r="C3573" s="32" t="s">
        <v>30</v>
      </c>
      <c r="D3573" s="1">
        <v>3000</v>
      </c>
      <c r="E3573" s="1"/>
      <c r="F3573" s="1">
        <v>33.25</v>
      </c>
      <c r="G3573" s="1">
        <v>3000</v>
      </c>
      <c r="H3573" s="5">
        <f t="shared" si="73"/>
        <v>0</v>
      </c>
      <c r="I3573" s="6"/>
      <c r="J3573" s="43"/>
      <c r="K3573" s="51"/>
      <c r="L3573" s="86"/>
      <c r="M3573" s="45"/>
      <c r="N3573" s="45"/>
    </row>
    <row r="3574" spans="1:14" ht="15" x14ac:dyDescent="0.25">
      <c r="A3574" s="1">
        <v>3565</v>
      </c>
      <c r="B3574" s="1" t="s">
        <v>456</v>
      </c>
      <c r="C3574" s="32" t="s">
        <v>63</v>
      </c>
      <c r="D3574" s="1">
        <v>2500</v>
      </c>
      <c r="E3574" s="1"/>
      <c r="F3574" s="1">
        <v>27.25</v>
      </c>
      <c r="G3574" s="1">
        <v>2500</v>
      </c>
      <c r="H3574" s="5">
        <f t="shared" si="73"/>
        <v>0</v>
      </c>
      <c r="I3574" s="6"/>
      <c r="J3574" s="43"/>
      <c r="K3574" s="51"/>
      <c r="L3574" s="86"/>
      <c r="M3574" s="45"/>
      <c r="N3574" s="45"/>
    </row>
    <row r="3575" spans="1:14" ht="15" x14ac:dyDescent="0.25">
      <c r="A3575" s="1">
        <v>3566</v>
      </c>
      <c r="B3575" s="1" t="s">
        <v>456</v>
      </c>
      <c r="C3575" s="32">
        <v>2459</v>
      </c>
      <c r="D3575" s="1">
        <v>3000</v>
      </c>
      <c r="E3575" s="1"/>
      <c r="F3575" s="1">
        <v>33.25</v>
      </c>
      <c r="G3575" s="1">
        <v>3000</v>
      </c>
      <c r="H3575" s="5">
        <f t="shared" si="73"/>
        <v>0</v>
      </c>
      <c r="I3575" s="6"/>
      <c r="J3575" s="43"/>
      <c r="K3575" s="51"/>
      <c r="L3575" s="86"/>
      <c r="M3575" s="45"/>
      <c r="N3575" s="45"/>
    </row>
    <row r="3576" spans="1:14" ht="15" x14ac:dyDescent="0.25">
      <c r="A3576" s="1">
        <v>3567</v>
      </c>
      <c r="B3576" s="1" t="s">
        <v>456</v>
      </c>
      <c r="C3576" s="32">
        <v>2765</v>
      </c>
      <c r="D3576" s="1">
        <v>15000</v>
      </c>
      <c r="E3576" s="1"/>
      <c r="F3576" s="1">
        <v>167.15</v>
      </c>
      <c r="G3576" s="1">
        <v>15000</v>
      </c>
      <c r="H3576" s="5">
        <f t="shared" si="73"/>
        <v>0</v>
      </c>
      <c r="I3576" s="6"/>
      <c r="J3576" s="43"/>
      <c r="K3576" s="51"/>
      <c r="L3576" s="86"/>
      <c r="M3576" s="45"/>
      <c r="N3576" s="45"/>
    </row>
    <row r="3577" spans="1:14" ht="15" x14ac:dyDescent="0.25">
      <c r="A3577" s="1">
        <v>3568</v>
      </c>
      <c r="B3577" s="1" t="s">
        <v>456</v>
      </c>
      <c r="C3577" s="32" t="s">
        <v>30</v>
      </c>
      <c r="D3577" s="1">
        <v>4500</v>
      </c>
      <c r="E3577" s="1"/>
      <c r="F3577" s="1">
        <v>50.13</v>
      </c>
      <c r="G3577" s="1">
        <v>4500</v>
      </c>
      <c r="H3577" s="5">
        <f t="shared" si="73"/>
        <v>0</v>
      </c>
      <c r="I3577" s="6"/>
      <c r="J3577" s="43"/>
      <c r="K3577" s="51"/>
      <c r="L3577" s="86"/>
      <c r="M3577" s="45"/>
      <c r="N3577" s="45"/>
    </row>
    <row r="3578" spans="1:14" ht="15" x14ac:dyDescent="0.25">
      <c r="A3578" s="1">
        <v>3569</v>
      </c>
      <c r="B3578" s="1" t="s">
        <v>456</v>
      </c>
      <c r="C3578" s="32">
        <v>5553</v>
      </c>
      <c r="D3578" s="1">
        <v>27143</v>
      </c>
      <c r="E3578" s="1"/>
      <c r="F3578" s="1">
        <v>302.37</v>
      </c>
      <c r="G3578" s="1">
        <v>27143</v>
      </c>
      <c r="H3578" s="5">
        <f t="shared" si="73"/>
        <v>0</v>
      </c>
      <c r="I3578" s="6"/>
      <c r="J3578" s="43"/>
      <c r="K3578" s="51"/>
      <c r="L3578" s="86"/>
      <c r="M3578" s="45"/>
      <c r="N3578" s="45"/>
    </row>
    <row r="3579" spans="1:14" ht="15" x14ac:dyDescent="0.25">
      <c r="A3579" s="1">
        <v>3570</v>
      </c>
      <c r="B3579" s="1" t="s">
        <v>456</v>
      </c>
      <c r="C3579" s="32">
        <v>4384</v>
      </c>
      <c r="D3579" s="1">
        <v>25000</v>
      </c>
      <c r="E3579" s="1"/>
      <c r="F3579" s="1">
        <v>278.22000000000003</v>
      </c>
      <c r="G3579" s="1">
        <v>25000</v>
      </c>
      <c r="H3579" s="5">
        <f t="shared" si="73"/>
        <v>0</v>
      </c>
      <c r="I3579" s="6"/>
      <c r="J3579" s="43"/>
      <c r="K3579" s="51"/>
      <c r="L3579" s="86"/>
      <c r="M3579" s="45"/>
      <c r="N3579" s="45"/>
    </row>
    <row r="3580" spans="1:14" ht="15" x14ac:dyDescent="0.25">
      <c r="A3580" s="1">
        <v>3571</v>
      </c>
      <c r="B3580" s="1" t="s">
        <v>456</v>
      </c>
      <c r="C3580" s="32">
        <v>1069</v>
      </c>
      <c r="D3580" s="1">
        <v>14000</v>
      </c>
      <c r="E3580" s="1"/>
      <c r="F3580" s="1">
        <v>155.25</v>
      </c>
      <c r="G3580" s="1">
        <v>14000</v>
      </c>
      <c r="H3580" s="5">
        <f t="shared" si="73"/>
        <v>0</v>
      </c>
      <c r="I3580" s="6"/>
      <c r="J3580" s="43"/>
      <c r="K3580" s="51"/>
      <c r="L3580" s="86"/>
      <c r="M3580" s="45"/>
      <c r="N3580" s="45"/>
    </row>
    <row r="3581" spans="1:14" ht="15" x14ac:dyDescent="0.25">
      <c r="A3581" s="1">
        <v>3572</v>
      </c>
      <c r="B3581" s="1" t="s">
        <v>456</v>
      </c>
      <c r="C3581" s="32">
        <v>7472</v>
      </c>
      <c r="D3581" s="1">
        <v>30000</v>
      </c>
      <c r="E3581" s="1"/>
      <c r="F3581" s="1">
        <v>324.35000000000002</v>
      </c>
      <c r="G3581" s="1">
        <v>30000</v>
      </c>
      <c r="H3581" s="5">
        <f t="shared" si="73"/>
        <v>0</v>
      </c>
      <c r="I3581" s="6"/>
      <c r="J3581" s="43"/>
      <c r="K3581" s="51"/>
      <c r="L3581" s="86"/>
      <c r="M3581" s="45"/>
      <c r="N3581" s="45"/>
    </row>
    <row r="3582" spans="1:14" ht="15" x14ac:dyDescent="0.25">
      <c r="A3582" s="1">
        <v>3573</v>
      </c>
      <c r="B3582" s="1" t="s">
        <v>456</v>
      </c>
      <c r="C3582" s="32">
        <v>8359</v>
      </c>
      <c r="D3582" s="1">
        <v>30000</v>
      </c>
      <c r="E3582" s="1"/>
      <c r="F3582" s="1">
        <v>324.35000000000002</v>
      </c>
      <c r="G3582" s="1">
        <v>30000</v>
      </c>
      <c r="H3582" s="5">
        <f t="shared" si="73"/>
        <v>0</v>
      </c>
      <c r="I3582" s="6"/>
      <c r="J3582" s="43"/>
      <c r="K3582" s="51"/>
      <c r="L3582" s="86"/>
      <c r="M3582" s="45"/>
      <c r="N3582" s="45"/>
    </row>
    <row r="3583" spans="1:14" ht="15" x14ac:dyDescent="0.25">
      <c r="A3583" s="1">
        <v>3574</v>
      </c>
      <c r="B3583" s="1" t="s">
        <v>456</v>
      </c>
      <c r="C3583" s="32">
        <v>2481</v>
      </c>
      <c r="D3583" s="1">
        <v>20000</v>
      </c>
      <c r="E3583" s="1"/>
      <c r="F3583" s="1">
        <v>222.82</v>
      </c>
      <c r="G3583" s="1">
        <v>20000</v>
      </c>
      <c r="H3583" s="5">
        <f t="shared" si="73"/>
        <v>0</v>
      </c>
      <c r="I3583" s="6"/>
      <c r="J3583" s="43"/>
      <c r="K3583" s="51"/>
      <c r="L3583" s="86"/>
      <c r="M3583" s="45"/>
      <c r="N3583" s="45"/>
    </row>
    <row r="3584" spans="1:14" ht="15" x14ac:dyDescent="0.25">
      <c r="A3584" s="1">
        <v>3575</v>
      </c>
      <c r="B3584" s="1" t="s">
        <v>456</v>
      </c>
      <c r="C3584" s="32" t="s">
        <v>66</v>
      </c>
      <c r="D3584" s="1">
        <v>200</v>
      </c>
      <c r="E3584" s="1"/>
      <c r="F3584" s="1">
        <v>2.15</v>
      </c>
      <c r="G3584" s="1">
        <v>200</v>
      </c>
      <c r="H3584" s="5">
        <f t="shared" si="73"/>
        <v>0</v>
      </c>
      <c r="I3584" s="6"/>
      <c r="J3584" s="43"/>
      <c r="K3584" s="51"/>
      <c r="L3584" s="86"/>
      <c r="M3584" s="45"/>
      <c r="N3584" s="45"/>
    </row>
    <row r="3585" spans="1:14" ht="15" x14ac:dyDescent="0.25">
      <c r="A3585" s="1">
        <v>3576</v>
      </c>
      <c r="B3585" s="1" t="s">
        <v>456</v>
      </c>
      <c r="C3585" s="32">
        <v>6344</v>
      </c>
      <c r="D3585" s="1">
        <v>25000</v>
      </c>
      <c r="E3585" s="1"/>
      <c r="F3585" s="1">
        <v>278.22000000000003</v>
      </c>
      <c r="G3585" s="1">
        <v>25000</v>
      </c>
      <c r="H3585" s="5">
        <f t="shared" si="73"/>
        <v>0</v>
      </c>
      <c r="I3585" s="6"/>
      <c r="J3585" s="43"/>
      <c r="K3585" s="51"/>
      <c r="L3585" s="86"/>
      <c r="M3585" s="45"/>
      <c r="N3585" s="45"/>
    </row>
    <row r="3586" spans="1:14" ht="15" x14ac:dyDescent="0.25">
      <c r="A3586" s="1">
        <v>3577</v>
      </c>
      <c r="B3586" s="1" t="s">
        <v>456</v>
      </c>
      <c r="C3586" s="32">
        <v>1820</v>
      </c>
      <c r="D3586" s="1">
        <v>35000</v>
      </c>
      <c r="E3586" s="1"/>
      <c r="F3586" s="1">
        <v>389.25</v>
      </c>
      <c r="G3586" s="1">
        <v>35000</v>
      </c>
      <c r="H3586" s="5">
        <f t="shared" si="73"/>
        <v>0</v>
      </c>
      <c r="I3586" s="6"/>
      <c r="J3586" s="43"/>
      <c r="K3586" s="51"/>
      <c r="L3586" s="86"/>
      <c r="M3586" s="45"/>
      <c r="N3586" s="45"/>
    </row>
    <row r="3587" spans="1:14" ht="15" x14ac:dyDescent="0.25">
      <c r="A3587" s="1">
        <v>3578</v>
      </c>
      <c r="B3587" s="1" t="s">
        <v>456</v>
      </c>
      <c r="C3587" s="32">
        <v>7686</v>
      </c>
      <c r="D3587" s="1">
        <v>14000</v>
      </c>
      <c r="E3587" s="1"/>
      <c r="F3587" s="1">
        <v>155.97</v>
      </c>
      <c r="G3587" s="1">
        <v>14000</v>
      </c>
      <c r="H3587" s="5">
        <f t="shared" si="73"/>
        <v>0</v>
      </c>
      <c r="I3587" s="6"/>
      <c r="J3587" s="43"/>
      <c r="K3587" s="51"/>
      <c r="L3587" s="86"/>
      <c r="M3587" s="45"/>
      <c r="N3587" s="45"/>
    </row>
    <row r="3588" spans="1:14" ht="15" x14ac:dyDescent="0.25">
      <c r="A3588" s="1">
        <v>3579</v>
      </c>
      <c r="B3588" s="1" t="s">
        <v>456</v>
      </c>
      <c r="C3588" s="32">
        <v>4.4699999999999997E-2</v>
      </c>
      <c r="D3588" s="1">
        <v>23000</v>
      </c>
      <c r="E3588" s="1"/>
      <c r="F3588" s="1">
        <v>256.85000000000002</v>
      </c>
      <c r="G3588" s="1">
        <v>23000</v>
      </c>
      <c r="H3588" s="5">
        <f t="shared" si="73"/>
        <v>0</v>
      </c>
      <c r="I3588" s="6"/>
      <c r="J3588" s="43"/>
      <c r="K3588" s="51"/>
      <c r="L3588" s="86"/>
      <c r="M3588" s="45"/>
      <c r="N3588" s="45"/>
    </row>
    <row r="3589" spans="1:14" ht="15" x14ac:dyDescent="0.25">
      <c r="A3589" s="1">
        <v>3580</v>
      </c>
      <c r="B3589" s="1" t="s">
        <v>456</v>
      </c>
      <c r="C3589" s="32">
        <v>2995</v>
      </c>
      <c r="D3589" s="1">
        <v>12000</v>
      </c>
      <c r="E3589" s="1"/>
      <c r="F3589" s="1">
        <v>133.65</v>
      </c>
      <c r="G3589" s="1">
        <v>12000</v>
      </c>
      <c r="H3589" s="5">
        <f t="shared" si="73"/>
        <v>0</v>
      </c>
      <c r="I3589" s="6"/>
      <c r="J3589" s="43"/>
      <c r="K3589" s="51"/>
      <c r="L3589" s="86">
        <f>2000938-1795000</f>
        <v>205938</v>
      </c>
      <c r="M3589" s="45" t="s">
        <v>453</v>
      </c>
      <c r="N3589" s="45">
        <f>205938-205316</f>
        <v>622</v>
      </c>
    </row>
    <row r="3590" spans="1:14" ht="15" x14ac:dyDescent="0.25">
      <c r="A3590" s="1">
        <v>3581</v>
      </c>
      <c r="B3590" s="1" t="s">
        <v>458</v>
      </c>
      <c r="C3590" s="32" t="s">
        <v>66</v>
      </c>
      <c r="D3590" s="1">
        <v>200</v>
      </c>
      <c r="E3590" s="1"/>
      <c r="F3590" s="1">
        <v>2.0499999999999998</v>
      </c>
      <c r="G3590" s="1">
        <v>200</v>
      </c>
      <c r="H3590" s="5">
        <f t="shared" si="73"/>
        <v>0</v>
      </c>
      <c r="I3590" s="6"/>
      <c r="J3590" s="43"/>
      <c r="K3590" s="51"/>
      <c r="L3590" s="86"/>
      <c r="M3590" s="45"/>
      <c r="N3590" s="45"/>
    </row>
    <row r="3591" spans="1:14" ht="15" x14ac:dyDescent="0.25">
      <c r="A3591" s="1">
        <v>3582</v>
      </c>
      <c r="B3591" s="1" t="s">
        <v>458</v>
      </c>
      <c r="C3591" s="32">
        <v>5151</v>
      </c>
      <c r="D3591" s="1">
        <v>16000</v>
      </c>
      <c r="E3591" s="1"/>
      <c r="F3591" s="1">
        <v>178.22</v>
      </c>
      <c r="G3591" s="1">
        <v>16000</v>
      </c>
      <c r="H3591" s="5">
        <f t="shared" si="73"/>
        <v>0</v>
      </c>
      <c r="I3591" s="6"/>
      <c r="J3591" s="43"/>
      <c r="K3591" s="51"/>
      <c r="L3591" s="86"/>
      <c r="M3591" s="45"/>
      <c r="N3591" s="45"/>
    </row>
    <row r="3592" spans="1:14" ht="15" x14ac:dyDescent="0.25">
      <c r="A3592" s="1">
        <v>3583</v>
      </c>
      <c r="B3592" s="1" t="s">
        <v>458</v>
      </c>
      <c r="C3592" s="32">
        <v>5.1000000000000004E-3</v>
      </c>
      <c r="D3592" s="1">
        <v>16000</v>
      </c>
      <c r="E3592" s="1"/>
      <c r="F3592" s="1">
        <v>178.22</v>
      </c>
      <c r="G3592" s="1">
        <v>16000</v>
      </c>
      <c r="H3592" s="5">
        <f t="shared" si="73"/>
        <v>0</v>
      </c>
      <c r="I3592" s="6"/>
      <c r="J3592" s="43"/>
      <c r="K3592" s="51"/>
      <c r="L3592" s="86"/>
      <c r="M3592" s="45"/>
      <c r="N3592" s="45"/>
    </row>
    <row r="3593" spans="1:14" ht="15" x14ac:dyDescent="0.25">
      <c r="A3593" s="1">
        <v>3584</v>
      </c>
      <c r="B3593" s="1" t="s">
        <v>458</v>
      </c>
      <c r="C3593" s="32">
        <v>1046</v>
      </c>
      <c r="D3593" s="1">
        <v>14000</v>
      </c>
      <c r="E3593" s="1"/>
      <c r="F3593" s="1">
        <v>155.28</v>
      </c>
      <c r="G3593" s="1">
        <v>14000</v>
      </c>
      <c r="H3593" s="5">
        <f t="shared" si="73"/>
        <v>0</v>
      </c>
      <c r="I3593" s="6"/>
      <c r="J3593" s="43"/>
      <c r="K3593" s="51"/>
      <c r="L3593" s="86"/>
      <c r="M3593" s="45"/>
      <c r="N3593" s="45"/>
    </row>
    <row r="3594" spans="1:14" ht="15" x14ac:dyDescent="0.25">
      <c r="A3594" s="1">
        <v>3585</v>
      </c>
      <c r="B3594" s="1" t="s">
        <v>458</v>
      </c>
      <c r="C3594" s="32">
        <v>2497</v>
      </c>
      <c r="D3594" s="1">
        <v>13000</v>
      </c>
      <c r="E3594" s="1"/>
      <c r="F3594" s="1">
        <v>144.13</v>
      </c>
      <c r="G3594" s="1">
        <v>13000</v>
      </c>
      <c r="H3594" s="5">
        <f t="shared" si="73"/>
        <v>0</v>
      </c>
      <c r="I3594" s="6"/>
      <c r="J3594" s="43"/>
      <c r="K3594" s="51"/>
      <c r="L3594" s="86"/>
      <c r="M3594" s="45"/>
      <c r="N3594" s="45"/>
    </row>
    <row r="3595" spans="1:14" ht="15" x14ac:dyDescent="0.25">
      <c r="A3595" s="1">
        <v>3586</v>
      </c>
      <c r="B3595" s="1" t="s">
        <v>458</v>
      </c>
      <c r="C3595" s="32">
        <v>3662</v>
      </c>
      <c r="D3595" s="1">
        <v>18000</v>
      </c>
      <c r="E3595" s="1"/>
      <c r="F3595" s="1">
        <v>200.25</v>
      </c>
      <c r="G3595" s="1">
        <v>18000</v>
      </c>
      <c r="H3595" s="5">
        <f t="shared" si="73"/>
        <v>0</v>
      </c>
      <c r="I3595" s="6"/>
      <c r="J3595" s="43"/>
      <c r="K3595" s="51"/>
      <c r="L3595" s="86"/>
      <c r="M3595" s="45"/>
      <c r="N3595" s="45"/>
    </row>
    <row r="3596" spans="1:14" ht="15" x14ac:dyDescent="0.25">
      <c r="A3596" s="1">
        <v>3587</v>
      </c>
      <c r="B3596" s="1" t="s">
        <v>458</v>
      </c>
      <c r="C3596" s="32">
        <v>5359</v>
      </c>
      <c r="D3596" s="1">
        <v>22000</v>
      </c>
      <c r="E3596" s="1"/>
      <c r="F3596" s="1">
        <v>250.25</v>
      </c>
      <c r="G3596" s="1">
        <v>22000</v>
      </c>
      <c r="H3596" s="5">
        <f t="shared" si="73"/>
        <v>0</v>
      </c>
      <c r="I3596" s="6"/>
      <c r="J3596" s="43"/>
      <c r="K3596" s="51"/>
      <c r="L3596" s="86"/>
      <c r="M3596" s="45"/>
      <c r="N3596" s="45"/>
    </row>
    <row r="3597" spans="1:14" ht="15" x14ac:dyDescent="0.25">
      <c r="A3597" s="1">
        <v>3588</v>
      </c>
      <c r="B3597" s="1" t="s">
        <v>458</v>
      </c>
      <c r="C3597" s="32">
        <v>7176</v>
      </c>
      <c r="D3597" s="1">
        <v>15000</v>
      </c>
      <c r="E3597" s="1"/>
      <c r="F3597" s="1">
        <v>167.11</v>
      </c>
      <c r="G3597" s="1">
        <v>15000</v>
      </c>
      <c r="H3597" s="5">
        <f t="shared" si="73"/>
        <v>0</v>
      </c>
      <c r="I3597" s="6"/>
      <c r="J3597" s="43"/>
      <c r="K3597" s="51"/>
      <c r="L3597" s="86"/>
      <c r="M3597" s="45"/>
      <c r="N3597" s="45"/>
    </row>
    <row r="3598" spans="1:14" ht="15" x14ac:dyDescent="0.25">
      <c r="A3598" s="1">
        <v>3589</v>
      </c>
      <c r="B3598" s="1" t="s">
        <v>458</v>
      </c>
      <c r="C3598" s="32">
        <v>1229</v>
      </c>
      <c r="D3598" s="1">
        <v>19000</v>
      </c>
      <c r="E3598" s="1"/>
      <c r="F3598" s="1">
        <v>211.25</v>
      </c>
      <c r="G3598" s="1">
        <v>19000</v>
      </c>
      <c r="H3598" s="5">
        <f t="shared" si="73"/>
        <v>0</v>
      </c>
      <c r="I3598" s="6"/>
      <c r="J3598" s="43"/>
      <c r="K3598" s="51"/>
      <c r="L3598" s="86"/>
      <c r="M3598" s="45"/>
      <c r="N3598" s="45"/>
    </row>
    <row r="3599" spans="1:14" ht="15" x14ac:dyDescent="0.25">
      <c r="A3599" s="1">
        <v>3590</v>
      </c>
      <c r="B3599" s="1" t="s">
        <v>458</v>
      </c>
      <c r="C3599" s="32">
        <v>6496</v>
      </c>
      <c r="D3599" s="1">
        <v>11000</v>
      </c>
      <c r="E3599" s="1"/>
      <c r="F3599" s="1">
        <v>122.25</v>
      </c>
      <c r="G3599" s="1">
        <v>11000</v>
      </c>
      <c r="H3599" s="5">
        <f t="shared" si="73"/>
        <v>0</v>
      </c>
      <c r="I3599" s="6"/>
      <c r="J3599" s="43"/>
      <c r="K3599" s="51"/>
      <c r="L3599" s="86"/>
      <c r="M3599" s="45"/>
      <c r="N3599" s="45"/>
    </row>
    <row r="3600" spans="1:14" ht="15" x14ac:dyDescent="0.25">
      <c r="A3600" s="1">
        <v>3591</v>
      </c>
      <c r="B3600" s="1" t="s">
        <v>458</v>
      </c>
      <c r="C3600" s="32">
        <v>1166</v>
      </c>
      <c r="D3600" s="1">
        <v>14000</v>
      </c>
      <c r="E3600" s="1"/>
      <c r="F3600" s="1">
        <v>155.25</v>
      </c>
      <c r="G3600" s="1">
        <v>14000</v>
      </c>
      <c r="H3600" s="5">
        <f t="shared" si="73"/>
        <v>0</v>
      </c>
      <c r="I3600" s="6"/>
      <c r="J3600" s="43"/>
      <c r="K3600" s="51"/>
      <c r="L3600" s="86"/>
      <c r="M3600" s="45"/>
      <c r="N3600" s="45"/>
    </row>
    <row r="3601" spans="1:14" ht="15" x14ac:dyDescent="0.25">
      <c r="A3601" s="1">
        <v>3592</v>
      </c>
      <c r="B3601" s="1" t="s">
        <v>458</v>
      </c>
      <c r="C3601" s="32">
        <v>6214</v>
      </c>
      <c r="D3601" s="1">
        <v>15000</v>
      </c>
      <c r="E3601" s="1"/>
      <c r="F3601" s="1">
        <v>167.15</v>
      </c>
      <c r="G3601" s="1">
        <v>15000</v>
      </c>
      <c r="H3601" s="5">
        <f t="shared" si="73"/>
        <v>0</v>
      </c>
      <c r="I3601" s="6"/>
      <c r="J3601" s="43"/>
      <c r="K3601" s="51"/>
      <c r="L3601" s="86"/>
      <c r="M3601" s="45"/>
      <c r="N3601" s="45"/>
    </row>
    <row r="3602" spans="1:14" ht="15" x14ac:dyDescent="0.25">
      <c r="A3602" s="1">
        <v>3593</v>
      </c>
      <c r="B3602" s="1" t="s">
        <v>458</v>
      </c>
      <c r="C3602" s="32">
        <v>1167</v>
      </c>
      <c r="D3602" s="1">
        <v>14000</v>
      </c>
      <c r="E3602" s="1"/>
      <c r="F3602" s="1">
        <v>155.25</v>
      </c>
      <c r="G3602" s="1">
        <v>14000</v>
      </c>
      <c r="H3602" s="5">
        <f t="shared" si="73"/>
        <v>0</v>
      </c>
      <c r="I3602" s="6"/>
      <c r="J3602" s="43"/>
      <c r="K3602" s="51"/>
      <c r="L3602" s="86"/>
      <c r="M3602" s="45"/>
      <c r="N3602" s="45"/>
    </row>
    <row r="3603" spans="1:14" ht="15" x14ac:dyDescent="0.25">
      <c r="A3603" s="1">
        <v>3594</v>
      </c>
      <c r="B3603" s="1" t="s">
        <v>458</v>
      </c>
      <c r="C3603" s="32" t="s">
        <v>63</v>
      </c>
      <c r="D3603" s="1">
        <v>3500</v>
      </c>
      <c r="E3603" s="1"/>
      <c r="F3603" s="1">
        <v>38.15</v>
      </c>
      <c r="G3603" s="1">
        <v>3500</v>
      </c>
      <c r="H3603" s="5">
        <f t="shared" si="73"/>
        <v>0</v>
      </c>
      <c r="I3603" s="6"/>
      <c r="J3603" s="43"/>
      <c r="K3603" s="51"/>
      <c r="L3603" s="86"/>
      <c r="M3603" s="45"/>
      <c r="N3603" s="45"/>
    </row>
    <row r="3604" spans="1:14" ht="15" x14ac:dyDescent="0.25">
      <c r="A3604" s="1">
        <v>3595</v>
      </c>
      <c r="B3604" s="1" t="s">
        <v>458</v>
      </c>
      <c r="C3604" s="32">
        <v>5235</v>
      </c>
      <c r="D3604" s="1">
        <v>25000</v>
      </c>
      <c r="E3604" s="1"/>
      <c r="F3604" s="1">
        <v>260.77999999999997</v>
      </c>
      <c r="G3604" s="1">
        <v>25000</v>
      </c>
      <c r="H3604" s="5">
        <f t="shared" si="73"/>
        <v>0</v>
      </c>
      <c r="I3604" s="6"/>
      <c r="J3604" s="43"/>
      <c r="K3604" s="51"/>
      <c r="L3604" s="86"/>
      <c r="M3604" s="45"/>
      <c r="N3604" s="45"/>
    </row>
    <row r="3605" spans="1:14" ht="15" x14ac:dyDescent="0.25">
      <c r="A3605" s="1">
        <v>3596</v>
      </c>
      <c r="B3605" s="1" t="s">
        <v>458</v>
      </c>
      <c r="C3605" s="32">
        <v>5906</v>
      </c>
      <c r="D3605" s="1">
        <v>25000</v>
      </c>
      <c r="E3605" s="1"/>
      <c r="F3605" s="1">
        <v>267.14999999999998</v>
      </c>
      <c r="G3605" s="1">
        <v>25000</v>
      </c>
      <c r="H3605" s="5">
        <f t="shared" si="73"/>
        <v>0</v>
      </c>
      <c r="I3605" s="6"/>
      <c r="J3605" s="43"/>
      <c r="K3605" s="51"/>
      <c r="L3605" s="86"/>
      <c r="M3605" s="45"/>
      <c r="N3605" s="45"/>
    </row>
    <row r="3606" spans="1:14" ht="15" x14ac:dyDescent="0.25">
      <c r="A3606" s="1">
        <v>3597</v>
      </c>
      <c r="B3606" s="1" t="s">
        <v>458</v>
      </c>
      <c r="C3606" s="32">
        <v>4124</v>
      </c>
      <c r="D3606" s="1">
        <v>28000</v>
      </c>
      <c r="E3606" s="1"/>
      <c r="F3606" s="1">
        <v>311.25</v>
      </c>
      <c r="G3606" s="1">
        <v>28000</v>
      </c>
      <c r="H3606" s="5">
        <f t="shared" si="73"/>
        <v>0</v>
      </c>
      <c r="I3606" s="6"/>
      <c r="J3606" s="43"/>
      <c r="K3606" s="51"/>
      <c r="L3606" s="86"/>
      <c r="M3606" s="45"/>
      <c r="N3606" s="45"/>
    </row>
    <row r="3607" spans="1:14" ht="15" x14ac:dyDescent="0.25">
      <c r="A3607" s="1">
        <v>3598</v>
      </c>
      <c r="B3607" s="1" t="s">
        <v>458</v>
      </c>
      <c r="C3607" s="32">
        <v>6179</v>
      </c>
      <c r="D3607" s="1">
        <v>23899</v>
      </c>
      <c r="E3607" s="1"/>
      <c r="F3607" s="1">
        <v>266.26</v>
      </c>
      <c r="G3607" s="1">
        <v>23899</v>
      </c>
      <c r="H3607" s="5">
        <f t="shared" si="73"/>
        <v>0</v>
      </c>
      <c r="I3607" s="6"/>
      <c r="J3607" s="43"/>
      <c r="K3607" s="51"/>
      <c r="L3607" s="86"/>
      <c r="M3607" s="45"/>
      <c r="N3607" s="45"/>
    </row>
    <row r="3608" spans="1:14" ht="15" x14ac:dyDescent="0.25">
      <c r="A3608" s="1">
        <v>3599</v>
      </c>
      <c r="B3608" s="1" t="s">
        <v>458</v>
      </c>
      <c r="C3608" s="32">
        <v>2587</v>
      </c>
      <c r="D3608" s="1">
        <v>22000</v>
      </c>
      <c r="E3608" s="1"/>
      <c r="F3608" s="1">
        <v>236.25</v>
      </c>
      <c r="G3608" s="1">
        <v>22000</v>
      </c>
      <c r="H3608" s="5">
        <f t="shared" si="73"/>
        <v>0</v>
      </c>
      <c r="I3608" s="6"/>
      <c r="J3608" s="43"/>
      <c r="K3608" s="51"/>
      <c r="L3608" s="86"/>
      <c r="M3608" s="45"/>
      <c r="N3608" s="45"/>
    </row>
    <row r="3609" spans="1:14" ht="15" x14ac:dyDescent="0.25">
      <c r="A3609" s="1">
        <v>3600</v>
      </c>
      <c r="B3609" s="1" t="s">
        <v>458</v>
      </c>
      <c r="C3609" s="32">
        <v>4367</v>
      </c>
      <c r="D3609" s="1">
        <v>15000</v>
      </c>
      <c r="E3609" s="1"/>
      <c r="F3609" s="1">
        <v>167.15</v>
      </c>
      <c r="G3609" s="1">
        <v>15000</v>
      </c>
      <c r="H3609" s="5">
        <f t="shared" ref="H3609:H3672" si="74">D3609-G3609</f>
        <v>0</v>
      </c>
      <c r="I3609" s="6"/>
      <c r="J3609" s="43"/>
      <c r="K3609" s="51"/>
      <c r="L3609" s="86"/>
      <c r="M3609" s="45"/>
      <c r="N3609" s="45"/>
    </row>
    <row r="3610" spans="1:14" ht="15" x14ac:dyDescent="0.25">
      <c r="A3610" s="1">
        <v>3601</v>
      </c>
      <c r="B3610" s="1" t="s">
        <v>458</v>
      </c>
      <c r="C3610" s="32">
        <v>6371</v>
      </c>
      <c r="D3610" s="1">
        <v>20000</v>
      </c>
      <c r="E3610" s="1"/>
      <c r="F3610" s="1">
        <v>222.81</v>
      </c>
      <c r="G3610" s="1">
        <v>20000</v>
      </c>
      <c r="H3610" s="5">
        <f t="shared" si="74"/>
        <v>0</v>
      </c>
      <c r="I3610" s="6"/>
      <c r="J3610" s="43"/>
      <c r="K3610" s="51"/>
      <c r="L3610" s="86"/>
      <c r="M3610" s="45"/>
      <c r="N3610" s="45"/>
    </row>
    <row r="3611" spans="1:14" ht="15" x14ac:dyDescent="0.25">
      <c r="A3611" s="1">
        <v>3602</v>
      </c>
      <c r="B3611" s="1" t="s">
        <v>458</v>
      </c>
      <c r="C3611" s="32">
        <v>1453</v>
      </c>
      <c r="D3611" s="1">
        <v>20000</v>
      </c>
      <c r="E3611" s="1"/>
      <c r="F3611" s="1">
        <v>222.81</v>
      </c>
      <c r="G3611" s="1">
        <v>20000</v>
      </c>
      <c r="H3611" s="5">
        <f t="shared" si="74"/>
        <v>0</v>
      </c>
      <c r="I3611" s="6"/>
      <c r="J3611" s="43"/>
      <c r="K3611" s="51"/>
      <c r="L3611" s="86"/>
      <c r="M3611" s="45"/>
      <c r="N3611" s="45"/>
    </row>
    <row r="3612" spans="1:14" ht="15" x14ac:dyDescent="0.25">
      <c r="A3612" s="1">
        <v>3603</v>
      </c>
      <c r="B3612" s="1" t="s">
        <v>458</v>
      </c>
      <c r="C3612" s="32">
        <v>3295</v>
      </c>
      <c r="D3612" s="1">
        <v>20000</v>
      </c>
      <c r="E3612" s="1"/>
      <c r="F3612" s="1">
        <v>222.81</v>
      </c>
      <c r="G3612" s="1">
        <v>20000</v>
      </c>
      <c r="H3612" s="5">
        <f t="shared" si="74"/>
        <v>0</v>
      </c>
      <c r="I3612" s="6"/>
      <c r="J3612" s="43"/>
      <c r="K3612" s="51"/>
      <c r="L3612" s="86"/>
      <c r="M3612" s="45"/>
      <c r="N3612" s="45"/>
    </row>
    <row r="3613" spans="1:14" ht="15" x14ac:dyDescent="0.25">
      <c r="A3613" s="1">
        <v>3604</v>
      </c>
      <c r="B3613" s="1" t="s">
        <v>458</v>
      </c>
      <c r="C3613" s="32">
        <v>8996</v>
      </c>
      <c r="D3613" s="1">
        <v>30000</v>
      </c>
      <c r="E3613" s="1"/>
      <c r="F3613" s="1">
        <v>334.22</v>
      </c>
      <c r="G3613" s="1">
        <v>30000</v>
      </c>
      <c r="H3613" s="5">
        <f t="shared" si="74"/>
        <v>0</v>
      </c>
      <c r="I3613" s="6"/>
      <c r="J3613" s="43"/>
      <c r="K3613" s="51"/>
      <c r="L3613" s="86"/>
      <c r="M3613" s="45"/>
      <c r="N3613" s="45"/>
    </row>
    <row r="3614" spans="1:14" ht="15" x14ac:dyDescent="0.25">
      <c r="A3614" s="1">
        <v>3605</v>
      </c>
      <c r="B3614" s="1" t="s">
        <v>458</v>
      </c>
      <c r="C3614" s="32">
        <v>5995</v>
      </c>
      <c r="D3614" s="1">
        <v>20000</v>
      </c>
      <c r="E3614" s="1"/>
      <c r="F3614" s="1">
        <v>222.81</v>
      </c>
      <c r="G3614" s="1">
        <v>20000</v>
      </c>
      <c r="H3614" s="5">
        <f t="shared" si="74"/>
        <v>0</v>
      </c>
      <c r="I3614" s="6"/>
      <c r="J3614" s="43"/>
      <c r="K3614" s="51"/>
      <c r="L3614" s="86">
        <f>1840337-1634599</f>
        <v>205738</v>
      </c>
      <c r="M3614" s="45" t="s">
        <v>453</v>
      </c>
      <c r="N3614" s="45">
        <f>205738-205316</f>
        <v>422</v>
      </c>
    </row>
    <row r="3615" spans="1:14" ht="15" x14ac:dyDescent="0.25">
      <c r="A3615" s="1">
        <v>3606</v>
      </c>
      <c r="B3615" s="1" t="s">
        <v>459</v>
      </c>
      <c r="C3615" s="32">
        <v>6048</v>
      </c>
      <c r="D3615" s="1">
        <v>12000</v>
      </c>
      <c r="E3615" s="1"/>
      <c r="F3615" s="1">
        <v>139.25</v>
      </c>
      <c r="G3615" s="1">
        <v>12000</v>
      </c>
      <c r="H3615" s="5">
        <f t="shared" si="74"/>
        <v>0</v>
      </c>
      <c r="I3615" s="6"/>
      <c r="J3615" s="43"/>
      <c r="K3615" s="51"/>
      <c r="L3615" s="86"/>
      <c r="M3615" s="45"/>
      <c r="N3615" s="45"/>
    </row>
    <row r="3616" spans="1:14" ht="15" x14ac:dyDescent="0.25">
      <c r="A3616" s="1">
        <v>3607</v>
      </c>
      <c r="B3616" s="1" t="s">
        <v>459</v>
      </c>
      <c r="C3616" s="32" t="s">
        <v>30</v>
      </c>
      <c r="D3616" s="1">
        <v>5000</v>
      </c>
      <c r="E3616" s="1"/>
      <c r="F3616" s="1">
        <v>55.15</v>
      </c>
      <c r="G3616" s="1">
        <v>5000</v>
      </c>
      <c r="H3616" s="5">
        <f t="shared" si="74"/>
        <v>0</v>
      </c>
      <c r="I3616" s="6"/>
      <c r="J3616" s="43"/>
      <c r="K3616" s="51"/>
      <c r="L3616" s="86"/>
      <c r="M3616" s="45"/>
      <c r="N3616" s="45"/>
    </row>
    <row r="3617" spans="1:14" ht="15" x14ac:dyDescent="0.25">
      <c r="A3617" s="1">
        <v>3608</v>
      </c>
      <c r="B3617" s="1" t="s">
        <v>459</v>
      </c>
      <c r="C3617" s="32">
        <v>9733</v>
      </c>
      <c r="D3617" s="1">
        <v>30000</v>
      </c>
      <c r="E3617" s="1"/>
      <c r="F3617" s="1">
        <v>334.45</v>
      </c>
      <c r="G3617" s="1">
        <v>30000</v>
      </c>
      <c r="H3617" s="5">
        <f t="shared" si="74"/>
        <v>0</v>
      </c>
      <c r="I3617" s="6"/>
      <c r="J3617" s="43"/>
      <c r="K3617" s="51"/>
      <c r="L3617" s="86"/>
      <c r="M3617" s="45"/>
      <c r="N3617" s="45"/>
    </row>
    <row r="3618" spans="1:14" ht="15" x14ac:dyDescent="0.25">
      <c r="A3618" s="1">
        <v>3609</v>
      </c>
      <c r="B3618" s="1" t="s">
        <v>459</v>
      </c>
      <c r="C3618" s="32">
        <v>2681</v>
      </c>
      <c r="D3618" s="1">
        <v>16000</v>
      </c>
      <c r="E3618" s="1"/>
      <c r="F3618" s="1">
        <v>178.22</v>
      </c>
      <c r="G3618" s="1">
        <v>16000</v>
      </c>
      <c r="H3618" s="5">
        <f t="shared" si="74"/>
        <v>0</v>
      </c>
      <c r="I3618" s="6"/>
      <c r="J3618" s="43"/>
      <c r="K3618" s="51"/>
      <c r="L3618" s="86"/>
      <c r="M3618" s="45"/>
      <c r="N3618" s="45"/>
    </row>
    <row r="3619" spans="1:14" ht="15" x14ac:dyDescent="0.25">
      <c r="A3619" s="1">
        <v>3610</v>
      </c>
      <c r="B3619" s="1" t="s">
        <v>459</v>
      </c>
      <c r="C3619" s="32">
        <v>9667</v>
      </c>
      <c r="D3619" s="1">
        <v>8000</v>
      </c>
      <c r="E3619" s="1"/>
      <c r="F3619" s="1">
        <v>89.55</v>
      </c>
      <c r="G3619" s="1">
        <v>8000</v>
      </c>
      <c r="H3619" s="5">
        <f t="shared" si="74"/>
        <v>0</v>
      </c>
      <c r="I3619" s="6"/>
      <c r="J3619" s="43"/>
      <c r="K3619" s="51"/>
      <c r="L3619" s="86"/>
      <c r="M3619" s="45"/>
      <c r="N3619" s="45"/>
    </row>
    <row r="3620" spans="1:14" ht="15" x14ac:dyDescent="0.25">
      <c r="A3620" s="1">
        <v>3611</v>
      </c>
      <c r="B3620" s="1" t="s">
        <v>459</v>
      </c>
      <c r="C3620" s="32">
        <v>9179</v>
      </c>
      <c r="D3620" s="1">
        <v>13000</v>
      </c>
      <c r="E3620" s="1"/>
      <c r="F3620" s="1">
        <v>144.13</v>
      </c>
      <c r="G3620" s="1">
        <v>13000</v>
      </c>
      <c r="H3620" s="5">
        <f t="shared" si="74"/>
        <v>0</v>
      </c>
      <c r="I3620" s="6"/>
      <c r="J3620" s="43"/>
      <c r="K3620" s="51"/>
      <c r="L3620" s="86"/>
      <c r="M3620" s="45"/>
      <c r="N3620" s="45"/>
    </row>
    <row r="3621" spans="1:14" ht="15" x14ac:dyDescent="0.25">
      <c r="A3621" s="1">
        <v>3612</v>
      </c>
      <c r="B3621" s="1" t="s">
        <v>459</v>
      </c>
      <c r="C3621" s="32">
        <v>3365</v>
      </c>
      <c r="D3621" s="1">
        <v>6000</v>
      </c>
      <c r="E3621" s="1"/>
      <c r="F3621" s="1">
        <v>66.25</v>
      </c>
      <c r="G3621" s="1">
        <v>6000</v>
      </c>
      <c r="H3621" s="5">
        <f t="shared" si="74"/>
        <v>0</v>
      </c>
      <c r="I3621" s="6"/>
      <c r="J3621" s="43"/>
      <c r="K3621" s="51"/>
      <c r="L3621" s="86"/>
      <c r="M3621" s="45"/>
      <c r="N3621" s="45"/>
    </row>
    <row r="3622" spans="1:14" ht="15" x14ac:dyDescent="0.25">
      <c r="A3622" s="1">
        <v>3613</v>
      </c>
      <c r="B3622" s="1" t="s">
        <v>459</v>
      </c>
      <c r="C3622" s="32">
        <v>6496</v>
      </c>
      <c r="D3622" s="1">
        <v>14000</v>
      </c>
      <c r="E3622" s="1"/>
      <c r="F3622" s="1">
        <v>155.35</v>
      </c>
      <c r="G3622" s="1">
        <v>14000</v>
      </c>
      <c r="H3622" s="5">
        <f t="shared" si="74"/>
        <v>0</v>
      </c>
      <c r="I3622" s="6"/>
      <c r="J3622" s="43"/>
      <c r="K3622" s="51"/>
      <c r="L3622" s="86"/>
      <c r="M3622" s="45"/>
      <c r="N3622" s="45"/>
    </row>
    <row r="3623" spans="1:14" ht="15" x14ac:dyDescent="0.25">
      <c r="A3623" s="1">
        <v>3614</v>
      </c>
      <c r="B3623" s="1" t="s">
        <v>459</v>
      </c>
      <c r="C3623" s="32">
        <v>4441</v>
      </c>
      <c r="D3623" s="1">
        <v>16000</v>
      </c>
      <c r="E3623" s="1"/>
      <c r="F3623" s="1">
        <v>178.25</v>
      </c>
      <c r="G3623" s="1">
        <v>16000</v>
      </c>
      <c r="H3623" s="5">
        <f t="shared" si="74"/>
        <v>0</v>
      </c>
      <c r="I3623" s="6"/>
      <c r="J3623" s="43"/>
      <c r="K3623" s="51"/>
      <c r="L3623" s="86"/>
      <c r="M3623" s="45"/>
      <c r="N3623" s="45"/>
    </row>
    <row r="3624" spans="1:14" ht="15" x14ac:dyDescent="0.25">
      <c r="A3624" s="1">
        <v>3615</v>
      </c>
      <c r="B3624" s="1" t="s">
        <v>459</v>
      </c>
      <c r="C3624" s="32">
        <v>9645</v>
      </c>
      <c r="D3624" s="1">
        <v>16000</v>
      </c>
      <c r="E3624" s="1"/>
      <c r="F3624" s="1">
        <v>178.25</v>
      </c>
      <c r="G3624" s="1">
        <v>16000</v>
      </c>
      <c r="H3624" s="5">
        <f t="shared" si="74"/>
        <v>0</v>
      </c>
      <c r="I3624" s="6"/>
      <c r="J3624" s="43"/>
      <c r="K3624" s="51"/>
      <c r="L3624" s="86"/>
      <c r="M3624" s="45"/>
      <c r="N3624" s="45"/>
    </row>
    <row r="3625" spans="1:14" ht="15" x14ac:dyDescent="0.25">
      <c r="A3625" s="1">
        <v>3616</v>
      </c>
      <c r="B3625" s="1" t="s">
        <v>459</v>
      </c>
      <c r="C3625" s="32">
        <v>9665</v>
      </c>
      <c r="D3625" s="1">
        <v>8000</v>
      </c>
      <c r="E3625" s="1"/>
      <c r="F3625" s="1">
        <v>89.25</v>
      </c>
      <c r="G3625" s="1">
        <v>8000</v>
      </c>
      <c r="H3625" s="5">
        <f t="shared" si="74"/>
        <v>0</v>
      </c>
      <c r="I3625" s="6"/>
      <c r="J3625" s="43"/>
      <c r="K3625" s="51"/>
      <c r="L3625" s="86"/>
      <c r="M3625" s="45"/>
      <c r="N3625" s="45"/>
    </row>
    <row r="3626" spans="1:14" ht="15" x14ac:dyDescent="0.25">
      <c r="A3626" s="1">
        <v>3617</v>
      </c>
      <c r="B3626" s="1" t="s">
        <v>459</v>
      </c>
      <c r="C3626" s="32">
        <v>5819</v>
      </c>
      <c r="D3626" s="1">
        <v>3000</v>
      </c>
      <c r="E3626" s="1"/>
      <c r="F3626" s="1">
        <v>33.25</v>
      </c>
      <c r="G3626" s="1">
        <v>3000</v>
      </c>
      <c r="H3626" s="5">
        <f t="shared" si="74"/>
        <v>0</v>
      </c>
      <c r="I3626" s="6"/>
      <c r="J3626" s="43"/>
      <c r="K3626" s="51"/>
      <c r="L3626" s="86"/>
      <c r="M3626" s="45"/>
      <c r="N3626" s="45"/>
    </row>
    <row r="3627" spans="1:14" ht="15" x14ac:dyDescent="0.25">
      <c r="A3627" s="1">
        <v>3618</v>
      </c>
      <c r="B3627" s="1" t="s">
        <v>459</v>
      </c>
      <c r="C3627" s="32">
        <v>8.7499999999999994E-2</v>
      </c>
      <c r="D3627" s="1">
        <v>10000</v>
      </c>
      <c r="E3627" s="1"/>
      <c r="F3627" s="1">
        <v>111.25</v>
      </c>
      <c r="G3627" s="1">
        <v>10000</v>
      </c>
      <c r="H3627" s="5">
        <f t="shared" si="74"/>
        <v>0</v>
      </c>
      <c r="I3627" s="6"/>
      <c r="J3627" s="43"/>
      <c r="K3627" s="51"/>
      <c r="L3627" s="86"/>
      <c r="M3627" s="45"/>
      <c r="N3627" s="45"/>
    </row>
    <row r="3628" spans="1:14" ht="15" x14ac:dyDescent="0.25">
      <c r="A3628" s="1">
        <v>3619</v>
      </c>
      <c r="B3628" s="1" t="s">
        <v>459</v>
      </c>
      <c r="C3628" s="32">
        <v>7.1099999999999997E-2</v>
      </c>
      <c r="D3628" s="1">
        <v>31000</v>
      </c>
      <c r="E3628" s="1"/>
      <c r="F3628" s="1">
        <v>338.45</v>
      </c>
      <c r="G3628" s="1">
        <v>31000</v>
      </c>
      <c r="H3628" s="5">
        <f t="shared" si="74"/>
        <v>0</v>
      </c>
      <c r="I3628" s="6"/>
      <c r="J3628" s="43"/>
      <c r="K3628" s="51"/>
      <c r="L3628" s="86"/>
      <c r="M3628" s="45"/>
      <c r="N3628" s="45"/>
    </row>
    <row r="3629" spans="1:14" ht="15" x14ac:dyDescent="0.25">
      <c r="A3629" s="1">
        <v>3620</v>
      </c>
      <c r="B3629" s="1" t="s">
        <v>459</v>
      </c>
      <c r="C3629" s="32">
        <v>4089</v>
      </c>
      <c r="D3629" s="1">
        <v>25000</v>
      </c>
      <c r="E3629" s="1"/>
      <c r="F3629" s="1">
        <v>275.25</v>
      </c>
      <c r="G3629" s="1">
        <v>25000</v>
      </c>
      <c r="H3629" s="5">
        <f t="shared" si="74"/>
        <v>0</v>
      </c>
      <c r="I3629" s="6"/>
      <c r="J3629" s="43"/>
      <c r="K3629" s="51"/>
      <c r="L3629" s="86"/>
      <c r="M3629" s="45"/>
      <c r="N3629" s="45"/>
    </row>
    <row r="3630" spans="1:14" ht="15" x14ac:dyDescent="0.25">
      <c r="A3630" s="1">
        <v>3621</v>
      </c>
      <c r="B3630" s="1" t="s">
        <v>459</v>
      </c>
      <c r="C3630" s="32" t="s">
        <v>462</v>
      </c>
      <c r="D3630" s="1">
        <v>28000</v>
      </c>
      <c r="E3630" s="1"/>
      <c r="F3630" s="1">
        <v>300.25</v>
      </c>
      <c r="G3630" s="1">
        <v>28000</v>
      </c>
      <c r="H3630" s="5">
        <f t="shared" si="74"/>
        <v>0</v>
      </c>
      <c r="I3630" s="6"/>
      <c r="J3630" s="43"/>
      <c r="K3630" s="51"/>
      <c r="L3630" s="86"/>
      <c r="M3630" s="45"/>
      <c r="N3630" s="45"/>
    </row>
    <row r="3631" spans="1:14" ht="15" x14ac:dyDescent="0.25">
      <c r="A3631" s="1">
        <v>3622</v>
      </c>
      <c r="B3631" s="1" t="s">
        <v>459</v>
      </c>
      <c r="C3631" s="32" t="s">
        <v>461</v>
      </c>
      <c r="D3631" s="1">
        <v>31000</v>
      </c>
      <c r="E3631" s="1"/>
      <c r="F3631" s="1">
        <v>345.85</v>
      </c>
      <c r="G3631" s="1">
        <v>31000</v>
      </c>
      <c r="H3631" s="5">
        <f t="shared" si="74"/>
        <v>0</v>
      </c>
      <c r="I3631" s="6"/>
      <c r="J3631" s="43"/>
      <c r="K3631" s="51"/>
      <c r="L3631" s="86"/>
      <c r="M3631" s="45"/>
      <c r="N3631" s="45"/>
    </row>
    <row r="3632" spans="1:14" ht="15" x14ac:dyDescent="0.25">
      <c r="A3632" s="1">
        <v>3623</v>
      </c>
      <c r="B3632" s="1" t="s">
        <v>459</v>
      </c>
      <c r="C3632" s="32">
        <v>4273</v>
      </c>
      <c r="D3632" s="1">
        <v>10000</v>
      </c>
      <c r="E3632" s="1"/>
      <c r="F3632" s="1">
        <v>111.25</v>
      </c>
      <c r="G3632" s="1">
        <v>10000</v>
      </c>
      <c r="H3632" s="5">
        <f t="shared" si="74"/>
        <v>0</v>
      </c>
      <c r="I3632" s="6"/>
      <c r="J3632" s="43"/>
      <c r="K3632" s="51"/>
      <c r="L3632" s="86"/>
      <c r="M3632" s="45"/>
      <c r="N3632" s="45"/>
    </row>
    <row r="3633" spans="1:14" ht="15" x14ac:dyDescent="0.25">
      <c r="A3633" s="1">
        <v>3624</v>
      </c>
      <c r="B3633" s="1" t="s">
        <v>459</v>
      </c>
      <c r="C3633" s="32" t="s">
        <v>30</v>
      </c>
      <c r="D3633" s="1">
        <v>4500</v>
      </c>
      <c r="E3633" s="1"/>
      <c r="F3633" s="1">
        <v>50.15</v>
      </c>
      <c r="G3633" s="1">
        <v>4500</v>
      </c>
      <c r="H3633" s="5">
        <f t="shared" si="74"/>
        <v>0</v>
      </c>
      <c r="I3633" s="6"/>
      <c r="J3633" s="43"/>
      <c r="K3633" s="51"/>
      <c r="L3633" s="86"/>
      <c r="M3633" s="45"/>
      <c r="N3633" s="45"/>
    </row>
    <row r="3634" spans="1:14" ht="15" x14ac:dyDescent="0.25">
      <c r="A3634" s="1">
        <v>3625</v>
      </c>
      <c r="B3634" s="1" t="s">
        <v>459</v>
      </c>
      <c r="C3634" s="32">
        <v>1.77E-2</v>
      </c>
      <c r="D3634" s="1">
        <v>25000</v>
      </c>
      <c r="E3634" s="1"/>
      <c r="F3634" s="1">
        <v>278.25</v>
      </c>
      <c r="G3634" s="1">
        <v>25000</v>
      </c>
      <c r="H3634" s="5">
        <f t="shared" si="74"/>
        <v>0</v>
      </c>
      <c r="I3634" s="6"/>
      <c r="J3634" s="43"/>
      <c r="K3634" s="51"/>
      <c r="L3634" s="86"/>
      <c r="M3634" s="45"/>
      <c r="N3634" s="45"/>
    </row>
    <row r="3635" spans="1:14" ht="15" x14ac:dyDescent="0.25">
      <c r="A3635" s="1">
        <v>3626</v>
      </c>
      <c r="B3635" s="1" t="s">
        <v>459</v>
      </c>
      <c r="C3635" s="32">
        <v>3398</v>
      </c>
      <c r="D3635" s="1">
        <v>13000</v>
      </c>
      <c r="E3635" s="1"/>
      <c r="F3635" s="1">
        <v>144.13</v>
      </c>
      <c r="G3635" s="1">
        <v>13000</v>
      </c>
      <c r="H3635" s="5">
        <f t="shared" si="74"/>
        <v>0</v>
      </c>
      <c r="I3635" s="6"/>
      <c r="J3635" s="43"/>
      <c r="K3635" s="51"/>
      <c r="L3635" s="86"/>
      <c r="M3635" s="45"/>
      <c r="N3635" s="45"/>
    </row>
    <row r="3636" spans="1:14" ht="15" x14ac:dyDescent="0.25">
      <c r="A3636" s="1">
        <v>3627</v>
      </c>
      <c r="B3636" s="1" t="s">
        <v>459</v>
      </c>
      <c r="C3636" s="32">
        <v>6758</v>
      </c>
      <c r="D3636" s="1">
        <v>13000</v>
      </c>
      <c r="E3636" s="1"/>
      <c r="F3636" s="1">
        <v>144.13</v>
      </c>
      <c r="G3636" s="1">
        <v>13000</v>
      </c>
      <c r="H3636" s="5">
        <f t="shared" si="74"/>
        <v>0</v>
      </c>
      <c r="I3636" s="6"/>
      <c r="J3636" s="43"/>
      <c r="K3636" s="51"/>
      <c r="L3636" s="86"/>
      <c r="M3636" s="45"/>
      <c r="N3636" s="45"/>
    </row>
    <row r="3637" spans="1:14" ht="15" x14ac:dyDescent="0.25">
      <c r="A3637" s="1">
        <v>3628</v>
      </c>
      <c r="B3637" s="1" t="s">
        <v>459</v>
      </c>
      <c r="C3637" s="32">
        <v>3992</v>
      </c>
      <c r="D3637" s="1">
        <v>15017</v>
      </c>
      <c r="E3637" s="1"/>
      <c r="F3637" s="1">
        <v>167.25</v>
      </c>
      <c r="G3637" s="1">
        <v>15017</v>
      </c>
      <c r="H3637" s="5">
        <f t="shared" si="74"/>
        <v>0</v>
      </c>
      <c r="I3637" s="6"/>
      <c r="J3637" s="43"/>
      <c r="K3637" s="51"/>
      <c r="L3637" s="86"/>
      <c r="M3637" s="45"/>
      <c r="N3637" s="45"/>
    </row>
    <row r="3638" spans="1:14" ht="15" x14ac:dyDescent="0.25">
      <c r="A3638" s="1">
        <v>3629</v>
      </c>
      <c r="B3638" s="1" t="s">
        <v>459</v>
      </c>
      <c r="C3638" s="32">
        <v>5.28E-2</v>
      </c>
      <c r="D3638" s="1">
        <v>23000</v>
      </c>
      <c r="E3638" s="1"/>
      <c r="F3638" s="1">
        <v>256.45</v>
      </c>
      <c r="G3638" s="1">
        <v>23000</v>
      </c>
      <c r="H3638" s="5">
        <f t="shared" si="74"/>
        <v>0</v>
      </c>
      <c r="I3638" s="6"/>
      <c r="J3638" s="43"/>
      <c r="K3638" s="51"/>
      <c r="L3638" s="86"/>
      <c r="M3638" s="45"/>
      <c r="N3638" s="45"/>
    </row>
    <row r="3639" spans="1:14" ht="15" x14ac:dyDescent="0.25">
      <c r="A3639" s="1">
        <v>3630</v>
      </c>
      <c r="B3639" s="1" t="s">
        <v>459</v>
      </c>
      <c r="C3639" s="32">
        <v>3995</v>
      </c>
      <c r="D3639" s="1">
        <v>15000</v>
      </c>
      <c r="E3639" s="1"/>
      <c r="F3639" s="1">
        <v>167.11</v>
      </c>
      <c r="G3639" s="1">
        <v>15000</v>
      </c>
      <c r="H3639" s="5">
        <f t="shared" si="74"/>
        <v>0</v>
      </c>
      <c r="I3639" s="6"/>
      <c r="J3639" s="43"/>
      <c r="K3639" s="51"/>
      <c r="L3639" s="86"/>
      <c r="M3639" s="45"/>
      <c r="N3639" s="45"/>
    </row>
    <row r="3640" spans="1:14" ht="15" x14ac:dyDescent="0.25">
      <c r="A3640" s="1">
        <v>3631</v>
      </c>
      <c r="B3640" s="1" t="s">
        <v>459</v>
      </c>
      <c r="C3640" s="32">
        <v>7874</v>
      </c>
      <c r="D3640" s="1">
        <v>15000</v>
      </c>
      <c r="E3640" s="1"/>
      <c r="F3640" s="1">
        <v>167.11</v>
      </c>
      <c r="G3640" s="1">
        <v>15000</v>
      </c>
      <c r="H3640" s="5">
        <f t="shared" si="74"/>
        <v>0</v>
      </c>
      <c r="I3640" s="6"/>
      <c r="J3640" s="43"/>
      <c r="K3640" s="51"/>
      <c r="L3640" s="86"/>
      <c r="M3640" s="45"/>
      <c r="N3640" s="45"/>
    </row>
    <row r="3641" spans="1:14" ht="15" x14ac:dyDescent="0.25">
      <c r="A3641" s="1">
        <v>3632</v>
      </c>
      <c r="B3641" s="1" t="s">
        <v>459</v>
      </c>
      <c r="C3641" s="32">
        <v>2688</v>
      </c>
      <c r="D3641" s="1">
        <v>15000</v>
      </c>
      <c r="E3641" s="1"/>
      <c r="F3641" s="1">
        <v>167.11</v>
      </c>
      <c r="G3641" s="1">
        <v>15000</v>
      </c>
      <c r="H3641" s="5">
        <f t="shared" si="74"/>
        <v>0</v>
      </c>
      <c r="I3641" s="6"/>
      <c r="J3641" s="43"/>
      <c r="K3641" s="51"/>
      <c r="L3641" s="86"/>
      <c r="M3641" s="45"/>
      <c r="N3641" s="45"/>
    </row>
    <row r="3642" spans="1:14" ht="15" x14ac:dyDescent="0.25">
      <c r="A3642" s="1">
        <v>3633</v>
      </c>
      <c r="B3642" s="1" t="s">
        <v>459</v>
      </c>
      <c r="C3642" s="32">
        <v>2067</v>
      </c>
      <c r="D3642" s="1">
        <v>14000</v>
      </c>
      <c r="E3642" s="1"/>
      <c r="F3642" s="1">
        <v>155.97</v>
      </c>
      <c r="G3642" s="1">
        <v>14000</v>
      </c>
      <c r="H3642" s="5">
        <f t="shared" si="74"/>
        <v>0</v>
      </c>
      <c r="I3642" s="6"/>
      <c r="J3642" s="43"/>
      <c r="K3642" s="51"/>
      <c r="L3642" s="86"/>
      <c r="M3642" s="45"/>
      <c r="N3642" s="45"/>
    </row>
    <row r="3643" spans="1:14" ht="15" x14ac:dyDescent="0.25">
      <c r="A3643" s="1">
        <v>3634</v>
      </c>
      <c r="B3643" s="1" t="s">
        <v>459</v>
      </c>
      <c r="C3643" s="32">
        <v>2016</v>
      </c>
      <c r="D3643" s="1">
        <v>23000</v>
      </c>
      <c r="E3643" s="1"/>
      <c r="F3643" s="1">
        <v>256.24</v>
      </c>
      <c r="G3643" s="1">
        <v>23000</v>
      </c>
      <c r="H3643" s="5">
        <f t="shared" si="74"/>
        <v>0</v>
      </c>
      <c r="I3643" s="6"/>
      <c r="J3643" s="43"/>
      <c r="K3643" s="51"/>
      <c r="L3643" s="86"/>
      <c r="M3643" s="45"/>
      <c r="N3643" s="45"/>
    </row>
    <row r="3644" spans="1:14" ht="15" x14ac:dyDescent="0.25">
      <c r="A3644" s="1">
        <v>3635</v>
      </c>
      <c r="B3644" s="1" t="s">
        <v>459</v>
      </c>
      <c r="C3644" s="32">
        <v>7225</v>
      </c>
      <c r="D3644" s="1">
        <v>14600</v>
      </c>
      <c r="E3644" s="1"/>
      <c r="F3644" s="1">
        <v>162.66</v>
      </c>
      <c r="G3644" s="1">
        <v>14600</v>
      </c>
      <c r="H3644" s="5">
        <f t="shared" si="74"/>
        <v>0</v>
      </c>
      <c r="I3644" s="6"/>
      <c r="J3644" s="43"/>
      <c r="K3644" s="51"/>
      <c r="L3644" s="86"/>
      <c r="M3644" s="45"/>
      <c r="N3644" s="45"/>
    </row>
    <row r="3645" spans="1:14" ht="15" x14ac:dyDescent="0.25">
      <c r="A3645" s="1">
        <v>3636</v>
      </c>
      <c r="B3645" s="1" t="s">
        <v>463</v>
      </c>
      <c r="C3645" s="32">
        <v>8425</v>
      </c>
      <c r="D3645" s="1">
        <v>14200</v>
      </c>
      <c r="E3645" s="1"/>
      <c r="F3645" s="1">
        <v>158.19999999999999</v>
      </c>
      <c r="G3645" s="1">
        <v>14200</v>
      </c>
      <c r="H3645" s="5">
        <f t="shared" si="74"/>
        <v>0</v>
      </c>
      <c r="I3645" s="6"/>
      <c r="J3645" s="43"/>
      <c r="K3645" s="51"/>
      <c r="L3645" s="86"/>
      <c r="M3645" s="45"/>
      <c r="N3645" s="45"/>
    </row>
    <row r="3646" spans="1:14" ht="15" x14ac:dyDescent="0.25">
      <c r="A3646" s="1">
        <v>3637</v>
      </c>
      <c r="B3646" s="1" t="s">
        <v>463</v>
      </c>
      <c r="C3646" s="32">
        <v>4739</v>
      </c>
      <c r="D3646" s="1">
        <v>20000</v>
      </c>
      <c r="E3646" s="1"/>
      <c r="F3646" s="1">
        <v>222.24</v>
      </c>
      <c r="G3646" s="1">
        <v>20000</v>
      </c>
      <c r="H3646" s="5">
        <f t="shared" si="74"/>
        <v>0</v>
      </c>
      <c r="I3646" s="6"/>
      <c r="J3646" s="43"/>
      <c r="K3646" s="51"/>
      <c r="L3646" s="86"/>
      <c r="M3646" s="45"/>
      <c r="N3646" s="45"/>
    </row>
    <row r="3647" spans="1:14" ht="15" x14ac:dyDescent="0.25">
      <c r="A3647" s="1">
        <v>3638</v>
      </c>
      <c r="B3647" s="1" t="s">
        <v>463</v>
      </c>
      <c r="C3647" s="32">
        <v>1167</v>
      </c>
      <c r="D3647" s="1">
        <v>14000</v>
      </c>
      <c r="E3647" s="1"/>
      <c r="F3647" s="1">
        <v>155.25</v>
      </c>
      <c r="G3647" s="1">
        <v>14000</v>
      </c>
      <c r="H3647" s="5">
        <f t="shared" si="74"/>
        <v>0</v>
      </c>
      <c r="I3647" s="6"/>
      <c r="J3647" s="43"/>
      <c r="K3647" s="51"/>
      <c r="L3647" s="86"/>
      <c r="M3647" s="45"/>
      <c r="N3647" s="45"/>
    </row>
    <row r="3648" spans="1:14" ht="15" x14ac:dyDescent="0.25">
      <c r="A3648" s="1">
        <v>3639</v>
      </c>
      <c r="B3648" s="1" t="s">
        <v>463</v>
      </c>
      <c r="C3648" s="32">
        <v>6496</v>
      </c>
      <c r="D3648" s="1">
        <v>11000</v>
      </c>
      <c r="E3648" s="1"/>
      <c r="F3648" s="1">
        <v>122.25</v>
      </c>
      <c r="G3648" s="1">
        <v>11000</v>
      </c>
      <c r="H3648" s="5">
        <f t="shared" si="74"/>
        <v>0</v>
      </c>
      <c r="I3648" s="6"/>
      <c r="J3648" s="43"/>
      <c r="K3648" s="51"/>
      <c r="L3648" s="86"/>
      <c r="M3648" s="45"/>
      <c r="N3648" s="45"/>
    </row>
    <row r="3649" spans="1:14" ht="15" x14ac:dyDescent="0.25">
      <c r="A3649" s="1">
        <v>3640</v>
      </c>
      <c r="B3649" s="1" t="s">
        <v>463</v>
      </c>
      <c r="C3649" s="32">
        <v>1168</v>
      </c>
      <c r="D3649" s="1">
        <v>14000</v>
      </c>
      <c r="E3649" s="1"/>
      <c r="F3649" s="1">
        <v>155.25</v>
      </c>
      <c r="G3649" s="1">
        <v>14000</v>
      </c>
      <c r="H3649" s="5">
        <f t="shared" si="74"/>
        <v>0</v>
      </c>
      <c r="I3649" s="6"/>
      <c r="J3649" s="43"/>
      <c r="K3649" s="51"/>
      <c r="L3649" s="86"/>
      <c r="M3649" s="45"/>
      <c r="N3649" s="45"/>
    </row>
    <row r="3650" spans="1:14" ht="15" x14ac:dyDescent="0.25">
      <c r="A3650" s="1">
        <v>3641</v>
      </c>
      <c r="B3650" s="1" t="s">
        <v>463</v>
      </c>
      <c r="C3650" s="32">
        <v>6815</v>
      </c>
      <c r="D3650" s="1">
        <v>20000</v>
      </c>
      <c r="E3650" s="1"/>
      <c r="F3650" s="1">
        <v>206.25</v>
      </c>
      <c r="G3650" s="1">
        <v>20000</v>
      </c>
      <c r="H3650" s="5">
        <f t="shared" si="74"/>
        <v>0</v>
      </c>
      <c r="I3650" s="6"/>
      <c r="J3650" s="43"/>
      <c r="K3650" s="51"/>
      <c r="L3650" s="86"/>
      <c r="M3650" s="45"/>
      <c r="N3650" s="45"/>
    </row>
    <row r="3651" spans="1:14" ht="15" x14ac:dyDescent="0.25">
      <c r="A3651" s="1">
        <v>3642</v>
      </c>
      <c r="B3651" s="1" t="s">
        <v>463</v>
      </c>
      <c r="C3651" s="32">
        <v>9544</v>
      </c>
      <c r="D3651" s="1">
        <v>12000</v>
      </c>
      <c r="E3651" s="1"/>
      <c r="F3651" s="1">
        <v>133.44999999999999</v>
      </c>
      <c r="G3651" s="1">
        <v>12000</v>
      </c>
      <c r="H3651" s="5">
        <f t="shared" si="74"/>
        <v>0</v>
      </c>
      <c r="I3651" s="6"/>
      <c r="J3651" s="43"/>
      <c r="K3651" s="51"/>
      <c r="L3651" s="86"/>
      <c r="M3651" s="45"/>
      <c r="N3651" s="45"/>
    </row>
    <row r="3652" spans="1:14" ht="15" x14ac:dyDescent="0.25">
      <c r="A3652" s="1">
        <v>3643</v>
      </c>
      <c r="B3652" s="1" t="s">
        <v>463</v>
      </c>
      <c r="C3652" s="32">
        <v>2497</v>
      </c>
      <c r="D3652" s="1">
        <v>13000</v>
      </c>
      <c r="E3652" s="1"/>
      <c r="F3652" s="1">
        <v>144.13</v>
      </c>
      <c r="G3652" s="1">
        <v>13000</v>
      </c>
      <c r="H3652" s="5">
        <f t="shared" si="74"/>
        <v>0</v>
      </c>
      <c r="I3652" s="6"/>
      <c r="J3652" s="43"/>
      <c r="K3652" s="51"/>
      <c r="L3652" s="86"/>
      <c r="M3652" s="45"/>
      <c r="N3652" s="45"/>
    </row>
    <row r="3653" spans="1:14" ht="15" x14ac:dyDescent="0.25">
      <c r="A3653" s="1">
        <v>3644</v>
      </c>
      <c r="B3653" s="1" t="s">
        <v>463</v>
      </c>
      <c r="C3653" s="32">
        <v>4595</v>
      </c>
      <c r="D3653" s="1">
        <v>20000</v>
      </c>
      <c r="E3653" s="1"/>
      <c r="F3653" s="1">
        <v>222.25</v>
      </c>
      <c r="G3653" s="1">
        <v>20000</v>
      </c>
      <c r="H3653" s="5">
        <f t="shared" si="74"/>
        <v>0</v>
      </c>
      <c r="I3653" s="6"/>
      <c r="J3653" s="43"/>
      <c r="K3653" s="51"/>
      <c r="L3653" s="86"/>
      <c r="M3653" s="45"/>
      <c r="N3653" s="45"/>
    </row>
    <row r="3654" spans="1:14" ht="15" x14ac:dyDescent="0.25">
      <c r="A3654" s="1">
        <v>3645</v>
      </c>
      <c r="B3654" s="1" t="s">
        <v>463</v>
      </c>
      <c r="C3654" s="32">
        <v>5252</v>
      </c>
      <c r="D3654" s="1">
        <v>16000</v>
      </c>
      <c r="E3654" s="1"/>
      <c r="F3654" s="1">
        <v>178.22</v>
      </c>
      <c r="G3654" s="1">
        <v>16000</v>
      </c>
      <c r="H3654" s="5">
        <f t="shared" si="74"/>
        <v>0</v>
      </c>
      <c r="I3654" s="6"/>
      <c r="J3654" s="43"/>
      <c r="K3654" s="51"/>
      <c r="L3654" s="86"/>
      <c r="M3654" s="45"/>
      <c r="N3654" s="45"/>
    </row>
    <row r="3655" spans="1:14" ht="15" x14ac:dyDescent="0.25">
      <c r="A3655" s="1">
        <v>3646</v>
      </c>
      <c r="B3655" s="1" t="s">
        <v>463</v>
      </c>
      <c r="C3655" s="32">
        <v>1593</v>
      </c>
      <c r="D3655" s="1">
        <v>12000</v>
      </c>
      <c r="E3655" s="1"/>
      <c r="F3655" s="1">
        <v>133.25</v>
      </c>
      <c r="G3655" s="1">
        <v>12000</v>
      </c>
      <c r="H3655" s="5">
        <f t="shared" si="74"/>
        <v>0</v>
      </c>
      <c r="I3655" s="6"/>
      <c r="J3655" s="43"/>
      <c r="K3655" s="51"/>
      <c r="L3655" s="86"/>
      <c r="M3655" s="45"/>
      <c r="N3655" s="45"/>
    </row>
    <row r="3656" spans="1:14" ht="15" x14ac:dyDescent="0.25">
      <c r="A3656" s="1">
        <v>3647</v>
      </c>
      <c r="B3656" s="1" t="s">
        <v>463</v>
      </c>
      <c r="C3656" s="32">
        <v>3877</v>
      </c>
      <c r="D3656" s="1">
        <v>17773</v>
      </c>
      <c r="E3656" s="1"/>
      <c r="F3656" s="1">
        <v>198.25</v>
      </c>
      <c r="G3656" s="1">
        <v>17773</v>
      </c>
      <c r="H3656" s="5">
        <f t="shared" si="74"/>
        <v>0</v>
      </c>
      <c r="I3656" s="6"/>
      <c r="J3656" s="43"/>
      <c r="K3656" s="51"/>
      <c r="L3656" s="86"/>
      <c r="M3656" s="45"/>
      <c r="N3656" s="45"/>
    </row>
    <row r="3657" spans="1:14" ht="15" x14ac:dyDescent="0.25">
      <c r="A3657" s="1">
        <v>3648</v>
      </c>
      <c r="B3657" s="1" t="s">
        <v>463</v>
      </c>
      <c r="C3657" s="32">
        <v>4115</v>
      </c>
      <c r="D3657" s="1">
        <v>15000</v>
      </c>
      <c r="E3657" s="1"/>
      <c r="F3657" s="1">
        <v>167.25</v>
      </c>
      <c r="G3657" s="1">
        <v>15000</v>
      </c>
      <c r="H3657" s="5">
        <f t="shared" si="74"/>
        <v>0</v>
      </c>
      <c r="I3657" s="6"/>
      <c r="J3657" s="43"/>
      <c r="K3657" s="51"/>
      <c r="L3657" s="86"/>
      <c r="M3657" s="45"/>
      <c r="N3657" s="45"/>
    </row>
    <row r="3658" spans="1:14" ht="15" x14ac:dyDescent="0.25">
      <c r="A3658" s="1">
        <v>3649</v>
      </c>
      <c r="B3658" s="1" t="s">
        <v>463</v>
      </c>
      <c r="C3658" s="32">
        <v>2370</v>
      </c>
      <c r="D3658" s="1">
        <v>20000</v>
      </c>
      <c r="E3658" s="1"/>
      <c r="F3658" s="1">
        <v>245.25</v>
      </c>
      <c r="G3658" s="1">
        <v>20000</v>
      </c>
      <c r="H3658" s="5">
        <f t="shared" si="74"/>
        <v>0</v>
      </c>
      <c r="I3658" s="6"/>
      <c r="J3658" s="43"/>
      <c r="K3658" s="51"/>
      <c r="L3658" s="86"/>
      <c r="M3658" s="45"/>
      <c r="N3658" s="45"/>
    </row>
    <row r="3659" spans="1:14" ht="15" x14ac:dyDescent="0.25">
      <c r="A3659" s="1">
        <v>3650</v>
      </c>
      <c r="B3659" s="1" t="s">
        <v>463</v>
      </c>
      <c r="C3659" s="32">
        <v>5153</v>
      </c>
      <c r="D3659" s="1">
        <v>10000</v>
      </c>
      <c r="E3659" s="1"/>
      <c r="F3659" s="1">
        <v>111.25</v>
      </c>
      <c r="G3659" s="1">
        <v>10000</v>
      </c>
      <c r="H3659" s="5">
        <f t="shared" si="74"/>
        <v>0</v>
      </c>
      <c r="I3659" s="6"/>
      <c r="J3659" s="43"/>
      <c r="K3659" s="51"/>
      <c r="L3659" s="86"/>
      <c r="M3659" s="45"/>
      <c r="N3659" s="45"/>
    </row>
    <row r="3660" spans="1:14" ht="15" x14ac:dyDescent="0.25">
      <c r="A3660" s="1">
        <v>3651</v>
      </c>
      <c r="B3660" s="1" t="s">
        <v>463</v>
      </c>
      <c r="C3660" s="32">
        <v>3634</v>
      </c>
      <c r="D3660" s="1">
        <v>19500</v>
      </c>
      <c r="E3660" s="1"/>
      <c r="F3660" s="1">
        <v>277.85000000000002</v>
      </c>
      <c r="G3660" s="1">
        <v>19500</v>
      </c>
      <c r="H3660" s="5">
        <f t="shared" si="74"/>
        <v>0</v>
      </c>
      <c r="I3660" s="6"/>
      <c r="J3660" s="43"/>
      <c r="K3660" s="51"/>
      <c r="L3660" s="86"/>
      <c r="M3660" s="45"/>
      <c r="N3660" s="45"/>
    </row>
    <row r="3661" spans="1:14" ht="15" x14ac:dyDescent="0.25">
      <c r="A3661" s="1">
        <v>3652</v>
      </c>
      <c r="B3661" s="1" t="s">
        <v>463</v>
      </c>
      <c r="C3661" s="32">
        <v>5662</v>
      </c>
      <c r="D3661" s="1">
        <v>18500</v>
      </c>
      <c r="E3661" s="1"/>
      <c r="F3661" s="1">
        <v>205.28</v>
      </c>
      <c r="G3661" s="1">
        <v>18500</v>
      </c>
      <c r="H3661" s="5">
        <f t="shared" si="74"/>
        <v>0</v>
      </c>
      <c r="I3661" s="6"/>
      <c r="J3661" s="43"/>
      <c r="K3661" s="51"/>
      <c r="L3661" s="86"/>
      <c r="M3661" s="45"/>
      <c r="N3661" s="45"/>
    </row>
    <row r="3662" spans="1:14" ht="15" x14ac:dyDescent="0.25">
      <c r="A3662" s="1">
        <v>3653</v>
      </c>
      <c r="B3662" s="1" t="s">
        <v>463</v>
      </c>
      <c r="C3662" s="32">
        <v>5844</v>
      </c>
      <c r="D3662" s="1">
        <v>14000</v>
      </c>
      <c r="E3662" s="1"/>
      <c r="F3662" s="1">
        <v>155.57</v>
      </c>
      <c r="G3662" s="1">
        <v>14000</v>
      </c>
      <c r="H3662" s="5">
        <f t="shared" si="74"/>
        <v>0</v>
      </c>
      <c r="I3662" s="6"/>
      <c r="J3662" s="43"/>
      <c r="K3662" s="51"/>
      <c r="L3662" s="86"/>
      <c r="M3662" s="45"/>
      <c r="N3662" s="45"/>
    </row>
    <row r="3663" spans="1:14" ht="15" x14ac:dyDescent="0.25">
      <c r="A3663" s="1">
        <v>3654</v>
      </c>
      <c r="B3663" s="1" t="s">
        <v>463</v>
      </c>
      <c r="C3663" s="32">
        <v>5485</v>
      </c>
      <c r="D3663" s="1">
        <v>27000</v>
      </c>
      <c r="E3663" s="1"/>
      <c r="F3663" s="1">
        <v>295.85000000000002</v>
      </c>
      <c r="G3663" s="1">
        <v>27000</v>
      </c>
      <c r="H3663" s="5">
        <f t="shared" si="74"/>
        <v>0</v>
      </c>
      <c r="I3663" s="6"/>
      <c r="J3663" s="43"/>
      <c r="K3663" s="51"/>
      <c r="L3663" s="86"/>
      <c r="M3663" s="45"/>
      <c r="N3663" s="45"/>
    </row>
    <row r="3664" spans="1:14" ht="15" x14ac:dyDescent="0.25">
      <c r="A3664" s="1">
        <v>3655</v>
      </c>
      <c r="B3664" s="1" t="s">
        <v>463</v>
      </c>
      <c r="C3664" s="32">
        <v>2802</v>
      </c>
      <c r="D3664" s="1">
        <v>16000</v>
      </c>
      <c r="E3664" s="1"/>
      <c r="F3664" s="1">
        <v>178.24</v>
      </c>
      <c r="G3664" s="1">
        <v>16000</v>
      </c>
      <c r="H3664" s="5">
        <f t="shared" si="74"/>
        <v>0</v>
      </c>
      <c r="I3664" s="6"/>
      <c r="J3664" s="43"/>
      <c r="K3664" s="51"/>
      <c r="L3664" s="86"/>
      <c r="M3664" s="45"/>
      <c r="N3664" s="45"/>
    </row>
    <row r="3665" spans="1:14" ht="15" x14ac:dyDescent="0.25">
      <c r="A3665" s="1">
        <v>3656</v>
      </c>
      <c r="B3665" s="1" t="s">
        <v>463</v>
      </c>
      <c r="C3665" s="32">
        <v>8434</v>
      </c>
      <c r="D3665" s="1">
        <v>24162</v>
      </c>
      <c r="E3665" s="1"/>
      <c r="F3665" s="1">
        <v>269.58</v>
      </c>
      <c r="G3665" s="1">
        <v>24162</v>
      </c>
      <c r="H3665" s="5">
        <f t="shared" si="74"/>
        <v>0</v>
      </c>
      <c r="I3665" s="6"/>
      <c r="J3665" s="43"/>
      <c r="K3665" s="51"/>
      <c r="L3665" s="86"/>
      <c r="M3665" s="45"/>
      <c r="N3665" s="45"/>
    </row>
    <row r="3666" spans="1:14" ht="15" x14ac:dyDescent="0.25">
      <c r="A3666" s="1">
        <v>3657</v>
      </c>
      <c r="B3666" s="1" t="s">
        <v>463</v>
      </c>
      <c r="C3666" s="32">
        <v>9035</v>
      </c>
      <c r="D3666" s="1">
        <v>25000</v>
      </c>
      <c r="E3666" s="1"/>
      <c r="F3666" s="1">
        <v>278.22000000000003</v>
      </c>
      <c r="G3666" s="1">
        <v>25000</v>
      </c>
      <c r="H3666" s="5">
        <f t="shared" si="74"/>
        <v>0</v>
      </c>
      <c r="I3666" s="6"/>
      <c r="J3666" s="43"/>
      <c r="K3666" s="51"/>
      <c r="L3666" s="86"/>
      <c r="M3666" s="45"/>
      <c r="N3666" s="45"/>
    </row>
    <row r="3667" spans="1:14" ht="15" x14ac:dyDescent="0.25">
      <c r="A3667" s="1">
        <v>3658</v>
      </c>
      <c r="B3667" s="1" t="s">
        <v>463</v>
      </c>
      <c r="C3667" s="32">
        <v>1871</v>
      </c>
      <c r="D3667" s="1">
        <v>22000</v>
      </c>
      <c r="E3667" s="1"/>
      <c r="F3667" s="1">
        <v>245.28</v>
      </c>
      <c r="G3667" s="1">
        <v>22000</v>
      </c>
      <c r="H3667" s="5">
        <f t="shared" si="74"/>
        <v>0</v>
      </c>
      <c r="I3667" s="6"/>
      <c r="J3667" s="43"/>
      <c r="K3667" s="51"/>
      <c r="L3667" s="86"/>
      <c r="M3667" s="45"/>
      <c r="N3667" s="45"/>
    </row>
    <row r="3668" spans="1:14" ht="15" x14ac:dyDescent="0.25">
      <c r="A3668" s="1">
        <v>3659</v>
      </c>
      <c r="B3668" s="1" t="s">
        <v>463</v>
      </c>
      <c r="C3668" s="32">
        <v>7896</v>
      </c>
      <c r="D3668" s="1">
        <v>26000</v>
      </c>
      <c r="E3668" s="1"/>
      <c r="F3668" s="1">
        <v>293.85000000000002</v>
      </c>
      <c r="G3668" s="1">
        <v>26000</v>
      </c>
      <c r="H3668" s="5">
        <f t="shared" si="74"/>
        <v>0</v>
      </c>
      <c r="I3668" s="6"/>
      <c r="J3668" s="43"/>
      <c r="K3668" s="51"/>
      <c r="L3668" s="86"/>
      <c r="M3668" s="45"/>
      <c r="N3668" s="45"/>
    </row>
    <row r="3669" spans="1:14" ht="15" x14ac:dyDescent="0.25">
      <c r="A3669" s="1">
        <v>3660</v>
      </c>
      <c r="B3669" s="1" t="s">
        <v>463</v>
      </c>
      <c r="C3669" s="32">
        <v>2617</v>
      </c>
      <c r="D3669" s="1">
        <v>31000</v>
      </c>
      <c r="E3669" s="1"/>
      <c r="F3669" s="1">
        <v>345.28</v>
      </c>
      <c r="G3669" s="1">
        <v>31000</v>
      </c>
      <c r="H3669" s="5">
        <f t="shared" si="74"/>
        <v>0</v>
      </c>
      <c r="I3669" s="6"/>
      <c r="J3669" s="43"/>
      <c r="K3669" s="51"/>
      <c r="L3669" s="86"/>
      <c r="M3669" s="45"/>
      <c r="N3669" s="45"/>
    </row>
    <row r="3670" spans="1:14" ht="15" x14ac:dyDescent="0.25">
      <c r="A3670" s="1">
        <v>3661</v>
      </c>
      <c r="B3670" s="1" t="s">
        <v>463</v>
      </c>
      <c r="C3670" s="32">
        <v>5187</v>
      </c>
      <c r="D3670" s="1">
        <v>20000</v>
      </c>
      <c r="E3670" s="1"/>
      <c r="F3670" s="1">
        <v>229.45</v>
      </c>
      <c r="G3670" s="1">
        <v>20000</v>
      </c>
      <c r="H3670" s="5">
        <f t="shared" si="74"/>
        <v>0</v>
      </c>
      <c r="I3670" s="6"/>
      <c r="J3670" s="43"/>
      <c r="K3670" s="51"/>
      <c r="L3670" s="86"/>
      <c r="M3670" s="45"/>
      <c r="N3670" s="45"/>
    </row>
    <row r="3671" spans="1:14" ht="15" x14ac:dyDescent="0.25">
      <c r="A3671" s="1">
        <v>3662</v>
      </c>
      <c r="B3671" s="1" t="s">
        <v>463</v>
      </c>
      <c r="C3671" s="32">
        <v>2063</v>
      </c>
      <c r="D3671" s="1">
        <v>31000</v>
      </c>
      <c r="E3671" s="1"/>
      <c r="F3671" s="1">
        <v>345.45</v>
      </c>
      <c r="G3671" s="1">
        <v>31000</v>
      </c>
      <c r="H3671" s="5">
        <f t="shared" si="74"/>
        <v>0</v>
      </c>
      <c r="I3671" s="6"/>
      <c r="J3671" s="43"/>
      <c r="K3671" s="51"/>
      <c r="L3671" s="86"/>
      <c r="M3671" s="45"/>
      <c r="N3671" s="45"/>
    </row>
    <row r="3672" spans="1:14" ht="15" x14ac:dyDescent="0.25">
      <c r="A3672" s="1">
        <v>3663</v>
      </c>
      <c r="B3672" s="1" t="s">
        <v>463</v>
      </c>
      <c r="C3672" s="32">
        <v>2928</v>
      </c>
      <c r="D3672" s="1">
        <v>15000</v>
      </c>
      <c r="E3672" s="1"/>
      <c r="F3672" s="1">
        <v>167.45</v>
      </c>
      <c r="G3672" s="1">
        <v>15000</v>
      </c>
      <c r="H3672" s="5">
        <f t="shared" si="74"/>
        <v>0</v>
      </c>
      <c r="I3672" s="6"/>
      <c r="J3672" s="43"/>
      <c r="K3672" s="51"/>
      <c r="L3672" s="86"/>
      <c r="M3672" s="45"/>
      <c r="N3672" s="45"/>
    </row>
    <row r="3673" spans="1:14" ht="15" x14ac:dyDescent="0.25">
      <c r="A3673" s="1">
        <v>3664</v>
      </c>
      <c r="B3673" s="1" t="s">
        <v>463</v>
      </c>
      <c r="C3673" s="32">
        <v>2345</v>
      </c>
      <c r="D3673" s="1">
        <v>5000</v>
      </c>
      <c r="E3673" s="1"/>
      <c r="F3673" s="1">
        <v>55.54</v>
      </c>
      <c r="G3673" s="1">
        <v>5000</v>
      </c>
      <c r="H3673" s="5">
        <f t="shared" ref="H3673:H3738" si="75">D3673-G3673</f>
        <v>0</v>
      </c>
      <c r="I3673" s="6"/>
      <c r="J3673" s="43"/>
      <c r="K3673" s="51"/>
      <c r="L3673" s="86">
        <f>1435589-1229851</f>
        <v>205738</v>
      </c>
      <c r="M3673" s="45" t="s">
        <v>453</v>
      </c>
      <c r="N3673" s="45">
        <f>205738-205316</f>
        <v>422</v>
      </c>
    </row>
    <row r="3674" spans="1:14" ht="15" x14ac:dyDescent="0.25">
      <c r="A3674" s="1">
        <v>3665</v>
      </c>
      <c r="B3674" s="1" t="s">
        <v>460</v>
      </c>
      <c r="C3674" s="32">
        <v>2775</v>
      </c>
      <c r="D3674" s="1">
        <v>2000</v>
      </c>
      <c r="E3674" s="1"/>
      <c r="F3674" s="1">
        <v>22.35</v>
      </c>
      <c r="G3674" s="1">
        <v>2000</v>
      </c>
      <c r="H3674" s="5">
        <f t="shared" si="75"/>
        <v>0</v>
      </c>
      <c r="I3674" s="6"/>
      <c r="J3674" s="43"/>
      <c r="K3674" s="51"/>
      <c r="L3674" s="86"/>
      <c r="M3674" s="45"/>
      <c r="N3674" s="45"/>
    </row>
    <row r="3675" spans="1:14" ht="15" x14ac:dyDescent="0.25">
      <c r="A3675" s="1">
        <v>3666</v>
      </c>
      <c r="B3675" s="1" t="s">
        <v>460</v>
      </c>
      <c r="C3675" s="32" t="s">
        <v>63</v>
      </c>
      <c r="D3675" s="1">
        <v>3500</v>
      </c>
      <c r="E3675" s="1"/>
      <c r="F3675" s="1">
        <v>39.54</v>
      </c>
      <c r="G3675" s="1">
        <v>3500</v>
      </c>
      <c r="H3675" s="5">
        <f t="shared" si="75"/>
        <v>0</v>
      </c>
      <c r="I3675" s="6"/>
      <c r="J3675" s="43"/>
      <c r="K3675" s="51"/>
      <c r="L3675" s="86"/>
      <c r="M3675" s="45"/>
      <c r="N3675" s="45"/>
    </row>
    <row r="3676" spans="1:14" ht="15" x14ac:dyDescent="0.25">
      <c r="A3676" s="1">
        <v>3667</v>
      </c>
      <c r="B3676" s="1" t="s">
        <v>460</v>
      </c>
      <c r="C3676" s="32">
        <v>9327</v>
      </c>
      <c r="D3676" s="1">
        <v>7000</v>
      </c>
      <c r="E3676" s="1"/>
      <c r="F3676" s="1">
        <v>77.45</v>
      </c>
      <c r="G3676" s="1">
        <v>7000</v>
      </c>
      <c r="H3676" s="5">
        <f t="shared" si="75"/>
        <v>0</v>
      </c>
      <c r="I3676" s="6"/>
      <c r="J3676" s="43"/>
      <c r="K3676" s="51"/>
      <c r="L3676" s="86"/>
      <c r="M3676" s="45"/>
      <c r="N3676" s="45"/>
    </row>
    <row r="3677" spans="1:14" ht="15" x14ac:dyDescent="0.25">
      <c r="A3677" s="1">
        <v>3668</v>
      </c>
      <c r="B3677" s="1" t="s">
        <v>460</v>
      </c>
      <c r="C3677" s="32">
        <v>1416</v>
      </c>
      <c r="D3677" s="1">
        <v>7000</v>
      </c>
      <c r="E3677" s="1"/>
      <c r="F3677" s="1">
        <v>77.45</v>
      </c>
      <c r="G3677" s="1">
        <v>7000</v>
      </c>
      <c r="H3677" s="5">
        <f t="shared" si="75"/>
        <v>0</v>
      </c>
      <c r="I3677" s="6"/>
      <c r="J3677" s="43"/>
      <c r="K3677" s="51"/>
      <c r="L3677" s="86"/>
      <c r="M3677" s="45"/>
      <c r="N3677" s="45"/>
    </row>
    <row r="3678" spans="1:14" ht="15" x14ac:dyDescent="0.25">
      <c r="A3678" s="1">
        <v>3669</v>
      </c>
      <c r="B3678" s="1" t="s">
        <v>460</v>
      </c>
      <c r="C3678" s="32">
        <v>3365</v>
      </c>
      <c r="D3678" s="1">
        <v>7000</v>
      </c>
      <c r="E3678" s="1"/>
      <c r="F3678" s="1">
        <v>77.45</v>
      </c>
      <c r="G3678" s="1">
        <v>7000</v>
      </c>
      <c r="H3678" s="5">
        <f t="shared" si="75"/>
        <v>0</v>
      </c>
      <c r="I3678" s="6"/>
      <c r="J3678" s="43"/>
      <c r="K3678" s="51"/>
      <c r="L3678" s="86"/>
      <c r="M3678" s="45"/>
      <c r="N3678" s="45"/>
    </row>
    <row r="3679" spans="1:14" ht="15" x14ac:dyDescent="0.25">
      <c r="A3679" s="1">
        <v>3670</v>
      </c>
      <c r="B3679" s="1" t="s">
        <v>460</v>
      </c>
      <c r="C3679" s="32" t="s">
        <v>30</v>
      </c>
      <c r="D3679" s="1">
        <v>7000</v>
      </c>
      <c r="E3679" s="1"/>
      <c r="F3679" s="1">
        <v>77.45</v>
      </c>
      <c r="G3679" s="1">
        <v>7000</v>
      </c>
      <c r="H3679" s="5">
        <f t="shared" si="75"/>
        <v>0</v>
      </c>
      <c r="I3679" s="6"/>
      <c r="J3679" s="43"/>
      <c r="K3679" s="51"/>
      <c r="L3679" s="86"/>
      <c r="M3679" s="45"/>
      <c r="N3679" s="45"/>
    </row>
    <row r="3680" spans="1:14" ht="15" x14ac:dyDescent="0.25">
      <c r="A3680" s="1">
        <v>3671</v>
      </c>
      <c r="B3680" s="1" t="s">
        <v>460</v>
      </c>
      <c r="C3680" s="32">
        <v>1842</v>
      </c>
      <c r="D3680" s="1">
        <v>8000</v>
      </c>
      <c r="E3680" s="1"/>
      <c r="F3680" s="1">
        <v>89.45</v>
      </c>
      <c r="G3680" s="1">
        <v>8000</v>
      </c>
      <c r="H3680" s="5">
        <f t="shared" si="75"/>
        <v>0</v>
      </c>
      <c r="I3680" s="6"/>
      <c r="J3680" s="43"/>
      <c r="K3680" s="51"/>
      <c r="L3680" s="86"/>
      <c r="M3680" s="45"/>
      <c r="N3680" s="45"/>
    </row>
    <row r="3681" spans="1:14" ht="15" x14ac:dyDescent="0.25">
      <c r="A3681" s="1">
        <v>3672</v>
      </c>
      <c r="B3681" s="1" t="s">
        <v>460</v>
      </c>
      <c r="C3681" s="32">
        <v>5819</v>
      </c>
      <c r="D3681" s="1">
        <v>8000</v>
      </c>
      <c r="E3681" s="1"/>
      <c r="F3681" s="1">
        <v>89.45</v>
      </c>
      <c r="G3681" s="1">
        <v>8000</v>
      </c>
      <c r="H3681" s="5">
        <f t="shared" si="75"/>
        <v>0</v>
      </c>
      <c r="I3681" s="6"/>
      <c r="J3681" s="43"/>
      <c r="K3681" s="51"/>
      <c r="L3681" s="86"/>
      <c r="M3681" s="45"/>
      <c r="N3681" s="45"/>
    </row>
    <row r="3682" spans="1:14" ht="15" x14ac:dyDescent="0.25">
      <c r="A3682" s="1">
        <v>3673</v>
      </c>
      <c r="B3682" s="1" t="s">
        <v>460</v>
      </c>
      <c r="C3682" s="32">
        <v>9665</v>
      </c>
      <c r="D3682" s="1">
        <v>8000</v>
      </c>
      <c r="E3682" s="1"/>
      <c r="F3682" s="1">
        <v>89.45</v>
      </c>
      <c r="G3682" s="1">
        <v>8000</v>
      </c>
      <c r="H3682" s="5">
        <f t="shared" si="75"/>
        <v>0</v>
      </c>
      <c r="I3682" s="6"/>
      <c r="J3682" s="43"/>
      <c r="K3682" s="51"/>
      <c r="L3682" s="86"/>
      <c r="M3682" s="45"/>
      <c r="N3682" s="45"/>
    </row>
    <row r="3683" spans="1:14" ht="15" x14ac:dyDescent="0.25">
      <c r="A3683" s="1">
        <v>3674</v>
      </c>
      <c r="B3683" s="1" t="s">
        <v>460</v>
      </c>
      <c r="C3683" s="32">
        <v>9667</v>
      </c>
      <c r="D3683" s="1">
        <v>9000</v>
      </c>
      <c r="E3683" s="1"/>
      <c r="F3683" s="1">
        <v>100.25</v>
      </c>
      <c r="G3683" s="1">
        <v>9000</v>
      </c>
      <c r="H3683" s="5">
        <f t="shared" si="75"/>
        <v>0</v>
      </c>
      <c r="I3683" s="6"/>
      <c r="J3683" s="43"/>
      <c r="K3683" s="51"/>
      <c r="L3683" s="86"/>
      <c r="M3683" s="45"/>
      <c r="N3683" s="45"/>
    </row>
    <row r="3684" spans="1:14" ht="15" x14ac:dyDescent="0.25">
      <c r="A3684" s="1">
        <v>3675</v>
      </c>
      <c r="B3684" s="1" t="s">
        <v>460</v>
      </c>
      <c r="C3684" s="32">
        <v>9793</v>
      </c>
      <c r="D3684" s="1">
        <v>10000</v>
      </c>
      <c r="E3684" s="1"/>
      <c r="F3684" s="1">
        <v>111.25</v>
      </c>
      <c r="G3684" s="1">
        <v>10000</v>
      </c>
      <c r="H3684" s="5">
        <f t="shared" si="75"/>
        <v>0</v>
      </c>
      <c r="I3684" s="6"/>
      <c r="J3684" s="43"/>
      <c r="K3684" s="51"/>
      <c r="L3684" s="86"/>
      <c r="M3684" s="45"/>
      <c r="N3684" s="45"/>
    </row>
    <row r="3685" spans="1:14" ht="15" x14ac:dyDescent="0.25">
      <c r="A3685" s="1">
        <v>3676</v>
      </c>
      <c r="B3685" s="1" t="s">
        <v>460</v>
      </c>
      <c r="C3685" s="32">
        <v>3941</v>
      </c>
      <c r="D3685" s="1">
        <v>12000</v>
      </c>
      <c r="E3685" s="1"/>
      <c r="F3685" s="1">
        <v>133.44999999999999</v>
      </c>
      <c r="G3685" s="1">
        <v>12000</v>
      </c>
      <c r="H3685" s="5">
        <f t="shared" si="75"/>
        <v>0</v>
      </c>
      <c r="I3685" s="6"/>
      <c r="J3685" s="43"/>
      <c r="K3685" s="51"/>
      <c r="L3685" s="86"/>
      <c r="M3685" s="45"/>
      <c r="N3685" s="45"/>
    </row>
    <row r="3686" spans="1:14" ht="15" x14ac:dyDescent="0.25">
      <c r="A3686" s="1">
        <v>3677</v>
      </c>
      <c r="B3686" s="1" t="s">
        <v>460</v>
      </c>
      <c r="C3686" s="32">
        <v>3007</v>
      </c>
      <c r="D3686" s="1">
        <v>12000</v>
      </c>
      <c r="E3686" s="1"/>
      <c r="F3686" s="1">
        <v>133.44999999999999</v>
      </c>
      <c r="G3686" s="1">
        <v>12000</v>
      </c>
      <c r="H3686" s="5">
        <f t="shared" si="75"/>
        <v>0</v>
      </c>
      <c r="I3686" s="6"/>
      <c r="J3686" s="43"/>
      <c r="K3686" s="51"/>
      <c r="L3686" s="86"/>
      <c r="M3686" s="45"/>
      <c r="N3686" s="45"/>
    </row>
    <row r="3687" spans="1:14" ht="15" x14ac:dyDescent="0.25">
      <c r="A3687" s="1">
        <v>3678</v>
      </c>
      <c r="B3687" s="1" t="s">
        <v>460</v>
      </c>
      <c r="C3687" s="32">
        <v>2705</v>
      </c>
      <c r="D3687" s="1">
        <v>12000</v>
      </c>
      <c r="E3687" s="1"/>
      <c r="F3687" s="1">
        <v>133.44999999999999</v>
      </c>
      <c r="G3687" s="1">
        <v>12000</v>
      </c>
      <c r="H3687" s="5">
        <f t="shared" si="75"/>
        <v>0</v>
      </c>
      <c r="I3687" s="6"/>
      <c r="J3687" s="43"/>
      <c r="K3687" s="51"/>
      <c r="L3687" s="86"/>
      <c r="M3687" s="45"/>
      <c r="N3687" s="45"/>
    </row>
    <row r="3688" spans="1:14" ht="15" x14ac:dyDescent="0.25">
      <c r="A3688" s="1">
        <v>3679</v>
      </c>
      <c r="B3688" s="1" t="s">
        <v>460</v>
      </c>
      <c r="C3688" s="32">
        <v>6048</v>
      </c>
      <c r="D3688" s="1">
        <v>12000</v>
      </c>
      <c r="E3688" s="1"/>
      <c r="F3688" s="1">
        <v>133.44999999999999</v>
      </c>
      <c r="G3688" s="1">
        <v>12000</v>
      </c>
      <c r="H3688" s="5">
        <f t="shared" si="75"/>
        <v>0</v>
      </c>
      <c r="I3688" s="6"/>
      <c r="J3688" s="43"/>
      <c r="K3688" s="51"/>
      <c r="L3688" s="86"/>
      <c r="M3688" s="45"/>
      <c r="N3688" s="45"/>
    </row>
    <row r="3689" spans="1:14" ht="15" x14ac:dyDescent="0.25">
      <c r="A3689" s="1">
        <v>3680</v>
      </c>
      <c r="B3689" s="1" t="s">
        <v>460</v>
      </c>
      <c r="C3689" s="32">
        <v>1398</v>
      </c>
      <c r="D3689" s="1">
        <v>13000</v>
      </c>
      <c r="E3689" s="1"/>
      <c r="F3689" s="1">
        <v>144.13</v>
      </c>
      <c r="G3689" s="1">
        <v>13000</v>
      </c>
      <c r="H3689" s="5">
        <f t="shared" si="75"/>
        <v>0</v>
      </c>
      <c r="I3689" s="6"/>
      <c r="J3689" s="43"/>
      <c r="K3689" s="51"/>
      <c r="L3689" s="86"/>
      <c r="M3689" s="45"/>
      <c r="N3689" s="45"/>
    </row>
    <row r="3690" spans="1:14" ht="15" x14ac:dyDescent="0.25">
      <c r="A3690" s="1">
        <v>3681</v>
      </c>
      <c r="B3690" s="1" t="s">
        <v>460</v>
      </c>
      <c r="C3690" s="32">
        <v>4.7000000000000002E-3</v>
      </c>
      <c r="D3690" s="1">
        <v>13000</v>
      </c>
      <c r="E3690" s="1"/>
      <c r="F3690" s="1">
        <v>144.13</v>
      </c>
      <c r="G3690" s="1">
        <v>13000</v>
      </c>
      <c r="H3690" s="5">
        <f t="shared" si="75"/>
        <v>0</v>
      </c>
      <c r="I3690" s="6"/>
      <c r="J3690" s="43"/>
      <c r="K3690" s="51"/>
      <c r="L3690" s="86"/>
      <c r="M3690" s="45"/>
      <c r="N3690" s="45"/>
    </row>
    <row r="3691" spans="1:14" ht="15" x14ac:dyDescent="0.25">
      <c r="A3691" s="1">
        <v>3682</v>
      </c>
      <c r="B3691" s="1" t="s">
        <v>460</v>
      </c>
      <c r="C3691" s="32">
        <v>1266</v>
      </c>
      <c r="D3691" s="1">
        <v>13000</v>
      </c>
      <c r="E3691" s="1"/>
      <c r="F3691" s="1">
        <v>144.13</v>
      </c>
      <c r="G3691" s="1">
        <v>13000</v>
      </c>
      <c r="H3691" s="5">
        <f t="shared" si="75"/>
        <v>0</v>
      </c>
      <c r="I3691" s="6"/>
      <c r="J3691" s="43"/>
      <c r="K3691" s="51"/>
      <c r="L3691" s="86"/>
      <c r="M3691" s="45"/>
      <c r="N3691" s="45"/>
    </row>
    <row r="3692" spans="1:14" ht="15" x14ac:dyDescent="0.25">
      <c r="A3692" s="1">
        <v>3683</v>
      </c>
      <c r="B3692" s="1" t="s">
        <v>460</v>
      </c>
      <c r="C3692" s="32">
        <v>9179</v>
      </c>
      <c r="D3692" s="1">
        <v>13000</v>
      </c>
      <c r="E3692" s="1"/>
      <c r="F3692" s="1">
        <v>144.13</v>
      </c>
      <c r="G3692" s="1">
        <v>13000</v>
      </c>
      <c r="H3692" s="5">
        <f t="shared" si="75"/>
        <v>0</v>
      </c>
      <c r="I3692" s="6"/>
      <c r="J3692" s="43"/>
      <c r="K3692" s="51"/>
      <c r="L3692" s="86"/>
      <c r="M3692" s="45"/>
      <c r="N3692" s="45"/>
    </row>
    <row r="3693" spans="1:14" ht="15" x14ac:dyDescent="0.25">
      <c r="A3693" s="1">
        <v>3684</v>
      </c>
      <c r="B3693" s="1" t="s">
        <v>460</v>
      </c>
      <c r="C3693" s="32">
        <v>6758</v>
      </c>
      <c r="D3693" s="1">
        <v>13000</v>
      </c>
      <c r="E3693" s="1"/>
      <c r="F3693" s="1">
        <v>144.13</v>
      </c>
      <c r="G3693" s="1">
        <v>13000</v>
      </c>
      <c r="H3693" s="5">
        <f t="shared" si="75"/>
        <v>0</v>
      </c>
      <c r="I3693" s="6"/>
      <c r="J3693" s="43"/>
      <c r="K3693" s="51"/>
      <c r="L3693" s="86"/>
      <c r="M3693" s="45"/>
      <c r="N3693" s="45"/>
    </row>
    <row r="3694" spans="1:14" ht="15" x14ac:dyDescent="0.25">
      <c r="A3694" s="1">
        <v>3685</v>
      </c>
      <c r="B3694" s="1" t="s">
        <v>460</v>
      </c>
      <c r="C3694" s="32">
        <v>3398</v>
      </c>
      <c r="D3694" s="1">
        <v>13000</v>
      </c>
      <c r="E3694" s="1"/>
      <c r="F3694" s="1">
        <v>144.13</v>
      </c>
      <c r="G3694" s="1">
        <v>13000</v>
      </c>
      <c r="H3694" s="5">
        <f t="shared" si="75"/>
        <v>0</v>
      </c>
      <c r="I3694" s="6"/>
      <c r="J3694" s="43"/>
      <c r="K3694" s="51"/>
      <c r="L3694" s="86"/>
      <c r="M3694" s="45"/>
      <c r="N3694" s="45"/>
    </row>
    <row r="3695" spans="1:14" ht="15" x14ac:dyDescent="0.25">
      <c r="A3695" s="1">
        <v>3686</v>
      </c>
      <c r="B3695" s="1" t="s">
        <v>460</v>
      </c>
      <c r="C3695" s="32">
        <v>9944</v>
      </c>
      <c r="D3695" s="1">
        <v>13500</v>
      </c>
      <c r="E3695" s="1"/>
      <c r="F3695" s="1">
        <v>150.44999999999999</v>
      </c>
      <c r="G3695" s="1">
        <v>13500</v>
      </c>
      <c r="H3695" s="5">
        <f t="shared" si="75"/>
        <v>0</v>
      </c>
      <c r="I3695" s="6"/>
      <c r="J3695" s="43"/>
      <c r="K3695" s="51"/>
      <c r="L3695" s="86"/>
      <c r="M3695" s="45"/>
      <c r="N3695" s="45"/>
    </row>
    <row r="3696" spans="1:14" ht="15" x14ac:dyDescent="0.25">
      <c r="A3696" s="1">
        <v>3687</v>
      </c>
      <c r="B3696" s="1" t="s">
        <v>460</v>
      </c>
      <c r="C3696" s="32">
        <v>6496</v>
      </c>
      <c r="D3696" s="1">
        <v>14000</v>
      </c>
      <c r="E3696" s="1"/>
      <c r="F3696" s="1">
        <v>155.47</v>
      </c>
      <c r="G3696" s="1">
        <v>14000</v>
      </c>
      <c r="H3696" s="5">
        <f t="shared" si="75"/>
        <v>0</v>
      </c>
      <c r="I3696" s="6"/>
      <c r="J3696" s="43"/>
      <c r="K3696" s="51"/>
      <c r="L3696" s="86"/>
      <c r="M3696" s="45"/>
      <c r="N3696" s="45"/>
    </row>
    <row r="3697" spans="1:14" ht="15" x14ac:dyDescent="0.25">
      <c r="A3697" s="1">
        <v>3688</v>
      </c>
      <c r="B3697" s="1" t="s">
        <v>460</v>
      </c>
      <c r="C3697" s="32">
        <v>2067</v>
      </c>
      <c r="D3697" s="1">
        <v>14000</v>
      </c>
      <c r="E3697" s="1"/>
      <c r="F3697" s="1">
        <v>155.47</v>
      </c>
      <c r="G3697" s="1">
        <v>14000</v>
      </c>
      <c r="H3697" s="5">
        <f t="shared" si="75"/>
        <v>0</v>
      </c>
      <c r="I3697" s="6"/>
      <c r="J3697" s="43"/>
      <c r="K3697" s="51"/>
      <c r="L3697" s="86"/>
      <c r="M3697" s="45"/>
      <c r="N3697" s="45"/>
    </row>
    <row r="3698" spans="1:14" ht="15" x14ac:dyDescent="0.25">
      <c r="A3698" s="1">
        <v>3689</v>
      </c>
      <c r="B3698" s="1" t="s">
        <v>460</v>
      </c>
      <c r="C3698" s="32">
        <v>1046</v>
      </c>
      <c r="D3698" s="1">
        <v>14000</v>
      </c>
      <c r="E3698" s="1"/>
      <c r="F3698" s="1">
        <v>155.47</v>
      </c>
      <c r="G3698" s="1">
        <v>14000</v>
      </c>
      <c r="H3698" s="5">
        <f t="shared" si="75"/>
        <v>0</v>
      </c>
      <c r="I3698" s="6"/>
      <c r="J3698" s="43"/>
      <c r="K3698" s="51"/>
      <c r="L3698" s="86"/>
      <c r="M3698" s="45">
        <f>14000/155.47</f>
        <v>90.049527239981984</v>
      </c>
      <c r="N3698" s="45"/>
    </row>
    <row r="3699" spans="1:14" ht="15" x14ac:dyDescent="0.25">
      <c r="A3699" s="1">
        <v>3690</v>
      </c>
      <c r="B3699" s="1" t="s">
        <v>460</v>
      </c>
      <c r="C3699" s="32">
        <v>1006</v>
      </c>
      <c r="D3699" s="1">
        <v>15000</v>
      </c>
      <c r="E3699" s="1"/>
      <c r="F3699" s="1">
        <v>167.15</v>
      </c>
      <c r="G3699" s="1">
        <v>15000</v>
      </c>
      <c r="H3699" s="5">
        <f t="shared" si="75"/>
        <v>0</v>
      </c>
      <c r="I3699" s="6"/>
      <c r="J3699" s="43"/>
      <c r="K3699" s="51"/>
      <c r="L3699" s="86"/>
      <c r="M3699" s="45"/>
      <c r="N3699" s="45"/>
    </row>
    <row r="3700" spans="1:14" ht="15" x14ac:dyDescent="0.25">
      <c r="A3700" s="1">
        <v>3691</v>
      </c>
      <c r="B3700" s="1" t="s">
        <v>460</v>
      </c>
      <c r="C3700" s="32">
        <v>4282</v>
      </c>
      <c r="D3700" s="1">
        <v>15000</v>
      </c>
      <c r="E3700" s="1"/>
      <c r="F3700" s="1">
        <v>167.15</v>
      </c>
      <c r="G3700" s="1">
        <v>15000</v>
      </c>
      <c r="H3700" s="5">
        <f t="shared" si="75"/>
        <v>0</v>
      </c>
      <c r="I3700" s="6"/>
      <c r="J3700" s="43"/>
      <c r="K3700" s="51"/>
      <c r="L3700" s="86"/>
      <c r="M3700" s="45"/>
      <c r="N3700" s="45"/>
    </row>
    <row r="3701" spans="1:14" ht="15" x14ac:dyDescent="0.25">
      <c r="A3701" s="1">
        <v>3692</v>
      </c>
      <c r="B3701" s="1" t="s">
        <v>460</v>
      </c>
      <c r="C3701" s="32">
        <v>5.1999999999999998E-3</v>
      </c>
      <c r="D3701" s="1">
        <v>16000</v>
      </c>
      <c r="E3701" s="1"/>
      <c r="F3701" s="1">
        <v>178.22</v>
      </c>
      <c r="G3701" s="1">
        <v>16000</v>
      </c>
      <c r="H3701" s="5">
        <f t="shared" si="75"/>
        <v>0</v>
      </c>
      <c r="I3701" s="6"/>
      <c r="J3701" s="43"/>
      <c r="K3701" s="51"/>
      <c r="L3701" s="86"/>
      <c r="M3701" s="45"/>
      <c r="N3701" s="45"/>
    </row>
    <row r="3702" spans="1:14" ht="15" x14ac:dyDescent="0.25">
      <c r="A3702" s="1">
        <v>3693</v>
      </c>
      <c r="B3702" s="1" t="s">
        <v>460</v>
      </c>
      <c r="C3702" s="32">
        <v>3855</v>
      </c>
      <c r="D3702" s="1">
        <v>18000</v>
      </c>
      <c r="E3702" s="1"/>
      <c r="F3702" s="1">
        <v>200.75</v>
      </c>
      <c r="G3702" s="1">
        <v>18000</v>
      </c>
      <c r="H3702" s="5">
        <f t="shared" si="75"/>
        <v>0</v>
      </c>
      <c r="I3702" s="6"/>
      <c r="J3702" s="43"/>
      <c r="K3702" s="51"/>
      <c r="L3702" s="86"/>
      <c r="M3702" s="45"/>
      <c r="N3702" s="45"/>
    </row>
    <row r="3703" spans="1:14" ht="15" x14ac:dyDescent="0.25">
      <c r="A3703" s="1">
        <v>3694</v>
      </c>
      <c r="B3703" s="1" t="s">
        <v>460</v>
      </c>
      <c r="C3703" s="32">
        <v>2913</v>
      </c>
      <c r="D3703" s="1">
        <v>18000</v>
      </c>
      <c r="E3703" s="1"/>
      <c r="F3703" s="1">
        <v>200.75</v>
      </c>
      <c r="G3703" s="1">
        <v>18000</v>
      </c>
      <c r="H3703" s="5">
        <f t="shared" si="75"/>
        <v>0</v>
      </c>
      <c r="I3703" s="6"/>
      <c r="J3703" s="43"/>
      <c r="K3703" s="51"/>
      <c r="L3703" s="86"/>
      <c r="M3703" s="45"/>
      <c r="N3703" s="45"/>
    </row>
    <row r="3704" spans="1:14" ht="15" x14ac:dyDescent="0.25">
      <c r="A3704" s="1">
        <v>3695</v>
      </c>
      <c r="B3704" s="1" t="s">
        <v>460</v>
      </c>
      <c r="C3704" s="32">
        <v>3662</v>
      </c>
      <c r="D3704" s="1">
        <v>18000</v>
      </c>
      <c r="E3704" s="1"/>
      <c r="F3704" s="1">
        <v>200.75</v>
      </c>
      <c r="G3704" s="1">
        <v>18000</v>
      </c>
      <c r="H3704" s="5">
        <f t="shared" si="75"/>
        <v>0</v>
      </c>
      <c r="I3704" s="6"/>
      <c r="J3704" s="43"/>
      <c r="K3704" s="51"/>
      <c r="L3704" s="86"/>
      <c r="M3704" s="45"/>
      <c r="N3704" s="45"/>
    </row>
    <row r="3705" spans="1:14" ht="15" x14ac:dyDescent="0.25">
      <c r="A3705" s="1">
        <v>3696</v>
      </c>
      <c r="B3705" s="1" t="s">
        <v>460</v>
      </c>
      <c r="C3705" s="32">
        <v>4243</v>
      </c>
      <c r="D3705" s="1">
        <v>21000</v>
      </c>
      <c r="E3705" s="1"/>
      <c r="F3705" s="1">
        <v>233.45</v>
      </c>
      <c r="G3705" s="1">
        <v>21000</v>
      </c>
      <c r="H3705" s="5">
        <f t="shared" si="75"/>
        <v>0</v>
      </c>
      <c r="I3705" s="6"/>
      <c r="J3705" s="43"/>
      <c r="K3705" s="51"/>
      <c r="L3705" s="86"/>
      <c r="M3705" s="45"/>
      <c r="N3705" s="45"/>
    </row>
    <row r="3706" spans="1:14" ht="15" x14ac:dyDescent="0.25">
      <c r="A3706" s="1">
        <v>3697</v>
      </c>
      <c r="B3706" s="1" t="s">
        <v>460</v>
      </c>
      <c r="C3706" s="32">
        <v>5943</v>
      </c>
      <c r="D3706" s="1">
        <v>30000</v>
      </c>
      <c r="E3706" s="1"/>
      <c r="F3706" s="1">
        <v>334.54</v>
      </c>
      <c r="G3706" s="1">
        <v>30000</v>
      </c>
      <c r="H3706" s="5">
        <f t="shared" si="75"/>
        <v>0</v>
      </c>
      <c r="I3706" s="6"/>
      <c r="J3706" s="43"/>
      <c r="K3706" s="51"/>
      <c r="L3706" s="86"/>
      <c r="M3706" s="45"/>
      <c r="N3706" s="45"/>
    </row>
    <row r="3707" spans="1:14" ht="15" x14ac:dyDescent="0.25">
      <c r="A3707" s="1">
        <v>3698</v>
      </c>
      <c r="B3707" s="1" t="s">
        <v>460</v>
      </c>
      <c r="C3707" s="32">
        <v>5804</v>
      </c>
      <c r="D3707" s="1">
        <v>3000</v>
      </c>
      <c r="E3707" s="1"/>
      <c r="F3707" s="1">
        <v>36.21</v>
      </c>
      <c r="G3707" s="1">
        <v>3000</v>
      </c>
      <c r="H3707" s="5">
        <f t="shared" si="75"/>
        <v>0</v>
      </c>
      <c r="I3707" s="6"/>
      <c r="J3707" s="43"/>
      <c r="K3707" s="51"/>
      <c r="L3707" s="86"/>
      <c r="M3707" s="45"/>
      <c r="N3707" s="45"/>
    </row>
    <row r="3708" spans="1:14" ht="15" x14ac:dyDescent="0.25">
      <c r="A3708" s="1">
        <v>3699</v>
      </c>
      <c r="B3708" s="1" t="s">
        <v>460</v>
      </c>
      <c r="C3708" s="32">
        <v>6457</v>
      </c>
      <c r="D3708" s="1">
        <v>12000</v>
      </c>
      <c r="E3708" s="1"/>
      <c r="F3708" s="1">
        <v>133.25</v>
      </c>
      <c r="G3708" s="1">
        <v>12000</v>
      </c>
      <c r="H3708" s="5">
        <f t="shared" si="75"/>
        <v>0</v>
      </c>
      <c r="I3708" s="6"/>
      <c r="J3708" s="43"/>
      <c r="K3708" s="51"/>
      <c r="L3708" s="86"/>
      <c r="M3708" s="45"/>
      <c r="N3708" s="45"/>
    </row>
    <row r="3709" spans="1:14" ht="15" x14ac:dyDescent="0.25">
      <c r="A3709" s="1">
        <v>3700</v>
      </c>
      <c r="B3709" s="1" t="s">
        <v>460</v>
      </c>
      <c r="C3709" s="32">
        <v>9259</v>
      </c>
      <c r="D3709" s="1">
        <v>13000</v>
      </c>
      <c r="E3709" s="1"/>
      <c r="F3709" s="1">
        <v>144.13</v>
      </c>
      <c r="G3709" s="1">
        <v>13000</v>
      </c>
      <c r="H3709" s="5">
        <f t="shared" si="75"/>
        <v>0</v>
      </c>
      <c r="I3709" s="6"/>
      <c r="J3709" s="43"/>
      <c r="K3709" s="51"/>
      <c r="L3709" s="86"/>
      <c r="M3709" s="45"/>
      <c r="N3709" s="45"/>
    </row>
    <row r="3710" spans="1:14" ht="15" x14ac:dyDescent="0.25">
      <c r="A3710" s="1">
        <v>3701</v>
      </c>
      <c r="B3710" s="1" t="s">
        <v>460</v>
      </c>
      <c r="C3710" s="32">
        <v>1452</v>
      </c>
      <c r="D3710" s="1">
        <v>13000</v>
      </c>
      <c r="E3710" s="1"/>
      <c r="F3710" s="1">
        <v>144.13</v>
      </c>
      <c r="G3710" s="1">
        <v>13000</v>
      </c>
      <c r="H3710" s="5">
        <f t="shared" si="75"/>
        <v>0</v>
      </c>
      <c r="I3710" s="6"/>
      <c r="J3710" s="43"/>
      <c r="K3710" s="51"/>
      <c r="L3710" s="86"/>
      <c r="M3710" s="45"/>
      <c r="N3710" s="45"/>
    </row>
    <row r="3711" spans="1:14" ht="15" x14ac:dyDescent="0.25">
      <c r="A3711" s="1">
        <v>3702</v>
      </c>
      <c r="B3711" s="1" t="s">
        <v>460</v>
      </c>
      <c r="C3711" s="32">
        <v>9727</v>
      </c>
      <c r="D3711" s="1">
        <v>24000</v>
      </c>
      <c r="E3711" s="1"/>
      <c r="F3711" s="1">
        <v>267.42</v>
      </c>
      <c r="G3711" s="1">
        <v>24000</v>
      </c>
      <c r="H3711" s="5">
        <f t="shared" si="75"/>
        <v>0</v>
      </c>
      <c r="I3711" s="6"/>
      <c r="J3711" s="43"/>
      <c r="K3711" s="51"/>
      <c r="L3711" s="86"/>
      <c r="M3711" s="45"/>
      <c r="N3711" s="45"/>
    </row>
    <row r="3712" spans="1:14" ht="15" x14ac:dyDescent="0.25">
      <c r="A3712" s="1">
        <v>3703</v>
      </c>
      <c r="B3712" s="1" t="s">
        <v>460</v>
      </c>
      <c r="C3712" s="32">
        <v>7495</v>
      </c>
      <c r="D3712" s="1">
        <v>25000</v>
      </c>
      <c r="E3712" s="1"/>
      <c r="F3712" s="1">
        <v>272.58</v>
      </c>
      <c r="G3712" s="1">
        <v>25000</v>
      </c>
      <c r="H3712" s="5">
        <f t="shared" si="75"/>
        <v>0</v>
      </c>
      <c r="I3712" s="6"/>
      <c r="J3712" s="43"/>
      <c r="K3712" s="51"/>
      <c r="L3712" s="86"/>
      <c r="M3712" s="45"/>
      <c r="N3712" s="45"/>
    </row>
    <row r="3713" spans="1:14" ht="15" x14ac:dyDescent="0.25">
      <c r="A3713" s="1">
        <v>3704</v>
      </c>
      <c r="B3713" s="1" t="s">
        <v>460</v>
      </c>
      <c r="C3713" s="32">
        <v>8.0199999999999994E-2</v>
      </c>
      <c r="D3713" s="1">
        <v>25000</v>
      </c>
      <c r="E3713" s="1"/>
      <c r="F3713" s="1">
        <v>272.58</v>
      </c>
      <c r="G3713" s="1">
        <v>25000</v>
      </c>
      <c r="H3713" s="5">
        <f t="shared" si="75"/>
        <v>0</v>
      </c>
      <c r="I3713" s="6"/>
      <c r="J3713" s="43"/>
      <c r="K3713" s="51"/>
      <c r="L3713" s="86"/>
      <c r="M3713" s="45"/>
      <c r="N3713" s="45"/>
    </row>
    <row r="3714" spans="1:14" ht="15" x14ac:dyDescent="0.25">
      <c r="A3714" s="1">
        <v>3705</v>
      </c>
      <c r="B3714" s="1" t="s">
        <v>460</v>
      </c>
      <c r="C3714" s="32">
        <v>2951</v>
      </c>
      <c r="D3714" s="1">
        <v>16000</v>
      </c>
      <c r="E3714" s="1"/>
      <c r="F3714" s="1">
        <v>168.24</v>
      </c>
      <c r="G3714" s="1">
        <v>16000</v>
      </c>
      <c r="H3714" s="5">
        <f t="shared" si="75"/>
        <v>0</v>
      </c>
      <c r="I3714" s="6"/>
      <c r="J3714" s="43"/>
      <c r="K3714" s="51"/>
      <c r="L3714" s="86"/>
      <c r="M3714" s="45"/>
      <c r="N3714" s="45"/>
    </row>
    <row r="3715" spans="1:14" ht="15" x14ac:dyDescent="0.25">
      <c r="A3715" s="1">
        <v>3706</v>
      </c>
      <c r="B3715" s="1" t="s">
        <v>460</v>
      </c>
      <c r="C3715" s="32">
        <v>5.0799999999999998E-2</v>
      </c>
      <c r="D3715" s="1">
        <v>33927</v>
      </c>
      <c r="E3715" s="1"/>
      <c r="F3715" s="1">
        <v>377.45</v>
      </c>
      <c r="G3715" s="1">
        <v>33927</v>
      </c>
      <c r="H3715" s="5">
        <f t="shared" si="75"/>
        <v>0</v>
      </c>
      <c r="I3715" s="6"/>
      <c r="J3715" s="43"/>
      <c r="K3715" s="51"/>
      <c r="L3715" s="86">
        <f>2009516-1803778</f>
        <v>205738</v>
      </c>
      <c r="M3715" s="45" t="s">
        <v>453</v>
      </c>
      <c r="N3715" s="45">
        <f>205738-205316</f>
        <v>422</v>
      </c>
    </row>
    <row r="3716" spans="1:14" ht="15" x14ac:dyDescent="0.25">
      <c r="A3716" s="1">
        <v>3707</v>
      </c>
      <c r="B3716" s="1" t="s">
        <v>464</v>
      </c>
      <c r="C3716" s="32">
        <v>5.1000000000000004E-3</v>
      </c>
      <c r="D3716" s="1">
        <v>16000</v>
      </c>
      <c r="E3716" s="1"/>
      <c r="F3716" s="1">
        <v>178.22</v>
      </c>
      <c r="G3716" s="1">
        <v>16000</v>
      </c>
      <c r="H3716" s="5">
        <f t="shared" si="75"/>
        <v>0</v>
      </c>
      <c r="I3716" s="6"/>
      <c r="J3716" s="43"/>
      <c r="K3716" s="51"/>
      <c r="L3716" s="86"/>
      <c r="M3716" s="45"/>
      <c r="N3716" s="45"/>
    </row>
    <row r="3717" spans="1:14" ht="15" x14ac:dyDescent="0.25">
      <c r="A3717" s="1">
        <v>3708</v>
      </c>
      <c r="B3717" s="1" t="s">
        <v>464</v>
      </c>
      <c r="C3717" s="32">
        <v>5151</v>
      </c>
      <c r="D3717" s="1">
        <v>16000</v>
      </c>
      <c r="E3717" s="1"/>
      <c r="F3717" s="1">
        <v>178.22</v>
      </c>
      <c r="G3717" s="1">
        <v>16000</v>
      </c>
      <c r="H3717" s="5">
        <f t="shared" si="75"/>
        <v>0</v>
      </c>
      <c r="I3717" s="6"/>
      <c r="J3717" s="43"/>
      <c r="K3717" s="51"/>
      <c r="L3717" s="86"/>
      <c r="M3717" s="45"/>
      <c r="N3717" s="45"/>
    </row>
    <row r="3718" spans="1:14" ht="15" x14ac:dyDescent="0.25">
      <c r="A3718" s="1">
        <v>3709</v>
      </c>
      <c r="B3718" s="1" t="s">
        <v>464</v>
      </c>
      <c r="C3718" s="32" t="s">
        <v>30</v>
      </c>
      <c r="D3718" s="1">
        <v>5000</v>
      </c>
      <c r="E3718" s="1"/>
      <c r="F3718" s="1">
        <v>55.15</v>
      </c>
      <c r="G3718" s="1">
        <v>5000</v>
      </c>
      <c r="H3718" s="5">
        <f t="shared" si="75"/>
        <v>0</v>
      </c>
      <c r="I3718" s="6"/>
      <c r="J3718" s="43"/>
      <c r="K3718" s="51"/>
      <c r="L3718" s="86"/>
      <c r="M3718" s="45"/>
      <c r="N3718" s="45"/>
    </row>
    <row r="3719" spans="1:14" ht="15" x14ac:dyDescent="0.25">
      <c r="A3719" s="1">
        <v>3710</v>
      </c>
      <c r="B3719" s="1" t="s">
        <v>464</v>
      </c>
      <c r="C3719" s="32">
        <v>3.8399999999999997E-2</v>
      </c>
      <c r="D3719" s="1">
        <v>10000</v>
      </c>
      <c r="E3719" s="1"/>
      <c r="F3719" s="1">
        <v>111.45</v>
      </c>
      <c r="G3719" s="1">
        <v>10000</v>
      </c>
      <c r="H3719" s="5">
        <f t="shared" si="75"/>
        <v>0</v>
      </c>
      <c r="I3719" s="6"/>
      <c r="J3719" s="43"/>
      <c r="K3719" s="51"/>
      <c r="L3719" s="86"/>
      <c r="M3719" s="45"/>
      <c r="N3719" s="45"/>
    </row>
    <row r="3720" spans="1:14" ht="15" x14ac:dyDescent="0.25">
      <c r="A3720" s="1">
        <v>3711</v>
      </c>
      <c r="B3720" s="1" t="s">
        <v>464</v>
      </c>
      <c r="C3720" s="32" t="s">
        <v>30</v>
      </c>
      <c r="D3720" s="1">
        <v>4500</v>
      </c>
      <c r="E3720" s="1"/>
      <c r="F3720" s="1">
        <v>50.18</v>
      </c>
      <c r="G3720" s="1">
        <v>4500</v>
      </c>
      <c r="H3720" s="5">
        <f t="shared" si="75"/>
        <v>0</v>
      </c>
      <c r="I3720" s="6"/>
      <c r="J3720" s="43"/>
      <c r="K3720" s="51"/>
      <c r="L3720" s="86"/>
      <c r="M3720" s="45"/>
      <c r="N3720" s="45"/>
    </row>
    <row r="3721" spans="1:14" ht="15" x14ac:dyDescent="0.25">
      <c r="A3721" s="1">
        <v>3712</v>
      </c>
      <c r="B3721" s="1" t="s">
        <v>464</v>
      </c>
      <c r="C3721" s="32">
        <v>2525</v>
      </c>
      <c r="D3721" s="1">
        <v>17000</v>
      </c>
      <c r="E3721" s="1"/>
      <c r="F3721" s="1">
        <v>189.45</v>
      </c>
      <c r="G3721" s="1">
        <v>17000</v>
      </c>
      <c r="H3721" s="5">
        <f t="shared" si="75"/>
        <v>0</v>
      </c>
      <c r="I3721" s="6"/>
      <c r="J3721" s="43"/>
      <c r="K3721" s="51"/>
      <c r="L3721" s="86"/>
      <c r="M3721" s="45"/>
      <c r="N3721" s="45"/>
    </row>
    <row r="3722" spans="1:14" ht="15" x14ac:dyDescent="0.25">
      <c r="A3722" s="1">
        <v>3713</v>
      </c>
      <c r="B3722" s="1" t="s">
        <v>464</v>
      </c>
      <c r="C3722" s="32">
        <v>8068</v>
      </c>
      <c r="D3722" s="1">
        <v>20000</v>
      </c>
      <c r="E3722" s="1"/>
      <c r="F3722" s="1">
        <v>222.25</v>
      </c>
      <c r="G3722" s="1">
        <v>20000</v>
      </c>
      <c r="H3722" s="5">
        <f t="shared" si="75"/>
        <v>0</v>
      </c>
      <c r="I3722" s="6"/>
      <c r="J3722" s="43"/>
      <c r="K3722" s="51"/>
      <c r="L3722" s="86"/>
      <c r="M3722" s="45"/>
      <c r="N3722" s="45"/>
    </row>
    <row r="3723" spans="1:14" ht="15" x14ac:dyDescent="0.25">
      <c r="A3723" s="1">
        <v>3714</v>
      </c>
      <c r="B3723" s="1" t="s">
        <v>464</v>
      </c>
      <c r="C3723" s="32">
        <v>1121</v>
      </c>
      <c r="D3723" s="1">
        <v>30000</v>
      </c>
      <c r="E3723" s="1"/>
      <c r="F3723" s="1">
        <v>334.47</v>
      </c>
      <c r="G3723" s="1">
        <v>30000</v>
      </c>
      <c r="H3723" s="5">
        <f t="shared" si="75"/>
        <v>0</v>
      </c>
      <c r="I3723" s="6"/>
      <c r="J3723" s="43"/>
      <c r="K3723" s="51"/>
      <c r="L3723" s="86"/>
      <c r="M3723" s="45"/>
      <c r="N3723" s="45"/>
    </row>
    <row r="3724" spans="1:14" ht="15" x14ac:dyDescent="0.25">
      <c r="A3724" s="1">
        <v>3715</v>
      </c>
      <c r="B3724" s="1" t="s">
        <v>464</v>
      </c>
      <c r="C3724" s="32">
        <v>6535</v>
      </c>
      <c r="D3724" s="1">
        <v>22000</v>
      </c>
      <c r="E3724" s="1"/>
      <c r="F3724" s="1">
        <v>245.85</v>
      </c>
      <c r="G3724" s="1">
        <v>22000</v>
      </c>
      <c r="H3724" s="5">
        <f t="shared" si="75"/>
        <v>0</v>
      </c>
      <c r="I3724" s="6"/>
      <c r="J3724" s="43"/>
      <c r="K3724" s="51"/>
      <c r="L3724" s="86"/>
      <c r="M3724" s="45"/>
      <c r="N3724" s="45"/>
    </row>
    <row r="3725" spans="1:14" ht="15" x14ac:dyDescent="0.25">
      <c r="A3725" s="1">
        <v>3716</v>
      </c>
      <c r="B3725" s="1" t="s">
        <v>464</v>
      </c>
      <c r="C3725" s="32">
        <v>2930</v>
      </c>
      <c r="D3725" s="1">
        <v>10000</v>
      </c>
      <c r="E3725" s="1"/>
      <c r="F3725" s="1">
        <v>111.45</v>
      </c>
      <c r="G3725" s="1">
        <v>10000</v>
      </c>
      <c r="H3725" s="5">
        <f t="shared" si="75"/>
        <v>0</v>
      </c>
      <c r="I3725" s="6"/>
      <c r="J3725" s="43"/>
      <c r="K3725" s="51"/>
      <c r="L3725" s="86"/>
      <c r="M3725" s="45"/>
      <c r="N3725" s="45"/>
    </row>
    <row r="3726" spans="1:14" ht="15" x14ac:dyDescent="0.25">
      <c r="A3726" s="1">
        <v>3717</v>
      </c>
      <c r="B3726" s="1" t="s">
        <v>464</v>
      </c>
      <c r="C3726" s="32">
        <v>2522</v>
      </c>
      <c r="D3726" s="1">
        <v>28000</v>
      </c>
      <c r="E3726" s="1"/>
      <c r="F3726" s="1">
        <v>311.48</v>
      </c>
      <c r="G3726" s="1">
        <v>28000</v>
      </c>
      <c r="H3726" s="5">
        <f t="shared" si="75"/>
        <v>0</v>
      </c>
      <c r="I3726" s="6"/>
      <c r="J3726" s="43"/>
      <c r="K3726" s="51"/>
      <c r="L3726" s="86"/>
      <c r="M3726" s="45"/>
      <c r="N3726" s="45"/>
    </row>
    <row r="3727" spans="1:14" ht="15" x14ac:dyDescent="0.25">
      <c r="A3727" s="1">
        <v>3718</v>
      </c>
      <c r="B3727" s="1" t="s">
        <v>464</v>
      </c>
      <c r="C3727" s="32">
        <v>4928</v>
      </c>
      <c r="D3727" s="1">
        <v>25000</v>
      </c>
      <c r="E3727" s="1"/>
      <c r="F3727" s="1">
        <v>278.22000000000003</v>
      </c>
      <c r="G3727" s="1">
        <v>25000</v>
      </c>
      <c r="H3727" s="5">
        <f t="shared" si="75"/>
        <v>0</v>
      </c>
      <c r="I3727" s="6"/>
      <c r="J3727" s="43"/>
      <c r="K3727" s="51"/>
      <c r="L3727" s="86"/>
      <c r="M3727" s="45"/>
      <c r="N3727" s="45"/>
    </row>
    <row r="3728" spans="1:14" ht="15" x14ac:dyDescent="0.25">
      <c r="A3728" s="1">
        <v>3719</v>
      </c>
      <c r="B3728" s="1" t="s">
        <v>465</v>
      </c>
      <c r="C3728" s="32">
        <v>4071</v>
      </c>
      <c r="D3728" s="1">
        <v>20000</v>
      </c>
      <c r="E3728" s="1"/>
      <c r="F3728" s="1">
        <v>222.45</v>
      </c>
      <c r="G3728" s="1">
        <v>20000</v>
      </c>
      <c r="H3728" s="5">
        <f t="shared" si="75"/>
        <v>0</v>
      </c>
      <c r="I3728" s="6"/>
      <c r="J3728" s="43"/>
      <c r="K3728" s="51"/>
      <c r="L3728" s="86"/>
      <c r="M3728" s="45"/>
      <c r="N3728" s="45"/>
    </row>
    <row r="3729" spans="1:14" ht="15" x14ac:dyDescent="0.25">
      <c r="A3729" s="1">
        <v>3720</v>
      </c>
      <c r="B3729" s="1" t="s">
        <v>465</v>
      </c>
      <c r="C3729" s="32">
        <v>5668</v>
      </c>
      <c r="D3729" s="1">
        <v>12000</v>
      </c>
      <c r="E3729" s="1"/>
      <c r="F3729" s="1">
        <v>133.25</v>
      </c>
      <c r="G3729" s="1">
        <v>12000</v>
      </c>
      <c r="H3729" s="5">
        <f t="shared" si="75"/>
        <v>0</v>
      </c>
      <c r="I3729" s="6"/>
      <c r="J3729" s="43"/>
      <c r="K3729" s="51"/>
      <c r="L3729" s="86"/>
      <c r="M3729" s="45"/>
      <c r="N3729" s="45"/>
    </row>
    <row r="3730" spans="1:14" ht="15" x14ac:dyDescent="0.25">
      <c r="A3730" s="1">
        <v>3721</v>
      </c>
      <c r="B3730" s="1" t="s">
        <v>465</v>
      </c>
      <c r="C3730" s="32">
        <v>5183</v>
      </c>
      <c r="D3730" s="1">
        <v>10000</v>
      </c>
      <c r="E3730" s="1"/>
      <c r="F3730" s="1">
        <v>111.45</v>
      </c>
      <c r="G3730" s="1">
        <v>10000</v>
      </c>
      <c r="H3730" s="5">
        <f t="shared" si="75"/>
        <v>0</v>
      </c>
      <c r="I3730" s="6"/>
      <c r="J3730" s="43"/>
      <c r="K3730" s="51"/>
      <c r="L3730" s="86"/>
      <c r="M3730" s="45"/>
      <c r="N3730" s="45"/>
    </row>
    <row r="3731" spans="1:14" ht="15" x14ac:dyDescent="0.25">
      <c r="A3731" s="1">
        <v>3722</v>
      </c>
      <c r="B3731" s="1" t="s">
        <v>465</v>
      </c>
      <c r="C3731" s="32">
        <v>5403</v>
      </c>
      <c r="D3731" s="1">
        <v>10000</v>
      </c>
      <c r="E3731" s="1"/>
      <c r="F3731" s="1">
        <v>111.45</v>
      </c>
      <c r="G3731" s="1">
        <v>10000</v>
      </c>
      <c r="H3731" s="5">
        <f t="shared" si="75"/>
        <v>0</v>
      </c>
      <c r="I3731" s="6"/>
      <c r="J3731" s="43"/>
      <c r="K3731" s="51"/>
      <c r="L3731" s="86"/>
      <c r="M3731" s="45"/>
      <c r="N3731" s="45"/>
    </row>
    <row r="3732" spans="1:14" ht="15" x14ac:dyDescent="0.25">
      <c r="A3732" s="1">
        <v>3723</v>
      </c>
      <c r="B3732" s="1" t="s">
        <v>465</v>
      </c>
      <c r="C3732" s="32">
        <v>2681</v>
      </c>
      <c r="D3732" s="1">
        <v>16000</v>
      </c>
      <c r="E3732" s="1"/>
      <c r="F3732" s="1">
        <v>178.22</v>
      </c>
      <c r="G3732" s="1">
        <v>16000</v>
      </c>
      <c r="H3732" s="5">
        <f t="shared" si="75"/>
        <v>0</v>
      </c>
      <c r="I3732" s="6"/>
      <c r="J3732" s="43"/>
      <c r="K3732" s="51"/>
      <c r="L3732" s="86"/>
      <c r="M3732" s="45"/>
      <c r="N3732" s="45"/>
    </row>
    <row r="3733" spans="1:14" ht="15" x14ac:dyDescent="0.25">
      <c r="A3733" s="1">
        <v>3724</v>
      </c>
      <c r="B3733" s="1" t="s">
        <v>465</v>
      </c>
      <c r="C3733" s="32">
        <v>9645</v>
      </c>
      <c r="D3733" s="1">
        <v>16000</v>
      </c>
      <c r="E3733" s="1"/>
      <c r="F3733" s="1">
        <v>178.22</v>
      </c>
      <c r="G3733" s="1">
        <v>16000</v>
      </c>
      <c r="H3733" s="5">
        <f t="shared" si="75"/>
        <v>0</v>
      </c>
      <c r="I3733" s="6"/>
      <c r="J3733" s="43"/>
      <c r="K3733" s="51"/>
      <c r="L3733" s="86"/>
      <c r="M3733" s="45"/>
      <c r="N3733" s="45"/>
    </row>
    <row r="3734" spans="1:14" ht="15" x14ac:dyDescent="0.25">
      <c r="A3734" s="1">
        <v>3725</v>
      </c>
      <c r="B3734" s="1" t="s">
        <v>465</v>
      </c>
      <c r="C3734" s="32" t="s">
        <v>66</v>
      </c>
      <c r="D3734" s="1">
        <v>200</v>
      </c>
      <c r="E3734" s="1"/>
      <c r="F3734" s="1">
        <v>2.12</v>
      </c>
      <c r="G3734" s="1">
        <v>200</v>
      </c>
      <c r="H3734" s="5">
        <f t="shared" si="75"/>
        <v>0</v>
      </c>
      <c r="I3734" s="6"/>
      <c r="J3734" s="43"/>
      <c r="K3734" s="51"/>
      <c r="L3734" s="86"/>
      <c r="M3734" s="45"/>
      <c r="N3734" s="45"/>
    </row>
    <row r="3735" spans="1:14" ht="15" x14ac:dyDescent="0.25">
      <c r="A3735" s="1">
        <v>3726</v>
      </c>
      <c r="B3735" s="1" t="s">
        <v>465</v>
      </c>
      <c r="C3735" s="32">
        <v>4111</v>
      </c>
      <c r="D3735" s="1">
        <v>25000</v>
      </c>
      <c r="E3735" s="1"/>
      <c r="F3735" s="1">
        <v>279.54000000000002</v>
      </c>
      <c r="G3735" s="1">
        <v>25000</v>
      </c>
      <c r="H3735" s="5">
        <f t="shared" si="75"/>
        <v>0</v>
      </c>
      <c r="I3735" s="6"/>
      <c r="J3735" s="43"/>
      <c r="K3735" s="51"/>
      <c r="L3735" s="86"/>
      <c r="M3735" s="45"/>
      <c r="N3735" s="45"/>
    </row>
    <row r="3736" spans="1:14" ht="15" x14ac:dyDescent="0.25">
      <c r="A3736" s="1">
        <v>3727</v>
      </c>
      <c r="B3736" s="1" t="s">
        <v>465</v>
      </c>
      <c r="C3736" s="32">
        <v>6331</v>
      </c>
      <c r="D3736" s="1">
        <v>25000</v>
      </c>
      <c r="E3736" s="1"/>
      <c r="F3736" s="1">
        <v>278.22000000000003</v>
      </c>
      <c r="G3736" s="1">
        <v>25000</v>
      </c>
      <c r="H3736" s="5">
        <f t="shared" si="75"/>
        <v>0</v>
      </c>
      <c r="I3736" s="6"/>
      <c r="J3736" s="43"/>
      <c r="K3736" s="51"/>
      <c r="L3736" s="86"/>
      <c r="M3736" s="45"/>
      <c r="N3736" s="45"/>
    </row>
    <row r="3737" spans="1:14" ht="15" x14ac:dyDescent="0.25">
      <c r="A3737" s="1">
        <v>3728</v>
      </c>
      <c r="B3737" s="1" t="s">
        <v>465</v>
      </c>
      <c r="C3737" s="32" t="s">
        <v>30</v>
      </c>
      <c r="D3737" s="1">
        <v>4500</v>
      </c>
      <c r="E3737" s="1"/>
      <c r="F3737" s="1">
        <v>50.12</v>
      </c>
      <c r="G3737" s="1">
        <v>4500</v>
      </c>
      <c r="H3737" s="5">
        <f t="shared" si="75"/>
        <v>0</v>
      </c>
      <c r="I3737" s="6"/>
      <c r="J3737" s="43"/>
      <c r="K3737" s="51"/>
      <c r="L3737" s="86"/>
      <c r="M3737" s="45"/>
      <c r="N3737" s="45"/>
    </row>
    <row r="3738" spans="1:14" ht="15" x14ac:dyDescent="0.25">
      <c r="A3738" s="1">
        <v>3729</v>
      </c>
      <c r="B3738" s="1" t="s">
        <v>465</v>
      </c>
      <c r="C3738" s="32">
        <v>4643</v>
      </c>
      <c r="D3738" s="1">
        <v>26300</v>
      </c>
      <c r="E3738" s="1"/>
      <c r="F3738" s="1">
        <v>293.25</v>
      </c>
      <c r="G3738" s="1">
        <v>26300</v>
      </c>
      <c r="H3738" s="5">
        <f t="shared" si="75"/>
        <v>0</v>
      </c>
      <c r="I3738" s="6"/>
      <c r="J3738" s="43"/>
      <c r="K3738" s="51"/>
      <c r="L3738" s="86"/>
      <c r="M3738" s="45"/>
      <c r="N3738" s="45"/>
    </row>
    <row r="3739" spans="1:14" ht="15" x14ac:dyDescent="0.25">
      <c r="A3739" s="1">
        <v>3730</v>
      </c>
      <c r="B3739" s="1" t="s">
        <v>465</v>
      </c>
      <c r="C3739" s="32">
        <v>2943</v>
      </c>
      <c r="D3739" s="1">
        <v>33000</v>
      </c>
      <c r="E3739" s="1"/>
      <c r="F3739" s="1">
        <v>367.48</v>
      </c>
      <c r="G3739" s="1">
        <v>33000</v>
      </c>
      <c r="H3739" s="5">
        <f t="shared" ref="H3739:H3802" si="76">D3739-G3739</f>
        <v>0</v>
      </c>
      <c r="I3739" s="6"/>
      <c r="J3739" s="43"/>
      <c r="K3739" s="51"/>
      <c r="L3739" s="86"/>
      <c r="M3739" s="45"/>
      <c r="N3739" s="45"/>
    </row>
    <row r="3740" spans="1:14" ht="15" x14ac:dyDescent="0.25">
      <c r="A3740" s="1">
        <v>3731</v>
      </c>
      <c r="B3740" s="1" t="s">
        <v>465</v>
      </c>
      <c r="C3740" s="32">
        <v>1883</v>
      </c>
      <c r="D3740" s="1">
        <v>24000</v>
      </c>
      <c r="E3740" s="1"/>
      <c r="F3740" s="1">
        <v>267.14999999999998</v>
      </c>
      <c r="G3740" s="1">
        <v>24000</v>
      </c>
      <c r="H3740" s="5">
        <f t="shared" si="76"/>
        <v>0</v>
      </c>
      <c r="I3740" s="6"/>
      <c r="J3740" s="43"/>
      <c r="K3740" s="51"/>
      <c r="L3740" s="86"/>
      <c r="M3740" s="45"/>
      <c r="N3740" s="45"/>
    </row>
    <row r="3741" spans="1:14" ht="15" x14ac:dyDescent="0.25">
      <c r="A3741" s="1">
        <v>3732</v>
      </c>
      <c r="B3741" s="1" t="s">
        <v>465</v>
      </c>
      <c r="C3741" s="32">
        <v>5035</v>
      </c>
      <c r="D3741" s="1">
        <v>30000</v>
      </c>
      <c r="E3741" s="1"/>
      <c r="F3741" s="1">
        <v>334.48</v>
      </c>
      <c r="G3741" s="1">
        <v>30000</v>
      </c>
      <c r="H3741" s="5">
        <f t="shared" si="76"/>
        <v>0</v>
      </c>
      <c r="I3741" s="6"/>
      <c r="J3741" s="43"/>
      <c r="K3741" s="51"/>
      <c r="L3741" s="86"/>
      <c r="M3741" s="45"/>
      <c r="N3741" s="45"/>
    </row>
    <row r="3742" spans="1:14" ht="15" x14ac:dyDescent="0.25">
      <c r="A3742" s="1">
        <v>3733</v>
      </c>
      <c r="B3742" s="1" t="s">
        <v>465</v>
      </c>
      <c r="C3742" s="32">
        <v>9453</v>
      </c>
      <c r="D3742" s="1">
        <v>22000</v>
      </c>
      <c r="E3742" s="1"/>
      <c r="F3742" s="1">
        <v>240.78</v>
      </c>
      <c r="G3742" s="1">
        <v>22000</v>
      </c>
      <c r="H3742" s="5">
        <f t="shared" si="76"/>
        <v>0</v>
      </c>
      <c r="I3742" s="6"/>
      <c r="J3742" s="43"/>
      <c r="K3742" s="51"/>
      <c r="L3742" s="86"/>
      <c r="M3742" s="45"/>
      <c r="N3742" s="45"/>
    </row>
    <row r="3743" spans="1:14" ht="15" x14ac:dyDescent="0.25">
      <c r="A3743" s="1">
        <v>3734</v>
      </c>
      <c r="B3743" s="1" t="s">
        <v>465</v>
      </c>
      <c r="C3743" s="32">
        <v>9989</v>
      </c>
      <c r="D3743" s="1">
        <v>28000</v>
      </c>
      <c r="E3743" s="1"/>
      <c r="F3743" s="1">
        <v>311.58</v>
      </c>
      <c r="G3743" s="1">
        <v>28000</v>
      </c>
      <c r="H3743" s="5">
        <f t="shared" si="76"/>
        <v>0</v>
      </c>
      <c r="I3743" s="6"/>
      <c r="J3743" s="43"/>
      <c r="K3743" s="51"/>
      <c r="L3743" s="86"/>
      <c r="M3743" s="45"/>
      <c r="N3743" s="45"/>
    </row>
    <row r="3744" spans="1:14" ht="15" x14ac:dyDescent="0.25">
      <c r="A3744" s="1">
        <v>3735</v>
      </c>
      <c r="B3744" s="1" t="s">
        <v>465</v>
      </c>
      <c r="C3744" s="32">
        <v>9353</v>
      </c>
      <c r="D3744" s="1">
        <v>22000</v>
      </c>
      <c r="E3744" s="1"/>
      <c r="F3744" s="1">
        <v>222.47</v>
      </c>
      <c r="G3744" s="1">
        <v>22000</v>
      </c>
      <c r="H3744" s="5">
        <f t="shared" si="76"/>
        <v>0</v>
      </c>
      <c r="I3744" s="6"/>
      <c r="J3744" s="43"/>
      <c r="K3744" s="51"/>
      <c r="L3744" s="86">
        <f>1937216-1731278</f>
        <v>205938</v>
      </c>
      <c r="M3744" s="45" t="s">
        <v>453</v>
      </c>
      <c r="N3744" s="45">
        <f>205938-205316</f>
        <v>622</v>
      </c>
    </row>
    <row r="3745" spans="1:14" ht="15" x14ac:dyDescent="0.25">
      <c r="A3745" s="1">
        <v>3736</v>
      </c>
      <c r="B3745" s="1" t="s">
        <v>466</v>
      </c>
      <c r="C3745" s="32">
        <v>4105</v>
      </c>
      <c r="D3745" s="1">
        <v>13000</v>
      </c>
      <c r="E3745" s="1"/>
      <c r="F3745" s="1">
        <v>144.13</v>
      </c>
      <c r="G3745" s="1">
        <v>13000</v>
      </c>
      <c r="H3745" s="5">
        <f t="shared" si="76"/>
        <v>0</v>
      </c>
      <c r="I3745" s="6"/>
      <c r="J3745" s="43"/>
      <c r="K3745" s="51"/>
      <c r="L3745" s="86"/>
      <c r="M3745" s="45"/>
      <c r="N3745" s="45"/>
    </row>
    <row r="3746" spans="1:14" ht="15" x14ac:dyDescent="0.25">
      <c r="A3746" s="1">
        <v>3737</v>
      </c>
      <c r="B3746" s="1" t="s">
        <v>466</v>
      </c>
      <c r="C3746" s="32">
        <v>3472</v>
      </c>
      <c r="D3746" s="1">
        <v>13500</v>
      </c>
      <c r="E3746" s="1"/>
      <c r="F3746" s="1">
        <v>150.44999999999999</v>
      </c>
      <c r="G3746" s="1">
        <v>13500</v>
      </c>
      <c r="H3746" s="5">
        <f t="shared" si="76"/>
        <v>0</v>
      </c>
      <c r="I3746" s="6"/>
      <c r="J3746" s="43"/>
      <c r="K3746" s="51"/>
      <c r="L3746" s="86"/>
      <c r="M3746" s="45"/>
      <c r="N3746" s="45"/>
    </row>
    <row r="3747" spans="1:14" ht="15" x14ac:dyDescent="0.25">
      <c r="A3747" s="1">
        <v>3738</v>
      </c>
      <c r="B3747" s="1" t="s">
        <v>466</v>
      </c>
      <c r="C3747" s="32">
        <v>6538</v>
      </c>
      <c r="D3747" s="1">
        <v>9000</v>
      </c>
      <c r="E3747" s="1"/>
      <c r="F3747" s="1">
        <v>100.45</v>
      </c>
      <c r="G3747" s="1">
        <v>9000</v>
      </c>
      <c r="H3747" s="5">
        <f t="shared" si="76"/>
        <v>0</v>
      </c>
      <c r="I3747" s="6"/>
      <c r="J3747" s="43"/>
      <c r="K3747" s="51"/>
      <c r="L3747" s="86"/>
      <c r="M3747" s="45"/>
      <c r="N3747" s="45"/>
    </row>
    <row r="3748" spans="1:14" ht="15" x14ac:dyDescent="0.25">
      <c r="A3748" s="1">
        <v>3739</v>
      </c>
      <c r="B3748" s="1" t="s">
        <v>466</v>
      </c>
      <c r="C3748" s="32">
        <v>9.5899999999999999E-2</v>
      </c>
      <c r="D3748" s="1">
        <v>28000</v>
      </c>
      <c r="E3748" s="1"/>
      <c r="F3748" s="1">
        <v>310.47000000000003</v>
      </c>
      <c r="G3748" s="1">
        <v>28000</v>
      </c>
      <c r="H3748" s="5">
        <f t="shared" si="76"/>
        <v>0</v>
      </c>
      <c r="I3748" s="6"/>
      <c r="J3748" s="43"/>
      <c r="K3748" s="51"/>
      <c r="L3748" s="86"/>
      <c r="M3748" s="45"/>
      <c r="N3748" s="45"/>
    </row>
    <row r="3749" spans="1:14" ht="15" x14ac:dyDescent="0.25">
      <c r="A3749" s="1">
        <v>3740</v>
      </c>
      <c r="B3749" s="1" t="s">
        <v>466</v>
      </c>
      <c r="C3749" s="32">
        <v>2588</v>
      </c>
      <c r="D3749" s="1">
        <v>28000</v>
      </c>
      <c r="E3749" s="1"/>
      <c r="F3749" s="1">
        <v>310.47000000000003</v>
      </c>
      <c r="G3749" s="1">
        <v>28000</v>
      </c>
      <c r="H3749" s="5">
        <f t="shared" si="76"/>
        <v>0</v>
      </c>
      <c r="I3749" s="6"/>
      <c r="J3749" s="43"/>
      <c r="K3749" s="51"/>
      <c r="L3749" s="86"/>
      <c r="M3749" s="45"/>
      <c r="N3749" s="45"/>
    </row>
    <row r="3750" spans="1:14" ht="15" x14ac:dyDescent="0.25">
      <c r="A3750" s="1">
        <v>3741</v>
      </c>
      <c r="B3750" s="1" t="s">
        <v>466</v>
      </c>
      <c r="C3750" s="32">
        <v>5931</v>
      </c>
      <c r="D3750" s="1">
        <v>16000</v>
      </c>
      <c r="E3750" s="1"/>
      <c r="F3750" s="1">
        <v>178.22</v>
      </c>
      <c r="G3750" s="1">
        <v>16000</v>
      </c>
      <c r="H3750" s="5">
        <f t="shared" si="76"/>
        <v>0</v>
      </c>
      <c r="I3750" s="6"/>
      <c r="J3750" s="43"/>
      <c r="K3750" s="51"/>
      <c r="L3750" s="86"/>
      <c r="M3750" s="45"/>
      <c r="N3750" s="45"/>
    </row>
    <row r="3751" spans="1:14" ht="15" x14ac:dyDescent="0.25">
      <c r="A3751" s="1">
        <v>3742</v>
      </c>
      <c r="B3751" s="1" t="s">
        <v>466</v>
      </c>
      <c r="C3751" s="32">
        <v>4441</v>
      </c>
      <c r="D3751" s="1">
        <v>16000</v>
      </c>
      <c r="E3751" s="1"/>
      <c r="F3751" s="1">
        <v>178.22</v>
      </c>
      <c r="G3751" s="1">
        <v>16000</v>
      </c>
      <c r="H3751" s="5">
        <f t="shared" si="76"/>
        <v>0</v>
      </c>
      <c r="I3751" s="6"/>
      <c r="J3751" s="43"/>
      <c r="K3751" s="51"/>
      <c r="L3751" s="86"/>
      <c r="M3751" s="45"/>
      <c r="N3751" s="45"/>
    </row>
    <row r="3752" spans="1:14" ht="15" x14ac:dyDescent="0.25">
      <c r="A3752" s="1">
        <v>3743</v>
      </c>
      <c r="B3752" s="1" t="s">
        <v>466</v>
      </c>
      <c r="C3752" s="32" t="s">
        <v>30</v>
      </c>
      <c r="D3752" s="1">
        <v>5000</v>
      </c>
      <c r="E3752" s="1"/>
      <c r="F3752" s="1">
        <v>55.15</v>
      </c>
      <c r="G3752" s="1">
        <v>5000</v>
      </c>
      <c r="H3752" s="5">
        <f t="shared" si="76"/>
        <v>0</v>
      </c>
      <c r="I3752" s="6"/>
      <c r="J3752" s="43"/>
      <c r="K3752" s="51"/>
      <c r="L3752" s="86"/>
      <c r="M3752" s="45"/>
      <c r="N3752" s="45"/>
    </row>
    <row r="3753" spans="1:14" ht="15" x14ac:dyDescent="0.25">
      <c r="A3753" s="1">
        <v>3744</v>
      </c>
      <c r="B3753" s="1" t="s">
        <v>466</v>
      </c>
      <c r="C3753" s="32">
        <v>3361</v>
      </c>
      <c r="D3753" s="1">
        <v>15000</v>
      </c>
      <c r="E3753" s="1"/>
      <c r="F3753" s="1">
        <v>167.15</v>
      </c>
      <c r="G3753" s="1">
        <v>15000</v>
      </c>
      <c r="H3753" s="5">
        <f t="shared" si="76"/>
        <v>0</v>
      </c>
      <c r="I3753" s="6"/>
      <c r="J3753" s="43"/>
      <c r="K3753" s="51"/>
      <c r="L3753" s="86"/>
      <c r="M3753" s="45"/>
      <c r="N3753" s="45"/>
    </row>
    <row r="3754" spans="1:14" ht="15" x14ac:dyDescent="0.25">
      <c r="A3754" s="1">
        <v>3745</v>
      </c>
      <c r="B3754" s="1" t="s">
        <v>466</v>
      </c>
      <c r="C3754" s="32" t="s">
        <v>63</v>
      </c>
      <c r="D3754" s="1">
        <v>3500</v>
      </c>
      <c r="E3754" s="1"/>
      <c r="F3754" s="1">
        <v>38.24</v>
      </c>
      <c r="G3754" s="1">
        <v>3500</v>
      </c>
      <c r="H3754" s="5">
        <f t="shared" si="76"/>
        <v>0</v>
      </c>
      <c r="I3754" s="6"/>
      <c r="J3754" s="43"/>
      <c r="K3754" s="51"/>
      <c r="L3754" s="86"/>
      <c r="M3754" s="45"/>
      <c r="N3754" s="45"/>
    </row>
    <row r="3755" spans="1:14" ht="15" x14ac:dyDescent="0.25">
      <c r="A3755" s="1">
        <v>3746</v>
      </c>
      <c r="B3755" s="1" t="s">
        <v>466</v>
      </c>
      <c r="C3755" s="32" t="s">
        <v>66</v>
      </c>
      <c r="D3755" s="1">
        <v>110</v>
      </c>
      <c r="E3755" s="1"/>
      <c r="F3755" s="1">
        <v>1.05</v>
      </c>
      <c r="G3755" s="1">
        <v>110</v>
      </c>
      <c r="H3755" s="5">
        <f t="shared" si="76"/>
        <v>0</v>
      </c>
      <c r="I3755" s="6"/>
      <c r="J3755" s="43"/>
      <c r="K3755" s="51"/>
      <c r="L3755" s="86"/>
      <c r="M3755" s="45"/>
      <c r="N3755" s="45"/>
    </row>
    <row r="3756" spans="1:14" ht="15" x14ac:dyDescent="0.25">
      <c r="A3756" s="1">
        <v>3747</v>
      </c>
      <c r="B3756" s="1" t="s">
        <v>466</v>
      </c>
      <c r="C3756" s="32">
        <v>5.9299999999999999E-2</v>
      </c>
      <c r="D3756" s="1">
        <v>33000</v>
      </c>
      <c r="E3756" s="1"/>
      <c r="F3756" s="1">
        <v>367.48</v>
      </c>
      <c r="G3756" s="1">
        <v>33000</v>
      </c>
      <c r="H3756" s="5">
        <f t="shared" si="76"/>
        <v>0</v>
      </c>
      <c r="I3756" s="6"/>
      <c r="J3756" s="43"/>
      <c r="K3756" s="51"/>
      <c r="L3756" s="86"/>
      <c r="M3756" s="45"/>
      <c r="N3756" s="45"/>
    </row>
    <row r="3757" spans="1:14" ht="15" x14ac:dyDescent="0.25">
      <c r="A3757" s="1">
        <v>3748</v>
      </c>
      <c r="B3757" s="1" t="s">
        <v>466</v>
      </c>
      <c r="C3757" s="32">
        <v>2085</v>
      </c>
      <c r="D3757" s="1">
        <v>28000</v>
      </c>
      <c r="E3757" s="1"/>
      <c r="F3757" s="1">
        <v>311.58</v>
      </c>
      <c r="G3757" s="1">
        <v>28000</v>
      </c>
      <c r="H3757" s="5">
        <f t="shared" si="76"/>
        <v>0</v>
      </c>
      <c r="I3757" s="6"/>
      <c r="J3757" s="43"/>
      <c r="K3757" s="51"/>
      <c r="L3757" s="86"/>
      <c r="M3757" s="45"/>
      <c r="N3757" s="45"/>
    </row>
    <row r="3758" spans="1:14" ht="15" x14ac:dyDescent="0.25">
      <c r="A3758" s="1">
        <v>3749</v>
      </c>
      <c r="B3758" s="1" t="s">
        <v>466</v>
      </c>
      <c r="C3758" s="32">
        <v>5359</v>
      </c>
      <c r="D3758" s="1">
        <v>23000</v>
      </c>
      <c r="E3758" s="1"/>
      <c r="F3758" s="1">
        <v>233.45</v>
      </c>
      <c r="G3758" s="1">
        <v>23000</v>
      </c>
      <c r="H3758" s="5">
        <f t="shared" si="76"/>
        <v>0</v>
      </c>
      <c r="I3758" s="6"/>
      <c r="J3758" s="43"/>
      <c r="K3758" s="51"/>
      <c r="L3758" s="86"/>
      <c r="M3758" s="45"/>
      <c r="N3758" s="45"/>
    </row>
    <row r="3759" spans="1:14" ht="15" x14ac:dyDescent="0.25">
      <c r="A3759" s="1">
        <v>3750</v>
      </c>
      <c r="B3759" s="1" t="s">
        <v>466</v>
      </c>
      <c r="C3759" s="32">
        <v>5088</v>
      </c>
      <c r="D3759" s="1">
        <v>25000</v>
      </c>
      <c r="E3759" s="1"/>
      <c r="F3759" s="1">
        <v>278.25</v>
      </c>
      <c r="G3759" s="1">
        <v>25000</v>
      </c>
      <c r="H3759" s="5">
        <f t="shared" si="76"/>
        <v>0</v>
      </c>
      <c r="I3759" s="6"/>
      <c r="J3759" s="43"/>
      <c r="K3759" s="51"/>
      <c r="L3759" s="86"/>
      <c r="M3759" s="45"/>
      <c r="N3759" s="45"/>
    </row>
    <row r="3760" spans="1:14" ht="15" x14ac:dyDescent="0.25">
      <c r="A3760" s="1">
        <v>3751</v>
      </c>
      <c r="B3760" s="1" t="s">
        <v>466</v>
      </c>
      <c r="C3760" s="32">
        <v>3404</v>
      </c>
      <c r="D3760" s="1">
        <v>25000</v>
      </c>
      <c r="E3760" s="1"/>
      <c r="F3760" s="1">
        <v>278.25</v>
      </c>
      <c r="G3760" s="1">
        <v>25000</v>
      </c>
      <c r="H3760" s="5">
        <f t="shared" si="76"/>
        <v>0</v>
      </c>
      <c r="I3760" s="6"/>
      <c r="J3760" s="43"/>
      <c r="K3760" s="51"/>
      <c r="L3760" s="86"/>
      <c r="M3760" s="45"/>
      <c r="N3760" s="45"/>
    </row>
    <row r="3761" spans="1:14" ht="15" x14ac:dyDescent="0.25">
      <c r="A3761" s="1">
        <v>3752</v>
      </c>
      <c r="B3761" s="1" t="s">
        <v>466</v>
      </c>
      <c r="C3761" s="32">
        <v>8035</v>
      </c>
      <c r="D3761" s="1">
        <v>25000</v>
      </c>
      <c r="E3761" s="1"/>
      <c r="F3761" s="1">
        <v>278.25</v>
      </c>
      <c r="G3761" s="1">
        <v>25000</v>
      </c>
      <c r="H3761" s="5">
        <f t="shared" si="76"/>
        <v>0</v>
      </c>
      <c r="I3761" s="6"/>
      <c r="J3761" s="43"/>
      <c r="K3761" s="51"/>
      <c r="L3761" s="86"/>
      <c r="M3761" s="45"/>
      <c r="N3761" s="45"/>
    </row>
    <row r="3762" spans="1:14" ht="15" x14ac:dyDescent="0.25">
      <c r="A3762" s="1">
        <v>3753</v>
      </c>
      <c r="B3762" s="1" t="s">
        <v>466</v>
      </c>
      <c r="C3762" s="32">
        <v>9655</v>
      </c>
      <c r="D3762" s="1">
        <v>22000</v>
      </c>
      <c r="E3762" s="1"/>
      <c r="F3762" s="1">
        <v>245.47</v>
      </c>
      <c r="G3762" s="1">
        <v>22000</v>
      </c>
      <c r="H3762" s="5">
        <f t="shared" si="76"/>
        <v>0</v>
      </c>
      <c r="I3762" s="6"/>
      <c r="J3762" s="43"/>
      <c r="K3762" s="51"/>
      <c r="L3762" s="86"/>
      <c r="M3762" s="45"/>
      <c r="N3762" s="45"/>
    </row>
    <row r="3763" spans="1:14" ht="15" x14ac:dyDescent="0.25">
      <c r="A3763" s="1">
        <v>3754</v>
      </c>
      <c r="B3763" s="1" t="s">
        <v>466</v>
      </c>
      <c r="C3763" s="32">
        <v>2459</v>
      </c>
      <c r="D3763" s="1">
        <v>6000</v>
      </c>
      <c r="E3763" s="1"/>
      <c r="F3763" s="1">
        <v>66.45</v>
      </c>
      <c r="G3763" s="1">
        <v>6000</v>
      </c>
      <c r="H3763" s="5">
        <f t="shared" si="76"/>
        <v>0</v>
      </c>
      <c r="I3763" s="6"/>
      <c r="J3763" s="43"/>
      <c r="K3763" s="51"/>
      <c r="L3763" s="86"/>
      <c r="M3763" s="45"/>
      <c r="N3763" s="45"/>
    </row>
    <row r="3764" spans="1:14" ht="15" x14ac:dyDescent="0.25">
      <c r="A3764" s="1">
        <v>3755</v>
      </c>
      <c r="B3764" s="1" t="s">
        <v>466</v>
      </c>
      <c r="C3764" s="32">
        <v>7175</v>
      </c>
      <c r="D3764" s="1">
        <v>15000</v>
      </c>
      <c r="E3764" s="1"/>
      <c r="F3764" s="1">
        <v>167.15</v>
      </c>
      <c r="G3764" s="1">
        <v>15000</v>
      </c>
      <c r="H3764" s="5">
        <f t="shared" si="76"/>
        <v>0</v>
      </c>
      <c r="I3764" s="6"/>
      <c r="J3764" s="43"/>
      <c r="K3764" s="51"/>
      <c r="L3764" s="86"/>
      <c r="M3764" s="45"/>
      <c r="N3764" s="45"/>
    </row>
    <row r="3765" spans="1:14" ht="15" x14ac:dyDescent="0.25">
      <c r="A3765" s="1">
        <v>3756</v>
      </c>
      <c r="B3765" s="1" t="s">
        <v>467</v>
      </c>
      <c r="C3765" s="32" t="s">
        <v>30</v>
      </c>
      <c r="D3765" s="1">
        <v>5000</v>
      </c>
      <c r="E3765" s="1"/>
      <c r="F3765" s="1">
        <v>55.7</v>
      </c>
      <c r="G3765" s="1">
        <v>5000</v>
      </c>
      <c r="H3765" s="5">
        <f t="shared" si="76"/>
        <v>0</v>
      </c>
      <c r="I3765" s="6"/>
      <c r="J3765" s="43"/>
      <c r="K3765" s="51"/>
      <c r="L3765" s="86"/>
      <c r="M3765" s="45"/>
      <c r="N3765" s="45"/>
    </row>
    <row r="3766" spans="1:14" ht="15" x14ac:dyDescent="0.25">
      <c r="A3766" s="1">
        <v>3757</v>
      </c>
      <c r="B3766" s="1" t="s">
        <v>467</v>
      </c>
      <c r="C3766" s="32">
        <v>4115</v>
      </c>
      <c r="D3766" s="1">
        <v>15000</v>
      </c>
      <c r="E3766" s="1"/>
      <c r="F3766" s="1">
        <v>167.15</v>
      </c>
      <c r="G3766" s="1">
        <v>15000</v>
      </c>
      <c r="H3766" s="5">
        <f t="shared" si="76"/>
        <v>0</v>
      </c>
      <c r="I3766" s="6"/>
      <c r="J3766" s="43"/>
      <c r="K3766" s="51"/>
      <c r="L3766" s="86"/>
      <c r="M3766" s="45"/>
      <c r="N3766" s="45"/>
    </row>
    <row r="3767" spans="1:14" ht="15" x14ac:dyDescent="0.25">
      <c r="A3767" s="1">
        <v>3758</v>
      </c>
      <c r="B3767" s="1" t="s">
        <v>467</v>
      </c>
      <c r="C3767" s="32">
        <v>2681</v>
      </c>
      <c r="D3767" s="1">
        <v>16000</v>
      </c>
      <c r="E3767" s="1"/>
      <c r="F3767" s="1">
        <v>178.25</v>
      </c>
      <c r="G3767" s="1">
        <v>16000</v>
      </c>
      <c r="H3767" s="5">
        <f t="shared" si="76"/>
        <v>0</v>
      </c>
      <c r="I3767" s="6"/>
      <c r="J3767" s="43"/>
      <c r="K3767" s="51"/>
      <c r="L3767" s="86"/>
      <c r="M3767" s="45"/>
      <c r="N3767" s="45"/>
    </row>
    <row r="3768" spans="1:14" ht="15" x14ac:dyDescent="0.25">
      <c r="A3768" s="1">
        <v>3759</v>
      </c>
      <c r="B3768" s="1" t="s">
        <v>467</v>
      </c>
      <c r="C3768" s="32" t="s">
        <v>30</v>
      </c>
      <c r="D3768" s="1">
        <v>3500</v>
      </c>
      <c r="E3768" s="1"/>
      <c r="F3768" s="1">
        <v>38.950000000000003</v>
      </c>
      <c r="G3768" s="1">
        <v>3500</v>
      </c>
      <c r="H3768" s="5">
        <f t="shared" si="76"/>
        <v>0</v>
      </c>
      <c r="I3768" s="6"/>
      <c r="J3768" s="43"/>
      <c r="K3768" s="51"/>
      <c r="L3768" s="86"/>
      <c r="M3768" s="45"/>
      <c r="N3768" s="45"/>
    </row>
    <row r="3769" spans="1:14" ht="15" x14ac:dyDescent="0.25">
      <c r="A3769" s="1">
        <v>3760</v>
      </c>
      <c r="B3769" s="1" t="s">
        <v>467</v>
      </c>
      <c r="C3769" s="32">
        <v>5196</v>
      </c>
      <c r="D3769" s="1">
        <v>32000</v>
      </c>
      <c r="E3769" s="1"/>
      <c r="F3769" s="1">
        <v>356.51</v>
      </c>
      <c r="G3769" s="1">
        <v>32000</v>
      </c>
      <c r="H3769" s="5">
        <f t="shared" si="76"/>
        <v>0</v>
      </c>
      <c r="I3769" s="6"/>
      <c r="J3769" s="43"/>
      <c r="K3769" s="51"/>
      <c r="L3769" s="86"/>
      <c r="M3769" s="45"/>
      <c r="N3769" s="45"/>
    </row>
    <row r="3770" spans="1:14" ht="15" x14ac:dyDescent="0.25">
      <c r="A3770" s="1">
        <v>3761</v>
      </c>
      <c r="B3770" s="1" t="s">
        <v>467</v>
      </c>
      <c r="C3770" s="32">
        <v>3343</v>
      </c>
      <c r="D3770" s="1">
        <v>32000</v>
      </c>
      <c r="E3770" s="1"/>
      <c r="F3770" s="1">
        <v>356.51</v>
      </c>
      <c r="G3770" s="1">
        <v>32000</v>
      </c>
      <c r="H3770" s="5">
        <f t="shared" si="76"/>
        <v>0</v>
      </c>
      <c r="I3770" s="6"/>
      <c r="J3770" s="43"/>
      <c r="K3770" s="51"/>
      <c r="L3770" s="86"/>
      <c r="M3770" s="45"/>
      <c r="N3770" s="45"/>
    </row>
    <row r="3771" spans="1:14" ht="15" x14ac:dyDescent="0.25">
      <c r="A3771" s="1">
        <v>3762</v>
      </c>
      <c r="B3771" s="1" t="s">
        <v>467</v>
      </c>
      <c r="C3771" s="32">
        <v>7105</v>
      </c>
      <c r="D3771" s="1">
        <v>32000</v>
      </c>
      <c r="E3771" s="1"/>
      <c r="F3771" s="1">
        <v>356.51</v>
      </c>
      <c r="G3771" s="1">
        <v>32000</v>
      </c>
      <c r="H3771" s="5">
        <f t="shared" si="76"/>
        <v>0</v>
      </c>
      <c r="I3771" s="6"/>
      <c r="J3771" s="43"/>
      <c r="K3771" s="51"/>
      <c r="L3771" s="86"/>
      <c r="M3771" s="45"/>
      <c r="N3771" s="45"/>
    </row>
    <row r="3772" spans="1:14" ht="15" x14ac:dyDescent="0.25">
      <c r="A3772" s="1">
        <v>3763</v>
      </c>
      <c r="B3772" s="1" t="s">
        <v>467</v>
      </c>
      <c r="C3772" s="32">
        <v>3.2599999999999997E-2</v>
      </c>
      <c r="D3772" s="1">
        <v>30000</v>
      </c>
      <c r="E3772" s="1"/>
      <c r="F3772" s="1">
        <v>334.22</v>
      </c>
      <c r="G3772" s="1">
        <v>30000</v>
      </c>
      <c r="H3772" s="5">
        <f t="shared" si="76"/>
        <v>0</v>
      </c>
      <c r="I3772" s="6"/>
      <c r="J3772" s="43"/>
      <c r="K3772" s="51"/>
      <c r="L3772" s="86"/>
      <c r="M3772" s="45"/>
      <c r="N3772" s="45"/>
    </row>
    <row r="3773" spans="1:14" ht="15" x14ac:dyDescent="0.25">
      <c r="A3773" s="1">
        <v>3764</v>
      </c>
      <c r="B3773" s="1" t="s">
        <v>467</v>
      </c>
      <c r="C3773" s="32">
        <v>5897</v>
      </c>
      <c r="D3773" s="1">
        <v>25000</v>
      </c>
      <c r="E3773" s="1"/>
      <c r="F3773" s="1">
        <v>278.25</v>
      </c>
      <c r="G3773" s="1">
        <v>25000</v>
      </c>
      <c r="H3773" s="5">
        <f t="shared" si="76"/>
        <v>0</v>
      </c>
      <c r="I3773" s="6"/>
      <c r="J3773" s="43"/>
      <c r="K3773" s="51"/>
      <c r="L3773" s="86"/>
      <c r="M3773" s="45"/>
      <c r="N3773" s="45"/>
    </row>
    <row r="3774" spans="1:14" ht="15" x14ac:dyDescent="0.25">
      <c r="A3774" s="1">
        <v>3765</v>
      </c>
      <c r="B3774" s="1" t="s">
        <v>467</v>
      </c>
      <c r="C3774" s="32">
        <v>3653</v>
      </c>
      <c r="D3774" s="1">
        <v>25000</v>
      </c>
      <c r="E3774" s="1"/>
      <c r="F3774" s="1">
        <v>278.25</v>
      </c>
      <c r="G3774" s="1">
        <v>25000</v>
      </c>
      <c r="H3774" s="5">
        <f t="shared" si="76"/>
        <v>0</v>
      </c>
      <c r="I3774" s="6"/>
      <c r="J3774" s="43"/>
      <c r="K3774" s="51"/>
      <c r="L3774" s="86"/>
      <c r="M3774" s="45"/>
      <c r="N3774" s="45"/>
    </row>
    <row r="3775" spans="1:14" ht="15" x14ac:dyDescent="0.25">
      <c r="A3775" s="1">
        <v>3766</v>
      </c>
      <c r="B3775" s="1" t="s">
        <v>467</v>
      </c>
      <c r="C3775" s="32">
        <v>3149</v>
      </c>
      <c r="D3775" s="1">
        <v>22000</v>
      </c>
      <c r="E3775" s="1"/>
      <c r="F3775" s="1">
        <v>245.1</v>
      </c>
      <c r="G3775" s="1">
        <v>22000</v>
      </c>
      <c r="H3775" s="5">
        <f t="shared" si="76"/>
        <v>0</v>
      </c>
      <c r="I3775" s="6"/>
      <c r="J3775" s="43"/>
      <c r="K3775" s="51"/>
      <c r="L3775" s="86"/>
      <c r="M3775" s="45"/>
      <c r="N3775" s="45"/>
    </row>
    <row r="3776" spans="1:14" ht="15" x14ac:dyDescent="0.25">
      <c r="A3776" s="1">
        <v>3767</v>
      </c>
      <c r="B3776" s="1" t="s">
        <v>467</v>
      </c>
      <c r="C3776" s="32">
        <v>5252</v>
      </c>
      <c r="D3776" s="1">
        <v>16000</v>
      </c>
      <c r="E3776" s="1"/>
      <c r="F3776" s="1">
        <v>178.22</v>
      </c>
      <c r="G3776" s="1">
        <v>16000</v>
      </c>
      <c r="H3776" s="5">
        <f t="shared" si="76"/>
        <v>0</v>
      </c>
      <c r="I3776" s="6"/>
      <c r="J3776" s="43"/>
      <c r="K3776" s="51"/>
      <c r="L3776" s="86"/>
      <c r="M3776" s="45"/>
      <c r="N3776" s="45"/>
    </row>
    <row r="3777" spans="1:14" ht="15" x14ac:dyDescent="0.25">
      <c r="A3777" s="1">
        <v>3768</v>
      </c>
      <c r="B3777" s="1" t="s">
        <v>467</v>
      </c>
      <c r="C3777" s="32">
        <v>4579</v>
      </c>
      <c r="D3777" s="1">
        <v>15000</v>
      </c>
      <c r="E3777" s="1"/>
      <c r="F3777" s="1">
        <v>167.11</v>
      </c>
      <c r="G3777" s="1">
        <v>15000</v>
      </c>
      <c r="H3777" s="5">
        <f t="shared" si="76"/>
        <v>0</v>
      </c>
      <c r="I3777" s="6"/>
      <c r="J3777" s="43"/>
      <c r="K3777" s="51"/>
      <c r="L3777" s="86"/>
      <c r="M3777" s="45"/>
      <c r="N3777" s="45"/>
    </row>
    <row r="3778" spans="1:14" ht="15" x14ac:dyDescent="0.25">
      <c r="A3778" s="1">
        <v>3769</v>
      </c>
      <c r="B3778" s="1" t="s">
        <v>467</v>
      </c>
      <c r="C3778" s="32">
        <v>3558</v>
      </c>
      <c r="D3778" s="1">
        <v>27000</v>
      </c>
      <c r="E3778" s="1"/>
      <c r="F3778" s="1">
        <v>300.81</v>
      </c>
      <c r="G3778" s="1">
        <v>27000</v>
      </c>
      <c r="H3778" s="5">
        <f t="shared" si="76"/>
        <v>0</v>
      </c>
      <c r="I3778" s="6"/>
      <c r="J3778" s="43"/>
      <c r="K3778" s="51"/>
      <c r="L3778" s="86"/>
      <c r="M3778" s="45"/>
      <c r="N3778" s="45"/>
    </row>
    <row r="3779" spans="1:14" ht="15" x14ac:dyDescent="0.25">
      <c r="A3779" s="1">
        <v>3770</v>
      </c>
      <c r="B3779" s="1" t="s">
        <v>467</v>
      </c>
      <c r="C3779" s="32">
        <v>7266</v>
      </c>
      <c r="D3779" s="1">
        <v>28000</v>
      </c>
      <c r="E3779" s="1"/>
      <c r="F3779" s="1">
        <v>311.94</v>
      </c>
      <c r="G3779" s="1">
        <v>28000</v>
      </c>
      <c r="H3779" s="5">
        <f t="shared" si="76"/>
        <v>0</v>
      </c>
      <c r="I3779" s="6"/>
      <c r="J3779" s="43"/>
      <c r="K3779" s="51"/>
      <c r="L3779" s="86">
        <f>1724717-1518779</f>
        <v>205938</v>
      </c>
      <c r="M3779" s="45" t="s">
        <v>453</v>
      </c>
      <c r="N3779" s="45">
        <f>205938-205316</f>
        <v>622</v>
      </c>
    </row>
    <row r="3780" spans="1:14" ht="15" x14ac:dyDescent="0.25">
      <c r="A3780" s="1">
        <v>3771</v>
      </c>
      <c r="B3780" s="1" t="s">
        <v>468</v>
      </c>
      <c r="C3780" s="32" t="s">
        <v>30</v>
      </c>
      <c r="D3780" s="1">
        <v>4500</v>
      </c>
      <c r="E3780" s="1"/>
      <c r="F3780" s="1">
        <v>50.13</v>
      </c>
      <c r="G3780" s="1">
        <v>4500</v>
      </c>
      <c r="H3780" s="5">
        <f t="shared" si="76"/>
        <v>0</v>
      </c>
      <c r="I3780" s="6"/>
      <c r="J3780" s="43"/>
      <c r="K3780" s="51"/>
      <c r="L3780" s="86"/>
      <c r="M3780" s="45"/>
      <c r="N3780" s="45"/>
    </row>
    <row r="3781" spans="1:14" ht="15" x14ac:dyDescent="0.25">
      <c r="A3781" s="1">
        <v>3772</v>
      </c>
      <c r="B3781" s="1" t="s">
        <v>468</v>
      </c>
      <c r="C3781" s="32">
        <v>3.8399999999999997E-2</v>
      </c>
      <c r="D3781" s="1">
        <v>18000</v>
      </c>
      <c r="E3781" s="1"/>
      <c r="F3781" s="1">
        <v>200.45</v>
      </c>
      <c r="G3781" s="1">
        <v>18000</v>
      </c>
      <c r="H3781" s="5">
        <f t="shared" si="76"/>
        <v>0</v>
      </c>
      <c r="I3781" s="6"/>
      <c r="J3781" s="43"/>
      <c r="K3781" s="51"/>
      <c r="L3781" s="86"/>
      <c r="M3781" s="45"/>
      <c r="N3781" s="45"/>
    </row>
    <row r="3782" spans="1:14" ht="15" x14ac:dyDescent="0.25">
      <c r="A3782" s="1">
        <v>3773</v>
      </c>
      <c r="B3782" s="1" t="s">
        <v>468</v>
      </c>
      <c r="C3782" s="32">
        <v>5.1999999999999998E-3</v>
      </c>
      <c r="D3782" s="1">
        <v>16000</v>
      </c>
      <c r="E3782" s="1"/>
      <c r="F3782" s="1">
        <v>178.22</v>
      </c>
      <c r="G3782" s="1">
        <v>16000</v>
      </c>
      <c r="H3782" s="5">
        <f t="shared" si="76"/>
        <v>0</v>
      </c>
      <c r="I3782" s="6"/>
      <c r="J3782" s="43"/>
      <c r="K3782" s="51"/>
      <c r="L3782" s="86"/>
      <c r="M3782" s="45"/>
      <c r="N3782" s="45"/>
    </row>
    <row r="3783" spans="1:14" ht="15" x14ac:dyDescent="0.25">
      <c r="A3783" s="1">
        <v>3774</v>
      </c>
      <c r="B3783" s="1" t="s">
        <v>468</v>
      </c>
      <c r="C3783" s="32">
        <v>5931</v>
      </c>
      <c r="D3783" s="1">
        <v>20000</v>
      </c>
      <c r="E3783" s="1"/>
      <c r="F3783" s="1">
        <v>222.27</v>
      </c>
      <c r="G3783" s="1">
        <v>20000</v>
      </c>
      <c r="H3783" s="5">
        <f t="shared" si="76"/>
        <v>0</v>
      </c>
      <c r="I3783" s="6"/>
      <c r="J3783" s="43"/>
      <c r="K3783" s="51"/>
      <c r="L3783" s="86"/>
      <c r="M3783" s="45"/>
      <c r="N3783" s="45"/>
    </row>
    <row r="3784" spans="1:14" ht="15" x14ac:dyDescent="0.25">
      <c r="A3784" s="1">
        <v>3775</v>
      </c>
      <c r="B3784" s="1" t="s">
        <v>468</v>
      </c>
      <c r="C3784" s="32">
        <v>9645</v>
      </c>
      <c r="D3784" s="1">
        <v>20000</v>
      </c>
      <c r="E3784" s="1"/>
      <c r="F3784" s="1">
        <v>222.27</v>
      </c>
      <c r="G3784" s="1">
        <v>20000</v>
      </c>
      <c r="H3784" s="5">
        <f t="shared" si="76"/>
        <v>0</v>
      </c>
      <c r="I3784" s="6"/>
      <c r="J3784" s="43"/>
      <c r="K3784" s="51"/>
      <c r="L3784" s="86"/>
      <c r="M3784" s="45"/>
      <c r="N3784" s="45"/>
    </row>
    <row r="3785" spans="1:14" ht="15" x14ac:dyDescent="0.25">
      <c r="A3785" s="1">
        <v>3776</v>
      </c>
      <c r="B3785" s="1" t="s">
        <v>468</v>
      </c>
      <c r="C3785" s="32">
        <v>7709</v>
      </c>
      <c r="D3785" s="1">
        <v>20000</v>
      </c>
      <c r="E3785" s="1"/>
      <c r="F3785" s="1">
        <v>222.27</v>
      </c>
      <c r="G3785" s="1">
        <v>20000</v>
      </c>
      <c r="H3785" s="5">
        <f t="shared" si="76"/>
        <v>0</v>
      </c>
      <c r="I3785" s="6"/>
      <c r="J3785" s="43"/>
      <c r="K3785" s="51"/>
      <c r="L3785" s="86"/>
      <c r="M3785" s="45"/>
      <c r="N3785" s="45"/>
    </row>
    <row r="3786" spans="1:14" ht="15" x14ac:dyDescent="0.25">
      <c r="A3786" s="1">
        <v>3777</v>
      </c>
      <c r="B3786" s="1" t="s">
        <v>468</v>
      </c>
      <c r="C3786" s="32">
        <v>7349</v>
      </c>
      <c r="D3786" s="1">
        <v>20000</v>
      </c>
      <c r="E3786" s="1"/>
      <c r="F3786" s="1">
        <v>222.27</v>
      </c>
      <c r="G3786" s="1">
        <v>20000</v>
      </c>
      <c r="H3786" s="5">
        <f t="shared" si="76"/>
        <v>0</v>
      </c>
      <c r="I3786" s="6"/>
      <c r="J3786" s="43"/>
      <c r="K3786" s="51"/>
      <c r="L3786" s="86"/>
      <c r="M3786" s="45"/>
      <c r="N3786" s="45"/>
    </row>
    <row r="3787" spans="1:14" ht="15" x14ac:dyDescent="0.25">
      <c r="A3787" s="1">
        <v>3778</v>
      </c>
      <c r="B3787" s="1" t="s">
        <v>468</v>
      </c>
      <c r="C3787" s="32">
        <v>6815</v>
      </c>
      <c r="D3787" s="1">
        <v>20000</v>
      </c>
      <c r="E3787" s="1"/>
      <c r="F3787" s="1">
        <v>222.27</v>
      </c>
      <c r="G3787" s="1">
        <v>20000</v>
      </c>
      <c r="H3787" s="5">
        <f t="shared" si="76"/>
        <v>0</v>
      </c>
      <c r="I3787" s="6"/>
      <c r="J3787" s="43"/>
      <c r="K3787" s="51"/>
      <c r="L3787" s="86"/>
      <c r="M3787" s="45"/>
      <c r="N3787" s="45"/>
    </row>
    <row r="3788" spans="1:14" ht="15" x14ac:dyDescent="0.25">
      <c r="A3788" s="1">
        <v>3779</v>
      </c>
      <c r="B3788" s="1" t="s">
        <v>468</v>
      </c>
      <c r="C3788" s="32" t="s">
        <v>66</v>
      </c>
      <c r="D3788" s="1">
        <v>200</v>
      </c>
      <c r="E3788" s="1"/>
      <c r="F3788" s="1">
        <v>2.04</v>
      </c>
      <c r="G3788" s="1">
        <v>200</v>
      </c>
      <c r="H3788" s="5">
        <f t="shared" si="76"/>
        <v>0</v>
      </c>
      <c r="I3788" s="6"/>
      <c r="J3788" s="43"/>
      <c r="K3788" s="51"/>
      <c r="L3788" s="86"/>
      <c r="M3788" s="45"/>
      <c r="N3788" s="45"/>
    </row>
    <row r="3789" spans="1:14" ht="15" x14ac:dyDescent="0.25">
      <c r="A3789" s="1">
        <v>3780</v>
      </c>
      <c r="B3789" s="1" t="s">
        <v>468</v>
      </c>
      <c r="C3789" s="32">
        <v>8.7499999999999994E-2</v>
      </c>
      <c r="D3789" s="1">
        <v>10000</v>
      </c>
      <c r="E3789" s="1"/>
      <c r="F3789" s="1">
        <v>111.45</v>
      </c>
      <c r="G3789" s="1">
        <v>10000</v>
      </c>
      <c r="H3789" s="5">
        <f t="shared" si="76"/>
        <v>0</v>
      </c>
      <c r="I3789" s="6"/>
      <c r="J3789" s="43"/>
      <c r="K3789" s="51"/>
      <c r="L3789" s="86"/>
      <c r="M3789" s="45"/>
      <c r="N3789" s="45"/>
    </row>
    <row r="3790" spans="1:14" ht="15" x14ac:dyDescent="0.25">
      <c r="A3790" s="1">
        <v>3781</v>
      </c>
      <c r="B3790" s="1" t="s">
        <v>468</v>
      </c>
      <c r="C3790" s="32">
        <v>3558</v>
      </c>
      <c r="D3790" s="1">
        <v>27000</v>
      </c>
      <c r="E3790" s="1"/>
      <c r="F3790" s="1">
        <v>300.81</v>
      </c>
      <c r="G3790" s="1">
        <v>27000</v>
      </c>
      <c r="H3790" s="5">
        <f t="shared" si="76"/>
        <v>0</v>
      </c>
      <c r="I3790" s="6"/>
      <c r="J3790" s="43"/>
      <c r="K3790" s="51"/>
      <c r="L3790" s="86"/>
      <c r="M3790" s="45"/>
      <c r="N3790" s="45"/>
    </row>
    <row r="3791" spans="1:14" ht="15" x14ac:dyDescent="0.25">
      <c r="A3791" s="1">
        <v>3782</v>
      </c>
      <c r="B3791" s="1" t="s">
        <v>468</v>
      </c>
      <c r="C3791" s="32">
        <v>5278</v>
      </c>
      <c r="D3791" s="1">
        <v>16000</v>
      </c>
      <c r="E3791" s="1"/>
      <c r="F3791" s="1">
        <v>167.24</v>
      </c>
      <c r="G3791" s="1">
        <v>16000</v>
      </c>
      <c r="H3791" s="5">
        <f t="shared" si="76"/>
        <v>0</v>
      </c>
      <c r="I3791" s="6"/>
      <c r="J3791" s="43"/>
      <c r="K3791" s="51"/>
      <c r="L3791" s="86"/>
      <c r="M3791" s="45"/>
      <c r="N3791" s="45"/>
    </row>
    <row r="3792" spans="1:14" ht="15" x14ac:dyDescent="0.25">
      <c r="A3792" s="1">
        <v>3783</v>
      </c>
      <c r="B3792" s="1" t="s">
        <v>468</v>
      </c>
      <c r="C3792" s="32">
        <v>8665</v>
      </c>
      <c r="D3792" s="1">
        <v>16000</v>
      </c>
      <c r="E3792" s="1"/>
      <c r="F3792" s="1">
        <v>167.24</v>
      </c>
      <c r="G3792" s="1">
        <v>16000</v>
      </c>
      <c r="H3792" s="5">
        <f t="shared" si="76"/>
        <v>0</v>
      </c>
      <c r="I3792" s="6"/>
      <c r="J3792" s="43"/>
      <c r="K3792" s="51"/>
      <c r="L3792" s="86"/>
      <c r="M3792" s="45"/>
      <c r="N3792" s="45"/>
    </row>
    <row r="3793" spans="1:14" ht="15" x14ac:dyDescent="0.25">
      <c r="A3793" s="1">
        <v>3784</v>
      </c>
      <c r="B3793" s="1" t="s">
        <v>468</v>
      </c>
      <c r="C3793" s="32">
        <v>1781</v>
      </c>
      <c r="D3793" s="1">
        <v>30000</v>
      </c>
      <c r="E3793" s="1"/>
      <c r="F3793" s="1">
        <v>334.28</v>
      </c>
      <c r="G3793" s="1">
        <v>30000</v>
      </c>
      <c r="H3793" s="5">
        <f t="shared" si="76"/>
        <v>0</v>
      </c>
      <c r="I3793" s="6"/>
      <c r="J3793" s="43"/>
      <c r="K3793" s="51"/>
      <c r="L3793" s="86"/>
      <c r="M3793" s="45"/>
      <c r="N3793" s="45"/>
    </row>
    <row r="3794" spans="1:14" ht="15" x14ac:dyDescent="0.25">
      <c r="A3794" s="1">
        <v>3785</v>
      </c>
      <c r="B3794" s="1" t="s">
        <v>468</v>
      </c>
      <c r="C3794" s="32">
        <v>5.9400000000000001E-2</v>
      </c>
      <c r="D3794" s="1">
        <v>34000</v>
      </c>
      <c r="E3794" s="1"/>
      <c r="F3794" s="1">
        <v>378.45</v>
      </c>
      <c r="G3794" s="1">
        <v>34000</v>
      </c>
      <c r="H3794" s="5">
        <f t="shared" si="76"/>
        <v>0</v>
      </c>
      <c r="I3794" s="6"/>
      <c r="J3794" s="43"/>
      <c r="K3794" s="51"/>
      <c r="L3794" s="86"/>
      <c r="M3794" s="45"/>
      <c r="N3794" s="45"/>
    </row>
    <row r="3795" spans="1:14" ht="15" x14ac:dyDescent="0.25">
      <c r="A3795" s="1">
        <v>3786</v>
      </c>
      <c r="B3795" s="1" t="s">
        <v>468</v>
      </c>
      <c r="C3795" s="32">
        <v>2111</v>
      </c>
      <c r="D3795" s="1">
        <v>18000</v>
      </c>
      <c r="E3795" s="1"/>
      <c r="F3795" s="1">
        <v>200.45</v>
      </c>
      <c r="G3795" s="1">
        <v>18000</v>
      </c>
      <c r="H3795" s="5">
        <f t="shared" si="76"/>
        <v>0</v>
      </c>
      <c r="I3795" s="6"/>
      <c r="J3795" s="43"/>
      <c r="K3795" s="51"/>
      <c r="L3795" s="86"/>
      <c r="M3795" s="45"/>
      <c r="N3795" s="45"/>
    </row>
    <row r="3796" spans="1:14" ht="15" x14ac:dyDescent="0.25">
      <c r="A3796" s="1">
        <v>3787</v>
      </c>
      <c r="B3796" s="1" t="s">
        <v>468</v>
      </c>
      <c r="C3796" s="32">
        <v>5.9700000000000003E-2</v>
      </c>
      <c r="D3796" s="1">
        <v>34000</v>
      </c>
      <c r="E3796" s="1"/>
      <c r="F3796" s="1">
        <v>378.45</v>
      </c>
      <c r="G3796" s="1">
        <v>34000</v>
      </c>
      <c r="H3796" s="5">
        <f t="shared" si="76"/>
        <v>0</v>
      </c>
      <c r="I3796" s="6"/>
      <c r="J3796" s="43"/>
      <c r="K3796" s="51"/>
      <c r="L3796" s="86"/>
      <c r="M3796" s="45"/>
      <c r="N3796" s="45"/>
    </row>
    <row r="3797" spans="1:14" ht="15" x14ac:dyDescent="0.25">
      <c r="A3797" s="1">
        <v>3788</v>
      </c>
      <c r="B3797" s="1" t="s">
        <v>468</v>
      </c>
      <c r="C3797" s="32">
        <v>3261</v>
      </c>
      <c r="D3797" s="1">
        <v>30000</v>
      </c>
      <c r="E3797" s="1"/>
      <c r="F3797" s="1">
        <v>334.28</v>
      </c>
      <c r="G3797" s="1">
        <v>30000</v>
      </c>
      <c r="H3797" s="5">
        <f t="shared" si="76"/>
        <v>0</v>
      </c>
      <c r="I3797" s="6"/>
      <c r="J3797" s="43"/>
      <c r="K3797" s="51"/>
      <c r="L3797" s="86"/>
      <c r="M3797" s="45"/>
      <c r="N3797" s="45"/>
    </row>
    <row r="3798" spans="1:14" ht="15" x14ac:dyDescent="0.25">
      <c r="A3798" s="1">
        <v>3789</v>
      </c>
      <c r="B3798" s="1" t="s">
        <v>468</v>
      </c>
      <c r="C3798" s="32">
        <v>9891</v>
      </c>
      <c r="D3798" s="1">
        <v>30000</v>
      </c>
      <c r="E3798" s="1"/>
      <c r="F3798" s="1">
        <v>334.28</v>
      </c>
      <c r="G3798" s="1">
        <v>30000</v>
      </c>
      <c r="H3798" s="5">
        <f t="shared" si="76"/>
        <v>0</v>
      </c>
      <c r="I3798" s="6"/>
      <c r="J3798" s="43"/>
      <c r="K3798" s="51"/>
      <c r="L3798" s="86"/>
      <c r="M3798" s="45"/>
      <c r="N3798" s="45"/>
    </row>
    <row r="3799" spans="1:14" ht="15" x14ac:dyDescent="0.25">
      <c r="A3799" s="1">
        <v>3790</v>
      </c>
      <c r="B3799" s="1" t="s">
        <v>468</v>
      </c>
      <c r="C3799" s="32">
        <v>8762</v>
      </c>
      <c r="D3799" s="1">
        <v>33000</v>
      </c>
      <c r="E3799" s="1"/>
      <c r="F3799" s="1">
        <v>375.47</v>
      </c>
      <c r="G3799" s="1">
        <v>33000</v>
      </c>
      <c r="H3799" s="5">
        <f t="shared" si="76"/>
        <v>0</v>
      </c>
      <c r="I3799" s="6"/>
      <c r="J3799" s="43"/>
      <c r="K3799" s="51"/>
      <c r="L3799" s="86"/>
      <c r="M3799" s="45"/>
      <c r="N3799" s="45"/>
    </row>
    <row r="3800" spans="1:14" ht="15" x14ac:dyDescent="0.25">
      <c r="A3800" s="1">
        <v>3791</v>
      </c>
      <c r="B3800" s="1" t="s">
        <v>468</v>
      </c>
      <c r="C3800" s="32">
        <v>5.96E-2</v>
      </c>
      <c r="D3800" s="1">
        <v>34000</v>
      </c>
      <c r="E3800" s="1"/>
      <c r="F3800" s="1">
        <v>378.45</v>
      </c>
      <c r="G3800" s="1">
        <v>34000</v>
      </c>
      <c r="H3800" s="5">
        <f t="shared" si="76"/>
        <v>0</v>
      </c>
      <c r="I3800" s="6"/>
      <c r="J3800" s="43"/>
      <c r="K3800" s="51"/>
      <c r="L3800" s="86">
        <f>1975417-1969479</f>
        <v>5938</v>
      </c>
      <c r="M3800" s="45" t="s">
        <v>469</v>
      </c>
      <c r="N3800" s="45">
        <f>5938-5315</f>
        <v>623</v>
      </c>
    </row>
    <row r="3801" spans="1:14" s="232" customFormat="1" ht="15" x14ac:dyDescent="0.25">
      <c r="A3801" s="1">
        <v>3792</v>
      </c>
      <c r="B3801" s="1" t="s">
        <v>480</v>
      </c>
      <c r="C3801" s="32">
        <v>4441</v>
      </c>
      <c r="D3801" s="1">
        <v>16000</v>
      </c>
      <c r="E3801" s="1"/>
      <c r="F3801" s="1">
        <v>178.22</v>
      </c>
      <c r="G3801" s="1">
        <v>16000</v>
      </c>
      <c r="H3801" s="5">
        <f t="shared" si="76"/>
        <v>0</v>
      </c>
      <c r="I3801" s="6"/>
      <c r="J3801" s="43"/>
      <c r="K3801" s="51"/>
      <c r="L3801" s="86"/>
      <c r="M3801" s="233"/>
      <c r="N3801" s="233"/>
    </row>
    <row r="3802" spans="1:14" s="232" customFormat="1" ht="15" x14ac:dyDescent="0.25">
      <c r="A3802" s="1">
        <v>3793</v>
      </c>
      <c r="B3802" s="1" t="s">
        <v>480</v>
      </c>
      <c r="C3802" s="32">
        <v>3361</v>
      </c>
      <c r="D3802" s="1">
        <v>15000</v>
      </c>
      <c r="E3802" s="1"/>
      <c r="F3802" s="1">
        <v>167.15</v>
      </c>
      <c r="G3802" s="1">
        <v>15000</v>
      </c>
      <c r="H3802" s="5">
        <f t="shared" si="76"/>
        <v>0</v>
      </c>
      <c r="I3802" s="6"/>
      <c r="J3802" s="43"/>
      <c r="K3802" s="51"/>
      <c r="L3802" s="86"/>
      <c r="M3802" s="233"/>
      <c r="N3802" s="233"/>
    </row>
    <row r="3803" spans="1:14" s="232" customFormat="1" ht="15" x14ac:dyDescent="0.25">
      <c r="A3803" s="1">
        <v>3794</v>
      </c>
      <c r="B3803" s="1" t="s">
        <v>480</v>
      </c>
      <c r="C3803" s="32">
        <v>5687</v>
      </c>
      <c r="D3803" s="1">
        <v>20000</v>
      </c>
      <c r="E3803" s="1"/>
      <c r="F3803" s="1">
        <v>222.28</v>
      </c>
      <c r="G3803" s="1">
        <v>20000</v>
      </c>
      <c r="H3803" s="5">
        <f t="shared" ref="H3803:H3866" si="77">D3803-G3803</f>
        <v>0</v>
      </c>
      <c r="I3803" s="6"/>
      <c r="J3803" s="43"/>
      <c r="K3803" s="51"/>
      <c r="L3803" s="86"/>
      <c r="M3803" s="233"/>
      <c r="N3803" s="233"/>
    </row>
    <row r="3804" spans="1:14" s="232" customFormat="1" ht="15" x14ac:dyDescent="0.25">
      <c r="A3804" s="1">
        <v>3795</v>
      </c>
      <c r="B3804" s="1" t="s">
        <v>480</v>
      </c>
      <c r="C3804" s="32">
        <v>4105</v>
      </c>
      <c r="D3804" s="1">
        <v>20000</v>
      </c>
      <c r="E3804" s="1"/>
      <c r="F3804" s="1">
        <v>222.28</v>
      </c>
      <c r="G3804" s="1">
        <v>20000</v>
      </c>
      <c r="H3804" s="5">
        <f t="shared" si="77"/>
        <v>0</v>
      </c>
      <c r="I3804" s="6"/>
      <c r="J3804" s="43"/>
      <c r="K3804" s="51"/>
      <c r="L3804" s="86"/>
      <c r="M3804" s="233"/>
      <c r="N3804" s="233"/>
    </row>
    <row r="3805" spans="1:14" s="232" customFormat="1" ht="15" x14ac:dyDescent="0.25">
      <c r="A3805" s="1">
        <v>3796</v>
      </c>
      <c r="B3805" s="1" t="s">
        <v>480</v>
      </c>
      <c r="C3805" s="32">
        <v>3112</v>
      </c>
      <c r="D3805" s="1">
        <v>8000</v>
      </c>
      <c r="E3805" s="1"/>
      <c r="F3805" s="1">
        <v>89.35</v>
      </c>
      <c r="G3805" s="1">
        <v>8000</v>
      </c>
      <c r="H3805" s="5">
        <f t="shared" si="77"/>
        <v>0</v>
      </c>
      <c r="I3805" s="6"/>
      <c r="J3805" s="43"/>
      <c r="K3805" s="51"/>
      <c r="L3805" s="86"/>
      <c r="M3805" s="233"/>
      <c r="N3805" s="233"/>
    </row>
    <row r="3806" spans="1:14" s="232" customFormat="1" ht="15" x14ac:dyDescent="0.25">
      <c r="A3806" s="1">
        <v>3797</v>
      </c>
      <c r="B3806" s="1" t="s">
        <v>480</v>
      </c>
      <c r="C3806" s="32">
        <v>7647</v>
      </c>
      <c r="D3806" s="1">
        <v>25000</v>
      </c>
      <c r="E3806" s="1"/>
      <c r="F3806" s="1">
        <v>278.22000000000003</v>
      </c>
      <c r="G3806" s="1">
        <v>25000</v>
      </c>
      <c r="H3806" s="5">
        <f t="shared" si="77"/>
        <v>0</v>
      </c>
      <c r="I3806" s="6"/>
      <c r="J3806" s="43"/>
      <c r="K3806" s="51"/>
      <c r="L3806" s="86"/>
      <c r="M3806" s="233"/>
      <c r="N3806" s="233"/>
    </row>
    <row r="3807" spans="1:14" s="232" customFormat="1" ht="15" x14ac:dyDescent="0.25">
      <c r="A3807" s="1">
        <v>3798</v>
      </c>
      <c r="B3807" s="1" t="s">
        <v>480</v>
      </c>
      <c r="C3807" s="32">
        <v>5951</v>
      </c>
      <c r="D3807" s="1">
        <v>16000</v>
      </c>
      <c r="E3807" s="1"/>
      <c r="F3807" s="1">
        <v>178.22</v>
      </c>
      <c r="G3807" s="1">
        <v>16000</v>
      </c>
      <c r="H3807" s="5">
        <f t="shared" si="77"/>
        <v>0</v>
      </c>
      <c r="I3807" s="6"/>
      <c r="J3807" s="43"/>
      <c r="K3807" s="51"/>
      <c r="L3807" s="86"/>
      <c r="M3807" s="233"/>
      <c r="N3807" s="233"/>
    </row>
    <row r="3808" spans="1:14" s="232" customFormat="1" ht="15" x14ac:dyDescent="0.25">
      <c r="A3808" s="1">
        <v>3799</v>
      </c>
      <c r="B3808" s="1" t="s">
        <v>480</v>
      </c>
      <c r="C3808" s="32">
        <v>5.1000000000000004E-3</v>
      </c>
      <c r="D3808" s="1">
        <v>16000</v>
      </c>
      <c r="E3808" s="1"/>
      <c r="F3808" s="1">
        <v>178.22</v>
      </c>
      <c r="G3808" s="1">
        <v>16000</v>
      </c>
      <c r="H3808" s="5">
        <f t="shared" si="77"/>
        <v>0</v>
      </c>
      <c r="I3808" s="6"/>
      <c r="J3808" s="43"/>
      <c r="K3808" s="51"/>
      <c r="L3808" s="86"/>
      <c r="M3808" s="233"/>
      <c r="N3808" s="233"/>
    </row>
    <row r="3809" spans="1:14" s="232" customFormat="1" ht="15" x14ac:dyDescent="0.25">
      <c r="A3809" s="1">
        <v>3800</v>
      </c>
      <c r="B3809" s="1" t="s">
        <v>480</v>
      </c>
      <c r="C3809" s="32">
        <v>3671</v>
      </c>
      <c r="D3809" s="1">
        <v>27000</v>
      </c>
      <c r="E3809" s="1"/>
      <c r="F3809" s="1">
        <v>300.48</v>
      </c>
      <c r="G3809" s="1">
        <v>27000</v>
      </c>
      <c r="H3809" s="5">
        <f t="shared" si="77"/>
        <v>0</v>
      </c>
      <c r="I3809" s="6"/>
      <c r="J3809" s="43"/>
      <c r="K3809" s="51"/>
      <c r="L3809" s="86"/>
      <c r="M3809" s="233"/>
      <c r="N3809" s="233"/>
    </row>
    <row r="3810" spans="1:14" s="232" customFormat="1" ht="15" x14ac:dyDescent="0.25">
      <c r="A3810" s="1">
        <v>3801</v>
      </c>
      <c r="B3810" s="1" t="s">
        <v>480</v>
      </c>
      <c r="C3810" s="32">
        <v>3491</v>
      </c>
      <c r="D3810" s="1">
        <v>25000</v>
      </c>
      <c r="E3810" s="1"/>
      <c r="F3810" s="1">
        <v>278.22000000000003</v>
      </c>
      <c r="G3810" s="1">
        <v>25000</v>
      </c>
      <c r="H3810" s="5">
        <f t="shared" si="77"/>
        <v>0</v>
      </c>
      <c r="I3810" s="6"/>
      <c r="J3810" s="43"/>
      <c r="K3810" s="51"/>
      <c r="L3810" s="86"/>
      <c r="M3810" s="233"/>
      <c r="N3810" s="233"/>
    </row>
    <row r="3811" spans="1:14" s="232" customFormat="1" ht="15" x14ac:dyDescent="0.25">
      <c r="A3811" s="1">
        <v>3802</v>
      </c>
      <c r="B3811" s="1" t="s">
        <v>480</v>
      </c>
      <c r="C3811" s="32">
        <v>8613</v>
      </c>
      <c r="D3811" s="1">
        <v>20000</v>
      </c>
      <c r="E3811" s="1"/>
      <c r="F3811" s="1">
        <v>222.28</v>
      </c>
      <c r="G3811" s="1">
        <v>20000</v>
      </c>
      <c r="H3811" s="5">
        <f t="shared" si="77"/>
        <v>0</v>
      </c>
      <c r="I3811" s="6"/>
      <c r="J3811" s="43"/>
      <c r="K3811" s="51"/>
      <c r="L3811" s="86"/>
      <c r="M3811" s="233"/>
      <c r="N3811" s="233"/>
    </row>
    <row r="3812" spans="1:14" s="232" customFormat="1" ht="15" x14ac:dyDescent="0.25">
      <c r="A3812" s="1">
        <v>3803</v>
      </c>
      <c r="B3812" s="1" t="s">
        <v>480</v>
      </c>
      <c r="C3812" s="32">
        <v>7.1800000000000003E-2</v>
      </c>
      <c r="D3812" s="1">
        <v>29000</v>
      </c>
      <c r="E3812" s="1"/>
      <c r="F3812" s="1">
        <v>323.48</v>
      </c>
      <c r="G3812" s="1">
        <v>29000</v>
      </c>
      <c r="H3812" s="5">
        <f t="shared" si="77"/>
        <v>0</v>
      </c>
      <c r="I3812" s="6"/>
      <c r="J3812" s="43"/>
      <c r="K3812" s="51"/>
      <c r="L3812" s="86"/>
      <c r="M3812" s="233"/>
      <c r="N3812" s="233"/>
    </row>
    <row r="3813" spans="1:14" s="232" customFormat="1" ht="15" x14ac:dyDescent="0.25">
      <c r="A3813" s="1">
        <v>3804</v>
      </c>
      <c r="B3813" s="1" t="s">
        <v>480</v>
      </c>
      <c r="C3813" s="32">
        <v>4095</v>
      </c>
      <c r="D3813" s="1">
        <v>29000</v>
      </c>
      <c r="E3813" s="1"/>
      <c r="F3813" s="1">
        <v>323.48</v>
      </c>
      <c r="G3813" s="1">
        <v>29000</v>
      </c>
      <c r="H3813" s="5">
        <f t="shared" si="77"/>
        <v>0</v>
      </c>
      <c r="I3813" s="6"/>
      <c r="J3813" s="43"/>
      <c r="K3813" s="51"/>
      <c r="L3813" s="86"/>
      <c r="M3813" s="233"/>
      <c r="N3813" s="233"/>
    </row>
    <row r="3814" spans="1:14" s="232" customFormat="1" ht="15" x14ac:dyDescent="0.25">
      <c r="A3814" s="1">
        <v>3805</v>
      </c>
      <c r="B3814" s="1" t="s">
        <v>480</v>
      </c>
      <c r="C3814" s="32">
        <v>8112</v>
      </c>
      <c r="D3814" s="1">
        <v>31000</v>
      </c>
      <c r="E3814" s="1"/>
      <c r="F3814" s="1">
        <v>345.48</v>
      </c>
      <c r="G3814" s="1">
        <v>31000</v>
      </c>
      <c r="H3814" s="5">
        <f t="shared" si="77"/>
        <v>0</v>
      </c>
      <c r="I3814" s="6"/>
      <c r="J3814" s="43"/>
      <c r="K3814" s="51"/>
      <c r="L3814" s="86">
        <f>1872418-1866479</f>
        <v>5939</v>
      </c>
      <c r="M3814" s="233" t="s">
        <v>469</v>
      </c>
      <c r="N3814" s="233">
        <f>5939-5315</f>
        <v>624</v>
      </c>
    </row>
    <row r="3815" spans="1:14" s="234" customFormat="1" ht="15" x14ac:dyDescent="0.25">
      <c r="A3815" s="1">
        <v>3806</v>
      </c>
      <c r="B3815" s="1" t="s">
        <v>481</v>
      </c>
      <c r="C3815" s="32">
        <v>5931</v>
      </c>
      <c r="D3815" s="1">
        <v>12000</v>
      </c>
      <c r="E3815" s="1"/>
      <c r="F3815" s="1">
        <v>133.44999999999999</v>
      </c>
      <c r="G3815" s="1">
        <v>12000</v>
      </c>
      <c r="H3815" s="5">
        <f t="shared" si="77"/>
        <v>0</v>
      </c>
      <c r="I3815" s="6"/>
      <c r="J3815" s="43"/>
      <c r="K3815" s="51"/>
      <c r="L3815" s="86"/>
      <c r="M3815" s="235"/>
      <c r="N3815" s="235"/>
    </row>
    <row r="3816" spans="1:14" s="234" customFormat="1" ht="15" x14ac:dyDescent="0.25">
      <c r="A3816" s="1">
        <v>3807</v>
      </c>
      <c r="B3816" s="1" t="s">
        <v>481</v>
      </c>
      <c r="C3816" s="32" t="s">
        <v>30</v>
      </c>
      <c r="D3816" s="1">
        <v>5000</v>
      </c>
      <c r="E3816" s="1"/>
      <c r="F3816" s="1">
        <v>55.12</v>
      </c>
      <c r="G3816" s="1">
        <v>5000</v>
      </c>
      <c r="H3816" s="5">
        <f t="shared" si="77"/>
        <v>0</v>
      </c>
      <c r="I3816" s="6"/>
      <c r="J3816" s="43"/>
      <c r="K3816" s="51"/>
      <c r="L3816" s="86"/>
      <c r="M3816" s="235"/>
      <c r="N3816" s="235"/>
    </row>
    <row r="3817" spans="1:14" s="234" customFormat="1" ht="15" x14ac:dyDescent="0.25">
      <c r="A3817" s="1">
        <v>3808</v>
      </c>
      <c r="B3817" s="1" t="s">
        <v>481</v>
      </c>
      <c r="C3817" s="32">
        <v>8765</v>
      </c>
      <c r="D3817" s="1">
        <v>39000</v>
      </c>
      <c r="E3817" s="1"/>
      <c r="F3817" s="1">
        <v>409.48</v>
      </c>
      <c r="G3817" s="1">
        <v>39000</v>
      </c>
      <c r="H3817" s="5">
        <f t="shared" si="77"/>
        <v>0</v>
      </c>
      <c r="I3817" s="6"/>
      <c r="J3817" s="43"/>
      <c r="K3817" s="51"/>
      <c r="L3817" s="86"/>
      <c r="M3817" s="235"/>
      <c r="N3817" s="235"/>
    </row>
    <row r="3818" spans="1:14" s="234" customFormat="1" ht="15" x14ac:dyDescent="0.25">
      <c r="A3818" s="1">
        <v>3809</v>
      </c>
      <c r="B3818" s="1" t="s">
        <v>481</v>
      </c>
      <c r="C3818" s="32">
        <v>3678</v>
      </c>
      <c r="D3818" s="1">
        <v>39500</v>
      </c>
      <c r="E3818" s="1"/>
      <c r="F3818" s="1">
        <v>440.35</v>
      </c>
      <c r="G3818" s="1">
        <v>39500</v>
      </c>
      <c r="H3818" s="5">
        <f t="shared" si="77"/>
        <v>0</v>
      </c>
      <c r="I3818" s="6"/>
      <c r="J3818" s="43"/>
      <c r="K3818" s="51"/>
      <c r="L3818" s="86"/>
      <c r="M3818" s="235"/>
      <c r="N3818" s="235"/>
    </row>
    <row r="3819" spans="1:14" s="234" customFormat="1" ht="15" x14ac:dyDescent="0.25">
      <c r="A3819" s="1">
        <v>3810</v>
      </c>
      <c r="B3819" s="1" t="s">
        <v>481</v>
      </c>
      <c r="C3819" s="32">
        <v>2681</v>
      </c>
      <c r="D3819" s="1">
        <v>16000</v>
      </c>
      <c r="E3819" s="1"/>
      <c r="F3819" s="1">
        <v>178.22</v>
      </c>
      <c r="G3819" s="1">
        <v>16000</v>
      </c>
      <c r="H3819" s="5">
        <f t="shared" si="77"/>
        <v>0</v>
      </c>
      <c r="I3819" s="6"/>
      <c r="J3819" s="43"/>
      <c r="K3819" s="51"/>
      <c r="L3819" s="86"/>
      <c r="M3819" s="235"/>
      <c r="N3819" s="235"/>
    </row>
    <row r="3820" spans="1:14" s="234" customFormat="1" ht="15" x14ac:dyDescent="0.25">
      <c r="A3820" s="1">
        <v>3811</v>
      </c>
      <c r="B3820" s="1" t="s">
        <v>481</v>
      </c>
      <c r="C3820" s="32" t="s">
        <v>30</v>
      </c>
      <c r="D3820" s="1">
        <v>4500</v>
      </c>
      <c r="E3820" s="1"/>
      <c r="F3820" s="1">
        <v>50.13</v>
      </c>
      <c r="G3820" s="1">
        <v>4500</v>
      </c>
      <c r="H3820" s="5">
        <f t="shared" si="77"/>
        <v>0</v>
      </c>
      <c r="I3820" s="6"/>
      <c r="J3820" s="43"/>
      <c r="K3820" s="51"/>
      <c r="L3820" s="86"/>
      <c r="M3820" s="235"/>
      <c r="N3820" s="235"/>
    </row>
    <row r="3821" spans="1:14" s="234" customFormat="1" ht="15" x14ac:dyDescent="0.25">
      <c r="A3821" s="1">
        <v>3812</v>
      </c>
      <c r="B3821" s="1" t="s">
        <v>481</v>
      </c>
      <c r="C3821" s="32">
        <v>9.64E-2</v>
      </c>
      <c r="D3821" s="1">
        <v>31000</v>
      </c>
      <c r="E3821" s="1"/>
      <c r="F3821" s="1">
        <v>334.45</v>
      </c>
      <c r="G3821" s="1">
        <v>31000</v>
      </c>
      <c r="H3821" s="5">
        <f t="shared" si="77"/>
        <v>0</v>
      </c>
      <c r="I3821" s="6"/>
      <c r="J3821" s="43"/>
      <c r="K3821" s="51"/>
      <c r="L3821" s="86"/>
      <c r="M3821" s="235"/>
      <c r="N3821" s="235"/>
    </row>
    <row r="3822" spans="1:14" s="234" customFormat="1" ht="15" x14ac:dyDescent="0.25">
      <c r="A3822" s="1">
        <v>3813</v>
      </c>
      <c r="B3822" s="1" t="s">
        <v>481</v>
      </c>
      <c r="C3822" s="32">
        <v>5783</v>
      </c>
      <c r="D3822" s="1">
        <v>20000</v>
      </c>
      <c r="E3822" s="1"/>
      <c r="F3822" s="1">
        <v>222.28</v>
      </c>
      <c r="G3822" s="1">
        <v>20000</v>
      </c>
      <c r="H3822" s="5">
        <f t="shared" si="77"/>
        <v>0</v>
      </c>
      <c r="I3822" s="6"/>
      <c r="J3822" s="43"/>
      <c r="K3822" s="51"/>
      <c r="L3822" s="86"/>
      <c r="M3822" s="235"/>
      <c r="N3822" s="235"/>
    </row>
    <row r="3823" spans="1:14" s="234" customFormat="1" ht="15" x14ac:dyDescent="0.25">
      <c r="A3823" s="1">
        <v>3814</v>
      </c>
      <c r="B3823" s="1" t="s">
        <v>481</v>
      </c>
      <c r="C3823" s="32">
        <v>7171</v>
      </c>
      <c r="D3823" s="1">
        <v>20000</v>
      </c>
      <c r="E3823" s="1"/>
      <c r="F3823" s="1">
        <v>222.28</v>
      </c>
      <c r="G3823" s="1">
        <v>20000</v>
      </c>
      <c r="H3823" s="5">
        <f t="shared" si="77"/>
        <v>0</v>
      </c>
      <c r="I3823" s="6"/>
      <c r="J3823" s="43"/>
      <c r="K3823" s="51"/>
      <c r="L3823" s="86"/>
      <c r="M3823" s="235"/>
      <c r="N3823" s="235"/>
    </row>
    <row r="3824" spans="1:14" s="234" customFormat="1" ht="15" x14ac:dyDescent="0.25">
      <c r="A3824" s="1">
        <v>3815</v>
      </c>
      <c r="B3824" s="1" t="s">
        <v>481</v>
      </c>
      <c r="C3824" s="32">
        <v>3848</v>
      </c>
      <c r="D3824" s="1">
        <v>20000</v>
      </c>
      <c r="E3824" s="1"/>
      <c r="F3824" s="1">
        <v>222.28</v>
      </c>
      <c r="G3824" s="1">
        <v>20000</v>
      </c>
      <c r="H3824" s="5">
        <f t="shared" si="77"/>
        <v>0</v>
      </c>
      <c r="I3824" s="6"/>
      <c r="J3824" s="43"/>
      <c r="K3824" s="51"/>
      <c r="L3824" s="86"/>
      <c r="M3824" s="235"/>
      <c r="N3824" s="235"/>
    </row>
    <row r="3825" spans="1:14" s="234" customFormat="1" ht="15" x14ac:dyDescent="0.25">
      <c r="A3825" s="1">
        <v>3816</v>
      </c>
      <c r="B3825" s="1" t="s">
        <v>481</v>
      </c>
      <c r="C3825" s="32">
        <v>6371</v>
      </c>
      <c r="D3825" s="1">
        <v>20000</v>
      </c>
      <c r="E3825" s="1"/>
      <c r="F3825" s="1">
        <v>222.28</v>
      </c>
      <c r="G3825" s="1">
        <v>20000</v>
      </c>
      <c r="H3825" s="5">
        <f t="shared" si="77"/>
        <v>0</v>
      </c>
      <c r="I3825" s="6"/>
      <c r="J3825" s="43"/>
      <c r="K3825" s="51"/>
      <c r="L3825" s="86"/>
      <c r="M3825" s="235"/>
      <c r="N3825" s="235"/>
    </row>
    <row r="3826" spans="1:14" s="234" customFormat="1" ht="15" x14ac:dyDescent="0.25">
      <c r="A3826" s="1">
        <v>3817</v>
      </c>
      <c r="B3826" s="1" t="s">
        <v>481</v>
      </c>
      <c r="C3826" s="32">
        <v>4571</v>
      </c>
      <c r="D3826" s="1">
        <v>10000</v>
      </c>
      <c r="E3826" s="1"/>
      <c r="F3826" s="1">
        <v>111.45</v>
      </c>
      <c r="G3826" s="1">
        <v>10000</v>
      </c>
      <c r="H3826" s="5">
        <f t="shared" si="77"/>
        <v>0</v>
      </c>
      <c r="I3826" s="6"/>
      <c r="J3826" s="43"/>
      <c r="K3826" s="51"/>
      <c r="L3826" s="86"/>
      <c r="M3826" s="235"/>
      <c r="N3826" s="235"/>
    </row>
    <row r="3827" spans="1:14" s="234" customFormat="1" ht="15" x14ac:dyDescent="0.25">
      <c r="A3827" s="1">
        <v>3818</v>
      </c>
      <c r="B3827" s="1" t="s">
        <v>481</v>
      </c>
      <c r="C3827" s="32">
        <v>6364</v>
      </c>
      <c r="D3827" s="1">
        <v>20000</v>
      </c>
      <c r="E3827" s="1"/>
      <c r="F3827" s="1">
        <v>222.28</v>
      </c>
      <c r="G3827" s="1">
        <v>20000</v>
      </c>
      <c r="H3827" s="5">
        <f t="shared" si="77"/>
        <v>0</v>
      </c>
      <c r="I3827" s="6"/>
      <c r="J3827" s="43"/>
      <c r="K3827" s="51"/>
      <c r="L3827" s="86">
        <f>1756241-1723479</f>
        <v>32762</v>
      </c>
      <c r="M3827" s="235" t="s">
        <v>483</v>
      </c>
      <c r="N3827" s="235">
        <f>32762-32138</f>
        <v>624</v>
      </c>
    </row>
    <row r="3828" spans="1:14" s="236" customFormat="1" ht="15" x14ac:dyDescent="0.25">
      <c r="A3828" s="1">
        <v>3819</v>
      </c>
      <c r="B3828" s="1" t="s">
        <v>484</v>
      </c>
      <c r="C3828" s="32">
        <v>9.4899999999999998E-2</v>
      </c>
      <c r="D3828" s="1">
        <v>20000</v>
      </c>
      <c r="E3828" s="1"/>
      <c r="F3828" s="1">
        <v>222.28</v>
      </c>
      <c r="G3828" s="1">
        <v>20000</v>
      </c>
      <c r="H3828" s="5">
        <f t="shared" si="77"/>
        <v>0</v>
      </c>
      <c r="I3828" s="6"/>
      <c r="J3828" s="43"/>
      <c r="K3828" s="51"/>
      <c r="L3828" s="86"/>
      <c r="M3828" s="237"/>
      <c r="N3828" s="237"/>
    </row>
    <row r="3829" spans="1:14" s="236" customFormat="1" ht="15" x14ac:dyDescent="0.25">
      <c r="A3829" s="1">
        <v>3820</v>
      </c>
      <c r="B3829" s="1" t="s">
        <v>484</v>
      </c>
      <c r="C3829" s="32">
        <v>8290</v>
      </c>
      <c r="D3829" s="1">
        <v>30000</v>
      </c>
      <c r="E3829" s="1"/>
      <c r="F3829" s="1">
        <v>334.24</v>
      </c>
      <c r="G3829" s="1">
        <v>30000</v>
      </c>
      <c r="H3829" s="5">
        <f t="shared" si="77"/>
        <v>0</v>
      </c>
      <c r="I3829" s="6"/>
      <c r="J3829" s="43"/>
      <c r="K3829" s="51"/>
      <c r="L3829" s="86"/>
      <c r="M3829" s="237"/>
      <c r="N3829" s="237"/>
    </row>
    <row r="3830" spans="1:14" s="236" customFormat="1" ht="15" x14ac:dyDescent="0.25">
      <c r="A3830" s="1">
        <v>3821</v>
      </c>
      <c r="B3830" s="1" t="s">
        <v>484</v>
      </c>
      <c r="C3830" s="32" t="s">
        <v>30</v>
      </c>
      <c r="D3830" s="1">
        <v>5000</v>
      </c>
      <c r="E3830" s="1"/>
      <c r="F3830" s="1">
        <v>55.48</v>
      </c>
      <c r="G3830" s="1">
        <v>5000</v>
      </c>
      <c r="H3830" s="5">
        <f t="shared" si="77"/>
        <v>0</v>
      </c>
      <c r="I3830" s="6"/>
      <c r="J3830" s="43"/>
      <c r="K3830" s="51"/>
      <c r="L3830" s="86"/>
      <c r="M3830" s="237"/>
      <c r="N3830" s="237"/>
    </row>
    <row r="3831" spans="1:14" s="236" customFormat="1" ht="15" x14ac:dyDescent="0.25">
      <c r="A3831" s="1">
        <v>3822</v>
      </c>
      <c r="B3831" s="1" t="s">
        <v>484</v>
      </c>
      <c r="C3831" s="32">
        <v>4645</v>
      </c>
      <c r="D3831" s="1">
        <v>16000</v>
      </c>
      <c r="E3831" s="1"/>
      <c r="F3831" s="1">
        <v>178.2</v>
      </c>
      <c r="G3831" s="1">
        <v>16000</v>
      </c>
      <c r="H3831" s="5">
        <f t="shared" si="77"/>
        <v>0</v>
      </c>
      <c r="I3831" s="6"/>
      <c r="J3831" s="43"/>
      <c r="K3831" s="51"/>
      <c r="L3831" s="86"/>
      <c r="M3831" s="237"/>
      <c r="N3831" s="237"/>
    </row>
    <row r="3832" spans="1:14" s="236" customFormat="1" ht="15" x14ac:dyDescent="0.25">
      <c r="A3832" s="1">
        <v>3823</v>
      </c>
      <c r="B3832" s="1" t="s">
        <v>484</v>
      </c>
      <c r="C3832" s="32" t="s">
        <v>30</v>
      </c>
      <c r="D3832" s="1">
        <v>5000</v>
      </c>
      <c r="E3832" s="1"/>
      <c r="F3832" s="1">
        <v>55.48</v>
      </c>
      <c r="G3832" s="1">
        <v>5000</v>
      </c>
      <c r="H3832" s="5">
        <f t="shared" si="77"/>
        <v>0</v>
      </c>
      <c r="I3832" s="6"/>
      <c r="J3832" s="43"/>
      <c r="K3832" s="51"/>
      <c r="L3832" s="86"/>
      <c r="M3832" s="237"/>
      <c r="N3832" s="237"/>
    </row>
    <row r="3833" spans="1:14" s="236" customFormat="1" ht="15" x14ac:dyDescent="0.25">
      <c r="A3833" s="1">
        <v>3824</v>
      </c>
      <c r="B3833" s="1" t="s">
        <v>484</v>
      </c>
      <c r="C3833" s="32">
        <v>4441</v>
      </c>
      <c r="D3833" s="1">
        <v>16000</v>
      </c>
      <c r="E3833" s="1"/>
      <c r="F3833" s="1">
        <v>178.22</v>
      </c>
      <c r="G3833" s="1">
        <v>16000</v>
      </c>
      <c r="H3833" s="5">
        <f t="shared" si="77"/>
        <v>0</v>
      </c>
      <c r="I3833" s="6"/>
      <c r="J3833" s="43"/>
      <c r="K3833" s="51"/>
      <c r="L3833" s="86"/>
      <c r="M3833" s="237"/>
      <c r="N3833" s="237"/>
    </row>
    <row r="3834" spans="1:14" s="236" customFormat="1" ht="15" x14ac:dyDescent="0.25">
      <c r="A3834" s="1">
        <v>3825</v>
      </c>
      <c r="B3834" s="1" t="s">
        <v>484</v>
      </c>
      <c r="C3834" s="32">
        <v>7922</v>
      </c>
      <c r="D3834" s="1">
        <v>15000</v>
      </c>
      <c r="E3834" s="1"/>
      <c r="F3834" s="1">
        <v>167.22</v>
      </c>
      <c r="G3834" s="1">
        <v>15000</v>
      </c>
      <c r="H3834" s="5">
        <f t="shared" si="77"/>
        <v>0</v>
      </c>
      <c r="I3834" s="6"/>
      <c r="J3834" s="43"/>
      <c r="K3834" s="51"/>
      <c r="L3834" s="86"/>
      <c r="M3834" s="237"/>
      <c r="N3834" s="237"/>
    </row>
    <row r="3835" spans="1:14" s="236" customFormat="1" ht="15" x14ac:dyDescent="0.25">
      <c r="A3835" s="1">
        <v>3826</v>
      </c>
      <c r="B3835" s="1" t="s">
        <v>484</v>
      </c>
      <c r="C3835" s="32">
        <v>3361</v>
      </c>
      <c r="D3835" s="1">
        <v>15000</v>
      </c>
      <c r="E3835" s="1"/>
      <c r="F3835" s="1">
        <v>167.22</v>
      </c>
      <c r="G3835" s="1">
        <v>15000</v>
      </c>
      <c r="H3835" s="5">
        <f t="shared" si="77"/>
        <v>0</v>
      </c>
      <c r="I3835" s="6"/>
      <c r="J3835" s="43"/>
      <c r="K3835" s="51"/>
      <c r="L3835" s="86"/>
      <c r="M3835" s="237"/>
      <c r="N3835" s="237"/>
    </row>
    <row r="3836" spans="1:14" s="236" customFormat="1" ht="15" x14ac:dyDescent="0.25">
      <c r="A3836" s="1">
        <v>3827</v>
      </c>
      <c r="B3836" s="1" t="s">
        <v>484</v>
      </c>
      <c r="C3836" s="32" t="s">
        <v>63</v>
      </c>
      <c r="D3836" s="1">
        <v>3500</v>
      </c>
      <c r="E3836" s="1"/>
      <c r="F3836" s="1">
        <v>39.450000000000003</v>
      </c>
      <c r="G3836" s="1">
        <v>3500</v>
      </c>
      <c r="H3836" s="5">
        <f t="shared" si="77"/>
        <v>0</v>
      </c>
      <c r="I3836" s="6"/>
      <c r="J3836" s="43"/>
      <c r="K3836" s="51"/>
      <c r="L3836" s="86"/>
      <c r="M3836" s="237"/>
      <c r="N3836" s="237"/>
    </row>
    <row r="3837" spans="1:14" s="236" customFormat="1" ht="15" x14ac:dyDescent="0.25">
      <c r="A3837" s="1">
        <v>3828</v>
      </c>
      <c r="B3837" s="1" t="s">
        <v>484</v>
      </c>
      <c r="C3837" s="32">
        <v>4113</v>
      </c>
      <c r="D3837" s="1">
        <v>25000</v>
      </c>
      <c r="E3837" s="1"/>
      <c r="F3837" s="1">
        <v>278.45</v>
      </c>
      <c r="G3837" s="1">
        <v>25000</v>
      </c>
      <c r="H3837" s="5">
        <f t="shared" si="77"/>
        <v>0</v>
      </c>
      <c r="I3837" s="6"/>
      <c r="J3837" s="43"/>
      <c r="K3837" s="51"/>
      <c r="L3837" s="86"/>
      <c r="M3837" s="237"/>
      <c r="N3837" s="237"/>
    </row>
    <row r="3838" spans="1:14" s="236" customFormat="1" ht="15" x14ac:dyDescent="0.25">
      <c r="A3838" s="1">
        <v>3829</v>
      </c>
      <c r="B3838" s="1" t="s">
        <v>484</v>
      </c>
      <c r="C3838" s="32">
        <v>8890</v>
      </c>
      <c r="D3838" s="1">
        <v>15000</v>
      </c>
      <c r="E3838" s="1"/>
      <c r="F3838" s="1">
        <v>167.22</v>
      </c>
      <c r="G3838" s="1">
        <v>15000</v>
      </c>
      <c r="H3838" s="5">
        <f t="shared" si="77"/>
        <v>0</v>
      </c>
      <c r="I3838" s="6"/>
      <c r="J3838" s="43"/>
      <c r="K3838" s="51"/>
      <c r="L3838" s="86"/>
      <c r="M3838" s="237"/>
      <c r="N3838" s="237"/>
    </row>
    <row r="3839" spans="1:14" s="236" customFormat="1" ht="15" x14ac:dyDescent="0.25">
      <c r="A3839" s="1">
        <v>3830</v>
      </c>
      <c r="B3839" s="1" t="s">
        <v>484</v>
      </c>
      <c r="C3839" s="32">
        <v>5403</v>
      </c>
      <c r="D3839" s="1">
        <v>10000</v>
      </c>
      <c r="E3839" s="1"/>
      <c r="F3839" s="1">
        <v>111.47</v>
      </c>
      <c r="G3839" s="1">
        <v>10000</v>
      </c>
      <c r="H3839" s="5">
        <f t="shared" si="77"/>
        <v>0</v>
      </c>
      <c r="I3839" s="6"/>
      <c r="J3839" s="43"/>
      <c r="K3839" s="51"/>
      <c r="L3839" s="86"/>
      <c r="M3839" s="237"/>
      <c r="N3839" s="237"/>
    </row>
    <row r="3840" spans="1:14" s="236" customFormat="1" ht="15" x14ac:dyDescent="0.25">
      <c r="A3840" s="1">
        <v>3831</v>
      </c>
      <c r="B3840" s="1" t="s">
        <v>484</v>
      </c>
      <c r="C3840" s="32">
        <v>8796</v>
      </c>
      <c r="D3840" s="1">
        <v>15000</v>
      </c>
      <c r="E3840" s="1"/>
      <c r="F3840" s="1">
        <v>167.22</v>
      </c>
      <c r="G3840" s="1">
        <v>15000</v>
      </c>
      <c r="H3840" s="5">
        <f t="shared" si="77"/>
        <v>0</v>
      </c>
      <c r="I3840" s="6"/>
      <c r="J3840" s="43"/>
      <c r="K3840" s="51"/>
      <c r="L3840" s="86"/>
      <c r="M3840" s="237"/>
      <c r="N3840" s="237"/>
    </row>
    <row r="3841" spans="1:14" s="236" customFormat="1" ht="15" x14ac:dyDescent="0.25">
      <c r="A3841" s="1">
        <v>3832</v>
      </c>
      <c r="B3841" s="1" t="s">
        <v>484</v>
      </c>
      <c r="C3841" s="32">
        <v>9390</v>
      </c>
      <c r="D3841" s="1">
        <v>20000</v>
      </c>
      <c r="E3841" s="1"/>
      <c r="F3841" s="1">
        <v>222.28</v>
      </c>
      <c r="G3841" s="1">
        <v>20000</v>
      </c>
      <c r="H3841" s="5">
        <f t="shared" si="77"/>
        <v>0</v>
      </c>
      <c r="I3841" s="6"/>
      <c r="J3841" s="43"/>
      <c r="K3841" s="51"/>
      <c r="L3841" s="86"/>
      <c r="M3841" s="237"/>
      <c r="N3841" s="237"/>
    </row>
    <row r="3842" spans="1:14" s="236" customFormat="1" ht="15" x14ac:dyDescent="0.25">
      <c r="A3842" s="1">
        <v>3833</v>
      </c>
      <c r="B3842" s="1" t="s">
        <v>484</v>
      </c>
      <c r="C3842" s="32">
        <v>4938</v>
      </c>
      <c r="D3842" s="1">
        <v>10000</v>
      </c>
      <c r="E3842" s="1"/>
      <c r="F3842" s="1">
        <v>111.25</v>
      </c>
      <c r="G3842" s="1">
        <v>10000</v>
      </c>
      <c r="H3842" s="5">
        <f t="shared" si="77"/>
        <v>0</v>
      </c>
      <c r="I3842" s="6"/>
      <c r="J3842" s="43"/>
      <c r="K3842" s="51"/>
      <c r="L3842" s="86"/>
      <c r="M3842" s="237"/>
      <c r="N3842" s="237"/>
    </row>
    <row r="3843" spans="1:14" s="236" customFormat="1" ht="15" x14ac:dyDescent="0.25">
      <c r="A3843" s="1">
        <v>3834</v>
      </c>
      <c r="B3843" s="1" t="s">
        <v>484</v>
      </c>
      <c r="C3843" s="32">
        <v>3952</v>
      </c>
      <c r="D3843" s="1">
        <v>30000</v>
      </c>
      <c r="E3843" s="1"/>
      <c r="F3843" s="1">
        <v>334.24</v>
      </c>
      <c r="G3843" s="1">
        <v>30000</v>
      </c>
      <c r="H3843" s="5">
        <f t="shared" si="77"/>
        <v>0</v>
      </c>
      <c r="I3843" s="6"/>
      <c r="J3843" s="43"/>
      <c r="K3843" s="51"/>
      <c r="L3843" s="86"/>
      <c r="M3843" s="237"/>
      <c r="N3843" s="237"/>
    </row>
    <row r="3844" spans="1:14" s="236" customFormat="1" ht="15" x14ac:dyDescent="0.25">
      <c r="A3844" s="1">
        <v>3835</v>
      </c>
      <c r="B3844" s="1" t="s">
        <v>484</v>
      </c>
      <c r="C3844" s="32">
        <v>4111</v>
      </c>
      <c r="D3844" s="1">
        <v>25000</v>
      </c>
      <c r="E3844" s="1"/>
      <c r="F3844" s="1">
        <v>278.22000000000003</v>
      </c>
      <c r="G3844" s="1">
        <v>25000</v>
      </c>
      <c r="H3844" s="5">
        <f t="shared" si="77"/>
        <v>0</v>
      </c>
      <c r="I3844" s="6"/>
      <c r="J3844" s="43"/>
      <c r="K3844" s="51"/>
      <c r="L3844" s="86"/>
      <c r="M3844" s="237"/>
      <c r="N3844" s="237"/>
    </row>
    <row r="3845" spans="1:14" s="236" customFormat="1" ht="15" x14ac:dyDescent="0.25">
      <c r="A3845" s="1">
        <v>3836</v>
      </c>
      <c r="B3845" s="1" t="s">
        <v>484</v>
      </c>
      <c r="C3845" s="32">
        <v>2930</v>
      </c>
      <c r="D3845" s="1">
        <v>10000</v>
      </c>
      <c r="E3845" s="1"/>
      <c r="F3845" s="1">
        <v>111.25</v>
      </c>
      <c r="G3845" s="1">
        <v>10000</v>
      </c>
      <c r="H3845" s="5">
        <f t="shared" si="77"/>
        <v>0</v>
      </c>
      <c r="I3845" s="6"/>
      <c r="J3845" s="43"/>
      <c r="K3845" s="51"/>
      <c r="L3845" s="86"/>
      <c r="M3845" s="237"/>
      <c r="N3845" s="237"/>
    </row>
    <row r="3846" spans="1:14" s="236" customFormat="1" ht="15" x14ac:dyDescent="0.25">
      <c r="A3846" s="1">
        <v>3837</v>
      </c>
      <c r="B3846" s="1" t="s">
        <v>484</v>
      </c>
      <c r="C3846" s="32">
        <v>4937</v>
      </c>
      <c r="D3846" s="1">
        <v>33000</v>
      </c>
      <c r="E3846" s="1"/>
      <c r="F3846" s="1">
        <v>361.25</v>
      </c>
      <c r="G3846" s="1">
        <v>33000</v>
      </c>
      <c r="H3846" s="5">
        <f t="shared" si="77"/>
        <v>0</v>
      </c>
      <c r="I3846" s="6"/>
      <c r="J3846" s="43"/>
      <c r="K3846" s="51"/>
      <c r="L3846" s="86"/>
      <c r="M3846" s="237"/>
      <c r="N3846" s="237"/>
    </row>
    <row r="3847" spans="1:14" s="236" customFormat="1" ht="15" x14ac:dyDescent="0.25">
      <c r="A3847" s="1">
        <v>3838</v>
      </c>
      <c r="B3847" s="1" t="s">
        <v>485</v>
      </c>
      <c r="C3847" s="32">
        <v>5931</v>
      </c>
      <c r="D3847" s="1">
        <v>16000</v>
      </c>
      <c r="E3847" s="1"/>
      <c r="F3847" s="1">
        <v>176.58</v>
      </c>
      <c r="G3847" s="1">
        <v>16000</v>
      </c>
      <c r="H3847" s="5">
        <f t="shared" si="77"/>
        <v>0</v>
      </c>
      <c r="I3847" s="6"/>
      <c r="J3847" s="43"/>
      <c r="K3847" s="51"/>
      <c r="L3847" s="86"/>
      <c r="M3847" s="237"/>
      <c r="N3847" s="237"/>
    </row>
    <row r="3848" spans="1:14" s="236" customFormat="1" ht="15" x14ac:dyDescent="0.25">
      <c r="A3848" s="1">
        <v>3839</v>
      </c>
      <c r="B3848" s="1" t="s">
        <v>485</v>
      </c>
      <c r="C3848" s="32">
        <v>8326</v>
      </c>
      <c r="D3848" s="1">
        <v>15000</v>
      </c>
      <c r="E3848" s="1"/>
      <c r="F3848" s="1">
        <v>167.22</v>
      </c>
      <c r="G3848" s="1">
        <v>15000</v>
      </c>
      <c r="H3848" s="5">
        <f t="shared" si="77"/>
        <v>0</v>
      </c>
      <c r="I3848" s="6"/>
      <c r="J3848" s="43"/>
      <c r="K3848" s="51"/>
      <c r="L3848" s="86"/>
      <c r="M3848" s="237"/>
      <c r="N3848" s="237"/>
    </row>
    <row r="3849" spans="1:14" s="236" customFormat="1" ht="15" x14ac:dyDescent="0.25">
      <c r="A3849" s="1">
        <v>3840</v>
      </c>
      <c r="B3849" s="1" t="s">
        <v>485</v>
      </c>
      <c r="C3849" s="32">
        <v>7874</v>
      </c>
      <c r="D3849" s="1">
        <v>15000</v>
      </c>
      <c r="E3849" s="1"/>
      <c r="F3849" s="1">
        <v>167.22</v>
      </c>
      <c r="G3849" s="1">
        <v>15000</v>
      </c>
      <c r="H3849" s="5">
        <f t="shared" si="77"/>
        <v>0</v>
      </c>
      <c r="I3849" s="6"/>
      <c r="J3849" s="43"/>
      <c r="K3849" s="51"/>
      <c r="L3849" s="86"/>
      <c r="M3849" s="237"/>
      <c r="N3849" s="237"/>
    </row>
    <row r="3850" spans="1:14" s="236" customFormat="1" ht="15" x14ac:dyDescent="0.25">
      <c r="A3850" s="1">
        <v>3841</v>
      </c>
      <c r="B3850" s="1" t="s">
        <v>485</v>
      </c>
      <c r="C3850" s="32">
        <v>6006</v>
      </c>
      <c r="D3850" s="1">
        <v>15000</v>
      </c>
      <c r="E3850" s="1"/>
      <c r="F3850" s="1">
        <v>167.22</v>
      </c>
      <c r="G3850" s="1">
        <v>15000</v>
      </c>
      <c r="H3850" s="5">
        <f t="shared" si="77"/>
        <v>0</v>
      </c>
      <c r="I3850" s="6"/>
      <c r="J3850" s="43"/>
      <c r="K3850" s="51"/>
      <c r="L3850" s="86"/>
      <c r="M3850" s="237"/>
      <c r="N3850" s="237"/>
    </row>
    <row r="3851" spans="1:14" s="236" customFormat="1" ht="15" x14ac:dyDescent="0.25">
      <c r="A3851" s="1">
        <v>3842</v>
      </c>
      <c r="B3851" s="1" t="s">
        <v>485</v>
      </c>
      <c r="C3851" s="32">
        <v>6159</v>
      </c>
      <c r="D3851" s="1">
        <v>15000</v>
      </c>
      <c r="E3851" s="1"/>
      <c r="F3851" s="1">
        <v>167.22</v>
      </c>
      <c r="G3851" s="1">
        <v>15000</v>
      </c>
      <c r="H3851" s="5">
        <f t="shared" si="77"/>
        <v>0</v>
      </c>
      <c r="I3851" s="6"/>
      <c r="J3851" s="43"/>
      <c r="K3851" s="51"/>
      <c r="L3851" s="86"/>
      <c r="M3851" s="237"/>
      <c r="N3851" s="237"/>
    </row>
    <row r="3852" spans="1:14" s="236" customFormat="1" ht="15" x14ac:dyDescent="0.25">
      <c r="A3852" s="1">
        <v>3843</v>
      </c>
      <c r="B3852" s="1" t="s">
        <v>485</v>
      </c>
      <c r="C3852" s="32" t="s">
        <v>66</v>
      </c>
      <c r="D3852" s="1">
        <v>210</v>
      </c>
      <c r="E3852" s="1"/>
      <c r="F3852" s="1">
        <v>2.0499999999999998</v>
      </c>
      <c r="G3852" s="1">
        <v>210</v>
      </c>
      <c r="H3852" s="5">
        <f t="shared" si="77"/>
        <v>0</v>
      </c>
      <c r="I3852" s="6"/>
      <c r="J3852" s="43"/>
      <c r="K3852" s="51"/>
      <c r="L3852" s="86"/>
      <c r="M3852" s="237"/>
      <c r="N3852" s="237"/>
    </row>
    <row r="3853" spans="1:14" s="236" customFormat="1" ht="15" x14ac:dyDescent="0.25">
      <c r="A3853" s="1">
        <v>3844</v>
      </c>
      <c r="B3853" s="1" t="s">
        <v>485</v>
      </c>
      <c r="C3853" s="32">
        <v>2574</v>
      </c>
      <c r="D3853" s="1">
        <v>26000</v>
      </c>
      <c r="E3853" s="1"/>
      <c r="F3853" s="1">
        <v>268.48</v>
      </c>
      <c r="G3853" s="1">
        <v>26000</v>
      </c>
      <c r="H3853" s="5">
        <f t="shared" si="77"/>
        <v>0</v>
      </c>
      <c r="I3853" s="6"/>
      <c r="J3853" s="43"/>
      <c r="K3853" s="51"/>
      <c r="L3853" s="86"/>
      <c r="M3853" s="237"/>
      <c r="N3853" s="237"/>
    </row>
    <row r="3854" spans="1:14" s="236" customFormat="1" ht="15" x14ac:dyDescent="0.25">
      <c r="A3854" s="1">
        <v>3845</v>
      </c>
      <c r="B3854" s="1" t="s">
        <v>485</v>
      </c>
      <c r="C3854" s="32">
        <v>9389</v>
      </c>
      <c r="D3854" s="1">
        <v>30000</v>
      </c>
      <c r="E3854" s="1"/>
      <c r="F3854" s="1">
        <v>334.24</v>
      </c>
      <c r="G3854" s="1">
        <v>30000</v>
      </c>
      <c r="H3854" s="5">
        <f t="shared" si="77"/>
        <v>0</v>
      </c>
      <c r="I3854" s="6"/>
      <c r="J3854" s="43"/>
      <c r="K3854" s="51"/>
      <c r="L3854" s="86"/>
      <c r="M3854" s="237"/>
      <c r="N3854" s="237"/>
    </row>
    <row r="3855" spans="1:14" s="236" customFormat="1" ht="15" x14ac:dyDescent="0.25">
      <c r="A3855" s="1">
        <v>3846</v>
      </c>
      <c r="B3855" s="1" t="s">
        <v>485</v>
      </c>
      <c r="C3855" s="32">
        <v>9353</v>
      </c>
      <c r="D3855" s="1">
        <v>20000</v>
      </c>
      <c r="E3855" s="1"/>
      <c r="F3855" s="1">
        <v>222.28</v>
      </c>
      <c r="G3855" s="1">
        <v>20000</v>
      </c>
      <c r="H3855" s="5">
        <f t="shared" si="77"/>
        <v>0</v>
      </c>
      <c r="I3855" s="6"/>
      <c r="J3855" s="43"/>
      <c r="K3855" s="51"/>
      <c r="L3855" s="86"/>
      <c r="M3855" s="237"/>
      <c r="N3855" s="237"/>
    </row>
    <row r="3856" spans="1:14" s="236" customFormat="1" ht="15" x14ac:dyDescent="0.25">
      <c r="A3856" s="1">
        <v>3847</v>
      </c>
      <c r="B3856" s="1" t="s">
        <v>485</v>
      </c>
      <c r="C3856" s="32">
        <v>4171</v>
      </c>
      <c r="D3856" s="1">
        <v>12000</v>
      </c>
      <c r="E3856" s="1"/>
      <c r="F3856" s="1">
        <v>133.25</v>
      </c>
      <c r="G3856" s="1">
        <v>12000</v>
      </c>
      <c r="H3856" s="5">
        <f t="shared" si="77"/>
        <v>0</v>
      </c>
      <c r="I3856" s="6"/>
      <c r="J3856" s="43"/>
      <c r="K3856" s="51"/>
      <c r="L3856" s="86"/>
      <c r="M3856" s="237"/>
      <c r="N3856" s="237"/>
    </row>
    <row r="3857" spans="1:14" s="236" customFormat="1" ht="15" x14ac:dyDescent="0.25">
      <c r="A3857" s="1">
        <v>3848</v>
      </c>
      <c r="B3857" s="1" t="s">
        <v>485</v>
      </c>
      <c r="C3857" s="32">
        <v>9610</v>
      </c>
      <c r="D3857" s="1">
        <v>27000</v>
      </c>
      <c r="E3857" s="1"/>
      <c r="F3857" s="1">
        <v>334.45</v>
      </c>
      <c r="G3857" s="1">
        <v>27000</v>
      </c>
      <c r="H3857" s="5">
        <f t="shared" si="77"/>
        <v>0</v>
      </c>
      <c r="I3857" s="6"/>
      <c r="J3857" s="43"/>
      <c r="K3857" s="51"/>
      <c r="L3857" s="86">
        <f>1835951-1833189</f>
        <v>2762</v>
      </c>
      <c r="M3857" s="237" t="s">
        <v>486</v>
      </c>
      <c r="N3857" s="237">
        <f>2762-2137</f>
        <v>625</v>
      </c>
    </row>
    <row r="3858" spans="1:14" s="238" customFormat="1" ht="15" x14ac:dyDescent="0.25">
      <c r="A3858" s="1">
        <v>3849</v>
      </c>
      <c r="B3858" s="1" t="s">
        <v>488</v>
      </c>
      <c r="C3858" s="32">
        <v>6696</v>
      </c>
      <c r="D3858" s="1">
        <v>16000</v>
      </c>
      <c r="E3858" s="1"/>
      <c r="F3858" s="1">
        <v>176.58</v>
      </c>
      <c r="G3858" s="1">
        <v>16000</v>
      </c>
      <c r="H3858" s="5">
        <f t="shared" si="77"/>
        <v>0</v>
      </c>
      <c r="I3858" s="6"/>
      <c r="J3858" s="43"/>
      <c r="K3858" s="51"/>
      <c r="L3858" s="86"/>
      <c r="M3858" s="239"/>
      <c r="N3858" s="239"/>
    </row>
    <row r="3859" spans="1:14" s="238" customFormat="1" ht="15" x14ac:dyDescent="0.25">
      <c r="A3859" s="1">
        <v>3850</v>
      </c>
      <c r="B3859" s="1" t="s">
        <v>488</v>
      </c>
      <c r="C3859" s="32">
        <v>5385</v>
      </c>
      <c r="D3859" s="1">
        <v>20000</v>
      </c>
      <c r="E3859" s="1"/>
      <c r="F3859" s="1">
        <v>222.28</v>
      </c>
      <c r="G3859" s="1">
        <v>20000</v>
      </c>
      <c r="H3859" s="5">
        <f t="shared" si="77"/>
        <v>0</v>
      </c>
      <c r="I3859" s="6"/>
      <c r="J3859" s="43"/>
      <c r="K3859" s="51"/>
      <c r="L3859" s="86"/>
      <c r="M3859" s="239"/>
      <c r="N3859" s="239"/>
    </row>
    <row r="3860" spans="1:14" s="238" customFormat="1" ht="15" x14ac:dyDescent="0.25">
      <c r="A3860" s="1">
        <v>3851</v>
      </c>
      <c r="B3860" s="1" t="s">
        <v>488</v>
      </c>
      <c r="C3860" s="32">
        <v>6245</v>
      </c>
      <c r="D3860" s="1">
        <v>15000</v>
      </c>
      <c r="E3860" s="1"/>
      <c r="F3860" s="1">
        <v>167.22</v>
      </c>
      <c r="G3860" s="1">
        <v>15000</v>
      </c>
      <c r="H3860" s="5">
        <f t="shared" si="77"/>
        <v>0</v>
      </c>
      <c r="I3860" s="6"/>
      <c r="J3860" s="43"/>
      <c r="K3860" s="51"/>
      <c r="L3860" s="86"/>
      <c r="M3860" s="239"/>
      <c r="N3860" s="239"/>
    </row>
    <row r="3861" spans="1:14" s="238" customFormat="1" ht="15" x14ac:dyDescent="0.25">
      <c r="A3861" s="1">
        <v>3852</v>
      </c>
      <c r="B3861" s="1" t="s">
        <v>488</v>
      </c>
      <c r="C3861" s="32">
        <v>3941</v>
      </c>
      <c r="D3861" s="1">
        <v>12000</v>
      </c>
      <c r="E3861" s="1"/>
      <c r="F3861" s="1">
        <v>133.25</v>
      </c>
      <c r="G3861" s="1">
        <v>12000</v>
      </c>
      <c r="H3861" s="5">
        <f t="shared" si="77"/>
        <v>0</v>
      </c>
      <c r="I3861" s="6"/>
      <c r="J3861" s="43"/>
      <c r="K3861" s="51"/>
      <c r="L3861" s="86"/>
      <c r="M3861" s="239"/>
      <c r="N3861" s="239"/>
    </row>
    <row r="3862" spans="1:14" s="238" customFormat="1" ht="15" x14ac:dyDescent="0.25">
      <c r="A3862" s="1">
        <v>3853</v>
      </c>
      <c r="B3862" s="1" t="s">
        <v>488</v>
      </c>
      <c r="C3862" s="32">
        <v>3361</v>
      </c>
      <c r="D3862" s="1">
        <v>15000</v>
      </c>
      <c r="E3862" s="1"/>
      <c r="F3862" s="1">
        <v>167.22</v>
      </c>
      <c r="G3862" s="1">
        <v>15000</v>
      </c>
      <c r="H3862" s="5">
        <f t="shared" si="77"/>
        <v>0</v>
      </c>
      <c r="I3862" s="6"/>
      <c r="J3862" s="43"/>
      <c r="K3862" s="51"/>
      <c r="L3862" s="86"/>
      <c r="M3862" s="239"/>
      <c r="N3862" s="239"/>
    </row>
    <row r="3863" spans="1:14" s="238" customFormat="1" ht="15" x14ac:dyDescent="0.25">
      <c r="A3863" s="1">
        <v>3854</v>
      </c>
      <c r="B3863" s="1" t="s">
        <v>488</v>
      </c>
      <c r="C3863" s="32">
        <v>6353</v>
      </c>
      <c r="D3863" s="1">
        <v>15000</v>
      </c>
      <c r="E3863" s="1"/>
      <c r="F3863" s="1">
        <v>167.22</v>
      </c>
      <c r="G3863" s="1">
        <v>15000</v>
      </c>
      <c r="H3863" s="5">
        <f t="shared" si="77"/>
        <v>0</v>
      </c>
      <c r="I3863" s="6"/>
      <c r="J3863" s="43"/>
      <c r="K3863" s="51"/>
      <c r="L3863" s="86"/>
      <c r="M3863" s="239"/>
      <c r="N3863" s="239"/>
    </row>
    <row r="3864" spans="1:14" s="238" customFormat="1" ht="15" x14ac:dyDescent="0.25">
      <c r="A3864" s="1">
        <v>3855</v>
      </c>
      <c r="B3864" s="1" t="s">
        <v>488</v>
      </c>
      <c r="C3864" s="32">
        <v>3738</v>
      </c>
      <c r="D3864" s="1">
        <v>25000</v>
      </c>
      <c r="E3864" s="1"/>
      <c r="F3864" s="1">
        <v>278.22000000000003</v>
      </c>
      <c r="G3864" s="1">
        <v>25000</v>
      </c>
      <c r="H3864" s="5">
        <f t="shared" si="77"/>
        <v>0</v>
      </c>
      <c r="I3864" s="6"/>
      <c r="J3864" s="43"/>
      <c r="K3864" s="51"/>
      <c r="L3864" s="86"/>
      <c r="M3864" s="239"/>
      <c r="N3864" s="239"/>
    </row>
    <row r="3865" spans="1:14" s="238" customFormat="1" ht="15" x14ac:dyDescent="0.25">
      <c r="A3865" s="1">
        <v>3856</v>
      </c>
      <c r="B3865" s="1" t="s">
        <v>488</v>
      </c>
      <c r="C3865" s="32">
        <v>2994</v>
      </c>
      <c r="D3865" s="1">
        <v>25000</v>
      </c>
      <c r="E3865" s="1"/>
      <c r="F3865" s="1">
        <v>278.22000000000003</v>
      </c>
      <c r="G3865" s="1">
        <v>25000</v>
      </c>
      <c r="H3865" s="5">
        <f t="shared" si="77"/>
        <v>0</v>
      </c>
      <c r="I3865" s="6"/>
      <c r="J3865" s="43"/>
      <c r="K3865" s="51"/>
      <c r="L3865" s="86"/>
      <c r="M3865" s="239"/>
      <c r="N3865" s="239"/>
    </row>
    <row r="3866" spans="1:14" s="238" customFormat="1" ht="15" x14ac:dyDescent="0.25">
      <c r="A3866" s="1">
        <v>3857</v>
      </c>
      <c r="B3866" s="1" t="s">
        <v>488</v>
      </c>
      <c r="C3866" s="32">
        <v>6461</v>
      </c>
      <c r="D3866" s="1">
        <v>30000</v>
      </c>
      <c r="E3866" s="1"/>
      <c r="F3866" s="1">
        <v>334.24</v>
      </c>
      <c r="G3866" s="1">
        <v>30000</v>
      </c>
      <c r="H3866" s="5">
        <f t="shared" si="77"/>
        <v>0</v>
      </c>
      <c r="I3866" s="6"/>
      <c r="J3866" s="43"/>
      <c r="K3866" s="51"/>
      <c r="L3866" s="86"/>
      <c r="M3866" s="239"/>
      <c r="N3866" s="239"/>
    </row>
    <row r="3867" spans="1:14" s="238" customFormat="1" ht="15" x14ac:dyDescent="0.25">
      <c r="A3867" s="1">
        <v>3858</v>
      </c>
      <c r="B3867" s="1" t="s">
        <v>488</v>
      </c>
      <c r="C3867" s="32">
        <v>3317</v>
      </c>
      <c r="D3867" s="1">
        <v>30000</v>
      </c>
      <c r="E3867" s="1"/>
      <c r="F3867" s="1">
        <v>334.24</v>
      </c>
      <c r="G3867" s="1">
        <v>30000</v>
      </c>
      <c r="H3867" s="5">
        <f t="shared" ref="H3867:H3930" si="78">D3867-G3867</f>
        <v>0</v>
      </c>
      <c r="I3867" s="6"/>
      <c r="J3867" s="43"/>
      <c r="K3867" s="51"/>
      <c r="L3867" s="86"/>
      <c r="M3867" s="239"/>
      <c r="N3867" s="239"/>
    </row>
    <row r="3868" spans="1:14" s="238" customFormat="1" ht="15" x14ac:dyDescent="0.25">
      <c r="A3868" s="1">
        <v>3859</v>
      </c>
      <c r="B3868" s="1" t="s">
        <v>488</v>
      </c>
      <c r="C3868" s="32">
        <v>1232</v>
      </c>
      <c r="D3868" s="1">
        <v>29100</v>
      </c>
      <c r="E3868" s="1"/>
      <c r="F3868" s="1">
        <v>323.45</v>
      </c>
      <c r="G3868" s="1">
        <v>29100</v>
      </c>
      <c r="H3868" s="5">
        <f t="shared" si="78"/>
        <v>0</v>
      </c>
      <c r="I3868" s="6"/>
      <c r="J3868" s="43"/>
      <c r="K3868" s="51"/>
      <c r="L3868" s="86"/>
      <c r="M3868" s="239"/>
      <c r="N3868" s="239"/>
    </row>
    <row r="3869" spans="1:14" s="238" customFormat="1" ht="15" x14ac:dyDescent="0.25">
      <c r="A3869" s="1">
        <v>3860</v>
      </c>
      <c r="B3869" s="1" t="s">
        <v>488</v>
      </c>
      <c r="C3869" s="32">
        <v>4498</v>
      </c>
      <c r="D3869" s="1">
        <v>34000</v>
      </c>
      <c r="E3869" s="1"/>
      <c r="F3869" s="1">
        <v>368.74</v>
      </c>
      <c r="G3869" s="1">
        <v>34000</v>
      </c>
      <c r="H3869" s="5">
        <f t="shared" si="78"/>
        <v>0</v>
      </c>
      <c r="I3869" s="6"/>
      <c r="J3869" s="43"/>
      <c r="K3869" s="51"/>
      <c r="L3869" s="86"/>
      <c r="M3869" s="239"/>
      <c r="N3869" s="239"/>
    </row>
    <row r="3870" spans="1:14" s="238" customFormat="1" ht="15" x14ac:dyDescent="0.25">
      <c r="A3870" s="1">
        <v>3861</v>
      </c>
      <c r="B3870" s="1" t="s">
        <v>488</v>
      </c>
      <c r="C3870" s="32">
        <v>6065</v>
      </c>
      <c r="D3870" s="1">
        <v>10000</v>
      </c>
      <c r="E3870" s="1"/>
      <c r="F3870" s="1">
        <v>111.25</v>
      </c>
      <c r="G3870" s="1">
        <v>10000</v>
      </c>
      <c r="H3870" s="5">
        <f t="shared" si="78"/>
        <v>0</v>
      </c>
      <c r="I3870" s="6"/>
      <c r="J3870" s="43"/>
      <c r="K3870" s="51"/>
      <c r="L3870" s="86"/>
      <c r="M3870" s="239"/>
      <c r="N3870" s="239"/>
    </row>
    <row r="3871" spans="1:14" s="238" customFormat="1" ht="15" x14ac:dyDescent="0.25">
      <c r="A3871" s="1">
        <v>3862</v>
      </c>
      <c r="B3871" s="1" t="s">
        <v>488</v>
      </c>
      <c r="C3871" s="32">
        <v>7176</v>
      </c>
      <c r="D3871" s="1">
        <v>15000</v>
      </c>
      <c r="E3871" s="1"/>
      <c r="F3871" s="1">
        <v>167.22</v>
      </c>
      <c r="G3871" s="1">
        <v>15000</v>
      </c>
      <c r="H3871" s="5">
        <f t="shared" si="78"/>
        <v>0</v>
      </c>
      <c r="I3871" s="6"/>
      <c r="J3871" s="43"/>
      <c r="K3871" s="51"/>
      <c r="L3871" s="86"/>
      <c r="M3871" s="239"/>
      <c r="N3871" s="239"/>
    </row>
    <row r="3872" spans="1:14" s="238" customFormat="1" ht="15" x14ac:dyDescent="0.25">
      <c r="A3872" s="1">
        <v>3863</v>
      </c>
      <c r="B3872" s="1" t="s">
        <v>488</v>
      </c>
      <c r="C3872" s="32">
        <v>4886</v>
      </c>
      <c r="D3872" s="1">
        <v>35000</v>
      </c>
      <c r="E3872" s="1"/>
      <c r="F3872" s="1">
        <v>378.22</v>
      </c>
      <c r="G3872" s="1">
        <v>35000</v>
      </c>
      <c r="H3872" s="5">
        <f t="shared" si="78"/>
        <v>0</v>
      </c>
      <c r="I3872" s="6"/>
      <c r="J3872" s="43"/>
      <c r="K3872" s="51"/>
      <c r="L3872" s="86"/>
      <c r="M3872" s="239"/>
      <c r="N3872" s="239"/>
    </row>
    <row r="3873" spans="1:14" s="238" customFormat="1" ht="15" x14ac:dyDescent="0.25">
      <c r="A3873" s="1">
        <v>3864</v>
      </c>
      <c r="B3873" s="1" t="s">
        <v>488</v>
      </c>
      <c r="C3873" s="32">
        <v>8311</v>
      </c>
      <c r="D3873" s="1">
        <v>24000</v>
      </c>
      <c r="E3873" s="1"/>
      <c r="F3873" s="1">
        <v>274.25</v>
      </c>
      <c r="G3873" s="1">
        <v>24000</v>
      </c>
      <c r="H3873" s="5">
        <f t="shared" si="78"/>
        <v>0</v>
      </c>
      <c r="I3873" s="6"/>
      <c r="J3873" s="43"/>
      <c r="K3873" s="51"/>
      <c r="L3873" s="86"/>
      <c r="M3873" s="239"/>
      <c r="N3873" s="239"/>
    </row>
    <row r="3874" spans="1:14" s="240" customFormat="1" ht="15" x14ac:dyDescent="0.25">
      <c r="A3874" s="1">
        <v>3865</v>
      </c>
      <c r="B3874" s="1" t="s">
        <v>488</v>
      </c>
      <c r="C3874" s="32">
        <v>2.53E-2</v>
      </c>
      <c r="D3874" s="1">
        <v>15000</v>
      </c>
      <c r="E3874" s="1"/>
      <c r="F3874" s="1">
        <v>167.22</v>
      </c>
      <c r="G3874" s="1">
        <v>15000</v>
      </c>
      <c r="H3874" s="5">
        <f t="shared" si="78"/>
        <v>0</v>
      </c>
      <c r="I3874" s="6"/>
      <c r="J3874" s="43"/>
      <c r="K3874" s="51"/>
      <c r="L3874" s="86"/>
      <c r="M3874" s="241"/>
      <c r="N3874" s="241"/>
    </row>
    <row r="3875" spans="1:14" s="240" customFormat="1" ht="15" x14ac:dyDescent="0.25">
      <c r="A3875" s="1">
        <v>3866</v>
      </c>
      <c r="B3875" s="1" t="s">
        <v>488</v>
      </c>
      <c r="C3875" s="32" t="s">
        <v>30</v>
      </c>
      <c r="D3875" s="1">
        <v>5000</v>
      </c>
      <c r="E3875" s="1"/>
      <c r="F3875" s="1">
        <v>55.7</v>
      </c>
      <c r="G3875" s="1">
        <v>5000</v>
      </c>
      <c r="H3875" s="5">
        <f t="shared" si="78"/>
        <v>0</v>
      </c>
      <c r="I3875" s="6"/>
      <c r="J3875" s="43"/>
      <c r="K3875" s="51"/>
      <c r="L3875" s="86"/>
      <c r="M3875" s="241"/>
      <c r="N3875" s="241"/>
    </row>
    <row r="3876" spans="1:14" s="240" customFormat="1" ht="15" x14ac:dyDescent="0.25">
      <c r="A3876" s="1">
        <v>3867</v>
      </c>
      <c r="B3876" s="1" t="s">
        <v>488</v>
      </c>
      <c r="C3876" s="32">
        <v>6449</v>
      </c>
      <c r="D3876" s="1">
        <v>20000</v>
      </c>
      <c r="E3876" s="1"/>
      <c r="F3876" s="1">
        <v>178.22</v>
      </c>
      <c r="G3876" s="1">
        <v>20000</v>
      </c>
      <c r="H3876" s="5">
        <f t="shared" si="78"/>
        <v>0</v>
      </c>
      <c r="I3876" s="6"/>
      <c r="J3876" s="43"/>
      <c r="K3876" s="51"/>
      <c r="L3876" s="86"/>
      <c r="M3876" s="241"/>
      <c r="N3876" s="241"/>
    </row>
    <row r="3877" spans="1:14" s="240" customFormat="1" ht="15" x14ac:dyDescent="0.25">
      <c r="A3877" s="1">
        <v>3868</v>
      </c>
      <c r="B3877" s="1" t="s">
        <v>488</v>
      </c>
      <c r="C3877" s="32">
        <v>6496</v>
      </c>
      <c r="D3877" s="1">
        <v>14000</v>
      </c>
      <c r="E3877" s="1" t="s">
        <v>491</v>
      </c>
      <c r="F3877" s="1">
        <v>155.47999999999999</v>
      </c>
      <c r="G3877" s="1">
        <v>14000</v>
      </c>
      <c r="H3877" s="5">
        <f t="shared" si="78"/>
        <v>0</v>
      </c>
      <c r="I3877" s="6"/>
      <c r="J3877" s="43"/>
      <c r="K3877" s="51"/>
      <c r="L3877" s="86"/>
      <c r="M3877" s="241"/>
      <c r="N3877" s="241"/>
    </row>
    <row r="3878" spans="1:14" s="240" customFormat="1" ht="15" x14ac:dyDescent="0.25">
      <c r="A3878" s="1">
        <v>3869</v>
      </c>
      <c r="B3878" s="1" t="s">
        <v>488</v>
      </c>
      <c r="C3878" s="32">
        <v>4282</v>
      </c>
      <c r="D3878" s="1">
        <v>15000</v>
      </c>
      <c r="E3878" s="1"/>
      <c r="F3878" s="1">
        <v>167.22</v>
      </c>
      <c r="G3878" s="1">
        <v>15000</v>
      </c>
      <c r="H3878" s="5">
        <f t="shared" si="78"/>
        <v>0</v>
      </c>
      <c r="I3878" s="6"/>
      <c r="J3878" s="43"/>
      <c r="K3878" s="51"/>
      <c r="L3878" s="86"/>
      <c r="M3878" s="241"/>
      <c r="N3878" s="241"/>
    </row>
    <row r="3879" spans="1:14" s="240" customFormat="1" ht="15" x14ac:dyDescent="0.25">
      <c r="A3879" s="1">
        <v>3870</v>
      </c>
      <c r="B3879" s="1" t="s">
        <v>488</v>
      </c>
      <c r="C3879" s="32">
        <v>6496</v>
      </c>
      <c r="D3879" s="1">
        <v>14000</v>
      </c>
      <c r="E3879" s="1" t="s">
        <v>490</v>
      </c>
      <c r="F3879" s="1">
        <v>155.47999999999999</v>
      </c>
      <c r="G3879" s="1">
        <v>14000</v>
      </c>
      <c r="H3879" s="5">
        <f t="shared" si="78"/>
        <v>0</v>
      </c>
      <c r="I3879" s="6"/>
      <c r="J3879" s="43"/>
      <c r="K3879" s="51"/>
      <c r="L3879" s="86"/>
      <c r="M3879" s="241"/>
      <c r="N3879" s="241"/>
    </row>
    <row r="3880" spans="1:14" s="240" customFormat="1" ht="15" x14ac:dyDescent="0.25">
      <c r="A3880" s="1">
        <v>3871</v>
      </c>
      <c r="B3880" s="1" t="s">
        <v>488</v>
      </c>
      <c r="C3880" s="32" t="s">
        <v>30</v>
      </c>
      <c r="D3880" s="1">
        <v>4500</v>
      </c>
      <c r="E3880" s="1"/>
      <c r="F3880" s="1">
        <v>50.13</v>
      </c>
      <c r="G3880" s="1">
        <v>4500</v>
      </c>
      <c r="H3880" s="5">
        <f t="shared" si="78"/>
        <v>0</v>
      </c>
      <c r="I3880" s="6"/>
      <c r="J3880" s="43"/>
      <c r="K3880" s="51"/>
      <c r="L3880" s="86"/>
      <c r="M3880" s="241"/>
      <c r="N3880" s="241"/>
    </row>
    <row r="3881" spans="1:14" s="240" customFormat="1" ht="15" x14ac:dyDescent="0.25">
      <c r="A3881" s="1">
        <v>3872</v>
      </c>
      <c r="B3881" s="1" t="s">
        <v>488</v>
      </c>
      <c r="C3881" s="32" t="s">
        <v>63</v>
      </c>
      <c r="D3881" s="1">
        <v>3500</v>
      </c>
      <c r="E3881" s="1"/>
      <c r="F3881" s="1">
        <v>38.99</v>
      </c>
      <c r="G3881" s="1">
        <v>3500</v>
      </c>
      <c r="H3881" s="5">
        <f t="shared" si="78"/>
        <v>0</v>
      </c>
      <c r="I3881" s="6"/>
      <c r="J3881" s="43"/>
      <c r="K3881" s="51"/>
      <c r="L3881" s="86"/>
      <c r="M3881" s="241"/>
      <c r="N3881" s="241"/>
    </row>
    <row r="3882" spans="1:14" s="240" customFormat="1" ht="15" x14ac:dyDescent="0.25">
      <c r="A3882" s="1">
        <v>3873</v>
      </c>
      <c r="B3882" s="1" t="s">
        <v>488</v>
      </c>
      <c r="C3882" s="32">
        <v>2590</v>
      </c>
      <c r="D3882" s="1">
        <v>20000</v>
      </c>
      <c r="E3882" s="1"/>
      <c r="F3882" s="1">
        <v>222.78</v>
      </c>
      <c r="G3882" s="1">
        <v>20000</v>
      </c>
      <c r="H3882" s="5">
        <f t="shared" si="78"/>
        <v>0</v>
      </c>
      <c r="I3882" s="6"/>
      <c r="J3882" s="43"/>
      <c r="K3882" s="51"/>
      <c r="L3882" s="86">
        <f>1997051-1994289</f>
        <v>2762</v>
      </c>
      <c r="M3882" s="241" t="s">
        <v>489</v>
      </c>
      <c r="N3882" s="241">
        <f>2762-2136</f>
        <v>626</v>
      </c>
    </row>
    <row r="3883" spans="1:14" s="242" customFormat="1" ht="15" x14ac:dyDescent="0.25">
      <c r="A3883" s="1">
        <v>3874</v>
      </c>
      <c r="B3883" s="1" t="s">
        <v>492</v>
      </c>
      <c r="C3883" s="32" t="s">
        <v>66</v>
      </c>
      <c r="D3883" s="1">
        <v>210</v>
      </c>
      <c r="E3883" s="1"/>
      <c r="F3883" s="1">
        <v>2.25</v>
      </c>
      <c r="G3883" s="1">
        <v>210</v>
      </c>
      <c r="H3883" s="5">
        <f t="shared" si="78"/>
        <v>0</v>
      </c>
      <c r="I3883" s="6"/>
      <c r="J3883" s="43"/>
      <c r="K3883" s="51"/>
      <c r="L3883" s="86"/>
      <c r="M3883" s="243"/>
      <c r="N3883" s="243"/>
    </row>
    <row r="3884" spans="1:14" s="242" customFormat="1" ht="15" x14ac:dyDescent="0.25">
      <c r="A3884" s="1">
        <v>3875</v>
      </c>
      <c r="B3884" s="1" t="s">
        <v>492</v>
      </c>
      <c r="C3884" s="32">
        <v>5.1999999999999998E-3</v>
      </c>
      <c r="D3884" s="1">
        <v>16000</v>
      </c>
      <c r="E3884" s="1"/>
      <c r="F3884" s="1">
        <v>178.52</v>
      </c>
      <c r="G3884" s="1">
        <v>16000</v>
      </c>
      <c r="H3884" s="5">
        <f t="shared" si="78"/>
        <v>0</v>
      </c>
      <c r="I3884" s="6"/>
      <c r="J3884" s="43"/>
      <c r="K3884" s="51"/>
      <c r="L3884" s="86"/>
      <c r="M3884" s="243"/>
      <c r="N3884" s="243"/>
    </row>
    <row r="3885" spans="1:14" s="242" customFormat="1" ht="15" x14ac:dyDescent="0.25">
      <c r="A3885" s="1">
        <v>3876</v>
      </c>
      <c r="B3885" s="1" t="s">
        <v>492</v>
      </c>
      <c r="C3885" s="32" t="s">
        <v>30</v>
      </c>
      <c r="D3885" s="1">
        <v>5000</v>
      </c>
      <c r="E3885" s="1"/>
      <c r="F3885" s="1">
        <v>50.45</v>
      </c>
      <c r="G3885" s="1">
        <v>5000</v>
      </c>
      <c r="H3885" s="5">
        <f t="shared" si="78"/>
        <v>0</v>
      </c>
      <c r="I3885" s="6"/>
      <c r="J3885" s="43"/>
      <c r="K3885" s="51"/>
      <c r="L3885" s="86"/>
      <c r="M3885" s="243"/>
      <c r="N3885" s="243"/>
    </row>
    <row r="3886" spans="1:14" s="242" customFormat="1" ht="15" x14ac:dyDescent="0.25">
      <c r="A3886" s="1">
        <v>3877</v>
      </c>
      <c r="B3886" s="1" t="s">
        <v>492</v>
      </c>
      <c r="C3886" s="32">
        <v>5151</v>
      </c>
      <c r="D3886" s="1">
        <v>16000</v>
      </c>
      <c r="E3886" s="1"/>
      <c r="F3886" s="1">
        <v>178.52</v>
      </c>
      <c r="G3886" s="1">
        <v>16000</v>
      </c>
      <c r="H3886" s="5">
        <f t="shared" si="78"/>
        <v>0</v>
      </c>
      <c r="I3886" s="6"/>
      <c r="J3886" s="43"/>
      <c r="K3886" s="51"/>
      <c r="L3886" s="86"/>
      <c r="M3886" s="243"/>
      <c r="N3886" s="243"/>
    </row>
    <row r="3887" spans="1:14" s="242" customFormat="1" ht="15" x14ac:dyDescent="0.25">
      <c r="A3887" s="1">
        <v>3878</v>
      </c>
      <c r="B3887" s="1" t="s">
        <v>492</v>
      </c>
      <c r="C3887" s="32">
        <v>5.1000000000000004E-3</v>
      </c>
      <c r="D3887" s="1">
        <v>16000</v>
      </c>
      <c r="E3887" s="1"/>
      <c r="F3887" s="1">
        <v>178.52</v>
      </c>
      <c r="G3887" s="1">
        <v>16000</v>
      </c>
      <c r="H3887" s="5">
        <f t="shared" si="78"/>
        <v>0</v>
      </c>
      <c r="I3887" s="6"/>
      <c r="J3887" s="43"/>
      <c r="K3887" s="51"/>
      <c r="L3887" s="86"/>
      <c r="M3887" s="243"/>
      <c r="N3887" s="243"/>
    </row>
    <row r="3888" spans="1:14" s="242" customFormat="1" ht="15" x14ac:dyDescent="0.25">
      <c r="A3888" s="1">
        <v>3879</v>
      </c>
      <c r="B3888" s="1" t="s">
        <v>492</v>
      </c>
      <c r="C3888" s="32">
        <v>5252</v>
      </c>
      <c r="D3888" s="1">
        <v>16000</v>
      </c>
      <c r="E3888" s="1"/>
      <c r="F3888" s="1">
        <v>178.52</v>
      </c>
      <c r="G3888" s="1">
        <v>16000</v>
      </c>
      <c r="H3888" s="5">
        <f t="shared" si="78"/>
        <v>0</v>
      </c>
      <c r="I3888" s="6"/>
      <c r="J3888" s="43"/>
      <c r="K3888" s="51"/>
      <c r="L3888" s="86"/>
      <c r="M3888" s="243"/>
      <c r="N3888" s="243"/>
    </row>
    <row r="3889" spans="1:14" s="242" customFormat="1" ht="15" x14ac:dyDescent="0.25">
      <c r="A3889" s="1">
        <v>3880</v>
      </c>
      <c r="B3889" s="1" t="s">
        <v>492</v>
      </c>
      <c r="C3889" s="32">
        <v>1723</v>
      </c>
      <c r="D3889" s="1">
        <v>15000</v>
      </c>
      <c r="E3889" s="1"/>
      <c r="F3889" s="1">
        <v>167.15</v>
      </c>
      <c r="G3889" s="1">
        <v>15000</v>
      </c>
      <c r="H3889" s="5">
        <f t="shared" si="78"/>
        <v>0</v>
      </c>
      <c r="I3889" s="6"/>
      <c r="J3889" s="43"/>
      <c r="K3889" s="51"/>
      <c r="L3889" s="86"/>
      <c r="M3889" s="243"/>
      <c r="N3889" s="243"/>
    </row>
    <row r="3890" spans="1:14" s="242" customFormat="1" ht="15" x14ac:dyDescent="0.25">
      <c r="A3890" s="1">
        <v>3881</v>
      </c>
      <c r="B3890" s="1" t="s">
        <v>492</v>
      </c>
      <c r="C3890" s="32">
        <v>2810</v>
      </c>
      <c r="D3890" s="1">
        <v>15000</v>
      </c>
      <c r="E3890" s="1"/>
      <c r="F3890" s="1">
        <v>167.15</v>
      </c>
      <c r="G3890" s="1">
        <v>15000</v>
      </c>
      <c r="H3890" s="5">
        <f t="shared" si="78"/>
        <v>0</v>
      </c>
      <c r="I3890" s="6"/>
      <c r="J3890" s="43"/>
      <c r="K3890" s="51"/>
      <c r="L3890" s="86"/>
      <c r="M3890" s="243"/>
      <c r="N3890" s="243"/>
    </row>
    <row r="3891" spans="1:14" s="242" customFormat="1" ht="15" x14ac:dyDescent="0.25">
      <c r="A3891" s="1">
        <v>3882</v>
      </c>
      <c r="B3891" s="1" t="s">
        <v>492</v>
      </c>
      <c r="C3891" s="32">
        <v>5077</v>
      </c>
      <c r="D3891" s="1">
        <v>9000</v>
      </c>
      <c r="E3891" s="1"/>
      <c r="F3891" s="1">
        <v>100.45</v>
      </c>
      <c r="G3891" s="1">
        <v>9000</v>
      </c>
      <c r="H3891" s="5">
        <f t="shared" si="78"/>
        <v>0</v>
      </c>
      <c r="I3891" s="6"/>
      <c r="J3891" s="43"/>
      <c r="K3891" s="51"/>
      <c r="L3891" s="86"/>
      <c r="M3891" s="243"/>
      <c r="N3891" s="243"/>
    </row>
    <row r="3892" spans="1:14" s="242" customFormat="1" ht="15" x14ac:dyDescent="0.25">
      <c r="A3892" s="1">
        <v>3883</v>
      </c>
      <c r="B3892" s="1" t="s">
        <v>492</v>
      </c>
      <c r="C3892" s="32">
        <v>5931</v>
      </c>
      <c r="D3892" s="1">
        <v>17000</v>
      </c>
      <c r="E3892" s="1"/>
      <c r="F3892" s="1">
        <v>189.45</v>
      </c>
      <c r="G3892" s="1">
        <v>17000</v>
      </c>
      <c r="H3892" s="5">
        <f t="shared" si="78"/>
        <v>0</v>
      </c>
      <c r="I3892" s="6"/>
      <c r="J3892" s="43"/>
      <c r="K3892" s="51"/>
      <c r="L3892" s="86"/>
      <c r="M3892" s="243"/>
      <c r="N3892" s="243"/>
    </row>
    <row r="3893" spans="1:14" s="242" customFormat="1" ht="15" x14ac:dyDescent="0.25">
      <c r="A3893" s="1">
        <v>3884</v>
      </c>
      <c r="B3893" s="1" t="s">
        <v>492</v>
      </c>
      <c r="C3893" s="32">
        <v>2809</v>
      </c>
      <c r="D3893" s="1">
        <v>15000</v>
      </c>
      <c r="E3893" s="1"/>
      <c r="F3893" s="1">
        <v>167.15</v>
      </c>
      <c r="G3893" s="1">
        <v>15000</v>
      </c>
      <c r="H3893" s="5">
        <f t="shared" si="78"/>
        <v>0</v>
      </c>
      <c r="I3893" s="6"/>
      <c r="J3893" s="43"/>
      <c r="K3893" s="51"/>
      <c r="L3893" s="86"/>
      <c r="M3893" s="243"/>
      <c r="N3893" s="243"/>
    </row>
    <row r="3894" spans="1:14" s="242" customFormat="1" ht="15" x14ac:dyDescent="0.25">
      <c r="A3894" s="1">
        <v>3885</v>
      </c>
      <c r="B3894" s="1" t="s">
        <v>492</v>
      </c>
      <c r="C3894" s="32">
        <v>1722</v>
      </c>
      <c r="D3894" s="1">
        <v>15000</v>
      </c>
      <c r="E3894" s="1"/>
      <c r="F3894" s="1">
        <v>167.15</v>
      </c>
      <c r="G3894" s="1">
        <v>15000</v>
      </c>
      <c r="H3894" s="5">
        <f t="shared" si="78"/>
        <v>0</v>
      </c>
      <c r="I3894" s="6"/>
      <c r="J3894" s="43"/>
      <c r="K3894" s="51"/>
      <c r="L3894" s="86"/>
      <c r="M3894" s="243"/>
      <c r="N3894" s="243"/>
    </row>
    <row r="3895" spans="1:14" s="242" customFormat="1" ht="15" x14ac:dyDescent="0.25">
      <c r="A3895" s="1">
        <v>3886</v>
      </c>
      <c r="B3895" s="1" t="s">
        <v>492</v>
      </c>
      <c r="C3895" s="32">
        <v>2593</v>
      </c>
      <c r="D3895" s="1">
        <v>30000</v>
      </c>
      <c r="E3895" s="1"/>
      <c r="F3895" s="1">
        <v>323.25</v>
      </c>
      <c r="G3895" s="1">
        <v>30000</v>
      </c>
      <c r="H3895" s="5">
        <f t="shared" si="78"/>
        <v>0</v>
      </c>
      <c r="I3895" s="6"/>
      <c r="J3895" s="43"/>
      <c r="K3895" s="51"/>
      <c r="L3895" s="86"/>
      <c r="M3895" s="243"/>
      <c r="N3895" s="243"/>
    </row>
    <row r="3896" spans="1:14" s="242" customFormat="1" ht="15" x14ac:dyDescent="0.25">
      <c r="A3896" s="1">
        <v>3887</v>
      </c>
      <c r="B3896" s="1" t="s">
        <v>492</v>
      </c>
      <c r="C3896" s="32">
        <v>1794</v>
      </c>
      <c r="D3896" s="1">
        <v>22000</v>
      </c>
      <c r="E3896" s="1"/>
      <c r="F3896" s="1">
        <v>245.78</v>
      </c>
      <c r="G3896" s="1">
        <v>22000</v>
      </c>
      <c r="H3896" s="5">
        <f t="shared" si="78"/>
        <v>0</v>
      </c>
      <c r="I3896" s="6"/>
      <c r="J3896" s="43"/>
      <c r="K3896" s="51"/>
      <c r="L3896" s="86"/>
      <c r="M3896" s="243"/>
      <c r="N3896" s="243"/>
    </row>
    <row r="3897" spans="1:14" s="242" customFormat="1" ht="15" x14ac:dyDescent="0.25">
      <c r="A3897" s="1">
        <v>3888</v>
      </c>
      <c r="B3897" s="1" t="s">
        <v>492</v>
      </c>
      <c r="C3897" s="32">
        <v>4747</v>
      </c>
      <c r="D3897" s="1">
        <v>12000</v>
      </c>
      <c r="E3897" s="1"/>
      <c r="F3897" s="1">
        <v>133.47</v>
      </c>
      <c r="G3897" s="1">
        <v>12000</v>
      </c>
      <c r="H3897" s="5">
        <f t="shared" si="78"/>
        <v>0</v>
      </c>
      <c r="I3897" s="6"/>
      <c r="J3897" s="43"/>
      <c r="K3897" s="51"/>
      <c r="L3897" s="86"/>
      <c r="M3897" s="243"/>
      <c r="N3897" s="243"/>
    </row>
    <row r="3898" spans="1:14" s="242" customFormat="1" ht="15" x14ac:dyDescent="0.25">
      <c r="A3898" s="1">
        <v>3889</v>
      </c>
      <c r="B3898" s="1" t="s">
        <v>492</v>
      </c>
      <c r="C3898" s="32">
        <v>9500</v>
      </c>
      <c r="D3898" s="1">
        <v>25000</v>
      </c>
      <c r="E3898" s="1"/>
      <c r="F3898" s="1">
        <v>278.22000000000003</v>
      </c>
      <c r="G3898" s="1">
        <v>25000</v>
      </c>
      <c r="H3898" s="5">
        <f t="shared" si="78"/>
        <v>0</v>
      </c>
      <c r="I3898" s="6"/>
      <c r="J3898" s="43"/>
      <c r="K3898" s="51"/>
      <c r="L3898" s="86"/>
      <c r="M3898" s="243"/>
      <c r="N3898" s="243"/>
    </row>
    <row r="3899" spans="1:14" s="242" customFormat="1" ht="15" x14ac:dyDescent="0.25">
      <c r="A3899" s="1">
        <v>3890</v>
      </c>
      <c r="B3899" s="1" t="s">
        <v>492</v>
      </c>
      <c r="C3899" s="32">
        <v>5491</v>
      </c>
      <c r="D3899" s="1">
        <v>9000</v>
      </c>
      <c r="E3899" s="1"/>
      <c r="F3899" s="1">
        <v>100.45</v>
      </c>
      <c r="G3899" s="1">
        <v>9000</v>
      </c>
      <c r="H3899" s="5">
        <f t="shared" si="78"/>
        <v>0</v>
      </c>
      <c r="I3899" s="6"/>
      <c r="J3899" s="43"/>
      <c r="K3899" s="51"/>
      <c r="L3899" s="86"/>
      <c r="M3899" s="243"/>
      <c r="N3899" s="243"/>
    </row>
    <row r="3900" spans="1:14" s="242" customFormat="1" ht="15" x14ac:dyDescent="0.25">
      <c r="A3900" s="1">
        <v>3891</v>
      </c>
      <c r="B3900" s="1" t="s">
        <v>492</v>
      </c>
      <c r="C3900" s="32">
        <v>2111</v>
      </c>
      <c r="D3900" s="1">
        <v>20000</v>
      </c>
      <c r="E3900" s="1"/>
      <c r="F3900" s="1">
        <v>245.78</v>
      </c>
      <c r="G3900" s="1">
        <v>20000</v>
      </c>
      <c r="H3900" s="5">
        <f t="shared" si="78"/>
        <v>0</v>
      </c>
      <c r="I3900" s="6"/>
      <c r="J3900" s="43"/>
      <c r="K3900" s="51"/>
      <c r="L3900" s="86"/>
      <c r="M3900" s="243"/>
      <c r="N3900" s="243"/>
    </row>
    <row r="3901" spans="1:14" s="242" customFormat="1" ht="15" x14ac:dyDescent="0.25">
      <c r="A3901" s="1">
        <v>3892</v>
      </c>
      <c r="B3901" s="1" t="s">
        <v>492</v>
      </c>
      <c r="C3901" s="32">
        <v>4111</v>
      </c>
      <c r="D3901" s="1">
        <v>20000</v>
      </c>
      <c r="E3901" s="1"/>
      <c r="F3901" s="1">
        <v>245.78</v>
      </c>
      <c r="G3901" s="1">
        <v>20000</v>
      </c>
      <c r="H3901" s="5">
        <f t="shared" si="78"/>
        <v>0</v>
      </c>
      <c r="I3901" s="6"/>
      <c r="J3901" s="43"/>
      <c r="K3901" s="51"/>
      <c r="L3901" s="86"/>
      <c r="M3901" s="243"/>
      <c r="N3901" s="243"/>
    </row>
    <row r="3902" spans="1:14" s="242" customFormat="1" ht="15" x14ac:dyDescent="0.25">
      <c r="A3902" s="1">
        <v>3893</v>
      </c>
      <c r="B3902" s="1" t="s">
        <v>492</v>
      </c>
      <c r="C3902" s="32">
        <v>9422</v>
      </c>
      <c r="D3902" s="1">
        <v>20000</v>
      </c>
      <c r="E3902" s="1"/>
      <c r="F3902" s="1">
        <v>245.78</v>
      </c>
      <c r="G3902" s="1">
        <v>20000</v>
      </c>
      <c r="H3902" s="5">
        <f t="shared" si="78"/>
        <v>0</v>
      </c>
      <c r="I3902" s="6"/>
      <c r="J3902" s="43"/>
      <c r="K3902" s="51"/>
      <c r="L3902" s="86"/>
      <c r="M3902" s="243"/>
      <c r="N3902" s="243"/>
    </row>
    <row r="3903" spans="1:14" s="242" customFormat="1" ht="15" x14ac:dyDescent="0.25">
      <c r="A3903" s="1">
        <v>3894</v>
      </c>
      <c r="B3903" s="1" t="s">
        <v>492</v>
      </c>
      <c r="C3903" s="32">
        <v>4579</v>
      </c>
      <c r="D3903" s="1">
        <v>20000</v>
      </c>
      <c r="E3903" s="1"/>
      <c r="F3903" s="1">
        <v>222.78</v>
      </c>
      <c r="G3903" s="1">
        <v>20000</v>
      </c>
      <c r="H3903" s="5">
        <f t="shared" si="78"/>
        <v>0</v>
      </c>
      <c r="I3903" s="6"/>
      <c r="J3903" s="43"/>
      <c r="K3903" s="51"/>
      <c r="L3903" s="86"/>
      <c r="M3903" s="243"/>
      <c r="N3903" s="243"/>
    </row>
    <row r="3904" spans="1:14" s="242" customFormat="1" ht="15" x14ac:dyDescent="0.25">
      <c r="A3904" s="1">
        <v>3895</v>
      </c>
      <c r="B3904" s="1" t="s">
        <v>492</v>
      </c>
      <c r="C3904" s="32">
        <v>9903</v>
      </c>
      <c r="D3904" s="1">
        <v>20000</v>
      </c>
      <c r="E3904" s="1"/>
      <c r="F3904" s="1">
        <v>222.78</v>
      </c>
      <c r="G3904" s="1">
        <v>20000</v>
      </c>
      <c r="H3904" s="5">
        <f t="shared" si="78"/>
        <v>0</v>
      </c>
      <c r="I3904" s="6"/>
      <c r="J3904" s="43"/>
      <c r="K3904" s="51"/>
      <c r="L3904" s="86"/>
      <c r="M3904" s="243"/>
      <c r="N3904" s="243"/>
    </row>
    <row r="3905" spans="1:14" s="242" customFormat="1" ht="15" x14ac:dyDescent="0.25">
      <c r="A3905" s="1">
        <v>3896</v>
      </c>
      <c r="B3905" s="1" t="s">
        <v>492</v>
      </c>
      <c r="C3905" s="32">
        <v>5726</v>
      </c>
      <c r="D3905" s="1">
        <v>5000</v>
      </c>
      <c r="E3905" s="1"/>
      <c r="F3905" s="1">
        <v>55.45</v>
      </c>
      <c r="G3905" s="1">
        <v>5000</v>
      </c>
      <c r="H3905" s="5">
        <f t="shared" si="78"/>
        <v>0</v>
      </c>
      <c r="I3905" s="6"/>
      <c r="J3905" s="43"/>
      <c r="K3905" s="51"/>
      <c r="L3905" s="86"/>
      <c r="M3905" s="243"/>
      <c r="N3905" s="243"/>
    </row>
    <row r="3906" spans="1:14" s="242" customFormat="1" ht="15" x14ac:dyDescent="0.25">
      <c r="A3906" s="1">
        <v>3897</v>
      </c>
      <c r="B3906" s="1" t="s">
        <v>492</v>
      </c>
      <c r="C3906" s="32">
        <v>4132</v>
      </c>
      <c r="D3906" s="1">
        <v>15000</v>
      </c>
      <c r="E3906" s="1"/>
      <c r="F3906" s="1">
        <v>167.15</v>
      </c>
      <c r="G3906" s="1">
        <v>15000</v>
      </c>
      <c r="H3906" s="5">
        <f t="shared" si="78"/>
        <v>0</v>
      </c>
      <c r="I3906" s="6"/>
      <c r="J3906" s="43"/>
      <c r="K3906" s="51"/>
      <c r="L3906" s="86"/>
      <c r="M3906" s="243"/>
      <c r="N3906" s="243"/>
    </row>
    <row r="3907" spans="1:14" s="242" customFormat="1" ht="15" x14ac:dyDescent="0.25">
      <c r="A3907" s="1">
        <v>3898</v>
      </c>
      <c r="B3907" s="1" t="s">
        <v>492</v>
      </c>
      <c r="C3907" s="32">
        <v>2056</v>
      </c>
      <c r="D3907" s="1">
        <v>35000</v>
      </c>
      <c r="E3907" s="1"/>
      <c r="F3907" s="1">
        <v>389.48</v>
      </c>
      <c r="G3907" s="1">
        <v>35000</v>
      </c>
      <c r="H3907" s="5">
        <f t="shared" si="78"/>
        <v>0</v>
      </c>
      <c r="I3907" s="6"/>
      <c r="J3907" s="43"/>
      <c r="K3907" s="51"/>
      <c r="L3907" s="86"/>
      <c r="M3907" s="243"/>
      <c r="N3907" s="243"/>
    </row>
    <row r="3908" spans="1:14" s="242" customFormat="1" ht="15" x14ac:dyDescent="0.25">
      <c r="A3908" s="1">
        <v>3899</v>
      </c>
      <c r="B3908" s="1" t="s">
        <v>492</v>
      </c>
      <c r="C3908" s="32">
        <v>9917</v>
      </c>
      <c r="D3908" s="1">
        <v>22000</v>
      </c>
      <c r="E3908" s="1"/>
      <c r="F3908" s="1">
        <v>245.78</v>
      </c>
      <c r="G3908" s="1">
        <v>22000</v>
      </c>
      <c r="H3908" s="5">
        <f t="shared" si="78"/>
        <v>0</v>
      </c>
      <c r="I3908" s="6"/>
      <c r="J3908" s="43"/>
      <c r="K3908" s="51"/>
      <c r="L3908" s="86">
        <f>2427261-2424499</f>
        <v>2762</v>
      </c>
      <c r="M3908" s="243" t="s">
        <v>489</v>
      </c>
      <c r="N3908" s="243">
        <f>2762-2136</f>
        <v>626</v>
      </c>
    </row>
    <row r="3909" spans="1:14" s="244" customFormat="1" ht="15" x14ac:dyDescent="0.25">
      <c r="A3909" s="1">
        <v>3900</v>
      </c>
      <c r="B3909" s="1" t="s">
        <v>493</v>
      </c>
      <c r="C3909" s="32">
        <v>1553</v>
      </c>
      <c r="D3909" s="1">
        <v>25000</v>
      </c>
      <c r="E3909" s="1"/>
      <c r="F3909" s="1">
        <v>267.45</v>
      </c>
      <c r="G3909" s="1">
        <v>25000</v>
      </c>
      <c r="H3909" s="5">
        <f t="shared" si="78"/>
        <v>0</v>
      </c>
      <c r="I3909" s="6"/>
      <c r="J3909" s="43"/>
      <c r="K3909" s="51"/>
      <c r="L3909" s="86"/>
      <c r="M3909" s="245"/>
      <c r="N3909" s="245"/>
    </row>
    <row r="3910" spans="1:14" s="244" customFormat="1" ht="15" x14ac:dyDescent="0.25">
      <c r="A3910" s="1">
        <v>3901</v>
      </c>
      <c r="B3910" s="1" t="s">
        <v>493</v>
      </c>
      <c r="C3910" s="32">
        <v>1466</v>
      </c>
      <c r="D3910" s="1">
        <v>10000</v>
      </c>
      <c r="E3910" s="1"/>
      <c r="F3910" s="1">
        <v>111.24</v>
      </c>
      <c r="G3910" s="1">
        <v>10000</v>
      </c>
      <c r="H3910" s="5">
        <f t="shared" si="78"/>
        <v>0</v>
      </c>
      <c r="I3910" s="6"/>
      <c r="J3910" s="43"/>
      <c r="K3910" s="51"/>
      <c r="L3910" s="86"/>
      <c r="M3910" s="245"/>
      <c r="N3910" s="245"/>
    </row>
    <row r="3911" spans="1:14" s="244" customFormat="1" ht="15" x14ac:dyDescent="0.25">
      <c r="A3911" s="1">
        <v>3902</v>
      </c>
      <c r="B3911" s="1" t="s">
        <v>493</v>
      </c>
      <c r="C3911" s="32">
        <v>4826</v>
      </c>
      <c r="D3911" s="1">
        <v>20000</v>
      </c>
      <c r="E3911" s="1"/>
      <c r="F3911" s="1">
        <v>222.78</v>
      </c>
      <c r="G3911" s="1">
        <v>20000</v>
      </c>
      <c r="H3911" s="5">
        <f t="shared" si="78"/>
        <v>0</v>
      </c>
      <c r="I3911" s="6"/>
      <c r="J3911" s="43"/>
      <c r="K3911" s="51"/>
      <c r="L3911" s="86"/>
      <c r="M3911" s="245"/>
      <c r="N3911" s="245"/>
    </row>
    <row r="3912" spans="1:14" s="244" customFormat="1" ht="15" x14ac:dyDescent="0.25">
      <c r="A3912" s="1">
        <v>3903</v>
      </c>
      <c r="B3912" s="1" t="s">
        <v>493</v>
      </c>
      <c r="C3912" s="32">
        <v>4739</v>
      </c>
      <c r="D3912" s="1">
        <v>30000</v>
      </c>
      <c r="E3912" s="1"/>
      <c r="F3912" s="1">
        <v>334.25</v>
      </c>
      <c r="G3912" s="1">
        <v>30000</v>
      </c>
      <c r="H3912" s="5">
        <f t="shared" si="78"/>
        <v>0</v>
      </c>
      <c r="I3912" s="6"/>
      <c r="J3912" s="43"/>
      <c r="K3912" s="51"/>
      <c r="L3912" s="86"/>
      <c r="M3912" s="245"/>
      <c r="N3912" s="245"/>
    </row>
    <row r="3913" spans="1:14" s="244" customFormat="1" ht="15" x14ac:dyDescent="0.25">
      <c r="A3913" s="1">
        <v>3904</v>
      </c>
      <c r="B3913" s="1" t="s">
        <v>493</v>
      </c>
      <c r="C3913" s="32">
        <v>7817</v>
      </c>
      <c r="D3913" s="1">
        <v>30000</v>
      </c>
      <c r="E3913" s="1"/>
      <c r="F3913" s="1">
        <v>334.25</v>
      </c>
      <c r="G3913" s="1">
        <v>30000</v>
      </c>
      <c r="H3913" s="5">
        <f t="shared" si="78"/>
        <v>0</v>
      </c>
      <c r="I3913" s="6"/>
      <c r="J3913" s="43"/>
      <c r="K3913" s="51"/>
      <c r="L3913" s="86"/>
      <c r="M3913" s="245"/>
      <c r="N3913" s="245"/>
    </row>
    <row r="3914" spans="1:14" s="244" customFormat="1" ht="15" x14ac:dyDescent="0.25">
      <c r="A3914" s="1">
        <v>3905</v>
      </c>
      <c r="B3914" s="1" t="s">
        <v>493</v>
      </c>
      <c r="C3914" s="32">
        <v>6496</v>
      </c>
      <c r="D3914" s="1">
        <v>14000</v>
      </c>
      <c r="E3914" s="1"/>
      <c r="F3914" s="1">
        <v>155.47</v>
      </c>
      <c r="G3914" s="1">
        <v>14000</v>
      </c>
      <c r="H3914" s="5">
        <f t="shared" si="78"/>
        <v>0</v>
      </c>
      <c r="I3914" s="6"/>
      <c r="J3914" s="43"/>
      <c r="K3914" s="51"/>
      <c r="L3914" s="86"/>
      <c r="M3914" s="245"/>
      <c r="N3914" s="245"/>
    </row>
    <row r="3915" spans="1:14" s="244" customFormat="1" ht="15" x14ac:dyDescent="0.25">
      <c r="A3915" s="1">
        <v>3906</v>
      </c>
      <c r="B3915" s="1" t="s">
        <v>493</v>
      </c>
      <c r="C3915" s="32">
        <v>6931</v>
      </c>
      <c r="D3915" s="1">
        <v>17000</v>
      </c>
      <c r="E3915" s="1"/>
      <c r="F3915" s="1">
        <v>189.35</v>
      </c>
      <c r="G3915" s="1">
        <v>17000</v>
      </c>
      <c r="H3915" s="5">
        <f t="shared" si="78"/>
        <v>0</v>
      </c>
      <c r="I3915" s="6"/>
      <c r="J3915" s="43"/>
      <c r="K3915" s="51"/>
      <c r="L3915" s="86"/>
      <c r="M3915" s="245"/>
      <c r="N3915" s="245"/>
    </row>
    <row r="3916" spans="1:14" s="244" customFormat="1" ht="15" x14ac:dyDescent="0.25">
      <c r="A3916" s="1">
        <v>3907</v>
      </c>
      <c r="B3916" s="1" t="s">
        <v>493</v>
      </c>
      <c r="C3916" s="32">
        <v>3941</v>
      </c>
      <c r="D3916" s="1">
        <v>14000</v>
      </c>
      <c r="E3916" s="1"/>
      <c r="F3916" s="1">
        <v>155.47999999999999</v>
      </c>
      <c r="G3916" s="1">
        <v>14000</v>
      </c>
      <c r="H3916" s="5">
        <f t="shared" si="78"/>
        <v>0</v>
      </c>
      <c r="I3916" s="6"/>
      <c r="J3916" s="43"/>
      <c r="K3916" s="51"/>
      <c r="L3916" s="86"/>
      <c r="M3916" s="245"/>
      <c r="N3916" s="245"/>
    </row>
    <row r="3917" spans="1:14" s="244" customFormat="1" ht="15" x14ac:dyDescent="0.25">
      <c r="A3917" s="1">
        <v>3908</v>
      </c>
      <c r="B3917" s="1" t="s">
        <v>493</v>
      </c>
      <c r="C3917" s="32">
        <v>3809</v>
      </c>
      <c r="D3917" s="1">
        <v>15000</v>
      </c>
      <c r="E3917" s="1"/>
      <c r="F3917" s="1">
        <v>167.15</v>
      </c>
      <c r="G3917" s="1">
        <v>15000</v>
      </c>
      <c r="H3917" s="5">
        <f t="shared" si="78"/>
        <v>0</v>
      </c>
      <c r="I3917" s="6"/>
      <c r="J3917" s="43"/>
      <c r="K3917" s="51"/>
      <c r="L3917" s="86"/>
      <c r="M3917" s="245"/>
      <c r="N3917" s="245"/>
    </row>
    <row r="3918" spans="1:14" s="244" customFormat="1" ht="15" x14ac:dyDescent="0.25">
      <c r="A3918" s="1">
        <v>3909</v>
      </c>
      <c r="B3918" s="1" t="s">
        <v>493</v>
      </c>
      <c r="C3918" s="32">
        <v>6496</v>
      </c>
      <c r="D3918" s="1">
        <v>14000</v>
      </c>
      <c r="E3918" s="1"/>
      <c r="F3918" s="1">
        <v>155.47999999999999</v>
      </c>
      <c r="G3918" s="1">
        <v>14000</v>
      </c>
      <c r="H3918" s="5">
        <f t="shared" si="78"/>
        <v>0</v>
      </c>
      <c r="I3918" s="6"/>
      <c r="J3918" s="43"/>
      <c r="K3918" s="51"/>
      <c r="L3918" s="86"/>
      <c r="M3918" s="245"/>
      <c r="N3918" s="245"/>
    </row>
    <row r="3919" spans="1:14" s="244" customFormat="1" ht="15" x14ac:dyDescent="0.25">
      <c r="A3919" s="1">
        <v>3910</v>
      </c>
      <c r="B3919" s="1" t="s">
        <v>493</v>
      </c>
      <c r="C3919" s="32">
        <v>8.4400000000000003E-2</v>
      </c>
      <c r="D3919" s="1">
        <v>24000</v>
      </c>
      <c r="E3919" s="1"/>
      <c r="F3919" s="1">
        <v>246.47</v>
      </c>
      <c r="G3919" s="1">
        <v>24000</v>
      </c>
      <c r="H3919" s="5">
        <f t="shared" si="78"/>
        <v>0</v>
      </c>
      <c r="I3919" s="6"/>
      <c r="J3919" s="43"/>
      <c r="K3919" s="51"/>
      <c r="L3919" s="86"/>
      <c r="M3919" s="245"/>
      <c r="N3919" s="245"/>
    </row>
    <row r="3920" spans="1:14" s="244" customFormat="1" ht="15" x14ac:dyDescent="0.25">
      <c r="A3920" s="1">
        <v>3911</v>
      </c>
      <c r="B3920" s="1" t="s">
        <v>493</v>
      </c>
      <c r="C3920" s="32" t="s">
        <v>30</v>
      </c>
      <c r="D3920" s="1">
        <v>4500</v>
      </c>
      <c r="E3920" s="1"/>
      <c r="F3920" s="1">
        <v>50.13</v>
      </c>
      <c r="G3920" s="1">
        <v>4500</v>
      </c>
      <c r="H3920" s="5">
        <f t="shared" si="78"/>
        <v>0</v>
      </c>
      <c r="I3920" s="6"/>
      <c r="J3920" s="43"/>
      <c r="K3920" s="51"/>
      <c r="L3920" s="86"/>
      <c r="M3920" s="245"/>
      <c r="N3920" s="245"/>
    </row>
    <row r="3921" spans="1:14" s="244" customFormat="1" ht="15" x14ac:dyDescent="0.25">
      <c r="A3921" s="1">
        <v>3912</v>
      </c>
      <c r="B3921" s="1" t="s">
        <v>493</v>
      </c>
      <c r="C3921" s="32" t="s">
        <v>30</v>
      </c>
      <c r="D3921" s="1">
        <v>3500</v>
      </c>
      <c r="E3921" s="1"/>
      <c r="F3921" s="1">
        <v>35.450000000000003</v>
      </c>
      <c r="G3921" s="1">
        <v>3500</v>
      </c>
      <c r="H3921" s="5">
        <f t="shared" si="78"/>
        <v>0</v>
      </c>
      <c r="I3921" s="6"/>
      <c r="J3921" s="43"/>
      <c r="K3921" s="51"/>
      <c r="L3921" s="86"/>
      <c r="M3921" s="245"/>
      <c r="N3921" s="245"/>
    </row>
    <row r="3922" spans="1:14" s="244" customFormat="1" ht="15" x14ac:dyDescent="0.25">
      <c r="A3922" s="1">
        <v>3913</v>
      </c>
      <c r="B3922" s="1" t="s">
        <v>493</v>
      </c>
      <c r="C3922" s="32">
        <v>9391</v>
      </c>
      <c r="D3922" s="1">
        <v>22000</v>
      </c>
      <c r="E3922" s="1"/>
      <c r="F3922" s="1">
        <v>245.25</v>
      </c>
      <c r="G3922" s="1">
        <v>22000</v>
      </c>
      <c r="H3922" s="5">
        <f t="shared" si="78"/>
        <v>0</v>
      </c>
      <c r="I3922" s="6"/>
      <c r="J3922" s="43"/>
      <c r="K3922" s="51"/>
      <c r="L3922" s="86"/>
      <c r="M3922" s="245"/>
      <c r="N3922" s="245"/>
    </row>
    <row r="3923" spans="1:14" s="244" customFormat="1" ht="15" x14ac:dyDescent="0.25">
      <c r="A3923" s="1">
        <v>3914</v>
      </c>
      <c r="B3923" s="1" t="s">
        <v>493</v>
      </c>
      <c r="C3923" s="32">
        <v>3051</v>
      </c>
      <c r="D3923" s="1">
        <v>15000</v>
      </c>
      <c r="E3923" s="1"/>
      <c r="F3923" s="1">
        <v>167.15</v>
      </c>
      <c r="G3923" s="1">
        <v>15000</v>
      </c>
      <c r="H3923" s="5">
        <f t="shared" si="78"/>
        <v>0</v>
      </c>
      <c r="I3923" s="6"/>
      <c r="J3923" s="43"/>
      <c r="K3923" s="51"/>
      <c r="L3923" s="86"/>
      <c r="M3923" s="245"/>
      <c r="N3923" s="245"/>
    </row>
    <row r="3924" spans="1:14" s="244" customFormat="1" ht="15" x14ac:dyDescent="0.25">
      <c r="A3924" s="1">
        <v>3915</v>
      </c>
      <c r="B3924" s="1" t="s">
        <v>493</v>
      </c>
      <c r="C3924" s="32">
        <v>3856</v>
      </c>
      <c r="D3924" s="1">
        <v>10000</v>
      </c>
      <c r="E3924" s="1"/>
      <c r="F3924" s="1">
        <v>111.24</v>
      </c>
      <c r="G3924" s="1">
        <v>10000</v>
      </c>
      <c r="H3924" s="5">
        <f t="shared" si="78"/>
        <v>0</v>
      </c>
      <c r="I3924" s="6"/>
      <c r="J3924" s="43"/>
      <c r="K3924" s="51"/>
      <c r="L3924" s="86"/>
      <c r="M3924" s="245"/>
      <c r="N3924" s="245"/>
    </row>
    <row r="3925" spans="1:14" s="244" customFormat="1" ht="15" x14ac:dyDescent="0.25">
      <c r="A3925" s="1">
        <v>3916</v>
      </c>
      <c r="B3925" s="1" t="s">
        <v>493</v>
      </c>
      <c r="C3925" s="32">
        <v>2953</v>
      </c>
      <c r="D3925" s="1">
        <v>10000</v>
      </c>
      <c r="E3925" s="1"/>
      <c r="F3925" s="1">
        <v>111.24</v>
      </c>
      <c r="G3925" s="1">
        <v>10000</v>
      </c>
      <c r="H3925" s="5">
        <f t="shared" si="78"/>
        <v>0</v>
      </c>
      <c r="I3925" s="6"/>
      <c r="J3925" s="43"/>
      <c r="K3925" s="51"/>
      <c r="L3925" s="86"/>
      <c r="M3925" s="245"/>
      <c r="N3925" s="245"/>
    </row>
    <row r="3926" spans="1:14" s="244" customFormat="1" ht="15" x14ac:dyDescent="0.25">
      <c r="A3926" s="1">
        <v>3917</v>
      </c>
      <c r="B3926" s="1" t="s">
        <v>493</v>
      </c>
      <c r="C3926" s="32">
        <v>5749</v>
      </c>
      <c r="D3926" s="1">
        <v>38000</v>
      </c>
      <c r="E3926" s="1"/>
      <c r="F3926" s="1">
        <v>423.45</v>
      </c>
      <c r="G3926" s="1">
        <v>38000</v>
      </c>
      <c r="H3926" s="5">
        <f t="shared" si="78"/>
        <v>0</v>
      </c>
      <c r="I3926" s="6"/>
      <c r="J3926" s="43"/>
      <c r="K3926" s="51"/>
      <c r="L3926" s="86"/>
      <c r="M3926" s="245"/>
      <c r="N3926" s="245"/>
    </row>
    <row r="3927" spans="1:14" s="244" customFormat="1" ht="15" x14ac:dyDescent="0.25">
      <c r="A3927" s="1">
        <v>3918</v>
      </c>
      <c r="B3927" s="1" t="s">
        <v>493</v>
      </c>
      <c r="C3927" s="32">
        <v>4.3E-3</v>
      </c>
      <c r="D3927" s="1">
        <v>33000</v>
      </c>
      <c r="E3927" s="1"/>
      <c r="F3927" s="1">
        <v>367.57</v>
      </c>
      <c r="G3927" s="1">
        <v>33000</v>
      </c>
      <c r="H3927" s="5">
        <f t="shared" si="78"/>
        <v>0</v>
      </c>
      <c r="I3927" s="6"/>
      <c r="J3927" s="43"/>
      <c r="K3927" s="51"/>
      <c r="L3927" s="86">
        <f>1990880-1988118</f>
        <v>2762</v>
      </c>
      <c r="M3927" s="245" t="s">
        <v>489</v>
      </c>
      <c r="N3927" s="245">
        <f>2762-2136</f>
        <v>626</v>
      </c>
    </row>
    <row r="3928" spans="1:14" s="246" customFormat="1" ht="15" x14ac:dyDescent="0.25">
      <c r="A3928" s="1">
        <v>3919</v>
      </c>
      <c r="B3928" s="1" t="s">
        <v>495</v>
      </c>
      <c r="C3928" s="32">
        <v>4977</v>
      </c>
      <c r="D3928" s="1">
        <v>30000</v>
      </c>
      <c r="E3928" s="1"/>
      <c r="F3928" s="1">
        <v>334.22</v>
      </c>
      <c r="G3928" s="1">
        <v>30000</v>
      </c>
      <c r="H3928" s="5">
        <f t="shared" si="78"/>
        <v>0</v>
      </c>
      <c r="I3928" s="6"/>
      <c r="J3928" s="43"/>
      <c r="K3928" s="51"/>
      <c r="L3928" s="86"/>
      <c r="M3928" s="247"/>
      <c r="N3928" s="247"/>
    </row>
    <row r="3929" spans="1:14" s="246" customFormat="1" ht="15" x14ac:dyDescent="0.25">
      <c r="A3929" s="1">
        <v>3920</v>
      </c>
      <c r="B3929" s="1" t="s">
        <v>495</v>
      </c>
      <c r="C3929" s="32">
        <v>6574</v>
      </c>
      <c r="D3929" s="1">
        <v>30000</v>
      </c>
      <c r="E3929" s="1"/>
      <c r="F3929" s="1">
        <v>334.22</v>
      </c>
      <c r="G3929" s="1">
        <v>30000</v>
      </c>
      <c r="H3929" s="5">
        <f t="shared" si="78"/>
        <v>0</v>
      </c>
      <c r="I3929" s="6"/>
      <c r="J3929" s="43"/>
      <c r="K3929" s="51"/>
      <c r="L3929" s="86"/>
      <c r="M3929" s="247"/>
      <c r="N3929" s="247"/>
    </row>
    <row r="3930" spans="1:14" s="246" customFormat="1" ht="15" x14ac:dyDescent="0.25">
      <c r="A3930" s="1">
        <v>3921</v>
      </c>
      <c r="B3930" s="1" t="s">
        <v>495</v>
      </c>
      <c r="C3930" s="32">
        <v>5076</v>
      </c>
      <c r="D3930" s="1">
        <v>6000</v>
      </c>
      <c r="E3930" s="1"/>
      <c r="F3930" s="1">
        <v>66.45</v>
      </c>
      <c r="G3930" s="1">
        <v>6000</v>
      </c>
      <c r="H3930" s="5">
        <f t="shared" si="78"/>
        <v>0</v>
      </c>
      <c r="I3930" s="6"/>
      <c r="J3930" s="43"/>
      <c r="K3930" s="51"/>
      <c r="L3930" s="86"/>
      <c r="M3930" s="247"/>
      <c r="N3930" s="247"/>
    </row>
    <row r="3931" spans="1:14" s="246" customFormat="1" ht="15" x14ac:dyDescent="0.25">
      <c r="A3931" s="1">
        <v>3922</v>
      </c>
      <c r="B3931" s="1" t="s">
        <v>495</v>
      </c>
      <c r="C3931" s="32">
        <v>5077</v>
      </c>
      <c r="D3931" s="1">
        <v>6000</v>
      </c>
      <c r="E3931" s="1"/>
      <c r="F3931" s="1">
        <v>66.45</v>
      </c>
      <c r="G3931" s="1">
        <v>6000</v>
      </c>
      <c r="H3931" s="5">
        <f t="shared" ref="H3931:H3994" si="79">D3931-G3931</f>
        <v>0</v>
      </c>
      <c r="I3931" s="6"/>
      <c r="J3931" s="43"/>
      <c r="K3931" s="51"/>
      <c r="L3931" s="86"/>
      <c r="M3931" s="247"/>
      <c r="N3931" s="247"/>
    </row>
    <row r="3932" spans="1:14" s="246" customFormat="1" ht="15" x14ac:dyDescent="0.25">
      <c r="A3932" s="1">
        <v>3923</v>
      </c>
      <c r="B3932" s="1" t="s">
        <v>495</v>
      </c>
      <c r="C3932" s="32">
        <v>4451</v>
      </c>
      <c r="D3932" s="1">
        <v>16000</v>
      </c>
      <c r="E3932" s="1"/>
      <c r="F3932" s="1">
        <v>178.22</v>
      </c>
      <c r="G3932" s="1">
        <v>16000</v>
      </c>
      <c r="H3932" s="5">
        <f t="shared" si="79"/>
        <v>0</v>
      </c>
      <c r="I3932" s="6"/>
      <c r="J3932" s="43"/>
      <c r="K3932" s="51"/>
      <c r="L3932" s="86"/>
      <c r="M3932" s="247"/>
      <c r="N3932" s="247"/>
    </row>
    <row r="3933" spans="1:14" s="246" customFormat="1" ht="15" x14ac:dyDescent="0.25">
      <c r="A3933" s="1">
        <v>3924</v>
      </c>
      <c r="B3933" s="1" t="s">
        <v>495</v>
      </c>
      <c r="C3933" s="32" t="s">
        <v>30</v>
      </c>
      <c r="D3933" s="1">
        <v>5000</v>
      </c>
      <c r="E3933" s="1"/>
      <c r="F3933" s="1">
        <v>55.24</v>
      </c>
      <c r="G3933" s="1">
        <v>5000</v>
      </c>
      <c r="H3933" s="5">
        <f t="shared" si="79"/>
        <v>0</v>
      </c>
      <c r="I3933" s="6"/>
      <c r="J3933" s="43"/>
      <c r="K3933" s="51"/>
      <c r="L3933" s="86"/>
      <c r="M3933" s="247"/>
      <c r="N3933" s="247"/>
    </row>
    <row r="3934" spans="1:14" s="246" customFormat="1" ht="15" x14ac:dyDescent="0.25">
      <c r="A3934" s="1">
        <v>3925</v>
      </c>
      <c r="B3934" s="1" t="s">
        <v>495</v>
      </c>
      <c r="C3934" s="32">
        <v>5498</v>
      </c>
      <c r="D3934" s="1">
        <v>20000</v>
      </c>
      <c r="E3934" s="1"/>
      <c r="F3934" s="1">
        <v>222.78</v>
      </c>
      <c r="G3934" s="1">
        <v>20000</v>
      </c>
      <c r="H3934" s="5">
        <f t="shared" si="79"/>
        <v>0</v>
      </c>
      <c r="I3934" s="6"/>
      <c r="J3934" s="43"/>
      <c r="K3934" s="51"/>
      <c r="L3934" s="86"/>
      <c r="M3934" s="247"/>
      <c r="N3934" s="247"/>
    </row>
    <row r="3935" spans="1:14" s="246" customFormat="1" ht="15" x14ac:dyDescent="0.25">
      <c r="A3935" s="1">
        <v>3926</v>
      </c>
      <c r="B3935" s="1" t="s">
        <v>495</v>
      </c>
      <c r="C3935" s="32">
        <v>2692</v>
      </c>
      <c r="D3935" s="1">
        <v>20000</v>
      </c>
      <c r="E3935" s="1"/>
      <c r="F3935" s="1">
        <v>222.78</v>
      </c>
      <c r="G3935" s="1">
        <v>20000</v>
      </c>
      <c r="H3935" s="5">
        <f t="shared" si="79"/>
        <v>0</v>
      </c>
      <c r="I3935" s="6"/>
      <c r="J3935" s="43"/>
      <c r="K3935" s="51"/>
      <c r="L3935" s="86"/>
      <c r="M3935" s="247"/>
      <c r="N3935" s="247"/>
    </row>
    <row r="3936" spans="1:14" s="246" customFormat="1" ht="15" x14ac:dyDescent="0.25">
      <c r="A3936" s="1">
        <v>3927</v>
      </c>
      <c r="B3936" s="1" t="s">
        <v>495</v>
      </c>
      <c r="C3936" s="32">
        <v>7211</v>
      </c>
      <c r="D3936" s="1">
        <v>24000</v>
      </c>
      <c r="E3936" s="1"/>
      <c r="F3936" s="1">
        <v>267.48</v>
      </c>
      <c r="G3936" s="1">
        <v>24000</v>
      </c>
      <c r="H3936" s="5">
        <f t="shared" si="79"/>
        <v>0</v>
      </c>
      <c r="I3936" s="6"/>
      <c r="J3936" s="43"/>
      <c r="K3936" s="51"/>
      <c r="L3936" s="86"/>
      <c r="M3936" s="247"/>
      <c r="N3936" s="247"/>
    </row>
    <row r="3937" spans="1:14" s="246" customFormat="1" ht="15" x14ac:dyDescent="0.25">
      <c r="A3937" s="1">
        <v>3928</v>
      </c>
      <c r="B3937" s="1" t="s">
        <v>495</v>
      </c>
      <c r="C3937" s="32">
        <v>7411</v>
      </c>
      <c r="D3937" s="1">
        <v>22000</v>
      </c>
      <c r="E3937" s="1"/>
      <c r="F3937" s="1">
        <v>245.78</v>
      </c>
      <c r="G3937" s="1">
        <v>22000</v>
      </c>
      <c r="H3937" s="5">
        <f t="shared" si="79"/>
        <v>0</v>
      </c>
      <c r="I3937" s="6"/>
      <c r="J3937" s="43"/>
      <c r="K3937" s="51"/>
      <c r="L3937" s="86"/>
      <c r="M3937" s="247"/>
      <c r="N3937" s="247"/>
    </row>
    <row r="3938" spans="1:14" s="246" customFormat="1" ht="15" x14ac:dyDescent="0.25">
      <c r="A3938" s="1">
        <v>3929</v>
      </c>
      <c r="B3938" s="1" t="s">
        <v>495</v>
      </c>
      <c r="C3938" s="32">
        <v>2353</v>
      </c>
      <c r="D3938" s="1">
        <v>25000</v>
      </c>
      <c r="E3938" s="1"/>
      <c r="F3938" s="1">
        <v>278.45</v>
      </c>
      <c r="G3938" s="1">
        <v>25000</v>
      </c>
      <c r="H3938" s="5">
        <f t="shared" si="79"/>
        <v>0</v>
      </c>
      <c r="I3938" s="6"/>
      <c r="J3938" s="43"/>
      <c r="K3938" s="51"/>
      <c r="L3938" s="86">
        <f>1725290-1722528</f>
        <v>2762</v>
      </c>
      <c r="M3938" s="247" t="s">
        <v>496</v>
      </c>
      <c r="N3938" s="247">
        <f>2762-9537</f>
        <v>-6775</v>
      </c>
    </row>
    <row r="3939" spans="1:14" s="248" customFormat="1" ht="15" x14ac:dyDescent="0.25">
      <c r="A3939" s="1">
        <v>3930</v>
      </c>
      <c r="B3939" s="1" t="s">
        <v>497</v>
      </c>
      <c r="C3939" s="32" t="s">
        <v>66</v>
      </c>
      <c r="D3939" s="1">
        <v>210</v>
      </c>
      <c r="E3939" s="1"/>
      <c r="F3939" s="1">
        <v>2.04</v>
      </c>
      <c r="G3939" s="1">
        <v>210</v>
      </c>
      <c r="H3939" s="5">
        <f t="shared" si="79"/>
        <v>0</v>
      </c>
      <c r="I3939" s="6"/>
      <c r="J3939" s="43"/>
      <c r="K3939" s="51"/>
      <c r="L3939" s="86"/>
      <c r="M3939" s="249"/>
      <c r="N3939" s="249"/>
    </row>
    <row r="3940" spans="1:14" s="248" customFormat="1" ht="15" x14ac:dyDescent="0.25">
      <c r="A3940" s="1">
        <v>3931</v>
      </c>
      <c r="B3940" s="1" t="s">
        <v>497</v>
      </c>
      <c r="C3940" s="32" t="s">
        <v>66</v>
      </c>
      <c r="D3940" s="1">
        <v>210</v>
      </c>
      <c r="E3940" s="1"/>
      <c r="F3940" s="1">
        <v>2.04</v>
      </c>
      <c r="G3940" s="1">
        <v>210</v>
      </c>
      <c r="H3940" s="5">
        <f t="shared" si="79"/>
        <v>0</v>
      </c>
      <c r="I3940" s="6"/>
      <c r="J3940" s="43"/>
      <c r="K3940" s="51"/>
      <c r="L3940" s="86"/>
      <c r="M3940" s="249"/>
      <c r="N3940" s="249"/>
    </row>
    <row r="3941" spans="1:14" s="248" customFormat="1" ht="15" x14ac:dyDescent="0.25">
      <c r="A3941" s="1">
        <v>3932</v>
      </c>
      <c r="B3941" s="1" t="s">
        <v>497</v>
      </c>
      <c r="C3941" s="32" t="s">
        <v>30</v>
      </c>
      <c r="D3941" s="1">
        <v>4500</v>
      </c>
      <c r="E3941" s="1"/>
      <c r="F3941" s="1">
        <v>50.13</v>
      </c>
      <c r="G3941" s="1">
        <v>4500</v>
      </c>
      <c r="H3941" s="5">
        <f t="shared" si="79"/>
        <v>0</v>
      </c>
      <c r="I3941" s="6"/>
      <c r="J3941" s="43"/>
      <c r="K3941" s="51"/>
      <c r="L3941" s="86"/>
      <c r="M3941" s="249"/>
      <c r="N3941" s="249"/>
    </row>
    <row r="3942" spans="1:14" s="248" customFormat="1" ht="15" x14ac:dyDescent="0.25">
      <c r="A3942" s="1">
        <v>3933</v>
      </c>
      <c r="B3942" s="1" t="s">
        <v>497</v>
      </c>
      <c r="C3942" s="32">
        <v>5931</v>
      </c>
      <c r="D3942" s="1">
        <v>17000</v>
      </c>
      <c r="E3942" s="1"/>
      <c r="F3942" s="1">
        <v>189.45</v>
      </c>
      <c r="G3942" s="1">
        <v>17000</v>
      </c>
      <c r="H3942" s="5">
        <f t="shared" si="79"/>
        <v>0</v>
      </c>
      <c r="I3942" s="6"/>
      <c r="J3942" s="43"/>
      <c r="K3942" s="51"/>
      <c r="L3942" s="86"/>
      <c r="M3942" s="249"/>
      <c r="N3942" s="249"/>
    </row>
    <row r="3943" spans="1:14" s="248" customFormat="1" ht="15" x14ac:dyDescent="0.25">
      <c r="A3943" s="1">
        <v>3934</v>
      </c>
      <c r="B3943" s="1" t="s">
        <v>497</v>
      </c>
      <c r="C3943" s="32">
        <v>1416</v>
      </c>
      <c r="D3943" s="1">
        <v>10000</v>
      </c>
      <c r="E3943" s="1"/>
      <c r="F3943" s="1">
        <v>111.47</v>
      </c>
      <c r="G3943" s="1">
        <v>10000</v>
      </c>
      <c r="H3943" s="5">
        <f t="shared" si="79"/>
        <v>0</v>
      </c>
      <c r="I3943" s="6"/>
      <c r="J3943" s="43"/>
      <c r="K3943" s="51"/>
      <c r="L3943" s="86"/>
      <c r="M3943" s="249"/>
      <c r="N3943" s="249"/>
    </row>
    <row r="3944" spans="1:14" s="248" customFormat="1" ht="15" x14ac:dyDescent="0.25">
      <c r="A3944" s="1">
        <v>3935</v>
      </c>
      <c r="B3944" s="1" t="s">
        <v>497</v>
      </c>
      <c r="C3944" s="32">
        <v>6931</v>
      </c>
      <c r="D3944" s="1">
        <v>17000</v>
      </c>
      <c r="E3944" s="1"/>
      <c r="F3944" s="1">
        <v>189.45</v>
      </c>
      <c r="G3944" s="1">
        <v>17000</v>
      </c>
      <c r="H3944" s="5">
        <f t="shared" si="79"/>
        <v>0</v>
      </c>
      <c r="I3944" s="6"/>
      <c r="J3944" s="43"/>
      <c r="K3944" s="51"/>
      <c r="L3944" s="86"/>
      <c r="M3944" s="249"/>
      <c r="N3944" s="249"/>
    </row>
    <row r="3945" spans="1:14" s="248" customFormat="1" ht="15" x14ac:dyDescent="0.25">
      <c r="A3945" s="1">
        <v>3936</v>
      </c>
      <c r="B3945" s="1" t="s">
        <v>497</v>
      </c>
      <c r="C3945" s="32">
        <v>7446</v>
      </c>
      <c r="D3945" s="1">
        <v>40000</v>
      </c>
      <c r="E3945" s="1"/>
      <c r="F3945" s="1">
        <v>445.78</v>
      </c>
      <c r="G3945" s="1">
        <v>40000</v>
      </c>
      <c r="H3945" s="5">
        <f t="shared" si="79"/>
        <v>0</v>
      </c>
      <c r="I3945" s="6"/>
      <c r="J3945" s="43"/>
      <c r="K3945" s="51"/>
      <c r="L3945" s="86"/>
      <c r="M3945" s="249"/>
      <c r="N3945" s="249"/>
    </row>
    <row r="3946" spans="1:14" s="248" customFormat="1" ht="15" x14ac:dyDescent="0.25">
      <c r="A3946" s="1">
        <v>3937</v>
      </c>
      <c r="B3946" s="1" t="s">
        <v>497</v>
      </c>
      <c r="C3946" s="32">
        <v>6851</v>
      </c>
      <c r="D3946" s="1">
        <v>21000</v>
      </c>
      <c r="E3946" s="1"/>
      <c r="F3946" s="1">
        <v>233.48</v>
      </c>
      <c r="G3946" s="1">
        <v>21000</v>
      </c>
      <c r="H3946" s="5">
        <f t="shared" si="79"/>
        <v>0</v>
      </c>
      <c r="I3946" s="6"/>
      <c r="J3946" s="43"/>
      <c r="K3946" s="51"/>
      <c r="L3946" s="86"/>
      <c r="M3946" s="249"/>
      <c r="N3946" s="249"/>
    </row>
    <row r="3947" spans="1:14" s="248" customFormat="1" ht="15" x14ac:dyDescent="0.25">
      <c r="A3947" s="1">
        <v>3938</v>
      </c>
      <c r="B3947" s="1" t="s">
        <v>497</v>
      </c>
      <c r="C3947" s="32">
        <v>5252</v>
      </c>
      <c r="D3947" s="1">
        <v>16000</v>
      </c>
      <c r="E3947" s="1"/>
      <c r="F3947" s="1">
        <v>178.22</v>
      </c>
      <c r="G3947" s="1">
        <v>16000</v>
      </c>
      <c r="H3947" s="5">
        <f t="shared" si="79"/>
        <v>0</v>
      </c>
      <c r="I3947" s="6"/>
      <c r="J3947" s="43"/>
      <c r="K3947" s="51"/>
      <c r="L3947" s="86"/>
      <c r="M3947" s="249"/>
      <c r="N3947" s="249"/>
    </row>
    <row r="3948" spans="1:14" s="248" customFormat="1" ht="15" x14ac:dyDescent="0.25">
      <c r="A3948" s="1">
        <v>3939</v>
      </c>
      <c r="B3948" s="1" t="s">
        <v>497</v>
      </c>
      <c r="C3948" s="32">
        <v>5151</v>
      </c>
      <c r="D3948" s="1">
        <v>16000</v>
      </c>
      <c r="E3948" s="1"/>
      <c r="F3948" s="1">
        <v>178.22</v>
      </c>
      <c r="G3948" s="1">
        <v>16000</v>
      </c>
      <c r="H3948" s="5">
        <f t="shared" si="79"/>
        <v>0</v>
      </c>
      <c r="I3948" s="6"/>
      <c r="J3948" s="43"/>
      <c r="K3948" s="51"/>
      <c r="L3948" s="86"/>
      <c r="M3948" s="249"/>
      <c r="N3948" s="249"/>
    </row>
    <row r="3949" spans="1:14" s="248" customFormat="1" ht="15" x14ac:dyDescent="0.25">
      <c r="A3949" s="1">
        <v>3940</v>
      </c>
      <c r="B3949" s="1" t="s">
        <v>497</v>
      </c>
      <c r="C3949" s="32">
        <v>9682</v>
      </c>
      <c r="D3949" s="1">
        <v>5000</v>
      </c>
      <c r="E3949" s="1"/>
      <c r="F3949" s="1">
        <v>55.45</v>
      </c>
      <c r="G3949" s="1">
        <v>5000</v>
      </c>
      <c r="H3949" s="5">
        <f t="shared" si="79"/>
        <v>0</v>
      </c>
      <c r="I3949" s="6"/>
      <c r="J3949" s="43"/>
      <c r="K3949" s="51"/>
      <c r="L3949" s="86"/>
      <c r="M3949" s="249"/>
      <c r="N3949" s="249"/>
    </row>
    <row r="3950" spans="1:14" s="248" customFormat="1" ht="15" x14ac:dyDescent="0.25">
      <c r="A3950" s="1">
        <v>3941</v>
      </c>
      <c r="B3950" s="1" t="s">
        <v>497</v>
      </c>
      <c r="C3950" s="32">
        <v>5.1000000000000004E-3</v>
      </c>
      <c r="D3950" s="1">
        <v>16000</v>
      </c>
      <c r="E3950" s="1"/>
      <c r="F3950" s="1">
        <v>178.22</v>
      </c>
      <c r="G3950" s="1">
        <v>16000</v>
      </c>
      <c r="H3950" s="5">
        <f t="shared" si="79"/>
        <v>0</v>
      </c>
      <c r="I3950" s="6"/>
      <c r="J3950" s="43"/>
      <c r="K3950" s="51"/>
      <c r="L3950" s="86">
        <f>1588210-1585448</f>
        <v>2762</v>
      </c>
      <c r="M3950" s="249" t="s">
        <v>499</v>
      </c>
      <c r="N3950" s="249">
        <f>2762-9536</f>
        <v>-6774</v>
      </c>
    </row>
    <row r="3951" spans="1:14" s="250" customFormat="1" ht="15" x14ac:dyDescent="0.25">
      <c r="A3951" s="1">
        <v>3942</v>
      </c>
      <c r="B3951" s="1" t="s">
        <v>500</v>
      </c>
      <c r="C3951" s="32">
        <v>2809</v>
      </c>
      <c r="D3951" s="1">
        <v>15000</v>
      </c>
      <c r="E3951" s="1"/>
      <c r="F3951" s="1">
        <v>167.15</v>
      </c>
      <c r="G3951" s="1">
        <v>15000</v>
      </c>
      <c r="H3951" s="5">
        <f t="shared" si="79"/>
        <v>0</v>
      </c>
      <c r="I3951" s="6"/>
      <c r="J3951" s="43"/>
      <c r="K3951" s="51"/>
      <c r="L3951" s="86"/>
      <c r="M3951" s="251"/>
      <c r="N3951" s="251"/>
    </row>
    <row r="3952" spans="1:14" s="250" customFormat="1" ht="15" x14ac:dyDescent="0.25">
      <c r="A3952" s="1">
        <v>3943</v>
      </c>
      <c r="B3952" s="1" t="s">
        <v>500</v>
      </c>
      <c r="C3952" s="32">
        <v>5416</v>
      </c>
      <c r="D3952" s="1">
        <v>20000</v>
      </c>
      <c r="E3952" s="1"/>
      <c r="F3952" s="1">
        <v>222.78</v>
      </c>
      <c r="G3952" s="1">
        <v>20000</v>
      </c>
      <c r="H3952" s="5">
        <f t="shared" si="79"/>
        <v>0</v>
      </c>
      <c r="I3952" s="6"/>
      <c r="J3952" s="43"/>
      <c r="K3952" s="51"/>
      <c r="L3952" s="86"/>
      <c r="M3952" s="251"/>
      <c r="N3952" s="251"/>
    </row>
    <row r="3953" spans="1:14" s="250" customFormat="1" ht="15" x14ac:dyDescent="0.25">
      <c r="A3953" s="1">
        <v>3944</v>
      </c>
      <c r="B3953" s="1" t="s">
        <v>500</v>
      </c>
      <c r="C3953" s="32">
        <v>8607</v>
      </c>
      <c r="D3953" s="1">
        <v>25000</v>
      </c>
      <c r="E3953" s="1"/>
      <c r="F3953" s="1">
        <v>278.25</v>
      </c>
      <c r="G3953" s="1">
        <v>25000</v>
      </c>
      <c r="H3953" s="5">
        <f t="shared" si="79"/>
        <v>0</v>
      </c>
      <c r="I3953" s="6"/>
      <c r="J3953" s="43"/>
      <c r="K3953" s="51"/>
      <c r="L3953" s="86"/>
      <c r="M3953" s="251"/>
      <c r="N3953" s="251"/>
    </row>
    <row r="3954" spans="1:14" s="250" customFormat="1" ht="15" x14ac:dyDescent="0.25">
      <c r="A3954" s="1">
        <v>3945</v>
      </c>
      <c r="B3954" s="1" t="s">
        <v>500</v>
      </c>
      <c r="C3954" s="32">
        <v>5681</v>
      </c>
      <c r="D3954" s="1">
        <v>17000</v>
      </c>
      <c r="E3954" s="1"/>
      <c r="F3954" s="1">
        <v>189.47</v>
      </c>
      <c r="G3954" s="1">
        <v>17000</v>
      </c>
      <c r="H3954" s="5">
        <f t="shared" si="79"/>
        <v>0</v>
      </c>
      <c r="I3954" s="6"/>
      <c r="J3954" s="43"/>
      <c r="K3954" s="51"/>
      <c r="L3954" s="86"/>
      <c r="M3954" s="251"/>
      <c r="N3954" s="251"/>
    </row>
    <row r="3955" spans="1:14" s="250" customFormat="1" ht="15" x14ac:dyDescent="0.25">
      <c r="A3955" s="1">
        <v>3946</v>
      </c>
      <c r="B3955" s="1" t="s">
        <v>500</v>
      </c>
      <c r="C3955" s="32">
        <v>5.1999999999999998E-3</v>
      </c>
      <c r="D3955" s="1">
        <v>16000</v>
      </c>
      <c r="E3955" s="1"/>
      <c r="F3955" s="1">
        <v>178.22</v>
      </c>
      <c r="G3955" s="1">
        <v>16000</v>
      </c>
      <c r="H3955" s="5">
        <f t="shared" si="79"/>
        <v>0</v>
      </c>
      <c r="I3955" s="6"/>
      <c r="J3955" s="43"/>
      <c r="K3955" s="51"/>
      <c r="L3955" s="86"/>
      <c r="M3955" s="251"/>
      <c r="N3955" s="251"/>
    </row>
    <row r="3956" spans="1:14" s="250" customFormat="1" ht="15" x14ac:dyDescent="0.25">
      <c r="A3956" s="1">
        <v>3947</v>
      </c>
      <c r="B3956" s="1" t="s">
        <v>500</v>
      </c>
      <c r="C3956" s="32" t="s">
        <v>30</v>
      </c>
      <c r="D3956" s="1">
        <v>5000</v>
      </c>
      <c r="E3956" s="1"/>
      <c r="F3956" s="1">
        <v>55.24</v>
      </c>
      <c r="G3956" s="1">
        <v>5000</v>
      </c>
      <c r="H3956" s="5">
        <f t="shared" si="79"/>
        <v>0</v>
      </c>
      <c r="I3956" s="6"/>
      <c r="J3956" s="43"/>
      <c r="K3956" s="51"/>
      <c r="L3956" s="86"/>
      <c r="M3956" s="251"/>
      <c r="N3956" s="251"/>
    </row>
    <row r="3957" spans="1:14" s="250" customFormat="1" ht="15" x14ac:dyDescent="0.25">
      <c r="A3957" s="1">
        <v>3948</v>
      </c>
      <c r="B3957" s="1" t="s">
        <v>500</v>
      </c>
      <c r="C3957" s="32">
        <v>1723</v>
      </c>
      <c r="D3957" s="1">
        <v>15000</v>
      </c>
      <c r="E3957" s="1"/>
      <c r="F3957" s="1">
        <v>167.15</v>
      </c>
      <c r="G3957" s="1">
        <v>15000</v>
      </c>
      <c r="H3957" s="5">
        <f t="shared" si="79"/>
        <v>0</v>
      </c>
      <c r="I3957" s="6"/>
      <c r="J3957" s="43"/>
      <c r="K3957" s="51"/>
      <c r="L3957" s="86"/>
      <c r="M3957" s="251"/>
      <c r="N3957" s="251"/>
    </row>
    <row r="3958" spans="1:14" s="250" customFormat="1" ht="15" x14ac:dyDescent="0.25">
      <c r="A3958" s="1">
        <v>3949</v>
      </c>
      <c r="B3958" s="1" t="s">
        <v>500</v>
      </c>
      <c r="C3958" s="32" t="s">
        <v>30</v>
      </c>
      <c r="D3958" s="1">
        <v>7000</v>
      </c>
      <c r="E3958" s="1"/>
      <c r="F3958" s="1">
        <v>77.45</v>
      </c>
      <c r="G3958" s="1">
        <v>7000</v>
      </c>
      <c r="H3958" s="5">
        <f t="shared" si="79"/>
        <v>0</v>
      </c>
      <c r="I3958" s="6"/>
      <c r="J3958" s="43"/>
      <c r="K3958" s="51"/>
      <c r="L3958" s="86"/>
      <c r="M3958" s="251"/>
      <c r="N3958" s="251"/>
    </row>
    <row r="3959" spans="1:14" s="250" customFormat="1" ht="15" x14ac:dyDescent="0.25">
      <c r="A3959" s="1">
        <v>3950</v>
      </c>
      <c r="B3959" s="1" t="s">
        <v>500</v>
      </c>
      <c r="C3959" s="32">
        <v>2810</v>
      </c>
      <c r="D3959" s="1">
        <v>15000</v>
      </c>
      <c r="E3959" s="1"/>
      <c r="F3959" s="1">
        <v>167.15</v>
      </c>
      <c r="G3959" s="1">
        <v>15000</v>
      </c>
      <c r="H3959" s="5">
        <f t="shared" si="79"/>
        <v>0</v>
      </c>
      <c r="I3959" s="6"/>
      <c r="J3959" s="43"/>
      <c r="K3959" s="51"/>
      <c r="L3959" s="86"/>
      <c r="M3959" s="251"/>
      <c r="N3959" s="251"/>
    </row>
    <row r="3960" spans="1:14" s="250" customFormat="1" ht="15" x14ac:dyDescent="0.25">
      <c r="A3960" s="1">
        <v>3951</v>
      </c>
      <c r="B3960" s="1" t="s">
        <v>500</v>
      </c>
      <c r="C3960" s="32">
        <v>9.4000000000000004E-3</v>
      </c>
      <c r="D3960" s="1">
        <v>30000</v>
      </c>
      <c r="E3960" s="1"/>
      <c r="F3960" s="1">
        <v>334.47</v>
      </c>
      <c r="G3960" s="1">
        <v>30000</v>
      </c>
      <c r="H3960" s="5">
        <f t="shared" si="79"/>
        <v>0</v>
      </c>
      <c r="I3960" s="6"/>
      <c r="J3960" s="43"/>
      <c r="K3960" s="51"/>
      <c r="L3960" s="86"/>
      <c r="M3960" s="251"/>
      <c r="N3960" s="251"/>
    </row>
    <row r="3961" spans="1:14" s="250" customFormat="1" ht="15" x14ac:dyDescent="0.25">
      <c r="A3961" s="1">
        <v>3952</v>
      </c>
      <c r="B3961" s="1" t="s">
        <v>500</v>
      </c>
      <c r="C3961" s="32">
        <v>7842</v>
      </c>
      <c r="D3961" s="1">
        <v>20000</v>
      </c>
      <c r="E3961" s="1"/>
      <c r="F3961" s="1">
        <v>222.78</v>
      </c>
      <c r="G3961" s="1">
        <v>20000</v>
      </c>
      <c r="H3961" s="5">
        <f t="shared" si="79"/>
        <v>0</v>
      </c>
      <c r="I3961" s="6"/>
      <c r="J3961" s="43"/>
      <c r="K3961" s="51"/>
      <c r="L3961" s="86"/>
      <c r="M3961" s="251"/>
      <c r="N3961" s="251"/>
    </row>
    <row r="3962" spans="1:14" s="250" customFormat="1" ht="15" x14ac:dyDescent="0.25">
      <c r="A3962" s="1">
        <v>3953</v>
      </c>
      <c r="B3962" s="1" t="s">
        <v>500</v>
      </c>
      <c r="C3962" s="32">
        <v>9.7699999999999995E-2</v>
      </c>
      <c r="D3962" s="1">
        <v>8000</v>
      </c>
      <c r="E3962" s="1"/>
      <c r="F3962" s="1">
        <v>89.48</v>
      </c>
      <c r="G3962" s="1">
        <v>8000</v>
      </c>
      <c r="H3962" s="5">
        <f t="shared" si="79"/>
        <v>0</v>
      </c>
      <c r="I3962" s="6"/>
      <c r="J3962" s="43"/>
      <c r="K3962" s="51"/>
      <c r="L3962" s="86"/>
      <c r="M3962" s="251"/>
      <c r="N3962" s="251"/>
    </row>
    <row r="3963" spans="1:14" s="250" customFormat="1" ht="15" x14ac:dyDescent="0.25">
      <c r="A3963" s="1">
        <v>3954</v>
      </c>
      <c r="B3963" s="1" t="s">
        <v>500</v>
      </c>
      <c r="C3963" s="32">
        <v>2195</v>
      </c>
      <c r="D3963" s="1">
        <v>8000</v>
      </c>
      <c r="E3963" s="1"/>
      <c r="F3963" s="1">
        <v>89.48</v>
      </c>
      <c r="G3963" s="1">
        <v>8000</v>
      </c>
      <c r="H3963" s="5">
        <f t="shared" si="79"/>
        <v>0</v>
      </c>
      <c r="I3963" s="6"/>
      <c r="J3963" s="43"/>
      <c r="K3963" s="51"/>
      <c r="L3963" s="86"/>
      <c r="M3963" s="251"/>
      <c r="N3963" s="251"/>
    </row>
    <row r="3964" spans="1:14" s="250" customFormat="1" ht="15" x14ac:dyDescent="0.25">
      <c r="A3964" s="1">
        <v>3955</v>
      </c>
      <c r="B3964" s="1" t="s">
        <v>501</v>
      </c>
      <c r="C3964" s="32">
        <v>6526</v>
      </c>
      <c r="D3964" s="1">
        <v>28000</v>
      </c>
      <c r="E3964" s="1"/>
      <c r="F3964" s="1">
        <v>311.48</v>
      </c>
      <c r="G3964" s="1">
        <v>28000</v>
      </c>
      <c r="H3964" s="5">
        <f t="shared" si="79"/>
        <v>0</v>
      </c>
      <c r="I3964" s="6"/>
      <c r="J3964" s="43"/>
      <c r="K3964" s="51"/>
      <c r="L3964" s="86"/>
      <c r="M3964" s="251"/>
      <c r="N3964" s="251"/>
    </row>
    <row r="3965" spans="1:14" s="250" customFormat="1" ht="15" x14ac:dyDescent="0.25">
      <c r="A3965" s="1">
        <v>3956</v>
      </c>
      <c r="B3965" s="1" t="s">
        <v>501</v>
      </c>
      <c r="C3965" s="32">
        <v>3968</v>
      </c>
      <c r="D3965" s="1">
        <v>5000</v>
      </c>
      <c r="E3965" s="1"/>
      <c r="F3965" s="1">
        <v>55.7</v>
      </c>
      <c r="G3965" s="1">
        <v>5000</v>
      </c>
      <c r="H3965" s="5">
        <f t="shared" si="79"/>
        <v>0</v>
      </c>
      <c r="I3965" s="6"/>
      <c r="J3965" s="43"/>
      <c r="K3965" s="51"/>
      <c r="L3965" s="86"/>
      <c r="M3965" s="251"/>
      <c r="N3965" s="251"/>
    </row>
    <row r="3966" spans="1:14" s="250" customFormat="1" ht="15" x14ac:dyDescent="0.25">
      <c r="A3966" s="1">
        <v>3957</v>
      </c>
      <c r="B3966" s="1" t="s">
        <v>501</v>
      </c>
      <c r="C3966" s="32">
        <v>7121</v>
      </c>
      <c r="D3966" s="1">
        <v>20000</v>
      </c>
      <c r="E3966" s="1"/>
      <c r="F3966" s="1">
        <v>222.78</v>
      </c>
      <c r="G3966" s="1">
        <v>20000</v>
      </c>
      <c r="H3966" s="5">
        <f t="shared" si="79"/>
        <v>0</v>
      </c>
      <c r="I3966" s="6"/>
      <c r="J3966" s="43"/>
      <c r="K3966" s="51"/>
      <c r="L3966" s="86"/>
      <c r="M3966" s="251"/>
      <c r="N3966" s="251"/>
    </row>
    <row r="3967" spans="1:14" s="250" customFormat="1" ht="15" x14ac:dyDescent="0.25">
      <c r="A3967" s="1">
        <v>3958</v>
      </c>
      <c r="B3967" s="1" t="s">
        <v>501</v>
      </c>
      <c r="C3967" s="32">
        <v>1722</v>
      </c>
      <c r="D3967" s="1">
        <v>15000</v>
      </c>
      <c r="E3967" s="1"/>
      <c r="F3967" s="1">
        <v>167.45</v>
      </c>
      <c r="G3967" s="1">
        <v>15000</v>
      </c>
      <c r="H3967" s="5">
        <f t="shared" si="79"/>
        <v>0</v>
      </c>
      <c r="I3967" s="6"/>
      <c r="J3967" s="43"/>
      <c r="K3967" s="51"/>
      <c r="L3967" s="86">
        <f>1657210-1654448</f>
        <v>2762</v>
      </c>
      <c r="M3967" s="253" t="s">
        <v>499</v>
      </c>
      <c r="N3967" s="253">
        <f>2762-9536</f>
        <v>-6774</v>
      </c>
    </row>
    <row r="3968" spans="1:14" s="252" customFormat="1" ht="15" x14ac:dyDescent="0.25">
      <c r="A3968" s="1">
        <v>3959</v>
      </c>
      <c r="B3968" s="1" t="s">
        <v>502</v>
      </c>
      <c r="C3968" s="32">
        <v>2809</v>
      </c>
      <c r="D3968" s="1">
        <v>15000</v>
      </c>
      <c r="E3968" s="1"/>
      <c r="F3968" s="1">
        <v>167.45</v>
      </c>
      <c r="G3968" s="1">
        <v>15000</v>
      </c>
      <c r="H3968" s="5">
        <f t="shared" si="79"/>
        <v>0</v>
      </c>
      <c r="I3968" s="6"/>
      <c r="J3968" s="43"/>
      <c r="K3968" s="51"/>
      <c r="L3968" s="86"/>
      <c r="M3968" s="253"/>
      <c r="N3968" s="253"/>
    </row>
    <row r="3969" spans="1:14" s="252" customFormat="1" ht="15" x14ac:dyDescent="0.25">
      <c r="A3969" s="1">
        <v>3960</v>
      </c>
      <c r="B3969" s="1" t="s">
        <v>502</v>
      </c>
      <c r="C3969" s="32">
        <v>5931</v>
      </c>
      <c r="D3969" s="1">
        <v>17000</v>
      </c>
      <c r="E3969" s="1"/>
      <c r="F3969" s="1">
        <v>189.47</v>
      </c>
      <c r="G3969" s="1">
        <v>17000</v>
      </c>
      <c r="H3969" s="5">
        <f t="shared" si="79"/>
        <v>0</v>
      </c>
      <c r="I3969" s="6"/>
      <c r="J3969" s="43"/>
      <c r="K3969" s="51"/>
      <c r="L3969" s="86"/>
      <c r="M3969" s="253"/>
      <c r="N3969" s="253"/>
    </row>
    <row r="3970" spans="1:14" s="252" customFormat="1" ht="15" x14ac:dyDescent="0.25">
      <c r="A3970" s="1">
        <v>3961</v>
      </c>
      <c r="B3970" s="1" t="s">
        <v>502</v>
      </c>
      <c r="C3970" s="32">
        <v>9286</v>
      </c>
      <c r="D3970" s="1">
        <v>6000</v>
      </c>
      <c r="E3970" s="1"/>
      <c r="F3970" s="1">
        <v>66.84</v>
      </c>
      <c r="G3970" s="1">
        <v>6000</v>
      </c>
      <c r="H3970" s="5">
        <f t="shared" si="79"/>
        <v>0</v>
      </c>
      <c r="I3970" s="6"/>
      <c r="J3970" s="43"/>
      <c r="K3970" s="51"/>
      <c r="L3970" s="86"/>
      <c r="M3970" s="253"/>
      <c r="N3970" s="253"/>
    </row>
    <row r="3971" spans="1:14" s="252" customFormat="1" ht="15" x14ac:dyDescent="0.25">
      <c r="A3971" s="1">
        <v>3962</v>
      </c>
      <c r="B3971" s="1" t="s">
        <v>502</v>
      </c>
      <c r="C3971" s="32">
        <v>2810</v>
      </c>
      <c r="D3971" s="1">
        <v>15000</v>
      </c>
      <c r="E3971" s="1"/>
      <c r="F3971" s="1">
        <v>167.45</v>
      </c>
      <c r="G3971" s="1">
        <v>15000</v>
      </c>
      <c r="H3971" s="5">
        <f t="shared" si="79"/>
        <v>0</v>
      </c>
      <c r="I3971" s="6"/>
      <c r="J3971" s="43"/>
      <c r="K3971" s="51"/>
      <c r="L3971" s="86"/>
      <c r="M3971" s="253"/>
      <c r="N3971" s="253"/>
    </row>
    <row r="3972" spans="1:14" s="252" customFormat="1" ht="15" x14ac:dyDescent="0.25">
      <c r="A3972" s="1">
        <v>3963</v>
      </c>
      <c r="B3972" s="1" t="s">
        <v>502</v>
      </c>
      <c r="C3972" s="32">
        <v>8311</v>
      </c>
      <c r="D3972" s="1">
        <v>24000</v>
      </c>
      <c r="E3972" s="1"/>
      <c r="F3972" s="1">
        <v>267.48</v>
      </c>
      <c r="G3972" s="1">
        <v>24000</v>
      </c>
      <c r="H3972" s="5">
        <f t="shared" si="79"/>
        <v>0</v>
      </c>
      <c r="I3972" s="6"/>
      <c r="J3972" s="43"/>
      <c r="K3972" s="51"/>
      <c r="L3972" s="86"/>
      <c r="M3972" s="253"/>
      <c r="N3972" s="253"/>
    </row>
    <row r="3973" spans="1:14" s="252" customFormat="1" ht="15" x14ac:dyDescent="0.25">
      <c r="A3973" s="1">
        <v>3964</v>
      </c>
      <c r="B3973" s="1" t="s">
        <v>502</v>
      </c>
      <c r="C3973" s="32">
        <v>4451</v>
      </c>
      <c r="D3973" s="1">
        <v>16000</v>
      </c>
      <c r="E3973" s="1"/>
      <c r="F3973" s="1">
        <v>178.22</v>
      </c>
      <c r="G3973" s="1">
        <v>16000</v>
      </c>
      <c r="H3973" s="5">
        <f t="shared" si="79"/>
        <v>0</v>
      </c>
      <c r="I3973" s="6"/>
      <c r="J3973" s="43"/>
      <c r="K3973" s="51"/>
      <c r="L3973" s="86"/>
      <c r="M3973" s="253"/>
      <c r="N3973" s="253"/>
    </row>
    <row r="3974" spans="1:14" s="252" customFormat="1" ht="15" x14ac:dyDescent="0.25">
      <c r="A3974" s="1">
        <v>3965</v>
      </c>
      <c r="B3974" s="1" t="s">
        <v>502</v>
      </c>
      <c r="C3974" s="32">
        <v>6931</v>
      </c>
      <c r="D3974" s="1">
        <v>17000</v>
      </c>
      <c r="E3974" s="1"/>
      <c r="F3974" s="1">
        <v>189.47</v>
      </c>
      <c r="G3974" s="1">
        <v>17000</v>
      </c>
      <c r="H3974" s="5">
        <f t="shared" si="79"/>
        <v>0</v>
      </c>
      <c r="I3974" s="6"/>
      <c r="J3974" s="43"/>
      <c r="K3974" s="51"/>
      <c r="L3974" s="86"/>
      <c r="M3974" s="253"/>
      <c r="N3974" s="253"/>
    </row>
    <row r="3975" spans="1:14" s="252" customFormat="1" ht="15" x14ac:dyDescent="0.25">
      <c r="A3975" s="1">
        <v>3966</v>
      </c>
      <c r="B3975" s="1" t="s">
        <v>502</v>
      </c>
      <c r="C3975" s="32">
        <v>6311</v>
      </c>
      <c r="D3975" s="1">
        <v>24000</v>
      </c>
      <c r="E3975" s="1"/>
      <c r="F3975" s="1">
        <v>267.48</v>
      </c>
      <c r="G3975" s="1">
        <v>24000</v>
      </c>
      <c r="H3975" s="5">
        <f t="shared" si="79"/>
        <v>0</v>
      </c>
      <c r="I3975" s="6"/>
      <c r="J3975" s="43"/>
      <c r="K3975" s="51"/>
      <c r="L3975" s="86"/>
      <c r="M3975" s="253"/>
      <c r="N3975" s="253"/>
    </row>
    <row r="3976" spans="1:14" s="252" customFormat="1" ht="15" x14ac:dyDescent="0.25">
      <c r="A3976" s="1">
        <v>3967</v>
      </c>
      <c r="B3976" s="1" t="s">
        <v>502</v>
      </c>
      <c r="C3976" s="32" t="s">
        <v>63</v>
      </c>
      <c r="D3976" s="1">
        <v>3500</v>
      </c>
      <c r="E3976" s="1"/>
      <c r="F3976" s="1">
        <v>38.549999999999997</v>
      </c>
      <c r="G3976" s="1">
        <v>3500</v>
      </c>
      <c r="H3976" s="5">
        <f t="shared" si="79"/>
        <v>0</v>
      </c>
      <c r="I3976" s="6"/>
      <c r="J3976" s="43"/>
      <c r="K3976" s="51"/>
      <c r="L3976" s="86"/>
      <c r="M3976" s="253"/>
      <c r="N3976" s="253"/>
    </row>
    <row r="3977" spans="1:14" s="252" customFormat="1" ht="15" x14ac:dyDescent="0.25">
      <c r="A3977" s="1">
        <v>3968</v>
      </c>
      <c r="B3977" s="1" t="s">
        <v>502</v>
      </c>
      <c r="C3977" s="32" t="s">
        <v>30</v>
      </c>
      <c r="D3977" s="1">
        <v>4500</v>
      </c>
      <c r="E3977" s="1"/>
      <c r="F3977" s="1">
        <v>50.15</v>
      </c>
      <c r="G3977" s="1">
        <v>4500</v>
      </c>
      <c r="H3977" s="5">
        <f t="shared" si="79"/>
        <v>0</v>
      </c>
      <c r="I3977" s="6"/>
      <c r="J3977" s="43"/>
      <c r="K3977" s="51"/>
      <c r="L3977" s="86"/>
      <c r="M3977" s="253"/>
      <c r="N3977" s="253"/>
    </row>
    <row r="3978" spans="1:14" s="252" customFormat="1" ht="15" x14ac:dyDescent="0.25">
      <c r="A3978" s="1">
        <v>3969</v>
      </c>
      <c r="B3978" s="1" t="s">
        <v>502</v>
      </c>
      <c r="C3978" s="32">
        <v>3099</v>
      </c>
      <c r="D3978" s="1">
        <v>13000</v>
      </c>
      <c r="E3978" s="1"/>
      <c r="F3978" s="1">
        <v>144.44999999999999</v>
      </c>
      <c r="G3978" s="1">
        <v>13000</v>
      </c>
      <c r="H3978" s="5">
        <f t="shared" si="79"/>
        <v>0</v>
      </c>
      <c r="I3978" s="6"/>
      <c r="J3978" s="43"/>
      <c r="K3978" s="51"/>
      <c r="L3978" s="86"/>
      <c r="M3978" s="253"/>
      <c r="N3978" s="253"/>
    </row>
    <row r="3979" spans="1:14" s="252" customFormat="1" ht="15" x14ac:dyDescent="0.25">
      <c r="A3979" s="1">
        <v>3970</v>
      </c>
      <c r="B3979" s="1" t="s">
        <v>502</v>
      </c>
      <c r="C3979" s="32" t="s">
        <v>30</v>
      </c>
      <c r="D3979" s="1">
        <v>6000</v>
      </c>
      <c r="E3979" s="1"/>
      <c r="F3979" s="1">
        <v>68.84</v>
      </c>
      <c r="G3979" s="1">
        <v>6000</v>
      </c>
      <c r="H3979" s="5">
        <f t="shared" si="79"/>
        <v>0</v>
      </c>
      <c r="I3979" s="6"/>
      <c r="J3979" s="43"/>
      <c r="K3979" s="51"/>
      <c r="L3979" s="86"/>
      <c r="M3979" s="253"/>
      <c r="N3979" s="253"/>
    </row>
    <row r="3980" spans="1:14" s="252" customFormat="1" ht="15" x14ac:dyDescent="0.25">
      <c r="A3980" s="1">
        <v>3971</v>
      </c>
      <c r="B3980" s="1" t="s">
        <v>502</v>
      </c>
      <c r="C3980" s="32">
        <v>9319</v>
      </c>
      <c r="D3980" s="1">
        <v>12000</v>
      </c>
      <c r="E3980" s="1"/>
      <c r="F3980" s="1">
        <v>133.44999999999999</v>
      </c>
      <c r="G3980" s="1">
        <v>12000</v>
      </c>
      <c r="H3980" s="5">
        <f t="shared" si="79"/>
        <v>0</v>
      </c>
      <c r="I3980" s="6"/>
      <c r="J3980" s="43"/>
      <c r="K3980" s="51"/>
      <c r="L3980" s="86"/>
      <c r="M3980" s="253"/>
      <c r="N3980" s="253"/>
    </row>
    <row r="3981" spans="1:14" s="252" customFormat="1" ht="15" x14ac:dyDescent="0.25">
      <c r="A3981" s="1">
        <v>3972</v>
      </c>
      <c r="B3981" s="1" t="s">
        <v>502</v>
      </c>
      <c r="C3981" s="32">
        <v>2923</v>
      </c>
      <c r="D3981" s="1">
        <v>20000</v>
      </c>
      <c r="E3981" s="1"/>
      <c r="F3981" s="1">
        <v>222.78</v>
      </c>
      <c r="G3981" s="1">
        <v>20000</v>
      </c>
      <c r="H3981" s="5">
        <f t="shared" si="79"/>
        <v>0</v>
      </c>
      <c r="I3981" s="6"/>
      <c r="J3981" s="43"/>
      <c r="K3981" s="51"/>
      <c r="L3981" s="86"/>
      <c r="M3981" s="253"/>
      <c r="N3981" s="253"/>
    </row>
    <row r="3982" spans="1:14" s="252" customFormat="1" ht="15" x14ac:dyDescent="0.25">
      <c r="A3982" s="1">
        <v>3973</v>
      </c>
      <c r="B3982" s="1" t="s">
        <v>502</v>
      </c>
      <c r="C3982" s="32">
        <v>8094</v>
      </c>
      <c r="D3982" s="1">
        <v>30000</v>
      </c>
      <c r="E3982" s="1"/>
      <c r="F3982" s="1">
        <v>334.78</v>
      </c>
      <c r="G3982" s="1">
        <v>30000</v>
      </c>
      <c r="H3982" s="5">
        <f t="shared" si="79"/>
        <v>0</v>
      </c>
      <c r="I3982" s="6"/>
      <c r="J3982" s="43"/>
      <c r="K3982" s="51"/>
      <c r="L3982" s="86"/>
      <c r="M3982" s="253"/>
      <c r="N3982" s="253"/>
    </row>
    <row r="3983" spans="1:14" s="252" customFormat="1" ht="15" x14ac:dyDescent="0.25">
      <c r="A3983" s="1">
        <v>3974</v>
      </c>
      <c r="B3983" s="1" t="s">
        <v>502</v>
      </c>
      <c r="C3983" s="32">
        <v>2921</v>
      </c>
      <c r="D3983" s="1">
        <v>28000</v>
      </c>
      <c r="E3983" s="1"/>
      <c r="F3983" s="1">
        <v>311.48</v>
      </c>
      <c r="G3983" s="1">
        <v>28000</v>
      </c>
      <c r="H3983" s="5">
        <f t="shared" si="79"/>
        <v>0</v>
      </c>
      <c r="I3983" s="6"/>
      <c r="J3983" s="43"/>
      <c r="K3983" s="51"/>
      <c r="L3983" s="86"/>
      <c r="M3983" s="253"/>
      <c r="N3983" s="253"/>
    </row>
    <row r="3984" spans="1:14" s="252" customFormat="1" ht="15" x14ac:dyDescent="0.25">
      <c r="A3984" s="1">
        <v>3975</v>
      </c>
      <c r="B3984" s="1" t="s">
        <v>502</v>
      </c>
      <c r="C3984" s="32">
        <v>8291</v>
      </c>
      <c r="D3984" s="1">
        <v>27000</v>
      </c>
      <c r="E3984" s="1"/>
      <c r="F3984" s="1">
        <v>300.47000000000003</v>
      </c>
      <c r="G3984" s="1">
        <v>27000</v>
      </c>
      <c r="H3984" s="5">
        <f t="shared" si="79"/>
        <v>0</v>
      </c>
      <c r="I3984" s="6"/>
      <c r="J3984" s="43"/>
      <c r="K3984" s="51"/>
      <c r="L3984" s="86">
        <f>1560210-1557448</f>
        <v>2762</v>
      </c>
      <c r="M3984" s="253" t="s">
        <v>499</v>
      </c>
      <c r="N3984" s="253">
        <f>2762-9536</f>
        <v>-6774</v>
      </c>
    </row>
    <row r="3985" spans="1:14" s="255" customFormat="1" ht="15" x14ac:dyDescent="0.25">
      <c r="A3985" s="1">
        <v>3976</v>
      </c>
      <c r="B3985" s="1" t="s">
        <v>509</v>
      </c>
      <c r="C3985" s="32" t="s">
        <v>66</v>
      </c>
      <c r="D3985" s="1">
        <v>210</v>
      </c>
      <c r="E3985" s="1"/>
      <c r="F3985" s="1">
        <v>2.08</v>
      </c>
      <c r="G3985" s="1">
        <v>210</v>
      </c>
      <c r="H3985" s="5">
        <f t="shared" si="79"/>
        <v>0</v>
      </c>
      <c r="I3985" s="6"/>
      <c r="J3985" s="43"/>
      <c r="K3985" s="51"/>
      <c r="L3985" s="86"/>
      <c r="M3985" s="256"/>
      <c r="N3985" s="256"/>
    </row>
    <row r="3986" spans="1:14" s="255" customFormat="1" ht="15" x14ac:dyDescent="0.25">
      <c r="A3986" s="1">
        <v>3977</v>
      </c>
      <c r="B3986" s="1" t="s">
        <v>509</v>
      </c>
      <c r="C3986" s="32" t="s">
        <v>66</v>
      </c>
      <c r="D3986" s="1">
        <v>200</v>
      </c>
      <c r="E3986" s="1"/>
      <c r="F3986" s="1">
        <v>2.0499999999999998</v>
      </c>
      <c r="G3986" s="1">
        <v>200</v>
      </c>
      <c r="H3986" s="5">
        <f t="shared" si="79"/>
        <v>0</v>
      </c>
      <c r="I3986" s="6"/>
      <c r="J3986" s="43"/>
      <c r="K3986" s="51"/>
      <c r="L3986" s="86"/>
      <c r="M3986" s="256"/>
      <c r="N3986" s="256"/>
    </row>
    <row r="3987" spans="1:14" s="255" customFormat="1" ht="15" x14ac:dyDescent="0.25">
      <c r="A3987" s="1">
        <v>3978</v>
      </c>
      <c r="B3987" s="1" t="s">
        <v>509</v>
      </c>
      <c r="C3987" s="32">
        <v>7072</v>
      </c>
      <c r="D3987" s="1">
        <v>30000</v>
      </c>
      <c r="E3987" s="1"/>
      <c r="F3987" s="1">
        <v>334.78</v>
      </c>
      <c r="G3987" s="1">
        <v>30000</v>
      </c>
      <c r="H3987" s="5">
        <f t="shared" si="79"/>
        <v>0</v>
      </c>
      <c r="I3987" s="6"/>
      <c r="J3987" s="43"/>
      <c r="K3987" s="51"/>
      <c r="L3987" s="86"/>
      <c r="M3987" s="256"/>
      <c r="N3987" s="256"/>
    </row>
    <row r="3988" spans="1:14" s="255" customFormat="1" ht="15" x14ac:dyDescent="0.25">
      <c r="A3988" s="1">
        <v>3979</v>
      </c>
      <c r="B3988" s="1" t="s">
        <v>509</v>
      </c>
      <c r="C3988" s="32">
        <v>1824</v>
      </c>
      <c r="D3988" s="1">
        <v>13000</v>
      </c>
      <c r="E3988" s="1"/>
      <c r="F3988" s="1">
        <v>144.44999999999999</v>
      </c>
      <c r="G3988" s="1">
        <v>13000</v>
      </c>
      <c r="H3988" s="5">
        <f t="shared" si="79"/>
        <v>0</v>
      </c>
      <c r="I3988" s="6"/>
      <c r="J3988" s="43"/>
      <c r="K3988" s="51"/>
      <c r="L3988" s="86"/>
      <c r="M3988" s="256"/>
      <c r="N3988" s="256"/>
    </row>
    <row r="3989" spans="1:14" s="255" customFormat="1" ht="15" x14ac:dyDescent="0.25">
      <c r="A3989" s="1">
        <v>3980</v>
      </c>
      <c r="B3989" s="1" t="s">
        <v>509</v>
      </c>
      <c r="C3989" s="32" t="s">
        <v>30</v>
      </c>
      <c r="D3989" s="1">
        <v>5000</v>
      </c>
      <c r="E3989" s="1"/>
      <c r="F3989" s="1">
        <v>55.48</v>
      </c>
      <c r="G3989" s="1">
        <v>5000</v>
      </c>
      <c r="H3989" s="5">
        <f t="shared" si="79"/>
        <v>0</v>
      </c>
      <c r="I3989" s="6"/>
      <c r="J3989" s="43"/>
      <c r="K3989" s="51"/>
      <c r="L3989" s="86"/>
      <c r="M3989" s="256"/>
      <c r="N3989" s="256"/>
    </row>
    <row r="3990" spans="1:14" s="255" customFormat="1" ht="15" x14ac:dyDescent="0.25">
      <c r="A3990" s="1">
        <v>3981</v>
      </c>
      <c r="B3990" s="1" t="s">
        <v>509</v>
      </c>
      <c r="C3990" s="32">
        <v>6684</v>
      </c>
      <c r="D3990" s="1">
        <v>5000</v>
      </c>
      <c r="E3990" s="1"/>
      <c r="F3990" s="1">
        <v>55.48</v>
      </c>
      <c r="G3990" s="1">
        <v>5000</v>
      </c>
      <c r="H3990" s="5">
        <f t="shared" si="79"/>
        <v>0</v>
      </c>
      <c r="I3990" s="6"/>
      <c r="J3990" s="43"/>
      <c r="K3990" s="51"/>
      <c r="L3990" s="86"/>
      <c r="M3990" s="256"/>
      <c r="N3990" s="256"/>
    </row>
    <row r="3991" spans="1:14" s="255" customFormat="1" ht="15" x14ac:dyDescent="0.25">
      <c r="A3991" s="1">
        <v>3982</v>
      </c>
      <c r="B3991" s="1" t="s">
        <v>509</v>
      </c>
      <c r="C3991" s="32">
        <v>5.1000000000000004E-3</v>
      </c>
      <c r="D3991" s="1">
        <v>16000</v>
      </c>
      <c r="E3991" s="1"/>
      <c r="F3991" s="1">
        <v>178.22</v>
      </c>
      <c r="G3991" s="1">
        <v>16000</v>
      </c>
      <c r="H3991" s="5">
        <f t="shared" si="79"/>
        <v>0</v>
      </c>
      <c r="I3991" s="6"/>
      <c r="J3991" s="43"/>
      <c r="K3991" s="51"/>
      <c r="L3991" s="86"/>
      <c r="M3991" s="256"/>
      <c r="N3991" s="256"/>
    </row>
    <row r="3992" spans="1:14" s="255" customFormat="1" ht="15" x14ac:dyDescent="0.25">
      <c r="A3992" s="1">
        <v>3983</v>
      </c>
      <c r="B3992" s="1" t="s">
        <v>509</v>
      </c>
      <c r="C3992" s="32">
        <v>5151</v>
      </c>
      <c r="D3992" s="1">
        <v>16000</v>
      </c>
      <c r="E3992" s="1"/>
      <c r="F3992" s="1">
        <v>178.22</v>
      </c>
      <c r="G3992" s="1">
        <v>16000</v>
      </c>
      <c r="H3992" s="5">
        <f t="shared" si="79"/>
        <v>0</v>
      </c>
      <c r="I3992" s="6"/>
      <c r="J3992" s="43"/>
      <c r="K3992" s="51"/>
      <c r="L3992" s="86"/>
      <c r="M3992" s="256"/>
      <c r="N3992" s="256"/>
    </row>
    <row r="3993" spans="1:14" s="255" customFormat="1" ht="15" x14ac:dyDescent="0.25">
      <c r="A3993" s="1">
        <v>3984</v>
      </c>
      <c r="B3993" s="1" t="s">
        <v>509</v>
      </c>
      <c r="C3993" s="32">
        <v>5252</v>
      </c>
      <c r="D3993" s="1">
        <v>16000</v>
      </c>
      <c r="E3993" s="1"/>
      <c r="F3993" s="1">
        <v>178.22</v>
      </c>
      <c r="G3993" s="1">
        <v>16000</v>
      </c>
      <c r="H3993" s="5">
        <f t="shared" si="79"/>
        <v>0</v>
      </c>
      <c r="I3993" s="6"/>
      <c r="J3993" s="43"/>
      <c r="K3993" s="51"/>
      <c r="L3993" s="86"/>
      <c r="M3993" s="256"/>
      <c r="N3993" s="256"/>
    </row>
    <row r="3994" spans="1:14" s="255" customFormat="1" ht="15" x14ac:dyDescent="0.25">
      <c r="A3994" s="1">
        <v>3985</v>
      </c>
      <c r="B3994" s="1" t="s">
        <v>509</v>
      </c>
      <c r="C3994" s="32">
        <v>7824</v>
      </c>
      <c r="D3994" s="1">
        <v>27000</v>
      </c>
      <c r="E3994" s="1"/>
      <c r="F3994" s="1">
        <v>285.58</v>
      </c>
      <c r="G3994" s="1">
        <v>27000</v>
      </c>
      <c r="H3994" s="5">
        <f t="shared" si="79"/>
        <v>0</v>
      </c>
      <c r="I3994" s="6"/>
      <c r="J3994" s="43"/>
      <c r="K3994" s="51"/>
      <c r="L3994" s="86"/>
      <c r="M3994" s="256"/>
      <c r="N3994" s="256"/>
    </row>
    <row r="3995" spans="1:14" s="255" customFormat="1" ht="15" x14ac:dyDescent="0.25">
      <c r="A3995" s="1">
        <v>3986</v>
      </c>
      <c r="B3995" s="1" t="s">
        <v>509</v>
      </c>
      <c r="C3995" s="32">
        <v>9378</v>
      </c>
      <c r="D3995" s="1">
        <v>18000</v>
      </c>
      <c r="E3995" s="1"/>
      <c r="F3995" s="1">
        <v>198.47</v>
      </c>
      <c r="G3995" s="1">
        <v>18000</v>
      </c>
      <c r="H3995" s="5">
        <f t="shared" ref="H3995:H4058" si="80">D3995-G3995</f>
        <v>0</v>
      </c>
      <c r="I3995" s="6"/>
      <c r="J3995" s="43"/>
      <c r="K3995" s="51"/>
      <c r="L3995" s="86"/>
      <c r="M3995" s="256"/>
      <c r="N3995" s="256"/>
    </row>
    <row r="3996" spans="1:14" s="255" customFormat="1" ht="15" x14ac:dyDescent="0.25">
      <c r="A3996" s="1">
        <v>3987</v>
      </c>
      <c r="B3996" s="1" t="s">
        <v>509</v>
      </c>
      <c r="C3996" s="32">
        <v>8382</v>
      </c>
      <c r="D3996" s="1">
        <v>25000</v>
      </c>
      <c r="E3996" s="1"/>
      <c r="F3996" s="1">
        <v>278.25</v>
      </c>
      <c r="G3996" s="1">
        <v>25000</v>
      </c>
      <c r="H3996" s="5">
        <f t="shared" si="80"/>
        <v>0</v>
      </c>
      <c r="I3996" s="6"/>
      <c r="J3996" s="43"/>
      <c r="K3996" s="51"/>
      <c r="L3996" s="86"/>
      <c r="M3996" s="256"/>
      <c r="N3996" s="256"/>
    </row>
    <row r="3997" spans="1:14" s="255" customFormat="1" ht="15" x14ac:dyDescent="0.25">
      <c r="A3997" s="1">
        <v>3988</v>
      </c>
      <c r="B3997" s="1" t="s">
        <v>509</v>
      </c>
      <c r="C3997" s="32">
        <v>8797</v>
      </c>
      <c r="D3997" s="1">
        <v>5000</v>
      </c>
      <c r="E3997" s="1"/>
      <c r="F3997" s="1">
        <v>55.48</v>
      </c>
      <c r="G3997" s="1">
        <v>5000</v>
      </c>
      <c r="H3997" s="5">
        <f t="shared" si="80"/>
        <v>0</v>
      </c>
      <c r="I3997" s="6"/>
      <c r="J3997" s="43"/>
      <c r="K3997" s="51"/>
      <c r="L3997" s="86"/>
      <c r="M3997" s="256"/>
      <c r="N3997" s="256"/>
    </row>
    <row r="3998" spans="1:14" s="255" customFormat="1" ht="15" x14ac:dyDescent="0.25">
      <c r="A3998" s="1">
        <v>3989</v>
      </c>
      <c r="B3998" s="1" t="s">
        <v>509</v>
      </c>
      <c r="C3998" s="32">
        <v>4579</v>
      </c>
      <c r="D3998" s="1">
        <v>17000</v>
      </c>
      <c r="E3998" s="1"/>
      <c r="F3998" s="1">
        <v>189.47</v>
      </c>
      <c r="G3998" s="1">
        <v>17000</v>
      </c>
      <c r="H3998" s="5">
        <f t="shared" si="80"/>
        <v>0</v>
      </c>
      <c r="I3998" s="6"/>
      <c r="J3998" s="43"/>
      <c r="K3998" s="51"/>
      <c r="L3998" s="86">
        <f>1600858-1598620</f>
        <v>2238</v>
      </c>
      <c r="M3998" s="256" t="s">
        <v>510</v>
      </c>
      <c r="N3998" s="256">
        <f>4535-2238</f>
        <v>2297</v>
      </c>
    </row>
    <row r="3999" spans="1:14" s="257" customFormat="1" ht="15" x14ac:dyDescent="0.25">
      <c r="A3999" s="1">
        <v>3990</v>
      </c>
      <c r="B3999" s="1" t="s">
        <v>511</v>
      </c>
      <c r="C3999" s="32" t="s">
        <v>30</v>
      </c>
      <c r="D3999" s="1">
        <v>4500</v>
      </c>
      <c r="E3999" s="1"/>
      <c r="F3999" s="1">
        <v>50.33</v>
      </c>
      <c r="G3999" s="1">
        <v>4500</v>
      </c>
      <c r="H3999" s="5">
        <f t="shared" si="80"/>
        <v>0</v>
      </c>
      <c r="I3999" s="6"/>
      <c r="J3999" s="43"/>
      <c r="K3999" s="51"/>
      <c r="L3999" s="86"/>
      <c r="M3999" s="258"/>
      <c r="N3999" s="258"/>
    </row>
    <row r="4000" spans="1:14" s="257" customFormat="1" ht="15" x14ac:dyDescent="0.25">
      <c r="A4000" s="1">
        <v>3991</v>
      </c>
      <c r="B4000" s="1" t="s">
        <v>511</v>
      </c>
      <c r="C4000" s="32">
        <v>5.1999999999999998E-3</v>
      </c>
      <c r="D4000" s="1">
        <v>16000</v>
      </c>
      <c r="E4000" s="1"/>
      <c r="F4000" s="1">
        <v>178.22</v>
      </c>
      <c r="G4000" s="1">
        <v>16000</v>
      </c>
      <c r="H4000" s="5">
        <f t="shared" si="80"/>
        <v>0</v>
      </c>
      <c r="I4000" s="6"/>
      <c r="J4000" s="43"/>
      <c r="K4000" s="51"/>
      <c r="L4000" s="86"/>
      <c r="M4000" s="258"/>
      <c r="N4000" s="258"/>
    </row>
    <row r="4001" spans="1:14" s="257" customFormat="1" ht="15" x14ac:dyDescent="0.25">
      <c r="A4001" s="1">
        <v>3992</v>
      </c>
      <c r="B4001" s="1" t="s">
        <v>511</v>
      </c>
      <c r="C4001" s="32">
        <v>2681</v>
      </c>
      <c r="D4001" s="1">
        <v>16000</v>
      </c>
      <c r="E4001" s="1"/>
      <c r="F4001" s="1">
        <v>178.22</v>
      </c>
      <c r="G4001" s="1">
        <v>16000</v>
      </c>
      <c r="H4001" s="5">
        <f t="shared" si="80"/>
        <v>0</v>
      </c>
      <c r="I4001" s="6"/>
      <c r="J4001" s="43"/>
      <c r="K4001" s="51"/>
      <c r="L4001" s="86"/>
      <c r="M4001" s="258"/>
      <c r="N4001" s="258"/>
    </row>
    <row r="4002" spans="1:14" s="257" customFormat="1" ht="15" x14ac:dyDescent="0.25">
      <c r="A4002" s="1">
        <v>3993</v>
      </c>
      <c r="B4002" s="1" t="s">
        <v>511</v>
      </c>
      <c r="C4002" s="32">
        <v>9793</v>
      </c>
      <c r="D4002" s="1">
        <v>16000</v>
      </c>
      <c r="E4002" s="1"/>
      <c r="F4002" s="1">
        <v>178.22</v>
      </c>
      <c r="G4002" s="1">
        <v>16000</v>
      </c>
      <c r="H4002" s="5">
        <f t="shared" si="80"/>
        <v>0</v>
      </c>
      <c r="I4002" s="6"/>
      <c r="J4002" s="43"/>
      <c r="K4002" s="51"/>
      <c r="L4002" s="86"/>
      <c r="M4002" s="258"/>
      <c r="N4002" s="258"/>
    </row>
    <row r="4003" spans="1:14" s="257" customFormat="1" ht="15" x14ac:dyDescent="0.25">
      <c r="A4003" s="1">
        <v>3994</v>
      </c>
      <c r="B4003" s="1" t="s">
        <v>511</v>
      </c>
      <c r="C4003" s="32">
        <v>9645</v>
      </c>
      <c r="D4003" s="1">
        <v>16000</v>
      </c>
      <c r="E4003" s="1"/>
      <c r="F4003" s="1">
        <v>178.22</v>
      </c>
      <c r="G4003" s="1">
        <v>16000</v>
      </c>
      <c r="H4003" s="5">
        <f t="shared" si="80"/>
        <v>0</v>
      </c>
      <c r="I4003" s="6"/>
      <c r="J4003" s="43"/>
      <c r="K4003" s="51"/>
      <c r="L4003" s="86"/>
      <c r="M4003" s="258"/>
      <c r="N4003" s="258"/>
    </row>
    <row r="4004" spans="1:14" s="257" customFormat="1" ht="15" x14ac:dyDescent="0.25">
      <c r="A4004" s="1">
        <v>3995</v>
      </c>
      <c r="B4004" s="1" t="s">
        <v>511</v>
      </c>
      <c r="C4004" s="32">
        <v>5931</v>
      </c>
      <c r="D4004" s="1">
        <v>18000</v>
      </c>
      <c r="E4004" s="1"/>
      <c r="F4004" s="1">
        <v>200.48</v>
      </c>
      <c r="G4004" s="1">
        <v>18000</v>
      </c>
      <c r="H4004" s="5">
        <f t="shared" si="80"/>
        <v>0</v>
      </c>
      <c r="I4004" s="6"/>
      <c r="J4004" s="43"/>
      <c r="K4004" s="51"/>
      <c r="L4004" s="86"/>
      <c r="M4004" s="258"/>
      <c r="N4004" s="258"/>
    </row>
    <row r="4005" spans="1:14" s="257" customFormat="1" ht="15" x14ac:dyDescent="0.25">
      <c r="A4005" s="1">
        <v>3996</v>
      </c>
      <c r="B4005" s="1" t="s">
        <v>511</v>
      </c>
      <c r="C4005" s="32">
        <v>3941</v>
      </c>
      <c r="D4005" s="1">
        <v>14000</v>
      </c>
      <c r="E4005" s="1"/>
      <c r="F4005" s="1">
        <v>155.47999999999999</v>
      </c>
      <c r="G4005" s="1">
        <v>14000</v>
      </c>
      <c r="H4005" s="5">
        <f t="shared" si="80"/>
        <v>0</v>
      </c>
      <c r="I4005" s="6"/>
      <c r="J4005" s="43"/>
      <c r="K4005" s="51"/>
      <c r="L4005" s="86"/>
      <c r="M4005" s="258"/>
      <c r="N4005" s="258"/>
    </row>
    <row r="4006" spans="1:14" s="257" customFormat="1" ht="15" x14ac:dyDescent="0.25">
      <c r="A4006" s="1">
        <v>3997</v>
      </c>
      <c r="B4006" s="1" t="s">
        <v>511</v>
      </c>
      <c r="C4006" s="32">
        <v>6496</v>
      </c>
      <c r="D4006" s="1">
        <v>14000</v>
      </c>
      <c r="E4006" s="1"/>
      <c r="F4006" s="1">
        <v>155.47999999999999</v>
      </c>
      <c r="G4006" s="1">
        <v>14000</v>
      </c>
      <c r="H4006" s="5">
        <f t="shared" si="80"/>
        <v>0</v>
      </c>
      <c r="I4006" s="6"/>
      <c r="J4006" s="43"/>
      <c r="K4006" s="51"/>
      <c r="L4006" s="86"/>
      <c r="M4006" s="258"/>
      <c r="N4006" s="258"/>
    </row>
    <row r="4007" spans="1:14" s="257" customFormat="1" ht="15" x14ac:dyDescent="0.25">
      <c r="A4007" s="1">
        <v>3998</v>
      </c>
      <c r="B4007" s="1" t="s">
        <v>511</v>
      </c>
      <c r="C4007" s="32">
        <v>2807</v>
      </c>
      <c r="D4007" s="1">
        <v>15000</v>
      </c>
      <c r="E4007" s="1"/>
      <c r="F4007" s="1">
        <v>167.15</v>
      </c>
      <c r="G4007" s="1">
        <v>15000</v>
      </c>
      <c r="H4007" s="5">
        <f t="shared" si="80"/>
        <v>0</v>
      </c>
      <c r="I4007" s="6"/>
      <c r="J4007" s="43"/>
      <c r="K4007" s="51"/>
      <c r="L4007" s="86"/>
      <c r="M4007" s="258"/>
      <c r="N4007" s="258"/>
    </row>
    <row r="4008" spans="1:14" s="257" customFormat="1" ht="15" x14ac:dyDescent="0.25">
      <c r="A4008" s="1">
        <v>3999</v>
      </c>
      <c r="B4008" s="1" t="s">
        <v>511</v>
      </c>
      <c r="C4008" s="32">
        <v>1721</v>
      </c>
      <c r="D4008" s="1">
        <v>15000</v>
      </c>
      <c r="E4008" s="1"/>
      <c r="F4008" s="1">
        <v>167.15</v>
      </c>
      <c r="G4008" s="1">
        <v>15000</v>
      </c>
      <c r="H4008" s="5">
        <f t="shared" si="80"/>
        <v>0</v>
      </c>
      <c r="I4008" s="6"/>
      <c r="J4008" s="43"/>
      <c r="K4008" s="51"/>
      <c r="L4008" s="86"/>
      <c r="M4008" s="258"/>
      <c r="N4008" s="258"/>
    </row>
    <row r="4009" spans="1:14" s="257" customFormat="1" ht="15" x14ac:dyDescent="0.25">
      <c r="A4009" s="1">
        <v>4000</v>
      </c>
      <c r="B4009" s="1" t="s">
        <v>511</v>
      </c>
      <c r="C4009" s="32">
        <v>9327</v>
      </c>
      <c r="D4009" s="1">
        <v>10000</v>
      </c>
      <c r="E4009" s="1"/>
      <c r="F4009" s="1">
        <v>111.47</v>
      </c>
      <c r="G4009" s="1">
        <v>10000</v>
      </c>
      <c r="H4009" s="5">
        <f t="shared" si="80"/>
        <v>0</v>
      </c>
      <c r="I4009" s="6"/>
      <c r="J4009" s="43"/>
      <c r="K4009" s="51"/>
      <c r="L4009" s="86"/>
      <c r="M4009" s="258"/>
      <c r="N4009" s="258"/>
    </row>
    <row r="4010" spans="1:14" s="257" customFormat="1" ht="15" x14ac:dyDescent="0.25">
      <c r="A4010" s="1">
        <v>4001</v>
      </c>
      <c r="B4010" s="1" t="s">
        <v>511</v>
      </c>
      <c r="C4010" s="32">
        <v>1416</v>
      </c>
      <c r="D4010" s="1">
        <v>10000</v>
      </c>
      <c r="E4010" s="1"/>
      <c r="F4010" s="1">
        <v>111.47</v>
      </c>
      <c r="G4010" s="1">
        <v>10000</v>
      </c>
      <c r="H4010" s="5">
        <f t="shared" si="80"/>
        <v>0</v>
      </c>
      <c r="I4010" s="6"/>
      <c r="J4010" s="43"/>
      <c r="K4010" s="51"/>
      <c r="L4010" s="86"/>
      <c r="M4010" s="258"/>
      <c r="N4010" s="258"/>
    </row>
    <row r="4011" spans="1:14" s="257" customFormat="1" ht="15" x14ac:dyDescent="0.25">
      <c r="A4011" s="1">
        <v>4002</v>
      </c>
      <c r="B4011" s="1" t="s">
        <v>511</v>
      </c>
      <c r="C4011" s="32">
        <v>6449</v>
      </c>
      <c r="D4011" s="1">
        <v>30000</v>
      </c>
      <c r="E4011" s="1"/>
      <c r="F4011" s="1">
        <v>334.78</v>
      </c>
      <c r="G4011" s="1">
        <v>30000</v>
      </c>
      <c r="H4011" s="5">
        <f t="shared" si="80"/>
        <v>0</v>
      </c>
      <c r="I4011" s="6"/>
      <c r="J4011" s="43"/>
      <c r="K4011" s="51"/>
      <c r="L4011" s="86"/>
      <c r="M4011" s="258"/>
      <c r="N4011" s="258"/>
    </row>
    <row r="4012" spans="1:14" s="257" customFormat="1" ht="15" x14ac:dyDescent="0.25">
      <c r="A4012" s="1">
        <v>4003</v>
      </c>
      <c r="B4012" s="1" t="s">
        <v>511</v>
      </c>
      <c r="C4012" s="32">
        <v>6574</v>
      </c>
      <c r="D4012" s="1">
        <v>30000</v>
      </c>
      <c r="E4012" s="1"/>
      <c r="F4012" s="1">
        <v>334.78</v>
      </c>
      <c r="G4012" s="1">
        <v>30000</v>
      </c>
      <c r="H4012" s="5">
        <f t="shared" si="80"/>
        <v>0</v>
      </c>
      <c r="I4012" s="6"/>
      <c r="J4012" s="43"/>
      <c r="K4012" s="51"/>
      <c r="L4012" s="86"/>
      <c r="M4012" s="258"/>
      <c r="N4012" s="258"/>
    </row>
    <row r="4013" spans="1:14" s="257" customFormat="1" ht="15" x14ac:dyDescent="0.25">
      <c r="A4013" s="1">
        <v>4004</v>
      </c>
      <c r="B4013" s="1" t="s">
        <v>511</v>
      </c>
      <c r="C4013" s="32" t="s">
        <v>66</v>
      </c>
      <c r="D4013" s="1">
        <v>100</v>
      </c>
      <c r="E4013" s="1"/>
      <c r="F4013" s="1">
        <v>1.05</v>
      </c>
      <c r="G4013" s="1">
        <v>100</v>
      </c>
      <c r="H4013" s="5">
        <f t="shared" si="80"/>
        <v>0</v>
      </c>
      <c r="I4013" s="6"/>
      <c r="J4013" s="43"/>
      <c r="K4013" s="51"/>
      <c r="L4013" s="86"/>
      <c r="M4013" s="258"/>
      <c r="N4013" s="258"/>
    </row>
    <row r="4014" spans="1:14" s="257" customFormat="1" ht="15" x14ac:dyDescent="0.25">
      <c r="A4014" s="1">
        <v>4005</v>
      </c>
      <c r="B4014" s="1" t="s">
        <v>511</v>
      </c>
      <c r="C4014" s="32">
        <v>9122</v>
      </c>
      <c r="D4014" s="1">
        <v>11000</v>
      </c>
      <c r="E4014" s="1"/>
      <c r="F4014" s="1">
        <v>122.48</v>
      </c>
      <c r="G4014" s="1">
        <v>11000</v>
      </c>
      <c r="H4014" s="5">
        <f t="shared" si="80"/>
        <v>0</v>
      </c>
      <c r="I4014" s="6"/>
      <c r="J4014" s="43"/>
      <c r="K4014" s="51"/>
      <c r="L4014" s="86"/>
      <c r="M4014" s="258"/>
      <c r="N4014" s="258"/>
    </row>
    <row r="4015" spans="1:14" s="257" customFormat="1" ht="15" x14ac:dyDescent="0.25">
      <c r="A4015" s="1">
        <v>4006</v>
      </c>
      <c r="B4015" s="1" t="s">
        <v>511</v>
      </c>
      <c r="C4015" s="32">
        <v>5278</v>
      </c>
      <c r="D4015" s="1">
        <v>23000</v>
      </c>
      <c r="E4015" s="1"/>
      <c r="F4015" s="1">
        <v>250.47</v>
      </c>
      <c r="G4015" s="1">
        <v>23000</v>
      </c>
      <c r="H4015" s="5">
        <f t="shared" si="80"/>
        <v>0</v>
      </c>
      <c r="I4015" s="6"/>
      <c r="J4015" s="43"/>
      <c r="K4015" s="51"/>
      <c r="L4015" s="86"/>
      <c r="M4015" s="258"/>
      <c r="N4015" s="258"/>
    </row>
    <row r="4016" spans="1:14" s="257" customFormat="1" ht="15" x14ac:dyDescent="0.25">
      <c r="A4016" s="1">
        <v>4007</v>
      </c>
      <c r="B4016" s="1" t="s">
        <v>511</v>
      </c>
      <c r="C4016" s="32">
        <v>5498</v>
      </c>
      <c r="D4016" s="1">
        <v>21000</v>
      </c>
      <c r="E4016" s="1"/>
      <c r="F4016" s="1">
        <v>233.48</v>
      </c>
      <c r="G4016" s="1">
        <v>21000</v>
      </c>
      <c r="H4016" s="5">
        <f t="shared" si="80"/>
        <v>0</v>
      </c>
      <c r="I4016" s="6"/>
      <c r="J4016" s="43"/>
      <c r="K4016" s="51"/>
      <c r="L4016" s="86"/>
      <c r="M4016" s="258"/>
      <c r="N4016" s="258"/>
    </row>
    <row r="4017" spans="1:14" s="257" customFormat="1" ht="15" x14ac:dyDescent="0.25">
      <c r="A4017" s="1">
        <v>4008</v>
      </c>
      <c r="B4017" s="1" t="s">
        <v>511</v>
      </c>
      <c r="C4017" s="32">
        <v>3.3700000000000001E-2</v>
      </c>
      <c r="D4017" s="1">
        <v>22000</v>
      </c>
      <c r="E4017" s="1"/>
      <c r="F4017" s="1">
        <v>229.75</v>
      </c>
      <c r="G4017" s="1">
        <v>22000</v>
      </c>
      <c r="H4017" s="5">
        <f t="shared" si="80"/>
        <v>0</v>
      </c>
      <c r="I4017" s="6"/>
      <c r="J4017" s="43"/>
      <c r="K4017" s="51"/>
      <c r="L4017" s="86"/>
      <c r="M4017" s="258"/>
      <c r="N4017" s="258"/>
    </row>
    <row r="4018" spans="1:14" s="257" customFormat="1" ht="15" x14ac:dyDescent="0.25">
      <c r="A4018" s="1">
        <v>4009</v>
      </c>
      <c r="B4018" s="1" t="s">
        <v>511</v>
      </c>
      <c r="C4018" s="32">
        <v>4188</v>
      </c>
      <c r="D4018" s="1">
        <v>17000</v>
      </c>
      <c r="E4018" s="1"/>
      <c r="F4018" s="1">
        <v>189.47</v>
      </c>
      <c r="G4018" s="1">
        <v>17000</v>
      </c>
      <c r="H4018" s="5">
        <f t="shared" si="80"/>
        <v>0</v>
      </c>
      <c r="I4018" s="6"/>
      <c r="J4018" s="43"/>
      <c r="K4018" s="51"/>
      <c r="L4018" s="86"/>
      <c r="M4018" s="258"/>
      <c r="N4018" s="258"/>
    </row>
    <row r="4019" spans="1:14" s="257" customFormat="1" ht="15" x14ac:dyDescent="0.25">
      <c r="A4019" s="1">
        <v>4010</v>
      </c>
      <c r="B4019" s="1" t="s">
        <v>511</v>
      </c>
      <c r="C4019" s="32">
        <v>6016</v>
      </c>
      <c r="D4019" s="1">
        <v>17000</v>
      </c>
      <c r="E4019" s="1"/>
      <c r="F4019" s="1">
        <v>189.47</v>
      </c>
      <c r="G4019" s="1">
        <v>17000</v>
      </c>
      <c r="H4019" s="5">
        <f t="shared" si="80"/>
        <v>0</v>
      </c>
      <c r="I4019" s="6"/>
      <c r="J4019" s="43"/>
      <c r="K4019" s="51"/>
      <c r="L4019" s="86"/>
      <c r="M4019" s="259" t="s">
        <v>75</v>
      </c>
      <c r="N4019" s="258"/>
    </row>
    <row r="4020" spans="1:14" s="257" customFormat="1" ht="15" x14ac:dyDescent="0.25">
      <c r="A4020" s="1">
        <v>4011</v>
      </c>
      <c r="B4020" s="1" t="s">
        <v>511</v>
      </c>
      <c r="C4020" s="32">
        <v>9345</v>
      </c>
      <c r="D4020" s="1">
        <v>18000</v>
      </c>
      <c r="E4020" s="1"/>
      <c r="F4020" s="1">
        <v>200.48</v>
      </c>
      <c r="G4020" s="1">
        <v>18000</v>
      </c>
      <c r="H4020" s="5">
        <f t="shared" si="80"/>
        <v>0</v>
      </c>
      <c r="I4020" s="6"/>
      <c r="J4020" s="43"/>
      <c r="K4020" s="51"/>
      <c r="L4020" s="86"/>
      <c r="M4020" s="258"/>
      <c r="N4020" s="258"/>
    </row>
    <row r="4021" spans="1:14" s="257" customFormat="1" ht="15" x14ac:dyDescent="0.25">
      <c r="A4021" s="1">
        <v>4012</v>
      </c>
      <c r="B4021" s="1" t="s">
        <v>511</v>
      </c>
      <c r="C4021" s="32">
        <v>6469</v>
      </c>
      <c r="D4021" s="1">
        <v>25000</v>
      </c>
      <c r="E4021" s="1"/>
      <c r="F4021" s="1">
        <v>278.22000000000003</v>
      </c>
      <c r="G4021" s="1">
        <v>25000</v>
      </c>
      <c r="H4021" s="5">
        <f t="shared" si="80"/>
        <v>0</v>
      </c>
      <c r="I4021" s="6"/>
      <c r="J4021" s="43"/>
      <c r="K4021" s="51"/>
      <c r="L4021" s="86"/>
      <c r="M4021" s="258"/>
      <c r="N4021" s="258"/>
    </row>
    <row r="4022" spans="1:14" s="257" customFormat="1" ht="15" x14ac:dyDescent="0.25">
      <c r="A4022" s="1">
        <v>4013</v>
      </c>
      <c r="B4022" s="1" t="s">
        <v>511</v>
      </c>
      <c r="C4022" s="32">
        <v>7932</v>
      </c>
      <c r="D4022" s="1">
        <v>25000</v>
      </c>
      <c r="E4022" s="1"/>
      <c r="F4022" s="1">
        <v>278.22000000000003</v>
      </c>
      <c r="G4022" s="1">
        <v>25000</v>
      </c>
      <c r="H4022" s="5">
        <f t="shared" si="80"/>
        <v>0</v>
      </c>
      <c r="I4022" s="6"/>
      <c r="J4022" s="43"/>
      <c r="K4022" s="51"/>
      <c r="L4022" s="86"/>
      <c r="M4022" s="258"/>
      <c r="N4022" s="258"/>
    </row>
    <row r="4023" spans="1:14" s="257" customFormat="1" ht="15" x14ac:dyDescent="0.25">
      <c r="A4023" s="1">
        <v>4014</v>
      </c>
      <c r="B4023" s="1" t="s">
        <v>511</v>
      </c>
      <c r="C4023" s="32">
        <v>5553</v>
      </c>
      <c r="D4023" s="1">
        <v>30000</v>
      </c>
      <c r="E4023" s="1"/>
      <c r="F4023" s="1">
        <v>334.78</v>
      </c>
      <c r="G4023" s="1">
        <v>30000</v>
      </c>
      <c r="H4023" s="5">
        <f t="shared" si="80"/>
        <v>0</v>
      </c>
      <c r="I4023" s="6"/>
      <c r="J4023" s="43"/>
      <c r="K4023" s="51"/>
      <c r="L4023" s="86"/>
      <c r="M4023" s="258"/>
      <c r="N4023" s="258"/>
    </row>
    <row r="4024" spans="1:14" s="257" customFormat="1" ht="15" x14ac:dyDescent="0.25">
      <c r="A4024" s="1">
        <v>4015</v>
      </c>
      <c r="B4024" s="1" t="s">
        <v>511</v>
      </c>
      <c r="C4024" s="32">
        <v>9193</v>
      </c>
      <c r="D4024" s="1">
        <v>20000</v>
      </c>
      <c r="E4024" s="1"/>
      <c r="F4024" s="1">
        <v>222.78</v>
      </c>
      <c r="G4024" s="1">
        <v>20000</v>
      </c>
      <c r="H4024" s="5">
        <f t="shared" si="80"/>
        <v>0</v>
      </c>
      <c r="I4024" s="6"/>
      <c r="J4024" s="43"/>
      <c r="K4024" s="51"/>
      <c r="L4024" s="86">
        <f>1854458-1852220</f>
        <v>2238</v>
      </c>
      <c r="M4024" s="258" t="s">
        <v>510</v>
      </c>
      <c r="N4024" s="258">
        <f>4535-2238</f>
        <v>2297</v>
      </c>
    </row>
    <row r="4025" spans="1:14" s="260" customFormat="1" ht="15" x14ac:dyDescent="0.25">
      <c r="A4025" s="1"/>
      <c r="B4025" s="1" t="s">
        <v>512</v>
      </c>
      <c r="C4025" s="32" t="s">
        <v>30</v>
      </c>
      <c r="D4025" s="1">
        <v>4000</v>
      </c>
      <c r="E4025" s="1"/>
      <c r="F4025" s="1">
        <v>44.45</v>
      </c>
      <c r="G4025" s="1">
        <v>4000</v>
      </c>
      <c r="H4025" s="5">
        <f t="shared" si="80"/>
        <v>0</v>
      </c>
      <c r="I4025" s="6"/>
      <c r="J4025" s="43"/>
      <c r="K4025" s="51"/>
      <c r="L4025" s="86"/>
      <c r="M4025" s="261"/>
      <c r="N4025" s="261"/>
    </row>
    <row r="4026" spans="1:14" s="260" customFormat="1" ht="15" x14ac:dyDescent="0.25">
      <c r="A4026" s="1"/>
      <c r="B4026" s="1" t="s">
        <v>512</v>
      </c>
      <c r="C4026" s="32" t="s">
        <v>30</v>
      </c>
      <c r="D4026" s="1">
        <v>5000</v>
      </c>
      <c r="E4026" s="1"/>
      <c r="F4026" s="1">
        <v>55.15</v>
      </c>
      <c r="G4026" s="1">
        <v>5000</v>
      </c>
      <c r="H4026" s="5">
        <f t="shared" si="80"/>
        <v>0</v>
      </c>
      <c r="I4026" s="6"/>
      <c r="J4026" s="43"/>
      <c r="K4026" s="51"/>
      <c r="L4026" s="86"/>
      <c r="M4026" s="261"/>
      <c r="N4026" s="261"/>
    </row>
    <row r="4027" spans="1:14" s="260" customFormat="1" ht="15" x14ac:dyDescent="0.25">
      <c r="A4027" s="1"/>
      <c r="B4027" s="1" t="s">
        <v>512</v>
      </c>
      <c r="C4027" s="32">
        <v>3363</v>
      </c>
      <c r="D4027" s="1">
        <v>14000</v>
      </c>
      <c r="E4027" s="1"/>
      <c r="F4027" s="1">
        <v>155.44999999999999</v>
      </c>
      <c r="G4027" s="1">
        <v>14000</v>
      </c>
      <c r="H4027" s="5">
        <f t="shared" si="80"/>
        <v>0</v>
      </c>
      <c r="I4027" s="6"/>
      <c r="J4027" s="43"/>
      <c r="K4027" s="51"/>
      <c r="L4027" s="86"/>
      <c r="M4027" s="261"/>
      <c r="N4027" s="261"/>
    </row>
    <row r="4028" spans="1:14" s="260" customFormat="1" ht="15" x14ac:dyDescent="0.25">
      <c r="A4028" s="1"/>
      <c r="B4028" s="1" t="s">
        <v>512</v>
      </c>
      <c r="C4028" s="32">
        <v>2.53E-2</v>
      </c>
      <c r="D4028" s="1">
        <v>15000</v>
      </c>
      <c r="E4028" s="1"/>
      <c r="F4028" s="1">
        <v>167.15</v>
      </c>
      <c r="G4028" s="1">
        <v>15000</v>
      </c>
      <c r="H4028" s="5">
        <f t="shared" si="80"/>
        <v>0</v>
      </c>
      <c r="I4028" s="6"/>
      <c r="J4028" s="43"/>
      <c r="K4028" s="51"/>
      <c r="L4028" s="86"/>
      <c r="M4028" s="261"/>
      <c r="N4028" s="261"/>
    </row>
    <row r="4029" spans="1:14" s="260" customFormat="1" ht="15" x14ac:dyDescent="0.25">
      <c r="A4029" s="1"/>
      <c r="B4029" s="1" t="s">
        <v>512</v>
      </c>
      <c r="C4029" s="32">
        <v>1.5299999999999999E-2</v>
      </c>
      <c r="D4029" s="1">
        <v>17000</v>
      </c>
      <c r="E4029" s="1"/>
      <c r="F4029" s="1">
        <v>189.11</v>
      </c>
      <c r="G4029" s="1">
        <v>17000</v>
      </c>
      <c r="H4029" s="5">
        <f t="shared" si="80"/>
        <v>0</v>
      </c>
      <c r="I4029" s="6"/>
      <c r="J4029" s="43"/>
      <c r="K4029" s="51"/>
      <c r="L4029" s="86"/>
      <c r="M4029" s="261"/>
      <c r="N4029" s="261"/>
    </row>
    <row r="4030" spans="1:14" s="260" customFormat="1" ht="15" x14ac:dyDescent="0.25">
      <c r="A4030" s="1"/>
      <c r="B4030" s="1" t="s">
        <v>512</v>
      </c>
      <c r="C4030" s="32">
        <v>9981</v>
      </c>
      <c r="D4030" s="1">
        <v>24000</v>
      </c>
      <c r="E4030" s="1"/>
      <c r="F4030" s="1">
        <v>267.48</v>
      </c>
      <c r="G4030" s="1">
        <v>24000</v>
      </c>
      <c r="H4030" s="5">
        <f t="shared" si="80"/>
        <v>0</v>
      </c>
      <c r="I4030" s="6"/>
      <c r="J4030" s="43"/>
      <c r="K4030" s="51"/>
      <c r="L4030" s="86"/>
      <c r="M4030" s="261"/>
      <c r="N4030" s="261"/>
    </row>
    <row r="4031" spans="1:14" s="260" customFormat="1" ht="15" x14ac:dyDescent="0.25">
      <c r="A4031" s="1"/>
      <c r="B4031" s="1" t="s">
        <v>512</v>
      </c>
      <c r="C4031" s="32">
        <v>4925</v>
      </c>
      <c r="D4031" s="1">
        <v>14000</v>
      </c>
      <c r="E4031" s="1"/>
      <c r="F4031" s="1">
        <v>155.44999999999999</v>
      </c>
      <c r="G4031" s="1">
        <v>14000</v>
      </c>
      <c r="H4031" s="5">
        <f t="shared" si="80"/>
        <v>0</v>
      </c>
      <c r="I4031" s="6"/>
      <c r="J4031" s="43"/>
      <c r="K4031" s="51"/>
      <c r="L4031" s="86"/>
      <c r="M4031" s="261"/>
      <c r="N4031" s="261"/>
    </row>
    <row r="4032" spans="1:14" s="260" customFormat="1" ht="15" x14ac:dyDescent="0.25">
      <c r="A4032" s="1"/>
      <c r="B4032" s="1" t="s">
        <v>512</v>
      </c>
      <c r="C4032" s="32">
        <v>5931</v>
      </c>
      <c r="D4032" s="1">
        <v>16000</v>
      </c>
      <c r="E4032" s="1"/>
      <c r="F4032" s="1">
        <v>178.22</v>
      </c>
      <c r="G4032" s="1">
        <v>16000</v>
      </c>
      <c r="H4032" s="5">
        <f t="shared" si="80"/>
        <v>0</v>
      </c>
      <c r="I4032" s="6"/>
      <c r="J4032" s="43"/>
      <c r="K4032" s="51"/>
      <c r="L4032" s="86"/>
      <c r="M4032" s="261"/>
      <c r="N4032" s="261"/>
    </row>
    <row r="4033" spans="1:14" s="260" customFormat="1" ht="15" x14ac:dyDescent="0.25">
      <c r="A4033" s="1"/>
      <c r="B4033" s="1" t="s">
        <v>512</v>
      </c>
      <c r="C4033" s="32">
        <v>6931</v>
      </c>
      <c r="D4033" s="1">
        <v>16000</v>
      </c>
      <c r="E4033" s="1"/>
      <c r="F4033" s="1">
        <v>178.22</v>
      </c>
      <c r="G4033" s="1">
        <v>16000</v>
      </c>
      <c r="H4033" s="5">
        <f t="shared" si="80"/>
        <v>0</v>
      </c>
      <c r="I4033" s="6"/>
      <c r="J4033" s="43"/>
      <c r="K4033" s="51"/>
      <c r="L4033" s="86"/>
      <c r="M4033" s="261"/>
      <c r="N4033" s="261"/>
    </row>
    <row r="4034" spans="1:14" s="260" customFormat="1" ht="15" x14ac:dyDescent="0.25">
      <c r="A4034" s="1"/>
      <c r="B4034" s="1" t="s">
        <v>512</v>
      </c>
      <c r="C4034" s="32">
        <v>3614</v>
      </c>
      <c r="D4034" s="1">
        <v>7000</v>
      </c>
      <c r="E4034" s="1"/>
      <c r="F4034" s="1">
        <v>77.48</v>
      </c>
      <c r="G4034" s="1">
        <v>7000</v>
      </c>
      <c r="H4034" s="5">
        <f t="shared" si="80"/>
        <v>0</v>
      </c>
      <c r="I4034" s="6"/>
      <c r="J4034" s="43"/>
      <c r="K4034" s="51"/>
      <c r="L4034" s="86"/>
      <c r="M4034" s="261"/>
      <c r="N4034" s="261"/>
    </row>
    <row r="4035" spans="1:14" s="260" customFormat="1" ht="15" x14ac:dyDescent="0.25">
      <c r="A4035" s="1"/>
      <c r="B4035" s="1" t="s">
        <v>512</v>
      </c>
      <c r="C4035" s="32">
        <v>2809</v>
      </c>
      <c r="D4035" s="1">
        <v>15000</v>
      </c>
      <c r="E4035" s="1"/>
      <c r="F4035" s="1">
        <v>167.15</v>
      </c>
      <c r="G4035" s="1">
        <v>15000</v>
      </c>
      <c r="H4035" s="5">
        <f t="shared" si="80"/>
        <v>0</v>
      </c>
      <c r="I4035" s="6"/>
      <c r="J4035" s="43"/>
      <c r="K4035" s="51"/>
      <c r="L4035" s="86"/>
      <c r="M4035" s="261"/>
      <c r="N4035" s="261"/>
    </row>
    <row r="4036" spans="1:14" s="260" customFormat="1" ht="15" x14ac:dyDescent="0.25">
      <c r="A4036" s="1"/>
      <c r="B4036" s="1" t="s">
        <v>512</v>
      </c>
      <c r="C4036" s="32">
        <v>2802</v>
      </c>
      <c r="D4036" s="1">
        <v>5000</v>
      </c>
      <c r="E4036" s="1"/>
      <c r="F4036" s="1">
        <v>50.24</v>
      </c>
      <c r="G4036" s="1">
        <v>5000</v>
      </c>
      <c r="H4036" s="5">
        <f t="shared" si="80"/>
        <v>0</v>
      </c>
      <c r="I4036" s="6"/>
      <c r="J4036" s="43"/>
      <c r="K4036" s="51"/>
      <c r="L4036" s="86"/>
      <c r="M4036" s="261"/>
      <c r="N4036" s="261"/>
    </row>
    <row r="4037" spans="1:14" s="260" customFormat="1" ht="15" x14ac:dyDescent="0.25">
      <c r="A4037" s="1"/>
      <c r="B4037" s="1" t="s">
        <v>512</v>
      </c>
      <c r="C4037" s="32">
        <v>5210</v>
      </c>
      <c r="D4037" s="1">
        <v>15000</v>
      </c>
      <c r="E4037" s="1"/>
      <c r="F4037" s="1">
        <v>167.15</v>
      </c>
      <c r="G4037" s="1">
        <v>15000</v>
      </c>
      <c r="H4037" s="5">
        <f t="shared" si="80"/>
        <v>0</v>
      </c>
      <c r="I4037" s="6"/>
      <c r="J4037" s="43"/>
      <c r="K4037" s="51"/>
      <c r="L4037" s="86"/>
      <c r="M4037" s="261"/>
      <c r="N4037" s="261"/>
    </row>
    <row r="4038" spans="1:14" s="260" customFormat="1" ht="15" x14ac:dyDescent="0.25">
      <c r="A4038" s="1"/>
      <c r="B4038" s="1" t="s">
        <v>512</v>
      </c>
      <c r="C4038" s="32">
        <v>4722</v>
      </c>
      <c r="D4038" s="1">
        <v>15000</v>
      </c>
      <c r="E4038" s="1"/>
      <c r="F4038" s="1">
        <v>167.15</v>
      </c>
      <c r="G4038" s="1">
        <v>15000</v>
      </c>
      <c r="H4038" s="5">
        <f t="shared" si="80"/>
        <v>0</v>
      </c>
      <c r="I4038" s="6"/>
      <c r="J4038" s="43"/>
      <c r="K4038" s="51"/>
      <c r="L4038" s="86"/>
      <c r="M4038" s="261"/>
      <c r="N4038" s="261"/>
    </row>
    <row r="4039" spans="1:14" s="260" customFormat="1" ht="15" x14ac:dyDescent="0.25">
      <c r="A4039" s="1"/>
      <c r="B4039" s="1" t="s">
        <v>512</v>
      </c>
      <c r="C4039" s="32">
        <v>6496</v>
      </c>
      <c r="D4039" s="1">
        <v>14000</v>
      </c>
      <c r="E4039" s="1"/>
      <c r="F4039" s="1">
        <v>155.47999999999999</v>
      </c>
      <c r="G4039" s="1">
        <v>14000</v>
      </c>
      <c r="H4039" s="5">
        <f t="shared" si="80"/>
        <v>0</v>
      </c>
      <c r="I4039" s="6"/>
      <c r="J4039" s="43"/>
      <c r="K4039" s="51"/>
      <c r="L4039" s="86"/>
      <c r="M4039" s="261"/>
      <c r="N4039" s="261"/>
    </row>
    <row r="4040" spans="1:14" s="260" customFormat="1" ht="15" x14ac:dyDescent="0.25">
      <c r="A4040" s="1"/>
      <c r="B4040" s="1" t="s">
        <v>512</v>
      </c>
      <c r="C4040" s="32">
        <v>4786</v>
      </c>
      <c r="D4040" s="1">
        <v>20000</v>
      </c>
      <c r="E4040" s="1"/>
      <c r="F4040" s="1">
        <v>222.78</v>
      </c>
      <c r="G4040" s="1">
        <v>20000</v>
      </c>
      <c r="H4040" s="5">
        <f t="shared" si="80"/>
        <v>0</v>
      </c>
      <c r="I4040" s="6"/>
      <c r="J4040" s="43"/>
      <c r="K4040" s="51"/>
      <c r="L4040" s="86"/>
      <c r="M4040" s="261"/>
      <c r="N4040" s="261"/>
    </row>
    <row r="4041" spans="1:14" s="260" customFormat="1" ht="15" x14ac:dyDescent="0.25">
      <c r="A4041" s="1"/>
      <c r="B4041" s="1" t="s">
        <v>512</v>
      </c>
      <c r="C4041" s="32">
        <v>1130</v>
      </c>
      <c r="D4041" s="1">
        <v>25000</v>
      </c>
      <c r="E4041" s="1"/>
      <c r="F4041" s="1">
        <v>278.45</v>
      </c>
      <c r="G4041" s="1">
        <v>25000</v>
      </c>
      <c r="H4041" s="5">
        <f t="shared" si="80"/>
        <v>0</v>
      </c>
      <c r="I4041" s="6"/>
      <c r="J4041" s="43"/>
      <c r="K4041" s="51"/>
      <c r="L4041" s="86"/>
      <c r="M4041" s="261"/>
      <c r="N4041" s="261"/>
    </row>
    <row r="4042" spans="1:14" s="260" customFormat="1" ht="15" x14ac:dyDescent="0.25">
      <c r="A4042" s="1"/>
      <c r="B4042" s="1" t="s">
        <v>512</v>
      </c>
      <c r="C4042" s="32">
        <v>6716</v>
      </c>
      <c r="D4042" s="1">
        <v>28000</v>
      </c>
      <c r="E4042" s="1"/>
      <c r="F4042" s="1">
        <v>311.47000000000003</v>
      </c>
      <c r="G4042" s="1">
        <v>28000</v>
      </c>
      <c r="H4042" s="5">
        <f t="shared" si="80"/>
        <v>0</v>
      </c>
      <c r="I4042" s="6"/>
      <c r="J4042" s="43"/>
      <c r="K4042" s="51"/>
      <c r="L4042" s="86"/>
      <c r="M4042" s="261"/>
      <c r="N4042" s="261"/>
    </row>
    <row r="4043" spans="1:14" s="260" customFormat="1" ht="15" x14ac:dyDescent="0.25">
      <c r="A4043" s="1"/>
      <c r="B4043" s="1" t="s">
        <v>512</v>
      </c>
      <c r="C4043" s="32">
        <v>8665</v>
      </c>
      <c r="D4043" s="1">
        <v>16000</v>
      </c>
      <c r="E4043" s="1"/>
      <c r="F4043" s="1">
        <v>178.22</v>
      </c>
      <c r="G4043" s="1">
        <v>16000</v>
      </c>
      <c r="H4043" s="5">
        <f t="shared" si="80"/>
        <v>0</v>
      </c>
      <c r="I4043" s="6"/>
      <c r="J4043" s="43"/>
      <c r="K4043" s="51"/>
      <c r="L4043" s="86"/>
      <c r="M4043" s="261"/>
      <c r="N4043" s="261"/>
    </row>
    <row r="4044" spans="1:14" s="260" customFormat="1" ht="15" x14ac:dyDescent="0.25">
      <c r="A4044" s="1"/>
      <c r="B4044" s="1" t="s">
        <v>512</v>
      </c>
      <c r="C4044" s="32">
        <v>6364</v>
      </c>
      <c r="D4044" s="1">
        <v>20000</v>
      </c>
      <c r="E4044" s="1"/>
      <c r="F4044" s="1">
        <v>222.78</v>
      </c>
      <c r="G4044" s="1">
        <v>20000</v>
      </c>
      <c r="H4044" s="5">
        <f t="shared" si="80"/>
        <v>0</v>
      </c>
      <c r="I4044" s="6"/>
      <c r="J4044" s="43"/>
      <c r="K4044" s="51"/>
      <c r="L4044" s="86"/>
      <c r="M4044" s="261"/>
      <c r="N4044" s="261"/>
    </row>
    <row r="4045" spans="1:14" s="260" customFormat="1" ht="15" x14ac:dyDescent="0.25">
      <c r="A4045" s="1"/>
      <c r="B4045" s="1" t="s">
        <v>512</v>
      </c>
      <c r="C4045" s="32">
        <v>4738</v>
      </c>
      <c r="D4045" s="1">
        <v>20000</v>
      </c>
      <c r="E4045" s="1"/>
      <c r="F4045" s="1">
        <v>222.78</v>
      </c>
      <c r="G4045" s="1">
        <v>20000</v>
      </c>
      <c r="H4045" s="5">
        <f t="shared" si="80"/>
        <v>0</v>
      </c>
      <c r="I4045" s="6"/>
      <c r="J4045" s="43"/>
      <c r="K4045" s="51"/>
      <c r="L4045" s="86"/>
      <c r="M4045" s="261"/>
      <c r="N4045" s="261"/>
    </row>
    <row r="4046" spans="1:14" s="260" customFormat="1" ht="15" x14ac:dyDescent="0.25">
      <c r="A4046" s="1"/>
      <c r="B4046" s="1" t="s">
        <v>512</v>
      </c>
      <c r="C4046" s="32">
        <v>6640</v>
      </c>
      <c r="D4046" s="1">
        <v>20000</v>
      </c>
      <c r="E4046" s="1"/>
      <c r="F4046" s="1">
        <v>222.78</v>
      </c>
      <c r="G4046" s="1">
        <v>20000</v>
      </c>
      <c r="H4046" s="5">
        <f t="shared" si="80"/>
        <v>0</v>
      </c>
      <c r="I4046" s="6"/>
      <c r="J4046" s="43"/>
      <c r="K4046" s="51"/>
      <c r="L4046" s="86"/>
      <c r="M4046" s="261"/>
      <c r="N4046" s="261"/>
    </row>
    <row r="4047" spans="1:14" s="260" customFormat="1" ht="15" x14ac:dyDescent="0.25">
      <c r="A4047" s="1"/>
      <c r="B4047" s="1" t="s">
        <v>512</v>
      </c>
      <c r="C4047" s="32">
        <v>2206</v>
      </c>
      <c r="D4047" s="1">
        <v>20000</v>
      </c>
      <c r="E4047" s="1"/>
      <c r="F4047" s="1">
        <v>222.78</v>
      </c>
      <c r="G4047" s="1">
        <v>20000</v>
      </c>
      <c r="H4047" s="5">
        <f t="shared" si="80"/>
        <v>0</v>
      </c>
      <c r="I4047" s="6"/>
      <c r="J4047" s="43"/>
      <c r="K4047" s="51"/>
      <c r="L4047" s="86"/>
      <c r="M4047" s="261"/>
      <c r="N4047" s="261"/>
    </row>
    <row r="4048" spans="1:14" s="260" customFormat="1" ht="15" x14ac:dyDescent="0.25">
      <c r="A4048" s="1"/>
      <c r="B4048" s="1" t="s">
        <v>512</v>
      </c>
      <c r="C4048" s="32">
        <v>8571</v>
      </c>
      <c r="D4048" s="1">
        <v>10000</v>
      </c>
      <c r="E4048" s="1"/>
      <c r="F4048" s="1">
        <v>111.41</v>
      </c>
      <c r="G4048" s="1">
        <v>10000</v>
      </c>
      <c r="H4048" s="5">
        <f t="shared" si="80"/>
        <v>0</v>
      </c>
      <c r="I4048" s="6"/>
      <c r="J4048" s="43"/>
      <c r="K4048" s="51"/>
      <c r="L4048" s="86"/>
      <c r="M4048" s="261"/>
      <c r="N4048" s="261"/>
    </row>
    <row r="4049" spans="1:14" s="260" customFormat="1" ht="15" x14ac:dyDescent="0.25">
      <c r="A4049" s="1"/>
      <c r="B4049" s="1" t="s">
        <v>512</v>
      </c>
      <c r="C4049" s="32">
        <v>5.8400000000000001E-2</v>
      </c>
      <c r="D4049" s="1">
        <v>18000</v>
      </c>
      <c r="E4049" s="1"/>
      <c r="F4049" s="1">
        <v>200.47</v>
      </c>
      <c r="G4049" s="1">
        <v>18000</v>
      </c>
      <c r="H4049" s="5">
        <f t="shared" si="80"/>
        <v>0</v>
      </c>
      <c r="I4049" s="6"/>
      <c r="J4049" s="43"/>
      <c r="K4049" s="51"/>
      <c r="L4049" s="86"/>
      <c r="M4049" s="261"/>
      <c r="N4049" s="261"/>
    </row>
    <row r="4050" spans="1:14" s="260" customFormat="1" ht="15" x14ac:dyDescent="0.25">
      <c r="A4050" s="1"/>
      <c r="B4050" s="1" t="s">
        <v>512</v>
      </c>
      <c r="C4050" s="32">
        <v>3.4500000000000003E-2</v>
      </c>
      <c r="D4050" s="1">
        <v>19000</v>
      </c>
      <c r="E4050" s="1"/>
      <c r="F4050" s="1">
        <v>211.47</v>
      </c>
      <c r="G4050" s="1">
        <v>19000</v>
      </c>
      <c r="H4050" s="5">
        <f t="shared" si="80"/>
        <v>0</v>
      </c>
      <c r="I4050" s="6"/>
      <c r="J4050" s="43"/>
      <c r="K4050" s="51"/>
      <c r="L4050" s="86"/>
      <c r="M4050" s="261"/>
      <c r="N4050" s="261"/>
    </row>
    <row r="4051" spans="1:14" s="260" customFormat="1" ht="15" x14ac:dyDescent="0.25">
      <c r="A4051" s="1"/>
      <c r="B4051" s="1" t="s">
        <v>512</v>
      </c>
      <c r="C4051" s="32">
        <v>4751</v>
      </c>
      <c r="D4051" s="1">
        <v>27000</v>
      </c>
      <c r="E4051" s="1"/>
      <c r="F4051" s="1">
        <v>300.57</v>
      </c>
      <c r="G4051" s="1">
        <v>27000</v>
      </c>
      <c r="H4051" s="5">
        <f t="shared" si="80"/>
        <v>0</v>
      </c>
      <c r="I4051" s="6"/>
      <c r="J4051" s="43"/>
      <c r="K4051" s="51"/>
      <c r="L4051" s="86"/>
      <c r="M4051" s="261"/>
      <c r="N4051" s="261"/>
    </row>
    <row r="4052" spans="1:14" s="260" customFormat="1" ht="15" x14ac:dyDescent="0.25">
      <c r="A4052" s="1"/>
      <c r="B4052" s="1" t="s">
        <v>512</v>
      </c>
      <c r="C4052" s="32">
        <v>8471</v>
      </c>
      <c r="D4052" s="1">
        <v>28000</v>
      </c>
      <c r="E4052" s="1"/>
      <c r="F4052" s="1">
        <v>311.47000000000003</v>
      </c>
      <c r="G4052" s="1">
        <v>28000</v>
      </c>
      <c r="H4052" s="5">
        <f t="shared" si="80"/>
        <v>0</v>
      </c>
      <c r="I4052" s="6"/>
      <c r="J4052" s="43"/>
      <c r="K4052" s="51"/>
      <c r="L4052" s="86"/>
      <c r="M4052" s="261"/>
      <c r="N4052" s="261"/>
    </row>
    <row r="4053" spans="1:14" s="260" customFormat="1" ht="15" x14ac:dyDescent="0.25">
      <c r="A4053" s="1"/>
      <c r="B4053" s="1" t="s">
        <v>512</v>
      </c>
      <c r="C4053" s="32">
        <v>3.8399999999999997E-2</v>
      </c>
      <c r="D4053" s="1">
        <v>15000</v>
      </c>
      <c r="E4053" s="1"/>
      <c r="F4053" s="1">
        <v>167.15</v>
      </c>
      <c r="G4053" s="1">
        <v>15000</v>
      </c>
      <c r="H4053" s="5">
        <f t="shared" si="80"/>
        <v>0</v>
      </c>
      <c r="I4053" s="6"/>
      <c r="J4053" s="43"/>
      <c r="K4053" s="51"/>
      <c r="L4053" s="86"/>
      <c r="M4053" s="261"/>
      <c r="N4053" s="261"/>
    </row>
    <row r="4054" spans="1:14" s="260" customFormat="1" ht="15" x14ac:dyDescent="0.25">
      <c r="A4054" s="1"/>
      <c r="B4054" s="1" t="s">
        <v>512</v>
      </c>
      <c r="C4054" s="32">
        <v>1250</v>
      </c>
      <c r="D4054" s="1">
        <v>15000</v>
      </c>
      <c r="E4054" s="1"/>
      <c r="F4054" s="1">
        <v>167.15</v>
      </c>
      <c r="G4054" s="1">
        <v>15000</v>
      </c>
      <c r="H4054" s="5">
        <f t="shared" si="80"/>
        <v>0</v>
      </c>
      <c r="I4054" s="6"/>
      <c r="J4054" s="43"/>
      <c r="K4054" s="51"/>
      <c r="L4054" s="86"/>
      <c r="M4054" s="261"/>
      <c r="N4054" s="261"/>
    </row>
    <row r="4055" spans="1:14" s="260" customFormat="1" ht="15" x14ac:dyDescent="0.25">
      <c r="A4055" s="1"/>
      <c r="B4055" s="1" t="s">
        <v>512</v>
      </c>
      <c r="C4055" s="32">
        <v>2764</v>
      </c>
      <c r="D4055" s="1">
        <v>25000</v>
      </c>
      <c r="E4055" s="1"/>
      <c r="F4055" s="1">
        <v>278.22000000000003</v>
      </c>
      <c r="G4055" s="1">
        <v>25000</v>
      </c>
      <c r="H4055" s="5">
        <f t="shared" si="80"/>
        <v>0</v>
      </c>
      <c r="I4055" s="6"/>
      <c r="J4055" s="43"/>
      <c r="K4055" s="51"/>
      <c r="L4055" s="86"/>
      <c r="M4055" s="261"/>
      <c r="N4055" s="261"/>
    </row>
    <row r="4056" spans="1:14" s="260" customFormat="1" ht="15" x14ac:dyDescent="0.25">
      <c r="A4056" s="1"/>
      <c r="B4056" s="1" t="s">
        <v>512</v>
      </c>
      <c r="C4056" s="32">
        <v>5.5199999999999999E-2</v>
      </c>
      <c r="D4056" s="1">
        <v>25000</v>
      </c>
      <c r="E4056" s="1"/>
      <c r="F4056" s="1">
        <v>278.22000000000003</v>
      </c>
      <c r="G4056" s="1">
        <v>25000</v>
      </c>
      <c r="H4056" s="5">
        <f t="shared" si="80"/>
        <v>0</v>
      </c>
      <c r="I4056" s="6"/>
      <c r="J4056" s="43"/>
      <c r="K4056" s="51"/>
      <c r="L4056" s="86"/>
      <c r="M4056" s="261"/>
      <c r="N4056" s="261"/>
    </row>
    <row r="4057" spans="1:14" s="260" customFormat="1" ht="15" x14ac:dyDescent="0.25">
      <c r="A4057" s="1"/>
      <c r="B4057" s="1" t="s">
        <v>512</v>
      </c>
      <c r="C4057" s="32">
        <v>8189</v>
      </c>
      <c r="D4057" s="1">
        <v>20000</v>
      </c>
      <c r="E4057" s="1"/>
      <c r="F4057" s="1">
        <v>222.78</v>
      </c>
      <c r="G4057" s="1">
        <v>20000</v>
      </c>
      <c r="H4057" s="5">
        <f t="shared" si="80"/>
        <v>0</v>
      </c>
      <c r="I4057" s="6"/>
      <c r="J4057" s="43"/>
      <c r="K4057" s="51"/>
      <c r="L4057" s="86">
        <f>2119220-2121458</f>
        <v>-2238</v>
      </c>
      <c r="M4057" s="262" t="s">
        <v>510</v>
      </c>
      <c r="N4057" s="262">
        <f>4535-2238</f>
        <v>2297</v>
      </c>
    </row>
    <row r="4058" spans="1:14" s="263" customFormat="1" ht="15" x14ac:dyDescent="0.25">
      <c r="A4058" s="1"/>
      <c r="B4058" s="1" t="s">
        <v>513</v>
      </c>
      <c r="C4058" s="32">
        <v>5076</v>
      </c>
      <c r="D4058" s="1">
        <v>9000</v>
      </c>
      <c r="E4058" s="1"/>
      <c r="F4058" s="1">
        <v>100.45</v>
      </c>
      <c r="G4058" s="1">
        <v>9000</v>
      </c>
      <c r="H4058" s="5">
        <f t="shared" si="80"/>
        <v>0</v>
      </c>
      <c r="I4058" s="6"/>
      <c r="J4058" s="43"/>
      <c r="K4058" s="51"/>
      <c r="L4058" s="86"/>
      <c r="M4058" s="264"/>
      <c r="N4058" s="264"/>
    </row>
    <row r="4059" spans="1:14" s="263" customFormat="1" ht="15" x14ac:dyDescent="0.25">
      <c r="A4059" s="1"/>
      <c r="B4059" s="1" t="s">
        <v>513</v>
      </c>
      <c r="C4059" s="32">
        <v>2810</v>
      </c>
      <c r="D4059" s="1">
        <v>15000</v>
      </c>
      <c r="E4059" s="1"/>
      <c r="F4059" s="1">
        <v>167.15</v>
      </c>
      <c r="G4059" s="1">
        <v>15000</v>
      </c>
      <c r="H4059" s="5">
        <f t="shared" ref="H4059:H4127" si="81">D4059-G4059</f>
        <v>0</v>
      </c>
      <c r="I4059" s="6"/>
      <c r="J4059" s="43"/>
      <c r="K4059" s="51"/>
      <c r="L4059" s="86"/>
      <c r="M4059" s="264"/>
      <c r="N4059" s="264"/>
    </row>
    <row r="4060" spans="1:14" s="263" customFormat="1" ht="15" x14ac:dyDescent="0.25">
      <c r="A4060" s="1"/>
      <c r="B4060" s="1" t="s">
        <v>513</v>
      </c>
      <c r="C4060" s="32">
        <v>1723</v>
      </c>
      <c r="D4060" s="1">
        <v>15000</v>
      </c>
      <c r="E4060" s="1"/>
      <c r="F4060" s="1">
        <v>167.15</v>
      </c>
      <c r="G4060" s="1">
        <v>15000</v>
      </c>
      <c r="H4060" s="5">
        <f t="shared" si="81"/>
        <v>0</v>
      </c>
      <c r="I4060" s="6"/>
      <c r="J4060" s="43"/>
      <c r="K4060" s="51"/>
      <c r="L4060" s="86"/>
      <c r="M4060" s="264"/>
      <c r="N4060" s="264"/>
    </row>
    <row r="4061" spans="1:14" s="263" customFormat="1" ht="15" x14ac:dyDescent="0.25">
      <c r="A4061" s="1"/>
      <c r="B4061" s="1" t="s">
        <v>513</v>
      </c>
      <c r="C4061" s="32">
        <v>4115</v>
      </c>
      <c r="D4061" s="1">
        <v>15000</v>
      </c>
      <c r="E4061" s="1"/>
      <c r="F4061" s="1">
        <v>167.15</v>
      </c>
      <c r="G4061" s="1">
        <v>15000</v>
      </c>
      <c r="H4061" s="5">
        <f t="shared" si="81"/>
        <v>0</v>
      </c>
      <c r="I4061" s="6"/>
      <c r="J4061" s="43"/>
      <c r="K4061" s="51"/>
      <c r="L4061" s="86"/>
      <c r="M4061" s="264"/>
      <c r="N4061" s="264"/>
    </row>
    <row r="4062" spans="1:14" s="263" customFormat="1" ht="15" x14ac:dyDescent="0.25">
      <c r="A4062" s="1"/>
      <c r="B4062" s="1" t="s">
        <v>513</v>
      </c>
      <c r="C4062" s="32" t="s">
        <v>30</v>
      </c>
      <c r="D4062" s="1">
        <v>4500</v>
      </c>
      <c r="E4062" s="1"/>
      <c r="F4062" s="1">
        <v>50.45</v>
      </c>
      <c r="G4062" s="1">
        <v>4500</v>
      </c>
      <c r="H4062" s="5">
        <f t="shared" si="81"/>
        <v>0</v>
      </c>
      <c r="I4062" s="6"/>
      <c r="J4062" s="43"/>
      <c r="K4062" s="51"/>
      <c r="L4062" s="86"/>
      <c r="M4062" s="264"/>
      <c r="N4062" s="264"/>
    </row>
    <row r="4063" spans="1:14" s="263" customFormat="1" ht="15" x14ac:dyDescent="0.25">
      <c r="A4063" s="1"/>
      <c r="B4063" s="1" t="s">
        <v>513</v>
      </c>
      <c r="C4063" s="32" t="s">
        <v>30</v>
      </c>
      <c r="D4063" s="1">
        <v>5000</v>
      </c>
      <c r="E4063" s="1"/>
      <c r="F4063" s="1">
        <v>55.47</v>
      </c>
      <c r="G4063" s="1">
        <v>5000</v>
      </c>
      <c r="H4063" s="5">
        <f t="shared" si="81"/>
        <v>0</v>
      </c>
      <c r="I4063" s="6"/>
      <c r="J4063" s="43"/>
      <c r="K4063" s="51"/>
      <c r="L4063" s="86"/>
      <c r="M4063" s="264"/>
      <c r="N4063" s="264"/>
    </row>
    <row r="4064" spans="1:14" s="263" customFormat="1" ht="15" x14ac:dyDescent="0.25">
      <c r="A4064" s="1"/>
      <c r="B4064" s="1" t="s">
        <v>513</v>
      </c>
      <c r="C4064" s="32" t="s">
        <v>66</v>
      </c>
      <c r="D4064" s="1">
        <v>210</v>
      </c>
      <c r="E4064" s="1"/>
      <c r="F4064" s="1">
        <v>2.08</v>
      </c>
      <c r="G4064" s="1">
        <v>210</v>
      </c>
      <c r="H4064" s="5">
        <f t="shared" si="81"/>
        <v>0</v>
      </c>
      <c r="I4064" s="6"/>
      <c r="J4064" s="43"/>
      <c r="K4064" s="51"/>
      <c r="L4064" s="86"/>
      <c r="M4064" s="264"/>
      <c r="N4064" s="264"/>
    </row>
    <row r="4065" spans="1:14" s="263" customFormat="1" ht="15" x14ac:dyDescent="0.25">
      <c r="A4065" s="1"/>
      <c r="B4065" s="1" t="s">
        <v>513</v>
      </c>
      <c r="C4065" s="32">
        <v>2195</v>
      </c>
      <c r="D4065" s="1">
        <v>10000</v>
      </c>
      <c r="E4065" s="1"/>
      <c r="F4065" s="1">
        <v>111.41</v>
      </c>
      <c r="G4065" s="1">
        <v>10000</v>
      </c>
      <c r="H4065" s="5">
        <f t="shared" si="81"/>
        <v>0</v>
      </c>
      <c r="I4065" s="6"/>
      <c r="J4065" s="43"/>
      <c r="K4065" s="51"/>
      <c r="L4065" s="86"/>
      <c r="M4065" s="264"/>
      <c r="N4065" s="264"/>
    </row>
    <row r="4066" spans="1:14" s="263" customFormat="1" ht="15" x14ac:dyDescent="0.25">
      <c r="A4066" s="1"/>
      <c r="B4066" s="1" t="s">
        <v>513</v>
      </c>
      <c r="C4066" s="32">
        <v>1766</v>
      </c>
      <c r="D4066" s="1">
        <v>10000</v>
      </c>
      <c r="E4066" s="1"/>
      <c r="F4066" s="1">
        <v>111.41</v>
      </c>
      <c r="G4066" s="1">
        <v>10000</v>
      </c>
      <c r="H4066" s="5">
        <f t="shared" si="81"/>
        <v>0</v>
      </c>
      <c r="I4066" s="6"/>
      <c r="J4066" s="43"/>
      <c r="K4066" s="51"/>
      <c r="L4066" s="86"/>
      <c r="M4066" s="264"/>
      <c r="N4066" s="264"/>
    </row>
    <row r="4067" spans="1:14" s="263" customFormat="1" ht="15" x14ac:dyDescent="0.25">
      <c r="A4067" s="1"/>
      <c r="B4067" s="1" t="s">
        <v>513</v>
      </c>
      <c r="C4067" s="32">
        <v>1871</v>
      </c>
      <c r="D4067" s="1">
        <v>25000</v>
      </c>
      <c r="E4067" s="1"/>
      <c r="F4067" s="1">
        <v>278.22000000000003</v>
      </c>
      <c r="G4067" s="1">
        <v>25000</v>
      </c>
      <c r="H4067" s="5">
        <f t="shared" si="81"/>
        <v>0</v>
      </c>
      <c r="I4067" s="6"/>
      <c r="J4067" s="43"/>
      <c r="K4067" s="51"/>
      <c r="L4067" s="86"/>
      <c r="M4067" s="264"/>
      <c r="N4067" s="264"/>
    </row>
    <row r="4068" spans="1:14" s="263" customFormat="1" ht="15" x14ac:dyDescent="0.25">
      <c r="A4068" s="1"/>
      <c r="B4068" s="1" t="s">
        <v>513</v>
      </c>
      <c r="C4068" s="32">
        <v>9608</v>
      </c>
      <c r="D4068" s="1">
        <v>25000</v>
      </c>
      <c r="E4068" s="1"/>
      <c r="F4068" s="1">
        <v>278.22000000000003</v>
      </c>
      <c r="G4068" s="1">
        <v>25000</v>
      </c>
      <c r="H4068" s="5">
        <f t="shared" si="81"/>
        <v>0</v>
      </c>
      <c r="I4068" s="6"/>
      <c r="J4068" s="43"/>
      <c r="K4068" s="51"/>
      <c r="L4068" s="86"/>
      <c r="M4068" s="264"/>
      <c r="N4068" s="264"/>
    </row>
    <row r="4069" spans="1:14" s="263" customFormat="1" ht="15" x14ac:dyDescent="0.25">
      <c r="A4069" s="1"/>
      <c r="B4069" s="1" t="s">
        <v>513</v>
      </c>
      <c r="C4069" s="32">
        <v>4192</v>
      </c>
      <c r="D4069" s="1">
        <v>25000</v>
      </c>
      <c r="E4069" s="1"/>
      <c r="F4069" s="1">
        <v>278.22000000000003</v>
      </c>
      <c r="G4069" s="1">
        <v>25000</v>
      </c>
      <c r="H4069" s="5">
        <f t="shared" si="81"/>
        <v>0</v>
      </c>
      <c r="I4069" s="6"/>
      <c r="J4069" s="43"/>
      <c r="K4069" s="51"/>
      <c r="L4069" s="86"/>
      <c r="M4069" s="264"/>
      <c r="N4069" s="264"/>
    </row>
    <row r="4070" spans="1:14" s="263" customFormat="1" ht="15" x14ac:dyDescent="0.25">
      <c r="A4070" s="1"/>
      <c r="B4070" s="1" t="s">
        <v>513</v>
      </c>
      <c r="C4070" s="32">
        <v>1791</v>
      </c>
      <c r="D4070" s="1">
        <v>30000</v>
      </c>
      <c r="E4070" s="1"/>
      <c r="F4070" s="1">
        <v>334.78</v>
      </c>
      <c r="G4070" s="1">
        <v>30000</v>
      </c>
      <c r="H4070" s="5">
        <f t="shared" si="81"/>
        <v>0</v>
      </c>
      <c r="I4070" s="6"/>
      <c r="J4070" s="43"/>
      <c r="K4070" s="51"/>
      <c r="L4070" s="86"/>
      <c r="M4070" s="264"/>
      <c r="N4070" s="264"/>
    </row>
    <row r="4071" spans="1:14" s="263" customFormat="1" ht="15" x14ac:dyDescent="0.25">
      <c r="A4071" s="1"/>
      <c r="B4071" s="1" t="s">
        <v>513</v>
      </c>
      <c r="C4071" s="32">
        <v>5247</v>
      </c>
      <c r="D4071" s="1">
        <v>15000</v>
      </c>
      <c r="E4071" s="1"/>
      <c r="F4071" s="1">
        <v>167.15</v>
      </c>
      <c r="G4071" s="1">
        <v>15000</v>
      </c>
      <c r="H4071" s="5">
        <f t="shared" si="81"/>
        <v>0</v>
      </c>
      <c r="I4071" s="6"/>
      <c r="J4071" s="43"/>
      <c r="K4071" s="51"/>
      <c r="L4071" s="86"/>
      <c r="M4071" s="264"/>
      <c r="N4071" s="264"/>
    </row>
    <row r="4072" spans="1:14" s="263" customFormat="1" ht="15" x14ac:dyDescent="0.25">
      <c r="A4072" s="1"/>
      <c r="B4072" s="1" t="s">
        <v>513</v>
      </c>
      <c r="C4072" s="32">
        <v>3655</v>
      </c>
      <c r="D4072" s="1">
        <v>17000</v>
      </c>
      <c r="E4072" s="1"/>
      <c r="F4072" s="1">
        <v>189.47</v>
      </c>
      <c r="G4072" s="1">
        <v>17000</v>
      </c>
      <c r="H4072" s="5">
        <f t="shared" si="81"/>
        <v>0</v>
      </c>
      <c r="I4072" s="6"/>
      <c r="J4072" s="43"/>
      <c r="K4072" s="51"/>
      <c r="L4072" s="86"/>
      <c r="M4072" s="264"/>
      <c r="N4072" s="264"/>
    </row>
    <row r="4073" spans="1:14" s="263" customFormat="1" ht="15" x14ac:dyDescent="0.25">
      <c r="A4073" s="1"/>
      <c r="B4073" s="1" t="s">
        <v>513</v>
      </c>
      <c r="C4073" s="32">
        <v>9903</v>
      </c>
      <c r="D4073" s="1">
        <v>20000</v>
      </c>
      <c r="E4073" s="1"/>
      <c r="F4073" s="1">
        <v>222.78</v>
      </c>
      <c r="G4073" s="1">
        <v>20000</v>
      </c>
      <c r="H4073" s="5">
        <f t="shared" si="81"/>
        <v>0</v>
      </c>
      <c r="I4073" s="6"/>
      <c r="J4073" s="43"/>
      <c r="K4073" s="51"/>
      <c r="L4073" s="86"/>
      <c r="M4073" s="264"/>
      <c r="N4073" s="264"/>
    </row>
    <row r="4074" spans="1:14" s="263" customFormat="1" ht="15" x14ac:dyDescent="0.25">
      <c r="A4074" s="1"/>
      <c r="B4074" s="1" t="s">
        <v>513</v>
      </c>
      <c r="C4074" s="32">
        <v>8902</v>
      </c>
      <c r="D4074" s="1">
        <v>25000</v>
      </c>
      <c r="E4074" s="1"/>
      <c r="F4074" s="1">
        <v>278.22000000000003</v>
      </c>
      <c r="G4074" s="1">
        <v>25000</v>
      </c>
      <c r="H4074" s="5">
        <f t="shared" si="81"/>
        <v>0</v>
      </c>
      <c r="I4074" s="6"/>
      <c r="J4074" s="43"/>
      <c r="K4074" s="51"/>
      <c r="L4074" s="86"/>
      <c r="M4074" s="264"/>
      <c r="N4074" s="264"/>
    </row>
    <row r="4075" spans="1:14" s="263" customFormat="1" ht="15" x14ac:dyDescent="0.25">
      <c r="A4075" s="1"/>
      <c r="B4075" s="1" t="s">
        <v>513</v>
      </c>
      <c r="C4075" s="32">
        <v>7632</v>
      </c>
      <c r="D4075" s="1">
        <v>35000</v>
      </c>
      <c r="E4075" s="1"/>
      <c r="F4075" s="1">
        <v>386.47</v>
      </c>
      <c r="G4075" s="1">
        <v>35000</v>
      </c>
      <c r="H4075" s="5">
        <f t="shared" si="81"/>
        <v>0</v>
      </c>
      <c r="I4075" s="6"/>
      <c r="J4075" s="43"/>
      <c r="K4075" s="51"/>
      <c r="L4075" s="86"/>
      <c r="M4075" s="264"/>
      <c r="N4075" s="264"/>
    </row>
    <row r="4076" spans="1:14" s="263" customFormat="1" ht="15" x14ac:dyDescent="0.25">
      <c r="A4076" s="1"/>
      <c r="B4076" s="1" t="s">
        <v>513</v>
      </c>
      <c r="C4076" s="32">
        <v>9978</v>
      </c>
      <c r="D4076" s="1">
        <v>15000</v>
      </c>
      <c r="E4076" s="1"/>
      <c r="F4076" s="1">
        <v>167.15</v>
      </c>
      <c r="G4076" s="1">
        <v>15000</v>
      </c>
      <c r="H4076" s="5">
        <f t="shared" si="81"/>
        <v>0</v>
      </c>
      <c r="I4076" s="6"/>
      <c r="J4076" s="43"/>
      <c r="K4076" s="51"/>
      <c r="L4076" s="86"/>
      <c r="M4076" s="264"/>
      <c r="N4076" s="264"/>
    </row>
    <row r="4077" spans="1:14" s="263" customFormat="1" ht="15" x14ac:dyDescent="0.25">
      <c r="A4077" s="1"/>
      <c r="B4077" s="1" t="s">
        <v>513</v>
      </c>
      <c r="C4077" s="32">
        <v>8131</v>
      </c>
      <c r="D4077" s="1">
        <v>23000</v>
      </c>
      <c r="E4077" s="1"/>
      <c r="F4077" s="1">
        <v>251.48</v>
      </c>
      <c r="G4077" s="1">
        <v>23000</v>
      </c>
      <c r="H4077" s="5">
        <f t="shared" si="81"/>
        <v>0</v>
      </c>
      <c r="I4077" s="6"/>
      <c r="J4077" s="43"/>
      <c r="K4077" s="51"/>
      <c r="L4077" s="86"/>
      <c r="M4077" s="264"/>
      <c r="N4077" s="264"/>
    </row>
    <row r="4078" spans="1:14" s="263" customFormat="1" ht="15" x14ac:dyDescent="0.25">
      <c r="A4078" s="1"/>
      <c r="B4078" s="1" t="s">
        <v>513</v>
      </c>
      <c r="C4078" s="32">
        <v>3877</v>
      </c>
      <c r="D4078" s="1">
        <v>19000</v>
      </c>
      <c r="E4078" s="1"/>
      <c r="F4078" s="1">
        <v>211.54</v>
      </c>
      <c r="G4078" s="1">
        <v>19000</v>
      </c>
      <c r="H4078" s="5">
        <f t="shared" si="81"/>
        <v>0</v>
      </c>
      <c r="I4078" s="6"/>
      <c r="J4078" s="43"/>
      <c r="K4078" s="51"/>
      <c r="L4078" s="86"/>
      <c r="M4078" s="264"/>
      <c r="N4078" s="264"/>
    </row>
    <row r="4079" spans="1:14" s="263" customFormat="1" ht="15" x14ac:dyDescent="0.25">
      <c r="A4079" s="1"/>
      <c r="B4079" s="1" t="s">
        <v>513</v>
      </c>
      <c r="C4079" s="32">
        <v>1080</v>
      </c>
      <c r="D4079" s="1">
        <v>20000</v>
      </c>
      <c r="E4079" s="1"/>
      <c r="F4079" s="1">
        <v>222.78</v>
      </c>
      <c r="G4079" s="1">
        <v>20000</v>
      </c>
      <c r="H4079" s="5">
        <f t="shared" si="81"/>
        <v>0</v>
      </c>
      <c r="I4079" s="6"/>
      <c r="J4079" s="43"/>
      <c r="K4079" s="51"/>
      <c r="L4079" s="86"/>
      <c r="M4079" s="264"/>
      <c r="N4079" s="264"/>
    </row>
    <row r="4080" spans="1:14" s="263" customFormat="1" ht="15" x14ac:dyDescent="0.25">
      <c r="A4080" s="1"/>
      <c r="B4080" s="1" t="s">
        <v>513</v>
      </c>
      <c r="C4080" s="32">
        <v>3674</v>
      </c>
      <c r="D4080" s="1">
        <v>22000</v>
      </c>
      <c r="E4080" s="1"/>
      <c r="F4080" s="1">
        <v>221.67</v>
      </c>
      <c r="G4080" s="1">
        <v>22000</v>
      </c>
      <c r="H4080" s="5">
        <f t="shared" si="81"/>
        <v>0</v>
      </c>
      <c r="I4080" s="6"/>
      <c r="J4080" s="43"/>
      <c r="K4080" s="51"/>
      <c r="L4080" s="86">
        <f>1921168-1918930</f>
        <v>2238</v>
      </c>
      <c r="M4080" s="264" t="s">
        <v>510</v>
      </c>
      <c r="N4080" s="264">
        <f>4535-2238</f>
        <v>2297</v>
      </c>
    </row>
    <row r="4081" spans="1:14" s="267" customFormat="1" ht="15" x14ac:dyDescent="0.25">
      <c r="A4081" s="1"/>
      <c r="B4081" s="1" t="s">
        <v>514</v>
      </c>
      <c r="C4081" s="32">
        <v>7735</v>
      </c>
      <c r="D4081" s="1">
        <v>29000</v>
      </c>
      <c r="E4081" s="1"/>
      <c r="F4081" s="1">
        <v>322.77999999999997</v>
      </c>
      <c r="G4081" s="1">
        <v>29000</v>
      </c>
      <c r="H4081" s="5">
        <f t="shared" si="81"/>
        <v>0</v>
      </c>
      <c r="I4081" s="6"/>
      <c r="J4081" s="43"/>
      <c r="K4081" s="51"/>
      <c r="L4081" s="86"/>
      <c r="M4081" s="268"/>
      <c r="N4081" s="268"/>
    </row>
    <row r="4082" spans="1:14" s="267" customFormat="1" ht="15" x14ac:dyDescent="0.25">
      <c r="A4082" s="1"/>
      <c r="B4082" s="1" t="s">
        <v>514</v>
      </c>
      <c r="C4082" s="32">
        <v>8154</v>
      </c>
      <c r="D4082" s="1">
        <v>26000</v>
      </c>
      <c r="E4082" s="1"/>
      <c r="F4082" s="1">
        <v>272.87</v>
      </c>
      <c r="G4082" s="1">
        <v>26000</v>
      </c>
      <c r="H4082" s="5">
        <f t="shared" si="81"/>
        <v>0</v>
      </c>
      <c r="I4082" s="6"/>
      <c r="J4082" s="43"/>
      <c r="K4082" s="51"/>
      <c r="L4082" s="86"/>
      <c r="M4082" s="268"/>
      <c r="N4082" s="268"/>
    </row>
    <row r="4083" spans="1:14" s="267" customFormat="1" ht="15" x14ac:dyDescent="0.25">
      <c r="A4083" s="1"/>
      <c r="B4083" s="1" t="s">
        <v>514</v>
      </c>
      <c r="C4083" s="32">
        <v>1416</v>
      </c>
      <c r="D4083" s="1">
        <v>10000</v>
      </c>
      <c r="E4083" s="1"/>
      <c r="F4083" s="1">
        <v>111.41</v>
      </c>
      <c r="G4083" s="1">
        <v>10000</v>
      </c>
      <c r="H4083" s="5">
        <f t="shared" si="81"/>
        <v>0</v>
      </c>
      <c r="I4083" s="6"/>
      <c r="J4083" s="43"/>
      <c r="K4083" s="51"/>
      <c r="L4083" s="86"/>
      <c r="M4083" s="268"/>
      <c r="N4083" s="268"/>
    </row>
    <row r="4084" spans="1:14" s="267" customFormat="1" ht="15" x14ac:dyDescent="0.25">
      <c r="A4084" s="1"/>
      <c r="B4084" s="1" t="s">
        <v>514</v>
      </c>
      <c r="C4084" s="32">
        <v>9906</v>
      </c>
      <c r="D4084" s="1">
        <v>20000</v>
      </c>
      <c r="E4084" s="1"/>
      <c r="F4084" s="1">
        <v>222.78</v>
      </c>
      <c r="G4084" s="1">
        <v>20000</v>
      </c>
      <c r="H4084" s="5">
        <f t="shared" si="81"/>
        <v>0</v>
      </c>
      <c r="I4084" s="6"/>
      <c r="J4084" s="43"/>
      <c r="K4084" s="51"/>
      <c r="L4084" s="86"/>
      <c r="M4084" s="268"/>
      <c r="N4084" s="268"/>
    </row>
    <row r="4085" spans="1:14" s="267" customFormat="1" ht="15" x14ac:dyDescent="0.25">
      <c r="A4085" s="1"/>
      <c r="B4085" s="1" t="s">
        <v>514</v>
      </c>
      <c r="C4085" s="32">
        <v>9327</v>
      </c>
      <c r="D4085" s="1">
        <v>12000</v>
      </c>
      <c r="E4085" s="1"/>
      <c r="F4085" s="1">
        <v>133.47</v>
      </c>
      <c r="G4085" s="1">
        <v>12000</v>
      </c>
      <c r="H4085" s="5">
        <f t="shared" si="81"/>
        <v>0</v>
      </c>
      <c r="I4085" s="6"/>
      <c r="J4085" s="43"/>
      <c r="K4085" s="51"/>
      <c r="L4085" s="86"/>
      <c r="M4085" s="268"/>
      <c r="N4085" s="268"/>
    </row>
    <row r="4086" spans="1:14" s="265" customFormat="1" ht="15" x14ac:dyDescent="0.25">
      <c r="A4086" s="1"/>
      <c r="B4086" s="1" t="s">
        <v>514</v>
      </c>
      <c r="C4086" s="32">
        <v>6321</v>
      </c>
      <c r="D4086" s="1">
        <v>30000</v>
      </c>
      <c r="E4086" s="1"/>
      <c r="F4086" s="1">
        <v>334.78</v>
      </c>
      <c r="G4086" s="1">
        <v>30000</v>
      </c>
      <c r="H4086" s="5">
        <f t="shared" si="81"/>
        <v>0</v>
      </c>
      <c r="I4086" s="6"/>
      <c r="J4086" s="43"/>
      <c r="K4086" s="51"/>
      <c r="L4086" s="86"/>
      <c r="M4086" s="266"/>
      <c r="N4086" s="266"/>
    </row>
    <row r="4087" spans="1:14" s="265" customFormat="1" ht="15" x14ac:dyDescent="0.25">
      <c r="A4087" s="1"/>
      <c r="B4087" s="1" t="s">
        <v>514</v>
      </c>
      <c r="C4087" s="32">
        <v>6289</v>
      </c>
      <c r="D4087" s="1">
        <v>30000</v>
      </c>
      <c r="E4087" s="1"/>
      <c r="F4087" s="1">
        <v>334.78</v>
      </c>
      <c r="G4087" s="1">
        <v>30000</v>
      </c>
      <c r="H4087" s="5">
        <f t="shared" si="81"/>
        <v>0</v>
      </c>
      <c r="I4087" s="6"/>
      <c r="J4087" s="43"/>
      <c r="K4087" s="51"/>
      <c r="L4087" s="86"/>
      <c r="M4087" s="266"/>
      <c r="N4087" s="266"/>
    </row>
    <row r="4088" spans="1:14" s="265" customFormat="1" ht="15" x14ac:dyDescent="0.25">
      <c r="A4088" s="1"/>
      <c r="B4088" s="1" t="s">
        <v>514</v>
      </c>
      <c r="C4088" s="32">
        <v>5239</v>
      </c>
      <c r="D4088" s="1">
        <v>20000</v>
      </c>
      <c r="E4088" s="1"/>
      <c r="F4088" s="1">
        <v>222.78</v>
      </c>
      <c r="G4088" s="1">
        <v>20000</v>
      </c>
      <c r="H4088" s="5">
        <f t="shared" si="81"/>
        <v>0</v>
      </c>
      <c r="I4088" s="6"/>
      <c r="J4088" s="43"/>
      <c r="K4088" s="51"/>
      <c r="L4088" s="86"/>
      <c r="M4088" s="266"/>
      <c r="N4088" s="266"/>
    </row>
    <row r="4089" spans="1:14" s="265" customFormat="1" ht="15" x14ac:dyDescent="0.25">
      <c r="A4089" s="1"/>
      <c r="B4089" s="1" t="s">
        <v>514</v>
      </c>
      <c r="C4089" s="32">
        <v>9651</v>
      </c>
      <c r="D4089" s="1">
        <v>20000</v>
      </c>
      <c r="E4089" s="1"/>
      <c r="F4089" s="1">
        <v>222.78</v>
      </c>
      <c r="G4089" s="1">
        <v>20000</v>
      </c>
      <c r="H4089" s="5">
        <f t="shared" si="81"/>
        <v>0</v>
      </c>
      <c r="I4089" s="6"/>
      <c r="J4089" s="43"/>
      <c r="K4089" s="51"/>
      <c r="L4089" s="86"/>
      <c r="M4089" s="266"/>
      <c r="N4089" s="266"/>
    </row>
    <row r="4090" spans="1:14" s="265" customFormat="1" ht="15" x14ac:dyDescent="0.25">
      <c r="A4090" s="1"/>
      <c r="B4090" s="1" t="s">
        <v>514</v>
      </c>
      <c r="C4090" s="32">
        <v>3047</v>
      </c>
      <c r="D4090" s="1">
        <v>19000</v>
      </c>
      <c r="E4090" s="1"/>
      <c r="F4090" s="1">
        <v>211.47</v>
      </c>
      <c r="G4090" s="1">
        <v>19000</v>
      </c>
      <c r="H4090" s="5">
        <f t="shared" si="81"/>
        <v>0</v>
      </c>
      <c r="I4090" s="6"/>
      <c r="J4090" s="43"/>
      <c r="K4090" s="51"/>
      <c r="L4090" s="86"/>
      <c r="M4090" s="266"/>
      <c r="N4090" s="266"/>
    </row>
    <row r="4091" spans="1:14" s="265" customFormat="1" ht="15" x14ac:dyDescent="0.25">
      <c r="A4091" s="1"/>
      <c r="B4091" s="1" t="s">
        <v>514</v>
      </c>
      <c r="C4091" s="32">
        <v>5250</v>
      </c>
      <c r="D4091" s="1">
        <v>17000</v>
      </c>
      <c r="E4091" s="1"/>
      <c r="F4091" s="1">
        <v>189.47</v>
      </c>
      <c r="G4091" s="1">
        <v>17000</v>
      </c>
      <c r="H4091" s="5">
        <f t="shared" si="81"/>
        <v>0</v>
      </c>
      <c r="I4091" s="6"/>
      <c r="J4091" s="43"/>
      <c r="K4091" s="51"/>
      <c r="L4091" s="86"/>
      <c r="M4091" s="266"/>
      <c r="N4091" s="266"/>
    </row>
    <row r="4092" spans="1:14" s="265" customFormat="1" ht="15" x14ac:dyDescent="0.25">
      <c r="A4092" s="1"/>
      <c r="B4092" s="1" t="s">
        <v>514</v>
      </c>
      <c r="C4092" s="32">
        <v>5931</v>
      </c>
      <c r="D4092" s="1">
        <v>16000</v>
      </c>
      <c r="E4092" s="1"/>
      <c r="F4092" s="1">
        <v>178.22</v>
      </c>
      <c r="G4092" s="1">
        <v>16000</v>
      </c>
      <c r="H4092" s="5">
        <f t="shared" si="81"/>
        <v>0</v>
      </c>
      <c r="I4092" s="6"/>
      <c r="J4092" s="43"/>
      <c r="K4092" s="51"/>
      <c r="L4092" s="86"/>
      <c r="M4092" s="266"/>
      <c r="N4092" s="266"/>
    </row>
    <row r="4093" spans="1:14" s="265" customFormat="1" ht="15" x14ac:dyDescent="0.25">
      <c r="A4093" s="1"/>
      <c r="B4093" s="1" t="s">
        <v>514</v>
      </c>
      <c r="C4093" s="32">
        <v>9645</v>
      </c>
      <c r="D4093" s="1">
        <v>15000</v>
      </c>
      <c r="E4093" s="1"/>
      <c r="F4093" s="1">
        <v>167.15</v>
      </c>
      <c r="G4093" s="1">
        <v>15000</v>
      </c>
      <c r="H4093" s="5">
        <f t="shared" si="81"/>
        <v>0</v>
      </c>
      <c r="I4093" s="6"/>
      <c r="J4093" s="43"/>
      <c r="K4093" s="51"/>
      <c r="L4093" s="86"/>
      <c r="M4093" s="266"/>
      <c r="N4093" s="266"/>
    </row>
    <row r="4094" spans="1:14" s="265" customFormat="1" ht="15" x14ac:dyDescent="0.25">
      <c r="A4094" s="1"/>
      <c r="B4094" s="1" t="s">
        <v>514</v>
      </c>
      <c r="C4094" s="32">
        <v>6945</v>
      </c>
      <c r="D4094" s="1">
        <v>15000</v>
      </c>
      <c r="E4094" s="1"/>
      <c r="F4094" s="1">
        <v>167.15</v>
      </c>
      <c r="G4094" s="1">
        <v>15000</v>
      </c>
      <c r="H4094" s="5">
        <f t="shared" si="81"/>
        <v>0</v>
      </c>
      <c r="I4094" s="6"/>
      <c r="J4094" s="43"/>
      <c r="K4094" s="51"/>
      <c r="L4094" s="86"/>
      <c r="M4094" s="266"/>
      <c r="N4094" s="266"/>
    </row>
    <row r="4095" spans="1:14" s="265" customFormat="1" ht="15" x14ac:dyDescent="0.25">
      <c r="A4095" s="1"/>
      <c r="B4095" s="1" t="s">
        <v>514</v>
      </c>
      <c r="C4095" s="32">
        <v>7894</v>
      </c>
      <c r="D4095" s="1">
        <v>15000</v>
      </c>
      <c r="E4095" s="1"/>
      <c r="F4095" s="1">
        <v>167.15</v>
      </c>
      <c r="G4095" s="1">
        <v>15000</v>
      </c>
      <c r="H4095" s="5">
        <f t="shared" si="81"/>
        <v>0</v>
      </c>
      <c r="I4095" s="6"/>
      <c r="J4095" s="43"/>
      <c r="K4095" s="51"/>
      <c r="L4095" s="86"/>
      <c r="M4095" s="266"/>
      <c r="N4095" s="266"/>
    </row>
    <row r="4096" spans="1:14" s="265" customFormat="1" ht="15" x14ac:dyDescent="0.25">
      <c r="A4096" s="1"/>
      <c r="B4096" s="1" t="s">
        <v>514</v>
      </c>
      <c r="C4096" s="32">
        <v>8777</v>
      </c>
      <c r="D4096" s="1">
        <v>30000</v>
      </c>
      <c r="E4096" s="1"/>
      <c r="F4096" s="1">
        <v>334.78</v>
      </c>
      <c r="G4096" s="1">
        <v>30000</v>
      </c>
      <c r="H4096" s="5">
        <f t="shared" si="81"/>
        <v>0</v>
      </c>
      <c r="I4096" s="6"/>
      <c r="J4096" s="43"/>
      <c r="K4096" s="51"/>
      <c r="L4096" s="86"/>
      <c r="M4096" s="266"/>
      <c r="N4096" s="266"/>
    </row>
    <row r="4097" spans="1:14" s="265" customFormat="1" ht="15" x14ac:dyDescent="0.25">
      <c r="A4097" s="1"/>
      <c r="B4097" s="1" t="s">
        <v>514</v>
      </c>
      <c r="C4097" s="32">
        <v>4115</v>
      </c>
      <c r="D4097" s="1">
        <v>27000</v>
      </c>
      <c r="E4097" s="1"/>
      <c r="F4097" s="1">
        <v>300.48</v>
      </c>
      <c r="G4097" s="1">
        <v>27000</v>
      </c>
      <c r="H4097" s="5">
        <f t="shared" si="81"/>
        <v>0</v>
      </c>
      <c r="I4097" s="6"/>
      <c r="J4097" s="43"/>
      <c r="K4097" s="51"/>
      <c r="L4097" s="86"/>
      <c r="M4097" s="266"/>
      <c r="N4097" s="266"/>
    </row>
    <row r="4098" spans="1:14" s="265" customFormat="1" ht="15" x14ac:dyDescent="0.25">
      <c r="A4098" s="1"/>
      <c r="B4098" s="1" t="s">
        <v>514</v>
      </c>
      <c r="C4098" s="32">
        <v>4951</v>
      </c>
      <c r="D4098" s="1">
        <v>15000</v>
      </c>
      <c r="E4098" s="1"/>
      <c r="F4098" s="1">
        <v>167.15</v>
      </c>
      <c r="G4098" s="1">
        <v>15000</v>
      </c>
      <c r="H4098" s="5">
        <f t="shared" si="81"/>
        <v>0</v>
      </c>
      <c r="I4098" s="6"/>
      <c r="J4098" s="43"/>
      <c r="K4098" s="51"/>
      <c r="L4098" s="86"/>
      <c r="M4098" s="266"/>
      <c r="N4098" s="266"/>
    </row>
    <row r="4099" spans="1:14" s="265" customFormat="1" ht="15" x14ac:dyDescent="0.25">
      <c r="A4099" s="1"/>
      <c r="B4099" s="1" t="s">
        <v>514</v>
      </c>
      <c r="C4099" s="32">
        <v>9659</v>
      </c>
      <c r="D4099" s="1">
        <v>33000</v>
      </c>
      <c r="E4099" s="1"/>
      <c r="F4099" s="1">
        <v>367.48</v>
      </c>
      <c r="G4099" s="1">
        <v>33000</v>
      </c>
      <c r="H4099" s="5">
        <f t="shared" si="81"/>
        <v>0</v>
      </c>
      <c r="I4099" s="6"/>
      <c r="J4099" s="43"/>
      <c r="K4099" s="51"/>
      <c r="L4099" s="86"/>
      <c r="M4099" s="266"/>
      <c r="N4099" s="266"/>
    </row>
    <row r="4100" spans="1:14" s="265" customFormat="1" ht="15" x14ac:dyDescent="0.25">
      <c r="A4100" s="1"/>
      <c r="B4100" s="1" t="s">
        <v>514</v>
      </c>
      <c r="C4100" s="32">
        <v>7086</v>
      </c>
      <c r="D4100" s="1">
        <v>30000</v>
      </c>
      <c r="E4100" s="1"/>
      <c r="F4100" s="1">
        <v>356.47</v>
      </c>
      <c r="G4100" s="1">
        <v>30000</v>
      </c>
      <c r="H4100" s="5">
        <f t="shared" si="81"/>
        <v>0</v>
      </c>
      <c r="I4100" s="6"/>
      <c r="J4100" s="43"/>
      <c r="K4100" s="51"/>
      <c r="L4100" s="86"/>
      <c r="M4100" s="266"/>
      <c r="N4100" s="266"/>
    </row>
    <row r="4101" spans="1:14" s="265" customFormat="1" ht="15" x14ac:dyDescent="0.25">
      <c r="A4101" s="1"/>
      <c r="B4101" s="1" t="s">
        <v>514</v>
      </c>
      <c r="C4101" s="32">
        <v>8956</v>
      </c>
      <c r="D4101" s="1">
        <v>23239</v>
      </c>
      <c r="E4101" s="1"/>
      <c r="F4101" s="1">
        <v>258.47000000000003</v>
      </c>
      <c r="G4101" s="1">
        <v>23239</v>
      </c>
      <c r="H4101" s="5">
        <f t="shared" si="81"/>
        <v>0</v>
      </c>
      <c r="I4101" s="6"/>
      <c r="J4101" s="43"/>
      <c r="K4101" s="51"/>
      <c r="L4101" s="86"/>
      <c r="M4101" s="266"/>
      <c r="N4101" s="266"/>
    </row>
    <row r="4102" spans="1:14" s="265" customFormat="1" ht="15" x14ac:dyDescent="0.25">
      <c r="A4102" s="1"/>
      <c r="B4102" s="1" t="s">
        <v>514</v>
      </c>
      <c r="C4102" s="32">
        <v>2165</v>
      </c>
      <c r="D4102" s="1">
        <v>13000</v>
      </c>
      <c r="E4102" s="1"/>
      <c r="F4102" s="1">
        <v>144.16999999999999</v>
      </c>
      <c r="G4102" s="1">
        <v>13000</v>
      </c>
      <c r="H4102" s="5">
        <f t="shared" si="81"/>
        <v>0</v>
      </c>
      <c r="I4102" s="6"/>
      <c r="J4102" s="43"/>
      <c r="K4102" s="51"/>
      <c r="L4102" s="86"/>
      <c r="M4102" s="266"/>
      <c r="N4102" s="266"/>
    </row>
    <row r="4103" spans="1:14" s="265" customFormat="1" ht="15" x14ac:dyDescent="0.25">
      <c r="A4103" s="1"/>
      <c r="B4103" s="1" t="s">
        <v>515</v>
      </c>
      <c r="C4103" s="32" t="s">
        <v>30</v>
      </c>
      <c r="D4103" s="1">
        <v>5000</v>
      </c>
      <c r="E4103" s="1"/>
      <c r="F4103" s="1">
        <v>55.45</v>
      </c>
      <c r="G4103" s="1">
        <v>5000</v>
      </c>
      <c r="H4103" s="5">
        <f t="shared" si="81"/>
        <v>0</v>
      </c>
      <c r="I4103" s="6"/>
      <c r="J4103" s="43"/>
      <c r="K4103" s="51"/>
      <c r="L4103" s="86"/>
      <c r="M4103" s="266"/>
      <c r="N4103" s="266"/>
    </row>
    <row r="4104" spans="1:14" s="265" customFormat="1" ht="15" x14ac:dyDescent="0.25">
      <c r="A4104" s="1"/>
      <c r="B4104" s="1" t="s">
        <v>515</v>
      </c>
      <c r="C4104" s="32" t="s">
        <v>30</v>
      </c>
      <c r="D4104" s="1">
        <v>7000</v>
      </c>
      <c r="E4104" s="1"/>
      <c r="F4104" s="1">
        <v>77.45</v>
      </c>
      <c r="G4104" s="1">
        <v>7000</v>
      </c>
      <c r="H4104" s="5">
        <f t="shared" si="81"/>
        <v>0</v>
      </c>
      <c r="I4104" s="6"/>
      <c r="J4104" s="43"/>
      <c r="K4104" s="51"/>
      <c r="L4104" s="86"/>
      <c r="M4104" s="266"/>
      <c r="N4104" s="266"/>
    </row>
    <row r="4105" spans="1:14" s="265" customFormat="1" ht="15" x14ac:dyDescent="0.25">
      <c r="A4105" s="1"/>
      <c r="B4105" s="1" t="s">
        <v>515</v>
      </c>
      <c r="C4105" s="32">
        <v>2807</v>
      </c>
      <c r="D4105" s="1">
        <v>15000</v>
      </c>
      <c r="E4105" s="1"/>
      <c r="F4105" s="1">
        <v>167.15</v>
      </c>
      <c r="G4105" s="1">
        <v>15000</v>
      </c>
      <c r="H4105" s="5">
        <f t="shared" si="81"/>
        <v>0</v>
      </c>
      <c r="I4105" s="6"/>
      <c r="J4105" s="43"/>
      <c r="K4105" s="51"/>
      <c r="L4105" s="86"/>
      <c r="M4105" s="266"/>
      <c r="N4105" s="266"/>
    </row>
    <row r="4106" spans="1:14" s="265" customFormat="1" ht="15" x14ac:dyDescent="0.25">
      <c r="A4106" s="1"/>
      <c r="B4106" s="1" t="s">
        <v>515</v>
      </c>
      <c r="C4106" s="32">
        <v>1721</v>
      </c>
      <c r="D4106" s="1">
        <v>15000</v>
      </c>
      <c r="E4106" s="1"/>
      <c r="F4106" s="1">
        <v>167.15</v>
      </c>
      <c r="G4106" s="1">
        <v>15000</v>
      </c>
      <c r="H4106" s="5">
        <f t="shared" si="81"/>
        <v>0</v>
      </c>
      <c r="I4106" s="6"/>
      <c r="J4106" s="43"/>
      <c r="K4106" s="51"/>
      <c r="L4106" s="86"/>
      <c r="M4106" s="266"/>
      <c r="N4106" s="266"/>
    </row>
    <row r="4107" spans="1:14" s="265" customFormat="1" ht="15" x14ac:dyDescent="0.25">
      <c r="A4107" s="1"/>
      <c r="B4107" s="1" t="s">
        <v>515</v>
      </c>
      <c r="C4107" s="32">
        <v>6659</v>
      </c>
      <c r="D4107" s="1">
        <v>15000</v>
      </c>
      <c r="E4107" s="1"/>
      <c r="F4107" s="1">
        <v>167.15</v>
      </c>
      <c r="G4107" s="1">
        <v>15000</v>
      </c>
      <c r="H4107" s="5">
        <f t="shared" si="81"/>
        <v>0</v>
      </c>
      <c r="I4107" s="6"/>
      <c r="J4107" s="43"/>
      <c r="K4107" s="51"/>
      <c r="L4107" s="86"/>
      <c r="M4107" s="266"/>
      <c r="N4107" s="266"/>
    </row>
    <row r="4108" spans="1:14" s="265" customFormat="1" ht="15" x14ac:dyDescent="0.25">
      <c r="A4108" s="1"/>
      <c r="B4108" s="1" t="s">
        <v>515</v>
      </c>
      <c r="C4108" s="32">
        <v>2809</v>
      </c>
      <c r="D4108" s="1">
        <v>15000</v>
      </c>
      <c r="E4108" s="1"/>
      <c r="F4108" s="1">
        <v>167.15</v>
      </c>
      <c r="G4108" s="1">
        <v>15000</v>
      </c>
      <c r="H4108" s="5">
        <f t="shared" si="81"/>
        <v>0</v>
      </c>
      <c r="I4108" s="6"/>
      <c r="J4108" s="43"/>
      <c r="K4108" s="51"/>
      <c r="L4108" s="86"/>
      <c r="M4108" s="266"/>
      <c r="N4108" s="266"/>
    </row>
    <row r="4109" spans="1:14" s="265" customFormat="1" ht="15" x14ac:dyDescent="0.25">
      <c r="A4109" s="1"/>
      <c r="B4109" s="1" t="s">
        <v>515</v>
      </c>
      <c r="C4109" s="32">
        <v>1075</v>
      </c>
      <c r="D4109" s="1">
        <v>25000</v>
      </c>
      <c r="E4109" s="1"/>
      <c r="F4109" s="1">
        <v>278.22000000000003</v>
      </c>
      <c r="G4109" s="1">
        <v>25000</v>
      </c>
      <c r="H4109" s="5">
        <f t="shared" si="81"/>
        <v>0</v>
      </c>
      <c r="I4109" s="6"/>
      <c r="J4109" s="43"/>
      <c r="K4109" s="51"/>
      <c r="L4109" s="86"/>
      <c r="M4109" s="266"/>
      <c r="N4109" s="266"/>
    </row>
    <row r="4110" spans="1:14" s="265" customFormat="1" ht="15" x14ac:dyDescent="0.25">
      <c r="A4110" s="1"/>
      <c r="B4110" s="1" t="s">
        <v>515</v>
      </c>
      <c r="C4110" s="32">
        <v>1212</v>
      </c>
      <c r="D4110" s="1">
        <v>17000</v>
      </c>
      <c r="E4110" s="1"/>
      <c r="F4110" s="1">
        <v>189.47</v>
      </c>
      <c r="G4110" s="1">
        <v>17000</v>
      </c>
      <c r="H4110" s="5">
        <f t="shared" si="81"/>
        <v>0</v>
      </c>
      <c r="I4110" s="6"/>
      <c r="J4110" s="43"/>
      <c r="K4110" s="51"/>
      <c r="L4110" s="86"/>
      <c r="M4110" s="266"/>
      <c r="N4110" s="266"/>
    </row>
    <row r="4111" spans="1:14" s="265" customFormat="1" ht="15" x14ac:dyDescent="0.25">
      <c r="A4111" s="1"/>
      <c r="B4111" s="1" t="s">
        <v>515</v>
      </c>
      <c r="C4111" s="32">
        <v>8386</v>
      </c>
      <c r="D4111" s="1">
        <v>25000</v>
      </c>
      <c r="E4111" s="1"/>
      <c r="F4111" s="1">
        <v>278.22000000000003</v>
      </c>
      <c r="G4111" s="1">
        <v>25000</v>
      </c>
      <c r="H4111" s="5">
        <f t="shared" si="81"/>
        <v>0</v>
      </c>
      <c r="I4111" s="6"/>
      <c r="J4111" s="43"/>
      <c r="K4111" s="51"/>
      <c r="L4111" s="86"/>
      <c r="M4111" s="266"/>
      <c r="N4111" s="266"/>
    </row>
    <row r="4112" spans="1:14" s="265" customFormat="1" ht="15" x14ac:dyDescent="0.25">
      <c r="A4112" s="1"/>
      <c r="B4112" s="1" t="s">
        <v>515</v>
      </c>
      <c r="C4112" s="32">
        <v>4441</v>
      </c>
      <c r="D4112" s="1">
        <v>16000</v>
      </c>
      <c r="E4112" s="1"/>
      <c r="F4112" s="1">
        <v>178.42</v>
      </c>
      <c r="G4112" s="1">
        <v>16000</v>
      </c>
      <c r="H4112" s="5">
        <f t="shared" si="81"/>
        <v>0</v>
      </c>
      <c r="I4112" s="6"/>
      <c r="J4112" s="43"/>
      <c r="K4112" s="51"/>
      <c r="L4112" s="86"/>
      <c r="M4112" s="266"/>
      <c r="N4112" s="266"/>
    </row>
    <row r="4113" spans="1:14" s="265" customFormat="1" ht="15" x14ac:dyDescent="0.25">
      <c r="A4113" s="1"/>
      <c r="B4113" s="1" t="s">
        <v>515</v>
      </c>
      <c r="C4113" s="32" t="s">
        <v>30</v>
      </c>
      <c r="D4113" s="1">
        <v>4500</v>
      </c>
      <c r="E4113" s="1"/>
      <c r="F4113" s="1">
        <v>50.15</v>
      </c>
      <c r="G4113" s="1">
        <v>4500</v>
      </c>
      <c r="H4113" s="5">
        <f t="shared" si="81"/>
        <v>0</v>
      </c>
      <c r="I4113" s="6"/>
      <c r="J4113" s="43"/>
      <c r="K4113" s="51"/>
      <c r="L4113" s="86"/>
      <c r="M4113" s="266"/>
      <c r="N4113" s="266"/>
    </row>
    <row r="4114" spans="1:14" s="265" customFormat="1" ht="15" x14ac:dyDescent="0.25">
      <c r="A4114" s="1"/>
      <c r="B4114" s="1" t="s">
        <v>515</v>
      </c>
      <c r="C4114" s="32">
        <v>8484</v>
      </c>
      <c r="D4114" s="1">
        <v>25000</v>
      </c>
      <c r="E4114" s="1"/>
      <c r="F4114" s="1">
        <v>278.22000000000003</v>
      </c>
      <c r="G4114" s="1">
        <v>25000</v>
      </c>
      <c r="H4114" s="5">
        <f t="shared" si="81"/>
        <v>0</v>
      </c>
      <c r="I4114" s="6"/>
      <c r="J4114" s="43"/>
      <c r="K4114" s="51"/>
      <c r="L4114" s="86"/>
      <c r="M4114" s="266"/>
      <c r="N4114" s="266"/>
    </row>
    <row r="4115" spans="1:14" s="265" customFormat="1" ht="15" x14ac:dyDescent="0.25">
      <c r="A4115" s="1"/>
      <c r="B4115" s="1" t="s">
        <v>515</v>
      </c>
      <c r="C4115" s="32">
        <v>7575</v>
      </c>
      <c r="D4115" s="1">
        <v>17000</v>
      </c>
      <c r="E4115" s="1"/>
      <c r="F4115" s="1">
        <v>189.47</v>
      </c>
      <c r="G4115" s="1">
        <v>17000</v>
      </c>
      <c r="H4115" s="5">
        <f t="shared" si="81"/>
        <v>0</v>
      </c>
      <c r="I4115" s="6"/>
      <c r="J4115" s="43"/>
      <c r="K4115" s="51"/>
      <c r="L4115" s="86"/>
      <c r="M4115" s="266"/>
      <c r="N4115" s="266"/>
    </row>
    <row r="4116" spans="1:14" s="265" customFormat="1" ht="15" x14ac:dyDescent="0.25">
      <c r="A4116" s="1"/>
      <c r="B4116" s="1" t="s">
        <v>515</v>
      </c>
      <c r="C4116" s="32">
        <v>6037</v>
      </c>
      <c r="D4116" s="1">
        <v>23000</v>
      </c>
      <c r="E4116" s="1"/>
      <c r="F4116" s="1">
        <v>267.48</v>
      </c>
      <c r="G4116" s="1">
        <v>23000</v>
      </c>
      <c r="H4116" s="5">
        <f t="shared" si="81"/>
        <v>0</v>
      </c>
      <c r="I4116" s="6"/>
      <c r="J4116" s="43"/>
      <c r="K4116" s="51"/>
      <c r="L4116" s="86"/>
      <c r="M4116" s="266"/>
      <c r="N4116" s="266"/>
    </row>
    <row r="4117" spans="1:14" s="265" customFormat="1" ht="15" x14ac:dyDescent="0.25">
      <c r="A4117" s="1"/>
      <c r="B4117" s="1" t="s">
        <v>515</v>
      </c>
      <c r="C4117" s="32">
        <v>3336</v>
      </c>
      <c r="D4117" s="1">
        <v>20000</v>
      </c>
      <c r="E4117" s="1"/>
      <c r="F4117" s="1">
        <v>222.78</v>
      </c>
      <c r="G4117" s="1">
        <v>20000</v>
      </c>
      <c r="H4117" s="5">
        <f t="shared" si="81"/>
        <v>0</v>
      </c>
      <c r="I4117" s="6"/>
      <c r="J4117" s="43"/>
      <c r="K4117" s="51"/>
      <c r="L4117" s="86"/>
      <c r="M4117" s="266"/>
      <c r="N4117" s="266"/>
    </row>
    <row r="4118" spans="1:14" s="265" customFormat="1" ht="15" x14ac:dyDescent="0.25">
      <c r="A4118" s="1"/>
      <c r="B4118" s="1" t="s">
        <v>515</v>
      </c>
      <c r="C4118" s="32">
        <v>4.1000000000000003E-3</v>
      </c>
      <c r="D4118" s="1">
        <v>29095</v>
      </c>
      <c r="E4118" s="1"/>
      <c r="F4118" s="1">
        <v>324.57</v>
      </c>
      <c r="G4118" s="1">
        <v>29095</v>
      </c>
      <c r="H4118" s="5">
        <f t="shared" si="81"/>
        <v>0</v>
      </c>
      <c r="I4118" s="6"/>
      <c r="J4118" s="43"/>
      <c r="K4118" s="51"/>
      <c r="L4118" s="86"/>
      <c r="M4118" s="266"/>
      <c r="N4118" s="266"/>
    </row>
    <row r="4119" spans="1:14" s="265" customFormat="1" ht="15" x14ac:dyDescent="0.25">
      <c r="A4119" s="1"/>
      <c r="B4119" s="1" t="s">
        <v>515</v>
      </c>
      <c r="C4119" s="32">
        <v>8986</v>
      </c>
      <c r="D4119" s="1">
        <v>26000</v>
      </c>
      <c r="E4119" s="1"/>
      <c r="F4119" s="1">
        <v>289.77999999999997</v>
      </c>
      <c r="G4119" s="1">
        <v>26000</v>
      </c>
      <c r="H4119" s="5">
        <f t="shared" si="81"/>
        <v>0</v>
      </c>
      <c r="I4119" s="6"/>
      <c r="J4119" s="43"/>
      <c r="K4119" s="51"/>
      <c r="L4119" s="86"/>
      <c r="M4119" s="266"/>
      <c r="N4119" s="266"/>
    </row>
    <row r="4120" spans="1:14" s="265" customFormat="1" ht="15" x14ac:dyDescent="0.25">
      <c r="A4120" s="1"/>
      <c r="B4120" s="1" t="s">
        <v>515</v>
      </c>
      <c r="C4120" s="32">
        <v>3826</v>
      </c>
      <c r="D4120" s="1">
        <v>28000</v>
      </c>
      <c r="E4120" s="1"/>
      <c r="F4120" s="1">
        <v>311.48</v>
      </c>
      <c r="G4120" s="1">
        <v>28000</v>
      </c>
      <c r="H4120" s="5">
        <f t="shared" si="81"/>
        <v>0</v>
      </c>
      <c r="I4120" s="6"/>
      <c r="J4120" s="43"/>
      <c r="K4120" s="51"/>
      <c r="L4120" s="86"/>
      <c r="M4120" s="266"/>
      <c r="N4120" s="266"/>
    </row>
    <row r="4121" spans="1:14" s="265" customFormat="1" ht="15" x14ac:dyDescent="0.25">
      <c r="A4121" s="1"/>
      <c r="B4121" s="1" t="s">
        <v>515</v>
      </c>
      <c r="C4121" s="32">
        <v>1911</v>
      </c>
      <c r="D4121" s="1">
        <v>28000</v>
      </c>
      <c r="E4121" s="1"/>
      <c r="F4121" s="1">
        <v>311.48</v>
      </c>
      <c r="G4121" s="1">
        <v>28000</v>
      </c>
      <c r="H4121" s="5">
        <f t="shared" si="81"/>
        <v>0</v>
      </c>
      <c r="I4121" s="6"/>
      <c r="J4121" s="43"/>
      <c r="K4121" s="51"/>
      <c r="L4121" s="86"/>
      <c r="M4121" s="266"/>
      <c r="N4121" s="266"/>
    </row>
    <row r="4122" spans="1:14" s="265" customFormat="1" ht="15" x14ac:dyDescent="0.25">
      <c r="A4122" s="1"/>
      <c r="B4122" s="1" t="s">
        <v>515</v>
      </c>
      <c r="C4122" s="32">
        <v>7146</v>
      </c>
      <c r="D4122" s="1">
        <v>50000</v>
      </c>
      <c r="E4122" s="1"/>
      <c r="F4122" s="1">
        <v>557.48</v>
      </c>
      <c r="G4122" s="1">
        <v>50000</v>
      </c>
      <c r="H4122" s="5">
        <f t="shared" si="81"/>
        <v>0</v>
      </c>
      <c r="I4122" s="6"/>
      <c r="J4122" s="43"/>
      <c r="K4122" s="51"/>
      <c r="L4122" s="86"/>
      <c r="M4122" s="266"/>
      <c r="N4122" s="266"/>
    </row>
    <row r="4123" spans="1:14" s="265" customFormat="1" ht="15" x14ac:dyDescent="0.25">
      <c r="A4123" s="1"/>
      <c r="B4123" s="1" t="s">
        <v>515</v>
      </c>
      <c r="C4123" s="32">
        <v>6867</v>
      </c>
      <c r="D4123" s="1">
        <v>25000</v>
      </c>
      <c r="E4123" s="1"/>
      <c r="F4123" s="1">
        <v>278.22000000000003</v>
      </c>
      <c r="G4123" s="1">
        <v>25000</v>
      </c>
      <c r="H4123" s="5">
        <f t="shared" si="81"/>
        <v>0</v>
      </c>
      <c r="I4123" s="6"/>
      <c r="J4123" s="43"/>
      <c r="K4123" s="51"/>
      <c r="L4123" s="86"/>
      <c r="M4123" s="266"/>
      <c r="N4123" s="266"/>
    </row>
    <row r="4124" spans="1:14" s="265" customFormat="1" ht="15" x14ac:dyDescent="0.25">
      <c r="A4124" s="1"/>
      <c r="B4124" s="1" t="s">
        <v>515</v>
      </c>
      <c r="C4124" s="32">
        <v>1224</v>
      </c>
      <c r="D4124" s="1">
        <v>18000</v>
      </c>
      <c r="E4124" s="1"/>
      <c r="F4124" s="1">
        <v>194.58</v>
      </c>
      <c r="G4124" s="1">
        <v>18000</v>
      </c>
      <c r="H4124" s="5">
        <f t="shared" si="81"/>
        <v>0</v>
      </c>
      <c r="I4124" s="6"/>
      <c r="J4124" s="43"/>
      <c r="K4124" s="51"/>
      <c r="L4124" s="86"/>
      <c r="M4124" s="266"/>
      <c r="N4124" s="266"/>
    </row>
    <row r="4125" spans="1:14" s="265" customFormat="1" ht="15" x14ac:dyDescent="0.25">
      <c r="A4125" s="1"/>
      <c r="B4125" s="1" t="s">
        <v>515</v>
      </c>
      <c r="C4125" s="32">
        <v>9825</v>
      </c>
      <c r="D4125" s="1">
        <v>18000</v>
      </c>
      <c r="E4125" s="1"/>
      <c r="F4125" s="1">
        <v>194.58</v>
      </c>
      <c r="G4125" s="1">
        <v>18000</v>
      </c>
      <c r="H4125" s="5">
        <f t="shared" si="81"/>
        <v>0</v>
      </c>
      <c r="I4125" s="6"/>
      <c r="J4125" s="43"/>
      <c r="K4125" s="51"/>
      <c r="L4125" s="86"/>
      <c r="M4125" s="266"/>
      <c r="N4125" s="266"/>
    </row>
    <row r="4126" spans="1:14" s="265" customFormat="1" ht="15" x14ac:dyDescent="0.25">
      <c r="A4126" s="1"/>
      <c r="B4126" s="1" t="s">
        <v>515</v>
      </c>
      <c r="C4126" s="32">
        <v>9824</v>
      </c>
      <c r="D4126" s="1">
        <v>18000</v>
      </c>
      <c r="E4126" s="1"/>
      <c r="F4126" s="1">
        <v>194.58</v>
      </c>
      <c r="G4126" s="1">
        <v>18000</v>
      </c>
      <c r="H4126" s="5">
        <f t="shared" si="81"/>
        <v>0</v>
      </c>
      <c r="I4126" s="6"/>
      <c r="J4126" s="43"/>
      <c r="K4126" s="51"/>
      <c r="L4126" s="86"/>
      <c r="M4126" s="266"/>
      <c r="N4126" s="266"/>
    </row>
    <row r="4127" spans="1:14" s="265" customFormat="1" ht="15" x14ac:dyDescent="0.25">
      <c r="A4127" s="1"/>
      <c r="B4127" s="1" t="s">
        <v>515</v>
      </c>
      <c r="C4127" s="32">
        <v>7615</v>
      </c>
      <c r="D4127" s="1">
        <v>10000</v>
      </c>
      <c r="E4127" s="1"/>
      <c r="F4127" s="1">
        <v>111.47</v>
      </c>
      <c r="G4127" s="1">
        <v>10000</v>
      </c>
      <c r="H4127" s="5">
        <f t="shared" si="81"/>
        <v>0</v>
      </c>
      <c r="I4127" s="6"/>
      <c r="J4127" s="43"/>
      <c r="K4127" s="51"/>
      <c r="L4127" s="86"/>
      <c r="M4127" s="266"/>
      <c r="N4127" s="266"/>
    </row>
    <row r="4128" spans="1:14" s="265" customFormat="1" ht="15" x14ac:dyDescent="0.25">
      <c r="A4128" s="1"/>
      <c r="B4128" s="1" t="s">
        <v>515</v>
      </c>
      <c r="C4128" s="32">
        <v>5748</v>
      </c>
      <c r="D4128" s="1">
        <v>23000</v>
      </c>
      <c r="E4128" s="1"/>
      <c r="F4128" s="1">
        <v>256.48</v>
      </c>
      <c r="G4128" s="1">
        <v>23000</v>
      </c>
      <c r="H4128" s="5">
        <f t="shared" ref="H4128:H4191" si="82">D4128-G4128</f>
        <v>0</v>
      </c>
      <c r="I4128" s="6"/>
      <c r="J4128" s="43"/>
      <c r="K4128" s="51"/>
      <c r="L4128" s="86"/>
      <c r="M4128" s="266"/>
      <c r="N4128" s="266"/>
    </row>
    <row r="4129" spans="1:14" s="265" customFormat="1" ht="15" x14ac:dyDescent="0.25">
      <c r="A4129" s="1"/>
      <c r="B4129" s="1" t="s">
        <v>515</v>
      </c>
      <c r="C4129" s="32">
        <v>5572</v>
      </c>
      <c r="D4129" s="1">
        <v>25000</v>
      </c>
      <c r="E4129" s="1"/>
      <c r="F4129" s="1">
        <v>278.22000000000003</v>
      </c>
      <c r="G4129" s="1">
        <v>25000</v>
      </c>
      <c r="H4129" s="5">
        <f t="shared" si="82"/>
        <v>0</v>
      </c>
      <c r="I4129" s="6"/>
      <c r="J4129" s="43"/>
      <c r="K4129" s="51"/>
      <c r="L4129" s="86"/>
      <c r="M4129" s="266"/>
      <c r="N4129" s="266"/>
    </row>
    <row r="4130" spans="1:14" s="265" customFormat="1" ht="15" x14ac:dyDescent="0.25">
      <c r="A4130" s="1"/>
      <c r="B4130" s="1" t="s">
        <v>515</v>
      </c>
      <c r="C4130" s="32">
        <v>1223</v>
      </c>
      <c r="D4130" s="1">
        <v>18000</v>
      </c>
      <c r="E4130" s="1"/>
      <c r="F4130" s="1">
        <v>194.58</v>
      </c>
      <c r="G4130" s="1">
        <v>18000</v>
      </c>
      <c r="H4130" s="5">
        <f t="shared" si="82"/>
        <v>0</v>
      </c>
      <c r="I4130" s="6"/>
      <c r="J4130" s="43"/>
      <c r="K4130" s="51"/>
      <c r="L4130" s="86"/>
      <c r="M4130" s="266"/>
      <c r="N4130" s="266"/>
    </row>
    <row r="4131" spans="1:14" s="265" customFormat="1" ht="15" x14ac:dyDescent="0.25">
      <c r="A4131" s="1"/>
      <c r="B4131" s="1" t="s">
        <v>515</v>
      </c>
      <c r="C4131" s="32">
        <v>8.77E-2</v>
      </c>
      <c r="D4131" s="1">
        <v>13000</v>
      </c>
      <c r="E4131" s="1"/>
      <c r="F4131" s="1">
        <v>144.13</v>
      </c>
      <c r="G4131" s="1">
        <v>13000</v>
      </c>
      <c r="H4131" s="5">
        <f t="shared" si="82"/>
        <v>0</v>
      </c>
      <c r="I4131" s="6"/>
      <c r="J4131" s="43"/>
      <c r="K4131" s="51"/>
      <c r="L4131" s="86"/>
      <c r="M4131" s="266"/>
      <c r="N4131" s="266"/>
    </row>
    <row r="4132" spans="1:14" s="265" customFormat="1" ht="15" x14ac:dyDescent="0.25">
      <c r="A4132" s="1"/>
      <c r="B4132" s="1" t="s">
        <v>515</v>
      </c>
      <c r="C4132" s="32">
        <v>4925</v>
      </c>
      <c r="D4132" s="1">
        <v>15000</v>
      </c>
      <c r="E4132" s="1"/>
      <c r="F4132" s="1">
        <v>167.15</v>
      </c>
      <c r="G4132" s="1">
        <v>15000</v>
      </c>
      <c r="H4132" s="5">
        <f t="shared" si="82"/>
        <v>0</v>
      </c>
      <c r="I4132" s="6"/>
      <c r="J4132" s="43"/>
      <c r="K4132" s="51"/>
      <c r="L4132" s="86"/>
      <c r="M4132" s="266"/>
      <c r="N4132" s="266"/>
    </row>
    <row r="4133" spans="1:14" s="265" customFormat="1" ht="15" x14ac:dyDescent="0.25">
      <c r="A4133" s="1"/>
      <c r="B4133" s="1" t="s">
        <v>515</v>
      </c>
      <c r="C4133" s="32">
        <v>3363</v>
      </c>
      <c r="D4133" s="1">
        <v>15000</v>
      </c>
      <c r="E4133" s="1"/>
      <c r="F4133" s="1">
        <v>167.15</v>
      </c>
      <c r="G4133" s="1">
        <v>15000</v>
      </c>
      <c r="H4133" s="5">
        <f t="shared" si="82"/>
        <v>0</v>
      </c>
      <c r="I4133" s="6"/>
      <c r="J4133" s="43"/>
      <c r="K4133" s="51"/>
      <c r="L4133" s="86"/>
      <c r="M4133" s="266"/>
      <c r="N4133" s="266"/>
    </row>
    <row r="4134" spans="1:14" s="265" customFormat="1" ht="15" x14ac:dyDescent="0.25">
      <c r="A4134" s="1"/>
      <c r="B4134" s="1" t="s">
        <v>515</v>
      </c>
      <c r="C4134" s="32">
        <v>6.93E-2</v>
      </c>
      <c r="D4134" s="1">
        <v>17000</v>
      </c>
      <c r="E4134" s="1"/>
      <c r="F4134" s="1">
        <v>189.47</v>
      </c>
      <c r="G4134" s="1">
        <v>17000</v>
      </c>
      <c r="H4134" s="5">
        <f t="shared" si="82"/>
        <v>0</v>
      </c>
      <c r="I4134" s="6"/>
      <c r="J4134" s="43"/>
      <c r="K4134" s="51"/>
      <c r="L4134" s="86"/>
      <c r="M4134" s="266"/>
      <c r="N4134" s="266"/>
    </row>
    <row r="4135" spans="1:14" s="265" customFormat="1" ht="15" x14ac:dyDescent="0.25">
      <c r="A4135" s="1"/>
      <c r="B4135" s="1" t="s">
        <v>515</v>
      </c>
      <c r="C4135" s="32">
        <v>3263</v>
      </c>
      <c r="D4135" s="1">
        <v>25000</v>
      </c>
      <c r="E4135" s="1"/>
      <c r="F4135" s="1">
        <v>278.22000000000003</v>
      </c>
      <c r="G4135" s="1">
        <v>25000</v>
      </c>
      <c r="H4135" s="5">
        <f t="shared" si="82"/>
        <v>0</v>
      </c>
      <c r="I4135" s="6"/>
      <c r="J4135" s="43"/>
      <c r="K4135" s="51"/>
      <c r="L4135" s="86"/>
      <c r="M4135" s="266"/>
      <c r="N4135" s="266"/>
    </row>
    <row r="4136" spans="1:14" s="265" customFormat="1" ht="15" x14ac:dyDescent="0.25">
      <c r="A4136" s="1"/>
      <c r="B4136" s="1" t="s">
        <v>515</v>
      </c>
      <c r="C4136" s="32">
        <v>5668</v>
      </c>
      <c r="D4136" s="1">
        <v>15000</v>
      </c>
      <c r="E4136" s="1"/>
      <c r="F4136" s="1">
        <v>167.15</v>
      </c>
      <c r="G4136" s="1">
        <v>15000</v>
      </c>
      <c r="H4136" s="5">
        <f t="shared" si="82"/>
        <v>0</v>
      </c>
      <c r="I4136" s="6"/>
      <c r="J4136" s="43"/>
      <c r="K4136" s="51"/>
      <c r="L4136" s="86"/>
      <c r="M4136" s="266"/>
      <c r="N4136" s="266"/>
    </row>
    <row r="4137" spans="1:14" s="265" customFormat="1" ht="15" x14ac:dyDescent="0.25">
      <c r="A4137" s="1"/>
      <c r="B4137" s="1" t="s">
        <v>515</v>
      </c>
      <c r="C4137" s="32">
        <v>6035</v>
      </c>
      <c r="D4137" s="1">
        <v>10000</v>
      </c>
      <c r="E4137" s="1"/>
      <c r="F4137" s="1">
        <v>111.47</v>
      </c>
      <c r="G4137" s="1">
        <v>10000</v>
      </c>
      <c r="H4137" s="5">
        <f t="shared" si="82"/>
        <v>0</v>
      </c>
      <c r="I4137" s="6"/>
      <c r="J4137" s="43"/>
      <c r="K4137" s="51"/>
      <c r="L4137" s="86"/>
      <c r="M4137" s="266"/>
      <c r="N4137" s="266"/>
    </row>
    <row r="4138" spans="1:14" s="265" customFormat="1" ht="15" x14ac:dyDescent="0.25">
      <c r="A4138" s="1"/>
      <c r="B4138" s="1" t="s">
        <v>515</v>
      </c>
      <c r="C4138" s="32">
        <v>6152</v>
      </c>
      <c r="D4138" s="1">
        <v>25000</v>
      </c>
      <c r="E4138" s="1"/>
      <c r="F4138" s="1">
        <v>278.22000000000003</v>
      </c>
      <c r="G4138" s="1">
        <v>25000</v>
      </c>
      <c r="H4138" s="5">
        <f t="shared" si="82"/>
        <v>0</v>
      </c>
      <c r="I4138" s="6"/>
      <c r="J4138" s="43"/>
      <c r="K4138" s="51"/>
      <c r="L4138" s="86"/>
      <c r="M4138" s="266"/>
      <c r="N4138" s="266"/>
    </row>
    <row r="4139" spans="1:14" s="265" customFormat="1" ht="15" x14ac:dyDescent="0.25">
      <c r="A4139" s="1"/>
      <c r="B4139" s="1" t="s">
        <v>515</v>
      </c>
      <c r="C4139" s="32">
        <v>5385</v>
      </c>
      <c r="D4139" s="1">
        <v>20000</v>
      </c>
      <c r="E4139" s="1"/>
      <c r="F4139" s="1">
        <v>222.78</v>
      </c>
      <c r="G4139" s="1">
        <v>20000</v>
      </c>
      <c r="H4139" s="5">
        <f t="shared" si="82"/>
        <v>0</v>
      </c>
      <c r="I4139" s="6"/>
      <c r="J4139" s="43"/>
      <c r="K4139" s="51"/>
      <c r="L4139" s="86"/>
      <c r="M4139" s="266"/>
      <c r="N4139" s="266"/>
    </row>
    <row r="4140" spans="1:14" s="265" customFormat="1" ht="15" x14ac:dyDescent="0.25">
      <c r="A4140" s="1"/>
      <c r="B4140" s="1" t="s">
        <v>515</v>
      </c>
      <c r="C4140" s="32">
        <v>7991</v>
      </c>
      <c r="D4140" s="1">
        <v>33000</v>
      </c>
      <c r="E4140" s="1"/>
      <c r="F4140" s="1">
        <v>334.78</v>
      </c>
      <c r="G4140" s="1">
        <v>33000</v>
      </c>
      <c r="H4140" s="5">
        <f t="shared" si="82"/>
        <v>0</v>
      </c>
      <c r="I4140" s="6"/>
      <c r="J4140" s="43"/>
      <c r="K4140" s="51"/>
      <c r="L4140" s="86"/>
      <c r="M4140" s="266"/>
      <c r="N4140" s="266"/>
    </row>
    <row r="4141" spans="1:14" s="265" customFormat="1" ht="15" x14ac:dyDescent="0.25">
      <c r="A4141" s="1"/>
      <c r="B4141" s="1" t="s">
        <v>515</v>
      </c>
      <c r="C4141" s="32">
        <v>4199</v>
      </c>
      <c r="D4141" s="1">
        <v>30000</v>
      </c>
      <c r="E4141" s="1"/>
      <c r="F4141" s="1">
        <v>334.78</v>
      </c>
      <c r="G4141" s="1">
        <v>30000</v>
      </c>
      <c r="H4141" s="5">
        <f t="shared" si="82"/>
        <v>0</v>
      </c>
      <c r="I4141" s="6"/>
      <c r="J4141" s="43"/>
      <c r="K4141" s="51"/>
      <c r="L4141" s="86"/>
      <c r="M4141" s="266"/>
      <c r="N4141" s="266"/>
    </row>
    <row r="4142" spans="1:14" s="265" customFormat="1" ht="15" x14ac:dyDescent="0.25">
      <c r="A4142" s="1"/>
      <c r="B4142" s="1" t="s">
        <v>515</v>
      </c>
      <c r="C4142" s="32">
        <v>8.6400000000000005E-2</v>
      </c>
      <c r="D4142" s="1">
        <v>20000</v>
      </c>
      <c r="E4142" s="1"/>
      <c r="F4142" s="1">
        <v>222.78</v>
      </c>
      <c r="G4142" s="1">
        <v>20000</v>
      </c>
      <c r="H4142" s="5">
        <f t="shared" si="82"/>
        <v>0</v>
      </c>
      <c r="I4142" s="6"/>
      <c r="J4142" s="43"/>
      <c r="K4142" s="51"/>
      <c r="L4142" s="86"/>
      <c r="M4142" s="266"/>
      <c r="N4142" s="266"/>
    </row>
    <row r="4143" spans="1:14" s="265" customFormat="1" ht="15" x14ac:dyDescent="0.25">
      <c r="A4143" s="1"/>
      <c r="B4143" s="1" t="s">
        <v>515</v>
      </c>
      <c r="C4143" s="32">
        <v>3286</v>
      </c>
      <c r="D4143" s="1">
        <v>30000</v>
      </c>
      <c r="E4143" s="1"/>
      <c r="F4143" s="1">
        <v>334.78</v>
      </c>
      <c r="G4143" s="1">
        <v>30000</v>
      </c>
      <c r="H4143" s="5">
        <f t="shared" si="82"/>
        <v>0</v>
      </c>
      <c r="I4143" s="6"/>
      <c r="J4143" s="43"/>
      <c r="K4143" s="51"/>
      <c r="L4143" s="86"/>
      <c r="M4143" s="266"/>
      <c r="N4143" s="266"/>
    </row>
    <row r="4144" spans="1:14" s="265" customFormat="1" ht="15" x14ac:dyDescent="0.25">
      <c r="A4144" s="1"/>
      <c r="B4144" s="1" t="s">
        <v>515</v>
      </c>
      <c r="C4144" s="32">
        <v>5953</v>
      </c>
      <c r="D4144" s="1">
        <v>10000</v>
      </c>
      <c r="E4144" s="1"/>
      <c r="F4144" s="1">
        <v>111.47</v>
      </c>
      <c r="G4144" s="1">
        <v>10000</v>
      </c>
      <c r="H4144" s="5">
        <f t="shared" si="82"/>
        <v>0</v>
      </c>
      <c r="I4144" s="6"/>
      <c r="J4144" s="43"/>
      <c r="K4144" s="51"/>
      <c r="L4144" s="86"/>
      <c r="M4144" s="266"/>
      <c r="N4144" s="266"/>
    </row>
    <row r="4145" spans="1:14" s="265" customFormat="1" ht="15" x14ac:dyDescent="0.25">
      <c r="A4145" s="1"/>
      <c r="B4145" s="1" t="s">
        <v>515</v>
      </c>
      <c r="C4145" s="32">
        <v>3992</v>
      </c>
      <c r="D4145" s="1">
        <v>22000</v>
      </c>
      <c r="E4145" s="1"/>
      <c r="F4145" s="1">
        <v>245.78</v>
      </c>
      <c r="G4145" s="1">
        <v>22000</v>
      </c>
      <c r="H4145" s="5">
        <f t="shared" si="82"/>
        <v>0</v>
      </c>
      <c r="I4145" s="6"/>
      <c r="J4145" s="43"/>
      <c r="K4145" s="51"/>
      <c r="L4145" s="86">
        <f>2959764-2947002</f>
        <v>12762</v>
      </c>
      <c r="M4145" s="268" t="s">
        <v>510</v>
      </c>
      <c r="N4145" s="268">
        <f>12762-4532</f>
        <v>8230</v>
      </c>
    </row>
    <row r="4146" spans="1:14" s="269" customFormat="1" ht="15" x14ac:dyDescent="0.25">
      <c r="A4146" s="1"/>
      <c r="B4146" s="1" t="s">
        <v>516</v>
      </c>
      <c r="C4146" s="32">
        <v>2316</v>
      </c>
      <c r="D4146" s="1">
        <v>26000</v>
      </c>
      <c r="E4146" s="1"/>
      <c r="F4146" s="1">
        <v>295.77999999999997</v>
      </c>
      <c r="G4146" s="1">
        <v>26000</v>
      </c>
      <c r="H4146" s="5">
        <f t="shared" si="82"/>
        <v>0</v>
      </c>
      <c r="I4146" s="6"/>
      <c r="J4146" s="43"/>
      <c r="K4146" s="51"/>
      <c r="L4146" s="86"/>
      <c r="M4146" s="270"/>
      <c r="N4146" s="270"/>
    </row>
    <row r="4147" spans="1:14" s="269" customFormat="1" ht="15" x14ac:dyDescent="0.25">
      <c r="A4147" s="1"/>
      <c r="B4147" s="1" t="s">
        <v>516</v>
      </c>
      <c r="C4147" s="32">
        <v>2810</v>
      </c>
      <c r="D4147" s="1">
        <v>15000</v>
      </c>
      <c r="E4147" s="1"/>
      <c r="F4147" s="1">
        <v>167.15</v>
      </c>
      <c r="G4147" s="1">
        <v>15000</v>
      </c>
      <c r="H4147" s="5">
        <f t="shared" si="82"/>
        <v>0</v>
      </c>
      <c r="I4147" s="6"/>
      <c r="J4147" s="43"/>
      <c r="K4147" s="51"/>
      <c r="L4147" s="86"/>
      <c r="M4147" s="270"/>
      <c r="N4147" s="270"/>
    </row>
    <row r="4148" spans="1:14" s="269" customFormat="1" ht="15" x14ac:dyDescent="0.25">
      <c r="A4148" s="1"/>
      <c r="B4148" s="1" t="s">
        <v>516</v>
      </c>
      <c r="C4148" s="32" t="s">
        <v>30</v>
      </c>
      <c r="D4148" s="1">
        <v>4000</v>
      </c>
      <c r="E4148" s="1"/>
      <c r="F4148" s="1">
        <v>44.48</v>
      </c>
      <c r="G4148" s="1">
        <v>4000</v>
      </c>
      <c r="H4148" s="5">
        <f t="shared" si="82"/>
        <v>0</v>
      </c>
      <c r="I4148" s="6"/>
      <c r="J4148" s="43"/>
      <c r="K4148" s="51"/>
      <c r="L4148" s="86"/>
      <c r="M4148" s="270"/>
      <c r="N4148" s="270"/>
    </row>
    <row r="4149" spans="1:14" s="269" customFormat="1" ht="15" x14ac:dyDescent="0.25">
      <c r="A4149" s="1"/>
      <c r="B4149" s="1" t="s">
        <v>516</v>
      </c>
      <c r="C4149" s="32">
        <v>9327</v>
      </c>
      <c r="D4149" s="1">
        <v>15000</v>
      </c>
      <c r="E4149" s="1"/>
      <c r="F4149" s="1">
        <v>167.15</v>
      </c>
      <c r="G4149" s="1">
        <v>15000</v>
      </c>
      <c r="H4149" s="5">
        <f t="shared" si="82"/>
        <v>0</v>
      </c>
      <c r="I4149" s="6"/>
      <c r="J4149" s="43"/>
      <c r="K4149" s="51"/>
      <c r="L4149" s="86"/>
      <c r="M4149" s="270"/>
      <c r="N4149" s="270"/>
    </row>
    <row r="4150" spans="1:14" s="269" customFormat="1" ht="15" x14ac:dyDescent="0.25">
      <c r="A4150" s="1"/>
      <c r="B4150" s="1" t="s">
        <v>516</v>
      </c>
      <c r="C4150" s="32">
        <v>5681</v>
      </c>
      <c r="D4150" s="1">
        <v>16000</v>
      </c>
      <c r="E4150" s="1"/>
      <c r="F4150" s="1">
        <v>178.22</v>
      </c>
      <c r="G4150" s="1">
        <v>16000</v>
      </c>
      <c r="H4150" s="5">
        <f t="shared" si="82"/>
        <v>0</v>
      </c>
      <c r="I4150" s="6"/>
      <c r="J4150" s="43"/>
      <c r="K4150" s="51"/>
      <c r="L4150" s="86"/>
      <c r="M4150" s="270"/>
      <c r="N4150" s="270"/>
    </row>
    <row r="4151" spans="1:14" s="269" customFormat="1" ht="15" x14ac:dyDescent="0.25">
      <c r="A4151" s="1"/>
      <c r="B4151" s="1" t="s">
        <v>516</v>
      </c>
      <c r="C4151" s="32">
        <v>4451</v>
      </c>
      <c r="D4151" s="1">
        <v>16000</v>
      </c>
      <c r="E4151" s="1"/>
      <c r="F4151" s="1">
        <v>178.22</v>
      </c>
      <c r="G4151" s="1">
        <v>16000</v>
      </c>
      <c r="H4151" s="5">
        <f t="shared" si="82"/>
        <v>0</v>
      </c>
      <c r="I4151" s="6"/>
      <c r="J4151" s="43"/>
      <c r="K4151" s="51"/>
      <c r="L4151" s="86"/>
      <c r="M4151" s="270"/>
      <c r="N4151" s="270"/>
    </row>
    <row r="4152" spans="1:14" s="269" customFormat="1" ht="15" x14ac:dyDescent="0.25">
      <c r="A4152" s="1"/>
      <c r="B4152" s="1" t="s">
        <v>516</v>
      </c>
      <c r="C4152" s="32">
        <v>6931</v>
      </c>
      <c r="D4152" s="1">
        <v>16000</v>
      </c>
      <c r="E4152" s="1"/>
      <c r="F4152" s="1">
        <v>178.22</v>
      </c>
      <c r="G4152" s="1">
        <v>16000</v>
      </c>
      <c r="H4152" s="5">
        <f t="shared" si="82"/>
        <v>0</v>
      </c>
      <c r="I4152" s="6"/>
      <c r="J4152" s="43"/>
      <c r="K4152" s="51"/>
      <c r="L4152" s="86"/>
      <c r="M4152" s="270"/>
      <c r="N4152" s="270"/>
    </row>
    <row r="4153" spans="1:14" s="269" customFormat="1" ht="15" x14ac:dyDescent="0.25">
      <c r="A4153" s="1"/>
      <c r="B4153" s="1" t="s">
        <v>516</v>
      </c>
      <c r="C4153" s="32">
        <v>5931</v>
      </c>
      <c r="D4153" s="1">
        <v>16000</v>
      </c>
      <c r="E4153" s="1"/>
      <c r="F4153" s="1">
        <v>178.22</v>
      </c>
      <c r="G4153" s="1">
        <v>16000</v>
      </c>
      <c r="H4153" s="5">
        <f t="shared" si="82"/>
        <v>0</v>
      </c>
      <c r="I4153" s="6"/>
      <c r="J4153" s="43"/>
      <c r="K4153" s="51"/>
      <c r="L4153" s="86"/>
      <c r="M4153" s="270"/>
      <c r="N4153" s="270"/>
    </row>
    <row r="4154" spans="1:14" s="269" customFormat="1" ht="15" x14ac:dyDescent="0.25">
      <c r="A4154" s="1"/>
      <c r="B4154" s="1" t="s">
        <v>516</v>
      </c>
      <c r="C4154" s="32">
        <v>1416</v>
      </c>
      <c r="D4154" s="1">
        <v>10000</v>
      </c>
      <c r="E4154" s="1"/>
      <c r="F4154" s="1">
        <v>111.47</v>
      </c>
      <c r="G4154" s="1">
        <v>10000</v>
      </c>
      <c r="H4154" s="5">
        <f t="shared" si="82"/>
        <v>0</v>
      </c>
      <c r="I4154" s="6"/>
      <c r="J4154" s="43"/>
      <c r="K4154" s="51"/>
      <c r="L4154" s="86"/>
      <c r="M4154" s="270"/>
      <c r="N4154" s="270"/>
    </row>
    <row r="4155" spans="1:14" s="269" customFormat="1" ht="15" x14ac:dyDescent="0.25">
      <c r="A4155" s="1"/>
      <c r="B4155" s="1" t="s">
        <v>516</v>
      </c>
      <c r="C4155" s="32">
        <v>4137</v>
      </c>
      <c r="D4155" s="1">
        <v>22000</v>
      </c>
      <c r="E4155" s="1"/>
      <c r="F4155" s="1">
        <v>245.48</v>
      </c>
      <c r="G4155" s="1">
        <v>22000</v>
      </c>
      <c r="H4155" s="5">
        <f t="shared" si="82"/>
        <v>0</v>
      </c>
      <c r="I4155" s="6"/>
      <c r="J4155" s="43"/>
      <c r="K4155" s="51"/>
      <c r="L4155" s="86"/>
      <c r="M4155" s="270"/>
      <c r="N4155" s="270"/>
    </row>
    <row r="4156" spans="1:14" s="269" customFormat="1" ht="15" x14ac:dyDescent="0.25">
      <c r="A4156" s="1"/>
      <c r="B4156" s="1" t="s">
        <v>516</v>
      </c>
      <c r="C4156" s="32">
        <v>2112</v>
      </c>
      <c r="D4156" s="1">
        <v>20000</v>
      </c>
      <c r="E4156" s="1"/>
      <c r="F4156" s="1">
        <v>222.78</v>
      </c>
      <c r="G4156" s="1">
        <v>20000</v>
      </c>
      <c r="H4156" s="5">
        <f t="shared" si="82"/>
        <v>0</v>
      </c>
      <c r="I4156" s="6"/>
      <c r="J4156" s="43"/>
      <c r="K4156" s="51"/>
      <c r="L4156" s="86"/>
      <c r="M4156" s="270"/>
      <c r="N4156" s="270"/>
    </row>
    <row r="4157" spans="1:14" s="269" customFormat="1" ht="15" x14ac:dyDescent="0.25">
      <c r="A4157" s="1"/>
      <c r="B4157" s="1" t="s">
        <v>516</v>
      </c>
      <c r="C4157" s="32">
        <v>5931</v>
      </c>
      <c r="D4157" s="1">
        <v>17000</v>
      </c>
      <c r="E4157" s="1"/>
      <c r="F4157" s="1">
        <v>189.47</v>
      </c>
      <c r="G4157" s="1">
        <v>17000</v>
      </c>
      <c r="H4157" s="5">
        <f t="shared" si="82"/>
        <v>0</v>
      </c>
      <c r="I4157" s="6"/>
      <c r="J4157" s="43"/>
      <c r="K4157" s="51"/>
      <c r="L4157" s="86"/>
      <c r="M4157" s="270"/>
      <c r="N4157" s="270"/>
    </row>
    <row r="4158" spans="1:14" s="269" customFormat="1" ht="15" x14ac:dyDescent="0.25">
      <c r="A4158" s="1"/>
      <c r="B4158" s="1" t="s">
        <v>516</v>
      </c>
      <c r="C4158" s="32">
        <v>9645</v>
      </c>
      <c r="D4158" s="1">
        <v>15000</v>
      </c>
      <c r="E4158" s="1"/>
      <c r="F4158" s="1">
        <v>167.15</v>
      </c>
      <c r="G4158" s="1">
        <v>15000</v>
      </c>
      <c r="H4158" s="5">
        <f t="shared" si="82"/>
        <v>0</v>
      </c>
      <c r="I4158" s="6"/>
      <c r="J4158" s="43"/>
      <c r="K4158" s="51"/>
      <c r="L4158" s="86"/>
      <c r="M4158" s="270"/>
      <c r="N4158" s="270"/>
    </row>
    <row r="4159" spans="1:14" s="269" customFormat="1" ht="15" x14ac:dyDescent="0.25">
      <c r="A4159" s="1"/>
      <c r="B4159" s="1" t="s">
        <v>516</v>
      </c>
      <c r="C4159" s="32" t="s">
        <v>66</v>
      </c>
      <c r="D4159" s="1">
        <v>210</v>
      </c>
      <c r="E4159" s="1"/>
      <c r="F4159" s="1">
        <v>2.0499999999999998</v>
      </c>
      <c r="G4159" s="1">
        <v>210</v>
      </c>
      <c r="H4159" s="5">
        <f t="shared" si="82"/>
        <v>0</v>
      </c>
      <c r="I4159" s="6"/>
      <c r="J4159" s="43"/>
      <c r="K4159" s="51"/>
      <c r="L4159" s="86"/>
      <c r="M4159" s="270"/>
      <c r="N4159" s="270"/>
    </row>
    <row r="4160" spans="1:14" s="269" customFormat="1" ht="15" x14ac:dyDescent="0.25">
      <c r="A4160" s="1"/>
      <c r="B4160" s="1" t="s">
        <v>516</v>
      </c>
      <c r="C4160" s="32">
        <v>3348</v>
      </c>
      <c r="D4160" s="1">
        <v>23000</v>
      </c>
      <c r="E4160" s="1"/>
      <c r="F4160" s="1">
        <v>222.57</v>
      </c>
      <c r="G4160" s="1">
        <v>23000</v>
      </c>
      <c r="H4160" s="5">
        <f t="shared" si="82"/>
        <v>0</v>
      </c>
      <c r="I4160" s="6"/>
      <c r="J4160" s="43"/>
      <c r="K4160" s="51"/>
      <c r="L4160" s="86"/>
      <c r="M4160" s="270"/>
      <c r="N4160" s="270"/>
    </row>
    <row r="4161" spans="1:14" s="269" customFormat="1" ht="15" x14ac:dyDescent="0.25">
      <c r="A4161" s="1"/>
      <c r="B4161" s="1" t="s">
        <v>516</v>
      </c>
      <c r="C4161" s="32">
        <v>2076</v>
      </c>
      <c r="D4161" s="1">
        <v>18000</v>
      </c>
      <c r="E4161" s="1"/>
      <c r="F4161" s="1">
        <v>200.87</v>
      </c>
      <c r="G4161" s="1">
        <v>18000</v>
      </c>
      <c r="H4161" s="5">
        <f t="shared" si="82"/>
        <v>0</v>
      </c>
      <c r="I4161" s="6"/>
      <c r="J4161" s="43"/>
      <c r="K4161" s="51"/>
      <c r="L4161" s="86"/>
      <c r="M4161" s="270"/>
      <c r="N4161" s="270"/>
    </row>
    <row r="4162" spans="1:14" s="269" customFormat="1" ht="15" x14ac:dyDescent="0.25">
      <c r="A4162" s="1"/>
      <c r="B4162" s="1" t="s">
        <v>516</v>
      </c>
      <c r="C4162" s="32">
        <v>1143</v>
      </c>
      <c r="D4162" s="1">
        <v>22000</v>
      </c>
      <c r="E4162" s="1"/>
      <c r="F4162" s="1">
        <v>243.5</v>
      </c>
      <c r="G4162" s="1">
        <v>22000</v>
      </c>
      <c r="H4162" s="5">
        <f t="shared" si="82"/>
        <v>0</v>
      </c>
      <c r="I4162" s="6"/>
      <c r="J4162" s="43"/>
      <c r="K4162" s="51"/>
      <c r="L4162" s="86"/>
      <c r="M4162" s="270"/>
      <c r="N4162" s="270"/>
    </row>
    <row r="4163" spans="1:14" s="269" customFormat="1" ht="15" x14ac:dyDescent="0.25">
      <c r="A4163" s="1"/>
      <c r="B4163" s="1" t="s">
        <v>516</v>
      </c>
      <c r="C4163" s="32">
        <v>4273</v>
      </c>
      <c r="D4163" s="1">
        <v>15000</v>
      </c>
      <c r="E4163" s="1"/>
      <c r="F4163" s="1">
        <v>167.15</v>
      </c>
      <c r="G4163" s="1">
        <v>15000</v>
      </c>
      <c r="H4163" s="5">
        <f t="shared" si="82"/>
        <v>0</v>
      </c>
      <c r="I4163" s="6"/>
      <c r="J4163" s="43"/>
      <c r="K4163" s="51"/>
      <c r="L4163" s="86"/>
      <c r="M4163" s="270"/>
      <c r="N4163" s="270"/>
    </row>
    <row r="4164" spans="1:14" s="269" customFormat="1" ht="15" x14ac:dyDescent="0.25">
      <c r="A4164" s="1"/>
      <c r="B4164" s="1" t="s">
        <v>516</v>
      </c>
      <c r="C4164" s="32">
        <v>5981</v>
      </c>
      <c r="D4164" s="1">
        <v>25000</v>
      </c>
      <c r="E4164" s="1"/>
      <c r="F4164" s="1">
        <v>323.58</v>
      </c>
      <c r="G4164" s="1">
        <v>25000</v>
      </c>
      <c r="H4164" s="5">
        <f t="shared" si="82"/>
        <v>0</v>
      </c>
      <c r="I4164" s="6"/>
      <c r="J4164" s="43"/>
      <c r="K4164" s="51"/>
      <c r="L4164" s="86"/>
      <c r="M4164" s="270"/>
      <c r="N4164" s="270"/>
    </row>
    <row r="4165" spans="1:14" s="269" customFormat="1" ht="15" x14ac:dyDescent="0.25">
      <c r="A4165" s="1"/>
      <c r="B4165" s="1" t="s">
        <v>516</v>
      </c>
      <c r="C4165" s="32">
        <v>3438</v>
      </c>
      <c r="D4165" s="1">
        <v>25000</v>
      </c>
      <c r="E4165" s="1"/>
      <c r="F4165" s="1">
        <v>323.58</v>
      </c>
      <c r="G4165" s="1">
        <v>25000</v>
      </c>
      <c r="H4165" s="5">
        <f t="shared" si="82"/>
        <v>0</v>
      </c>
      <c r="I4165" s="6"/>
      <c r="J4165" s="43"/>
      <c r="K4165" s="51"/>
      <c r="L4165" s="86"/>
      <c r="M4165" s="270"/>
      <c r="N4165" s="270"/>
    </row>
    <row r="4166" spans="1:14" s="269" customFormat="1" ht="15" x14ac:dyDescent="0.25">
      <c r="A4166" s="1"/>
      <c r="B4166" s="1" t="s">
        <v>516</v>
      </c>
      <c r="C4166" s="32">
        <v>3391</v>
      </c>
      <c r="D4166" s="1">
        <v>30000</v>
      </c>
      <c r="E4166" s="1"/>
      <c r="F4166" s="1">
        <v>334.78</v>
      </c>
      <c r="G4166" s="1">
        <v>30000</v>
      </c>
      <c r="H4166" s="5">
        <f t="shared" si="82"/>
        <v>0</v>
      </c>
      <c r="I4166" s="6"/>
      <c r="J4166" s="43"/>
      <c r="K4166" s="51"/>
      <c r="L4166" s="86"/>
      <c r="M4166" s="270"/>
      <c r="N4166" s="270"/>
    </row>
    <row r="4167" spans="1:14" s="269" customFormat="1" ht="15" x14ac:dyDescent="0.25">
      <c r="A4167" s="1"/>
      <c r="B4167" s="1" t="s">
        <v>516</v>
      </c>
      <c r="C4167" s="32">
        <v>5.3800000000000001E-2</v>
      </c>
      <c r="D4167" s="1">
        <v>32000</v>
      </c>
      <c r="E4167" s="1"/>
      <c r="F4167" s="1">
        <v>356.74</v>
      </c>
      <c r="G4167" s="1">
        <v>32000</v>
      </c>
      <c r="H4167" s="5">
        <f t="shared" si="82"/>
        <v>0</v>
      </c>
      <c r="I4167" s="6"/>
      <c r="J4167" s="43"/>
      <c r="K4167" s="51"/>
      <c r="L4167" s="86"/>
      <c r="M4167" s="270"/>
      <c r="N4167" s="270"/>
    </row>
    <row r="4168" spans="1:14" s="269" customFormat="1" ht="15" x14ac:dyDescent="0.25">
      <c r="A4168" s="1"/>
      <c r="B4168" s="1" t="s">
        <v>516</v>
      </c>
      <c r="C4168" s="32">
        <v>9989</v>
      </c>
      <c r="D4168" s="1">
        <v>25000</v>
      </c>
      <c r="E4168" s="1"/>
      <c r="F4168" s="1">
        <v>323.58</v>
      </c>
      <c r="G4168" s="1">
        <v>25000</v>
      </c>
      <c r="H4168" s="5">
        <f t="shared" si="82"/>
        <v>0</v>
      </c>
      <c r="I4168" s="6"/>
      <c r="J4168" s="43"/>
      <c r="K4168" s="51"/>
      <c r="L4168" s="86"/>
      <c r="M4168" s="270"/>
      <c r="N4168" s="270"/>
    </row>
    <row r="4169" spans="1:14" s="269" customFormat="1" ht="15" x14ac:dyDescent="0.25">
      <c r="A4169" s="1"/>
      <c r="B4169" s="1" t="s">
        <v>516</v>
      </c>
      <c r="C4169" s="32">
        <v>8555</v>
      </c>
      <c r="D4169" s="1">
        <v>25000</v>
      </c>
      <c r="E4169" s="1"/>
      <c r="F4169" s="1">
        <v>323.58</v>
      </c>
      <c r="G4169" s="1">
        <v>25000</v>
      </c>
      <c r="H4169" s="5">
        <f t="shared" si="82"/>
        <v>0</v>
      </c>
      <c r="I4169" s="6"/>
      <c r="J4169" s="43"/>
      <c r="K4169" s="51"/>
      <c r="L4169" s="86"/>
      <c r="M4169" s="270"/>
      <c r="N4169" s="270"/>
    </row>
    <row r="4170" spans="1:14" s="269" customFormat="1" ht="15" x14ac:dyDescent="0.25">
      <c r="A4170" s="1"/>
      <c r="B4170" s="1" t="s">
        <v>516</v>
      </c>
      <c r="C4170" s="32">
        <v>9378</v>
      </c>
      <c r="D4170" s="1">
        <v>21000</v>
      </c>
      <c r="E4170" s="1"/>
      <c r="F4170" s="1">
        <v>226.47</v>
      </c>
      <c r="G4170" s="1">
        <v>21000</v>
      </c>
      <c r="H4170" s="5">
        <f t="shared" si="82"/>
        <v>0</v>
      </c>
      <c r="I4170" s="6"/>
      <c r="J4170" s="43"/>
      <c r="K4170" s="51"/>
      <c r="L4170" s="86"/>
      <c r="M4170" s="270"/>
      <c r="N4170" s="270"/>
    </row>
    <row r="4171" spans="1:14" s="269" customFormat="1" ht="15" x14ac:dyDescent="0.25">
      <c r="A4171" s="1"/>
      <c r="B4171" s="1" t="s">
        <v>516</v>
      </c>
      <c r="C4171" s="32">
        <v>4829</v>
      </c>
      <c r="D4171" s="1">
        <v>10000</v>
      </c>
      <c r="E4171" s="1"/>
      <c r="F4171" s="1">
        <v>111.47</v>
      </c>
      <c r="G4171" s="1">
        <v>10000</v>
      </c>
      <c r="H4171" s="5">
        <f t="shared" si="82"/>
        <v>0</v>
      </c>
      <c r="I4171" s="6"/>
      <c r="J4171" s="43"/>
      <c r="K4171" s="51"/>
      <c r="L4171" s="86"/>
      <c r="M4171" s="270"/>
      <c r="N4171" s="270"/>
    </row>
    <row r="4172" spans="1:14" s="269" customFormat="1" ht="15" x14ac:dyDescent="0.25">
      <c r="A4172" s="1"/>
      <c r="B4172" s="1" t="s">
        <v>516</v>
      </c>
      <c r="C4172" s="32">
        <v>2353</v>
      </c>
      <c r="D4172" s="1">
        <v>25000</v>
      </c>
      <c r="E4172" s="1"/>
      <c r="F4172" s="1">
        <v>323.58</v>
      </c>
      <c r="G4172" s="1">
        <v>25000</v>
      </c>
      <c r="H4172" s="5">
        <f t="shared" si="82"/>
        <v>0</v>
      </c>
      <c r="I4172" s="6"/>
      <c r="J4172" s="43"/>
      <c r="K4172" s="51"/>
      <c r="L4172" s="86">
        <f>2464123-2451212</f>
        <v>12911</v>
      </c>
      <c r="M4172" s="270" t="s">
        <v>517</v>
      </c>
      <c r="N4172" s="270">
        <f>12762-4682</f>
        <v>8080</v>
      </c>
    </row>
    <row r="4173" spans="1:14" s="273" customFormat="1" ht="15" x14ac:dyDescent="0.25">
      <c r="A4173" s="1"/>
      <c r="B4173" s="1" t="s">
        <v>518</v>
      </c>
      <c r="C4173" s="32">
        <v>6573</v>
      </c>
      <c r="D4173" s="1">
        <v>13000</v>
      </c>
      <c r="E4173" s="1"/>
      <c r="F4173" s="1">
        <v>144.78</v>
      </c>
      <c r="G4173" s="1">
        <v>13000</v>
      </c>
      <c r="H4173" s="5">
        <f t="shared" si="82"/>
        <v>0</v>
      </c>
      <c r="I4173" s="6"/>
      <c r="J4173" s="43"/>
      <c r="K4173" s="51"/>
      <c r="L4173" s="86"/>
      <c r="M4173" s="274"/>
      <c r="N4173" s="274"/>
    </row>
    <row r="4174" spans="1:14" s="273" customFormat="1" ht="15" x14ac:dyDescent="0.25">
      <c r="A4174" s="1"/>
      <c r="B4174" s="1" t="s">
        <v>518</v>
      </c>
      <c r="C4174" s="32">
        <v>6659</v>
      </c>
      <c r="D4174" s="1">
        <v>15000</v>
      </c>
      <c r="E4174" s="1"/>
      <c r="F4174" s="1">
        <v>167.15</v>
      </c>
      <c r="G4174" s="1">
        <v>15000</v>
      </c>
      <c r="H4174" s="5">
        <f t="shared" si="82"/>
        <v>0</v>
      </c>
      <c r="I4174" s="6"/>
      <c r="J4174" s="43"/>
      <c r="K4174" s="51"/>
      <c r="L4174" s="86"/>
      <c r="M4174" s="274"/>
      <c r="N4174" s="274"/>
    </row>
    <row r="4175" spans="1:14" s="273" customFormat="1" ht="15" x14ac:dyDescent="0.25">
      <c r="A4175" s="1"/>
      <c r="B4175" s="1" t="s">
        <v>518</v>
      </c>
      <c r="C4175" s="32">
        <v>8192</v>
      </c>
      <c r="D4175" s="1">
        <v>28000</v>
      </c>
      <c r="E4175" s="1"/>
      <c r="F4175" s="1">
        <v>311.54000000000002</v>
      </c>
      <c r="G4175" s="1">
        <v>28000</v>
      </c>
      <c r="H4175" s="5">
        <f t="shared" si="82"/>
        <v>0</v>
      </c>
      <c r="I4175" s="6"/>
      <c r="J4175" s="43"/>
      <c r="K4175" s="51"/>
      <c r="L4175" s="86"/>
      <c r="M4175" s="274"/>
      <c r="N4175" s="274"/>
    </row>
    <row r="4176" spans="1:14" s="273" customFormat="1" ht="15" x14ac:dyDescent="0.25">
      <c r="A4176" s="1"/>
      <c r="B4176" s="1" t="s">
        <v>518</v>
      </c>
      <c r="C4176" s="32">
        <v>2808</v>
      </c>
      <c r="D4176" s="1">
        <v>16000</v>
      </c>
      <c r="E4176" s="1"/>
      <c r="F4176" s="1">
        <v>178.22</v>
      </c>
      <c r="G4176" s="1">
        <v>16000</v>
      </c>
      <c r="H4176" s="5">
        <f t="shared" si="82"/>
        <v>0</v>
      </c>
      <c r="I4176" s="6"/>
      <c r="J4176" s="43"/>
      <c r="K4176" s="51"/>
      <c r="L4176" s="86"/>
      <c r="M4176" s="274"/>
      <c r="N4176" s="274"/>
    </row>
    <row r="4177" spans="1:14" s="273" customFormat="1" ht="15" x14ac:dyDescent="0.25">
      <c r="A4177" s="1"/>
      <c r="B4177" s="1" t="s">
        <v>518</v>
      </c>
      <c r="C4177" s="32">
        <v>8666</v>
      </c>
      <c r="D4177" s="1">
        <v>15500</v>
      </c>
      <c r="E4177" s="1"/>
      <c r="F4177" s="1">
        <v>173.87</v>
      </c>
      <c r="G4177" s="1">
        <v>15500</v>
      </c>
      <c r="H4177" s="5">
        <f t="shared" si="82"/>
        <v>0</v>
      </c>
      <c r="I4177" s="6"/>
      <c r="J4177" s="43"/>
      <c r="K4177" s="51"/>
      <c r="L4177" s="86"/>
      <c r="M4177" s="274"/>
      <c r="N4177" s="274"/>
    </row>
    <row r="4178" spans="1:14" s="273" customFormat="1" ht="15" x14ac:dyDescent="0.25">
      <c r="A4178" s="1"/>
      <c r="B4178" s="1" t="s">
        <v>518</v>
      </c>
      <c r="C4178" s="32">
        <v>5152</v>
      </c>
      <c r="D4178" s="1">
        <v>16200</v>
      </c>
      <c r="E4178" s="1"/>
      <c r="F4178" s="1">
        <v>180.47</v>
      </c>
      <c r="G4178" s="1">
        <v>16200</v>
      </c>
      <c r="H4178" s="5">
        <f t="shared" si="82"/>
        <v>0</v>
      </c>
      <c r="I4178" s="6"/>
      <c r="J4178" s="43"/>
      <c r="K4178" s="51"/>
      <c r="L4178" s="86"/>
      <c r="M4178" s="274"/>
      <c r="N4178" s="274"/>
    </row>
    <row r="4179" spans="1:14" s="273" customFormat="1" ht="15" x14ac:dyDescent="0.25">
      <c r="A4179" s="1"/>
      <c r="B4179" s="1" t="s">
        <v>518</v>
      </c>
      <c r="C4179" s="32" t="s">
        <v>30</v>
      </c>
      <c r="D4179" s="1">
        <v>5000</v>
      </c>
      <c r="E4179" s="1"/>
      <c r="F4179" s="1">
        <v>55.47</v>
      </c>
      <c r="G4179" s="1">
        <v>5000</v>
      </c>
      <c r="H4179" s="5">
        <f t="shared" si="82"/>
        <v>0</v>
      </c>
      <c r="I4179" s="6"/>
      <c r="J4179" s="43"/>
      <c r="K4179" s="51"/>
      <c r="L4179" s="86"/>
      <c r="M4179" s="274"/>
      <c r="N4179" s="274"/>
    </row>
    <row r="4180" spans="1:14" s="273" customFormat="1" ht="15" x14ac:dyDescent="0.25">
      <c r="A4180" s="1"/>
      <c r="B4180" s="1" t="s">
        <v>518</v>
      </c>
      <c r="C4180" s="32">
        <v>9025</v>
      </c>
      <c r="D4180" s="1">
        <v>27000</v>
      </c>
      <c r="E4180" s="1"/>
      <c r="F4180" s="1">
        <v>297.75</v>
      </c>
      <c r="G4180" s="1">
        <v>27000</v>
      </c>
      <c r="H4180" s="5">
        <f t="shared" si="82"/>
        <v>0</v>
      </c>
      <c r="I4180" s="6"/>
      <c r="J4180" s="43"/>
      <c r="K4180" s="51"/>
      <c r="L4180" s="86"/>
      <c r="M4180" s="274"/>
      <c r="N4180" s="274"/>
    </row>
    <row r="4181" spans="1:14" s="273" customFormat="1" ht="15" x14ac:dyDescent="0.25">
      <c r="A4181" s="1"/>
      <c r="B4181" s="1" t="s">
        <v>518</v>
      </c>
      <c r="C4181" s="32">
        <v>2809</v>
      </c>
      <c r="D4181" s="1">
        <v>15000</v>
      </c>
      <c r="E4181" s="1"/>
      <c r="F4181" s="1">
        <v>167.15</v>
      </c>
      <c r="G4181" s="1">
        <v>15000</v>
      </c>
      <c r="H4181" s="5">
        <f t="shared" si="82"/>
        <v>0</v>
      </c>
      <c r="I4181" s="6"/>
      <c r="J4181" s="43"/>
      <c r="K4181" s="51"/>
      <c r="L4181" s="86"/>
      <c r="M4181" s="274"/>
      <c r="N4181" s="274"/>
    </row>
    <row r="4182" spans="1:14" s="273" customFormat="1" ht="15" x14ac:dyDescent="0.25">
      <c r="A4182" s="1"/>
      <c r="B4182" s="1" t="s">
        <v>518</v>
      </c>
      <c r="C4182" s="32">
        <v>9906</v>
      </c>
      <c r="D4182" s="1">
        <v>13000</v>
      </c>
      <c r="E4182" s="1"/>
      <c r="F4182" s="1">
        <v>144.78</v>
      </c>
      <c r="G4182" s="1">
        <v>13000</v>
      </c>
      <c r="H4182" s="5">
        <f t="shared" si="82"/>
        <v>0</v>
      </c>
      <c r="I4182" s="6"/>
      <c r="J4182" s="43"/>
      <c r="K4182" s="51"/>
      <c r="L4182" s="86"/>
      <c r="M4182" s="274"/>
      <c r="N4182" s="274"/>
    </row>
    <row r="4183" spans="1:14" s="273" customFormat="1" ht="15" x14ac:dyDescent="0.25">
      <c r="A4183" s="1"/>
      <c r="B4183" s="1" t="s">
        <v>518</v>
      </c>
      <c r="C4183" s="32">
        <v>6432</v>
      </c>
      <c r="D4183" s="1">
        <v>15000</v>
      </c>
      <c r="E4183" s="1"/>
      <c r="F4183" s="1">
        <v>167.15</v>
      </c>
      <c r="G4183" s="1">
        <v>15000</v>
      </c>
      <c r="H4183" s="5">
        <f t="shared" si="82"/>
        <v>0</v>
      </c>
      <c r="I4183" s="6"/>
      <c r="J4183" s="43"/>
      <c r="K4183" s="51"/>
      <c r="L4183" s="86"/>
      <c r="M4183" s="274"/>
      <c r="N4183" s="274"/>
    </row>
    <row r="4184" spans="1:14" s="273" customFormat="1" ht="15" x14ac:dyDescent="0.25">
      <c r="A4184" s="1"/>
      <c r="B4184" s="1" t="s">
        <v>518</v>
      </c>
      <c r="C4184" s="32">
        <v>2459</v>
      </c>
      <c r="D4184" s="1">
        <v>15000</v>
      </c>
      <c r="E4184" s="1"/>
      <c r="F4184" s="1">
        <v>167.15</v>
      </c>
      <c r="G4184" s="1">
        <v>15000</v>
      </c>
      <c r="H4184" s="5">
        <f t="shared" si="82"/>
        <v>0</v>
      </c>
      <c r="I4184" s="6"/>
      <c r="J4184" s="43"/>
      <c r="K4184" s="51"/>
      <c r="L4184" s="86"/>
      <c r="M4184" s="274"/>
      <c r="N4184" s="274"/>
    </row>
    <row r="4185" spans="1:14" s="273" customFormat="1" ht="15" x14ac:dyDescent="0.25">
      <c r="A4185" s="1"/>
      <c r="B4185" s="1" t="s">
        <v>518</v>
      </c>
      <c r="C4185" s="32">
        <v>5240</v>
      </c>
      <c r="D4185" s="1">
        <v>20000</v>
      </c>
      <c r="E4185" s="1"/>
      <c r="F4185" s="1">
        <v>222.78</v>
      </c>
      <c r="G4185" s="1">
        <v>20000</v>
      </c>
      <c r="H4185" s="5">
        <f t="shared" si="82"/>
        <v>0</v>
      </c>
      <c r="I4185" s="6"/>
      <c r="J4185" s="43"/>
      <c r="K4185" s="51"/>
      <c r="L4185" s="86"/>
      <c r="M4185" s="274"/>
      <c r="N4185" s="274"/>
    </row>
    <row r="4186" spans="1:14" s="273" customFormat="1" ht="15" x14ac:dyDescent="0.25">
      <c r="A4186" s="1"/>
      <c r="B4186" s="1" t="s">
        <v>518</v>
      </c>
      <c r="C4186" s="32" t="s">
        <v>30</v>
      </c>
      <c r="D4186" s="1">
        <v>4500</v>
      </c>
      <c r="E4186" s="1"/>
      <c r="F4186" s="1">
        <v>50.48</v>
      </c>
      <c r="G4186" s="1">
        <v>4500</v>
      </c>
      <c r="H4186" s="5">
        <f t="shared" si="82"/>
        <v>0</v>
      </c>
      <c r="I4186" s="6"/>
      <c r="J4186" s="43"/>
      <c r="K4186" s="51"/>
      <c r="L4186" s="86"/>
      <c r="M4186" s="274"/>
      <c r="N4186" s="274"/>
    </row>
    <row r="4187" spans="1:14" s="273" customFormat="1" ht="15" x14ac:dyDescent="0.25">
      <c r="A4187" s="1"/>
      <c r="B4187" s="1" t="s">
        <v>518</v>
      </c>
      <c r="C4187" s="32" t="s">
        <v>66</v>
      </c>
      <c r="D4187" s="1">
        <v>210</v>
      </c>
      <c r="E4187" s="1"/>
      <c r="F4187" s="1">
        <v>2.0699999999999998</v>
      </c>
      <c r="G4187" s="1">
        <v>210</v>
      </c>
      <c r="H4187" s="5">
        <f t="shared" si="82"/>
        <v>0</v>
      </c>
      <c r="I4187" s="6"/>
      <c r="J4187" s="43"/>
      <c r="K4187" s="51"/>
      <c r="L4187" s="86"/>
      <c r="M4187" s="274"/>
      <c r="N4187" s="274"/>
    </row>
    <row r="4188" spans="1:14" s="273" customFormat="1" ht="15" x14ac:dyDescent="0.25">
      <c r="A4188" s="1"/>
      <c r="B4188" s="1" t="s">
        <v>518</v>
      </c>
      <c r="C4188" s="32">
        <v>8382</v>
      </c>
      <c r="D4188" s="1">
        <v>21108</v>
      </c>
      <c r="E4188" s="1"/>
      <c r="F4188" s="1">
        <v>235.78</v>
      </c>
      <c r="G4188" s="1">
        <v>21108</v>
      </c>
      <c r="H4188" s="5">
        <f t="shared" si="82"/>
        <v>0</v>
      </c>
      <c r="I4188" s="6"/>
      <c r="J4188" s="43"/>
      <c r="K4188" s="51"/>
      <c r="L4188" s="86"/>
      <c r="M4188" s="274"/>
      <c r="N4188" s="274"/>
    </row>
    <row r="4189" spans="1:14" s="273" customFormat="1" ht="15" x14ac:dyDescent="0.25">
      <c r="A4189" s="1"/>
      <c r="B4189" s="1" t="s">
        <v>518</v>
      </c>
      <c r="C4189" s="32">
        <v>3.8399999999999997E-2</v>
      </c>
      <c r="D4189" s="1">
        <v>18000</v>
      </c>
      <c r="E4189" s="1"/>
      <c r="F4189" s="1">
        <v>200.87</v>
      </c>
      <c r="G4189" s="1">
        <v>18000</v>
      </c>
      <c r="H4189" s="5">
        <f t="shared" si="82"/>
        <v>0</v>
      </c>
      <c r="I4189" s="6"/>
      <c r="J4189" s="43"/>
      <c r="K4189" s="51"/>
      <c r="L4189" s="86"/>
      <c r="M4189" s="274"/>
      <c r="N4189" s="274"/>
    </row>
    <row r="4190" spans="1:14" s="273" customFormat="1" ht="15" x14ac:dyDescent="0.25">
      <c r="A4190" s="1"/>
      <c r="B4190" s="1" t="s">
        <v>518</v>
      </c>
      <c r="C4190" s="32">
        <v>7151</v>
      </c>
      <c r="D4190" s="1">
        <v>15000</v>
      </c>
      <c r="E4190" s="1"/>
      <c r="F4190" s="1">
        <v>167.15</v>
      </c>
      <c r="G4190" s="1">
        <v>15000</v>
      </c>
      <c r="H4190" s="5">
        <f t="shared" si="82"/>
        <v>0</v>
      </c>
      <c r="I4190" s="6"/>
      <c r="J4190" s="43"/>
      <c r="K4190" s="51"/>
      <c r="L4190" s="86"/>
      <c r="M4190" s="274"/>
      <c r="N4190" s="274"/>
    </row>
    <row r="4191" spans="1:14" s="273" customFormat="1" ht="15" x14ac:dyDescent="0.25">
      <c r="A4191" s="1"/>
      <c r="B4191" s="1" t="s">
        <v>518</v>
      </c>
      <c r="C4191" s="32">
        <v>5744</v>
      </c>
      <c r="D4191" s="1">
        <v>25000</v>
      </c>
      <c r="E4191" s="1"/>
      <c r="F4191" s="1">
        <v>278.22000000000003</v>
      </c>
      <c r="G4191" s="1">
        <v>25000</v>
      </c>
      <c r="H4191" s="5">
        <f t="shared" si="82"/>
        <v>0</v>
      </c>
      <c r="I4191" s="6"/>
      <c r="J4191" s="43"/>
      <c r="K4191" s="51"/>
      <c r="L4191" s="86"/>
      <c r="M4191" s="274"/>
      <c r="N4191" s="274"/>
    </row>
    <row r="4192" spans="1:14" s="273" customFormat="1" ht="15" x14ac:dyDescent="0.25">
      <c r="A4192" s="1"/>
      <c r="B4192" s="1" t="s">
        <v>518</v>
      </c>
      <c r="C4192" s="32">
        <v>2420</v>
      </c>
      <c r="D4192" s="1">
        <v>23000</v>
      </c>
      <c r="E4192" s="1"/>
      <c r="F4192" s="1">
        <v>259.47000000000003</v>
      </c>
      <c r="G4192" s="1">
        <v>23000</v>
      </c>
      <c r="H4192" s="5">
        <f t="shared" ref="H4192:H4255" si="83">D4192-G4192</f>
        <v>0</v>
      </c>
      <c r="I4192" s="6"/>
      <c r="J4192" s="43"/>
      <c r="K4192" s="51"/>
      <c r="L4192" s="86"/>
      <c r="M4192" s="274"/>
      <c r="N4192" s="274"/>
    </row>
    <row r="4193" spans="1:14" s="273" customFormat="1" ht="15" x14ac:dyDescent="0.25">
      <c r="A4193" s="1"/>
      <c r="B4193" s="1" t="s">
        <v>518</v>
      </c>
      <c r="C4193" s="32">
        <v>1936</v>
      </c>
      <c r="D4193" s="1">
        <v>25000</v>
      </c>
      <c r="E4193" s="1"/>
      <c r="F4193" s="1">
        <v>278.22000000000003</v>
      </c>
      <c r="G4193" s="1">
        <v>25000</v>
      </c>
      <c r="H4193" s="5">
        <f t="shared" si="83"/>
        <v>0</v>
      </c>
      <c r="I4193" s="6"/>
      <c r="J4193" s="43"/>
      <c r="K4193" s="51"/>
      <c r="L4193" s="86"/>
      <c r="M4193" s="274"/>
      <c r="N4193" s="274"/>
    </row>
    <row r="4194" spans="1:14" s="273" customFormat="1" ht="15" x14ac:dyDescent="0.25">
      <c r="A4194" s="1"/>
      <c r="B4194" s="1" t="s">
        <v>518</v>
      </c>
      <c r="C4194" s="32">
        <v>1020</v>
      </c>
      <c r="D4194" s="1">
        <v>25000</v>
      </c>
      <c r="E4194" s="1"/>
      <c r="F4194" s="1">
        <v>278.22000000000003</v>
      </c>
      <c r="G4194" s="1">
        <v>25000</v>
      </c>
      <c r="H4194" s="5">
        <f t="shared" si="83"/>
        <v>0</v>
      </c>
      <c r="I4194" s="6"/>
      <c r="J4194" s="43"/>
      <c r="K4194" s="51"/>
      <c r="L4194" s="86"/>
      <c r="M4194" s="274"/>
      <c r="N4194" s="274"/>
    </row>
    <row r="4195" spans="1:14" s="273" customFormat="1" ht="15" x14ac:dyDescent="0.25">
      <c r="A4195" s="1"/>
      <c r="B4195" s="1" t="s">
        <v>518</v>
      </c>
      <c r="C4195" s="32">
        <v>4683</v>
      </c>
      <c r="D4195" s="1">
        <v>25000</v>
      </c>
      <c r="E4195" s="1"/>
      <c r="F4195" s="1">
        <v>278.22000000000003</v>
      </c>
      <c r="G4195" s="1">
        <v>25000</v>
      </c>
      <c r="H4195" s="5">
        <f t="shared" si="83"/>
        <v>0</v>
      </c>
      <c r="I4195" s="6"/>
      <c r="J4195" s="43"/>
      <c r="K4195" s="51"/>
      <c r="L4195" s="86"/>
      <c r="M4195" s="274"/>
      <c r="N4195" s="274"/>
    </row>
    <row r="4196" spans="1:14" s="273" customFormat="1" ht="15" x14ac:dyDescent="0.25">
      <c r="A4196" s="1"/>
      <c r="B4196" s="1" t="s">
        <v>518</v>
      </c>
      <c r="C4196" s="32">
        <v>1598</v>
      </c>
      <c r="D4196" s="1">
        <v>22000</v>
      </c>
      <c r="E4196" s="1"/>
      <c r="F4196" s="1">
        <v>237.87</v>
      </c>
      <c r="G4196" s="1">
        <v>22000</v>
      </c>
      <c r="H4196" s="5">
        <f t="shared" si="83"/>
        <v>0</v>
      </c>
      <c r="I4196" s="6"/>
      <c r="J4196" s="43"/>
      <c r="K4196" s="51"/>
      <c r="L4196" s="86"/>
      <c r="M4196" s="274"/>
      <c r="N4196" s="274"/>
    </row>
    <row r="4197" spans="1:14" s="273" customFormat="1" ht="15" x14ac:dyDescent="0.25">
      <c r="A4197" s="1"/>
      <c r="B4197" s="1" t="s">
        <v>518</v>
      </c>
      <c r="C4197" s="32">
        <v>6461</v>
      </c>
      <c r="D4197" s="1">
        <v>30000</v>
      </c>
      <c r="E4197" s="1"/>
      <c r="F4197" s="1">
        <v>329.78</v>
      </c>
      <c r="G4197" s="1">
        <v>30000</v>
      </c>
      <c r="H4197" s="5">
        <f t="shared" si="83"/>
        <v>0</v>
      </c>
      <c r="I4197" s="6"/>
      <c r="J4197" s="43"/>
      <c r="K4197" s="51"/>
      <c r="L4197" s="86"/>
      <c r="M4197" s="274"/>
      <c r="N4197" s="274"/>
    </row>
    <row r="4198" spans="1:14" s="273" customFormat="1" ht="15" x14ac:dyDescent="0.25">
      <c r="A4198" s="1"/>
      <c r="B4198" s="1" t="s">
        <v>518</v>
      </c>
      <c r="C4198" s="32">
        <v>8.8700000000000001E-2</v>
      </c>
      <c r="D4198" s="1">
        <v>10000</v>
      </c>
      <c r="E4198" s="1"/>
      <c r="F4198" s="1">
        <v>111.47</v>
      </c>
      <c r="G4198" s="1">
        <v>10000</v>
      </c>
      <c r="H4198" s="5">
        <f t="shared" si="83"/>
        <v>0</v>
      </c>
      <c r="I4198" s="6"/>
      <c r="J4198" s="43"/>
      <c r="K4198" s="51"/>
      <c r="L4198" s="86"/>
      <c r="M4198" s="274"/>
      <c r="N4198" s="274"/>
    </row>
    <row r="4199" spans="1:14" s="273" customFormat="1" ht="15" x14ac:dyDescent="0.25">
      <c r="A4199" s="1"/>
      <c r="B4199" s="1" t="s">
        <v>518</v>
      </c>
      <c r="C4199" s="32">
        <v>4279</v>
      </c>
      <c r="D4199" s="1">
        <v>20000</v>
      </c>
      <c r="E4199" s="1"/>
      <c r="F4199" s="1">
        <v>222.78</v>
      </c>
      <c r="G4199" s="1">
        <v>20000</v>
      </c>
      <c r="H4199" s="5">
        <f t="shared" si="83"/>
        <v>0</v>
      </c>
      <c r="I4199" s="6"/>
      <c r="J4199" s="43"/>
      <c r="K4199" s="51"/>
      <c r="L4199" s="86">
        <f>2249645-2228730</f>
        <v>20915</v>
      </c>
      <c r="M4199" s="274" t="s">
        <v>520</v>
      </c>
      <c r="N4199" s="274">
        <f>20915-12685</f>
        <v>8230</v>
      </c>
    </row>
    <row r="4200" spans="1:14" s="275" customFormat="1" ht="15" x14ac:dyDescent="0.25">
      <c r="A4200" s="1"/>
      <c r="B4200" s="1" t="s">
        <v>521</v>
      </c>
      <c r="C4200" s="32">
        <v>5498</v>
      </c>
      <c r="D4200" s="1">
        <v>21000</v>
      </c>
      <c r="E4200" s="1"/>
      <c r="F4200" s="1">
        <v>233.47</v>
      </c>
      <c r="G4200" s="1">
        <v>21000</v>
      </c>
      <c r="H4200" s="5">
        <f t="shared" si="83"/>
        <v>0</v>
      </c>
      <c r="I4200" s="6"/>
      <c r="J4200" s="43"/>
      <c r="K4200" s="51"/>
      <c r="L4200" s="86"/>
      <c r="M4200" s="276"/>
      <c r="N4200" s="276"/>
    </row>
    <row r="4201" spans="1:14" s="275" customFormat="1" ht="15" x14ac:dyDescent="0.25">
      <c r="A4201" s="1"/>
      <c r="B4201" s="1" t="s">
        <v>521</v>
      </c>
      <c r="C4201" s="32">
        <v>5077</v>
      </c>
      <c r="D4201" s="1">
        <v>10000</v>
      </c>
      <c r="E4201" s="1"/>
      <c r="F4201" s="1">
        <v>111.47</v>
      </c>
      <c r="G4201" s="1">
        <v>10000</v>
      </c>
      <c r="H4201" s="5">
        <f t="shared" si="83"/>
        <v>0</v>
      </c>
      <c r="I4201" s="6"/>
      <c r="J4201" s="43"/>
      <c r="K4201" s="51"/>
      <c r="L4201" s="86"/>
      <c r="M4201" s="276"/>
      <c r="N4201" s="276"/>
    </row>
    <row r="4202" spans="1:14" s="275" customFormat="1" ht="15" x14ac:dyDescent="0.25">
      <c r="A4202" s="1"/>
      <c r="B4202" s="1" t="s">
        <v>521</v>
      </c>
      <c r="C4202" s="32">
        <v>5931</v>
      </c>
      <c r="D4202" s="1">
        <v>16000</v>
      </c>
      <c r="E4202" s="1"/>
      <c r="F4202" s="1">
        <v>178.22</v>
      </c>
      <c r="G4202" s="1">
        <v>16000</v>
      </c>
      <c r="H4202" s="5">
        <f t="shared" si="83"/>
        <v>0</v>
      </c>
      <c r="I4202" s="6"/>
      <c r="J4202" s="43"/>
      <c r="K4202" s="51"/>
      <c r="L4202" s="86"/>
      <c r="M4202" s="276"/>
      <c r="N4202" s="276"/>
    </row>
    <row r="4203" spans="1:14" s="275" customFormat="1" ht="15" x14ac:dyDescent="0.25">
      <c r="A4203" s="1"/>
      <c r="B4203" s="1" t="s">
        <v>521</v>
      </c>
      <c r="C4203" s="32">
        <v>9645</v>
      </c>
      <c r="D4203" s="1">
        <v>16000</v>
      </c>
      <c r="E4203" s="1"/>
      <c r="F4203" s="1">
        <v>178.22</v>
      </c>
      <c r="G4203" s="1">
        <v>16000</v>
      </c>
      <c r="H4203" s="5">
        <f t="shared" si="83"/>
        <v>0</v>
      </c>
      <c r="I4203" s="6"/>
      <c r="J4203" s="43"/>
      <c r="K4203" s="51"/>
      <c r="L4203" s="86"/>
      <c r="M4203" s="276"/>
      <c r="N4203" s="276"/>
    </row>
    <row r="4204" spans="1:14" s="275" customFormat="1" ht="15" x14ac:dyDescent="0.25">
      <c r="A4204" s="1"/>
      <c r="B4204" s="1" t="s">
        <v>521</v>
      </c>
      <c r="C4204" s="32">
        <v>1722</v>
      </c>
      <c r="D4204" s="1">
        <v>15000</v>
      </c>
      <c r="E4204" s="1"/>
      <c r="F4204" s="1">
        <v>167.45</v>
      </c>
      <c r="G4204" s="1">
        <v>15000</v>
      </c>
      <c r="H4204" s="5">
        <f t="shared" si="83"/>
        <v>0</v>
      </c>
      <c r="I4204" s="6"/>
      <c r="J4204" s="43"/>
      <c r="K4204" s="51"/>
      <c r="L4204" s="86"/>
      <c r="M4204" s="276"/>
      <c r="N4204" s="276"/>
    </row>
    <row r="4205" spans="1:14" s="275" customFormat="1" ht="15" x14ac:dyDescent="0.25">
      <c r="A4205" s="1"/>
      <c r="B4205" s="1" t="s">
        <v>521</v>
      </c>
      <c r="C4205" s="32">
        <v>4945</v>
      </c>
      <c r="D4205" s="1">
        <v>18000</v>
      </c>
      <c r="E4205" s="1"/>
      <c r="F4205" s="1">
        <v>200.48</v>
      </c>
      <c r="G4205" s="1">
        <v>18000</v>
      </c>
      <c r="H4205" s="5">
        <f t="shared" si="83"/>
        <v>0</v>
      </c>
      <c r="I4205" s="6"/>
      <c r="J4205" s="43"/>
      <c r="K4205" s="51"/>
      <c r="L4205" s="86"/>
      <c r="M4205" s="276"/>
      <c r="N4205" s="276"/>
    </row>
    <row r="4206" spans="1:14" s="275" customFormat="1" ht="15" x14ac:dyDescent="0.25">
      <c r="A4206" s="1"/>
      <c r="B4206" s="1" t="s">
        <v>521</v>
      </c>
      <c r="C4206" s="32">
        <v>4441</v>
      </c>
      <c r="D4206" s="1">
        <v>16000</v>
      </c>
      <c r="E4206" s="1"/>
      <c r="F4206" s="1">
        <v>178.22</v>
      </c>
      <c r="G4206" s="1">
        <v>16000</v>
      </c>
      <c r="H4206" s="5">
        <f t="shared" si="83"/>
        <v>0</v>
      </c>
      <c r="I4206" s="6"/>
      <c r="J4206" s="43"/>
      <c r="K4206" s="51"/>
      <c r="L4206" s="86"/>
      <c r="M4206" s="276"/>
      <c r="N4206" s="276"/>
    </row>
    <row r="4207" spans="1:14" s="275" customFormat="1" ht="15" x14ac:dyDescent="0.25">
      <c r="A4207" s="1"/>
      <c r="B4207" s="1" t="s">
        <v>521</v>
      </c>
      <c r="C4207" s="32">
        <v>9109</v>
      </c>
      <c r="D4207" s="1">
        <v>14000</v>
      </c>
      <c r="E4207" s="1"/>
      <c r="F4207" s="1">
        <v>155.78</v>
      </c>
      <c r="G4207" s="1">
        <v>14000</v>
      </c>
      <c r="H4207" s="5">
        <f t="shared" si="83"/>
        <v>0</v>
      </c>
      <c r="I4207" s="6"/>
      <c r="J4207" s="43"/>
      <c r="K4207" s="51"/>
      <c r="L4207" s="86"/>
      <c r="M4207" s="276"/>
      <c r="N4207" s="276"/>
    </row>
    <row r="4208" spans="1:14" s="275" customFormat="1" ht="15" x14ac:dyDescent="0.25">
      <c r="A4208" s="1"/>
      <c r="B4208" s="1" t="s">
        <v>521</v>
      </c>
      <c r="C4208" s="32">
        <v>6026</v>
      </c>
      <c r="D4208" s="1">
        <v>24000</v>
      </c>
      <c r="E4208" s="1"/>
      <c r="F4208" s="1">
        <v>267.47000000000003</v>
      </c>
      <c r="G4208" s="1">
        <v>24000</v>
      </c>
      <c r="H4208" s="5">
        <f t="shared" si="83"/>
        <v>0</v>
      </c>
      <c r="I4208" s="6"/>
      <c r="J4208" s="43"/>
      <c r="K4208" s="51"/>
      <c r="L4208" s="86"/>
      <c r="M4208" s="276"/>
      <c r="N4208" s="276"/>
    </row>
    <row r="4209" spans="1:15" s="275" customFormat="1" ht="15" x14ac:dyDescent="0.25">
      <c r="A4209" s="1"/>
      <c r="B4209" s="1" t="s">
        <v>521</v>
      </c>
      <c r="C4209" s="32">
        <v>1307</v>
      </c>
      <c r="D4209" s="1">
        <v>18000</v>
      </c>
      <c r="E4209" s="1"/>
      <c r="F4209" s="1">
        <v>200.87</v>
      </c>
      <c r="G4209" s="1">
        <v>18000</v>
      </c>
      <c r="H4209" s="5">
        <f t="shared" si="83"/>
        <v>0</v>
      </c>
      <c r="I4209" s="6"/>
      <c r="J4209" s="43"/>
      <c r="K4209" s="51"/>
      <c r="L4209" s="86"/>
      <c r="M4209" s="276"/>
      <c r="N4209" s="276"/>
    </row>
    <row r="4210" spans="1:15" s="275" customFormat="1" ht="15" x14ac:dyDescent="0.25">
      <c r="A4210" s="1"/>
      <c r="B4210" s="1" t="s">
        <v>521</v>
      </c>
      <c r="C4210" s="32">
        <v>2972</v>
      </c>
      <c r="D4210" s="1">
        <v>22000</v>
      </c>
      <c r="E4210" s="1"/>
      <c r="F4210" s="1">
        <v>245.64</v>
      </c>
      <c r="G4210" s="1">
        <v>22000</v>
      </c>
      <c r="H4210" s="5">
        <f t="shared" si="83"/>
        <v>0</v>
      </c>
      <c r="I4210" s="6"/>
      <c r="J4210" s="43"/>
      <c r="K4210" s="51"/>
      <c r="L4210" s="86"/>
      <c r="M4210" s="276"/>
      <c r="N4210" s="276"/>
    </row>
    <row r="4211" spans="1:15" s="275" customFormat="1" ht="15" x14ac:dyDescent="0.25">
      <c r="A4211" s="1"/>
      <c r="B4211" s="1" t="s">
        <v>521</v>
      </c>
      <c r="C4211" s="32" t="s">
        <v>30</v>
      </c>
      <c r="D4211" s="1">
        <v>3500</v>
      </c>
      <c r="E4211" s="1"/>
      <c r="F4211" s="1">
        <v>38.450000000000003</v>
      </c>
      <c r="G4211" s="1">
        <v>3500</v>
      </c>
      <c r="H4211" s="5">
        <f t="shared" si="83"/>
        <v>0</v>
      </c>
      <c r="I4211" s="6"/>
      <c r="J4211" s="43"/>
      <c r="K4211" s="51"/>
      <c r="L4211" s="86"/>
      <c r="M4211" s="276"/>
      <c r="N4211" s="276"/>
    </row>
    <row r="4212" spans="1:15" s="275" customFormat="1" ht="15" x14ac:dyDescent="0.25">
      <c r="A4212" s="1"/>
      <c r="B4212" s="1" t="s">
        <v>521</v>
      </c>
      <c r="C4212" s="32" t="s">
        <v>30</v>
      </c>
      <c r="D4212" s="1">
        <v>7000</v>
      </c>
      <c r="E4212" s="1"/>
      <c r="F4212" s="1">
        <v>77.45</v>
      </c>
      <c r="G4212" s="1">
        <v>7000</v>
      </c>
      <c r="H4212" s="5">
        <f t="shared" si="83"/>
        <v>0</v>
      </c>
      <c r="I4212" s="6"/>
      <c r="J4212" s="43"/>
      <c r="K4212" s="51"/>
      <c r="L4212" s="86"/>
      <c r="M4212" s="276"/>
      <c r="N4212" s="276"/>
    </row>
    <row r="4213" spans="1:15" s="275" customFormat="1" ht="15" x14ac:dyDescent="0.25">
      <c r="A4213" s="1"/>
      <c r="B4213" s="1" t="s">
        <v>521</v>
      </c>
      <c r="C4213" s="32">
        <v>2806</v>
      </c>
      <c r="D4213" s="1">
        <v>15000</v>
      </c>
      <c r="E4213" s="1"/>
      <c r="F4213" s="1">
        <v>167.45</v>
      </c>
      <c r="G4213" s="1">
        <v>15000</v>
      </c>
      <c r="H4213" s="5">
        <f t="shared" si="83"/>
        <v>0</v>
      </c>
      <c r="I4213" s="6"/>
      <c r="J4213" s="43"/>
      <c r="K4213" s="51"/>
      <c r="L4213" s="86"/>
      <c r="M4213" s="276"/>
      <c r="N4213" s="276"/>
    </row>
    <row r="4214" spans="1:15" s="275" customFormat="1" ht="15" x14ac:dyDescent="0.25">
      <c r="A4214" s="1"/>
      <c r="B4214" s="1" t="s">
        <v>521</v>
      </c>
      <c r="C4214" s="32">
        <v>8311</v>
      </c>
      <c r="D4214" s="1">
        <v>24000</v>
      </c>
      <c r="E4214" s="1"/>
      <c r="F4214" s="1">
        <v>267.87</v>
      </c>
      <c r="G4214" s="1">
        <v>24000</v>
      </c>
      <c r="H4214" s="5">
        <f t="shared" si="83"/>
        <v>0</v>
      </c>
      <c r="I4214" s="6"/>
      <c r="J4214" s="43"/>
      <c r="K4214" s="51"/>
      <c r="L4214" s="86"/>
      <c r="M4214" s="276"/>
      <c r="N4214" s="276"/>
    </row>
    <row r="4215" spans="1:15" s="275" customFormat="1" ht="15" x14ac:dyDescent="0.25">
      <c r="A4215" s="1"/>
      <c r="B4215" s="1" t="s">
        <v>521</v>
      </c>
      <c r="C4215" s="32">
        <v>6311</v>
      </c>
      <c r="D4215" s="1">
        <v>24000</v>
      </c>
      <c r="E4215" s="1"/>
      <c r="F4215" s="1">
        <v>267.87</v>
      </c>
      <c r="G4215" s="1">
        <v>24000</v>
      </c>
      <c r="H4215" s="5">
        <f t="shared" si="83"/>
        <v>0</v>
      </c>
      <c r="I4215" s="6"/>
      <c r="J4215" s="43"/>
      <c r="K4215" s="51"/>
      <c r="L4215" s="86"/>
      <c r="M4215" s="276"/>
      <c r="N4215" s="276"/>
    </row>
    <row r="4216" spans="1:15" s="275" customFormat="1" ht="15" x14ac:dyDescent="0.25">
      <c r="A4216" s="1"/>
      <c r="B4216" s="1" t="s">
        <v>521</v>
      </c>
      <c r="C4216" s="32">
        <v>2593</v>
      </c>
      <c r="D4216" s="1">
        <v>25000</v>
      </c>
      <c r="E4216" s="1"/>
      <c r="F4216" s="1">
        <v>278.22000000000003</v>
      </c>
      <c r="G4216" s="1">
        <v>25000</v>
      </c>
      <c r="H4216" s="5">
        <f t="shared" si="83"/>
        <v>0</v>
      </c>
      <c r="I4216" s="6"/>
      <c r="J4216" s="43"/>
      <c r="K4216" s="51"/>
      <c r="L4216" s="86"/>
      <c r="M4216" s="276"/>
      <c r="N4216" s="276"/>
    </row>
    <row r="4217" spans="1:15" s="275" customFormat="1" ht="15" x14ac:dyDescent="0.25">
      <c r="A4217" s="1"/>
      <c r="B4217" s="1" t="s">
        <v>521</v>
      </c>
      <c r="C4217" s="32">
        <v>7770</v>
      </c>
      <c r="D4217" s="1">
        <v>24000</v>
      </c>
      <c r="E4217" s="1"/>
      <c r="F4217" s="1">
        <v>301.94</v>
      </c>
      <c r="G4217" s="1">
        <v>24000</v>
      </c>
      <c r="H4217" s="5">
        <f t="shared" si="83"/>
        <v>0</v>
      </c>
      <c r="I4217" s="6"/>
      <c r="J4217" s="43"/>
      <c r="K4217" s="51"/>
      <c r="L4217" s="86"/>
      <c r="M4217" s="276"/>
      <c r="N4217" s="276"/>
    </row>
    <row r="4218" spans="1:15" s="275" customFormat="1" ht="15" x14ac:dyDescent="0.25">
      <c r="A4218" s="1"/>
      <c r="B4218" s="1" t="s">
        <v>521</v>
      </c>
      <c r="C4218" s="32">
        <v>3837</v>
      </c>
      <c r="D4218" s="1">
        <v>20000</v>
      </c>
      <c r="E4218" s="1"/>
      <c r="F4218" s="1">
        <v>222.78</v>
      </c>
      <c r="G4218" s="1">
        <v>20000</v>
      </c>
      <c r="H4218" s="5">
        <f t="shared" si="83"/>
        <v>0</v>
      </c>
      <c r="I4218" s="6"/>
      <c r="J4218" s="43"/>
      <c r="K4218" s="51"/>
      <c r="L4218" s="86"/>
      <c r="M4218" s="276"/>
      <c r="N4218" s="276"/>
    </row>
    <row r="4219" spans="1:15" s="275" customFormat="1" ht="15" x14ac:dyDescent="0.25">
      <c r="A4219" s="1"/>
      <c r="B4219" s="1" t="s">
        <v>521</v>
      </c>
      <c r="C4219" s="32">
        <v>6455</v>
      </c>
      <c r="D4219" s="1">
        <v>28000</v>
      </c>
      <c r="E4219" s="1"/>
      <c r="F4219" s="1">
        <v>311.87</v>
      </c>
      <c r="G4219" s="1">
        <v>28000</v>
      </c>
      <c r="H4219" s="5">
        <f t="shared" si="83"/>
        <v>0</v>
      </c>
      <c r="I4219" s="6"/>
      <c r="J4219" s="43"/>
      <c r="K4219" s="51"/>
      <c r="L4219" s="86"/>
      <c r="M4219" s="276"/>
      <c r="N4219" s="276"/>
    </row>
    <row r="4220" spans="1:15" s="275" customFormat="1" ht="15" x14ac:dyDescent="0.25">
      <c r="A4220" s="1"/>
      <c r="B4220" s="1" t="s">
        <v>521</v>
      </c>
      <c r="C4220" s="32">
        <v>2943</v>
      </c>
      <c r="D4220" s="1">
        <v>32000</v>
      </c>
      <c r="E4220" s="1"/>
      <c r="F4220" s="1">
        <v>356.72</v>
      </c>
      <c r="G4220" s="1">
        <v>32000</v>
      </c>
      <c r="H4220" s="5">
        <f t="shared" si="83"/>
        <v>0</v>
      </c>
      <c r="I4220" s="6"/>
      <c r="J4220" s="43"/>
      <c r="K4220" s="51"/>
      <c r="L4220" s="86"/>
      <c r="M4220" s="276"/>
      <c r="N4220" s="276"/>
      <c r="O4220" s="275">
        <v>1203320078431780</v>
      </c>
    </row>
    <row r="4221" spans="1:15" s="275" customFormat="1" ht="15" x14ac:dyDescent="0.25">
      <c r="A4221" s="1"/>
      <c r="B4221" s="1" t="s">
        <v>521</v>
      </c>
      <c r="C4221" s="32">
        <v>3933</v>
      </c>
      <c r="D4221" s="1">
        <v>24000</v>
      </c>
      <c r="E4221" s="1"/>
      <c r="F4221" s="1">
        <v>294.74</v>
      </c>
      <c r="G4221" s="1">
        <v>24000</v>
      </c>
      <c r="H4221" s="5">
        <f t="shared" si="83"/>
        <v>0</v>
      </c>
      <c r="I4221" s="6"/>
      <c r="J4221" s="43"/>
      <c r="K4221" s="51"/>
      <c r="L4221" s="86"/>
      <c r="M4221" s="276"/>
      <c r="N4221" s="276"/>
    </row>
    <row r="4222" spans="1:15" s="275" customFormat="1" ht="15" x14ac:dyDescent="0.25">
      <c r="A4222" s="1"/>
      <c r="B4222" s="1" t="s">
        <v>521</v>
      </c>
      <c r="C4222" s="32">
        <v>7.2900000000000006E-2</v>
      </c>
      <c r="D4222" s="1">
        <v>20000</v>
      </c>
      <c r="E4222" s="1"/>
      <c r="F4222" s="1">
        <v>222.78</v>
      </c>
      <c r="G4222" s="1">
        <v>20000</v>
      </c>
      <c r="H4222" s="5">
        <f t="shared" si="83"/>
        <v>0</v>
      </c>
      <c r="I4222" s="6"/>
      <c r="J4222" s="43"/>
      <c r="K4222" s="51"/>
      <c r="L4222" s="86"/>
      <c r="M4222" s="276"/>
      <c r="N4222" s="276"/>
    </row>
    <row r="4223" spans="1:15" s="275" customFormat="1" ht="15" x14ac:dyDescent="0.25">
      <c r="A4223" s="1"/>
      <c r="B4223" s="1" t="s">
        <v>521</v>
      </c>
      <c r="C4223" s="32">
        <v>5943</v>
      </c>
      <c r="D4223" s="1">
        <v>32000</v>
      </c>
      <c r="E4223" s="1"/>
      <c r="F4223" s="1">
        <v>356.72</v>
      </c>
      <c r="G4223" s="1">
        <v>32000</v>
      </c>
      <c r="H4223" s="5">
        <f t="shared" si="83"/>
        <v>0</v>
      </c>
      <c r="I4223" s="6"/>
      <c r="J4223" s="43"/>
      <c r="K4223" s="51"/>
      <c r="L4223" s="86"/>
      <c r="M4223" s="276"/>
      <c r="N4223" s="276"/>
    </row>
    <row r="4224" spans="1:15" s="275" customFormat="1" ht="15" x14ac:dyDescent="0.25">
      <c r="A4224" s="1"/>
      <c r="B4224" s="1" t="s">
        <v>521</v>
      </c>
      <c r="C4224" s="32">
        <v>4160</v>
      </c>
      <c r="D4224" s="1">
        <v>10000</v>
      </c>
      <c r="E4224" s="1"/>
      <c r="F4224" s="1">
        <v>111.47</v>
      </c>
      <c r="G4224" s="1">
        <v>10000</v>
      </c>
      <c r="H4224" s="5">
        <f t="shared" si="83"/>
        <v>0</v>
      </c>
      <c r="I4224" s="6"/>
      <c r="J4224" s="43"/>
      <c r="K4224" s="51"/>
      <c r="L4224" s="86"/>
      <c r="M4224" s="276"/>
      <c r="N4224" s="276"/>
    </row>
    <row r="4225" spans="1:14" s="275" customFormat="1" ht="15" x14ac:dyDescent="0.25">
      <c r="A4225" s="1"/>
      <c r="B4225" s="1" t="s">
        <v>521</v>
      </c>
      <c r="C4225" s="32">
        <v>2955</v>
      </c>
      <c r="D4225" s="1">
        <v>21000</v>
      </c>
      <c r="E4225" s="1"/>
      <c r="F4225" s="1">
        <v>233.47</v>
      </c>
      <c r="G4225" s="1">
        <v>21000</v>
      </c>
      <c r="H4225" s="5">
        <f t="shared" si="83"/>
        <v>0</v>
      </c>
      <c r="I4225" s="6"/>
      <c r="J4225" s="43"/>
      <c r="K4225" s="51"/>
      <c r="L4225" s="86"/>
      <c r="M4225" s="276"/>
      <c r="N4225" s="276"/>
    </row>
    <row r="4226" spans="1:14" s="275" customFormat="1" ht="15" x14ac:dyDescent="0.25">
      <c r="A4226" s="1"/>
      <c r="B4226" s="1" t="s">
        <v>521</v>
      </c>
      <c r="C4226" s="32">
        <v>8213</v>
      </c>
      <c r="D4226" s="1">
        <v>20000</v>
      </c>
      <c r="E4226" s="1"/>
      <c r="F4226" s="1">
        <v>222.78</v>
      </c>
      <c r="G4226" s="1">
        <v>20000</v>
      </c>
      <c r="H4226" s="5">
        <f t="shared" si="83"/>
        <v>0</v>
      </c>
      <c r="I4226" s="6"/>
      <c r="J4226" s="43"/>
      <c r="K4226" s="51"/>
      <c r="L4226" s="86"/>
      <c r="M4226" s="276"/>
      <c r="N4226" s="276"/>
    </row>
    <row r="4227" spans="1:14" s="275" customFormat="1" ht="15" x14ac:dyDescent="0.25">
      <c r="A4227" s="1"/>
      <c r="B4227" s="1" t="s">
        <v>521</v>
      </c>
      <c r="C4227" s="32">
        <v>7381</v>
      </c>
      <c r="D4227" s="1">
        <v>24000</v>
      </c>
      <c r="E4227" s="1"/>
      <c r="F4227" s="1">
        <v>267.47000000000003</v>
      </c>
      <c r="G4227" s="1">
        <v>24000</v>
      </c>
      <c r="H4227" s="5">
        <f t="shared" si="83"/>
        <v>0</v>
      </c>
      <c r="I4227" s="6"/>
      <c r="J4227" s="43"/>
      <c r="K4227" s="51"/>
      <c r="L4227" s="86"/>
      <c r="M4227" s="276"/>
      <c r="N4227" s="276"/>
    </row>
    <row r="4228" spans="1:14" s="275" customFormat="1" ht="15" x14ac:dyDescent="0.25">
      <c r="A4228" s="1"/>
      <c r="B4228" s="1" t="s">
        <v>521</v>
      </c>
      <c r="C4228" s="32">
        <v>5449</v>
      </c>
      <c r="D4228" s="1">
        <v>15000</v>
      </c>
      <c r="E4228" s="1"/>
      <c r="F4228" s="1">
        <v>167.45</v>
      </c>
      <c r="G4228" s="1">
        <v>15000</v>
      </c>
      <c r="H4228" s="5">
        <f t="shared" si="83"/>
        <v>0</v>
      </c>
      <c r="I4228" s="6"/>
      <c r="J4228" s="43"/>
      <c r="K4228" s="51"/>
      <c r="L4228" s="86"/>
      <c r="M4228" s="276"/>
      <c r="N4228" s="276"/>
    </row>
    <row r="4229" spans="1:14" s="275" customFormat="1" ht="15" x14ac:dyDescent="0.25">
      <c r="A4229" s="1"/>
      <c r="B4229" s="1" t="s">
        <v>521</v>
      </c>
      <c r="C4229" s="32">
        <v>1793</v>
      </c>
      <c r="D4229" s="1">
        <v>28000</v>
      </c>
      <c r="E4229" s="1"/>
      <c r="F4229" s="1">
        <v>311.87</v>
      </c>
      <c r="G4229" s="1">
        <v>28000</v>
      </c>
      <c r="H4229" s="5">
        <f t="shared" si="83"/>
        <v>0</v>
      </c>
      <c r="I4229" s="6"/>
      <c r="J4229" s="43"/>
      <c r="K4229" s="51"/>
      <c r="L4229" s="86">
        <f>2337972-2315230</f>
        <v>22742</v>
      </c>
      <c r="M4229" s="276" t="s">
        <v>522</v>
      </c>
      <c r="N4229" s="276">
        <f>22742-14511</f>
        <v>8231</v>
      </c>
    </row>
    <row r="4230" spans="1:14" s="277" customFormat="1" ht="15" x14ac:dyDescent="0.25">
      <c r="A4230" s="1"/>
      <c r="B4230" s="1" t="s">
        <v>523</v>
      </c>
      <c r="C4230" s="32" t="s">
        <v>30</v>
      </c>
      <c r="D4230" s="1">
        <v>5000</v>
      </c>
      <c r="E4230" s="1"/>
      <c r="F4230" s="1">
        <v>55.45</v>
      </c>
      <c r="G4230" s="1">
        <v>5000</v>
      </c>
      <c r="H4230" s="5">
        <f t="shared" si="83"/>
        <v>0</v>
      </c>
      <c r="I4230" s="6"/>
      <c r="J4230" s="43"/>
      <c r="K4230" s="51"/>
      <c r="L4230" s="86"/>
      <c r="M4230" s="278"/>
      <c r="N4230" s="278"/>
    </row>
    <row r="4231" spans="1:14" s="277" customFormat="1" ht="15" x14ac:dyDescent="0.25">
      <c r="A4231" s="1"/>
      <c r="B4231" s="1" t="s">
        <v>523</v>
      </c>
      <c r="C4231" s="32" t="s">
        <v>30</v>
      </c>
      <c r="D4231" s="1">
        <v>4500</v>
      </c>
      <c r="E4231" s="1"/>
      <c r="F4231" s="1">
        <v>50.15</v>
      </c>
      <c r="G4231" s="1">
        <v>4500</v>
      </c>
      <c r="H4231" s="5">
        <f t="shared" si="83"/>
        <v>0</v>
      </c>
      <c r="I4231" s="6"/>
      <c r="J4231" s="43"/>
      <c r="K4231" s="51"/>
      <c r="L4231" s="86"/>
      <c r="M4231" s="278"/>
      <c r="N4231" s="278"/>
    </row>
    <row r="4232" spans="1:14" s="277" customFormat="1" ht="15" x14ac:dyDescent="0.25">
      <c r="A4232" s="1"/>
      <c r="B4232" s="1" t="s">
        <v>523</v>
      </c>
      <c r="C4232" s="32">
        <v>1723</v>
      </c>
      <c r="D4232" s="1">
        <v>15000</v>
      </c>
      <c r="E4232" s="1"/>
      <c r="F4232" s="1">
        <v>167.15</v>
      </c>
      <c r="G4232" s="1">
        <v>15000</v>
      </c>
      <c r="H4232" s="5">
        <f t="shared" si="83"/>
        <v>0</v>
      </c>
      <c r="I4232" s="6"/>
      <c r="J4232" s="43"/>
      <c r="K4232" s="51"/>
      <c r="L4232" s="86"/>
      <c r="M4232" s="278"/>
      <c r="N4232" s="278"/>
    </row>
    <row r="4233" spans="1:14" s="277" customFormat="1" ht="15" x14ac:dyDescent="0.25">
      <c r="A4233" s="1"/>
      <c r="B4233" s="1" t="s">
        <v>523</v>
      </c>
      <c r="C4233" s="32">
        <v>5385</v>
      </c>
      <c r="D4233" s="1">
        <v>24000</v>
      </c>
      <c r="E4233" s="1"/>
      <c r="F4233" s="1">
        <v>267.47000000000003</v>
      </c>
      <c r="G4233" s="1">
        <v>24000</v>
      </c>
      <c r="H4233" s="5">
        <f t="shared" si="83"/>
        <v>0</v>
      </c>
      <c r="I4233" s="6"/>
      <c r="J4233" s="43"/>
      <c r="K4233" s="51"/>
      <c r="L4233" s="86"/>
      <c r="M4233" s="278"/>
      <c r="N4233" s="278"/>
    </row>
    <row r="4234" spans="1:14" s="277" customFormat="1" ht="15" x14ac:dyDescent="0.25">
      <c r="A4234" s="1"/>
      <c r="B4234" s="1" t="s">
        <v>523</v>
      </c>
      <c r="C4234" s="32">
        <v>6651</v>
      </c>
      <c r="D4234" s="1">
        <v>24000</v>
      </c>
      <c r="E4234" s="1"/>
      <c r="F4234" s="1">
        <v>267.47000000000003</v>
      </c>
      <c r="G4234" s="1">
        <v>24000</v>
      </c>
      <c r="H4234" s="5">
        <f t="shared" si="83"/>
        <v>0</v>
      </c>
      <c r="I4234" s="6"/>
      <c r="J4234" s="43"/>
      <c r="K4234" s="51"/>
      <c r="L4234" s="86"/>
      <c r="M4234" s="278"/>
      <c r="N4234" s="278"/>
    </row>
    <row r="4235" spans="1:14" s="277" customFormat="1" ht="15" x14ac:dyDescent="0.25">
      <c r="A4235" s="1"/>
      <c r="B4235" s="1" t="s">
        <v>523</v>
      </c>
      <c r="C4235" s="32">
        <v>2681</v>
      </c>
      <c r="D4235" s="1">
        <v>16000</v>
      </c>
      <c r="E4235" s="1"/>
      <c r="F4235" s="1">
        <v>178.22</v>
      </c>
      <c r="G4235" s="1">
        <v>16000</v>
      </c>
      <c r="H4235" s="5">
        <f t="shared" si="83"/>
        <v>0</v>
      </c>
      <c r="I4235" s="6"/>
      <c r="J4235" s="43"/>
      <c r="K4235" s="51"/>
      <c r="L4235" s="86"/>
      <c r="M4235" s="278"/>
      <c r="N4235" s="278"/>
    </row>
    <row r="4236" spans="1:14" s="277" customFormat="1" ht="15" x14ac:dyDescent="0.25">
      <c r="A4236" s="1"/>
      <c r="B4236" s="1" t="s">
        <v>523</v>
      </c>
      <c r="C4236" s="32">
        <v>8313</v>
      </c>
      <c r="D4236" s="1">
        <v>23000</v>
      </c>
      <c r="E4236" s="1"/>
      <c r="F4236" s="1">
        <v>239.57</v>
      </c>
      <c r="G4236" s="1">
        <v>23000</v>
      </c>
      <c r="H4236" s="5">
        <f t="shared" si="83"/>
        <v>0</v>
      </c>
      <c r="I4236" s="6"/>
      <c r="J4236" s="43"/>
      <c r="K4236" s="51"/>
      <c r="L4236" s="86"/>
      <c r="M4236" s="278"/>
      <c r="N4236" s="278"/>
    </row>
    <row r="4237" spans="1:14" s="277" customFormat="1" ht="15" x14ac:dyDescent="0.25">
      <c r="A4237" s="1"/>
      <c r="B4237" s="1" t="s">
        <v>523</v>
      </c>
      <c r="C4237" s="32">
        <v>1677</v>
      </c>
      <c r="D4237" s="1">
        <v>26000</v>
      </c>
      <c r="E4237" s="1"/>
      <c r="F4237" s="1">
        <v>287.77999999999997</v>
      </c>
      <c r="G4237" s="1">
        <v>26000</v>
      </c>
      <c r="H4237" s="5">
        <f t="shared" si="83"/>
        <v>0</v>
      </c>
      <c r="I4237" s="6"/>
      <c r="J4237" s="43"/>
      <c r="K4237" s="51"/>
      <c r="L4237" s="86"/>
      <c r="M4237" s="278"/>
      <c r="N4237" s="278"/>
    </row>
    <row r="4238" spans="1:14" s="277" customFormat="1" ht="15" x14ac:dyDescent="0.25">
      <c r="A4238" s="1"/>
      <c r="B4238" s="1" t="s">
        <v>523</v>
      </c>
      <c r="C4238" s="32">
        <v>9969</v>
      </c>
      <c r="D4238" s="1">
        <v>33000</v>
      </c>
      <c r="E4238" s="1"/>
      <c r="F4238" s="1">
        <v>362.67</v>
      </c>
      <c r="G4238" s="1">
        <v>33000</v>
      </c>
      <c r="H4238" s="5">
        <f t="shared" si="83"/>
        <v>0</v>
      </c>
      <c r="I4238" s="6"/>
      <c r="J4238" s="43"/>
      <c r="K4238" s="51"/>
      <c r="L4238" s="86"/>
      <c r="M4238" s="278"/>
      <c r="N4238" s="278"/>
    </row>
    <row r="4239" spans="1:14" s="277" customFormat="1" ht="15" x14ac:dyDescent="0.25">
      <c r="A4239" s="1"/>
      <c r="B4239" s="1" t="s">
        <v>523</v>
      </c>
      <c r="C4239" s="32">
        <v>4770</v>
      </c>
      <c r="D4239" s="1">
        <v>12000</v>
      </c>
      <c r="E4239" s="1"/>
      <c r="F4239" s="1">
        <v>133.47</v>
      </c>
      <c r="G4239" s="1">
        <v>12000</v>
      </c>
      <c r="H4239" s="5">
        <f t="shared" si="83"/>
        <v>0</v>
      </c>
      <c r="I4239" s="6"/>
      <c r="J4239" s="43"/>
      <c r="K4239" s="51"/>
      <c r="L4239" s="86"/>
      <c r="M4239" s="278"/>
      <c r="N4239" s="278"/>
    </row>
    <row r="4240" spans="1:14" s="277" customFormat="1" ht="15" x14ac:dyDescent="0.25">
      <c r="A4240" s="1"/>
      <c r="B4240" s="1" t="s">
        <v>523</v>
      </c>
      <c r="C4240" s="32">
        <v>3955</v>
      </c>
      <c r="D4240" s="1">
        <v>29000</v>
      </c>
      <c r="E4240" s="1"/>
      <c r="F4240" s="1">
        <v>323.41000000000003</v>
      </c>
      <c r="G4240" s="1">
        <v>29000</v>
      </c>
      <c r="H4240" s="5">
        <f t="shared" si="83"/>
        <v>0</v>
      </c>
      <c r="I4240" s="6"/>
      <c r="J4240" s="43"/>
      <c r="K4240" s="51"/>
      <c r="L4240" s="86"/>
      <c r="M4240" s="278"/>
      <c r="N4240" s="278"/>
    </row>
    <row r="4241" spans="1:14" s="277" customFormat="1" ht="15" x14ac:dyDescent="0.25">
      <c r="A4241" s="1"/>
      <c r="B4241" s="1" t="s">
        <v>523</v>
      </c>
      <c r="C4241" s="32">
        <v>6153</v>
      </c>
      <c r="D4241" s="1">
        <v>20000</v>
      </c>
      <c r="E4241" s="1"/>
      <c r="F4241" s="1">
        <v>222.78</v>
      </c>
      <c r="G4241" s="1">
        <v>20000</v>
      </c>
      <c r="H4241" s="5">
        <f t="shared" si="83"/>
        <v>0</v>
      </c>
      <c r="I4241" s="6"/>
      <c r="J4241" s="43"/>
      <c r="K4241" s="51"/>
      <c r="L4241" s="86"/>
      <c r="M4241" s="278"/>
      <c r="N4241" s="278"/>
    </row>
    <row r="4242" spans="1:14" s="277" customFormat="1" ht="15" x14ac:dyDescent="0.25">
      <c r="A4242" s="1"/>
      <c r="B4242" s="1" t="s">
        <v>523</v>
      </c>
      <c r="C4242" s="32">
        <v>6511</v>
      </c>
      <c r="D4242" s="1">
        <v>20000</v>
      </c>
      <c r="E4242" s="1"/>
      <c r="F4242" s="1">
        <v>222.78</v>
      </c>
      <c r="G4242" s="1">
        <v>20000</v>
      </c>
      <c r="H4242" s="5">
        <f t="shared" si="83"/>
        <v>0</v>
      </c>
      <c r="I4242" s="6"/>
      <c r="J4242" s="43"/>
      <c r="K4242" s="51"/>
      <c r="L4242" s="86"/>
      <c r="M4242" s="278"/>
      <c r="N4242" s="278"/>
    </row>
    <row r="4243" spans="1:14" s="277" customFormat="1" ht="15" x14ac:dyDescent="0.25">
      <c r="A4243" s="1"/>
      <c r="B4243" s="1" t="s">
        <v>523</v>
      </c>
      <c r="C4243" s="32">
        <v>9610</v>
      </c>
      <c r="D4243" s="1">
        <v>15000</v>
      </c>
      <c r="E4243" s="1"/>
      <c r="F4243" s="1">
        <v>167.15</v>
      </c>
      <c r="G4243" s="1">
        <v>15000</v>
      </c>
      <c r="H4243" s="5">
        <f t="shared" si="83"/>
        <v>0</v>
      </c>
      <c r="I4243" s="6"/>
      <c r="J4243" s="43"/>
      <c r="K4243" s="51"/>
      <c r="L4243" s="86"/>
      <c r="M4243" s="278"/>
      <c r="N4243" s="278"/>
    </row>
    <row r="4244" spans="1:14" s="277" customFormat="1" ht="15" x14ac:dyDescent="0.25">
      <c r="A4244" s="1"/>
      <c r="B4244" s="1" t="s">
        <v>523</v>
      </c>
      <c r="C4244" s="32">
        <v>3693</v>
      </c>
      <c r="D4244" s="1">
        <v>15000</v>
      </c>
      <c r="E4244" s="1"/>
      <c r="F4244" s="1">
        <v>167.15</v>
      </c>
      <c r="G4244" s="1">
        <v>15000</v>
      </c>
      <c r="H4244" s="5">
        <f t="shared" si="83"/>
        <v>0</v>
      </c>
      <c r="I4244" s="6"/>
      <c r="J4244" s="43"/>
      <c r="K4244" s="51"/>
      <c r="L4244" s="86"/>
      <c r="M4244" s="278"/>
      <c r="N4244" s="278"/>
    </row>
    <row r="4245" spans="1:14" s="277" customFormat="1" ht="15" x14ac:dyDescent="0.25">
      <c r="A4245" s="1"/>
      <c r="B4245" s="1" t="s">
        <v>523</v>
      </c>
      <c r="C4245" s="32">
        <v>9077</v>
      </c>
      <c r="D4245" s="1">
        <v>20000</v>
      </c>
      <c r="E4245" s="1"/>
      <c r="F4245" s="1">
        <v>222.78</v>
      </c>
      <c r="G4245" s="1">
        <v>20000</v>
      </c>
      <c r="H4245" s="5">
        <f t="shared" si="83"/>
        <v>0</v>
      </c>
      <c r="I4245" s="6"/>
      <c r="J4245" s="43"/>
      <c r="K4245" s="51"/>
      <c r="L4245" s="86"/>
      <c r="M4245" s="278"/>
      <c r="N4245" s="278"/>
    </row>
    <row r="4246" spans="1:14" s="277" customFormat="1" ht="15" x14ac:dyDescent="0.25">
      <c r="A4246" s="1"/>
      <c r="B4246" s="1" t="s">
        <v>523</v>
      </c>
      <c r="C4246" s="32">
        <v>1085</v>
      </c>
      <c r="D4246" s="1">
        <v>25000</v>
      </c>
      <c r="E4246" s="1"/>
      <c r="F4246" s="1">
        <v>278.22000000000003</v>
      </c>
      <c r="G4246" s="1">
        <v>25000</v>
      </c>
      <c r="H4246" s="5">
        <f t="shared" si="83"/>
        <v>0</v>
      </c>
      <c r="I4246" s="6"/>
      <c r="J4246" s="43"/>
      <c r="K4246" s="51"/>
      <c r="L4246" s="86"/>
      <c r="M4246" s="278"/>
      <c r="N4246" s="278"/>
    </row>
    <row r="4247" spans="1:14" s="277" customFormat="1" ht="15" x14ac:dyDescent="0.25">
      <c r="A4247" s="1"/>
      <c r="B4247" s="1" t="s">
        <v>523</v>
      </c>
      <c r="C4247" s="32">
        <v>3.15E-2</v>
      </c>
      <c r="D4247" s="1">
        <v>7000</v>
      </c>
      <c r="E4247" s="1"/>
      <c r="F4247" s="1">
        <v>77.84</v>
      </c>
      <c r="G4247" s="1">
        <v>7000</v>
      </c>
      <c r="H4247" s="5">
        <f t="shared" si="83"/>
        <v>0</v>
      </c>
      <c r="I4247" s="6"/>
      <c r="J4247" s="43"/>
      <c r="K4247" s="51"/>
      <c r="L4247" s="86"/>
      <c r="M4247" s="278"/>
      <c r="N4247" s="278"/>
    </row>
    <row r="4248" spans="1:14" s="277" customFormat="1" ht="15" x14ac:dyDescent="0.25">
      <c r="A4248" s="1"/>
      <c r="B4248" s="1" t="s">
        <v>523</v>
      </c>
      <c r="C4248" s="32">
        <v>9393</v>
      </c>
      <c r="D4248" s="1">
        <v>20000</v>
      </c>
      <c r="E4248" s="1"/>
      <c r="F4248" s="1">
        <v>222.78</v>
      </c>
      <c r="G4248" s="1">
        <v>20000</v>
      </c>
      <c r="H4248" s="5">
        <f t="shared" si="83"/>
        <v>0</v>
      </c>
      <c r="I4248" s="6"/>
      <c r="J4248" s="43"/>
      <c r="K4248" s="51"/>
      <c r="L4248" s="86"/>
      <c r="M4248" s="278"/>
      <c r="N4248" s="278"/>
    </row>
    <row r="4249" spans="1:14" s="277" customFormat="1" ht="15" x14ac:dyDescent="0.25">
      <c r="A4249" s="1"/>
      <c r="B4249" s="1" t="s">
        <v>523</v>
      </c>
      <c r="C4249" s="32">
        <v>2384</v>
      </c>
      <c r="D4249" s="1">
        <v>25000</v>
      </c>
      <c r="E4249" s="1"/>
      <c r="F4249" s="1">
        <v>278.22000000000003</v>
      </c>
      <c r="G4249" s="1">
        <v>25000</v>
      </c>
      <c r="H4249" s="5">
        <f t="shared" si="83"/>
        <v>0</v>
      </c>
      <c r="I4249" s="6"/>
      <c r="J4249" s="43"/>
      <c r="K4249" s="51"/>
      <c r="L4249" s="86"/>
      <c r="M4249" s="278"/>
      <c r="N4249" s="278"/>
    </row>
    <row r="4250" spans="1:14" s="277" customFormat="1" ht="15" x14ac:dyDescent="0.25">
      <c r="A4250" s="1"/>
      <c r="B4250" s="1" t="s">
        <v>523</v>
      </c>
      <c r="C4250" s="32">
        <v>1022</v>
      </c>
      <c r="D4250" s="1">
        <v>20000</v>
      </c>
      <c r="E4250" s="1"/>
      <c r="F4250" s="1">
        <v>222.78</v>
      </c>
      <c r="G4250" s="1">
        <v>20000</v>
      </c>
      <c r="H4250" s="5">
        <f t="shared" si="83"/>
        <v>0</v>
      </c>
      <c r="I4250" s="6"/>
      <c r="J4250" s="43"/>
      <c r="K4250" s="51"/>
      <c r="L4250" s="86"/>
      <c r="M4250" s="278"/>
      <c r="N4250" s="278"/>
    </row>
    <row r="4251" spans="1:14" s="277" customFormat="1" ht="15" x14ac:dyDescent="0.25">
      <c r="A4251" s="1"/>
      <c r="B4251" s="1" t="s">
        <v>523</v>
      </c>
      <c r="C4251" s="32">
        <v>1155</v>
      </c>
      <c r="D4251" s="1">
        <v>30000</v>
      </c>
      <c r="E4251" s="1"/>
      <c r="F4251" s="1">
        <v>334.74</v>
      </c>
      <c r="G4251" s="1">
        <v>30000</v>
      </c>
      <c r="H4251" s="5">
        <f t="shared" si="83"/>
        <v>0</v>
      </c>
      <c r="I4251" s="6"/>
      <c r="J4251" s="43"/>
      <c r="K4251" s="51"/>
      <c r="L4251" s="86">
        <f>2183917-2143730</f>
        <v>40187</v>
      </c>
      <c r="M4251" s="278" t="s">
        <v>524</v>
      </c>
      <c r="N4251" s="278">
        <f>40187-31956</f>
        <v>8231</v>
      </c>
    </row>
    <row r="4252" spans="1:14" s="279" customFormat="1" ht="15" x14ac:dyDescent="0.25">
      <c r="A4252" s="1"/>
      <c r="B4252" s="1" t="s">
        <v>525</v>
      </c>
      <c r="C4252" s="32" t="s">
        <v>63</v>
      </c>
      <c r="D4252" s="1">
        <v>4000</v>
      </c>
      <c r="E4252" s="1"/>
      <c r="F4252" s="1">
        <v>44.15</v>
      </c>
      <c r="G4252" s="1">
        <v>4000</v>
      </c>
      <c r="H4252" s="5">
        <f t="shared" si="83"/>
        <v>0</v>
      </c>
      <c r="I4252" s="6"/>
      <c r="J4252" s="43"/>
      <c r="K4252" s="51"/>
      <c r="L4252" s="86"/>
      <c r="M4252" s="280"/>
      <c r="N4252" s="280"/>
    </row>
    <row r="4253" spans="1:14" s="279" customFormat="1" ht="15" x14ac:dyDescent="0.25">
      <c r="A4253" s="1"/>
      <c r="B4253" s="1" t="s">
        <v>525</v>
      </c>
      <c r="C4253" s="32">
        <v>2677</v>
      </c>
      <c r="D4253" s="1">
        <v>27000</v>
      </c>
      <c r="E4253" s="1"/>
      <c r="F4253" s="1">
        <v>300.48</v>
      </c>
      <c r="G4253" s="1">
        <v>27000</v>
      </c>
      <c r="H4253" s="5">
        <f t="shared" si="83"/>
        <v>0</v>
      </c>
      <c r="I4253" s="6"/>
      <c r="J4253" s="43"/>
      <c r="K4253" s="51"/>
      <c r="L4253" s="86"/>
      <c r="M4253" s="280"/>
      <c r="N4253" s="280"/>
    </row>
    <row r="4254" spans="1:14" s="279" customFormat="1" ht="15" x14ac:dyDescent="0.25">
      <c r="A4254" s="1"/>
      <c r="B4254" s="1" t="s">
        <v>525</v>
      </c>
      <c r="C4254" s="32">
        <v>2810</v>
      </c>
      <c r="D4254" s="1">
        <v>15000</v>
      </c>
      <c r="E4254" s="1"/>
      <c r="F4254" s="1">
        <v>167.15</v>
      </c>
      <c r="G4254" s="1">
        <v>15000</v>
      </c>
      <c r="H4254" s="5">
        <f t="shared" si="83"/>
        <v>0</v>
      </c>
      <c r="I4254" s="6"/>
      <c r="J4254" s="43"/>
      <c r="K4254" s="51"/>
      <c r="L4254" s="86"/>
      <c r="M4254" s="280"/>
      <c r="N4254" s="280"/>
    </row>
    <row r="4255" spans="1:14" s="279" customFormat="1" ht="15" x14ac:dyDescent="0.25">
      <c r="A4255" s="1"/>
      <c r="B4255" s="1" t="s">
        <v>525</v>
      </c>
      <c r="C4255" s="32">
        <v>5931</v>
      </c>
      <c r="D4255" s="1">
        <v>16000</v>
      </c>
      <c r="E4255" s="1"/>
      <c r="F4255" s="1">
        <v>178.22</v>
      </c>
      <c r="G4255" s="1">
        <v>16000</v>
      </c>
      <c r="H4255" s="5">
        <f t="shared" si="83"/>
        <v>0</v>
      </c>
      <c r="I4255" s="6"/>
      <c r="J4255" s="43"/>
      <c r="K4255" s="51"/>
      <c r="L4255" s="86"/>
      <c r="M4255" s="280"/>
      <c r="N4255" s="280"/>
    </row>
    <row r="4256" spans="1:14" s="279" customFormat="1" ht="15" x14ac:dyDescent="0.25">
      <c r="A4256" s="1"/>
      <c r="B4256" s="1" t="s">
        <v>525</v>
      </c>
      <c r="C4256" s="32" t="s">
        <v>66</v>
      </c>
      <c r="D4256" s="1">
        <v>210</v>
      </c>
      <c r="E4256" s="1"/>
      <c r="F4256" s="1">
        <v>2.08</v>
      </c>
      <c r="G4256" s="1">
        <v>210</v>
      </c>
      <c r="H4256" s="5">
        <f t="shared" ref="H4256:H4319" si="84">D4256-G4256</f>
        <v>0</v>
      </c>
      <c r="I4256" s="6"/>
      <c r="J4256" s="43"/>
      <c r="K4256" s="51"/>
      <c r="L4256" s="86"/>
      <c r="M4256" s="280"/>
      <c r="N4256" s="280"/>
    </row>
    <row r="4257" spans="1:14" s="279" customFormat="1" ht="15" x14ac:dyDescent="0.25">
      <c r="A4257" s="1"/>
      <c r="B4257" s="1" t="s">
        <v>525</v>
      </c>
      <c r="C4257" s="32">
        <v>2643</v>
      </c>
      <c r="D4257" s="1">
        <v>20000</v>
      </c>
      <c r="E4257" s="1"/>
      <c r="F4257" s="1">
        <v>222.78</v>
      </c>
      <c r="G4257" s="1">
        <v>20000</v>
      </c>
      <c r="H4257" s="5">
        <f t="shared" si="84"/>
        <v>0</v>
      </c>
      <c r="I4257" s="6"/>
      <c r="J4257" s="43"/>
      <c r="K4257" s="51"/>
      <c r="L4257" s="86"/>
      <c r="M4257" s="280"/>
      <c r="N4257" s="280"/>
    </row>
    <row r="4258" spans="1:14" s="279" customFormat="1" ht="15" x14ac:dyDescent="0.25">
      <c r="A4258" s="1"/>
      <c r="B4258" s="1" t="s">
        <v>525</v>
      </c>
      <c r="C4258" s="32">
        <v>7897</v>
      </c>
      <c r="D4258" s="1">
        <v>27000</v>
      </c>
      <c r="E4258" s="1"/>
      <c r="F4258" s="1">
        <v>300.48</v>
      </c>
      <c r="G4258" s="1">
        <v>27000</v>
      </c>
      <c r="H4258" s="5">
        <f t="shared" si="84"/>
        <v>0</v>
      </c>
      <c r="I4258" s="6"/>
      <c r="J4258" s="43"/>
      <c r="K4258" s="51"/>
      <c r="L4258" s="86"/>
      <c r="M4258" s="280"/>
      <c r="N4258" s="280"/>
    </row>
    <row r="4259" spans="1:14" s="279" customFormat="1" ht="15" x14ac:dyDescent="0.25">
      <c r="A4259" s="1"/>
      <c r="B4259" s="1" t="s">
        <v>525</v>
      </c>
      <c r="C4259" s="32">
        <v>4925</v>
      </c>
      <c r="D4259" s="1">
        <v>15000</v>
      </c>
      <c r="E4259" s="1"/>
      <c r="F4259" s="1">
        <v>167.15</v>
      </c>
      <c r="G4259" s="1">
        <v>15000</v>
      </c>
      <c r="H4259" s="5">
        <f t="shared" si="84"/>
        <v>0</v>
      </c>
      <c r="I4259" s="6"/>
      <c r="J4259" s="43"/>
      <c r="K4259" s="51"/>
      <c r="L4259" s="86"/>
      <c r="M4259" s="280"/>
      <c r="N4259" s="280"/>
    </row>
    <row r="4260" spans="1:14" s="279" customFormat="1" ht="15" x14ac:dyDescent="0.25">
      <c r="A4260" s="1"/>
      <c r="B4260" s="1" t="s">
        <v>525</v>
      </c>
      <c r="C4260" s="32">
        <v>3363</v>
      </c>
      <c r="D4260" s="1">
        <v>15000</v>
      </c>
      <c r="E4260" s="1"/>
      <c r="F4260" s="1">
        <v>167.15</v>
      </c>
      <c r="G4260" s="1">
        <v>15000</v>
      </c>
      <c r="H4260" s="5">
        <f t="shared" si="84"/>
        <v>0</v>
      </c>
      <c r="I4260" s="6"/>
      <c r="J4260" s="43"/>
      <c r="K4260" s="51"/>
      <c r="L4260" s="86"/>
      <c r="M4260" s="280"/>
      <c r="N4260" s="280"/>
    </row>
    <row r="4261" spans="1:14" s="279" customFormat="1" ht="15" x14ac:dyDescent="0.25">
      <c r="A4261" s="1"/>
      <c r="B4261" s="1" t="s">
        <v>525</v>
      </c>
      <c r="C4261" s="32" t="s">
        <v>30</v>
      </c>
      <c r="D4261" s="1">
        <v>7000</v>
      </c>
      <c r="E4261" s="1"/>
      <c r="F4261" s="1">
        <v>77.48</v>
      </c>
      <c r="G4261" s="1">
        <v>7000</v>
      </c>
      <c r="H4261" s="5">
        <f t="shared" si="84"/>
        <v>0</v>
      </c>
      <c r="I4261" s="6"/>
      <c r="J4261" s="43"/>
      <c r="K4261" s="51"/>
      <c r="L4261" s="86"/>
      <c r="M4261" s="280"/>
      <c r="N4261" s="280"/>
    </row>
    <row r="4262" spans="1:14" s="279" customFormat="1" ht="15" x14ac:dyDescent="0.25">
      <c r="A4262" s="1"/>
      <c r="B4262" s="1" t="s">
        <v>525</v>
      </c>
      <c r="C4262" s="32">
        <v>7393</v>
      </c>
      <c r="D4262" s="1">
        <v>30000</v>
      </c>
      <c r="E4262" s="1"/>
      <c r="F4262" s="1">
        <v>334.74</v>
      </c>
      <c r="G4262" s="1">
        <v>30000</v>
      </c>
      <c r="H4262" s="5">
        <f t="shared" si="84"/>
        <v>0</v>
      </c>
      <c r="I4262" s="6"/>
      <c r="J4262" s="43"/>
      <c r="K4262" s="51"/>
      <c r="L4262" s="86"/>
      <c r="M4262" s="280"/>
      <c r="N4262" s="280"/>
    </row>
    <row r="4263" spans="1:14" s="279" customFormat="1" ht="15" x14ac:dyDescent="0.25">
      <c r="A4263" s="1"/>
      <c r="B4263" s="1" t="s">
        <v>525</v>
      </c>
      <c r="C4263" s="32">
        <v>9.8699999999999996E-2</v>
      </c>
      <c r="D4263" s="1">
        <v>25000</v>
      </c>
      <c r="E4263" s="1"/>
      <c r="F4263" s="1">
        <v>278.22000000000003</v>
      </c>
      <c r="G4263" s="1">
        <v>25000</v>
      </c>
      <c r="H4263" s="5">
        <f t="shared" si="84"/>
        <v>0</v>
      </c>
      <c r="I4263" s="6"/>
      <c r="J4263" s="43"/>
      <c r="K4263" s="51"/>
      <c r="L4263" s="86"/>
      <c r="M4263" s="280"/>
      <c r="N4263" s="280"/>
    </row>
    <row r="4264" spans="1:14" s="279" customFormat="1" ht="15" x14ac:dyDescent="0.25">
      <c r="A4264" s="1"/>
      <c r="B4264" s="1" t="s">
        <v>525</v>
      </c>
      <c r="C4264" s="32">
        <v>2237</v>
      </c>
      <c r="D4264" s="1">
        <v>22000</v>
      </c>
      <c r="E4264" s="1"/>
      <c r="F4264" s="1">
        <v>245.64</v>
      </c>
      <c r="G4264" s="1">
        <v>22000</v>
      </c>
      <c r="H4264" s="5">
        <f t="shared" si="84"/>
        <v>0</v>
      </c>
      <c r="I4264" s="6"/>
      <c r="J4264" s="43"/>
      <c r="K4264" s="51"/>
      <c r="L4264" s="86"/>
      <c r="M4264" s="280"/>
      <c r="N4264" s="280"/>
    </row>
    <row r="4265" spans="1:14" s="279" customFormat="1" ht="15" x14ac:dyDescent="0.25">
      <c r="A4265" s="1"/>
      <c r="B4265" s="1" t="s">
        <v>525</v>
      </c>
      <c r="C4265" s="32">
        <v>7896</v>
      </c>
      <c r="D4265" s="1">
        <v>30000</v>
      </c>
      <c r="E4265" s="1"/>
      <c r="F4265" s="1">
        <v>334.74</v>
      </c>
      <c r="G4265" s="1">
        <v>30000</v>
      </c>
      <c r="H4265" s="5">
        <f t="shared" si="84"/>
        <v>0</v>
      </c>
      <c r="I4265" s="6"/>
      <c r="J4265" s="43"/>
      <c r="K4265" s="51"/>
      <c r="L4265" s="86"/>
      <c r="M4265" s="280"/>
      <c r="N4265" s="280"/>
    </row>
    <row r="4266" spans="1:14" s="279" customFormat="1" ht="15" x14ac:dyDescent="0.25">
      <c r="A4266" s="1"/>
      <c r="B4266" s="1" t="s">
        <v>525</v>
      </c>
      <c r="C4266" s="32">
        <v>3411</v>
      </c>
      <c r="D4266" s="1">
        <v>25000</v>
      </c>
      <c r="E4266" s="1"/>
      <c r="F4266" s="1">
        <v>278.22000000000003</v>
      </c>
      <c r="G4266" s="1">
        <v>25000</v>
      </c>
      <c r="H4266" s="5">
        <f t="shared" si="84"/>
        <v>0</v>
      </c>
      <c r="I4266" s="6"/>
      <c r="J4266" s="43"/>
      <c r="K4266" s="51"/>
      <c r="L4266" s="86"/>
      <c r="M4266" s="280"/>
      <c r="N4266" s="280"/>
    </row>
    <row r="4267" spans="1:14" s="279" customFormat="1" ht="15" x14ac:dyDescent="0.25">
      <c r="A4267" s="1"/>
      <c r="B4267" s="1" t="s">
        <v>525</v>
      </c>
      <c r="C4267" s="32">
        <v>3419</v>
      </c>
      <c r="D4267" s="1">
        <v>35000</v>
      </c>
      <c r="E4267" s="1"/>
      <c r="F4267" s="1">
        <v>382.87</v>
      </c>
      <c r="G4267" s="1">
        <v>35000</v>
      </c>
      <c r="H4267" s="5">
        <f t="shared" si="84"/>
        <v>0</v>
      </c>
      <c r="I4267" s="6"/>
      <c r="J4267" s="43"/>
      <c r="K4267" s="51"/>
      <c r="L4267" s="86"/>
      <c r="M4267" s="280"/>
      <c r="N4267" s="280"/>
    </row>
    <row r="4268" spans="1:14" s="279" customFormat="1" ht="15" x14ac:dyDescent="0.25">
      <c r="A4268" s="1"/>
      <c r="B4268" s="1" t="s">
        <v>525</v>
      </c>
      <c r="C4268" s="32">
        <v>5.8400000000000001E-2</v>
      </c>
      <c r="D4268" s="1">
        <v>20000</v>
      </c>
      <c r="E4268" s="1" t="s">
        <v>526</v>
      </c>
      <c r="F4268" s="1">
        <v>222.78</v>
      </c>
      <c r="G4268" s="1">
        <v>20000</v>
      </c>
      <c r="H4268" s="5">
        <f t="shared" si="84"/>
        <v>0</v>
      </c>
      <c r="I4268" s="6"/>
      <c r="J4268" s="43"/>
      <c r="K4268" s="51"/>
      <c r="L4268" s="86"/>
      <c r="M4268" s="280"/>
      <c r="N4268" s="280"/>
    </row>
    <row r="4269" spans="1:14" s="279" customFormat="1" ht="15" x14ac:dyDescent="0.25">
      <c r="A4269" s="1"/>
      <c r="B4269" s="1" t="s">
        <v>525</v>
      </c>
      <c r="C4269" s="32">
        <v>5.8400000000000001E-2</v>
      </c>
      <c r="D4269" s="1">
        <v>25000</v>
      </c>
      <c r="E4269" s="1" t="s">
        <v>490</v>
      </c>
      <c r="F4269" s="1">
        <v>222.78</v>
      </c>
      <c r="G4269" s="1">
        <v>25000</v>
      </c>
      <c r="H4269" s="5">
        <f t="shared" si="84"/>
        <v>0</v>
      </c>
      <c r="I4269" s="6"/>
      <c r="J4269" s="43"/>
      <c r="K4269" s="51"/>
      <c r="L4269" s="86"/>
      <c r="M4269" s="280"/>
      <c r="N4269" s="280"/>
    </row>
    <row r="4270" spans="1:14" s="279" customFormat="1" ht="15" x14ac:dyDescent="0.25">
      <c r="A4270" s="1"/>
      <c r="B4270" s="1" t="s">
        <v>525</v>
      </c>
      <c r="C4270" s="32">
        <v>9378</v>
      </c>
      <c r="D4270" s="1">
        <v>23000</v>
      </c>
      <c r="E4270" s="1"/>
      <c r="F4270" s="1">
        <v>262.74</v>
      </c>
      <c r="G4270" s="1">
        <v>23000</v>
      </c>
      <c r="H4270" s="5">
        <f t="shared" si="84"/>
        <v>0</v>
      </c>
      <c r="I4270" s="6"/>
      <c r="J4270" s="43"/>
      <c r="K4270" s="51"/>
      <c r="L4270" s="86"/>
      <c r="M4270" s="280"/>
      <c r="N4270" s="280"/>
    </row>
    <row r="4271" spans="1:14" s="279" customFormat="1" ht="15" x14ac:dyDescent="0.25">
      <c r="A4271" s="1"/>
      <c r="B4271" s="1" t="s">
        <v>525</v>
      </c>
      <c r="C4271" s="32">
        <v>9705</v>
      </c>
      <c r="D4271" s="1">
        <v>15000</v>
      </c>
      <c r="E4271" s="1"/>
      <c r="F4271" s="1">
        <v>167.15</v>
      </c>
      <c r="G4271" s="1">
        <v>15000</v>
      </c>
      <c r="H4271" s="5">
        <f t="shared" si="84"/>
        <v>0</v>
      </c>
      <c r="I4271" s="6"/>
      <c r="J4271" s="43"/>
      <c r="K4271" s="51"/>
      <c r="L4271" s="86"/>
      <c r="M4271" s="280"/>
      <c r="N4271" s="280"/>
    </row>
    <row r="4272" spans="1:14" s="279" customFormat="1" ht="15" x14ac:dyDescent="0.25">
      <c r="A4272" s="1"/>
      <c r="B4272" s="1" t="s">
        <v>525</v>
      </c>
      <c r="C4272" s="32">
        <v>9172</v>
      </c>
      <c r="D4272" s="1">
        <v>13000</v>
      </c>
      <c r="E4272" s="1"/>
      <c r="F4272" s="1">
        <v>144.15</v>
      </c>
      <c r="G4272" s="1">
        <v>13000</v>
      </c>
      <c r="H4272" s="5">
        <f t="shared" si="84"/>
        <v>0</v>
      </c>
      <c r="I4272" s="6"/>
      <c r="J4272" s="43"/>
      <c r="K4272" s="51"/>
      <c r="L4272" s="86"/>
      <c r="M4272" s="280"/>
      <c r="N4272" s="280"/>
    </row>
    <row r="4273" spans="1:14" s="279" customFormat="1" ht="15" x14ac:dyDescent="0.25">
      <c r="A4273" s="1"/>
      <c r="B4273" s="1" t="s">
        <v>525</v>
      </c>
      <c r="C4273" s="32">
        <v>4115</v>
      </c>
      <c r="D4273" s="1">
        <v>28000</v>
      </c>
      <c r="E4273" s="1"/>
      <c r="F4273" s="1">
        <v>324.54000000000002</v>
      </c>
      <c r="G4273" s="1">
        <v>28000</v>
      </c>
      <c r="H4273" s="5">
        <f t="shared" si="84"/>
        <v>0</v>
      </c>
      <c r="I4273" s="6"/>
      <c r="J4273" s="43"/>
      <c r="K4273" s="51"/>
      <c r="L4273" s="86"/>
      <c r="M4273" s="280"/>
      <c r="N4273" s="280"/>
    </row>
    <row r="4274" spans="1:14" s="279" customFormat="1" ht="15" x14ac:dyDescent="0.25">
      <c r="A4274" s="1"/>
      <c r="B4274" s="1" t="s">
        <v>525</v>
      </c>
      <c r="C4274" s="32">
        <v>7.2800000000000004E-2</v>
      </c>
      <c r="D4274" s="1">
        <v>20000</v>
      </c>
      <c r="E4274" s="1"/>
      <c r="F4274" s="1">
        <v>222.78</v>
      </c>
      <c r="G4274" s="1">
        <v>20000</v>
      </c>
      <c r="H4274" s="5">
        <f t="shared" si="84"/>
        <v>0</v>
      </c>
      <c r="I4274" s="6"/>
      <c r="J4274" s="43"/>
      <c r="K4274" s="51"/>
      <c r="L4274" s="86"/>
      <c r="M4274" s="280"/>
      <c r="N4274" s="280"/>
    </row>
    <row r="4275" spans="1:14" s="279" customFormat="1" ht="15" x14ac:dyDescent="0.25">
      <c r="A4275" s="1"/>
      <c r="B4275" s="1" t="s">
        <v>525</v>
      </c>
      <c r="C4275" s="32">
        <v>9494</v>
      </c>
      <c r="D4275" s="1">
        <v>25000</v>
      </c>
      <c r="E4275" s="1"/>
      <c r="F4275" s="1">
        <v>222.78</v>
      </c>
      <c r="G4275" s="1">
        <v>25000</v>
      </c>
      <c r="H4275" s="5">
        <f t="shared" si="84"/>
        <v>0</v>
      </c>
      <c r="I4275" s="6"/>
      <c r="J4275" s="43"/>
      <c r="K4275" s="51"/>
      <c r="L4275" s="86"/>
      <c r="M4275" s="280"/>
      <c r="N4275" s="280"/>
    </row>
    <row r="4276" spans="1:14" s="279" customFormat="1" ht="15" x14ac:dyDescent="0.25">
      <c r="A4276" s="1"/>
      <c r="B4276" s="1" t="s">
        <v>525</v>
      </c>
      <c r="C4276" s="32">
        <v>1425</v>
      </c>
      <c r="D4276" s="1">
        <v>13140</v>
      </c>
      <c r="E4276" s="1"/>
      <c r="F4276" s="1">
        <v>144.87</v>
      </c>
      <c r="G4276" s="1">
        <v>13140</v>
      </c>
      <c r="H4276" s="5">
        <f t="shared" si="84"/>
        <v>0</v>
      </c>
      <c r="I4276" s="6"/>
      <c r="J4276" s="43"/>
      <c r="K4276" s="51"/>
      <c r="L4276" s="86">
        <f>2479267-2439080</f>
        <v>40187</v>
      </c>
      <c r="M4276" s="280" t="s">
        <v>524</v>
      </c>
      <c r="N4276" s="280">
        <f>40187-31956</f>
        <v>8231</v>
      </c>
    </row>
    <row r="4277" spans="1:14" s="281" customFormat="1" ht="15" x14ac:dyDescent="0.25">
      <c r="A4277" s="1"/>
      <c r="B4277" s="1" t="s">
        <v>527</v>
      </c>
      <c r="C4277" s="32">
        <v>5976</v>
      </c>
      <c r="D4277" s="1">
        <v>13000</v>
      </c>
      <c r="E4277" s="1"/>
      <c r="F4277" s="1">
        <v>144.13</v>
      </c>
      <c r="G4277" s="1">
        <v>13000</v>
      </c>
      <c r="H4277" s="5">
        <f t="shared" si="84"/>
        <v>0</v>
      </c>
      <c r="I4277" s="6"/>
      <c r="J4277" s="43"/>
      <c r="K4277" s="51"/>
      <c r="L4277" s="86"/>
      <c r="M4277" s="282"/>
      <c r="N4277" s="282"/>
    </row>
    <row r="4278" spans="1:14" s="281" customFormat="1" ht="15" x14ac:dyDescent="0.25">
      <c r="A4278" s="1"/>
      <c r="B4278" s="1" t="s">
        <v>527</v>
      </c>
      <c r="C4278" s="32">
        <v>4441</v>
      </c>
      <c r="D4278" s="1">
        <v>16000</v>
      </c>
      <c r="E4278" s="1"/>
      <c r="F4278" s="1">
        <v>178.22</v>
      </c>
      <c r="G4278" s="1">
        <v>16000</v>
      </c>
      <c r="H4278" s="5">
        <f t="shared" si="84"/>
        <v>0</v>
      </c>
      <c r="I4278" s="6"/>
      <c r="J4278" s="43"/>
      <c r="K4278" s="51"/>
      <c r="L4278" s="86"/>
      <c r="M4278" s="282"/>
      <c r="N4278" s="282"/>
    </row>
    <row r="4279" spans="1:14" s="281" customFormat="1" ht="15" x14ac:dyDescent="0.25">
      <c r="A4279" s="1"/>
      <c r="B4279" s="1" t="s">
        <v>527</v>
      </c>
      <c r="C4279" s="32">
        <v>4451</v>
      </c>
      <c r="D4279" s="1">
        <v>15000</v>
      </c>
      <c r="E4279" s="1"/>
      <c r="F4279" s="1">
        <v>167.15</v>
      </c>
      <c r="G4279" s="1">
        <v>15000</v>
      </c>
      <c r="H4279" s="5">
        <f t="shared" si="84"/>
        <v>0</v>
      </c>
      <c r="I4279" s="6"/>
      <c r="J4279" s="43"/>
      <c r="K4279" s="51"/>
      <c r="L4279" s="86"/>
      <c r="M4279" s="282"/>
      <c r="N4279" s="282"/>
    </row>
    <row r="4280" spans="1:14" s="281" customFormat="1" ht="15" x14ac:dyDescent="0.25">
      <c r="A4280" s="1"/>
      <c r="B4280" s="1" t="s">
        <v>527</v>
      </c>
      <c r="C4280" s="32">
        <v>2459</v>
      </c>
      <c r="D4280" s="1">
        <v>15000</v>
      </c>
      <c r="E4280" s="1"/>
      <c r="F4280" s="1">
        <v>167.15</v>
      </c>
      <c r="G4280" s="1">
        <v>15000</v>
      </c>
      <c r="H4280" s="5">
        <f t="shared" si="84"/>
        <v>0</v>
      </c>
      <c r="I4280" s="6"/>
      <c r="J4280" s="43"/>
      <c r="K4280" s="51"/>
      <c r="L4280" s="86"/>
      <c r="M4280" s="282"/>
      <c r="N4280" s="282"/>
    </row>
    <row r="4281" spans="1:14" s="281" customFormat="1" ht="15" x14ac:dyDescent="0.25">
      <c r="A4281" s="1"/>
      <c r="B4281" s="1" t="s">
        <v>527</v>
      </c>
      <c r="C4281" s="32">
        <v>4945</v>
      </c>
      <c r="D4281" s="1">
        <v>17000</v>
      </c>
      <c r="E4281" s="1"/>
      <c r="F4281" s="1">
        <v>192.78</v>
      </c>
      <c r="G4281" s="1">
        <v>17000</v>
      </c>
      <c r="H4281" s="5">
        <f t="shared" si="84"/>
        <v>0</v>
      </c>
      <c r="I4281" s="6"/>
      <c r="J4281" s="43"/>
      <c r="K4281" s="51"/>
      <c r="L4281" s="86"/>
      <c r="M4281" s="282"/>
      <c r="N4281" s="282"/>
    </row>
    <row r="4282" spans="1:14" s="281" customFormat="1" ht="15" x14ac:dyDescent="0.25">
      <c r="A4282" s="1"/>
      <c r="B4282" s="1" t="s">
        <v>527</v>
      </c>
      <c r="C4282" s="32">
        <v>4856</v>
      </c>
      <c r="D4282" s="1">
        <v>15000</v>
      </c>
      <c r="E4282" s="1"/>
      <c r="F4282" s="1">
        <v>167.15</v>
      </c>
      <c r="G4282" s="1">
        <v>15000</v>
      </c>
      <c r="H4282" s="5">
        <f t="shared" si="84"/>
        <v>0</v>
      </c>
      <c r="I4282" s="6"/>
      <c r="J4282" s="43"/>
      <c r="K4282" s="51"/>
      <c r="L4282" s="86"/>
      <c r="M4282" s="282"/>
      <c r="N4282" s="282"/>
    </row>
    <row r="4283" spans="1:14" s="281" customFormat="1" ht="15" x14ac:dyDescent="0.25">
      <c r="A4283" s="1"/>
      <c r="B4283" s="1" t="s">
        <v>527</v>
      </c>
      <c r="C4283" s="32">
        <v>8559</v>
      </c>
      <c r="D4283" s="1">
        <v>15000</v>
      </c>
      <c r="E4283" s="1"/>
      <c r="F4283" s="1">
        <v>167.15</v>
      </c>
      <c r="G4283" s="1">
        <v>15000</v>
      </c>
      <c r="H4283" s="5">
        <f t="shared" si="84"/>
        <v>0</v>
      </c>
      <c r="I4283" s="6"/>
      <c r="J4283" s="43"/>
      <c r="K4283" s="51"/>
      <c r="L4283" s="86"/>
      <c r="M4283" s="282"/>
      <c r="N4283" s="282"/>
    </row>
    <row r="4284" spans="1:14" s="281" customFormat="1" ht="15" x14ac:dyDescent="0.25">
      <c r="A4284" s="1"/>
      <c r="B4284" s="1" t="s">
        <v>527</v>
      </c>
      <c r="C4284" s="32">
        <v>2809</v>
      </c>
      <c r="D4284" s="1">
        <v>15000</v>
      </c>
      <c r="E4284" s="1"/>
      <c r="F4284" s="1">
        <v>167.15</v>
      </c>
      <c r="G4284" s="1">
        <v>15000</v>
      </c>
      <c r="H4284" s="5">
        <f t="shared" si="84"/>
        <v>0</v>
      </c>
      <c r="I4284" s="6"/>
      <c r="J4284" s="43"/>
      <c r="K4284" s="51"/>
      <c r="L4284" s="86"/>
      <c r="M4284" s="282"/>
      <c r="N4284" s="282"/>
    </row>
    <row r="4285" spans="1:14" s="281" customFormat="1" ht="15" x14ac:dyDescent="0.25">
      <c r="A4285" s="1"/>
      <c r="B4285" s="1" t="s">
        <v>527</v>
      </c>
      <c r="C4285" s="32">
        <v>7527</v>
      </c>
      <c r="D4285" s="1">
        <v>15000</v>
      </c>
      <c r="E4285" s="1"/>
      <c r="F4285" s="1">
        <v>167.15</v>
      </c>
      <c r="G4285" s="1">
        <v>15000</v>
      </c>
      <c r="H4285" s="5">
        <f t="shared" si="84"/>
        <v>0</v>
      </c>
      <c r="I4285" s="6"/>
      <c r="J4285" s="43"/>
      <c r="K4285" s="51"/>
      <c r="L4285" s="86"/>
      <c r="M4285" s="282"/>
      <c r="N4285" s="282"/>
    </row>
    <row r="4286" spans="1:14" s="281" customFormat="1" ht="15" x14ac:dyDescent="0.25">
      <c r="A4286" s="1"/>
      <c r="B4286" s="1" t="s">
        <v>527</v>
      </c>
      <c r="C4286" s="32" t="s">
        <v>30</v>
      </c>
      <c r="D4286" s="1">
        <v>4500</v>
      </c>
      <c r="E4286" s="1"/>
      <c r="F4286" s="1">
        <v>50.17</v>
      </c>
      <c r="G4286" s="1">
        <v>4500</v>
      </c>
      <c r="H4286" s="5">
        <f t="shared" si="84"/>
        <v>0</v>
      </c>
      <c r="I4286" s="6"/>
      <c r="J4286" s="43"/>
      <c r="K4286" s="51"/>
      <c r="L4286" s="86"/>
      <c r="M4286" s="282"/>
      <c r="N4286" s="282"/>
    </row>
    <row r="4287" spans="1:14" s="281" customFormat="1" ht="15" x14ac:dyDescent="0.25">
      <c r="A4287" s="1"/>
      <c r="B4287" s="1" t="s">
        <v>527</v>
      </c>
      <c r="C4287" s="32">
        <v>7021</v>
      </c>
      <c r="D4287" s="1">
        <v>24000</v>
      </c>
      <c r="E4287" s="1"/>
      <c r="F4287" s="1">
        <v>251.47</v>
      </c>
      <c r="G4287" s="1">
        <v>24000</v>
      </c>
      <c r="H4287" s="5">
        <f t="shared" si="84"/>
        <v>0</v>
      </c>
      <c r="I4287" s="6"/>
      <c r="J4287" s="43"/>
      <c r="K4287" s="51"/>
      <c r="L4287" s="86"/>
      <c r="M4287" s="282"/>
      <c r="N4287" s="282"/>
    </row>
    <row r="4288" spans="1:14" s="281" customFormat="1" ht="15" x14ac:dyDescent="0.25">
      <c r="A4288" s="1"/>
      <c r="B4288" s="1" t="s">
        <v>527</v>
      </c>
      <c r="C4288" s="32">
        <v>9289</v>
      </c>
      <c r="D4288" s="1">
        <v>25000</v>
      </c>
      <c r="E4288" s="1"/>
      <c r="F4288" s="1">
        <v>278.64999999999998</v>
      </c>
      <c r="G4288" s="1">
        <v>25000</v>
      </c>
      <c r="H4288" s="5">
        <f t="shared" si="84"/>
        <v>0</v>
      </c>
      <c r="I4288" s="6"/>
      <c r="J4288" s="43"/>
      <c r="K4288" s="51"/>
      <c r="L4288" s="86"/>
      <c r="M4288" s="282"/>
      <c r="N4288" s="282"/>
    </row>
    <row r="4289" spans="1:14" s="281" customFormat="1" ht="15" x14ac:dyDescent="0.25">
      <c r="A4289" s="1"/>
      <c r="B4289" s="1" t="s">
        <v>527</v>
      </c>
      <c r="C4289" s="32">
        <v>5239</v>
      </c>
      <c r="D4289" s="1">
        <v>20000</v>
      </c>
      <c r="E4289" s="1"/>
      <c r="F4289" s="1">
        <v>222.74</v>
      </c>
      <c r="G4289" s="1">
        <v>20000</v>
      </c>
      <c r="H4289" s="5">
        <f t="shared" si="84"/>
        <v>0</v>
      </c>
      <c r="I4289" s="6"/>
      <c r="J4289" s="43"/>
      <c r="K4289" s="51"/>
      <c r="L4289" s="86"/>
      <c r="M4289" s="282"/>
      <c r="N4289" s="282"/>
    </row>
    <row r="4290" spans="1:14" s="281" customFormat="1" ht="15" x14ac:dyDescent="0.25">
      <c r="A4290" s="1"/>
      <c r="B4290" s="1" t="s">
        <v>527</v>
      </c>
      <c r="C4290" s="32">
        <v>1751</v>
      </c>
      <c r="D4290" s="1">
        <v>22000</v>
      </c>
      <c r="E4290" s="1"/>
      <c r="F4290" s="1">
        <v>245.87</v>
      </c>
      <c r="G4290" s="1">
        <v>22000</v>
      </c>
      <c r="H4290" s="5">
        <f t="shared" si="84"/>
        <v>0</v>
      </c>
      <c r="I4290" s="6"/>
      <c r="J4290" s="43"/>
      <c r="K4290" s="51"/>
      <c r="L4290" s="86"/>
      <c r="M4290" s="282"/>
      <c r="N4290" s="282"/>
    </row>
    <row r="4291" spans="1:14" s="281" customFormat="1" ht="15" x14ac:dyDescent="0.25">
      <c r="A4291" s="1"/>
      <c r="B4291" s="1" t="s">
        <v>527</v>
      </c>
      <c r="C4291" s="32">
        <v>1224</v>
      </c>
      <c r="D4291" s="1">
        <v>10000</v>
      </c>
      <c r="E4291" s="1"/>
      <c r="F4291" s="1">
        <v>111.47</v>
      </c>
      <c r="G4291" s="1">
        <v>10000</v>
      </c>
      <c r="H4291" s="5">
        <f t="shared" si="84"/>
        <v>0</v>
      </c>
      <c r="I4291" s="6"/>
      <c r="J4291" s="43"/>
      <c r="K4291" s="51"/>
      <c r="L4291" s="86"/>
      <c r="M4291" s="282"/>
      <c r="N4291" s="282"/>
    </row>
    <row r="4292" spans="1:14" s="281" customFormat="1" ht="15" x14ac:dyDescent="0.25">
      <c r="A4292" s="1"/>
      <c r="B4292" s="1" t="s">
        <v>527</v>
      </c>
      <c r="C4292" s="32">
        <v>4106</v>
      </c>
      <c r="D4292" s="1">
        <v>20000</v>
      </c>
      <c r="E4292" s="1"/>
      <c r="F4292" s="1">
        <v>222.97</v>
      </c>
      <c r="G4292" s="1">
        <v>20000</v>
      </c>
      <c r="H4292" s="5">
        <f t="shared" si="84"/>
        <v>0</v>
      </c>
      <c r="I4292" s="6"/>
      <c r="J4292" s="43"/>
      <c r="K4292" s="51"/>
      <c r="L4292" s="86"/>
      <c r="M4292" s="282"/>
      <c r="N4292" s="282"/>
    </row>
    <row r="4293" spans="1:14" s="281" customFormat="1" ht="15" x14ac:dyDescent="0.25">
      <c r="A4293" s="1"/>
      <c r="B4293" s="1" t="s">
        <v>527</v>
      </c>
      <c r="C4293" s="32" t="s">
        <v>66</v>
      </c>
      <c r="D4293" s="1">
        <v>210</v>
      </c>
      <c r="E4293" s="1"/>
      <c r="F4293" s="1">
        <v>2.08</v>
      </c>
      <c r="G4293" s="1">
        <v>210</v>
      </c>
      <c r="H4293" s="5">
        <f t="shared" si="84"/>
        <v>0</v>
      </c>
      <c r="I4293" s="6"/>
      <c r="J4293" s="43"/>
      <c r="K4293" s="51"/>
      <c r="L4293" s="86"/>
      <c r="M4293" s="282"/>
      <c r="N4293" s="282"/>
    </row>
    <row r="4294" spans="1:14" s="281" customFormat="1" ht="15" x14ac:dyDescent="0.25">
      <c r="A4294" s="1"/>
      <c r="B4294" s="1" t="s">
        <v>527</v>
      </c>
      <c r="C4294" s="32">
        <v>4.1000000000000003E-3</v>
      </c>
      <c r="D4294" s="1">
        <v>23000</v>
      </c>
      <c r="E4294" s="1"/>
      <c r="F4294" s="1">
        <v>239.87</v>
      </c>
      <c r="G4294" s="1">
        <v>23000</v>
      </c>
      <c r="H4294" s="5">
        <f t="shared" si="84"/>
        <v>0</v>
      </c>
      <c r="I4294" s="6"/>
      <c r="J4294" s="43"/>
      <c r="K4294" s="51"/>
      <c r="L4294" s="86"/>
      <c r="M4294" s="282"/>
      <c r="N4294" s="282"/>
    </row>
    <row r="4295" spans="1:14" s="281" customFormat="1" ht="15" x14ac:dyDescent="0.25">
      <c r="A4295" s="1"/>
      <c r="B4295" s="1" t="s">
        <v>527</v>
      </c>
      <c r="C4295" s="32">
        <v>2807</v>
      </c>
      <c r="D4295" s="1">
        <v>16000</v>
      </c>
      <c r="E4295" s="1"/>
      <c r="F4295" s="1">
        <v>178.22</v>
      </c>
      <c r="G4295" s="1">
        <v>16000</v>
      </c>
      <c r="H4295" s="5">
        <f t="shared" si="84"/>
        <v>0</v>
      </c>
      <c r="I4295" s="6"/>
      <c r="J4295" s="43"/>
      <c r="K4295" s="51"/>
      <c r="L4295" s="86"/>
      <c r="M4295" s="282"/>
      <c r="N4295" s="282"/>
    </row>
    <row r="4296" spans="1:14" s="281" customFormat="1" ht="15" x14ac:dyDescent="0.25">
      <c r="A4296" s="1"/>
      <c r="B4296" s="1" t="s">
        <v>527</v>
      </c>
      <c r="C4296" s="32">
        <v>9500</v>
      </c>
      <c r="D4296" s="1">
        <v>24000</v>
      </c>
      <c r="E4296" s="1"/>
      <c r="F4296" s="1">
        <v>267.87</v>
      </c>
      <c r="G4296" s="1">
        <v>24000</v>
      </c>
      <c r="H4296" s="5">
        <f t="shared" si="84"/>
        <v>0</v>
      </c>
      <c r="I4296" s="6"/>
      <c r="J4296" s="43"/>
      <c r="K4296" s="51"/>
      <c r="L4296" s="86"/>
      <c r="M4296" s="282"/>
      <c r="N4296" s="282"/>
    </row>
    <row r="4297" spans="1:14" s="281" customFormat="1" ht="15" x14ac:dyDescent="0.25">
      <c r="A4297" s="1"/>
      <c r="B4297" s="1" t="s">
        <v>527</v>
      </c>
      <c r="C4297" s="32">
        <v>2779</v>
      </c>
      <c r="D4297" s="1">
        <v>22000</v>
      </c>
      <c r="E4297" s="1"/>
      <c r="F4297" s="1">
        <v>245.78</v>
      </c>
      <c r="G4297" s="1">
        <v>22000</v>
      </c>
      <c r="H4297" s="5">
        <f t="shared" si="84"/>
        <v>0</v>
      </c>
      <c r="I4297" s="6"/>
      <c r="J4297" s="43"/>
      <c r="K4297" s="51"/>
      <c r="L4297" s="86"/>
      <c r="M4297" s="282"/>
      <c r="N4297" s="282"/>
    </row>
    <row r="4298" spans="1:14" s="281" customFormat="1" ht="15" x14ac:dyDescent="0.25">
      <c r="A4298" s="1"/>
      <c r="B4298" s="1" t="s">
        <v>527</v>
      </c>
      <c r="C4298" s="32">
        <v>2806</v>
      </c>
      <c r="D4298" s="1">
        <v>15000</v>
      </c>
      <c r="E4298" s="1"/>
      <c r="F4298" s="1">
        <v>167.15</v>
      </c>
      <c r="G4298" s="1">
        <v>15000</v>
      </c>
      <c r="H4298" s="5">
        <f t="shared" si="84"/>
        <v>0</v>
      </c>
      <c r="I4298" s="6"/>
      <c r="J4298" s="43"/>
      <c r="K4298" s="51"/>
      <c r="L4298" s="86"/>
      <c r="M4298" s="282"/>
      <c r="N4298" s="282"/>
    </row>
    <row r="4299" spans="1:14" s="281" customFormat="1" ht="15" x14ac:dyDescent="0.25">
      <c r="A4299" s="1"/>
      <c r="B4299" s="1" t="s">
        <v>527</v>
      </c>
      <c r="C4299" s="32">
        <v>8719</v>
      </c>
      <c r="D4299" s="1">
        <v>33000</v>
      </c>
      <c r="E4299" s="1"/>
      <c r="F4299" s="1">
        <v>367.57</v>
      </c>
      <c r="G4299" s="1">
        <v>33000</v>
      </c>
      <c r="H4299" s="5">
        <f t="shared" si="84"/>
        <v>0</v>
      </c>
      <c r="I4299" s="6"/>
      <c r="J4299" s="43"/>
      <c r="K4299" s="51"/>
      <c r="L4299" s="86"/>
      <c r="M4299" s="282"/>
      <c r="N4299" s="282"/>
    </row>
    <row r="4300" spans="1:14" s="281" customFormat="1" ht="15" x14ac:dyDescent="0.25">
      <c r="A4300" s="1"/>
      <c r="B4300" s="1" t="s">
        <v>527</v>
      </c>
      <c r="C4300" s="32">
        <v>9356</v>
      </c>
      <c r="D4300" s="1">
        <v>28164</v>
      </c>
      <c r="E4300" s="1"/>
      <c r="F4300" s="1">
        <v>363.78</v>
      </c>
      <c r="G4300" s="1">
        <v>28164</v>
      </c>
      <c r="H4300" s="5">
        <f t="shared" si="84"/>
        <v>0</v>
      </c>
      <c r="I4300" s="6"/>
      <c r="J4300" s="43"/>
      <c r="K4300" s="51"/>
      <c r="L4300" s="86"/>
      <c r="M4300" s="282"/>
      <c r="N4300" s="282"/>
    </row>
    <row r="4301" spans="1:14" s="281" customFormat="1" ht="15" x14ac:dyDescent="0.25">
      <c r="A4301" s="1"/>
      <c r="B4301" s="1" t="s">
        <v>527</v>
      </c>
      <c r="C4301" s="32" t="s">
        <v>30</v>
      </c>
      <c r="D4301" s="1">
        <v>6000</v>
      </c>
      <c r="E4301" s="1"/>
      <c r="F4301" s="1">
        <v>66.48</v>
      </c>
      <c r="G4301" s="1">
        <v>6000</v>
      </c>
      <c r="H4301" s="5">
        <f t="shared" si="84"/>
        <v>0</v>
      </c>
      <c r="I4301" s="6"/>
      <c r="J4301" s="43"/>
      <c r="K4301" s="51"/>
      <c r="L4301" s="86"/>
      <c r="M4301" s="282"/>
      <c r="N4301" s="282"/>
    </row>
    <row r="4302" spans="1:14" s="281" customFormat="1" ht="15" x14ac:dyDescent="0.25">
      <c r="A4302" s="1"/>
      <c r="B4302" s="1" t="s">
        <v>527</v>
      </c>
      <c r="C4302" s="32">
        <v>9422</v>
      </c>
      <c r="D4302" s="1">
        <v>30000</v>
      </c>
      <c r="E4302" s="1"/>
      <c r="F4302" s="1">
        <v>334.74</v>
      </c>
      <c r="G4302" s="1">
        <v>30000</v>
      </c>
      <c r="H4302" s="5">
        <f t="shared" si="84"/>
        <v>0</v>
      </c>
      <c r="I4302" s="6"/>
      <c r="J4302" s="43"/>
      <c r="K4302" s="51"/>
      <c r="L4302" s="86"/>
      <c r="M4302" s="282"/>
      <c r="N4302" s="282"/>
    </row>
    <row r="4303" spans="1:14" s="281" customFormat="1" ht="15" x14ac:dyDescent="0.25">
      <c r="A4303" s="1"/>
      <c r="B4303" s="1" t="s">
        <v>527</v>
      </c>
      <c r="C4303" s="32">
        <v>7497</v>
      </c>
      <c r="D4303" s="1">
        <v>24000</v>
      </c>
      <c r="E4303" s="1"/>
      <c r="F4303" s="1">
        <v>251.47</v>
      </c>
      <c r="G4303" s="1">
        <v>24000</v>
      </c>
      <c r="H4303" s="5">
        <f t="shared" si="84"/>
        <v>0</v>
      </c>
      <c r="I4303" s="6"/>
      <c r="J4303" s="43"/>
      <c r="K4303" s="51"/>
      <c r="L4303" s="86"/>
      <c r="M4303" s="282"/>
      <c r="N4303" s="282"/>
    </row>
    <row r="4304" spans="1:14" s="281" customFormat="1" ht="15" x14ac:dyDescent="0.25">
      <c r="A4304" s="1"/>
      <c r="B4304" s="1" t="s">
        <v>527</v>
      </c>
      <c r="C4304" s="32">
        <v>4688</v>
      </c>
      <c r="D4304" s="1">
        <v>29000</v>
      </c>
      <c r="E4304" s="1"/>
      <c r="F4304" s="1">
        <v>323.87</v>
      </c>
      <c r="G4304" s="1">
        <v>29000</v>
      </c>
      <c r="H4304" s="5">
        <f t="shared" si="84"/>
        <v>0</v>
      </c>
      <c r="I4304" s="6"/>
      <c r="J4304" s="43"/>
      <c r="K4304" s="51"/>
      <c r="L4304" s="86"/>
      <c r="M4304" s="282"/>
      <c r="N4304" s="282"/>
    </row>
    <row r="4305" spans="1:14" s="281" customFormat="1" ht="15" x14ac:dyDescent="0.25">
      <c r="A4305" s="1"/>
      <c r="B4305" s="1" t="s">
        <v>527</v>
      </c>
      <c r="C4305" s="32">
        <v>8.6900000000000005E-2</v>
      </c>
      <c r="D4305" s="1">
        <v>25000</v>
      </c>
      <c r="E4305" s="1"/>
      <c r="F4305" s="1">
        <v>278.22000000000003</v>
      </c>
      <c r="G4305" s="1">
        <v>25000</v>
      </c>
      <c r="H4305" s="5">
        <f t="shared" si="84"/>
        <v>0</v>
      </c>
      <c r="I4305" s="6"/>
      <c r="J4305" s="43"/>
      <c r="K4305" s="51"/>
      <c r="L4305" s="86"/>
      <c r="M4305" s="282"/>
      <c r="N4305" s="282"/>
    </row>
    <row r="4306" spans="1:14" s="281" customFormat="1" ht="15" x14ac:dyDescent="0.25">
      <c r="A4306" s="1"/>
      <c r="B4306" s="1" t="s">
        <v>527</v>
      </c>
      <c r="C4306" s="32">
        <v>3497</v>
      </c>
      <c r="D4306" s="1">
        <v>19500</v>
      </c>
      <c r="E4306" s="1"/>
      <c r="F4306" s="1">
        <v>217.45</v>
      </c>
      <c r="G4306" s="1">
        <v>19500</v>
      </c>
      <c r="H4306" s="5">
        <f t="shared" si="84"/>
        <v>0</v>
      </c>
      <c r="I4306" s="6"/>
      <c r="J4306" s="43"/>
      <c r="K4306" s="51"/>
      <c r="L4306" s="86"/>
      <c r="M4306" s="282"/>
      <c r="N4306" s="282"/>
    </row>
    <row r="4307" spans="1:14" s="281" customFormat="1" ht="15" x14ac:dyDescent="0.25">
      <c r="A4307" s="1"/>
      <c r="B4307" s="1" t="s">
        <v>527</v>
      </c>
      <c r="C4307" s="32">
        <v>2528</v>
      </c>
      <c r="D4307" s="1">
        <v>20000</v>
      </c>
      <c r="E4307" s="1"/>
      <c r="F4307" s="1">
        <v>222.54</v>
      </c>
      <c r="G4307" s="1">
        <v>20000</v>
      </c>
      <c r="H4307" s="5">
        <f t="shared" si="84"/>
        <v>0</v>
      </c>
      <c r="I4307" s="6"/>
      <c r="J4307" s="43"/>
      <c r="K4307" s="51"/>
      <c r="L4307" s="86"/>
      <c r="M4307" s="282"/>
      <c r="N4307" s="282"/>
    </row>
    <row r="4308" spans="1:14" s="281" customFormat="1" ht="15" x14ac:dyDescent="0.25">
      <c r="A4308" s="1"/>
      <c r="B4308" s="1" t="s">
        <v>527</v>
      </c>
      <c r="C4308" s="32">
        <v>5847</v>
      </c>
      <c r="D4308" s="1">
        <v>28000</v>
      </c>
      <c r="E4308" s="1"/>
      <c r="F4308" s="1">
        <v>311.57</v>
      </c>
      <c r="G4308" s="1">
        <v>28000</v>
      </c>
      <c r="H4308" s="5">
        <f t="shared" si="84"/>
        <v>0</v>
      </c>
      <c r="I4308" s="6"/>
      <c r="J4308" s="43"/>
      <c r="K4308" s="51"/>
      <c r="L4308" s="86"/>
      <c r="M4308" s="282"/>
      <c r="N4308" s="282"/>
    </row>
    <row r="4309" spans="1:14" s="281" customFormat="1" ht="15" x14ac:dyDescent="0.25">
      <c r="A4309" s="1"/>
      <c r="B4309" s="1" t="s">
        <v>527</v>
      </c>
      <c r="C4309" s="32">
        <v>8228</v>
      </c>
      <c r="D4309" s="1">
        <v>30000</v>
      </c>
      <c r="E4309" s="1"/>
      <c r="F4309" s="1">
        <v>334.74</v>
      </c>
      <c r="G4309" s="1">
        <v>30000</v>
      </c>
      <c r="H4309" s="5">
        <f t="shared" si="84"/>
        <v>0</v>
      </c>
      <c r="I4309" s="6"/>
      <c r="J4309" s="43"/>
      <c r="K4309" s="51"/>
      <c r="L4309" s="86"/>
      <c r="M4309" s="282"/>
      <c r="N4309" s="282"/>
    </row>
    <row r="4310" spans="1:14" s="281" customFormat="1" ht="15" x14ac:dyDescent="0.25">
      <c r="A4310" s="1"/>
      <c r="B4310" s="1" t="s">
        <v>528</v>
      </c>
      <c r="C4310" s="32">
        <v>4315</v>
      </c>
      <c r="D4310" s="1">
        <v>15000</v>
      </c>
      <c r="E4310" s="1"/>
      <c r="F4310" s="1">
        <v>167.15</v>
      </c>
      <c r="G4310" s="1">
        <v>15000</v>
      </c>
      <c r="H4310" s="5">
        <f t="shared" si="84"/>
        <v>0</v>
      </c>
      <c r="I4310" s="6"/>
      <c r="J4310" s="43"/>
      <c r="K4310" s="51"/>
      <c r="L4310" s="86"/>
      <c r="M4310" s="282"/>
      <c r="N4310" s="282"/>
    </row>
    <row r="4311" spans="1:14" s="281" customFormat="1" ht="15" x14ac:dyDescent="0.25">
      <c r="A4311" s="1"/>
      <c r="B4311" s="1" t="s">
        <v>528</v>
      </c>
      <c r="C4311" s="32" t="s">
        <v>63</v>
      </c>
      <c r="D4311" s="1">
        <v>2500</v>
      </c>
      <c r="E4311" s="1"/>
      <c r="F4311" s="1">
        <v>27.48</v>
      </c>
      <c r="G4311" s="1">
        <v>2500</v>
      </c>
      <c r="H4311" s="5">
        <f t="shared" si="84"/>
        <v>0</v>
      </c>
      <c r="I4311" s="6"/>
      <c r="J4311" s="43"/>
      <c r="K4311" s="51"/>
      <c r="L4311" s="86"/>
      <c r="M4311" s="282"/>
      <c r="N4311" s="282"/>
    </row>
    <row r="4312" spans="1:14" s="281" customFormat="1" ht="15" x14ac:dyDescent="0.25">
      <c r="A4312" s="1"/>
      <c r="B4312" s="1" t="s">
        <v>528</v>
      </c>
      <c r="C4312" s="32">
        <v>4059</v>
      </c>
      <c r="D4312" s="1">
        <v>15000</v>
      </c>
      <c r="E4312" s="1"/>
      <c r="F4312" s="1">
        <v>167.15</v>
      </c>
      <c r="G4312" s="1">
        <v>15000</v>
      </c>
      <c r="H4312" s="5">
        <f t="shared" si="84"/>
        <v>0</v>
      </c>
      <c r="I4312" s="6"/>
      <c r="J4312" s="43"/>
      <c r="K4312" s="51"/>
      <c r="L4312" s="86"/>
      <c r="M4312" s="282"/>
      <c r="N4312" s="282"/>
    </row>
    <row r="4313" spans="1:14" s="281" customFormat="1" ht="15" x14ac:dyDescent="0.25">
      <c r="A4313" s="1"/>
      <c r="B4313" s="1" t="s">
        <v>528</v>
      </c>
      <c r="C4313" s="32">
        <v>9360</v>
      </c>
      <c r="D4313" s="1">
        <v>14000</v>
      </c>
      <c r="E4313" s="1"/>
      <c r="F4313" s="1">
        <v>156.47999999999999</v>
      </c>
      <c r="G4313" s="1">
        <v>14000</v>
      </c>
      <c r="H4313" s="5">
        <f t="shared" si="84"/>
        <v>0</v>
      </c>
      <c r="I4313" s="6"/>
      <c r="J4313" s="43"/>
      <c r="K4313" s="51"/>
      <c r="L4313" s="86"/>
      <c r="M4313" s="282"/>
      <c r="N4313" s="282"/>
    </row>
    <row r="4314" spans="1:14" s="281" customFormat="1" ht="15" x14ac:dyDescent="0.25">
      <c r="A4314" s="1"/>
      <c r="B4314" s="1" t="s">
        <v>528</v>
      </c>
      <c r="C4314" s="32">
        <v>6659</v>
      </c>
      <c r="D4314" s="1">
        <v>16000</v>
      </c>
      <c r="E4314" s="1"/>
      <c r="F4314" s="1">
        <v>178.22</v>
      </c>
      <c r="G4314" s="1">
        <v>16000</v>
      </c>
      <c r="H4314" s="5">
        <f t="shared" si="84"/>
        <v>0</v>
      </c>
      <c r="I4314" s="6"/>
      <c r="J4314" s="43"/>
      <c r="K4314" s="51"/>
      <c r="L4314" s="86"/>
      <c r="M4314" s="282"/>
      <c r="N4314" s="282"/>
    </row>
    <row r="4315" spans="1:14" s="281" customFormat="1" ht="15" x14ac:dyDescent="0.25">
      <c r="A4315" s="1"/>
      <c r="B4315" s="1" t="s">
        <v>528</v>
      </c>
      <c r="C4315" s="32">
        <v>5077</v>
      </c>
      <c r="D4315" s="1">
        <v>15000</v>
      </c>
      <c r="E4315" s="1"/>
      <c r="F4315" s="1">
        <v>167.15</v>
      </c>
      <c r="G4315" s="1">
        <v>15000</v>
      </c>
      <c r="H4315" s="5">
        <f t="shared" si="84"/>
        <v>0</v>
      </c>
      <c r="I4315" s="6"/>
      <c r="J4315" s="43"/>
      <c r="K4315" s="51"/>
      <c r="L4315" s="86"/>
      <c r="M4315" s="282"/>
      <c r="N4315" s="282"/>
    </row>
    <row r="4316" spans="1:14" s="281" customFormat="1" ht="15" x14ac:dyDescent="0.25">
      <c r="A4316" s="1"/>
      <c r="B4316" s="1" t="s">
        <v>528</v>
      </c>
      <c r="C4316" s="32">
        <v>6573</v>
      </c>
      <c r="D4316" s="1">
        <v>15000</v>
      </c>
      <c r="E4316" s="1"/>
      <c r="F4316" s="1">
        <v>167.15</v>
      </c>
      <c r="G4316" s="1">
        <v>15000</v>
      </c>
      <c r="H4316" s="5">
        <f t="shared" si="84"/>
        <v>0</v>
      </c>
      <c r="I4316" s="6"/>
      <c r="J4316" s="43"/>
      <c r="K4316" s="51"/>
      <c r="L4316" s="86"/>
      <c r="M4316" s="282"/>
      <c r="N4316" s="282"/>
    </row>
    <row r="4317" spans="1:14" s="281" customFormat="1" ht="15" x14ac:dyDescent="0.25">
      <c r="A4317" s="1"/>
      <c r="B4317" s="1" t="s">
        <v>528</v>
      </c>
      <c r="C4317" s="32">
        <v>9906</v>
      </c>
      <c r="D4317" s="1">
        <v>20000</v>
      </c>
      <c r="E4317" s="1"/>
      <c r="F4317" s="1">
        <v>222.54</v>
      </c>
      <c r="G4317" s="1">
        <v>20000</v>
      </c>
      <c r="H4317" s="5">
        <f t="shared" si="84"/>
        <v>0</v>
      </c>
      <c r="I4317" s="6"/>
      <c r="J4317" s="43"/>
      <c r="K4317" s="51"/>
      <c r="L4317" s="86"/>
      <c r="M4317" s="282"/>
      <c r="N4317" s="282"/>
    </row>
    <row r="4318" spans="1:14" s="281" customFormat="1" ht="15" x14ac:dyDescent="0.25">
      <c r="A4318" s="1"/>
      <c r="B4318" s="1" t="s">
        <v>528</v>
      </c>
      <c r="C4318" s="32" t="s">
        <v>30</v>
      </c>
      <c r="D4318" s="1">
        <v>5000</v>
      </c>
      <c r="E4318" s="1"/>
      <c r="F4318" s="1">
        <v>55.45</v>
      </c>
      <c r="G4318" s="1">
        <v>5000</v>
      </c>
      <c r="H4318" s="5">
        <f t="shared" si="84"/>
        <v>0</v>
      </c>
      <c r="I4318" s="6"/>
      <c r="J4318" s="43"/>
      <c r="K4318" s="51"/>
      <c r="L4318" s="86"/>
      <c r="M4318" s="282"/>
      <c r="N4318" s="282"/>
    </row>
    <row r="4319" spans="1:14" s="281" customFormat="1" ht="15" x14ac:dyDescent="0.25">
      <c r="A4319" s="1"/>
      <c r="B4319" s="1" t="s">
        <v>528</v>
      </c>
      <c r="C4319" s="32">
        <v>4058</v>
      </c>
      <c r="D4319" s="1">
        <v>15000</v>
      </c>
      <c r="E4319" s="1"/>
      <c r="F4319" s="1">
        <v>167.15</v>
      </c>
      <c r="G4319" s="1">
        <v>15000</v>
      </c>
      <c r="H4319" s="5">
        <f t="shared" si="84"/>
        <v>0</v>
      </c>
      <c r="I4319" s="6"/>
      <c r="J4319" s="43"/>
      <c r="K4319" s="51"/>
      <c r="L4319" s="86"/>
      <c r="M4319" s="282"/>
      <c r="N4319" s="282"/>
    </row>
    <row r="4320" spans="1:14" s="281" customFormat="1" ht="15" x14ac:dyDescent="0.25">
      <c r="A4320" s="1"/>
      <c r="B4320" s="1" t="s">
        <v>528</v>
      </c>
      <c r="C4320" s="32">
        <v>2673</v>
      </c>
      <c r="D4320" s="1">
        <v>15000</v>
      </c>
      <c r="E4320" s="1"/>
      <c r="F4320" s="1">
        <v>167.15</v>
      </c>
      <c r="G4320" s="1">
        <v>15000</v>
      </c>
      <c r="H4320" s="5">
        <f t="shared" ref="H4320:H4383" si="85">D4320-G4320</f>
        <v>0</v>
      </c>
      <c r="I4320" s="6"/>
      <c r="J4320" s="43"/>
      <c r="K4320" s="51"/>
      <c r="L4320" s="86"/>
      <c r="M4320" s="282"/>
      <c r="N4320" s="282"/>
    </row>
    <row r="4321" spans="1:14" s="281" customFormat="1" ht="15" x14ac:dyDescent="0.25">
      <c r="A4321" s="1"/>
      <c r="B4321" s="1" t="s">
        <v>528</v>
      </c>
      <c r="C4321" s="32">
        <v>5.1000000000000004E-3</v>
      </c>
      <c r="D4321" s="1">
        <v>16000</v>
      </c>
      <c r="E4321" s="1"/>
      <c r="F4321" s="1">
        <v>178.22</v>
      </c>
      <c r="G4321" s="1">
        <v>16000</v>
      </c>
      <c r="H4321" s="5">
        <f t="shared" si="85"/>
        <v>0</v>
      </c>
      <c r="I4321" s="6"/>
      <c r="J4321" s="43"/>
      <c r="K4321" s="51"/>
      <c r="L4321" s="86"/>
      <c r="M4321" s="282"/>
      <c r="N4321" s="282"/>
    </row>
    <row r="4322" spans="1:14" s="281" customFormat="1" ht="15" x14ac:dyDescent="0.25">
      <c r="A4322" s="1"/>
      <c r="B4322" s="1" t="s">
        <v>528</v>
      </c>
      <c r="C4322" s="32">
        <v>8109</v>
      </c>
      <c r="D4322" s="1">
        <v>28000</v>
      </c>
      <c r="E4322" s="1"/>
      <c r="F4322" s="1">
        <v>311.48</v>
      </c>
      <c r="G4322" s="1">
        <v>28000</v>
      </c>
      <c r="H4322" s="5">
        <f t="shared" si="85"/>
        <v>0</v>
      </c>
      <c r="I4322" s="6"/>
      <c r="J4322" s="43"/>
      <c r="K4322" s="51"/>
      <c r="L4322" s="86"/>
      <c r="M4322" s="282"/>
      <c r="N4322" s="282"/>
    </row>
    <row r="4323" spans="1:14" s="281" customFormat="1" ht="15" x14ac:dyDescent="0.25">
      <c r="A4323" s="1"/>
      <c r="B4323" s="1" t="s">
        <v>528</v>
      </c>
      <c r="C4323" s="32">
        <v>1.54E-2</v>
      </c>
      <c r="D4323" s="1">
        <v>25000</v>
      </c>
      <c r="E4323" s="1"/>
      <c r="F4323" s="1">
        <v>278.22000000000003</v>
      </c>
      <c r="G4323" s="1">
        <v>25000</v>
      </c>
      <c r="H4323" s="5">
        <f t="shared" si="85"/>
        <v>0</v>
      </c>
      <c r="I4323" s="6"/>
      <c r="J4323" s="43"/>
      <c r="K4323" s="51"/>
      <c r="L4323" s="86"/>
      <c r="M4323" s="282"/>
      <c r="N4323" s="282"/>
    </row>
    <row r="4324" spans="1:14" s="281" customFormat="1" ht="15" x14ac:dyDescent="0.25">
      <c r="A4324" s="1"/>
      <c r="B4324" s="1" t="s">
        <v>528</v>
      </c>
      <c r="C4324" s="32">
        <v>7365</v>
      </c>
      <c r="D4324" s="1">
        <v>22000</v>
      </c>
      <c r="E4324" s="1"/>
      <c r="F4324" s="1">
        <v>247.64</v>
      </c>
      <c r="G4324" s="1">
        <v>22000</v>
      </c>
      <c r="H4324" s="5">
        <f t="shared" si="85"/>
        <v>0</v>
      </c>
      <c r="I4324" s="6"/>
      <c r="J4324" s="43"/>
      <c r="K4324" s="51"/>
      <c r="L4324" s="86"/>
      <c r="M4324" s="282"/>
      <c r="N4324" s="282"/>
    </row>
    <row r="4325" spans="1:14" s="281" customFormat="1" ht="15" x14ac:dyDescent="0.25">
      <c r="A4325" s="1"/>
      <c r="B4325" s="1" t="s">
        <v>528</v>
      </c>
      <c r="C4325" s="32">
        <v>1910</v>
      </c>
      <c r="D4325" s="1">
        <v>25000</v>
      </c>
      <c r="E4325" s="1"/>
      <c r="F4325" s="1">
        <v>278.22000000000003</v>
      </c>
      <c r="G4325" s="1">
        <v>25000</v>
      </c>
      <c r="H4325" s="5">
        <f t="shared" si="85"/>
        <v>0</v>
      </c>
      <c r="I4325" s="6"/>
      <c r="J4325" s="43"/>
      <c r="K4325" s="51"/>
      <c r="L4325" s="86"/>
      <c r="M4325" s="282"/>
      <c r="N4325" s="282"/>
    </row>
    <row r="4326" spans="1:14" s="281" customFormat="1" ht="15" x14ac:dyDescent="0.25">
      <c r="A4326" s="1"/>
      <c r="B4326" s="1" t="s">
        <v>528</v>
      </c>
      <c r="C4326" s="32">
        <v>7615</v>
      </c>
      <c r="D4326" s="1">
        <v>30000</v>
      </c>
      <c r="E4326" s="1"/>
      <c r="F4326" s="1">
        <v>334.74</v>
      </c>
      <c r="G4326" s="1">
        <v>30000</v>
      </c>
      <c r="H4326" s="5">
        <f t="shared" si="85"/>
        <v>0</v>
      </c>
      <c r="I4326" s="6"/>
      <c r="J4326" s="43"/>
      <c r="K4326" s="51"/>
      <c r="L4326" s="86"/>
      <c r="M4326" s="282"/>
      <c r="N4326" s="282"/>
    </row>
    <row r="4327" spans="1:14" s="281" customFormat="1" ht="15" x14ac:dyDescent="0.25">
      <c r="A4327" s="1"/>
      <c r="B4327" s="1" t="s">
        <v>528</v>
      </c>
      <c r="C4327" s="32">
        <v>3317</v>
      </c>
      <c r="D4327" s="1">
        <v>30000</v>
      </c>
      <c r="E4327" s="1"/>
      <c r="F4327" s="1">
        <v>334.74</v>
      </c>
      <c r="G4327" s="1">
        <v>30000</v>
      </c>
      <c r="H4327" s="5">
        <f t="shared" si="85"/>
        <v>0</v>
      </c>
      <c r="I4327" s="6"/>
      <c r="J4327" s="43"/>
      <c r="K4327" s="51"/>
      <c r="L4327" s="86"/>
      <c r="M4327" s="282"/>
      <c r="N4327" s="282"/>
    </row>
    <row r="4328" spans="1:14" s="281" customFormat="1" ht="15" x14ac:dyDescent="0.25">
      <c r="A4328" s="1"/>
      <c r="B4328" s="1" t="s">
        <v>528</v>
      </c>
      <c r="C4328" s="32">
        <v>8784</v>
      </c>
      <c r="D4328" s="1">
        <v>30000</v>
      </c>
      <c r="E4328" s="1"/>
      <c r="F4328" s="1">
        <v>334.74</v>
      </c>
      <c r="G4328" s="1">
        <v>30000</v>
      </c>
      <c r="H4328" s="5">
        <f t="shared" si="85"/>
        <v>0</v>
      </c>
      <c r="I4328" s="6"/>
      <c r="J4328" s="43"/>
      <c r="K4328" s="51"/>
      <c r="L4328" s="86"/>
      <c r="M4328" s="282"/>
      <c r="N4328" s="282"/>
    </row>
    <row r="4329" spans="1:14" s="281" customFormat="1" ht="15" x14ac:dyDescent="0.25">
      <c r="A4329" s="1"/>
      <c r="B4329" s="1" t="s">
        <v>528</v>
      </c>
      <c r="C4329" s="32">
        <v>7.1099999999999997E-2</v>
      </c>
      <c r="D4329" s="1">
        <v>30000</v>
      </c>
      <c r="E4329" s="1"/>
      <c r="F4329" s="1">
        <v>334.74</v>
      </c>
      <c r="G4329" s="1">
        <v>30000</v>
      </c>
      <c r="H4329" s="5">
        <f t="shared" si="85"/>
        <v>0</v>
      </c>
      <c r="I4329" s="6"/>
      <c r="J4329" s="43"/>
      <c r="K4329" s="51"/>
      <c r="L4329" s="86"/>
      <c r="M4329" s="282"/>
      <c r="N4329" s="282"/>
    </row>
    <row r="4330" spans="1:14" s="281" customFormat="1" ht="15" x14ac:dyDescent="0.25">
      <c r="A4330" s="1"/>
      <c r="B4330" s="1" t="s">
        <v>528</v>
      </c>
      <c r="C4330" s="32">
        <v>5.7799999999999997E-2</v>
      </c>
      <c r="D4330" s="1">
        <v>21000</v>
      </c>
      <c r="E4330" s="1"/>
      <c r="F4330" s="1">
        <v>233.57</v>
      </c>
      <c r="G4330" s="1">
        <v>21000</v>
      </c>
      <c r="H4330" s="5">
        <f t="shared" si="85"/>
        <v>0</v>
      </c>
      <c r="I4330" s="6"/>
      <c r="J4330" s="43"/>
      <c r="K4330" s="51"/>
      <c r="L4330" s="86"/>
      <c r="M4330" s="282"/>
      <c r="N4330" s="282"/>
    </row>
    <row r="4331" spans="1:14" s="281" customFormat="1" ht="15" x14ac:dyDescent="0.25">
      <c r="A4331" s="1"/>
      <c r="B4331" s="1" t="s">
        <v>528</v>
      </c>
      <c r="C4331" s="32">
        <v>6393</v>
      </c>
      <c r="D4331" s="1">
        <v>20000</v>
      </c>
      <c r="E4331" s="1"/>
      <c r="F4331" s="1">
        <v>232.57</v>
      </c>
      <c r="G4331" s="1">
        <v>20000</v>
      </c>
      <c r="H4331" s="5">
        <f t="shared" si="85"/>
        <v>0</v>
      </c>
      <c r="I4331" s="6"/>
      <c r="J4331" s="43"/>
      <c r="K4331" s="51"/>
      <c r="L4331" s="86"/>
      <c r="M4331" s="282"/>
      <c r="N4331" s="282"/>
    </row>
    <row r="4332" spans="1:14" s="281" customFormat="1" ht="15" x14ac:dyDescent="0.25">
      <c r="A4332" s="1"/>
      <c r="B4332" s="1" t="s">
        <v>528</v>
      </c>
      <c r="C4332" s="32">
        <v>5.7000000000000002E-3</v>
      </c>
      <c r="D4332" s="1">
        <v>20000</v>
      </c>
      <c r="E4332" s="1"/>
      <c r="F4332" s="1">
        <v>278.22000000000003</v>
      </c>
      <c r="G4332" s="1">
        <v>20000</v>
      </c>
      <c r="H4332" s="5">
        <f t="shared" si="85"/>
        <v>0</v>
      </c>
      <c r="I4332" s="6"/>
      <c r="J4332" s="43"/>
      <c r="K4332" s="51"/>
      <c r="L4332" s="86"/>
      <c r="M4332" s="282"/>
      <c r="N4332" s="282"/>
    </row>
    <row r="4333" spans="1:14" s="281" customFormat="1" ht="15" x14ac:dyDescent="0.25">
      <c r="A4333" s="1"/>
      <c r="B4333" s="1" t="s">
        <v>528</v>
      </c>
      <c r="C4333" s="32">
        <v>9383</v>
      </c>
      <c r="D4333" s="1">
        <v>30000</v>
      </c>
      <c r="E4333" s="1"/>
      <c r="F4333" s="1">
        <v>334.74</v>
      </c>
      <c r="G4333" s="1">
        <v>30000</v>
      </c>
      <c r="H4333" s="5">
        <f t="shared" si="85"/>
        <v>0</v>
      </c>
      <c r="I4333" s="6"/>
      <c r="J4333" s="43"/>
      <c r="K4333" s="51"/>
      <c r="L4333" s="86"/>
      <c r="M4333" s="282"/>
      <c r="N4333" s="282"/>
    </row>
    <row r="4334" spans="1:14" s="281" customFormat="1" ht="15" x14ac:dyDescent="0.25">
      <c r="A4334" s="1"/>
      <c r="B4334" s="1" t="s">
        <v>528</v>
      </c>
      <c r="C4334" s="32">
        <v>3330</v>
      </c>
      <c r="D4334" s="1">
        <v>19000</v>
      </c>
      <c r="E4334" s="1"/>
      <c r="F4334" s="1">
        <v>257.54000000000002</v>
      </c>
      <c r="G4334" s="1">
        <v>19000</v>
      </c>
      <c r="H4334" s="5">
        <f t="shared" si="85"/>
        <v>0</v>
      </c>
      <c r="I4334" s="6"/>
      <c r="J4334" s="43"/>
      <c r="K4334" s="51"/>
      <c r="L4334" s="86"/>
      <c r="M4334" s="282"/>
      <c r="N4334" s="282"/>
    </row>
    <row r="4335" spans="1:14" s="281" customFormat="1" ht="15" x14ac:dyDescent="0.25">
      <c r="A4335" s="1"/>
      <c r="B4335" s="1" t="s">
        <v>528</v>
      </c>
      <c r="C4335" s="32">
        <v>3505</v>
      </c>
      <c r="D4335" s="1">
        <v>20000</v>
      </c>
      <c r="E4335" s="1"/>
      <c r="F4335" s="1">
        <v>278.22000000000003</v>
      </c>
      <c r="G4335" s="1">
        <v>20000</v>
      </c>
      <c r="H4335" s="5">
        <f t="shared" si="85"/>
        <v>0</v>
      </c>
      <c r="I4335" s="6"/>
      <c r="J4335" s="43"/>
      <c r="K4335" s="51"/>
      <c r="L4335" s="86"/>
      <c r="M4335" s="282"/>
      <c r="N4335" s="282"/>
    </row>
    <row r="4336" spans="1:14" s="281" customFormat="1" ht="15" x14ac:dyDescent="0.25">
      <c r="A4336" s="1"/>
      <c r="B4336" s="1" t="s">
        <v>528</v>
      </c>
      <c r="C4336" s="32">
        <v>8676</v>
      </c>
      <c r="D4336" s="1">
        <v>21000</v>
      </c>
      <c r="E4336" s="1"/>
      <c r="F4336" s="1">
        <v>233.57</v>
      </c>
      <c r="G4336" s="1">
        <v>21000</v>
      </c>
      <c r="H4336" s="5">
        <f t="shared" si="85"/>
        <v>0</v>
      </c>
      <c r="I4336" s="6"/>
      <c r="J4336" s="43"/>
      <c r="K4336" s="51"/>
      <c r="L4336" s="86"/>
      <c r="M4336" s="282"/>
      <c r="N4336" s="282"/>
    </row>
    <row r="4337" spans="1:14" s="281" customFormat="1" ht="15" x14ac:dyDescent="0.25">
      <c r="A4337" s="1"/>
      <c r="B4337" s="1" t="s">
        <v>528</v>
      </c>
      <c r="C4337" s="32">
        <v>9701</v>
      </c>
      <c r="D4337" s="1">
        <v>20000</v>
      </c>
      <c r="E4337" s="1"/>
      <c r="F4337" s="1">
        <v>222.74</v>
      </c>
      <c r="G4337" s="1">
        <v>20000</v>
      </c>
      <c r="H4337" s="5">
        <f t="shared" si="85"/>
        <v>0</v>
      </c>
      <c r="I4337" s="6"/>
      <c r="J4337" s="43"/>
      <c r="K4337" s="51"/>
      <c r="L4337" s="86"/>
      <c r="M4337" s="282"/>
      <c r="N4337" s="282"/>
    </row>
    <row r="4338" spans="1:14" s="281" customFormat="1" ht="15" x14ac:dyDescent="0.25">
      <c r="A4338" s="1"/>
      <c r="B4338" s="1" t="s">
        <v>528</v>
      </c>
      <c r="C4338" s="32">
        <v>7605</v>
      </c>
      <c r="D4338" s="1">
        <v>25000</v>
      </c>
      <c r="E4338" s="1"/>
      <c r="F4338" s="1">
        <v>278.22000000000003</v>
      </c>
      <c r="G4338" s="1">
        <v>25000</v>
      </c>
      <c r="H4338" s="5">
        <f t="shared" si="85"/>
        <v>0</v>
      </c>
      <c r="I4338" s="6"/>
      <c r="J4338" s="43"/>
      <c r="K4338" s="51"/>
      <c r="L4338" s="86"/>
      <c r="M4338" s="282"/>
      <c r="N4338" s="282"/>
    </row>
    <row r="4339" spans="1:14" s="281" customFormat="1" ht="15" x14ac:dyDescent="0.25">
      <c r="A4339" s="1"/>
      <c r="B4339" s="1" t="s">
        <v>528</v>
      </c>
      <c r="C4339" s="32">
        <v>7877</v>
      </c>
      <c r="D4339" s="1">
        <v>25021</v>
      </c>
      <c r="E4339" s="1"/>
      <c r="F4339" s="1">
        <v>278.54000000000002</v>
      </c>
      <c r="G4339" s="1">
        <v>25021</v>
      </c>
      <c r="H4339" s="5">
        <f t="shared" si="85"/>
        <v>0</v>
      </c>
      <c r="I4339" s="6"/>
      <c r="J4339" s="43"/>
      <c r="K4339" s="51"/>
      <c r="L4339" s="86"/>
      <c r="M4339" s="282"/>
      <c r="N4339" s="282"/>
    </row>
    <row r="4340" spans="1:14" s="281" customFormat="1" ht="15" x14ac:dyDescent="0.25">
      <c r="A4340" s="1"/>
      <c r="B4340" s="1" t="s">
        <v>528</v>
      </c>
      <c r="C4340" s="32">
        <v>6777</v>
      </c>
      <c r="D4340" s="1">
        <v>23210</v>
      </c>
      <c r="E4340" s="1"/>
      <c r="F4340" s="1">
        <v>258.97000000000003</v>
      </c>
      <c r="G4340" s="1">
        <v>23210</v>
      </c>
      <c r="H4340" s="5">
        <f t="shared" si="85"/>
        <v>0</v>
      </c>
      <c r="I4340" s="6"/>
      <c r="J4340" s="43"/>
      <c r="K4340" s="51"/>
      <c r="L4340" s="86">
        <f>2941372-2901185</f>
        <v>40187</v>
      </c>
      <c r="M4340" s="282" t="s">
        <v>524</v>
      </c>
      <c r="N4340" s="282">
        <f>40187-31956</f>
        <v>8231</v>
      </c>
    </row>
    <row r="4341" spans="1:14" s="283" customFormat="1" ht="15" x14ac:dyDescent="0.25">
      <c r="A4341" s="1"/>
      <c r="B4341" s="1" t="s">
        <v>530</v>
      </c>
      <c r="C4341" s="32" t="s">
        <v>30</v>
      </c>
      <c r="D4341" s="1">
        <v>4500</v>
      </c>
      <c r="E4341" s="1"/>
      <c r="F4341" s="1">
        <v>50.15</v>
      </c>
      <c r="G4341" s="1">
        <v>4500</v>
      </c>
      <c r="H4341" s="5">
        <f t="shared" si="85"/>
        <v>0</v>
      </c>
      <c r="I4341" s="6"/>
      <c r="J4341" s="43"/>
      <c r="K4341" s="51"/>
      <c r="L4341" s="86"/>
      <c r="M4341" s="284"/>
      <c r="N4341" s="284"/>
    </row>
    <row r="4342" spans="1:14" s="283" customFormat="1" ht="15" x14ac:dyDescent="0.25">
      <c r="A4342" s="1"/>
      <c r="B4342" s="1" t="s">
        <v>530</v>
      </c>
      <c r="C4342" s="32">
        <v>5931</v>
      </c>
      <c r="D4342" s="1">
        <v>16000</v>
      </c>
      <c r="E4342" s="1"/>
      <c r="F4342" s="1">
        <v>178.22</v>
      </c>
      <c r="G4342" s="1">
        <v>16000</v>
      </c>
      <c r="H4342" s="5">
        <f t="shared" si="85"/>
        <v>0</v>
      </c>
      <c r="I4342" s="6"/>
      <c r="J4342" s="43"/>
      <c r="K4342" s="51"/>
      <c r="L4342" s="86"/>
      <c r="M4342" s="284"/>
      <c r="N4342" s="284"/>
    </row>
    <row r="4343" spans="1:14" s="283" customFormat="1" ht="15" x14ac:dyDescent="0.25">
      <c r="A4343" s="1"/>
      <c r="B4343" s="1" t="s">
        <v>530</v>
      </c>
      <c r="C4343" s="32">
        <v>3558</v>
      </c>
      <c r="D4343" s="1">
        <v>30000</v>
      </c>
      <c r="E4343" s="1"/>
      <c r="F4343" s="1">
        <v>334.74</v>
      </c>
      <c r="G4343" s="1">
        <v>30000</v>
      </c>
      <c r="H4343" s="5">
        <f t="shared" si="85"/>
        <v>0</v>
      </c>
      <c r="I4343" s="6"/>
      <c r="J4343" s="43"/>
      <c r="K4343" s="51"/>
      <c r="L4343" s="86"/>
      <c r="M4343" s="284"/>
      <c r="N4343" s="284"/>
    </row>
    <row r="4344" spans="1:14" s="283" customFormat="1" ht="15" x14ac:dyDescent="0.25">
      <c r="A4344" s="1"/>
      <c r="B4344" s="1" t="s">
        <v>530</v>
      </c>
      <c r="C4344" s="32">
        <v>2295</v>
      </c>
      <c r="D4344" s="1">
        <v>30000</v>
      </c>
      <c r="E4344" s="1"/>
      <c r="F4344" s="1">
        <v>334.74</v>
      </c>
      <c r="G4344" s="1">
        <v>30000</v>
      </c>
      <c r="H4344" s="5">
        <f t="shared" si="85"/>
        <v>0</v>
      </c>
      <c r="I4344" s="6"/>
      <c r="J4344" s="43"/>
      <c r="K4344" s="51"/>
      <c r="L4344" s="86"/>
      <c r="M4344" s="284"/>
      <c r="N4344" s="284"/>
    </row>
    <row r="4345" spans="1:14" s="283" customFormat="1" ht="15" x14ac:dyDescent="0.25">
      <c r="A4345" s="1"/>
      <c r="B4345" s="1" t="s">
        <v>530</v>
      </c>
      <c r="C4345" s="32">
        <v>5278</v>
      </c>
      <c r="D4345" s="1">
        <v>20000</v>
      </c>
      <c r="E4345" s="1"/>
      <c r="F4345" s="1">
        <v>278.22000000000003</v>
      </c>
      <c r="G4345" s="1">
        <v>20000</v>
      </c>
      <c r="H4345" s="5">
        <f t="shared" si="85"/>
        <v>0</v>
      </c>
      <c r="I4345" s="6"/>
      <c r="J4345" s="43"/>
      <c r="K4345" s="51"/>
      <c r="L4345" s="86"/>
      <c r="M4345" s="284"/>
      <c r="N4345" s="284"/>
    </row>
    <row r="4346" spans="1:14" s="283" customFormat="1" ht="15" x14ac:dyDescent="0.25">
      <c r="A4346" s="1"/>
      <c r="B4346" s="1" t="s">
        <v>530</v>
      </c>
      <c r="C4346" s="32">
        <v>3247</v>
      </c>
      <c r="D4346" s="1">
        <v>20000</v>
      </c>
      <c r="E4346" s="1"/>
      <c r="F4346" s="1">
        <v>278.22000000000003</v>
      </c>
      <c r="G4346" s="1">
        <v>20000</v>
      </c>
      <c r="H4346" s="5">
        <f t="shared" si="85"/>
        <v>0</v>
      </c>
      <c r="I4346" s="6"/>
      <c r="J4346" s="43"/>
      <c r="K4346" s="51"/>
      <c r="L4346" s="86"/>
      <c r="M4346" s="284"/>
      <c r="N4346" s="284"/>
    </row>
    <row r="4347" spans="1:14" s="283" customFormat="1" ht="15" x14ac:dyDescent="0.25">
      <c r="A4347" s="1"/>
      <c r="B4347" s="1" t="s">
        <v>530</v>
      </c>
      <c r="C4347" s="32">
        <v>8288</v>
      </c>
      <c r="D4347" s="1">
        <v>20000</v>
      </c>
      <c r="E4347" s="1"/>
      <c r="F4347" s="1">
        <v>278.22000000000003</v>
      </c>
      <c r="G4347" s="1">
        <v>20000</v>
      </c>
      <c r="H4347" s="5">
        <f t="shared" si="85"/>
        <v>0</v>
      </c>
      <c r="I4347" s="6"/>
      <c r="J4347" s="43"/>
      <c r="K4347" s="51"/>
      <c r="L4347" s="86"/>
      <c r="M4347" s="284"/>
      <c r="N4347" s="284"/>
    </row>
    <row r="4348" spans="1:14" s="283" customFormat="1" ht="15" x14ac:dyDescent="0.25">
      <c r="A4348" s="1"/>
      <c r="B4348" s="1" t="s">
        <v>530</v>
      </c>
      <c r="C4348" s="32">
        <v>8154</v>
      </c>
      <c r="D4348" s="1">
        <v>26000</v>
      </c>
      <c r="E4348" s="1"/>
      <c r="F4348" s="1">
        <v>289.74</v>
      </c>
      <c r="G4348" s="1">
        <v>26000</v>
      </c>
      <c r="H4348" s="5">
        <f t="shared" si="85"/>
        <v>0</v>
      </c>
      <c r="I4348" s="6"/>
      <c r="J4348" s="43"/>
      <c r="K4348" s="51"/>
      <c r="L4348" s="86"/>
      <c r="M4348" s="284"/>
      <c r="N4348" s="284"/>
    </row>
    <row r="4349" spans="1:14" s="283" customFormat="1" ht="15" x14ac:dyDescent="0.25">
      <c r="A4349" s="1"/>
      <c r="B4349" s="1" t="s">
        <v>530</v>
      </c>
      <c r="C4349" s="32">
        <v>1403</v>
      </c>
      <c r="D4349" s="1">
        <v>26000</v>
      </c>
      <c r="E4349" s="1"/>
      <c r="F4349" s="1">
        <v>289.74</v>
      </c>
      <c r="G4349" s="1">
        <v>26000</v>
      </c>
      <c r="H4349" s="5">
        <f t="shared" si="85"/>
        <v>0</v>
      </c>
      <c r="I4349" s="6"/>
      <c r="J4349" s="43"/>
      <c r="K4349" s="51"/>
      <c r="L4349" s="86"/>
      <c r="M4349" s="284"/>
      <c r="N4349" s="284"/>
    </row>
    <row r="4350" spans="1:14" s="283" customFormat="1" ht="15" x14ac:dyDescent="0.25">
      <c r="A4350" s="1"/>
      <c r="B4350" s="1" t="s">
        <v>530</v>
      </c>
      <c r="C4350" s="32">
        <v>3383</v>
      </c>
      <c r="D4350" s="1">
        <v>24000</v>
      </c>
      <c r="E4350" s="1"/>
      <c r="F4350" s="1">
        <v>258.87</v>
      </c>
      <c r="G4350" s="1">
        <v>24000</v>
      </c>
      <c r="H4350" s="5">
        <f t="shared" si="85"/>
        <v>0</v>
      </c>
      <c r="I4350" s="6"/>
      <c r="J4350" s="43"/>
      <c r="K4350" s="51"/>
      <c r="L4350" s="86"/>
      <c r="M4350" s="284"/>
      <c r="N4350" s="284"/>
    </row>
    <row r="4351" spans="1:14" s="283" customFormat="1" ht="15" x14ac:dyDescent="0.25">
      <c r="A4351" s="1"/>
      <c r="B4351" s="1" t="s">
        <v>530</v>
      </c>
      <c r="C4351" s="32">
        <v>8094</v>
      </c>
      <c r="D4351" s="1">
        <v>24000</v>
      </c>
      <c r="E4351" s="1"/>
      <c r="F4351" s="1">
        <v>258.87</v>
      </c>
      <c r="G4351" s="1">
        <v>24000</v>
      </c>
      <c r="H4351" s="5">
        <f t="shared" si="85"/>
        <v>0</v>
      </c>
      <c r="I4351" s="6"/>
      <c r="J4351" s="43"/>
      <c r="K4351" s="51"/>
      <c r="L4351" s="86"/>
      <c r="M4351" s="284"/>
      <c r="N4351" s="284"/>
    </row>
    <row r="4352" spans="1:14" s="283" customFormat="1" ht="15" x14ac:dyDescent="0.25">
      <c r="A4352" s="1"/>
      <c r="B4352" s="1" t="s">
        <v>530</v>
      </c>
      <c r="C4352" s="32">
        <v>1329</v>
      </c>
      <c r="D4352" s="1">
        <v>24000</v>
      </c>
      <c r="E4352" s="1"/>
      <c r="F4352" s="1">
        <v>258.87</v>
      </c>
      <c r="G4352" s="1">
        <v>24000</v>
      </c>
      <c r="H4352" s="5">
        <f t="shared" si="85"/>
        <v>0</v>
      </c>
      <c r="I4352" s="6"/>
      <c r="J4352" s="43"/>
      <c r="K4352" s="51"/>
      <c r="L4352" s="86"/>
      <c r="M4352" s="284"/>
      <c r="N4352" s="284"/>
    </row>
    <row r="4353" spans="1:14" s="283" customFormat="1" ht="15" x14ac:dyDescent="0.25">
      <c r="A4353" s="1"/>
      <c r="B4353" s="1" t="s">
        <v>530</v>
      </c>
      <c r="C4353" s="32">
        <v>5943</v>
      </c>
      <c r="D4353" s="1">
        <v>32000</v>
      </c>
      <c r="E4353" s="1"/>
      <c r="F4353" s="1">
        <v>356.42</v>
      </c>
      <c r="G4353" s="1">
        <v>32000</v>
      </c>
      <c r="H4353" s="5">
        <f t="shared" si="85"/>
        <v>0</v>
      </c>
      <c r="I4353" s="6"/>
      <c r="J4353" s="43"/>
      <c r="K4353" s="51"/>
      <c r="L4353" s="86"/>
      <c r="M4353" s="284"/>
      <c r="N4353" s="284"/>
    </row>
    <row r="4354" spans="1:14" s="283" customFormat="1" ht="15" x14ac:dyDescent="0.25">
      <c r="A4354" s="1"/>
      <c r="B4354" s="1" t="s">
        <v>530</v>
      </c>
      <c r="C4354" s="32">
        <v>8382</v>
      </c>
      <c r="D4354" s="1">
        <v>22000</v>
      </c>
      <c r="E4354" s="1"/>
      <c r="F4354" s="1">
        <v>254.84</v>
      </c>
      <c r="G4354" s="1">
        <v>22000</v>
      </c>
      <c r="H4354" s="5">
        <f t="shared" si="85"/>
        <v>0</v>
      </c>
      <c r="I4354" s="6"/>
      <c r="J4354" s="43"/>
      <c r="K4354" s="51"/>
      <c r="L4354" s="86"/>
      <c r="M4354" s="284"/>
      <c r="N4354" s="284"/>
    </row>
    <row r="4355" spans="1:14" s="283" customFormat="1" ht="15" x14ac:dyDescent="0.25">
      <c r="A4355" s="1"/>
      <c r="B4355" s="1" t="s">
        <v>530</v>
      </c>
      <c r="C4355" s="32">
        <v>1.77E-2</v>
      </c>
      <c r="D4355" s="1">
        <v>25000</v>
      </c>
      <c r="E4355" s="1"/>
      <c r="F4355" s="1">
        <v>278.22000000000003</v>
      </c>
      <c r="G4355" s="1">
        <v>25000</v>
      </c>
      <c r="H4355" s="5">
        <f t="shared" si="85"/>
        <v>0</v>
      </c>
      <c r="I4355" s="6"/>
      <c r="J4355" s="43"/>
      <c r="K4355" s="51"/>
      <c r="L4355" s="86"/>
      <c r="M4355" s="284"/>
      <c r="N4355" s="284"/>
    </row>
    <row r="4356" spans="1:14" s="283" customFormat="1" ht="15" x14ac:dyDescent="0.25">
      <c r="A4356" s="1"/>
      <c r="B4356" s="1" t="s">
        <v>530</v>
      </c>
      <c r="C4356" s="32" t="s">
        <v>30</v>
      </c>
      <c r="D4356" s="1">
        <v>5000</v>
      </c>
      <c r="E4356" s="1"/>
      <c r="F4356" s="1">
        <v>55.47</v>
      </c>
      <c r="G4356" s="1">
        <v>5000</v>
      </c>
      <c r="H4356" s="5">
        <f t="shared" si="85"/>
        <v>0</v>
      </c>
      <c r="I4356" s="6"/>
      <c r="J4356" s="43"/>
      <c r="K4356" s="51"/>
      <c r="L4356" s="86"/>
      <c r="M4356" s="284"/>
      <c r="N4356" s="284"/>
    </row>
    <row r="4357" spans="1:14" s="283" customFormat="1" ht="15" x14ac:dyDescent="0.25">
      <c r="A4357" s="1"/>
      <c r="B4357" s="1" t="s">
        <v>530</v>
      </c>
      <c r="C4357" s="32">
        <v>2810</v>
      </c>
      <c r="D4357" s="1">
        <v>15000</v>
      </c>
      <c r="E4357" s="1"/>
      <c r="F4357" s="1">
        <v>167.11</v>
      </c>
      <c r="G4357" s="1">
        <v>15000</v>
      </c>
      <c r="H4357" s="5">
        <f t="shared" si="85"/>
        <v>0</v>
      </c>
      <c r="I4357" s="6"/>
      <c r="J4357" s="43"/>
      <c r="K4357" s="51"/>
      <c r="L4357" s="86"/>
      <c r="M4357" s="284"/>
      <c r="N4357" s="284"/>
    </row>
    <row r="4358" spans="1:14" s="283" customFormat="1" ht="15" x14ac:dyDescent="0.25">
      <c r="A4358" s="1"/>
      <c r="B4358" s="1" t="s">
        <v>530</v>
      </c>
      <c r="C4358" s="32">
        <v>1722</v>
      </c>
      <c r="D4358" s="1">
        <v>15000</v>
      </c>
      <c r="E4358" s="1"/>
      <c r="F4358" s="1">
        <v>167.11</v>
      </c>
      <c r="G4358" s="1">
        <v>15000</v>
      </c>
      <c r="H4358" s="5">
        <f t="shared" si="85"/>
        <v>0</v>
      </c>
      <c r="I4358" s="6"/>
      <c r="J4358" s="43"/>
      <c r="K4358" s="51"/>
      <c r="L4358" s="86"/>
      <c r="M4358" s="284"/>
      <c r="N4358" s="284"/>
    </row>
    <row r="4359" spans="1:14" s="283" customFormat="1" ht="15" x14ac:dyDescent="0.25">
      <c r="A4359" s="1"/>
      <c r="B4359" s="1" t="s">
        <v>530</v>
      </c>
      <c r="C4359" s="32">
        <v>8213</v>
      </c>
      <c r="D4359" s="1">
        <v>17000</v>
      </c>
      <c r="E4359" s="1"/>
      <c r="F4359" s="1">
        <v>189.54</v>
      </c>
      <c r="G4359" s="1">
        <v>17000</v>
      </c>
      <c r="H4359" s="5">
        <f t="shared" si="85"/>
        <v>0</v>
      </c>
      <c r="I4359" s="6"/>
      <c r="J4359" s="43"/>
      <c r="K4359" s="51"/>
      <c r="L4359" s="86"/>
      <c r="M4359" s="284"/>
      <c r="N4359" s="284"/>
    </row>
    <row r="4360" spans="1:14" s="283" customFormat="1" ht="15" x14ac:dyDescent="0.25">
      <c r="A4360" s="1"/>
      <c r="B4360" s="1" t="s">
        <v>530</v>
      </c>
      <c r="C4360" s="32">
        <v>3002</v>
      </c>
      <c r="D4360" s="1">
        <v>24770</v>
      </c>
      <c r="E4360" s="1"/>
      <c r="F4360" s="1">
        <v>275.64999999999998</v>
      </c>
      <c r="G4360" s="1">
        <v>24770</v>
      </c>
      <c r="H4360" s="5">
        <f t="shared" si="85"/>
        <v>0</v>
      </c>
      <c r="I4360" s="6"/>
      <c r="J4360" s="43"/>
      <c r="K4360" s="51"/>
      <c r="L4360" s="86"/>
      <c r="M4360" s="284"/>
      <c r="N4360" s="284"/>
    </row>
    <row r="4361" spans="1:14" s="283" customFormat="1" ht="15" x14ac:dyDescent="0.25">
      <c r="A4361" s="1"/>
      <c r="B4361" s="1" t="s">
        <v>530</v>
      </c>
      <c r="C4361" s="32">
        <v>4384</v>
      </c>
      <c r="D4361" s="1">
        <v>27000</v>
      </c>
      <c r="E4361" s="1"/>
      <c r="F4361" s="1">
        <v>300.83999999999997</v>
      </c>
      <c r="G4361" s="1">
        <v>27000</v>
      </c>
      <c r="H4361" s="5">
        <f t="shared" si="85"/>
        <v>0</v>
      </c>
      <c r="I4361" s="6"/>
      <c r="J4361" s="43"/>
      <c r="K4361" s="51"/>
      <c r="L4361" s="86"/>
      <c r="M4361" s="284"/>
      <c r="N4361" s="284"/>
    </row>
    <row r="4362" spans="1:14" s="283" customFormat="1" ht="15" x14ac:dyDescent="0.25">
      <c r="A4362" s="1"/>
      <c r="B4362" s="1" t="s">
        <v>530</v>
      </c>
      <c r="C4362" s="32">
        <v>6233</v>
      </c>
      <c r="D4362" s="1">
        <v>18000</v>
      </c>
      <c r="E4362" s="1"/>
      <c r="F4362" s="1">
        <v>200.53</v>
      </c>
      <c r="G4362" s="1">
        <v>18000</v>
      </c>
      <c r="H4362" s="5">
        <f t="shared" si="85"/>
        <v>0</v>
      </c>
      <c r="I4362" s="6"/>
      <c r="J4362" s="43"/>
      <c r="K4362" s="51"/>
      <c r="L4362" s="86">
        <f>2406642-2366455</f>
        <v>40187</v>
      </c>
      <c r="M4362" s="284" t="s">
        <v>524</v>
      </c>
      <c r="N4362" s="284">
        <f>40187-31956</f>
        <v>8231</v>
      </c>
    </row>
    <row r="4363" spans="1:14" s="285" customFormat="1" ht="15" x14ac:dyDescent="0.25">
      <c r="A4363" s="1"/>
      <c r="B4363" s="1" t="s">
        <v>531</v>
      </c>
      <c r="C4363" s="32">
        <v>4451</v>
      </c>
      <c r="D4363" s="1">
        <v>15000</v>
      </c>
      <c r="E4363" s="1"/>
      <c r="F4363" s="1">
        <v>167.15</v>
      </c>
      <c r="G4363" s="1">
        <v>15000</v>
      </c>
      <c r="H4363" s="5">
        <f t="shared" si="85"/>
        <v>0</v>
      </c>
      <c r="I4363" s="6"/>
      <c r="J4363" s="43"/>
      <c r="K4363" s="51"/>
      <c r="L4363" s="86"/>
      <c r="M4363" s="286"/>
      <c r="N4363" s="286"/>
    </row>
    <row r="4364" spans="1:14" s="285" customFormat="1" ht="15" x14ac:dyDescent="0.25">
      <c r="A4364" s="1"/>
      <c r="B4364" s="1" t="s">
        <v>531</v>
      </c>
      <c r="C4364" s="32">
        <v>6566</v>
      </c>
      <c r="D4364" s="1">
        <v>15000</v>
      </c>
      <c r="E4364" s="1"/>
      <c r="F4364" s="1">
        <v>167.15</v>
      </c>
      <c r="G4364" s="1">
        <v>15000</v>
      </c>
      <c r="H4364" s="5">
        <f t="shared" si="85"/>
        <v>0</v>
      </c>
      <c r="I4364" s="6"/>
      <c r="J4364" s="43"/>
      <c r="K4364" s="51"/>
      <c r="L4364" s="86"/>
      <c r="M4364" s="286"/>
      <c r="N4364" s="286"/>
    </row>
    <row r="4365" spans="1:14" s="285" customFormat="1" ht="15" x14ac:dyDescent="0.25">
      <c r="A4365" s="1"/>
      <c r="B4365" s="1" t="s">
        <v>531</v>
      </c>
      <c r="C4365" s="32">
        <v>8559</v>
      </c>
      <c r="D4365" s="1">
        <v>15000</v>
      </c>
      <c r="E4365" s="1"/>
      <c r="F4365" s="1">
        <v>167.15</v>
      </c>
      <c r="G4365" s="1">
        <v>15000</v>
      </c>
      <c r="H4365" s="5">
        <f t="shared" si="85"/>
        <v>0</v>
      </c>
      <c r="I4365" s="6"/>
      <c r="J4365" s="43"/>
      <c r="K4365" s="51"/>
      <c r="L4365" s="86"/>
      <c r="M4365" s="286"/>
      <c r="N4365" s="286"/>
    </row>
    <row r="4366" spans="1:14" s="285" customFormat="1" ht="15" x14ac:dyDescent="0.25">
      <c r="A4366" s="1"/>
      <c r="B4366" s="1" t="s">
        <v>531</v>
      </c>
      <c r="C4366" s="32">
        <v>1721</v>
      </c>
      <c r="D4366" s="1">
        <v>15000</v>
      </c>
      <c r="E4366" s="1"/>
      <c r="F4366" s="1">
        <v>167.15</v>
      </c>
      <c r="G4366" s="1">
        <v>15000</v>
      </c>
      <c r="H4366" s="5">
        <f t="shared" si="85"/>
        <v>0</v>
      </c>
      <c r="I4366" s="6"/>
      <c r="J4366" s="43"/>
      <c r="K4366" s="51"/>
      <c r="L4366" s="86"/>
      <c r="M4366" s="286"/>
      <c r="N4366" s="286"/>
    </row>
    <row r="4367" spans="1:14" s="285" customFormat="1" ht="15" x14ac:dyDescent="0.25">
      <c r="A4367" s="1"/>
      <c r="B4367" s="1" t="s">
        <v>531</v>
      </c>
      <c r="C4367" s="32">
        <v>2808</v>
      </c>
      <c r="D4367" s="1">
        <v>15000</v>
      </c>
      <c r="E4367" s="1"/>
      <c r="F4367" s="1">
        <v>167.15</v>
      </c>
      <c r="G4367" s="1">
        <v>15000</v>
      </c>
      <c r="H4367" s="5">
        <f t="shared" si="85"/>
        <v>0</v>
      </c>
      <c r="I4367" s="6"/>
      <c r="J4367" s="43"/>
      <c r="K4367" s="51"/>
      <c r="L4367" s="86"/>
      <c r="M4367" s="286"/>
      <c r="N4367" s="286"/>
    </row>
    <row r="4368" spans="1:14" s="285" customFormat="1" ht="15" x14ac:dyDescent="0.25">
      <c r="A4368" s="1"/>
      <c r="B4368" s="1" t="s">
        <v>531</v>
      </c>
      <c r="C4368" s="32">
        <v>9905</v>
      </c>
      <c r="D4368" s="1">
        <v>15000</v>
      </c>
      <c r="E4368" s="1"/>
      <c r="F4368" s="1">
        <v>167.15</v>
      </c>
      <c r="G4368" s="1">
        <v>15000</v>
      </c>
      <c r="H4368" s="5">
        <f t="shared" si="85"/>
        <v>0</v>
      </c>
      <c r="I4368" s="6"/>
      <c r="J4368" s="43"/>
      <c r="K4368" s="51"/>
      <c r="L4368" s="86"/>
      <c r="M4368" s="286"/>
      <c r="N4368" s="286"/>
    </row>
    <row r="4369" spans="1:14" s="285" customFormat="1" ht="15" x14ac:dyDescent="0.25">
      <c r="A4369" s="1"/>
      <c r="B4369" s="1" t="s">
        <v>531</v>
      </c>
      <c r="C4369" s="32">
        <v>4856</v>
      </c>
      <c r="D4369" s="1">
        <v>15000</v>
      </c>
      <c r="E4369" s="1"/>
      <c r="F4369" s="1">
        <v>167.15</v>
      </c>
      <c r="G4369" s="1">
        <v>15000</v>
      </c>
      <c r="H4369" s="5">
        <f t="shared" si="85"/>
        <v>0</v>
      </c>
      <c r="I4369" s="6"/>
      <c r="J4369" s="43"/>
      <c r="K4369" s="51"/>
      <c r="L4369" s="86"/>
      <c r="M4369" s="286"/>
      <c r="N4369" s="286"/>
    </row>
    <row r="4370" spans="1:14" s="285" customFormat="1" ht="15" x14ac:dyDescent="0.25">
      <c r="A4370" s="1"/>
      <c r="B4370" s="1" t="s">
        <v>531</v>
      </c>
      <c r="C4370" s="32">
        <v>8308</v>
      </c>
      <c r="D4370" s="1">
        <v>24000</v>
      </c>
      <c r="E4370" s="1"/>
      <c r="F4370" s="1">
        <v>267.47000000000003</v>
      </c>
      <c r="G4370" s="1">
        <v>24000</v>
      </c>
      <c r="H4370" s="5">
        <f t="shared" si="85"/>
        <v>0</v>
      </c>
      <c r="I4370" s="6"/>
      <c r="J4370" s="43"/>
      <c r="K4370" s="51"/>
      <c r="L4370" s="86"/>
      <c r="M4370" s="286"/>
      <c r="N4370" s="286"/>
    </row>
    <row r="4371" spans="1:14" s="285" customFormat="1" ht="15" x14ac:dyDescent="0.25">
      <c r="A4371" s="1"/>
      <c r="B4371" s="1" t="s">
        <v>531</v>
      </c>
      <c r="C4371" s="32">
        <v>2806</v>
      </c>
      <c r="D4371" s="1">
        <v>16000</v>
      </c>
      <c r="E4371" s="1"/>
      <c r="F4371" s="1">
        <v>178.54</v>
      </c>
      <c r="G4371" s="1">
        <v>16000</v>
      </c>
      <c r="H4371" s="5">
        <f t="shared" si="85"/>
        <v>0</v>
      </c>
      <c r="I4371" s="6"/>
      <c r="J4371" s="43"/>
      <c r="K4371" s="51"/>
      <c r="L4371" s="86"/>
      <c r="M4371" s="286"/>
      <c r="N4371" s="286"/>
    </row>
    <row r="4372" spans="1:14" s="285" customFormat="1" ht="15" x14ac:dyDescent="0.25">
      <c r="A4372" s="1"/>
      <c r="B4372" s="1" t="s">
        <v>531</v>
      </c>
      <c r="C4372" s="32">
        <v>6617</v>
      </c>
      <c r="D4372" s="1">
        <v>10000</v>
      </c>
      <c r="E4372" s="1"/>
      <c r="F4372" s="1">
        <v>111.47</v>
      </c>
      <c r="G4372" s="1">
        <v>10000</v>
      </c>
      <c r="H4372" s="5">
        <f t="shared" si="85"/>
        <v>0</v>
      </c>
      <c r="I4372" s="6"/>
      <c r="J4372" s="43"/>
      <c r="K4372" s="51"/>
      <c r="L4372" s="86"/>
      <c r="M4372" s="286"/>
      <c r="N4372" s="286"/>
    </row>
    <row r="4373" spans="1:14" s="285" customFormat="1" ht="15" x14ac:dyDescent="0.25">
      <c r="A4373" s="1"/>
      <c r="B4373" s="1" t="s">
        <v>531</v>
      </c>
      <c r="C4373" s="32" t="s">
        <v>30</v>
      </c>
      <c r="D4373" s="1">
        <v>4000</v>
      </c>
      <c r="E4373" s="1"/>
      <c r="F4373" s="1">
        <v>44.48</v>
      </c>
      <c r="G4373" s="1">
        <v>4000</v>
      </c>
      <c r="H4373" s="5">
        <f t="shared" si="85"/>
        <v>0</v>
      </c>
      <c r="I4373" s="6"/>
      <c r="J4373" s="43"/>
      <c r="K4373" s="51"/>
      <c r="L4373" s="86"/>
      <c r="M4373" s="286"/>
      <c r="N4373" s="286"/>
    </row>
    <row r="4374" spans="1:14" s="285" customFormat="1" ht="15" x14ac:dyDescent="0.25">
      <c r="A4374" s="1"/>
      <c r="B4374" s="1" t="s">
        <v>531</v>
      </c>
      <c r="C4374" s="32" t="s">
        <v>30</v>
      </c>
      <c r="D4374" s="1">
        <v>5000</v>
      </c>
      <c r="E4374" s="1"/>
      <c r="F4374" s="1">
        <v>55.47</v>
      </c>
      <c r="G4374" s="1">
        <v>5000</v>
      </c>
      <c r="H4374" s="5">
        <f t="shared" si="85"/>
        <v>0</v>
      </c>
      <c r="I4374" s="6"/>
      <c r="J4374" s="43"/>
      <c r="K4374" s="51"/>
      <c r="L4374" s="86"/>
      <c r="M4374" s="286"/>
      <c r="N4374" s="286"/>
    </row>
    <row r="4375" spans="1:14" s="285" customFormat="1" ht="15" x14ac:dyDescent="0.25">
      <c r="A4375" s="1"/>
      <c r="B4375" s="1" t="s">
        <v>531</v>
      </c>
      <c r="C4375" s="32" t="s">
        <v>66</v>
      </c>
      <c r="D4375" s="1">
        <v>210</v>
      </c>
      <c r="E4375" s="1"/>
      <c r="F4375" s="1">
        <v>2.04</v>
      </c>
      <c r="G4375" s="1">
        <v>210</v>
      </c>
      <c r="H4375" s="5">
        <f t="shared" si="85"/>
        <v>0</v>
      </c>
      <c r="I4375" s="6"/>
      <c r="J4375" s="43"/>
      <c r="K4375" s="51"/>
      <c r="L4375" s="86"/>
      <c r="M4375" s="286"/>
      <c r="N4375" s="286"/>
    </row>
    <row r="4376" spans="1:14" s="285" customFormat="1" ht="15" x14ac:dyDescent="0.25">
      <c r="A4376" s="1"/>
      <c r="B4376" s="1" t="s">
        <v>531</v>
      </c>
      <c r="C4376" s="32">
        <v>3877</v>
      </c>
      <c r="D4376" s="1">
        <v>15000</v>
      </c>
      <c r="E4376" s="1"/>
      <c r="F4376" s="1">
        <v>167.15</v>
      </c>
      <c r="G4376" s="1">
        <v>15000</v>
      </c>
      <c r="H4376" s="5">
        <f t="shared" si="85"/>
        <v>0</v>
      </c>
      <c r="I4376" s="6"/>
      <c r="J4376" s="43"/>
      <c r="K4376" s="51"/>
      <c r="L4376" s="86"/>
      <c r="M4376" s="286"/>
      <c r="N4376" s="286"/>
    </row>
    <row r="4377" spans="1:14" s="285" customFormat="1" ht="15" x14ac:dyDescent="0.25">
      <c r="A4377" s="1"/>
      <c r="B4377" s="1" t="s">
        <v>531</v>
      </c>
      <c r="C4377" s="32">
        <v>9477</v>
      </c>
      <c r="D4377" s="1">
        <v>25000</v>
      </c>
      <c r="E4377" s="1"/>
      <c r="F4377" s="1">
        <v>278.25</v>
      </c>
      <c r="G4377" s="1">
        <v>25000</v>
      </c>
      <c r="H4377" s="5">
        <f t="shared" si="85"/>
        <v>0</v>
      </c>
      <c r="I4377" s="6"/>
      <c r="J4377" s="43"/>
      <c r="K4377" s="51"/>
      <c r="L4377" s="86"/>
      <c r="M4377" s="286"/>
      <c r="N4377" s="286"/>
    </row>
    <row r="4378" spans="1:14" s="285" customFormat="1" ht="15" x14ac:dyDescent="0.25">
      <c r="A4378" s="1"/>
      <c r="B4378" s="1" t="s">
        <v>531</v>
      </c>
      <c r="C4378" s="32">
        <v>4.0099999999999997E-2</v>
      </c>
      <c r="D4378" s="1">
        <v>25000</v>
      </c>
      <c r="E4378" s="1"/>
      <c r="F4378" s="1">
        <v>278.25</v>
      </c>
      <c r="G4378" s="1">
        <v>25000</v>
      </c>
      <c r="H4378" s="5">
        <f t="shared" si="85"/>
        <v>0</v>
      </c>
      <c r="I4378" s="6"/>
      <c r="J4378" s="43"/>
      <c r="K4378" s="51"/>
      <c r="L4378" s="86"/>
      <c r="M4378" s="286"/>
      <c r="N4378" s="286"/>
    </row>
    <row r="4379" spans="1:14" s="285" customFormat="1" ht="15" x14ac:dyDescent="0.25">
      <c r="A4379" s="1"/>
      <c r="B4379" s="1" t="s">
        <v>531</v>
      </c>
      <c r="C4379" s="32">
        <v>6006</v>
      </c>
      <c r="D4379" s="1">
        <v>10000</v>
      </c>
      <c r="E4379" s="1"/>
      <c r="F4379" s="1">
        <v>111.47</v>
      </c>
      <c r="G4379" s="1">
        <v>10000</v>
      </c>
      <c r="H4379" s="5">
        <f t="shared" si="85"/>
        <v>0</v>
      </c>
      <c r="I4379" s="6"/>
      <c r="J4379" s="43"/>
      <c r="K4379" s="51"/>
      <c r="L4379" s="86"/>
      <c r="M4379" s="286"/>
      <c r="N4379" s="286"/>
    </row>
    <row r="4380" spans="1:14" s="285" customFormat="1" ht="15" x14ac:dyDescent="0.25">
      <c r="A4380" s="1"/>
      <c r="B4380" s="1" t="s">
        <v>531</v>
      </c>
      <c r="C4380" s="32">
        <v>2486</v>
      </c>
      <c r="D4380" s="1">
        <v>20000</v>
      </c>
      <c r="E4380" s="1"/>
      <c r="F4380" s="1">
        <v>222.64</v>
      </c>
      <c r="G4380" s="1">
        <v>20000</v>
      </c>
      <c r="H4380" s="5">
        <f t="shared" si="85"/>
        <v>0</v>
      </c>
      <c r="I4380" s="6"/>
      <c r="J4380" s="43"/>
      <c r="K4380" s="51"/>
      <c r="L4380" s="86"/>
      <c r="M4380" s="286"/>
      <c r="N4380" s="286"/>
    </row>
    <row r="4381" spans="1:14" s="285" customFormat="1" ht="15" x14ac:dyDescent="0.25">
      <c r="A4381" s="1"/>
      <c r="B4381" s="1" t="s">
        <v>531</v>
      </c>
      <c r="C4381" s="32">
        <v>4730</v>
      </c>
      <c r="D4381" s="1">
        <v>30000</v>
      </c>
      <c r="E4381" s="1"/>
      <c r="F4381" s="1">
        <v>334.74</v>
      </c>
      <c r="G4381" s="1">
        <v>30000</v>
      </c>
      <c r="H4381" s="5">
        <f t="shared" si="85"/>
        <v>0</v>
      </c>
      <c r="I4381" s="6"/>
      <c r="J4381" s="43"/>
      <c r="K4381" s="51"/>
      <c r="L4381" s="86"/>
      <c r="M4381" s="286"/>
      <c r="N4381" s="286"/>
    </row>
    <row r="4382" spans="1:14" s="285" customFormat="1" ht="15" x14ac:dyDescent="0.25">
      <c r="A4382" s="1"/>
      <c r="B4382" s="1" t="s">
        <v>531</v>
      </c>
      <c r="C4382" s="32">
        <v>3286</v>
      </c>
      <c r="D4382" s="1">
        <v>30000</v>
      </c>
      <c r="E4382" s="1"/>
      <c r="F4382" s="1">
        <v>334.74</v>
      </c>
      <c r="G4382" s="1">
        <v>30000</v>
      </c>
      <c r="H4382" s="5">
        <f t="shared" si="85"/>
        <v>0</v>
      </c>
      <c r="I4382" s="6"/>
      <c r="J4382" s="43"/>
      <c r="K4382" s="51"/>
      <c r="L4382" s="86"/>
      <c r="M4382" s="286"/>
      <c r="N4382" s="286"/>
    </row>
    <row r="4383" spans="1:14" s="285" customFormat="1" ht="15" x14ac:dyDescent="0.25">
      <c r="A4383" s="1"/>
      <c r="B4383" s="1" t="s">
        <v>531</v>
      </c>
      <c r="C4383" s="32">
        <v>6086</v>
      </c>
      <c r="D4383" s="1">
        <v>21000</v>
      </c>
      <c r="E4383" s="1"/>
      <c r="F4383" s="1">
        <v>233.87</v>
      </c>
      <c r="G4383" s="1">
        <v>21000</v>
      </c>
      <c r="H4383" s="5">
        <f t="shared" si="85"/>
        <v>0</v>
      </c>
      <c r="I4383" s="6"/>
      <c r="J4383" s="43"/>
      <c r="K4383" s="51"/>
      <c r="L4383" s="86"/>
      <c r="M4383" s="286"/>
      <c r="N4383" s="286"/>
    </row>
    <row r="4384" spans="1:14" s="285" customFormat="1" ht="15" x14ac:dyDescent="0.25">
      <c r="A4384" s="1"/>
      <c r="B4384" s="1" t="s">
        <v>531</v>
      </c>
      <c r="C4384" s="32">
        <v>9606</v>
      </c>
      <c r="D4384" s="1">
        <v>21000</v>
      </c>
      <c r="E4384" s="1"/>
      <c r="F4384" s="1">
        <v>233.87</v>
      </c>
      <c r="G4384" s="1">
        <v>21000</v>
      </c>
      <c r="H4384" s="5">
        <f t="shared" ref="H4384:H4447" si="86">D4384-G4384</f>
        <v>0</v>
      </c>
      <c r="I4384" s="6"/>
      <c r="J4384" s="43"/>
      <c r="K4384" s="51"/>
      <c r="L4384" s="86"/>
      <c r="M4384" s="286"/>
      <c r="N4384" s="286"/>
    </row>
    <row r="4385" spans="1:14" s="285" customFormat="1" ht="15" x14ac:dyDescent="0.25">
      <c r="A4385" s="1"/>
      <c r="B4385" s="1" t="s">
        <v>531</v>
      </c>
      <c r="C4385" s="32">
        <v>5498</v>
      </c>
      <c r="D4385" s="1">
        <v>21000</v>
      </c>
      <c r="E4385" s="1"/>
      <c r="F4385" s="1">
        <v>233.87</v>
      </c>
      <c r="G4385" s="1">
        <v>21000</v>
      </c>
      <c r="H4385" s="5">
        <f t="shared" si="86"/>
        <v>0</v>
      </c>
      <c r="I4385" s="6"/>
      <c r="J4385" s="43"/>
      <c r="K4385" s="51"/>
      <c r="L4385" s="86"/>
      <c r="M4385" s="286"/>
      <c r="N4385" s="286"/>
    </row>
    <row r="4386" spans="1:14" s="285" customFormat="1" ht="15" x14ac:dyDescent="0.25">
      <c r="A4386" s="1"/>
      <c r="B4386" s="1" t="s">
        <v>531</v>
      </c>
      <c r="C4386" s="32">
        <v>2.5499999999999998E-2</v>
      </c>
      <c r="D4386" s="1">
        <v>23000</v>
      </c>
      <c r="E4386" s="1"/>
      <c r="F4386" s="1">
        <v>256.74</v>
      </c>
      <c r="G4386" s="1">
        <v>23000</v>
      </c>
      <c r="H4386" s="5">
        <f t="shared" si="86"/>
        <v>0</v>
      </c>
      <c r="I4386" s="6"/>
      <c r="J4386" s="43"/>
      <c r="K4386" s="51"/>
      <c r="L4386" s="86"/>
      <c r="M4386" s="286"/>
      <c r="N4386" s="286"/>
    </row>
    <row r="4387" spans="1:14" s="285" customFormat="1" ht="15" x14ac:dyDescent="0.25">
      <c r="A4387" s="1"/>
      <c r="B4387" s="1" t="s">
        <v>531</v>
      </c>
      <c r="C4387" s="32">
        <v>8311</v>
      </c>
      <c r="D4387" s="1">
        <v>24000</v>
      </c>
      <c r="E4387" s="1"/>
      <c r="F4387" s="1">
        <v>267.47000000000003</v>
      </c>
      <c r="G4387" s="1">
        <v>24000</v>
      </c>
      <c r="H4387" s="5">
        <f t="shared" si="86"/>
        <v>0</v>
      </c>
      <c r="I4387" s="6"/>
      <c r="J4387" s="43"/>
      <c r="K4387" s="51"/>
      <c r="L4387" s="86"/>
      <c r="M4387" s="286"/>
      <c r="N4387" s="286"/>
    </row>
    <row r="4388" spans="1:14" s="285" customFormat="1" ht="15" x14ac:dyDescent="0.25">
      <c r="A4388" s="1"/>
      <c r="B4388" s="1" t="s">
        <v>531</v>
      </c>
      <c r="C4388" s="32">
        <v>6311</v>
      </c>
      <c r="D4388" s="1">
        <v>24000</v>
      </c>
      <c r="E4388" s="1"/>
      <c r="F4388" s="1">
        <v>267.47000000000003</v>
      </c>
      <c r="G4388" s="1">
        <v>24000</v>
      </c>
      <c r="H4388" s="5">
        <f t="shared" si="86"/>
        <v>0</v>
      </c>
      <c r="I4388" s="6"/>
      <c r="J4388" s="43"/>
      <c r="K4388" s="51"/>
      <c r="L4388" s="86"/>
      <c r="M4388" s="286"/>
      <c r="N4388" s="286"/>
    </row>
    <row r="4389" spans="1:14" s="285" customFormat="1" ht="15" x14ac:dyDescent="0.25">
      <c r="A4389" s="1"/>
      <c r="B4389" s="1" t="s">
        <v>531</v>
      </c>
      <c r="C4389" s="32">
        <v>3158</v>
      </c>
      <c r="D4389" s="1">
        <v>24000</v>
      </c>
      <c r="E4389" s="1"/>
      <c r="F4389" s="1">
        <v>267.47000000000003</v>
      </c>
      <c r="G4389" s="1">
        <v>24000</v>
      </c>
      <c r="H4389" s="5">
        <f t="shared" si="86"/>
        <v>0</v>
      </c>
      <c r="I4389" s="6"/>
      <c r="J4389" s="43"/>
      <c r="K4389" s="51"/>
      <c r="L4389" s="86"/>
      <c r="M4389" s="286"/>
      <c r="N4389" s="286"/>
    </row>
    <row r="4390" spans="1:14" s="285" customFormat="1" ht="15" x14ac:dyDescent="0.25">
      <c r="A4390" s="1"/>
      <c r="B4390" s="1" t="s">
        <v>531</v>
      </c>
      <c r="C4390" s="32">
        <v>1155</v>
      </c>
      <c r="D4390" s="1">
        <v>32000</v>
      </c>
      <c r="E4390" s="1"/>
      <c r="F4390" s="1">
        <v>335.84</v>
      </c>
      <c r="G4390" s="1">
        <v>32000</v>
      </c>
      <c r="H4390" s="5">
        <f t="shared" si="86"/>
        <v>0</v>
      </c>
      <c r="I4390" s="6"/>
      <c r="J4390" s="43"/>
      <c r="K4390" s="51"/>
      <c r="L4390" s="86"/>
      <c r="M4390" s="286"/>
      <c r="N4390" s="286"/>
    </row>
    <row r="4391" spans="1:14" s="285" customFormat="1" ht="15" x14ac:dyDescent="0.25">
      <c r="A4391" s="1"/>
      <c r="B4391" s="1" t="s">
        <v>531</v>
      </c>
      <c r="C4391" s="32">
        <v>2.4299999999999999E-2</v>
      </c>
      <c r="D4391" s="1">
        <v>18000</v>
      </c>
      <c r="E4391" s="1"/>
      <c r="F4391" s="1">
        <v>200.53</v>
      </c>
      <c r="G4391" s="1">
        <v>18000</v>
      </c>
      <c r="H4391" s="5">
        <f t="shared" si="86"/>
        <v>0</v>
      </c>
      <c r="I4391" s="6"/>
      <c r="J4391" s="43"/>
      <c r="K4391" s="51"/>
      <c r="L4391" s="86"/>
      <c r="M4391" s="286"/>
      <c r="N4391" s="286"/>
    </row>
    <row r="4392" spans="1:14" s="285" customFormat="1" ht="15" x14ac:dyDescent="0.25">
      <c r="A4392" s="1"/>
      <c r="B4392" s="1" t="s">
        <v>531</v>
      </c>
      <c r="C4392" s="32">
        <v>9378</v>
      </c>
      <c r="D4392" s="1">
        <v>22000</v>
      </c>
      <c r="E4392" s="1"/>
      <c r="F4392" s="1">
        <v>243.41</v>
      </c>
      <c r="G4392" s="1">
        <v>22000</v>
      </c>
      <c r="H4392" s="5">
        <f t="shared" si="86"/>
        <v>0</v>
      </c>
      <c r="I4392" s="6"/>
      <c r="J4392" s="43"/>
      <c r="K4392" s="51"/>
      <c r="L4392" s="86"/>
      <c r="M4392" s="286"/>
      <c r="N4392" s="286"/>
    </row>
    <row r="4393" spans="1:14" s="285" customFormat="1" ht="15" x14ac:dyDescent="0.25">
      <c r="A4393" s="1"/>
      <c r="B4393" s="1" t="s">
        <v>531</v>
      </c>
      <c r="C4393" s="32">
        <v>8665</v>
      </c>
      <c r="D4393" s="1">
        <v>22000</v>
      </c>
      <c r="E4393" s="1"/>
      <c r="F4393" s="1">
        <v>243.41</v>
      </c>
      <c r="G4393" s="1">
        <v>22000</v>
      </c>
      <c r="H4393" s="5">
        <f t="shared" si="86"/>
        <v>0</v>
      </c>
      <c r="I4393" s="6"/>
      <c r="J4393" s="43"/>
      <c r="K4393" s="51"/>
      <c r="L4393" s="86"/>
      <c r="M4393" s="286"/>
      <c r="N4393" s="286"/>
    </row>
    <row r="4394" spans="1:14" s="285" customFormat="1" ht="15" x14ac:dyDescent="0.25">
      <c r="A4394" s="1"/>
      <c r="B4394" s="1" t="s">
        <v>531</v>
      </c>
      <c r="C4394" s="32">
        <v>6050</v>
      </c>
      <c r="D4394" s="1">
        <v>22000</v>
      </c>
      <c r="E4394" s="1"/>
      <c r="F4394" s="1">
        <v>243.41</v>
      </c>
      <c r="G4394" s="1">
        <v>22000</v>
      </c>
      <c r="H4394" s="5">
        <f t="shared" si="86"/>
        <v>0</v>
      </c>
      <c r="I4394" s="6"/>
      <c r="J4394" s="43"/>
      <c r="K4394" s="51"/>
      <c r="L4394" s="86">
        <f>2499852-2459665</f>
        <v>40187</v>
      </c>
      <c r="M4394" s="286"/>
      <c r="N4394" s="286"/>
    </row>
    <row r="4395" spans="1:14" s="287" customFormat="1" ht="15" x14ac:dyDescent="0.25">
      <c r="A4395" s="1"/>
      <c r="B4395" s="1" t="s">
        <v>532</v>
      </c>
      <c r="C4395" s="32">
        <v>6659</v>
      </c>
      <c r="D4395" s="1">
        <v>16000</v>
      </c>
      <c r="E4395" s="1"/>
      <c r="F4395" s="1">
        <v>178.22</v>
      </c>
      <c r="G4395" s="1">
        <v>16000</v>
      </c>
      <c r="H4395" s="5">
        <f t="shared" si="86"/>
        <v>0</v>
      </c>
      <c r="I4395" s="6"/>
      <c r="J4395" s="43"/>
      <c r="K4395" s="51"/>
      <c r="L4395" s="86"/>
      <c r="M4395" s="288"/>
      <c r="N4395" s="288"/>
    </row>
    <row r="4396" spans="1:14" s="287" customFormat="1" ht="15" x14ac:dyDescent="0.25">
      <c r="A4396" s="1"/>
      <c r="B4396" s="1" t="s">
        <v>532</v>
      </c>
      <c r="C4396" s="32">
        <v>2807</v>
      </c>
      <c r="D4396" s="1">
        <v>16000</v>
      </c>
      <c r="E4396" s="1"/>
      <c r="F4396" s="1">
        <v>178.22</v>
      </c>
      <c r="G4396" s="1">
        <v>16000</v>
      </c>
      <c r="H4396" s="5">
        <f t="shared" si="86"/>
        <v>0</v>
      </c>
      <c r="I4396" s="6"/>
      <c r="J4396" s="43"/>
      <c r="K4396" s="51"/>
      <c r="L4396" s="86"/>
      <c r="M4396" s="288"/>
      <c r="N4396" s="288"/>
    </row>
    <row r="4397" spans="1:14" s="287" customFormat="1" ht="15" x14ac:dyDescent="0.25">
      <c r="A4397" s="1"/>
      <c r="B4397" s="1" t="s">
        <v>532</v>
      </c>
      <c r="C4397" s="32">
        <v>5077</v>
      </c>
      <c r="D4397" s="1">
        <v>17000</v>
      </c>
      <c r="E4397" s="1"/>
      <c r="F4397" s="1">
        <v>189.47</v>
      </c>
      <c r="G4397" s="1">
        <v>17000</v>
      </c>
      <c r="H4397" s="5">
        <f t="shared" si="86"/>
        <v>0</v>
      </c>
      <c r="I4397" s="6"/>
      <c r="J4397" s="43"/>
      <c r="K4397" s="51"/>
      <c r="L4397" s="86"/>
      <c r="M4397" s="288"/>
      <c r="N4397" s="288"/>
    </row>
    <row r="4398" spans="1:14" s="287" customFormat="1" ht="15" x14ac:dyDescent="0.25">
      <c r="A4398" s="1"/>
      <c r="B4398" s="1" t="s">
        <v>532</v>
      </c>
      <c r="C4398" s="32" t="s">
        <v>30</v>
      </c>
      <c r="D4398" s="1">
        <v>4500</v>
      </c>
      <c r="E4398" s="1"/>
      <c r="F4398" s="1">
        <v>50.23</v>
      </c>
      <c r="G4398" s="1">
        <v>4500</v>
      </c>
      <c r="H4398" s="5">
        <f t="shared" si="86"/>
        <v>0</v>
      </c>
      <c r="I4398" s="6"/>
      <c r="J4398" s="43"/>
      <c r="K4398" s="51"/>
      <c r="L4398" s="86"/>
      <c r="M4398" s="288"/>
      <c r="N4398" s="288"/>
    </row>
    <row r="4399" spans="1:14" s="287" customFormat="1" ht="15" x14ac:dyDescent="0.25">
      <c r="A4399" s="1"/>
      <c r="B4399" s="1" t="s">
        <v>532</v>
      </c>
      <c r="C4399" s="32">
        <v>9906</v>
      </c>
      <c r="D4399" s="1">
        <v>13000</v>
      </c>
      <c r="E4399" s="1"/>
      <c r="F4399" s="1">
        <v>144.13</v>
      </c>
      <c r="G4399" s="1">
        <v>13000</v>
      </c>
      <c r="H4399" s="5">
        <f t="shared" si="86"/>
        <v>0</v>
      </c>
      <c r="I4399" s="6"/>
      <c r="J4399" s="43"/>
      <c r="K4399" s="51"/>
      <c r="L4399" s="86"/>
      <c r="M4399" s="288"/>
      <c r="N4399" s="288"/>
    </row>
    <row r="4400" spans="1:14" s="287" customFormat="1" ht="15" x14ac:dyDescent="0.25">
      <c r="A4400" s="1"/>
      <c r="B4400" s="1" t="s">
        <v>532</v>
      </c>
      <c r="C4400" s="32">
        <v>5978</v>
      </c>
      <c r="D4400" s="1">
        <v>15000</v>
      </c>
      <c r="E4400" s="1"/>
      <c r="F4400" s="1">
        <v>167.15</v>
      </c>
      <c r="G4400" s="1">
        <v>15000</v>
      </c>
      <c r="H4400" s="5">
        <f t="shared" si="86"/>
        <v>0</v>
      </c>
      <c r="I4400" s="6"/>
      <c r="J4400" s="43"/>
      <c r="K4400" s="51"/>
      <c r="L4400" s="86"/>
      <c r="M4400" s="288"/>
      <c r="N4400" s="288"/>
    </row>
    <row r="4401" spans="1:14" s="287" customFormat="1" ht="15" x14ac:dyDescent="0.25">
      <c r="A4401" s="1"/>
      <c r="B4401" s="1" t="s">
        <v>532</v>
      </c>
      <c r="C4401" s="32">
        <v>4059</v>
      </c>
      <c r="D4401" s="1">
        <v>15000</v>
      </c>
      <c r="E4401" s="1"/>
      <c r="F4401" s="1">
        <v>167.15</v>
      </c>
      <c r="G4401" s="1">
        <v>15000</v>
      </c>
      <c r="H4401" s="5">
        <f t="shared" si="86"/>
        <v>0</v>
      </c>
      <c r="I4401" s="6"/>
      <c r="J4401" s="43"/>
      <c r="K4401" s="51"/>
      <c r="L4401" s="86"/>
      <c r="M4401" s="288"/>
      <c r="N4401" s="288"/>
    </row>
    <row r="4402" spans="1:14" s="287" customFormat="1" ht="15" x14ac:dyDescent="0.25">
      <c r="A4402" s="1"/>
      <c r="B4402" s="1" t="s">
        <v>532</v>
      </c>
      <c r="C4402" s="32">
        <v>4513</v>
      </c>
      <c r="D4402" s="1">
        <v>15000</v>
      </c>
      <c r="E4402" s="1"/>
      <c r="F4402" s="1">
        <v>167.15</v>
      </c>
      <c r="G4402" s="1">
        <v>15000</v>
      </c>
      <c r="H4402" s="5">
        <f t="shared" si="86"/>
        <v>0</v>
      </c>
      <c r="I4402" s="6"/>
      <c r="J4402" s="43"/>
      <c r="K4402" s="51"/>
      <c r="L4402" s="86"/>
      <c r="M4402" s="288"/>
      <c r="N4402" s="288"/>
    </row>
    <row r="4403" spans="1:14" s="287" customFormat="1" ht="15" x14ac:dyDescent="0.25">
      <c r="A4403" s="1"/>
      <c r="B4403" s="1" t="s">
        <v>532</v>
      </c>
      <c r="C4403" s="32">
        <v>6573</v>
      </c>
      <c r="D4403" s="1">
        <v>15000</v>
      </c>
      <c r="E4403" s="1"/>
      <c r="F4403" s="1">
        <v>167.15</v>
      </c>
      <c r="G4403" s="1">
        <v>15000</v>
      </c>
      <c r="H4403" s="5">
        <f t="shared" si="86"/>
        <v>0</v>
      </c>
      <c r="I4403" s="6"/>
      <c r="J4403" s="43"/>
      <c r="K4403" s="51"/>
      <c r="L4403" s="86"/>
      <c r="M4403" s="288"/>
      <c r="N4403" s="288"/>
    </row>
    <row r="4404" spans="1:14" s="287" customFormat="1" ht="15" x14ac:dyDescent="0.25">
      <c r="A4404" s="1"/>
      <c r="B4404" s="1" t="s">
        <v>532</v>
      </c>
      <c r="C4404" s="32">
        <v>4058</v>
      </c>
      <c r="D4404" s="1">
        <v>15000</v>
      </c>
      <c r="E4404" s="1"/>
      <c r="F4404" s="1">
        <v>167.15</v>
      </c>
      <c r="G4404" s="1">
        <v>15000</v>
      </c>
      <c r="H4404" s="5">
        <f t="shared" si="86"/>
        <v>0</v>
      </c>
      <c r="I4404" s="6"/>
      <c r="J4404" s="43"/>
      <c r="K4404" s="51"/>
      <c r="L4404" s="86"/>
      <c r="M4404" s="288"/>
      <c r="N4404" s="288"/>
    </row>
    <row r="4405" spans="1:14" s="287" customFormat="1" ht="15" x14ac:dyDescent="0.25">
      <c r="A4405" s="1"/>
      <c r="B4405" s="1" t="s">
        <v>532</v>
      </c>
      <c r="C4405" s="32">
        <v>3963</v>
      </c>
      <c r="D4405" s="1">
        <v>15000</v>
      </c>
      <c r="E4405" s="1"/>
      <c r="F4405" s="1">
        <v>167.15</v>
      </c>
      <c r="G4405" s="1">
        <v>15000</v>
      </c>
      <c r="H4405" s="5">
        <f t="shared" si="86"/>
        <v>0</v>
      </c>
      <c r="I4405" s="6"/>
      <c r="J4405" s="43"/>
      <c r="K4405" s="51"/>
      <c r="L4405" s="86"/>
      <c r="M4405" s="288"/>
      <c r="N4405" s="288"/>
    </row>
    <row r="4406" spans="1:14" s="287" customFormat="1" ht="15" x14ac:dyDescent="0.25">
      <c r="A4406" s="1"/>
      <c r="B4406" s="1" t="s">
        <v>532</v>
      </c>
      <c r="C4406" s="32">
        <v>6451</v>
      </c>
      <c r="D4406" s="1">
        <v>10000</v>
      </c>
      <c r="E4406" s="1"/>
      <c r="F4406" s="1">
        <v>111.41</v>
      </c>
      <c r="G4406" s="1">
        <v>10000</v>
      </c>
      <c r="H4406" s="5">
        <f t="shared" si="86"/>
        <v>0</v>
      </c>
      <c r="I4406" s="6"/>
      <c r="J4406" s="43"/>
      <c r="K4406" s="51"/>
      <c r="L4406" s="86"/>
      <c r="M4406" s="288"/>
      <c r="N4406" s="288"/>
    </row>
    <row r="4407" spans="1:14" s="287" customFormat="1" ht="15" x14ac:dyDescent="0.25">
      <c r="A4407" s="1"/>
      <c r="B4407" s="1" t="s">
        <v>532</v>
      </c>
      <c r="C4407" s="32">
        <v>5535</v>
      </c>
      <c r="D4407" s="1">
        <v>10000</v>
      </c>
      <c r="E4407" s="1"/>
      <c r="F4407" s="1">
        <v>111.41</v>
      </c>
      <c r="G4407" s="1">
        <v>10000</v>
      </c>
      <c r="H4407" s="5">
        <f t="shared" si="86"/>
        <v>0</v>
      </c>
      <c r="I4407" s="6"/>
      <c r="J4407" s="43"/>
      <c r="K4407" s="51"/>
      <c r="L4407" s="86"/>
      <c r="M4407" s="288"/>
      <c r="N4407" s="288"/>
    </row>
    <row r="4408" spans="1:14" s="287" customFormat="1" ht="15" x14ac:dyDescent="0.25">
      <c r="A4408" s="1"/>
      <c r="B4408" s="1" t="s">
        <v>532</v>
      </c>
      <c r="C4408" s="32">
        <v>1467</v>
      </c>
      <c r="D4408" s="1">
        <v>20000</v>
      </c>
      <c r="E4408" s="1"/>
      <c r="F4408" s="1">
        <v>222.64</v>
      </c>
      <c r="G4408" s="1">
        <v>20000</v>
      </c>
      <c r="H4408" s="5">
        <f t="shared" si="86"/>
        <v>0</v>
      </c>
      <c r="I4408" s="6"/>
      <c r="J4408" s="43"/>
      <c r="K4408" s="51"/>
      <c r="L4408" s="86"/>
      <c r="M4408" s="288"/>
      <c r="N4408" s="288"/>
    </row>
    <row r="4409" spans="1:14" s="287" customFormat="1" ht="15" x14ac:dyDescent="0.25">
      <c r="A4409" s="1"/>
      <c r="B4409" s="1" t="s">
        <v>532</v>
      </c>
      <c r="C4409" s="32">
        <v>3468</v>
      </c>
      <c r="D4409" s="1">
        <v>20000</v>
      </c>
      <c r="E4409" s="1"/>
      <c r="F4409" s="1">
        <v>222.64</v>
      </c>
      <c r="G4409" s="1">
        <v>20000</v>
      </c>
      <c r="H4409" s="5">
        <f t="shared" si="86"/>
        <v>0</v>
      </c>
      <c r="I4409" s="6"/>
      <c r="J4409" s="43"/>
      <c r="K4409" s="51"/>
      <c r="L4409" s="86"/>
      <c r="M4409" s="288"/>
      <c r="N4409" s="288"/>
    </row>
    <row r="4410" spans="1:14" s="287" customFormat="1" ht="15" x14ac:dyDescent="0.25">
      <c r="A4410" s="1"/>
      <c r="B4410" s="1" t="s">
        <v>532</v>
      </c>
      <c r="C4410" s="32">
        <v>7925</v>
      </c>
      <c r="D4410" s="1">
        <v>20000</v>
      </c>
      <c r="E4410" s="1"/>
      <c r="F4410" s="1">
        <v>222.64</v>
      </c>
      <c r="G4410" s="1">
        <v>20000</v>
      </c>
      <c r="H4410" s="5">
        <f t="shared" si="86"/>
        <v>0</v>
      </c>
      <c r="I4410" s="6"/>
      <c r="J4410" s="43"/>
      <c r="K4410" s="51"/>
      <c r="L4410" s="86"/>
      <c r="M4410" s="288"/>
      <c r="N4410" s="288"/>
    </row>
    <row r="4411" spans="1:14" s="287" customFormat="1" ht="15" x14ac:dyDescent="0.25">
      <c r="A4411" s="1"/>
      <c r="B4411" s="1" t="s">
        <v>532</v>
      </c>
      <c r="C4411" s="32">
        <v>5.2200000000000003E-2</v>
      </c>
      <c r="D4411" s="1">
        <v>23000</v>
      </c>
      <c r="E4411" s="1"/>
      <c r="F4411" s="1">
        <v>256.83999999999997</v>
      </c>
      <c r="G4411" s="1">
        <v>23000</v>
      </c>
      <c r="H4411" s="5">
        <f t="shared" si="86"/>
        <v>0</v>
      </c>
      <c r="I4411" s="6"/>
      <c r="J4411" s="43"/>
      <c r="K4411" s="51"/>
      <c r="L4411" s="86"/>
      <c r="M4411" s="288"/>
      <c r="N4411" s="288"/>
    </row>
    <row r="4412" spans="1:14" s="287" customFormat="1" ht="15" x14ac:dyDescent="0.25">
      <c r="A4412" s="1"/>
      <c r="B4412" s="1" t="s">
        <v>532</v>
      </c>
      <c r="C4412" s="32">
        <v>1234</v>
      </c>
      <c r="D4412" s="1">
        <v>23000</v>
      </c>
      <c r="E4412" s="1"/>
      <c r="F4412" s="1">
        <v>256.83999999999997</v>
      </c>
      <c r="G4412" s="1">
        <v>23000</v>
      </c>
      <c r="H4412" s="5">
        <f t="shared" si="86"/>
        <v>0</v>
      </c>
      <c r="I4412" s="6"/>
      <c r="J4412" s="43"/>
      <c r="K4412" s="51"/>
      <c r="L4412" s="86"/>
      <c r="M4412" s="288"/>
      <c r="N4412" s="288"/>
    </row>
    <row r="4413" spans="1:14" s="287" customFormat="1" ht="15" x14ac:dyDescent="0.25">
      <c r="A4413" s="1"/>
      <c r="B4413" s="1" t="s">
        <v>532</v>
      </c>
      <c r="C4413" s="32">
        <v>8690</v>
      </c>
      <c r="D4413" s="1">
        <v>18000</v>
      </c>
      <c r="E4413" s="1"/>
      <c r="F4413" s="1">
        <v>200.53</v>
      </c>
      <c r="G4413" s="1">
        <v>18000</v>
      </c>
      <c r="H4413" s="5">
        <f t="shared" si="86"/>
        <v>0</v>
      </c>
      <c r="I4413" s="6"/>
      <c r="J4413" s="43"/>
      <c r="K4413" s="51"/>
      <c r="L4413" s="86"/>
      <c r="M4413" s="288"/>
      <c r="N4413" s="288"/>
    </row>
    <row r="4414" spans="1:14" s="287" customFormat="1" ht="15" x14ac:dyDescent="0.25">
      <c r="A4414" s="1"/>
      <c r="B4414" s="1" t="s">
        <v>532</v>
      </c>
      <c r="C4414" s="32">
        <v>5856</v>
      </c>
      <c r="D4414" s="1">
        <v>19000</v>
      </c>
      <c r="E4414" s="1"/>
      <c r="F4414" s="1">
        <v>211.74</v>
      </c>
      <c r="G4414" s="1">
        <v>19000</v>
      </c>
      <c r="H4414" s="5">
        <f t="shared" si="86"/>
        <v>0</v>
      </c>
      <c r="I4414" s="6"/>
      <c r="J4414" s="43"/>
      <c r="K4414" s="51"/>
      <c r="L4414" s="86"/>
      <c r="M4414" s="288"/>
      <c r="N4414" s="288"/>
    </row>
    <row r="4415" spans="1:14" s="287" customFormat="1" ht="15" x14ac:dyDescent="0.25">
      <c r="A4415" s="1"/>
      <c r="B4415" s="1" t="s">
        <v>532</v>
      </c>
      <c r="C4415" s="32">
        <v>8471</v>
      </c>
      <c r="D4415" s="1">
        <v>24000</v>
      </c>
      <c r="E4415" s="1"/>
      <c r="F4415" s="1">
        <v>267.64999999999998</v>
      </c>
      <c r="G4415" s="1">
        <v>24000</v>
      </c>
      <c r="H4415" s="5">
        <f t="shared" si="86"/>
        <v>0</v>
      </c>
      <c r="I4415" s="6"/>
      <c r="J4415" s="43"/>
      <c r="K4415" s="51"/>
      <c r="L4415" s="86"/>
      <c r="M4415" s="288"/>
      <c r="N4415" s="288"/>
    </row>
    <row r="4416" spans="1:14" s="287" customFormat="1" ht="15" x14ac:dyDescent="0.25">
      <c r="A4416" s="1"/>
      <c r="B4416" s="1" t="s">
        <v>532</v>
      </c>
      <c r="C4416" s="32">
        <v>6447</v>
      </c>
      <c r="D4416" s="1">
        <v>25000</v>
      </c>
      <c r="E4416" s="1"/>
      <c r="F4416" s="1">
        <v>278.74</v>
      </c>
      <c r="G4416" s="1">
        <v>25000</v>
      </c>
      <c r="H4416" s="5">
        <f t="shared" si="86"/>
        <v>0</v>
      </c>
      <c r="I4416" s="6"/>
      <c r="J4416" s="43"/>
      <c r="K4416" s="51"/>
      <c r="L4416" s="86">
        <f>2240565-2228165</f>
        <v>12400</v>
      </c>
      <c r="M4416" s="288" t="s">
        <v>533</v>
      </c>
      <c r="N4416" s="288">
        <f>12400-4168</f>
        <v>8232</v>
      </c>
    </row>
    <row r="4417" spans="1:14" s="289" customFormat="1" ht="15" x14ac:dyDescent="0.25">
      <c r="A4417" s="1"/>
      <c r="B4417" s="1" t="s">
        <v>534</v>
      </c>
      <c r="C4417" s="32">
        <v>2677</v>
      </c>
      <c r="D4417" s="1">
        <v>15000</v>
      </c>
      <c r="E4417" s="1"/>
      <c r="F4417" s="1">
        <v>167.15</v>
      </c>
      <c r="G4417" s="1">
        <v>15000</v>
      </c>
      <c r="H4417" s="5">
        <f t="shared" si="86"/>
        <v>0</v>
      </c>
      <c r="I4417" s="6"/>
      <c r="J4417" s="43"/>
      <c r="K4417" s="51"/>
      <c r="L4417" s="86"/>
      <c r="M4417" s="290"/>
      <c r="N4417" s="290"/>
    </row>
    <row r="4418" spans="1:14" s="289" customFormat="1" ht="15" x14ac:dyDescent="0.25">
      <c r="A4418" s="1"/>
      <c r="B4418" s="1" t="s">
        <v>534</v>
      </c>
      <c r="C4418" s="32">
        <v>5252</v>
      </c>
      <c r="D4418" s="1">
        <v>16000</v>
      </c>
      <c r="E4418" s="1"/>
      <c r="F4418" s="1">
        <v>178.22</v>
      </c>
      <c r="G4418" s="1">
        <v>16000</v>
      </c>
      <c r="H4418" s="5">
        <f t="shared" si="86"/>
        <v>0</v>
      </c>
      <c r="I4418" s="6"/>
      <c r="J4418" s="43"/>
      <c r="K4418" s="51"/>
      <c r="L4418" s="86"/>
      <c r="M4418" s="290"/>
      <c r="N4418" s="290"/>
    </row>
    <row r="4419" spans="1:14" s="289" customFormat="1" ht="15" x14ac:dyDescent="0.25">
      <c r="A4419" s="1"/>
      <c r="B4419" s="1" t="s">
        <v>534</v>
      </c>
      <c r="C4419" s="32" t="s">
        <v>30</v>
      </c>
      <c r="D4419" s="1">
        <v>5000</v>
      </c>
      <c r="E4419" s="1"/>
      <c r="F4419" s="1">
        <v>55.15</v>
      </c>
      <c r="G4419" s="1">
        <v>5000</v>
      </c>
      <c r="H4419" s="5">
        <f t="shared" si="86"/>
        <v>0</v>
      </c>
      <c r="I4419" s="6"/>
      <c r="J4419" s="43"/>
      <c r="K4419" s="51"/>
      <c r="L4419" s="86"/>
      <c r="M4419" s="290"/>
      <c r="N4419" s="290"/>
    </row>
    <row r="4420" spans="1:14" s="289" customFormat="1" ht="15" x14ac:dyDescent="0.25">
      <c r="A4420" s="1"/>
      <c r="B4420" s="1" t="s">
        <v>534</v>
      </c>
      <c r="C4420" s="32" t="s">
        <v>66</v>
      </c>
      <c r="D4420" s="1">
        <v>210</v>
      </c>
      <c r="E4420" s="1"/>
      <c r="F4420" s="1">
        <v>2.0499999999999998</v>
      </c>
      <c r="G4420" s="1">
        <v>210</v>
      </c>
      <c r="H4420" s="5">
        <f t="shared" si="86"/>
        <v>0</v>
      </c>
      <c r="I4420" s="6"/>
      <c r="J4420" s="43"/>
      <c r="K4420" s="51"/>
      <c r="L4420" s="86"/>
      <c r="M4420" s="290"/>
      <c r="N4420" s="290"/>
    </row>
    <row r="4421" spans="1:14" s="289" customFormat="1" ht="15" x14ac:dyDescent="0.25">
      <c r="A4421" s="1"/>
      <c r="B4421" s="1" t="s">
        <v>534</v>
      </c>
      <c r="C4421" s="32" t="s">
        <v>30</v>
      </c>
      <c r="D4421" s="1">
        <v>3500</v>
      </c>
      <c r="E4421" s="1"/>
      <c r="F4421" s="1">
        <v>38.450000000000003</v>
      </c>
      <c r="G4421" s="1">
        <v>3500</v>
      </c>
      <c r="H4421" s="5">
        <f t="shared" si="86"/>
        <v>0</v>
      </c>
      <c r="I4421" s="6"/>
      <c r="J4421" s="43"/>
      <c r="K4421" s="51"/>
      <c r="L4421" s="86"/>
      <c r="M4421" s="290"/>
      <c r="N4421" s="290"/>
    </row>
    <row r="4422" spans="1:14" s="289" customFormat="1" ht="15" x14ac:dyDescent="0.25">
      <c r="A4422" s="1"/>
      <c r="B4422" s="1" t="s">
        <v>534</v>
      </c>
      <c r="C4422" s="32" t="s">
        <v>66</v>
      </c>
      <c r="D4422" s="1">
        <v>100</v>
      </c>
      <c r="E4422" s="1"/>
      <c r="F4422" s="1">
        <v>1.05</v>
      </c>
      <c r="G4422" s="1">
        <v>100</v>
      </c>
      <c r="H4422" s="5">
        <f t="shared" si="86"/>
        <v>0</v>
      </c>
      <c r="I4422" s="6"/>
      <c r="J4422" s="43"/>
      <c r="K4422" s="51"/>
      <c r="L4422" s="86"/>
      <c r="M4422" s="290"/>
      <c r="N4422" s="290"/>
    </row>
    <row r="4423" spans="1:14" s="289" customFormat="1" ht="15" x14ac:dyDescent="0.25">
      <c r="A4423" s="1"/>
      <c r="B4423" s="1" t="s">
        <v>534</v>
      </c>
      <c r="C4423" s="32">
        <v>3745</v>
      </c>
      <c r="D4423" s="1">
        <v>10000</v>
      </c>
      <c r="E4423" s="1"/>
      <c r="F4423" s="1">
        <v>111.41</v>
      </c>
      <c r="G4423" s="1">
        <v>10000</v>
      </c>
      <c r="H4423" s="5">
        <f t="shared" si="86"/>
        <v>0</v>
      </c>
      <c r="I4423" s="6"/>
      <c r="J4423" s="43"/>
      <c r="K4423" s="51"/>
      <c r="L4423" s="86"/>
      <c r="M4423" s="290"/>
      <c r="N4423" s="290"/>
    </row>
    <row r="4424" spans="1:14" s="289" customFormat="1" ht="15" x14ac:dyDescent="0.25">
      <c r="A4424" s="1"/>
      <c r="B4424" s="1" t="s">
        <v>534</v>
      </c>
      <c r="C4424" s="32">
        <v>8531</v>
      </c>
      <c r="D4424" s="1">
        <v>30000</v>
      </c>
      <c r="E4424" s="1"/>
      <c r="F4424" s="1">
        <v>319.74</v>
      </c>
      <c r="G4424" s="1">
        <v>30000</v>
      </c>
      <c r="H4424" s="5">
        <f t="shared" si="86"/>
        <v>0</v>
      </c>
      <c r="I4424" s="6"/>
      <c r="J4424" s="43"/>
      <c r="K4424" s="51"/>
      <c r="L4424" s="86"/>
      <c r="M4424" s="290"/>
      <c r="N4424" s="290"/>
    </row>
    <row r="4425" spans="1:14" s="289" customFormat="1" ht="15" x14ac:dyDescent="0.25">
      <c r="A4425" s="1"/>
      <c r="B4425" s="1" t="s">
        <v>534</v>
      </c>
      <c r="C4425" s="32">
        <v>6461</v>
      </c>
      <c r="D4425" s="1">
        <v>25000</v>
      </c>
      <c r="E4425" s="1"/>
      <c r="F4425" s="1">
        <v>278.57</v>
      </c>
      <c r="G4425" s="1">
        <v>25000</v>
      </c>
      <c r="H4425" s="5">
        <f t="shared" si="86"/>
        <v>0</v>
      </c>
      <c r="I4425" s="6"/>
      <c r="J4425" s="43"/>
      <c r="K4425" s="51"/>
      <c r="L4425" s="86"/>
      <c r="M4425" s="290"/>
      <c r="N4425" s="290"/>
    </row>
    <row r="4426" spans="1:14" s="289" customFormat="1" ht="15" x14ac:dyDescent="0.25">
      <c r="A4426" s="1"/>
      <c r="B4426" s="1" t="s">
        <v>534</v>
      </c>
      <c r="C4426" s="32">
        <v>4856</v>
      </c>
      <c r="D4426" s="1">
        <v>16000</v>
      </c>
      <c r="E4426" s="1"/>
      <c r="F4426" s="1">
        <v>178.54</v>
      </c>
      <c r="G4426" s="1">
        <v>16000</v>
      </c>
      <c r="H4426" s="5">
        <f t="shared" si="86"/>
        <v>0</v>
      </c>
      <c r="I4426" s="6"/>
      <c r="J4426" s="43"/>
      <c r="K4426" s="51"/>
      <c r="L4426" s="86"/>
      <c r="M4426" s="290"/>
      <c r="N4426" s="290"/>
    </row>
    <row r="4427" spans="1:14" s="289" customFormat="1" ht="15" x14ac:dyDescent="0.25">
      <c r="A4427" s="1"/>
      <c r="B4427" s="1" t="s">
        <v>534</v>
      </c>
      <c r="C4427" s="32">
        <v>8559</v>
      </c>
      <c r="D4427" s="1">
        <v>16000</v>
      </c>
      <c r="E4427" s="1"/>
      <c r="F4427" s="1">
        <v>178.54</v>
      </c>
      <c r="G4427" s="1">
        <v>16000</v>
      </c>
      <c r="H4427" s="5">
        <f t="shared" si="86"/>
        <v>0</v>
      </c>
      <c r="I4427" s="6"/>
      <c r="J4427" s="43"/>
      <c r="K4427" s="51"/>
      <c r="L4427" s="86"/>
      <c r="M4427" s="290"/>
      <c r="N4427" s="290"/>
    </row>
    <row r="4428" spans="1:14" s="289" customFormat="1" ht="15" x14ac:dyDescent="0.25">
      <c r="A4428" s="1"/>
      <c r="B4428" s="1" t="s">
        <v>534</v>
      </c>
      <c r="C4428" s="32">
        <v>2806</v>
      </c>
      <c r="D4428" s="1">
        <v>16000</v>
      </c>
      <c r="E4428" s="1"/>
      <c r="F4428" s="1">
        <v>178.54</v>
      </c>
      <c r="G4428" s="1">
        <v>16000</v>
      </c>
      <c r="H4428" s="5">
        <f t="shared" si="86"/>
        <v>0</v>
      </c>
      <c r="I4428" s="6"/>
      <c r="J4428" s="43"/>
      <c r="K4428" s="51"/>
      <c r="L4428" s="86"/>
      <c r="M4428" s="290"/>
      <c r="N4428" s="290"/>
    </row>
    <row r="4429" spans="1:14" s="289" customFormat="1" ht="15" x14ac:dyDescent="0.25">
      <c r="A4429" s="1"/>
      <c r="B4429" s="1" t="s">
        <v>534</v>
      </c>
      <c r="C4429" s="32">
        <v>2810</v>
      </c>
      <c r="D4429" s="1">
        <v>15000</v>
      </c>
      <c r="E4429" s="1"/>
      <c r="F4429" s="1">
        <v>167.15</v>
      </c>
      <c r="G4429" s="1">
        <v>15000</v>
      </c>
      <c r="H4429" s="5">
        <f t="shared" si="86"/>
        <v>0</v>
      </c>
      <c r="I4429" s="6"/>
      <c r="J4429" s="43"/>
      <c r="K4429" s="51"/>
      <c r="L4429" s="86"/>
      <c r="M4429" s="290"/>
      <c r="N4429" s="290"/>
    </row>
    <row r="4430" spans="1:14" s="289" customFormat="1" ht="15" x14ac:dyDescent="0.25">
      <c r="A4430" s="1"/>
      <c r="B4430" s="1" t="s">
        <v>534</v>
      </c>
      <c r="C4430" s="32">
        <v>5681</v>
      </c>
      <c r="D4430" s="1">
        <v>17000</v>
      </c>
      <c r="E4430" s="1"/>
      <c r="F4430" s="1">
        <v>189.74</v>
      </c>
      <c r="G4430" s="1">
        <v>17000</v>
      </c>
      <c r="H4430" s="5">
        <f t="shared" si="86"/>
        <v>0</v>
      </c>
      <c r="I4430" s="6"/>
      <c r="J4430" s="43"/>
      <c r="K4430" s="51"/>
      <c r="L4430" s="86"/>
      <c r="M4430" s="290"/>
      <c r="N4430" s="290"/>
    </row>
    <row r="4431" spans="1:14" s="289" customFormat="1" ht="15" x14ac:dyDescent="0.25">
      <c r="A4431" s="1"/>
      <c r="B4431" s="1" t="s">
        <v>534</v>
      </c>
      <c r="C4431" s="32">
        <v>5931</v>
      </c>
      <c r="D4431" s="1">
        <v>16000</v>
      </c>
      <c r="E4431" s="1"/>
      <c r="F4431" s="1">
        <v>178.22</v>
      </c>
      <c r="G4431" s="1">
        <v>16000</v>
      </c>
      <c r="H4431" s="5">
        <f t="shared" si="86"/>
        <v>0</v>
      </c>
      <c r="I4431" s="6"/>
      <c r="J4431" s="43"/>
      <c r="K4431" s="51"/>
      <c r="L4431" s="86"/>
      <c r="M4431" s="290"/>
      <c r="N4431" s="290"/>
    </row>
    <row r="4432" spans="1:14" s="289" customFormat="1" ht="15" x14ac:dyDescent="0.25">
      <c r="A4432" s="1"/>
      <c r="B4432" s="1" t="s">
        <v>534</v>
      </c>
      <c r="C4432" s="32">
        <v>4115</v>
      </c>
      <c r="D4432" s="1">
        <v>20000</v>
      </c>
      <c r="E4432" s="1"/>
      <c r="F4432" s="1">
        <v>222.74</v>
      </c>
      <c r="G4432" s="1">
        <v>20000</v>
      </c>
      <c r="H4432" s="5">
        <f t="shared" si="86"/>
        <v>0</v>
      </c>
      <c r="I4432" s="6"/>
      <c r="J4432" s="43"/>
      <c r="K4432" s="51"/>
      <c r="L4432" s="86"/>
      <c r="M4432" s="290"/>
      <c r="N4432" s="290"/>
    </row>
    <row r="4433" spans="1:14" s="289" customFormat="1" ht="15" x14ac:dyDescent="0.25">
      <c r="A4433" s="1"/>
      <c r="B4433" s="1" t="s">
        <v>534</v>
      </c>
      <c r="C4433" s="32">
        <v>9629</v>
      </c>
      <c r="D4433" s="1">
        <v>22000</v>
      </c>
      <c r="E4433" s="1"/>
      <c r="F4433" s="1">
        <v>284.74</v>
      </c>
      <c r="G4433" s="1">
        <v>22000</v>
      </c>
      <c r="H4433" s="5">
        <f t="shared" si="86"/>
        <v>0</v>
      </c>
      <c r="I4433" s="6"/>
      <c r="J4433" s="43"/>
      <c r="K4433" s="51"/>
      <c r="L4433" s="86"/>
      <c r="M4433" s="290"/>
      <c r="N4433" s="290"/>
    </row>
    <row r="4434" spans="1:14" s="289" customFormat="1" ht="15" x14ac:dyDescent="0.25">
      <c r="A4434" s="1"/>
      <c r="B4434" s="1" t="s">
        <v>534</v>
      </c>
      <c r="C4434" s="32">
        <v>5.8400000000000001E-2</v>
      </c>
      <c r="D4434" s="1">
        <v>20000</v>
      </c>
      <c r="E4434" s="1"/>
      <c r="F4434" s="1">
        <v>222.74</v>
      </c>
      <c r="G4434" s="1">
        <v>20000</v>
      </c>
      <c r="H4434" s="5">
        <f t="shared" si="86"/>
        <v>0</v>
      </c>
      <c r="I4434" s="6"/>
      <c r="J4434" s="43"/>
      <c r="K4434" s="51"/>
      <c r="L4434" s="86"/>
      <c r="M4434" s="290"/>
      <c r="N4434" s="290"/>
    </row>
    <row r="4435" spans="1:14" s="289" customFormat="1" ht="15" x14ac:dyDescent="0.25">
      <c r="A4435" s="1"/>
      <c r="B4435" s="1" t="s">
        <v>534</v>
      </c>
      <c r="C4435" s="32">
        <v>5729</v>
      </c>
      <c r="D4435" s="1">
        <v>25000</v>
      </c>
      <c r="E4435" s="1"/>
      <c r="F4435" s="1">
        <v>278.57</v>
      </c>
      <c r="G4435" s="1">
        <v>25000</v>
      </c>
      <c r="H4435" s="5">
        <f t="shared" si="86"/>
        <v>0</v>
      </c>
      <c r="I4435" s="6"/>
      <c r="J4435" s="43"/>
      <c r="K4435" s="51"/>
      <c r="L4435" s="86"/>
      <c r="M4435" s="290"/>
      <c r="N4435" s="290"/>
    </row>
    <row r="4436" spans="1:14" s="289" customFormat="1" ht="15" x14ac:dyDescent="0.25">
      <c r="A4436" s="1"/>
      <c r="B4436" s="1" t="s">
        <v>534</v>
      </c>
      <c r="C4436" s="32">
        <v>2258</v>
      </c>
      <c r="D4436" s="1">
        <v>24000</v>
      </c>
      <c r="E4436" s="1"/>
      <c r="F4436" s="1">
        <v>267.74</v>
      </c>
      <c r="G4436" s="1">
        <v>24000</v>
      </c>
      <c r="H4436" s="5">
        <f t="shared" si="86"/>
        <v>0</v>
      </c>
      <c r="I4436" s="6"/>
      <c r="J4436" s="43"/>
      <c r="K4436" s="51"/>
      <c r="L4436" s="86"/>
      <c r="M4436" s="290"/>
      <c r="N4436" s="290"/>
    </row>
    <row r="4437" spans="1:14" s="289" customFormat="1" ht="15" x14ac:dyDescent="0.25">
      <c r="A4437" s="1"/>
      <c r="B4437" s="1" t="s">
        <v>534</v>
      </c>
      <c r="C4437" s="32">
        <v>4866</v>
      </c>
      <c r="D4437" s="1">
        <v>20000</v>
      </c>
      <c r="E4437" s="1"/>
      <c r="F4437" s="1">
        <v>222.74</v>
      </c>
      <c r="G4437" s="1">
        <v>20000</v>
      </c>
      <c r="H4437" s="5">
        <f t="shared" si="86"/>
        <v>0</v>
      </c>
      <c r="I4437" s="6"/>
      <c r="J4437" s="43"/>
      <c r="K4437" s="51"/>
      <c r="L4437" s="86"/>
      <c r="M4437" s="290"/>
      <c r="N4437" s="290"/>
    </row>
    <row r="4438" spans="1:14" s="289" customFormat="1" ht="15" x14ac:dyDescent="0.25">
      <c r="A4438" s="1"/>
      <c r="B4438" s="1" t="s">
        <v>534</v>
      </c>
      <c r="C4438" s="32">
        <v>5889</v>
      </c>
      <c r="D4438" s="1">
        <v>20000</v>
      </c>
      <c r="E4438" s="1"/>
      <c r="F4438" s="1">
        <v>222.74</v>
      </c>
      <c r="G4438" s="1">
        <v>20000</v>
      </c>
      <c r="H4438" s="5">
        <f t="shared" si="86"/>
        <v>0</v>
      </c>
      <c r="I4438" s="6"/>
      <c r="J4438" s="43"/>
      <c r="K4438" s="51"/>
      <c r="L4438" s="86"/>
      <c r="M4438" s="290"/>
      <c r="N4438" s="290"/>
    </row>
    <row r="4439" spans="1:14" s="289" customFormat="1" ht="15" x14ac:dyDescent="0.25">
      <c r="A4439" s="1"/>
      <c r="B4439" s="1" t="s">
        <v>534</v>
      </c>
      <c r="C4439" s="32">
        <v>8948</v>
      </c>
      <c r="D4439" s="1">
        <v>20000</v>
      </c>
      <c r="E4439" s="1"/>
      <c r="F4439" s="1">
        <v>222.74</v>
      </c>
      <c r="G4439" s="1">
        <v>20000</v>
      </c>
      <c r="H4439" s="5">
        <f t="shared" si="86"/>
        <v>0</v>
      </c>
      <c r="I4439" s="6"/>
      <c r="J4439" s="43"/>
      <c r="K4439" s="51"/>
      <c r="L4439" s="86"/>
      <c r="M4439" s="290"/>
      <c r="N4439" s="290"/>
    </row>
    <row r="4440" spans="1:14" s="289" customFormat="1" ht="15" x14ac:dyDescent="0.25">
      <c r="A4440" s="1"/>
      <c r="B4440" s="1" t="s">
        <v>534</v>
      </c>
      <c r="C4440" s="32">
        <v>7182</v>
      </c>
      <c r="D4440" s="1">
        <v>10000</v>
      </c>
      <c r="E4440" s="1"/>
      <c r="F4440" s="1">
        <v>111.41</v>
      </c>
      <c r="G4440" s="1">
        <v>10000</v>
      </c>
      <c r="H4440" s="5">
        <f t="shared" si="86"/>
        <v>0</v>
      </c>
      <c r="I4440" s="6"/>
      <c r="J4440" s="43"/>
      <c r="K4440" s="51"/>
      <c r="L4440" s="86">
        <f>2109975-2122375</f>
        <v>-12400</v>
      </c>
      <c r="M4440" s="290" t="s">
        <v>533</v>
      </c>
      <c r="N4440" s="290">
        <f>12400-4168</f>
        <v>8232</v>
      </c>
    </row>
    <row r="4441" spans="1:14" s="291" customFormat="1" ht="15" x14ac:dyDescent="0.25">
      <c r="A4441" s="1"/>
      <c r="B4441" s="1" t="s">
        <v>535</v>
      </c>
      <c r="C4441" s="32" t="s">
        <v>30</v>
      </c>
      <c r="D4441" s="1">
        <v>4500</v>
      </c>
      <c r="E4441" s="1"/>
      <c r="F4441" s="1">
        <v>50.47</v>
      </c>
      <c r="G4441" s="1">
        <v>4500</v>
      </c>
      <c r="H4441" s="5">
        <f t="shared" si="86"/>
        <v>0</v>
      </c>
      <c r="I4441" s="6"/>
      <c r="J4441" s="43"/>
      <c r="K4441" s="51"/>
      <c r="L4441" s="86"/>
      <c r="M4441" s="292"/>
      <c r="N4441" s="292"/>
    </row>
    <row r="4442" spans="1:14" s="291" customFormat="1" ht="15" x14ac:dyDescent="0.25">
      <c r="A4442" s="1"/>
      <c r="B4442" s="1" t="s">
        <v>535</v>
      </c>
      <c r="C4442" s="32">
        <v>5250</v>
      </c>
      <c r="D4442" s="1">
        <v>17000</v>
      </c>
      <c r="E4442" s="1"/>
      <c r="F4442" s="1">
        <v>189.74</v>
      </c>
      <c r="G4442" s="1">
        <v>17000</v>
      </c>
      <c r="H4442" s="5">
        <f t="shared" si="86"/>
        <v>0</v>
      </c>
      <c r="I4442" s="6"/>
      <c r="J4442" s="43"/>
      <c r="K4442" s="51"/>
      <c r="L4442" s="86"/>
      <c r="M4442" s="292"/>
      <c r="N4442" s="292"/>
    </row>
    <row r="4443" spans="1:14" s="291" customFormat="1" ht="15" x14ac:dyDescent="0.25">
      <c r="A4443" s="1"/>
      <c r="B4443" s="1" t="s">
        <v>535</v>
      </c>
      <c r="C4443" s="293">
        <v>5.1000000000000004E-4</v>
      </c>
      <c r="D4443" s="1">
        <v>16000</v>
      </c>
      <c r="E4443" s="1"/>
      <c r="F4443" s="1">
        <v>178.22</v>
      </c>
      <c r="G4443" s="1">
        <v>16000</v>
      </c>
      <c r="H4443" s="5">
        <f t="shared" si="86"/>
        <v>0</v>
      </c>
      <c r="I4443" s="6"/>
      <c r="J4443" s="43"/>
      <c r="K4443" s="51"/>
      <c r="L4443" s="86"/>
      <c r="M4443" s="292"/>
      <c r="N4443" s="292"/>
    </row>
    <row r="4444" spans="1:14" s="291" customFormat="1" ht="15" x14ac:dyDescent="0.25">
      <c r="A4444" s="1"/>
      <c r="B4444" s="1" t="s">
        <v>535</v>
      </c>
      <c r="C4444" s="32" t="s">
        <v>30</v>
      </c>
      <c r="D4444" s="1">
        <v>5000</v>
      </c>
      <c r="E4444" s="1"/>
      <c r="F4444" s="1">
        <v>55.45</v>
      </c>
      <c r="G4444" s="1">
        <v>5000</v>
      </c>
      <c r="H4444" s="5">
        <f t="shared" si="86"/>
        <v>0</v>
      </c>
      <c r="I4444" s="6"/>
      <c r="J4444" s="43"/>
      <c r="K4444" s="51"/>
      <c r="L4444" s="86"/>
      <c r="M4444" s="292"/>
      <c r="N4444" s="292"/>
    </row>
    <row r="4445" spans="1:14" s="291" customFormat="1" ht="15" x14ac:dyDescent="0.25">
      <c r="A4445" s="1"/>
      <c r="B4445" s="1" t="s">
        <v>535</v>
      </c>
      <c r="C4445" s="32">
        <v>5.1999999999999998E-3</v>
      </c>
      <c r="D4445" s="294">
        <v>16000</v>
      </c>
      <c r="E4445" s="1"/>
      <c r="F4445" s="1">
        <v>178.22</v>
      </c>
      <c r="G4445" s="1">
        <v>16000</v>
      </c>
      <c r="H4445" s="5">
        <f t="shared" si="86"/>
        <v>0</v>
      </c>
      <c r="I4445" s="6"/>
      <c r="J4445" s="43"/>
      <c r="K4445" s="51"/>
      <c r="L4445" s="86"/>
      <c r="M4445" s="292"/>
      <c r="N4445" s="292"/>
    </row>
    <row r="4446" spans="1:14" s="291" customFormat="1" ht="15" x14ac:dyDescent="0.25">
      <c r="A4446" s="1"/>
      <c r="B4446" s="1" t="s">
        <v>535</v>
      </c>
      <c r="C4446" s="32">
        <v>6573</v>
      </c>
      <c r="D4446" s="295">
        <v>16000</v>
      </c>
      <c r="E4446" s="1"/>
      <c r="F4446" s="1">
        <v>178.22</v>
      </c>
      <c r="G4446" s="1">
        <v>16000</v>
      </c>
      <c r="H4446" s="5">
        <f t="shared" si="86"/>
        <v>0</v>
      </c>
      <c r="I4446" s="6"/>
      <c r="J4446" s="43"/>
      <c r="K4446" s="51"/>
      <c r="L4446" s="86"/>
      <c r="M4446" s="292"/>
      <c r="N4446" s="292"/>
    </row>
    <row r="4447" spans="1:14" s="291" customFormat="1" ht="15" x14ac:dyDescent="0.25">
      <c r="A4447" s="1"/>
      <c r="B4447" s="1" t="s">
        <v>535</v>
      </c>
      <c r="C4447" s="32">
        <v>4513</v>
      </c>
      <c r="D4447" s="1">
        <v>16000</v>
      </c>
      <c r="E4447" s="1"/>
      <c r="F4447" s="1">
        <v>178.22</v>
      </c>
      <c r="G4447" s="1">
        <v>16000</v>
      </c>
      <c r="H4447" s="5">
        <f t="shared" si="86"/>
        <v>0</v>
      </c>
      <c r="I4447" s="6"/>
      <c r="J4447" s="43"/>
      <c r="K4447" s="51"/>
      <c r="L4447" s="86"/>
      <c r="M4447" s="292"/>
      <c r="N4447" s="292"/>
    </row>
    <row r="4448" spans="1:14" s="291" customFormat="1" ht="15" x14ac:dyDescent="0.25">
      <c r="A4448" s="1"/>
      <c r="B4448" s="1" t="s">
        <v>535</v>
      </c>
      <c r="C4448" s="32">
        <v>1416</v>
      </c>
      <c r="D4448" s="1">
        <v>10000</v>
      </c>
      <c r="E4448" s="1"/>
      <c r="F4448" s="1">
        <v>111.41</v>
      </c>
      <c r="G4448" s="1">
        <v>10000</v>
      </c>
      <c r="H4448" s="5">
        <f t="shared" ref="H4448:H4511" si="87">D4448-G4448</f>
        <v>0</v>
      </c>
      <c r="I4448" s="6"/>
      <c r="J4448" s="43"/>
      <c r="K4448" s="51"/>
      <c r="L4448" s="86"/>
      <c r="M4448" s="292"/>
      <c r="N4448" s="292"/>
    </row>
    <row r="4449" spans="1:14" s="291" customFormat="1" ht="15" x14ac:dyDescent="0.25">
      <c r="A4449" s="1"/>
      <c r="B4449" s="1" t="s">
        <v>535</v>
      </c>
      <c r="C4449" s="32">
        <v>4059</v>
      </c>
      <c r="D4449" s="1">
        <v>16000</v>
      </c>
      <c r="E4449" s="1"/>
      <c r="F4449" s="1">
        <v>178.22</v>
      </c>
      <c r="G4449" s="1">
        <v>16000</v>
      </c>
      <c r="H4449" s="5">
        <f t="shared" si="87"/>
        <v>0</v>
      </c>
      <c r="I4449" s="6"/>
      <c r="J4449" s="43"/>
      <c r="K4449" s="51"/>
      <c r="L4449" s="86"/>
      <c r="M4449" s="292"/>
      <c r="N4449" s="292"/>
    </row>
    <row r="4450" spans="1:14" s="291" customFormat="1" ht="15" x14ac:dyDescent="0.25">
      <c r="A4450" s="1"/>
      <c r="B4450" s="1" t="s">
        <v>535</v>
      </c>
      <c r="C4450" s="32">
        <v>2702</v>
      </c>
      <c r="D4450" s="1">
        <v>19000</v>
      </c>
      <c r="E4450" s="1"/>
      <c r="F4450" s="1">
        <v>211.74</v>
      </c>
      <c r="G4450" s="1">
        <v>19000</v>
      </c>
      <c r="H4450" s="5">
        <f t="shared" si="87"/>
        <v>0</v>
      </c>
      <c r="I4450" s="6"/>
      <c r="J4450" s="43"/>
      <c r="K4450" s="51"/>
      <c r="L4450" s="86"/>
      <c r="M4450" s="292"/>
      <c r="N4450" s="292"/>
    </row>
    <row r="4451" spans="1:14" s="291" customFormat="1" ht="15" x14ac:dyDescent="0.25">
      <c r="A4451" s="1"/>
      <c r="B4451" s="1" t="s">
        <v>535</v>
      </c>
      <c r="C4451" s="32">
        <v>2.9499999999999998E-2</v>
      </c>
      <c r="D4451" s="1">
        <v>20000</v>
      </c>
      <c r="E4451" s="1"/>
      <c r="F4451" s="1">
        <v>222.74</v>
      </c>
      <c r="G4451" s="1">
        <v>20000</v>
      </c>
      <c r="H4451" s="5">
        <f t="shared" si="87"/>
        <v>0</v>
      </c>
      <c r="I4451" s="6"/>
      <c r="J4451" s="43"/>
      <c r="K4451" s="51"/>
      <c r="L4451" s="86"/>
      <c r="M4451" s="292"/>
      <c r="N4451" s="292"/>
    </row>
    <row r="4452" spans="1:14" s="291" customFormat="1" ht="15" x14ac:dyDescent="0.25">
      <c r="A4452" s="1"/>
      <c r="B4452" s="1" t="s">
        <v>535</v>
      </c>
      <c r="C4452" s="32">
        <v>3800</v>
      </c>
      <c r="D4452" s="1">
        <v>20000</v>
      </c>
      <c r="E4452" s="1"/>
      <c r="F4452" s="1">
        <v>222.74</v>
      </c>
      <c r="G4452" s="1">
        <v>20000</v>
      </c>
      <c r="H4452" s="5">
        <f t="shared" si="87"/>
        <v>0</v>
      </c>
      <c r="I4452" s="6"/>
      <c r="J4452" s="43"/>
      <c r="K4452" s="51"/>
      <c r="L4452" s="86"/>
      <c r="M4452" s="292"/>
      <c r="N4452" s="292"/>
    </row>
    <row r="4453" spans="1:14" s="291" customFormat="1" ht="15" x14ac:dyDescent="0.25">
      <c r="A4453" s="1"/>
      <c r="B4453" s="1" t="s">
        <v>535</v>
      </c>
      <c r="C4453" s="32">
        <v>5247</v>
      </c>
      <c r="D4453" s="1">
        <v>14000</v>
      </c>
      <c r="E4453" s="1"/>
      <c r="F4453" s="1">
        <v>155.74</v>
      </c>
      <c r="G4453" s="1">
        <v>14000</v>
      </c>
      <c r="H4453" s="5">
        <f t="shared" si="87"/>
        <v>0</v>
      </c>
      <c r="I4453" s="6"/>
      <c r="J4453" s="43"/>
      <c r="K4453" s="51"/>
      <c r="L4453" s="86"/>
      <c r="M4453" s="292"/>
      <c r="N4453" s="292"/>
    </row>
    <row r="4454" spans="1:14" s="291" customFormat="1" ht="15" x14ac:dyDescent="0.25">
      <c r="A4454" s="1"/>
      <c r="B4454" s="1" t="s">
        <v>535</v>
      </c>
      <c r="C4454" s="32">
        <v>9327</v>
      </c>
      <c r="D4454" s="1">
        <v>15000</v>
      </c>
      <c r="E4454" s="1"/>
      <c r="F4454" s="1">
        <v>167.84</v>
      </c>
      <c r="G4454" s="1">
        <v>15000</v>
      </c>
      <c r="H4454" s="5">
        <f t="shared" si="87"/>
        <v>0</v>
      </c>
      <c r="I4454" s="6"/>
      <c r="J4454" s="43"/>
      <c r="K4454" s="51"/>
      <c r="L4454" s="86"/>
      <c r="M4454" s="292"/>
      <c r="N4454" s="292"/>
    </row>
    <row r="4455" spans="1:14" s="291" customFormat="1" ht="15" x14ac:dyDescent="0.25">
      <c r="A4455" s="1"/>
      <c r="B4455" s="1" t="s">
        <v>535</v>
      </c>
      <c r="C4455" s="32">
        <v>4058</v>
      </c>
      <c r="D4455" s="1">
        <v>16000</v>
      </c>
      <c r="E4455" s="1"/>
      <c r="F4455" s="1">
        <v>178.22</v>
      </c>
      <c r="G4455" s="1">
        <v>16000</v>
      </c>
      <c r="H4455" s="5">
        <f t="shared" si="87"/>
        <v>0</v>
      </c>
      <c r="I4455" s="6"/>
      <c r="J4455" s="43"/>
      <c r="K4455" s="51"/>
      <c r="L4455" s="86"/>
      <c r="M4455" s="292"/>
      <c r="N4455" s="292"/>
    </row>
    <row r="4456" spans="1:14" s="291" customFormat="1" ht="15" x14ac:dyDescent="0.25">
      <c r="A4456" s="1"/>
      <c r="B4456" s="1" t="s">
        <v>535</v>
      </c>
      <c r="C4456" s="32">
        <v>7878</v>
      </c>
      <c r="D4456" s="1">
        <v>16500</v>
      </c>
      <c r="E4456" s="1"/>
      <c r="F4456" s="1">
        <v>153.74</v>
      </c>
      <c r="G4456" s="1">
        <v>16500</v>
      </c>
      <c r="H4456" s="5">
        <f t="shared" si="87"/>
        <v>0</v>
      </c>
      <c r="I4456" s="6"/>
      <c r="J4456" s="43"/>
      <c r="K4456" s="51"/>
      <c r="L4456" s="86"/>
      <c r="M4456" s="292"/>
      <c r="N4456" s="292"/>
    </row>
    <row r="4457" spans="1:14" s="291" customFormat="1" ht="15" x14ac:dyDescent="0.25">
      <c r="A4457" s="1"/>
      <c r="B4457" s="1" t="s">
        <v>535</v>
      </c>
      <c r="C4457" s="32">
        <v>1101</v>
      </c>
      <c r="D4457" s="1">
        <v>20000</v>
      </c>
      <c r="E4457" s="1"/>
      <c r="F4457" s="1">
        <v>222.87</v>
      </c>
      <c r="G4457" s="1">
        <v>20000</v>
      </c>
      <c r="H4457" s="5">
        <f t="shared" si="87"/>
        <v>0</v>
      </c>
      <c r="I4457" s="6"/>
      <c r="J4457" s="43"/>
      <c r="K4457" s="51"/>
      <c r="L4457" s="86"/>
      <c r="M4457" s="292"/>
      <c r="N4457" s="292"/>
    </row>
    <row r="4458" spans="1:14" s="291" customFormat="1" ht="15" x14ac:dyDescent="0.25">
      <c r="A4458" s="1"/>
      <c r="B4458" s="1" t="s">
        <v>535</v>
      </c>
      <c r="C4458" s="32">
        <v>2809</v>
      </c>
      <c r="D4458" s="1">
        <v>15000</v>
      </c>
      <c r="E4458" s="1"/>
      <c r="F4458" s="1">
        <v>167.15</v>
      </c>
      <c r="G4458" s="1">
        <v>15000</v>
      </c>
      <c r="H4458" s="5">
        <f t="shared" si="87"/>
        <v>0</v>
      </c>
      <c r="I4458" s="6"/>
      <c r="J4458" s="43"/>
      <c r="K4458" s="51"/>
      <c r="L4458" s="86"/>
      <c r="M4458" s="292"/>
      <c r="N4458" s="292"/>
    </row>
    <row r="4459" spans="1:14" s="291" customFormat="1" ht="15" x14ac:dyDescent="0.25">
      <c r="A4459" s="1"/>
      <c r="B4459" s="1" t="s">
        <v>535</v>
      </c>
      <c r="C4459" s="32">
        <v>6659</v>
      </c>
      <c r="D4459" s="1">
        <v>15000</v>
      </c>
      <c r="E4459" s="1"/>
      <c r="F4459" s="1">
        <v>167.15</v>
      </c>
      <c r="G4459" s="1">
        <v>15000</v>
      </c>
      <c r="H4459" s="5">
        <f t="shared" si="87"/>
        <v>0</v>
      </c>
      <c r="I4459" s="6"/>
      <c r="J4459" s="43"/>
      <c r="K4459" s="51"/>
      <c r="L4459" s="86"/>
      <c r="M4459" s="292"/>
      <c r="N4459" s="292"/>
    </row>
    <row r="4460" spans="1:14" s="291" customFormat="1" ht="15" x14ac:dyDescent="0.25">
      <c r="A4460" s="1"/>
      <c r="B4460" s="1" t="s">
        <v>535</v>
      </c>
      <c r="C4460" s="32">
        <v>8815</v>
      </c>
      <c r="D4460" s="1">
        <v>26000</v>
      </c>
      <c r="E4460" s="1"/>
      <c r="F4460" s="1">
        <v>289.54000000000002</v>
      </c>
      <c r="G4460" s="1">
        <v>26000</v>
      </c>
      <c r="H4460" s="5">
        <f t="shared" si="87"/>
        <v>0</v>
      </c>
      <c r="I4460" s="6"/>
      <c r="J4460" s="43"/>
      <c r="K4460" s="51"/>
      <c r="L4460" s="86"/>
      <c r="M4460" s="292"/>
      <c r="N4460" s="292"/>
    </row>
    <row r="4461" spans="1:14" s="291" customFormat="1" ht="15" x14ac:dyDescent="0.25">
      <c r="A4461" s="1"/>
      <c r="B4461" s="1" t="s">
        <v>535</v>
      </c>
      <c r="C4461" s="32">
        <v>8411</v>
      </c>
      <c r="D4461" s="1">
        <v>23000</v>
      </c>
      <c r="E4461" s="1"/>
      <c r="F4461" s="1">
        <v>256.87</v>
      </c>
      <c r="G4461" s="1">
        <v>23000</v>
      </c>
      <c r="H4461" s="5">
        <f t="shared" si="87"/>
        <v>0</v>
      </c>
      <c r="I4461" s="6"/>
      <c r="J4461" s="43"/>
      <c r="K4461" s="51"/>
      <c r="L4461" s="86"/>
      <c r="M4461" s="292"/>
      <c r="N4461" s="292"/>
    </row>
    <row r="4462" spans="1:14" s="291" customFormat="1" ht="15" x14ac:dyDescent="0.25">
      <c r="A4462" s="1"/>
      <c r="B4462" s="1" t="s">
        <v>535</v>
      </c>
      <c r="C4462" s="32">
        <v>9607</v>
      </c>
      <c r="D4462" s="1">
        <v>25000</v>
      </c>
      <c r="E4462" s="1"/>
      <c r="F4462" s="1">
        <v>278.22000000000003</v>
      </c>
      <c r="G4462" s="1">
        <v>25000</v>
      </c>
      <c r="H4462" s="5">
        <f t="shared" si="87"/>
        <v>0</v>
      </c>
      <c r="I4462" s="6"/>
      <c r="J4462" s="43"/>
      <c r="K4462" s="51"/>
      <c r="L4462" s="86"/>
      <c r="M4462" s="292"/>
      <c r="N4462" s="292"/>
    </row>
    <row r="4463" spans="1:14" s="291" customFormat="1" ht="15" x14ac:dyDescent="0.25">
      <c r="A4463" s="1"/>
      <c r="B4463" s="1" t="s">
        <v>535</v>
      </c>
      <c r="C4463" s="32">
        <v>9786</v>
      </c>
      <c r="D4463" s="1">
        <v>18000</v>
      </c>
      <c r="E4463" s="1"/>
      <c r="F4463" s="1">
        <v>200.53</v>
      </c>
      <c r="G4463" s="1">
        <v>18000</v>
      </c>
      <c r="H4463" s="5">
        <f t="shared" si="87"/>
        <v>0</v>
      </c>
      <c r="I4463" s="6"/>
      <c r="J4463" s="43"/>
      <c r="K4463" s="51"/>
      <c r="L4463" s="86"/>
      <c r="M4463" s="292"/>
      <c r="N4463" s="292"/>
    </row>
    <row r="4464" spans="1:14" s="291" customFormat="1" ht="15" x14ac:dyDescent="0.25">
      <c r="A4464" s="1"/>
      <c r="B4464" s="1" t="s">
        <v>535</v>
      </c>
      <c r="C4464" s="32">
        <v>3286</v>
      </c>
      <c r="D4464" s="1">
        <v>20000</v>
      </c>
      <c r="E4464" s="1"/>
      <c r="F4464" s="1">
        <v>222.78</v>
      </c>
      <c r="G4464" s="1">
        <v>20000</v>
      </c>
      <c r="H4464" s="5">
        <f t="shared" si="87"/>
        <v>0</v>
      </c>
      <c r="I4464" s="6"/>
      <c r="J4464" s="43"/>
      <c r="K4464" s="51"/>
      <c r="L4464" s="86">
        <f>2121776-2108975</f>
        <v>12801</v>
      </c>
      <c r="M4464" s="292" t="s">
        <v>536</v>
      </c>
      <c r="N4464" s="292">
        <f>12801-4569</f>
        <v>8232</v>
      </c>
    </row>
    <row r="4465" spans="1:14" s="296" customFormat="1" ht="15" x14ac:dyDescent="0.25">
      <c r="A4465" s="1"/>
      <c r="B4465" s="1" t="s">
        <v>537</v>
      </c>
      <c r="C4465" s="32" t="s">
        <v>63</v>
      </c>
      <c r="D4465" s="1">
        <v>3339</v>
      </c>
      <c r="E4465" s="1"/>
      <c r="F4465" s="1">
        <v>37.71</v>
      </c>
      <c r="G4465" s="1">
        <v>3339</v>
      </c>
      <c r="H4465" s="5">
        <f t="shared" si="87"/>
        <v>0</v>
      </c>
      <c r="I4465" s="6"/>
      <c r="J4465" s="43"/>
      <c r="K4465" s="51"/>
      <c r="L4465" s="86"/>
      <c r="M4465" s="297"/>
      <c r="N4465" s="297"/>
    </row>
    <row r="4466" spans="1:14" s="296" customFormat="1" ht="15" x14ac:dyDescent="0.25">
      <c r="A4466" s="1"/>
      <c r="B4466" s="1" t="s">
        <v>537</v>
      </c>
      <c r="C4466" s="32">
        <v>5240</v>
      </c>
      <c r="D4466" s="1">
        <v>10000</v>
      </c>
      <c r="E4466" s="1"/>
      <c r="F4466" s="1">
        <v>111.41</v>
      </c>
      <c r="G4466" s="1">
        <v>10000</v>
      </c>
      <c r="H4466" s="5">
        <f t="shared" si="87"/>
        <v>0</v>
      </c>
      <c r="I4466" s="6"/>
      <c r="J4466" s="43"/>
      <c r="K4466" s="51"/>
      <c r="L4466" s="86"/>
      <c r="M4466" s="297"/>
      <c r="N4466" s="297"/>
    </row>
    <row r="4467" spans="1:14" s="296" customFormat="1" ht="15" x14ac:dyDescent="0.25">
      <c r="A4467" s="1"/>
      <c r="B4467" s="1" t="s">
        <v>537</v>
      </c>
      <c r="C4467" s="32">
        <v>6.4399999999999999E-2</v>
      </c>
      <c r="D4467" s="1">
        <v>28500</v>
      </c>
      <c r="E4467" s="1"/>
      <c r="F4467" s="1">
        <v>316.75</v>
      </c>
      <c r="G4467" s="1">
        <v>28500</v>
      </c>
      <c r="H4467" s="5">
        <f t="shared" si="87"/>
        <v>0</v>
      </c>
      <c r="I4467" s="6"/>
      <c r="J4467" s="43"/>
      <c r="K4467" s="51"/>
      <c r="L4467" s="86"/>
      <c r="M4467" s="297"/>
      <c r="N4467" s="297"/>
    </row>
    <row r="4468" spans="1:14" s="296" customFormat="1" ht="15" x14ac:dyDescent="0.25">
      <c r="A4468" s="1"/>
      <c r="B4468" s="1" t="s">
        <v>537</v>
      </c>
      <c r="C4468" s="32">
        <v>2259</v>
      </c>
      <c r="D4468" s="1">
        <v>31500</v>
      </c>
      <c r="E4468" s="1"/>
      <c r="F4468" s="1">
        <v>350.74</v>
      </c>
      <c r="G4468" s="1">
        <v>31500</v>
      </c>
      <c r="H4468" s="5">
        <f t="shared" si="87"/>
        <v>0</v>
      </c>
      <c r="I4468" s="6"/>
      <c r="J4468" s="43"/>
      <c r="K4468" s="51"/>
      <c r="L4468" s="86"/>
      <c r="M4468" s="297"/>
      <c r="N4468" s="297"/>
    </row>
    <row r="4469" spans="1:14" s="296" customFormat="1" ht="15" x14ac:dyDescent="0.25">
      <c r="A4469" s="1"/>
      <c r="B4469" s="1" t="s">
        <v>537</v>
      </c>
      <c r="C4469" s="32">
        <v>7686</v>
      </c>
      <c r="D4469" s="1">
        <v>15000</v>
      </c>
      <c r="E4469" s="1"/>
      <c r="F4469" s="1">
        <v>167.45</v>
      </c>
      <c r="G4469" s="1">
        <v>15000</v>
      </c>
      <c r="H4469" s="5">
        <f t="shared" si="87"/>
        <v>0</v>
      </c>
      <c r="I4469" s="6"/>
      <c r="J4469" s="43"/>
      <c r="K4469" s="51"/>
      <c r="L4469" s="86"/>
      <c r="M4469" s="297"/>
      <c r="N4469" s="297"/>
    </row>
    <row r="4470" spans="1:14" s="296" customFormat="1" ht="15" x14ac:dyDescent="0.25">
      <c r="A4470" s="1"/>
      <c r="B4470" s="1" t="s">
        <v>537</v>
      </c>
      <c r="C4470" s="32">
        <v>2810</v>
      </c>
      <c r="D4470" s="1">
        <v>15000</v>
      </c>
      <c r="E4470" s="1"/>
      <c r="F4470" s="1">
        <v>167.45</v>
      </c>
      <c r="G4470" s="1">
        <v>15000</v>
      </c>
      <c r="H4470" s="5">
        <f t="shared" si="87"/>
        <v>0</v>
      </c>
      <c r="I4470" s="6"/>
      <c r="J4470" s="43"/>
      <c r="K4470" s="51"/>
      <c r="L4470" s="86"/>
      <c r="M4470" s="297"/>
      <c r="N4470" s="297"/>
    </row>
    <row r="4471" spans="1:14" s="296" customFormat="1" ht="15" x14ac:dyDescent="0.25">
      <c r="A4471" s="1"/>
      <c r="B4471" s="1" t="s">
        <v>537</v>
      </c>
      <c r="C4471" s="32">
        <v>3505</v>
      </c>
      <c r="D4471" s="1">
        <v>20000</v>
      </c>
      <c r="E4471" s="1"/>
      <c r="F4471" s="1">
        <v>222.42</v>
      </c>
      <c r="G4471" s="1">
        <v>20000</v>
      </c>
      <c r="H4471" s="5">
        <f t="shared" si="87"/>
        <v>0</v>
      </c>
      <c r="I4471" s="6"/>
      <c r="J4471" s="43"/>
      <c r="K4471" s="51"/>
      <c r="L4471" s="86"/>
      <c r="M4471" s="297"/>
      <c r="N4471" s="297"/>
    </row>
    <row r="4472" spans="1:14" s="296" customFormat="1" ht="15" x14ac:dyDescent="0.25">
      <c r="A4472" s="1"/>
      <c r="B4472" s="1" t="s">
        <v>537</v>
      </c>
      <c r="C4472" s="32">
        <v>8676</v>
      </c>
      <c r="D4472" s="1">
        <v>20000</v>
      </c>
      <c r="E4472" s="1"/>
      <c r="F4472" s="1">
        <v>222.42</v>
      </c>
      <c r="G4472" s="1">
        <v>20000</v>
      </c>
      <c r="H4472" s="5">
        <f t="shared" si="87"/>
        <v>0</v>
      </c>
      <c r="I4472" s="6"/>
      <c r="J4472" s="43"/>
      <c r="K4472" s="51"/>
      <c r="L4472" s="86"/>
      <c r="M4472" s="297"/>
      <c r="N4472" s="297"/>
    </row>
    <row r="4473" spans="1:14" s="296" customFormat="1" ht="15" x14ac:dyDescent="0.25">
      <c r="A4473" s="1"/>
      <c r="B4473" s="1" t="s">
        <v>537</v>
      </c>
      <c r="C4473" s="32">
        <v>9660</v>
      </c>
      <c r="D4473" s="1">
        <v>25000</v>
      </c>
      <c r="E4473" s="1"/>
      <c r="F4473" s="1">
        <v>242.74</v>
      </c>
      <c r="G4473" s="1">
        <v>25000</v>
      </c>
      <c r="H4473" s="5">
        <f t="shared" si="87"/>
        <v>0</v>
      </c>
      <c r="I4473" s="6"/>
      <c r="J4473" s="43"/>
      <c r="K4473" s="51"/>
      <c r="L4473" s="86"/>
      <c r="M4473" s="297"/>
      <c r="N4473" s="297"/>
    </row>
    <row r="4474" spans="1:14" s="296" customFormat="1" ht="15" x14ac:dyDescent="0.25">
      <c r="A4474" s="1"/>
      <c r="B4474" s="1" t="s">
        <v>537</v>
      </c>
      <c r="C4474" s="32">
        <v>6318</v>
      </c>
      <c r="D4474" s="1">
        <v>23000</v>
      </c>
      <c r="E4474" s="1"/>
      <c r="F4474" s="1">
        <v>227.84</v>
      </c>
      <c r="G4474" s="1">
        <v>23000</v>
      </c>
      <c r="H4474" s="5">
        <f t="shared" si="87"/>
        <v>0</v>
      </c>
      <c r="I4474" s="6"/>
      <c r="J4474" s="43"/>
      <c r="K4474" s="51"/>
      <c r="L4474" s="86"/>
      <c r="M4474" s="297"/>
      <c r="N4474" s="297"/>
    </row>
    <row r="4475" spans="1:14" s="296" customFormat="1" ht="15" x14ac:dyDescent="0.25">
      <c r="A4475" s="1"/>
      <c r="B4475" s="1" t="s">
        <v>537</v>
      </c>
      <c r="C4475" s="32">
        <v>1811</v>
      </c>
      <c r="D4475" s="1">
        <v>33000</v>
      </c>
      <c r="E4475" s="1"/>
      <c r="F4475" s="1">
        <v>336.54</v>
      </c>
      <c r="G4475" s="1">
        <v>33000</v>
      </c>
      <c r="H4475" s="5">
        <f t="shared" si="87"/>
        <v>0</v>
      </c>
      <c r="I4475" s="6"/>
      <c r="J4475" s="43"/>
      <c r="K4475" s="51"/>
      <c r="L4475" s="86"/>
      <c r="M4475" s="297"/>
      <c r="N4475" s="297"/>
    </row>
    <row r="4476" spans="1:14" s="296" customFormat="1" ht="15" x14ac:dyDescent="0.25">
      <c r="A4476" s="1"/>
      <c r="B4476" s="1" t="s">
        <v>537</v>
      </c>
      <c r="C4476" s="32">
        <v>6366</v>
      </c>
      <c r="D4476" s="1">
        <v>26000</v>
      </c>
      <c r="E4476" s="1"/>
      <c r="F4476" s="1">
        <v>289.83999999999997</v>
      </c>
      <c r="G4476" s="1">
        <v>26000</v>
      </c>
      <c r="H4476" s="5">
        <f t="shared" si="87"/>
        <v>0</v>
      </c>
      <c r="I4476" s="6"/>
      <c r="J4476" s="43"/>
      <c r="K4476" s="51"/>
      <c r="L4476" s="86"/>
      <c r="M4476" s="297"/>
      <c r="N4476" s="297"/>
    </row>
    <row r="4477" spans="1:14" s="296" customFormat="1" ht="15" x14ac:dyDescent="0.25">
      <c r="A4477" s="1"/>
      <c r="B4477" s="1" t="s">
        <v>537</v>
      </c>
      <c r="C4477" s="32">
        <v>6049</v>
      </c>
      <c r="D4477" s="1">
        <v>18000</v>
      </c>
      <c r="E4477" s="1"/>
      <c r="F4477" s="1">
        <v>200.54</v>
      </c>
      <c r="G4477" s="1">
        <v>18000</v>
      </c>
      <c r="H4477" s="5">
        <f t="shared" si="87"/>
        <v>0</v>
      </c>
      <c r="I4477" s="6"/>
      <c r="J4477" s="43"/>
      <c r="K4477" s="51"/>
      <c r="L4477" s="86"/>
      <c r="M4477" s="297"/>
      <c r="N4477" s="297"/>
    </row>
    <row r="4478" spans="1:14" s="296" customFormat="1" ht="15" x14ac:dyDescent="0.25">
      <c r="A4478" s="1"/>
      <c r="B4478" s="1" t="s">
        <v>537</v>
      </c>
      <c r="C4478" s="32">
        <v>1896</v>
      </c>
      <c r="D4478" s="1">
        <v>20000</v>
      </c>
      <c r="E4478" s="1"/>
      <c r="F4478" s="1">
        <v>222.42</v>
      </c>
      <c r="G4478" s="1">
        <v>20000</v>
      </c>
      <c r="H4478" s="5">
        <f t="shared" si="87"/>
        <v>0</v>
      </c>
      <c r="I4478" s="6"/>
      <c r="J4478" s="43"/>
      <c r="K4478" s="51"/>
      <c r="L4478" s="86"/>
      <c r="M4478" s="297"/>
      <c r="N4478" s="297"/>
    </row>
    <row r="4479" spans="1:14" s="296" customFormat="1" ht="15" x14ac:dyDescent="0.25">
      <c r="A4479" s="1"/>
      <c r="B4479" s="1" t="s">
        <v>537</v>
      </c>
      <c r="C4479" s="32">
        <v>4819</v>
      </c>
      <c r="D4479" s="1">
        <v>20000</v>
      </c>
      <c r="E4479" s="1"/>
      <c r="F4479" s="1">
        <v>222.42</v>
      </c>
      <c r="G4479" s="1">
        <v>20000</v>
      </c>
      <c r="H4479" s="5">
        <f t="shared" si="87"/>
        <v>0</v>
      </c>
      <c r="I4479" s="6"/>
      <c r="J4479" s="43"/>
      <c r="K4479" s="51"/>
      <c r="L4479" s="86"/>
      <c r="M4479" s="297"/>
      <c r="N4479" s="297"/>
    </row>
    <row r="4480" spans="1:14" s="296" customFormat="1" ht="15" x14ac:dyDescent="0.25">
      <c r="A4480" s="1"/>
      <c r="B4480" s="1" t="s">
        <v>537</v>
      </c>
      <c r="C4480" s="32">
        <v>7886</v>
      </c>
      <c r="D4480" s="1">
        <v>15000</v>
      </c>
      <c r="E4480" s="1"/>
      <c r="F4480" s="1">
        <v>167.15</v>
      </c>
      <c r="G4480" s="1">
        <v>15000</v>
      </c>
      <c r="H4480" s="5">
        <f t="shared" si="87"/>
        <v>0</v>
      </c>
      <c r="I4480" s="6"/>
      <c r="J4480" s="43"/>
      <c r="K4480" s="51"/>
      <c r="L4480" s="86"/>
      <c r="M4480" s="297"/>
      <c r="N4480" s="297"/>
    </row>
    <row r="4481" spans="1:14" s="296" customFormat="1" ht="15" x14ac:dyDescent="0.25">
      <c r="A4481" s="1"/>
      <c r="B4481" s="1" t="s">
        <v>537</v>
      </c>
      <c r="C4481" s="32">
        <v>8519</v>
      </c>
      <c r="D4481" s="1">
        <v>30000</v>
      </c>
      <c r="E4481" s="1"/>
      <c r="F4481" s="1">
        <v>334.74</v>
      </c>
      <c r="G4481" s="1">
        <v>30000</v>
      </c>
      <c r="H4481" s="5">
        <f t="shared" si="87"/>
        <v>0</v>
      </c>
      <c r="I4481" s="6"/>
      <c r="J4481" s="43"/>
      <c r="K4481" s="51"/>
      <c r="L4481" s="86"/>
      <c r="M4481" s="297"/>
      <c r="N4481" s="297"/>
    </row>
    <row r="4482" spans="1:14" s="296" customFormat="1" ht="15" x14ac:dyDescent="0.25">
      <c r="A4482" s="1"/>
      <c r="B4482" s="1" t="s">
        <v>537</v>
      </c>
      <c r="C4482" s="32">
        <v>1455</v>
      </c>
      <c r="D4482" s="1">
        <v>30000</v>
      </c>
      <c r="E4482" s="1"/>
      <c r="F4482" s="1">
        <v>334.74</v>
      </c>
      <c r="G4482" s="1">
        <v>30000</v>
      </c>
      <c r="H4482" s="5">
        <f t="shared" si="87"/>
        <v>0</v>
      </c>
      <c r="I4482" s="6"/>
      <c r="J4482" s="43"/>
      <c r="K4482" s="51"/>
      <c r="L4482" s="86"/>
      <c r="M4482" s="297"/>
      <c r="N4482" s="297"/>
    </row>
    <row r="4483" spans="1:14" s="296" customFormat="1" ht="15" x14ac:dyDescent="0.25">
      <c r="A4483" s="1"/>
      <c r="B4483" s="1" t="s">
        <v>537</v>
      </c>
      <c r="C4483" s="32">
        <v>3137</v>
      </c>
      <c r="D4483" s="1">
        <v>30000</v>
      </c>
      <c r="E4483" s="1"/>
      <c r="F4483" s="1">
        <v>334.74</v>
      </c>
      <c r="G4483" s="1">
        <v>30000</v>
      </c>
      <c r="H4483" s="5">
        <f t="shared" si="87"/>
        <v>0</v>
      </c>
      <c r="I4483" s="6"/>
      <c r="J4483" s="43"/>
      <c r="K4483" s="51"/>
      <c r="L4483" s="86"/>
      <c r="M4483" s="297"/>
      <c r="N4483" s="297"/>
    </row>
    <row r="4484" spans="1:14" s="296" customFormat="1" ht="15" x14ac:dyDescent="0.25">
      <c r="A4484" s="1"/>
      <c r="B4484" s="1" t="s">
        <v>537</v>
      </c>
      <c r="C4484" s="32" t="s">
        <v>30</v>
      </c>
      <c r="D4484" s="1">
        <v>7000</v>
      </c>
      <c r="E4484" s="1"/>
      <c r="F4484" s="1">
        <v>77.23</v>
      </c>
      <c r="G4484" s="1">
        <v>7000</v>
      </c>
      <c r="H4484" s="5">
        <f t="shared" si="87"/>
        <v>0</v>
      </c>
      <c r="I4484" s="6"/>
      <c r="J4484" s="43"/>
      <c r="K4484" s="51"/>
      <c r="L4484" s="86"/>
      <c r="M4484" s="297"/>
      <c r="N4484" s="297"/>
    </row>
    <row r="4485" spans="1:14" s="296" customFormat="1" ht="15" x14ac:dyDescent="0.25">
      <c r="A4485" s="1"/>
      <c r="B4485" s="1" t="s">
        <v>537</v>
      </c>
      <c r="C4485" s="32">
        <v>4579</v>
      </c>
      <c r="D4485" s="1">
        <v>12000</v>
      </c>
      <c r="E4485" s="1"/>
      <c r="F4485" s="1">
        <v>133.74</v>
      </c>
      <c r="G4485" s="1">
        <v>12000</v>
      </c>
      <c r="H4485" s="5">
        <f t="shared" si="87"/>
        <v>0</v>
      </c>
      <c r="I4485" s="6"/>
      <c r="J4485" s="43"/>
      <c r="K4485" s="51"/>
      <c r="L4485" s="86"/>
      <c r="M4485" s="297"/>
      <c r="N4485" s="297"/>
    </row>
    <row r="4486" spans="1:14" s="296" customFormat="1" ht="15" x14ac:dyDescent="0.25">
      <c r="A4486" s="1"/>
      <c r="B4486" s="1" t="s">
        <v>537</v>
      </c>
      <c r="C4486" s="32">
        <v>7247</v>
      </c>
      <c r="D4486" s="1">
        <v>20000</v>
      </c>
      <c r="E4486" s="1"/>
      <c r="F4486" s="1">
        <v>222.42</v>
      </c>
      <c r="G4486" s="1">
        <v>20000</v>
      </c>
      <c r="H4486" s="5">
        <f t="shared" si="87"/>
        <v>0</v>
      </c>
      <c r="I4486" s="6"/>
      <c r="J4486" s="43"/>
      <c r="K4486" s="51"/>
      <c r="L4486" s="86"/>
      <c r="M4486" s="297"/>
      <c r="N4486" s="297"/>
    </row>
    <row r="4487" spans="1:14" s="296" customFormat="1" ht="15" x14ac:dyDescent="0.25">
      <c r="A4487" s="1"/>
      <c r="B4487" s="1" t="s">
        <v>537</v>
      </c>
      <c r="C4487" s="32">
        <v>5686</v>
      </c>
      <c r="D4487" s="1">
        <v>20000</v>
      </c>
      <c r="E4487" s="1"/>
      <c r="F4487" s="1">
        <v>222.42</v>
      </c>
      <c r="G4487" s="1">
        <v>20000</v>
      </c>
      <c r="H4487" s="5">
        <f t="shared" si="87"/>
        <v>0</v>
      </c>
      <c r="I4487" s="6"/>
      <c r="J4487" s="43"/>
      <c r="K4487" s="51"/>
      <c r="L4487" s="86"/>
      <c r="M4487" s="297"/>
      <c r="N4487" s="297"/>
    </row>
    <row r="4488" spans="1:14" s="296" customFormat="1" ht="15" x14ac:dyDescent="0.25">
      <c r="A4488" s="1"/>
      <c r="B4488" s="1" t="s">
        <v>537</v>
      </c>
      <c r="C4488" s="32">
        <v>3945</v>
      </c>
      <c r="D4488" s="1">
        <v>25000</v>
      </c>
      <c r="E4488" s="1"/>
      <c r="F4488" s="1">
        <v>307.87</v>
      </c>
      <c r="G4488" s="1">
        <v>25000</v>
      </c>
      <c r="H4488" s="5">
        <f t="shared" si="87"/>
        <v>0</v>
      </c>
      <c r="I4488" s="6"/>
      <c r="J4488" s="43"/>
      <c r="K4488" s="51"/>
      <c r="L4488" s="86"/>
      <c r="M4488" s="297"/>
      <c r="N4488" s="297"/>
    </row>
    <row r="4489" spans="1:14" s="296" customFormat="1" ht="15" x14ac:dyDescent="0.25">
      <c r="A4489" s="1"/>
      <c r="B4489" s="1" t="s">
        <v>538</v>
      </c>
      <c r="C4489" s="32" t="s">
        <v>66</v>
      </c>
      <c r="D4489" s="1">
        <v>100</v>
      </c>
      <c r="E4489" s="1"/>
      <c r="F4489" s="1">
        <v>1.05</v>
      </c>
      <c r="G4489" s="1">
        <v>100</v>
      </c>
      <c r="H4489" s="5">
        <f t="shared" si="87"/>
        <v>0</v>
      </c>
      <c r="I4489" s="6"/>
      <c r="J4489" s="43"/>
      <c r="K4489" s="51"/>
      <c r="L4489" s="86"/>
      <c r="M4489" s="297"/>
      <c r="N4489" s="297"/>
    </row>
    <row r="4490" spans="1:14" s="296" customFormat="1" ht="15" x14ac:dyDescent="0.25">
      <c r="A4490" s="1"/>
      <c r="B4490" s="1" t="s">
        <v>538</v>
      </c>
      <c r="C4490" s="32" t="s">
        <v>30</v>
      </c>
      <c r="D4490" s="1">
        <v>4500</v>
      </c>
      <c r="E4490" s="1"/>
      <c r="F4490" s="1">
        <v>50.54</v>
      </c>
      <c r="G4490" s="1">
        <v>4500</v>
      </c>
      <c r="H4490" s="5">
        <f t="shared" si="87"/>
        <v>0</v>
      </c>
      <c r="I4490" s="6"/>
      <c r="J4490" s="43"/>
      <c r="K4490" s="51"/>
      <c r="L4490" s="86"/>
      <c r="M4490" s="297"/>
      <c r="N4490" s="297"/>
    </row>
    <row r="4491" spans="1:14" s="296" customFormat="1" ht="15" x14ac:dyDescent="0.25">
      <c r="A4491" s="1"/>
      <c r="B4491" s="1" t="s">
        <v>538</v>
      </c>
      <c r="C4491" s="32">
        <v>9.4399999999999998E-2</v>
      </c>
      <c r="D4491" s="1">
        <v>28000</v>
      </c>
      <c r="E4491" s="1"/>
      <c r="F4491" s="1">
        <v>311.83999999999997</v>
      </c>
      <c r="G4491" s="1">
        <v>28000</v>
      </c>
      <c r="H4491" s="5">
        <f t="shared" si="87"/>
        <v>0</v>
      </c>
      <c r="I4491" s="6"/>
      <c r="J4491" s="43"/>
      <c r="K4491" s="51"/>
      <c r="L4491" s="86"/>
      <c r="M4491" s="297"/>
      <c r="N4491" s="297"/>
    </row>
    <row r="4492" spans="1:14" s="296" customFormat="1" ht="15" x14ac:dyDescent="0.25">
      <c r="A4492" s="1"/>
      <c r="B4492" s="1" t="s">
        <v>538</v>
      </c>
      <c r="C4492" s="32" t="s">
        <v>30</v>
      </c>
      <c r="D4492" s="1">
        <v>5000</v>
      </c>
      <c r="E4492" s="1"/>
      <c r="F4492" s="1">
        <v>55.42</v>
      </c>
      <c r="G4492" s="1">
        <v>5000</v>
      </c>
      <c r="H4492" s="5">
        <f t="shared" si="87"/>
        <v>0</v>
      </c>
      <c r="I4492" s="6"/>
      <c r="J4492" s="43"/>
      <c r="K4492" s="51"/>
      <c r="L4492" s="86"/>
      <c r="M4492" s="297"/>
      <c r="N4492" s="297"/>
    </row>
    <row r="4493" spans="1:14" s="296" customFormat="1" ht="15" x14ac:dyDescent="0.25">
      <c r="A4493" s="1"/>
      <c r="B4493" s="1" t="s">
        <v>538</v>
      </c>
      <c r="C4493" s="32" t="s">
        <v>66</v>
      </c>
      <c r="D4493" s="1">
        <v>210</v>
      </c>
      <c r="E4493" s="1"/>
      <c r="F4493" s="1">
        <v>2.08</v>
      </c>
      <c r="G4493" s="1">
        <v>210</v>
      </c>
      <c r="H4493" s="5">
        <f t="shared" si="87"/>
        <v>0</v>
      </c>
      <c r="I4493" s="6"/>
      <c r="J4493" s="43"/>
      <c r="K4493" s="51"/>
      <c r="L4493" s="86"/>
      <c r="M4493" s="297"/>
      <c r="N4493" s="297"/>
    </row>
    <row r="4494" spans="1:14" s="296" customFormat="1" ht="15" x14ac:dyDescent="0.25">
      <c r="A4494" s="1"/>
      <c r="B4494" s="1" t="s">
        <v>538</v>
      </c>
      <c r="C4494" s="32">
        <v>1.6899999999999998E-2</v>
      </c>
      <c r="D4494" s="1">
        <v>28000</v>
      </c>
      <c r="E4494" s="1"/>
      <c r="F4494" s="1">
        <v>311.83999999999997</v>
      </c>
      <c r="G4494" s="1">
        <v>28000</v>
      </c>
      <c r="H4494" s="5">
        <f t="shared" si="87"/>
        <v>0</v>
      </c>
      <c r="I4494" s="6"/>
      <c r="J4494" s="43"/>
      <c r="K4494" s="51"/>
      <c r="L4494" s="86"/>
      <c r="M4494" s="297"/>
      <c r="N4494" s="297"/>
    </row>
    <row r="4495" spans="1:14" s="296" customFormat="1" ht="15" x14ac:dyDescent="0.25">
      <c r="A4495" s="1"/>
      <c r="B4495" s="1" t="s">
        <v>538</v>
      </c>
      <c r="C4495" s="32">
        <v>4.02E-2</v>
      </c>
      <c r="D4495" s="1">
        <v>28000</v>
      </c>
      <c r="E4495" s="1"/>
      <c r="F4495" s="1">
        <v>311.83999999999997</v>
      </c>
      <c r="G4495" s="1">
        <v>28000</v>
      </c>
      <c r="H4495" s="5">
        <f t="shared" si="87"/>
        <v>0</v>
      </c>
      <c r="I4495" s="6"/>
      <c r="J4495" s="43"/>
      <c r="K4495" s="51"/>
      <c r="L4495" s="86"/>
      <c r="M4495" s="297"/>
      <c r="N4495" s="297"/>
    </row>
    <row r="4496" spans="1:14" s="296" customFormat="1" ht="15" x14ac:dyDescent="0.25">
      <c r="A4496" s="1"/>
      <c r="B4496" s="1" t="s">
        <v>538</v>
      </c>
      <c r="C4496" s="32">
        <v>3527</v>
      </c>
      <c r="D4496" s="1">
        <v>25000</v>
      </c>
      <c r="E4496" s="1"/>
      <c r="F4496" s="1">
        <v>272.74</v>
      </c>
      <c r="G4496" s="1">
        <v>25000</v>
      </c>
      <c r="H4496" s="5">
        <f t="shared" si="87"/>
        <v>0</v>
      </c>
      <c r="I4496" s="6"/>
      <c r="J4496" s="43"/>
      <c r="K4496" s="51"/>
      <c r="L4496" s="86"/>
      <c r="M4496" s="297"/>
      <c r="N4496" s="297"/>
    </row>
    <row r="4497" spans="1:14" s="296" customFormat="1" ht="15" x14ac:dyDescent="0.25">
      <c r="A4497" s="1"/>
      <c r="B4497" s="1" t="s">
        <v>538</v>
      </c>
      <c r="C4497" s="32">
        <v>2.4299999999999999E-2</v>
      </c>
      <c r="D4497" s="1">
        <v>24000</v>
      </c>
      <c r="E4497" s="1"/>
      <c r="F4497" s="1">
        <v>267.83999999999997</v>
      </c>
      <c r="G4497" s="1">
        <v>24000</v>
      </c>
      <c r="H4497" s="5">
        <f t="shared" si="87"/>
        <v>0</v>
      </c>
      <c r="I4497" s="6"/>
      <c r="J4497" s="43"/>
      <c r="K4497" s="51"/>
      <c r="L4497" s="86"/>
      <c r="M4497" s="297"/>
      <c r="N4497" s="297"/>
    </row>
    <row r="4498" spans="1:14" s="296" customFormat="1" ht="15" x14ac:dyDescent="0.25">
      <c r="A4498" s="1"/>
      <c r="B4498" s="1" t="s">
        <v>538</v>
      </c>
      <c r="C4498" s="32">
        <v>9378</v>
      </c>
      <c r="D4498" s="1">
        <v>24000</v>
      </c>
      <c r="E4498" s="1"/>
      <c r="F4498" s="1">
        <v>267.83999999999997</v>
      </c>
      <c r="G4498" s="1">
        <v>24000</v>
      </c>
      <c r="H4498" s="5">
        <f t="shared" si="87"/>
        <v>0</v>
      </c>
      <c r="I4498" s="6"/>
      <c r="J4498" s="43"/>
      <c r="K4498" s="51"/>
      <c r="L4498" s="86"/>
      <c r="M4498" s="297"/>
      <c r="N4498" s="297"/>
    </row>
    <row r="4499" spans="1:14" s="296" customFormat="1" ht="15" x14ac:dyDescent="0.25">
      <c r="A4499" s="1"/>
      <c r="B4499" s="1" t="s">
        <v>538</v>
      </c>
      <c r="C4499" s="32">
        <v>2.5499999999999998E-2</v>
      </c>
      <c r="D4499" s="1">
        <v>24000</v>
      </c>
      <c r="E4499" s="1"/>
      <c r="F4499" s="1">
        <v>267.83999999999997</v>
      </c>
      <c r="G4499" s="1">
        <v>24000</v>
      </c>
      <c r="H4499" s="5">
        <f t="shared" si="87"/>
        <v>0</v>
      </c>
      <c r="I4499" s="6"/>
      <c r="J4499" s="43"/>
      <c r="K4499" s="51"/>
      <c r="L4499" s="86"/>
      <c r="M4499" s="297"/>
      <c r="N4499" s="297"/>
    </row>
    <row r="4500" spans="1:14" s="296" customFormat="1" ht="15" x14ac:dyDescent="0.25">
      <c r="A4500" s="1"/>
      <c r="B4500" s="1" t="s">
        <v>538</v>
      </c>
      <c r="C4500" s="32" t="s">
        <v>30</v>
      </c>
      <c r="D4500" s="1">
        <v>5000</v>
      </c>
      <c r="E4500" s="1"/>
      <c r="F4500" s="1">
        <v>55.45</v>
      </c>
      <c r="G4500" s="1">
        <v>5000</v>
      </c>
      <c r="H4500" s="5">
        <f t="shared" si="87"/>
        <v>0</v>
      </c>
      <c r="I4500" s="6"/>
      <c r="J4500" s="43"/>
      <c r="K4500" s="51"/>
      <c r="L4500" s="86"/>
      <c r="M4500" s="297"/>
      <c r="N4500" s="297"/>
    </row>
    <row r="4501" spans="1:14" s="296" customFormat="1" ht="15" x14ac:dyDescent="0.25">
      <c r="A4501" s="1"/>
      <c r="B4501" s="1" t="s">
        <v>538</v>
      </c>
      <c r="C4501" s="32">
        <v>1677</v>
      </c>
      <c r="D4501" s="1">
        <v>20000</v>
      </c>
      <c r="E4501" s="1"/>
      <c r="F4501" s="1">
        <v>222.42</v>
      </c>
      <c r="G4501" s="1">
        <v>20000</v>
      </c>
      <c r="H4501" s="5">
        <f t="shared" si="87"/>
        <v>0</v>
      </c>
      <c r="I4501" s="6"/>
      <c r="J4501" s="43"/>
      <c r="K4501" s="51"/>
      <c r="L4501" s="86"/>
      <c r="M4501" s="297"/>
      <c r="N4501" s="297"/>
    </row>
    <row r="4502" spans="1:14" s="296" customFormat="1" ht="15" x14ac:dyDescent="0.25">
      <c r="A4502" s="1"/>
      <c r="B4502" s="1" t="s">
        <v>538</v>
      </c>
      <c r="C4502" s="32">
        <v>2.01E-2</v>
      </c>
      <c r="D4502" s="1">
        <v>22000</v>
      </c>
      <c r="E4502" s="1"/>
      <c r="F4502" s="1">
        <v>245.64</v>
      </c>
      <c r="G4502" s="1">
        <v>22000</v>
      </c>
      <c r="H4502" s="5">
        <f t="shared" si="87"/>
        <v>0</v>
      </c>
      <c r="I4502" s="6"/>
      <c r="J4502" s="43"/>
      <c r="K4502" s="51"/>
      <c r="L4502" s="86"/>
      <c r="M4502" s="297"/>
      <c r="N4502" s="297"/>
    </row>
    <row r="4503" spans="1:14" s="296" customFormat="1" ht="15" x14ac:dyDescent="0.25">
      <c r="A4503" s="1"/>
      <c r="B4503" s="1" t="s">
        <v>538</v>
      </c>
      <c r="C4503" s="32">
        <v>9351</v>
      </c>
      <c r="D4503" s="1">
        <v>15000</v>
      </c>
      <c r="E4503" s="1"/>
      <c r="F4503" s="1">
        <v>167.15</v>
      </c>
      <c r="G4503" s="1">
        <v>15000</v>
      </c>
      <c r="H4503" s="5">
        <f t="shared" si="87"/>
        <v>0</v>
      </c>
      <c r="I4503" s="6"/>
      <c r="J4503" s="43"/>
      <c r="K4503" s="51"/>
      <c r="L4503" s="86"/>
      <c r="M4503" s="297"/>
      <c r="N4503" s="297"/>
    </row>
    <row r="4504" spans="1:14" s="296" customFormat="1" ht="15" x14ac:dyDescent="0.25">
      <c r="A4504" s="1"/>
      <c r="B4504" s="1" t="s">
        <v>538</v>
      </c>
      <c r="C4504" s="32">
        <v>8382</v>
      </c>
      <c r="D4504" s="1">
        <v>19000</v>
      </c>
      <c r="E4504" s="1"/>
      <c r="F4504" s="1">
        <v>211.64</v>
      </c>
      <c r="G4504" s="1">
        <v>19000</v>
      </c>
      <c r="H4504" s="5">
        <f t="shared" si="87"/>
        <v>0</v>
      </c>
      <c r="I4504" s="6"/>
      <c r="J4504" s="43"/>
      <c r="K4504" s="51"/>
      <c r="L4504" s="86"/>
      <c r="M4504" s="297"/>
      <c r="N4504" s="297"/>
    </row>
    <row r="4505" spans="1:14" s="296" customFormat="1" ht="15" x14ac:dyDescent="0.25">
      <c r="A4505" s="1"/>
      <c r="B4505" s="1" t="s">
        <v>538</v>
      </c>
      <c r="C4505" s="32">
        <v>4.3999999999999997E-2</v>
      </c>
      <c r="D4505" s="1">
        <v>29000</v>
      </c>
      <c r="E4505" s="1"/>
      <c r="F4505" s="1">
        <v>323.87</v>
      </c>
      <c r="G4505" s="1">
        <v>29000</v>
      </c>
      <c r="H4505" s="5">
        <f t="shared" si="87"/>
        <v>0</v>
      </c>
      <c r="I4505" s="6"/>
      <c r="J4505" s="43"/>
      <c r="K4505" s="51"/>
      <c r="L4505" s="86"/>
      <c r="M4505" s="297"/>
      <c r="N4505" s="297"/>
    </row>
    <row r="4506" spans="1:14" s="296" customFormat="1" ht="15" x14ac:dyDescent="0.25">
      <c r="A4506" s="1"/>
      <c r="B4506" s="1" t="s">
        <v>538</v>
      </c>
      <c r="C4506" s="32">
        <v>2344</v>
      </c>
      <c r="D4506" s="1">
        <v>24000</v>
      </c>
      <c r="E4506" s="1"/>
      <c r="F4506" s="1">
        <v>267.83999999999997</v>
      </c>
      <c r="G4506" s="1">
        <v>24000</v>
      </c>
      <c r="H4506" s="5">
        <f t="shared" si="87"/>
        <v>0</v>
      </c>
      <c r="I4506" s="6"/>
      <c r="J4506" s="43"/>
      <c r="K4506" s="51"/>
      <c r="L4506" s="86"/>
      <c r="M4506" s="297"/>
      <c r="N4506" s="297"/>
    </row>
    <row r="4507" spans="1:14" s="296" customFormat="1" ht="15" x14ac:dyDescent="0.25">
      <c r="A4507" s="1"/>
      <c r="B4507" s="1" t="s">
        <v>538</v>
      </c>
      <c r="C4507" s="32">
        <v>2338</v>
      </c>
      <c r="D4507" s="1">
        <v>21369</v>
      </c>
      <c r="E4507" s="1"/>
      <c r="F4507" s="1">
        <v>238.74</v>
      </c>
      <c r="G4507" s="1">
        <v>21369</v>
      </c>
      <c r="H4507" s="5">
        <f t="shared" si="87"/>
        <v>0</v>
      </c>
      <c r="I4507" s="6"/>
      <c r="J4507" s="43"/>
      <c r="K4507" s="51"/>
      <c r="L4507" s="86"/>
      <c r="M4507" s="297"/>
      <c r="N4507" s="297"/>
    </row>
    <row r="4508" spans="1:14" s="296" customFormat="1" ht="15" x14ac:dyDescent="0.25">
      <c r="A4508" s="1"/>
      <c r="B4508" s="1" t="s">
        <v>538</v>
      </c>
      <c r="C4508" s="32">
        <v>5656</v>
      </c>
      <c r="D4508" s="1">
        <v>15000</v>
      </c>
      <c r="E4508" s="1"/>
      <c r="F4508" s="1">
        <v>167.15</v>
      </c>
      <c r="G4508" s="1">
        <v>15000</v>
      </c>
      <c r="H4508" s="5">
        <f t="shared" si="87"/>
        <v>0</v>
      </c>
      <c r="I4508" s="6"/>
      <c r="J4508" s="43"/>
      <c r="K4508" s="51"/>
      <c r="L4508" s="86"/>
      <c r="M4508" s="297"/>
      <c r="N4508" s="297"/>
    </row>
    <row r="4509" spans="1:14" s="296" customFormat="1" ht="15" x14ac:dyDescent="0.25">
      <c r="A4509" s="1"/>
      <c r="B4509" s="1" t="s">
        <v>538</v>
      </c>
      <c r="C4509" s="32">
        <v>8833</v>
      </c>
      <c r="D4509" s="1">
        <v>28000</v>
      </c>
      <c r="E4509" s="1"/>
      <c r="F4509" s="1">
        <v>311.54000000000002</v>
      </c>
      <c r="G4509" s="1">
        <v>28000</v>
      </c>
      <c r="H4509" s="5">
        <f t="shared" si="87"/>
        <v>0</v>
      </c>
      <c r="I4509" s="6"/>
      <c r="J4509" s="43"/>
      <c r="K4509" s="51"/>
      <c r="L4509" s="86"/>
      <c r="M4509" s="297"/>
      <c r="N4509" s="297"/>
    </row>
    <row r="4510" spans="1:14" s="296" customFormat="1" ht="15" x14ac:dyDescent="0.25">
      <c r="A4510" s="1"/>
      <c r="B4510" s="1" t="s">
        <v>538</v>
      </c>
      <c r="C4510" s="32">
        <v>9124</v>
      </c>
      <c r="D4510" s="1">
        <v>15000</v>
      </c>
      <c r="E4510" s="1"/>
      <c r="F4510" s="1">
        <v>167.15</v>
      </c>
      <c r="G4510" s="1">
        <v>15000</v>
      </c>
      <c r="H4510" s="5">
        <f t="shared" si="87"/>
        <v>0</v>
      </c>
      <c r="I4510" s="6"/>
      <c r="J4510" s="43"/>
      <c r="K4510" s="51"/>
      <c r="L4510" s="86"/>
      <c r="M4510" s="297"/>
      <c r="N4510" s="297"/>
    </row>
    <row r="4511" spans="1:14" s="296" customFormat="1" ht="15" x14ac:dyDescent="0.25">
      <c r="A4511" s="1"/>
      <c r="B4511" s="1" t="s">
        <v>539</v>
      </c>
      <c r="C4511" s="32">
        <v>1223</v>
      </c>
      <c r="D4511" s="1">
        <v>16000</v>
      </c>
      <c r="E4511" s="1"/>
      <c r="F4511" s="1">
        <v>178.22</v>
      </c>
      <c r="G4511" s="1">
        <v>16000</v>
      </c>
      <c r="H4511" s="5">
        <f t="shared" si="87"/>
        <v>0</v>
      </c>
      <c r="I4511" s="6"/>
      <c r="J4511" s="43"/>
      <c r="K4511" s="51"/>
      <c r="L4511" s="86"/>
      <c r="M4511" s="297"/>
      <c r="N4511" s="297"/>
    </row>
    <row r="4512" spans="1:14" s="296" customFormat="1" ht="15" x14ac:dyDescent="0.25">
      <c r="A4512" s="1"/>
      <c r="B4512" s="1" t="s">
        <v>539</v>
      </c>
      <c r="C4512" s="32">
        <v>5151</v>
      </c>
      <c r="D4512" s="1">
        <v>16000</v>
      </c>
      <c r="E4512" s="1"/>
      <c r="F4512" s="1">
        <v>178.22</v>
      </c>
      <c r="G4512" s="1">
        <v>16000</v>
      </c>
      <c r="H4512" s="5">
        <f t="shared" ref="H4512:H4576" si="88">D4512-G4512</f>
        <v>0</v>
      </c>
      <c r="I4512" s="6"/>
      <c r="J4512" s="43"/>
      <c r="K4512" s="51"/>
      <c r="L4512" s="86"/>
      <c r="M4512" s="297"/>
      <c r="N4512" s="297"/>
    </row>
    <row r="4513" spans="1:14" s="296" customFormat="1" ht="15" x14ac:dyDescent="0.25">
      <c r="A4513" s="1"/>
      <c r="B4513" s="1" t="s">
        <v>539</v>
      </c>
      <c r="C4513" s="32">
        <v>5252</v>
      </c>
      <c r="D4513" s="1">
        <v>16000</v>
      </c>
      <c r="E4513" s="1"/>
      <c r="F4513" s="1">
        <v>178.22</v>
      </c>
      <c r="G4513" s="1">
        <v>16000</v>
      </c>
      <c r="H4513" s="5">
        <f t="shared" si="88"/>
        <v>0</v>
      </c>
      <c r="I4513" s="6"/>
      <c r="J4513" s="43"/>
      <c r="K4513" s="51"/>
      <c r="L4513" s="86"/>
      <c r="M4513" s="297"/>
      <c r="N4513" s="297"/>
    </row>
    <row r="4514" spans="1:14" s="296" customFormat="1" ht="15" x14ac:dyDescent="0.25">
      <c r="A4514" s="1"/>
      <c r="B4514" s="1" t="s">
        <v>539</v>
      </c>
      <c r="C4514" s="32">
        <v>9825</v>
      </c>
      <c r="D4514" s="1">
        <v>17000</v>
      </c>
      <c r="E4514" s="1"/>
      <c r="F4514" s="1">
        <v>189.74</v>
      </c>
      <c r="G4514" s="1">
        <v>17000</v>
      </c>
      <c r="H4514" s="5">
        <f t="shared" si="88"/>
        <v>0</v>
      </c>
      <c r="I4514" s="6"/>
      <c r="J4514" s="43"/>
      <c r="K4514" s="51"/>
      <c r="L4514" s="86"/>
      <c r="M4514" s="297"/>
      <c r="N4514" s="297"/>
    </row>
    <row r="4515" spans="1:14" s="296" customFormat="1" ht="15" x14ac:dyDescent="0.25">
      <c r="A4515" s="1"/>
      <c r="B4515" s="1" t="s">
        <v>539</v>
      </c>
      <c r="C4515" s="32">
        <v>1224</v>
      </c>
      <c r="D4515" s="1">
        <v>18000</v>
      </c>
      <c r="E4515" s="1"/>
      <c r="F4515" s="1">
        <v>200.42</v>
      </c>
      <c r="G4515" s="1">
        <v>18000</v>
      </c>
      <c r="H4515" s="5">
        <f t="shared" si="88"/>
        <v>0</v>
      </c>
      <c r="I4515" s="6"/>
      <c r="J4515" s="43"/>
      <c r="K4515" s="51"/>
      <c r="L4515" s="86"/>
      <c r="M4515" s="297"/>
      <c r="N4515" s="297"/>
    </row>
    <row r="4516" spans="1:14" s="296" customFormat="1" ht="15" x14ac:dyDescent="0.25">
      <c r="A4516" s="1"/>
      <c r="B4516" s="1" t="s">
        <v>539</v>
      </c>
      <c r="C4516" s="32">
        <v>6659</v>
      </c>
      <c r="D4516" s="1">
        <v>6000</v>
      </c>
      <c r="E4516" s="1"/>
      <c r="F4516" s="1">
        <v>66.48</v>
      </c>
      <c r="G4516" s="1">
        <v>6000</v>
      </c>
      <c r="H4516" s="5">
        <f t="shared" si="88"/>
        <v>0</v>
      </c>
      <c r="I4516" s="6"/>
      <c r="J4516" s="43"/>
      <c r="K4516" s="51"/>
      <c r="L4516" s="86"/>
      <c r="M4516" s="297"/>
      <c r="N4516" s="297"/>
    </row>
    <row r="4517" spans="1:14" s="296" customFormat="1" ht="15" x14ac:dyDescent="0.25">
      <c r="A4517" s="1"/>
      <c r="B4517" s="1" t="s">
        <v>539</v>
      </c>
      <c r="C4517" s="32">
        <v>6573</v>
      </c>
      <c r="D4517" s="1">
        <v>6000</v>
      </c>
      <c r="E4517" s="1"/>
      <c r="F4517" s="1">
        <v>66.48</v>
      </c>
      <c r="G4517" s="1">
        <v>6000</v>
      </c>
      <c r="H4517" s="5">
        <f t="shared" si="88"/>
        <v>0</v>
      </c>
      <c r="I4517" s="6"/>
      <c r="J4517" s="43"/>
      <c r="K4517" s="51"/>
      <c r="L4517" s="86"/>
      <c r="M4517" s="297"/>
      <c r="N4517" s="297"/>
    </row>
    <row r="4518" spans="1:14" s="296" customFormat="1" ht="15" x14ac:dyDescent="0.25">
      <c r="A4518" s="1"/>
      <c r="B4518" s="1" t="s">
        <v>539</v>
      </c>
      <c r="C4518" s="32">
        <v>2810</v>
      </c>
      <c r="D4518" s="1">
        <v>6000</v>
      </c>
      <c r="E4518" s="1"/>
      <c r="F4518" s="1">
        <v>66.48</v>
      </c>
      <c r="G4518" s="1">
        <v>6000</v>
      </c>
      <c r="H4518" s="5">
        <f t="shared" si="88"/>
        <v>0</v>
      </c>
      <c r="I4518" s="6"/>
      <c r="J4518" s="43"/>
      <c r="K4518" s="51"/>
      <c r="L4518" s="86"/>
      <c r="M4518" s="297"/>
      <c r="N4518" s="297"/>
    </row>
    <row r="4519" spans="1:14" s="296" customFormat="1" ht="15" x14ac:dyDescent="0.25">
      <c r="A4519" s="1"/>
      <c r="B4519" s="1" t="s">
        <v>539</v>
      </c>
      <c r="C4519" s="32">
        <v>2809</v>
      </c>
      <c r="D4519" s="1">
        <v>6000</v>
      </c>
      <c r="E4519" s="1"/>
      <c r="F4519" s="1">
        <v>66.48</v>
      </c>
      <c r="G4519" s="1">
        <v>6000</v>
      </c>
      <c r="H4519" s="5">
        <f t="shared" si="88"/>
        <v>0</v>
      </c>
      <c r="I4519" s="6"/>
      <c r="J4519" s="43"/>
      <c r="K4519" s="51"/>
      <c r="L4519" s="86"/>
      <c r="M4519" s="297"/>
      <c r="N4519" s="297"/>
    </row>
    <row r="4520" spans="1:14" s="296" customFormat="1" ht="15" x14ac:dyDescent="0.25">
      <c r="A4520" s="1"/>
      <c r="B4520" s="1" t="s">
        <v>539</v>
      </c>
      <c r="C4520" s="32">
        <v>4514</v>
      </c>
      <c r="D4520" s="1">
        <v>6000</v>
      </c>
      <c r="E4520" s="1"/>
      <c r="F4520" s="1">
        <v>66.48</v>
      </c>
      <c r="G4520" s="1">
        <v>6000</v>
      </c>
      <c r="H4520" s="5">
        <f t="shared" si="88"/>
        <v>0</v>
      </c>
      <c r="I4520" s="6"/>
      <c r="J4520" s="43"/>
      <c r="K4520" s="51"/>
      <c r="L4520" s="86"/>
      <c r="M4520" s="297"/>
      <c r="N4520" s="297"/>
    </row>
    <row r="4521" spans="1:14" s="296" customFormat="1" ht="15" x14ac:dyDescent="0.25">
      <c r="A4521" s="1"/>
      <c r="B4521" s="1" t="s">
        <v>539</v>
      </c>
      <c r="C4521" s="32">
        <v>1722</v>
      </c>
      <c r="D4521" s="1">
        <v>6000</v>
      </c>
      <c r="E4521" s="1"/>
      <c r="F4521" s="1">
        <v>66.48</v>
      </c>
      <c r="G4521" s="1">
        <v>6000</v>
      </c>
      <c r="H4521" s="5">
        <f t="shared" si="88"/>
        <v>0</v>
      </c>
      <c r="I4521" s="6"/>
      <c r="J4521" s="43"/>
      <c r="K4521" s="51"/>
      <c r="L4521" s="86"/>
      <c r="M4521" s="297"/>
      <c r="N4521" s="297"/>
    </row>
    <row r="4522" spans="1:14" s="296" customFormat="1" ht="15" x14ac:dyDescent="0.25">
      <c r="A4522" s="1"/>
      <c r="B4522" s="1" t="s">
        <v>539</v>
      </c>
      <c r="C4522" s="32">
        <v>4513</v>
      </c>
      <c r="D4522" s="1">
        <v>6000</v>
      </c>
      <c r="E4522" s="1"/>
      <c r="F4522" s="1">
        <v>66.48</v>
      </c>
      <c r="G4522" s="1">
        <v>6000</v>
      </c>
      <c r="H4522" s="5">
        <f t="shared" si="88"/>
        <v>0</v>
      </c>
      <c r="I4522" s="6"/>
      <c r="J4522" s="43"/>
      <c r="K4522" s="51"/>
      <c r="L4522" s="86"/>
      <c r="M4522" s="297"/>
      <c r="N4522" s="297"/>
    </row>
    <row r="4523" spans="1:14" s="296" customFormat="1" ht="15" x14ac:dyDescent="0.25">
      <c r="A4523" s="1"/>
      <c r="B4523" s="1" t="s">
        <v>539</v>
      </c>
      <c r="C4523" s="32">
        <v>2227</v>
      </c>
      <c r="D4523" s="1">
        <v>30000</v>
      </c>
      <c r="E4523" s="1"/>
      <c r="F4523" s="1">
        <v>334.84</v>
      </c>
      <c r="G4523" s="1">
        <v>30000</v>
      </c>
      <c r="H4523" s="5">
        <f t="shared" si="88"/>
        <v>0</v>
      </c>
      <c r="I4523" s="6"/>
      <c r="J4523" s="43"/>
      <c r="K4523" s="51"/>
      <c r="L4523" s="86"/>
      <c r="M4523" s="297"/>
      <c r="N4523" s="297"/>
    </row>
    <row r="4524" spans="1:14" s="296" customFormat="1" ht="15" x14ac:dyDescent="0.25">
      <c r="A4524" s="1"/>
      <c r="B4524" s="1" t="s">
        <v>539</v>
      </c>
      <c r="C4524" s="32">
        <v>4856</v>
      </c>
      <c r="D4524" s="1">
        <v>14000</v>
      </c>
      <c r="E4524" s="1"/>
      <c r="F4524" s="1">
        <v>155.87</v>
      </c>
      <c r="G4524" s="1">
        <v>14000</v>
      </c>
      <c r="H4524" s="5">
        <f t="shared" si="88"/>
        <v>0</v>
      </c>
      <c r="I4524" s="6"/>
      <c r="J4524" s="43"/>
      <c r="K4524" s="51"/>
      <c r="L4524" s="86"/>
      <c r="M4524" s="297"/>
      <c r="N4524" s="297"/>
    </row>
    <row r="4525" spans="1:14" s="296" customFormat="1" ht="15" x14ac:dyDescent="0.25">
      <c r="A4525" s="1"/>
      <c r="B4525" s="1" t="s">
        <v>539</v>
      </c>
      <c r="C4525" s="32">
        <v>8559</v>
      </c>
      <c r="D4525" s="1">
        <v>15000</v>
      </c>
      <c r="E4525" s="1"/>
      <c r="F4525" s="1">
        <v>167.15</v>
      </c>
      <c r="G4525" s="1">
        <v>15000</v>
      </c>
      <c r="H4525" s="5">
        <f t="shared" si="88"/>
        <v>0</v>
      </c>
      <c r="I4525" s="6"/>
      <c r="J4525" s="43"/>
      <c r="K4525" s="51"/>
      <c r="L4525" s="86"/>
      <c r="M4525" s="297"/>
      <c r="N4525" s="297"/>
    </row>
    <row r="4526" spans="1:14" s="296" customFormat="1" ht="15" x14ac:dyDescent="0.25">
      <c r="A4526" s="1"/>
      <c r="B4526" s="1" t="s">
        <v>539</v>
      </c>
      <c r="C4526" s="32">
        <v>6892</v>
      </c>
      <c r="D4526" s="1">
        <v>27886</v>
      </c>
      <c r="E4526" s="1"/>
      <c r="F4526" s="1">
        <v>310.87</v>
      </c>
      <c r="G4526" s="1">
        <v>27886</v>
      </c>
      <c r="H4526" s="5">
        <f t="shared" si="88"/>
        <v>0</v>
      </c>
      <c r="I4526" s="6"/>
      <c r="J4526" s="43"/>
      <c r="K4526" s="51"/>
      <c r="L4526" s="86"/>
      <c r="M4526" s="297"/>
      <c r="N4526" s="297"/>
    </row>
    <row r="4527" spans="1:14" s="296" customFormat="1" ht="15" x14ac:dyDescent="0.25">
      <c r="A4527" s="1"/>
      <c r="B4527" s="1" t="s">
        <v>539</v>
      </c>
      <c r="C4527" s="32">
        <v>3728</v>
      </c>
      <c r="D4527" s="1">
        <v>25000</v>
      </c>
      <c r="E4527" s="1"/>
      <c r="F4527" s="1">
        <v>315.74</v>
      </c>
      <c r="G4527" s="1">
        <v>25000</v>
      </c>
      <c r="H4527" s="5">
        <f t="shared" si="88"/>
        <v>0</v>
      </c>
      <c r="I4527" s="6"/>
      <c r="J4527" s="43"/>
      <c r="K4527" s="51"/>
      <c r="L4527" s="86"/>
      <c r="M4527" s="297"/>
      <c r="N4527" s="297"/>
    </row>
    <row r="4528" spans="1:14" s="296" customFormat="1" ht="15" x14ac:dyDescent="0.25">
      <c r="A4528" s="1"/>
      <c r="B4528" s="1" t="s">
        <v>539</v>
      </c>
      <c r="C4528" s="32">
        <v>1628</v>
      </c>
      <c r="D4528" s="1">
        <v>18000</v>
      </c>
      <c r="E4528" s="1"/>
      <c r="F4528" s="1">
        <v>200.42</v>
      </c>
      <c r="G4528" s="1">
        <v>18000</v>
      </c>
      <c r="H4528" s="5">
        <f t="shared" si="88"/>
        <v>0</v>
      </c>
      <c r="I4528" s="6"/>
      <c r="J4528" s="43"/>
      <c r="K4528" s="51"/>
      <c r="L4528" s="86"/>
      <c r="M4528" s="297"/>
      <c r="N4528" s="297"/>
    </row>
    <row r="4529" spans="1:14" s="296" customFormat="1" ht="15" x14ac:dyDescent="0.25">
      <c r="A4529" s="1"/>
      <c r="B4529" s="1" t="s">
        <v>539</v>
      </c>
      <c r="C4529" s="32">
        <v>9355</v>
      </c>
      <c r="D4529" s="1">
        <v>20000</v>
      </c>
      <c r="E4529" s="1"/>
      <c r="F4529" s="1">
        <v>222.42</v>
      </c>
      <c r="G4529" s="1">
        <v>20000</v>
      </c>
      <c r="H4529" s="5">
        <f t="shared" si="88"/>
        <v>0</v>
      </c>
      <c r="I4529" s="6"/>
      <c r="J4529" s="43"/>
      <c r="K4529" s="51"/>
      <c r="L4529" s="86"/>
      <c r="M4529" s="297"/>
      <c r="N4529" s="297"/>
    </row>
    <row r="4530" spans="1:14" s="296" customFormat="1" ht="15" x14ac:dyDescent="0.25">
      <c r="A4530" s="1"/>
      <c r="B4530" s="1" t="s">
        <v>539</v>
      </c>
      <c r="C4530" s="32">
        <v>3045</v>
      </c>
      <c r="D4530" s="1">
        <v>33000</v>
      </c>
      <c r="E4530" s="1"/>
      <c r="F4530" s="1">
        <v>383.65</v>
      </c>
      <c r="G4530" s="1">
        <v>33000</v>
      </c>
      <c r="H4530" s="5">
        <f t="shared" si="88"/>
        <v>0</v>
      </c>
      <c r="I4530" s="6"/>
      <c r="J4530" s="43"/>
      <c r="K4530" s="51"/>
      <c r="L4530" s="86"/>
      <c r="M4530" s="297"/>
      <c r="N4530" s="297"/>
    </row>
    <row r="4531" spans="1:14" s="296" customFormat="1" ht="15" x14ac:dyDescent="0.25">
      <c r="A4531" s="1"/>
      <c r="B4531" s="1" t="s">
        <v>539</v>
      </c>
      <c r="C4531" s="32">
        <v>4980</v>
      </c>
      <c r="D4531" s="1">
        <v>17000</v>
      </c>
      <c r="E4531" s="1"/>
      <c r="F4531" s="1">
        <v>189.74</v>
      </c>
      <c r="G4531" s="1">
        <v>17000</v>
      </c>
      <c r="H4531" s="5">
        <f t="shared" si="88"/>
        <v>0</v>
      </c>
      <c r="I4531" s="6"/>
      <c r="J4531" s="43"/>
      <c r="K4531" s="51"/>
      <c r="L4531" s="86"/>
      <c r="M4531" s="297"/>
      <c r="N4531" s="297"/>
    </row>
    <row r="4532" spans="1:14" s="296" customFormat="1" ht="15" x14ac:dyDescent="0.25">
      <c r="A4532" s="1"/>
      <c r="B4532" s="1" t="s">
        <v>539</v>
      </c>
      <c r="C4532" s="32">
        <v>3450</v>
      </c>
      <c r="D4532" s="1">
        <v>20000</v>
      </c>
      <c r="E4532" s="1"/>
      <c r="F4532" s="1">
        <v>222.42</v>
      </c>
      <c r="G4532" s="1">
        <v>20000</v>
      </c>
      <c r="H4532" s="5">
        <f t="shared" si="88"/>
        <v>0</v>
      </c>
      <c r="I4532" s="6"/>
      <c r="J4532" s="43"/>
      <c r="K4532" s="51"/>
      <c r="L4532" s="86"/>
      <c r="M4532" s="297"/>
      <c r="N4532" s="297"/>
    </row>
    <row r="4533" spans="1:14" s="296" customFormat="1" ht="15" x14ac:dyDescent="0.25">
      <c r="A4533" s="1"/>
      <c r="B4533" s="1" t="s">
        <v>539</v>
      </c>
      <c r="C4533" s="32">
        <v>2208</v>
      </c>
      <c r="D4533" s="1">
        <v>26000</v>
      </c>
      <c r="E4533" s="1"/>
      <c r="F4533" s="1">
        <v>215.87</v>
      </c>
      <c r="G4533" s="1">
        <v>26000</v>
      </c>
      <c r="H4533" s="5">
        <f t="shared" si="88"/>
        <v>0</v>
      </c>
      <c r="I4533" s="6"/>
      <c r="J4533" s="43"/>
      <c r="K4533" s="51"/>
      <c r="L4533" s="86"/>
      <c r="M4533" s="297"/>
      <c r="N4533" s="297"/>
    </row>
    <row r="4534" spans="1:14" s="296" customFormat="1" ht="15" x14ac:dyDescent="0.25">
      <c r="A4534" s="1"/>
      <c r="B4534" s="1" t="s">
        <v>539</v>
      </c>
      <c r="C4534" s="32">
        <v>6.1699999999999998E-2</v>
      </c>
      <c r="D4534" s="1">
        <v>15000</v>
      </c>
      <c r="E4534" s="1"/>
      <c r="F4534" s="1">
        <v>167.15</v>
      </c>
      <c r="G4534" s="1">
        <v>15000</v>
      </c>
      <c r="H4534" s="5">
        <f t="shared" si="88"/>
        <v>0</v>
      </c>
      <c r="I4534" s="6"/>
      <c r="J4534" s="43"/>
      <c r="K4534" s="51"/>
      <c r="L4534" s="86"/>
      <c r="M4534" s="297"/>
      <c r="N4534" s="297"/>
    </row>
    <row r="4535" spans="1:14" s="296" customFormat="1" ht="15" x14ac:dyDescent="0.25">
      <c r="A4535" s="1"/>
      <c r="B4535" s="1" t="s">
        <v>539</v>
      </c>
      <c r="C4535" s="32">
        <v>5488</v>
      </c>
      <c r="D4535" s="1">
        <v>35000</v>
      </c>
      <c r="E4535" s="1"/>
      <c r="F4535" s="1">
        <v>379.41</v>
      </c>
      <c r="G4535" s="1">
        <v>35000</v>
      </c>
      <c r="H4535" s="5">
        <f t="shared" si="88"/>
        <v>0</v>
      </c>
      <c r="I4535" s="6"/>
      <c r="J4535" s="43"/>
      <c r="K4535" s="51"/>
      <c r="L4535" s="86"/>
      <c r="M4535" s="297"/>
      <c r="N4535" s="297"/>
    </row>
    <row r="4536" spans="1:14" s="296" customFormat="1" ht="15" x14ac:dyDescent="0.25">
      <c r="A4536" s="1"/>
      <c r="B4536" s="1" t="s">
        <v>539</v>
      </c>
      <c r="C4536" s="32">
        <v>8772</v>
      </c>
      <c r="D4536" s="1">
        <v>20000</v>
      </c>
      <c r="E4536" s="1"/>
      <c r="F4536" s="1">
        <v>222.42</v>
      </c>
      <c r="G4536" s="1">
        <v>20000</v>
      </c>
      <c r="H4536" s="5">
        <f t="shared" si="88"/>
        <v>0</v>
      </c>
      <c r="I4536" s="6"/>
      <c r="J4536" s="43"/>
      <c r="K4536" s="51"/>
      <c r="L4536" s="86"/>
      <c r="M4536" s="297"/>
      <c r="N4536" s="297"/>
    </row>
    <row r="4537" spans="1:14" s="296" customFormat="1" ht="15" x14ac:dyDescent="0.25">
      <c r="A4537" s="1"/>
      <c r="B4537" s="1" t="s">
        <v>539</v>
      </c>
      <c r="C4537" s="32">
        <v>7851</v>
      </c>
      <c r="D4537" s="1">
        <v>28000</v>
      </c>
      <c r="E4537" s="1"/>
      <c r="F4537" s="1">
        <v>311.83999999999997</v>
      </c>
      <c r="G4537" s="1">
        <v>28000</v>
      </c>
      <c r="H4537" s="5">
        <f t="shared" si="88"/>
        <v>0</v>
      </c>
      <c r="I4537" s="6"/>
      <c r="J4537" s="43"/>
      <c r="K4537" s="51"/>
      <c r="L4537" s="86"/>
      <c r="M4537" s="297"/>
      <c r="N4537" s="297"/>
    </row>
    <row r="4538" spans="1:14" s="296" customFormat="1" ht="15" x14ac:dyDescent="0.25">
      <c r="A4538" s="1"/>
      <c r="B4538" s="1" t="s">
        <v>539</v>
      </c>
      <c r="C4538" s="32">
        <v>8349</v>
      </c>
      <c r="D4538" s="1">
        <v>30000</v>
      </c>
      <c r="E4538" s="1"/>
      <c r="F4538" s="1">
        <v>334.74</v>
      </c>
      <c r="G4538" s="1">
        <v>30000</v>
      </c>
      <c r="H4538" s="5">
        <f t="shared" si="88"/>
        <v>0</v>
      </c>
      <c r="I4538" s="6"/>
      <c r="J4538" s="43"/>
      <c r="K4538" s="51"/>
      <c r="L4538" s="86"/>
      <c r="M4538" s="297"/>
      <c r="N4538" s="297"/>
    </row>
    <row r="4539" spans="1:14" s="296" customFormat="1" ht="15" x14ac:dyDescent="0.25">
      <c r="A4539" s="1"/>
      <c r="B4539" s="1" t="s">
        <v>540</v>
      </c>
      <c r="C4539" s="32">
        <v>9952</v>
      </c>
      <c r="D4539" s="1">
        <v>15000</v>
      </c>
      <c r="E4539" s="1"/>
      <c r="F4539" s="1">
        <v>167.15</v>
      </c>
      <c r="G4539" s="1">
        <v>15000</v>
      </c>
      <c r="H4539" s="5">
        <f t="shared" si="88"/>
        <v>0</v>
      </c>
      <c r="I4539" s="6"/>
      <c r="J4539" s="43"/>
      <c r="K4539" s="51"/>
      <c r="L4539" s="86"/>
      <c r="M4539" s="297"/>
      <c r="N4539" s="297"/>
    </row>
    <row r="4540" spans="1:14" s="296" customFormat="1" ht="15" x14ac:dyDescent="0.25">
      <c r="A4540" s="1"/>
      <c r="B4540" s="1" t="s">
        <v>540</v>
      </c>
      <c r="C4540" s="32">
        <v>4572</v>
      </c>
      <c r="D4540" s="1">
        <v>15000</v>
      </c>
      <c r="E4540" s="1"/>
      <c r="F4540" s="1">
        <v>167.15</v>
      </c>
      <c r="G4540" s="1">
        <v>15000</v>
      </c>
      <c r="H4540" s="5">
        <f t="shared" si="88"/>
        <v>0</v>
      </c>
      <c r="I4540" s="6"/>
      <c r="J4540" s="43"/>
      <c r="K4540" s="51"/>
      <c r="L4540" s="86"/>
      <c r="M4540" s="297"/>
      <c r="N4540" s="297"/>
    </row>
    <row r="4541" spans="1:14" s="296" customFormat="1" ht="15" x14ac:dyDescent="0.25">
      <c r="A4541" s="1"/>
      <c r="B4541" s="1" t="s">
        <v>540</v>
      </c>
      <c r="C4541" s="32">
        <v>5.8400000000000001E-2</v>
      </c>
      <c r="D4541" s="1">
        <v>24000</v>
      </c>
      <c r="E4541" s="1"/>
      <c r="F4541" s="1">
        <v>267.64</v>
      </c>
      <c r="G4541" s="1">
        <v>24000</v>
      </c>
      <c r="H4541" s="5">
        <f t="shared" si="88"/>
        <v>0</v>
      </c>
      <c r="I4541" s="6"/>
      <c r="J4541" s="43"/>
      <c r="K4541" s="51"/>
      <c r="L4541" s="86"/>
      <c r="M4541" s="297"/>
      <c r="N4541" s="297"/>
    </row>
    <row r="4542" spans="1:14" s="296" customFormat="1" ht="15" x14ac:dyDescent="0.25">
      <c r="A4542" s="1"/>
      <c r="B4542" s="1" t="s">
        <v>540</v>
      </c>
      <c r="C4542" s="32">
        <v>2516</v>
      </c>
      <c r="D4542" s="1">
        <v>25000</v>
      </c>
      <c r="E4542" s="1"/>
      <c r="F4542" s="1">
        <v>278.22000000000003</v>
      </c>
      <c r="G4542" s="1">
        <v>25000</v>
      </c>
      <c r="H4542" s="5">
        <f t="shared" si="88"/>
        <v>0</v>
      </c>
      <c r="I4542" s="6"/>
      <c r="J4542" s="43"/>
      <c r="K4542" s="51"/>
      <c r="L4542" s="86"/>
      <c r="M4542" s="297"/>
      <c r="N4542" s="297"/>
    </row>
    <row r="4543" spans="1:14" s="296" customFormat="1" ht="15" x14ac:dyDescent="0.25">
      <c r="A4543" s="1"/>
      <c r="B4543" s="1" t="s">
        <v>540</v>
      </c>
      <c r="C4543" s="32">
        <v>5.1000000000000004E-3</v>
      </c>
      <c r="D4543" s="1">
        <v>16000</v>
      </c>
      <c r="E4543" s="1"/>
      <c r="F4543" s="1">
        <v>178.22</v>
      </c>
      <c r="G4543" s="1">
        <v>16000</v>
      </c>
      <c r="H4543" s="5">
        <f t="shared" si="88"/>
        <v>0</v>
      </c>
      <c r="I4543" s="6"/>
      <c r="J4543" s="43"/>
      <c r="K4543" s="51"/>
      <c r="L4543" s="86"/>
      <c r="M4543" s="297"/>
      <c r="N4543" s="297"/>
    </row>
    <row r="4544" spans="1:14" s="296" customFormat="1" ht="15" x14ac:dyDescent="0.25">
      <c r="A4544" s="1"/>
      <c r="B4544" s="1" t="s">
        <v>540</v>
      </c>
      <c r="C4544" s="32">
        <v>9824</v>
      </c>
      <c r="D4544" s="1">
        <v>17000</v>
      </c>
      <c r="E4544" s="1"/>
      <c r="F4544" s="1">
        <v>189.74</v>
      </c>
      <c r="G4544" s="1">
        <v>17000</v>
      </c>
      <c r="H4544" s="5">
        <f t="shared" si="88"/>
        <v>0</v>
      </c>
      <c r="I4544" s="6"/>
      <c r="J4544" s="43"/>
      <c r="K4544" s="51"/>
      <c r="L4544" s="86"/>
      <c r="M4544" s="297"/>
      <c r="N4544" s="297"/>
    </row>
    <row r="4545" spans="1:14" s="296" customFormat="1" ht="15" x14ac:dyDescent="0.25">
      <c r="A4545" s="1"/>
      <c r="B4545" s="1" t="s">
        <v>540</v>
      </c>
      <c r="C4545" s="32">
        <v>3317</v>
      </c>
      <c r="D4545" s="1">
        <v>27000</v>
      </c>
      <c r="E4545" s="1"/>
      <c r="F4545" s="1">
        <v>300.83999999999997</v>
      </c>
      <c r="G4545" s="1">
        <v>27000</v>
      </c>
      <c r="H4545" s="5">
        <f t="shared" si="88"/>
        <v>0</v>
      </c>
      <c r="I4545" s="6"/>
      <c r="J4545" s="43"/>
      <c r="K4545" s="51"/>
      <c r="L4545" s="86"/>
      <c r="M4545" s="297"/>
      <c r="N4545" s="297"/>
    </row>
    <row r="4546" spans="1:14" s="296" customFormat="1" ht="15" x14ac:dyDescent="0.25">
      <c r="A4546" s="1"/>
      <c r="B4546" s="1" t="s">
        <v>540</v>
      </c>
      <c r="C4546" s="32" t="s">
        <v>30</v>
      </c>
      <c r="D4546" s="1">
        <v>5000</v>
      </c>
      <c r="E4546" s="1"/>
      <c r="F4546" s="1">
        <v>55.48</v>
      </c>
      <c r="G4546" s="1">
        <v>5000</v>
      </c>
      <c r="H4546" s="5">
        <f t="shared" si="88"/>
        <v>0</v>
      </c>
      <c r="I4546" s="6"/>
      <c r="J4546" s="43"/>
      <c r="K4546" s="51"/>
      <c r="L4546" s="86"/>
      <c r="M4546" s="297"/>
      <c r="N4546" s="297"/>
    </row>
    <row r="4547" spans="1:14" s="296" customFormat="1" ht="15" x14ac:dyDescent="0.25">
      <c r="A4547" s="1"/>
      <c r="B4547" s="1" t="s">
        <v>540</v>
      </c>
      <c r="C4547" s="32" t="s">
        <v>63</v>
      </c>
      <c r="D4547" s="1">
        <v>4500</v>
      </c>
      <c r="E4547" s="1"/>
      <c r="F4547" s="1">
        <v>50.47</v>
      </c>
      <c r="G4547" s="1">
        <v>4500</v>
      </c>
      <c r="H4547" s="5">
        <f t="shared" si="88"/>
        <v>0</v>
      </c>
      <c r="I4547" s="6"/>
      <c r="J4547" s="43"/>
      <c r="K4547" s="51"/>
      <c r="L4547" s="86"/>
      <c r="M4547" s="297"/>
      <c r="N4547" s="297"/>
    </row>
    <row r="4548" spans="1:14" s="298" customFormat="1" ht="15" x14ac:dyDescent="0.25">
      <c r="A4548" s="1"/>
      <c r="B4548" s="1" t="s">
        <v>540</v>
      </c>
      <c r="C4548" s="32" t="s">
        <v>66</v>
      </c>
      <c r="D4548" s="1">
        <v>210</v>
      </c>
      <c r="E4548" s="1"/>
      <c r="F4548" s="1">
        <v>2.08</v>
      </c>
      <c r="G4548" s="1">
        <v>210</v>
      </c>
      <c r="H4548" s="5">
        <f t="shared" si="88"/>
        <v>0</v>
      </c>
      <c r="I4548" s="6"/>
      <c r="J4548" s="43"/>
      <c r="K4548" s="51"/>
      <c r="L4548" s="86"/>
      <c r="M4548" s="299"/>
      <c r="N4548" s="299"/>
    </row>
    <row r="4549" spans="1:14" s="296" customFormat="1" ht="15" x14ac:dyDescent="0.25">
      <c r="A4549" s="1"/>
      <c r="B4549" s="1" t="s">
        <v>540</v>
      </c>
      <c r="C4549" s="32">
        <v>9760</v>
      </c>
      <c r="D4549" s="1">
        <v>15000</v>
      </c>
      <c r="E4549" s="1"/>
      <c r="F4549" s="1">
        <v>167.15</v>
      </c>
      <c r="G4549" s="6">
        <v>15000</v>
      </c>
      <c r="H4549" s="5">
        <f t="shared" si="88"/>
        <v>0</v>
      </c>
      <c r="I4549" s="6"/>
      <c r="J4549" s="43"/>
      <c r="K4549" s="51"/>
      <c r="L4549" s="86"/>
      <c r="M4549" s="297"/>
      <c r="N4549" s="297"/>
    </row>
    <row r="4550" spans="1:14" s="296" customFormat="1" ht="15" x14ac:dyDescent="0.25">
      <c r="A4550" s="1"/>
      <c r="B4550" s="1" t="s">
        <v>542</v>
      </c>
      <c r="C4550" s="32">
        <v>9.3100000000000002E-2</v>
      </c>
      <c r="D4550" s="1">
        <v>25000</v>
      </c>
      <c r="E4550" s="1"/>
      <c r="F4550" s="1">
        <v>278.22000000000003</v>
      </c>
      <c r="G4550" s="1">
        <v>25000</v>
      </c>
      <c r="H4550" s="5">
        <f t="shared" si="88"/>
        <v>0</v>
      </c>
      <c r="I4550" s="6"/>
      <c r="J4550" s="43"/>
      <c r="K4550" s="51"/>
      <c r="L4550" s="86"/>
      <c r="M4550" s="297"/>
      <c r="N4550" s="297"/>
    </row>
    <row r="4551" spans="1:14" s="296" customFormat="1" ht="15" x14ac:dyDescent="0.25">
      <c r="A4551" s="1"/>
      <c r="B4551" s="1" t="s">
        <v>544</v>
      </c>
      <c r="C4551" s="32" t="s">
        <v>30</v>
      </c>
      <c r="D4551" s="1">
        <v>5000</v>
      </c>
      <c r="E4551" s="1"/>
      <c r="F4551" s="1">
        <v>55.45</v>
      </c>
      <c r="G4551" s="1">
        <v>5000</v>
      </c>
      <c r="H4551" s="5">
        <f t="shared" si="88"/>
        <v>0</v>
      </c>
      <c r="I4551" s="6"/>
      <c r="J4551" s="43"/>
      <c r="K4551" s="51"/>
      <c r="L4551" s="86"/>
      <c r="M4551" s="297"/>
      <c r="N4551" s="297"/>
    </row>
    <row r="4552" spans="1:14" s="296" customFormat="1" ht="15" x14ac:dyDescent="0.25">
      <c r="A4552" s="1"/>
      <c r="B4552" s="1" t="s">
        <v>544</v>
      </c>
      <c r="C4552" s="32" t="s">
        <v>30</v>
      </c>
      <c r="D4552" s="1">
        <v>8000</v>
      </c>
      <c r="E4552" s="1"/>
      <c r="F4552" s="1">
        <v>89.12</v>
      </c>
      <c r="G4552" s="1">
        <v>8000</v>
      </c>
      <c r="H4552" s="5">
        <f t="shared" si="88"/>
        <v>0</v>
      </c>
      <c r="I4552" s="6"/>
      <c r="J4552" s="43"/>
      <c r="K4552" s="51"/>
      <c r="L4552" s="86"/>
      <c r="M4552" s="297"/>
      <c r="N4552" s="297"/>
    </row>
    <row r="4553" spans="1:14" s="296" customFormat="1" ht="15" x14ac:dyDescent="0.25">
      <c r="A4553" s="1"/>
      <c r="B4553" s="1" t="s">
        <v>544</v>
      </c>
      <c r="C4553" s="32">
        <v>9330</v>
      </c>
      <c r="D4553" s="1">
        <v>30000</v>
      </c>
      <c r="E4553" s="1"/>
      <c r="F4553" s="1">
        <v>334.84</v>
      </c>
      <c r="G4553" s="1">
        <v>30000</v>
      </c>
      <c r="H4553" s="5">
        <f t="shared" si="88"/>
        <v>0</v>
      </c>
      <c r="I4553" s="6"/>
      <c r="J4553" s="43"/>
      <c r="K4553" s="51"/>
      <c r="L4553" s="86"/>
      <c r="M4553" s="297"/>
      <c r="N4553" s="297"/>
    </row>
    <row r="4554" spans="1:14" s="296" customFormat="1" ht="15" x14ac:dyDescent="0.25">
      <c r="A4554" s="1"/>
      <c r="B4554" s="1" t="s">
        <v>544</v>
      </c>
      <c r="C4554" s="32">
        <v>9705</v>
      </c>
      <c r="D4554" s="1">
        <v>15000</v>
      </c>
      <c r="E4554" s="1"/>
      <c r="F4554" s="1">
        <v>167.22</v>
      </c>
      <c r="G4554" s="1">
        <v>15000</v>
      </c>
      <c r="H4554" s="5">
        <f t="shared" si="88"/>
        <v>0</v>
      </c>
      <c r="I4554" s="6"/>
      <c r="J4554" s="43"/>
      <c r="K4554" s="51"/>
      <c r="L4554" s="86"/>
      <c r="M4554" s="297"/>
      <c r="N4554" s="297"/>
    </row>
    <row r="4555" spans="1:14" s="296" customFormat="1" ht="15" x14ac:dyDescent="0.25">
      <c r="A4555" s="1"/>
      <c r="B4555" s="1" t="s">
        <v>544</v>
      </c>
      <c r="C4555" s="32">
        <v>4148</v>
      </c>
      <c r="D4555" s="1">
        <v>25000</v>
      </c>
      <c r="E4555" s="1"/>
      <c r="F4555" s="1">
        <v>278.22000000000003</v>
      </c>
      <c r="G4555" s="1">
        <v>25000</v>
      </c>
      <c r="H4555" s="5">
        <f t="shared" si="88"/>
        <v>0</v>
      </c>
      <c r="I4555" s="6"/>
      <c r="J4555" s="43"/>
      <c r="K4555" s="51"/>
      <c r="L4555" s="86"/>
      <c r="M4555" s="297"/>
      <c r="N4555" s="297"/>
    </row>
    <row r="4556" spans="1:14" s="296" customFormat="1" ht="15" x14ac:dyDescent="0.25">
      <c r="A4556" s="1"/>
      <c r="B4556" s="1" t="s">
        <v>544</v>
      </c>
      <c r="C4556" s="32">
        <v>2929</v>
      </c>
      <c r="D4556" s="1">
        <v>15000</v>
      </c>
      <c r="E4556" s="1"/>
      <c r="F4556" s="1">
        <v>233.74</v>
      </c>
      <c r="G4556" s="1">
        <v>15000</v>
      </c>
      <c r="H4556" s="5">
        <f t="shared" si="88"/>
        <v>0</v>
      </c>
      <c r="I4556" s="6"/>
      <c r="J4556" s="43"/>
      <c r="K4556" s="51"/>
      <c r="L4556" s="86"/>
      <c r="M4556" s="297"/>
      <c r="N4556" s="297"/>
    </row>
    <row r="4557" spans="1:14" s="296" customFormat="1" ht="15" x14ac:dyDescent="0.25">
      <c r="A4557" s="1"/>
      <c r="B4557" s="1" t="s">
        <v>544</v>
      </c>
      <c r="C4557" s="32">
        <v>5455</v>
      </c>
      <c r="D4557" s="1">
        <v>25000</v>
      </c>
      <c r="E4557" s="1"/>
      <c r="F4557" s="1">
        <v>278.22000000000003</v>
      </c>
      <c r="G4557" s="1">
        <v>25000</v>
      </c>
      <c r="H4557" s="5">
        <f t="shared" si="88"/>
        <v>0</v>
      </c>
      <c r="I4557" s="6"/>
      <c r="J4557" s="43"/>
      <c r="K4557" s="51"/>
      <c r="L4557" s="86"/>
      <c r="M4557" s="297"/>
      <c r="N4557" s="297"/>
    </row>
    <row r="4558" spans="1:14" s="296" customFormat="1" ht="15" x14ac:dyDescent="0.25">
      <c r="A4558" s="1"/>
      <c r="B4558" s="1" t="s">
        <v>544</v>
      </c>
      <c r="C4558" s="32">
        <v>2063</v>
      </c>
      <c r="D4558" s="1">
        <v>25000</v>
      </c>
      <c r="E4558" s="1"/>
      <c r="F4558" s="1">
        <v>278.22000000000003</v>
      </c>
      <c r="G4558" s="1">
        <v>25000</v>
      </c>
      <c r="H4558" s="5">
        <f t="shared" si="88"/>
        <v>0</v>
      </c>
      <c r="I4558" s="6"/>
      <c r="J4558" s="43"/>
      <c r="K4558" s="51"/>
      <c r="L4558" s="86"/>
      <c r="M4558" s="297"/>
      <c r="N4558" s="297"/>
    </row>
    <row r="4559" spans="1:14" s="296" customFormat="1" ht="15" x14ac:dyDescent="0.25">
      <c r="A4559" s="1"/>
      <c r="B4559" s="1" t="s">
        <v>544</v>
      </c>
      <c r="C4559" s="32">
        <v>2638</v>
      </c>
      <c r="D4559" s="1">
        <v>22000</v>
      </c>
      <c r="E4559" s="1"/>
      <c r="F4559" s="1">
        <v>225.42</v>
      </c>
      <c r="G4559" s="1">
        <v>22000</v>
      </c>
      <c r="H4559" s="5">
        <f t="shared" si="88"/>
        <v>0</v>
      </c>
      <c r="I4559" s="6"/>
      <c r="J4559" s="43"/>
      <c r="K4559" s="51"/>
      <c r="L4559" s="86"/>
      <c r="M4559" s="297"/>
      <c r="N4559" s="297"/>
    </row>
    <row r="4560" spans="1:14" s="296" customFormat="1" ht="15" x14ac:dyDescent="0.25">
      <c r="A4560" s="1"/>
      <c r="B4560" s="1" t="s">
        <v>544</v>
      </c>
      <c r="C4560" s="32">
        <v>6540</v>
      </c>
      <c r="D4560" s="1">
        <v>34000</v>
      </c>
      <c r="E4560" s="1"/>
      <c r="F4560" s="1">
        <v>362.94</v>
      </c>
      <c r="G4560" s="1">
        <v>34000</v>
      </c>
      <c r="H4560" s="5">
        <f t="shared" si="88"/>
        <v>0</v>
      </c>
      <c r="I4560" s="6"/>
      <c r="J4560" s="43"/>
      <c r="K4560" s="51"/>
      <c r="L4560" s="86"/>
      <c r="M4560" s="297"/>
      <c r="N4560" s="297"/>
    </row>
    <row r="4561" spans="1:14" s="296" customFormat="1" ht="15" x14ac:dyDescent="0.25">
      <c r="A4561" s="1"/>
      <c r="B4561" s="1" t="s">
        <v>544</v>
      </c>
      <c r="C4561" s="32">
        <v>6199</v>
      </c>
      <c r="D4561" s="1">
        <v>40000</v>
      </c>
      <c r="E4561" s="1"/>
      <c r="F4561" s="1">
        <v>436.84</v>
      </c>
      <c r="G4561" s="1">
        <v>40000</v>
      </c>
      <c r="H4561" s="5">
        <f t="shared" si="88"/>
        <v>0</v>
      </c>
      <c r="I4561" s="6"/>
      <c r="J4561" s="43"/>
      <c r="K4561" s="51"/>
      <c r="L4561" s="86"/>
      <c r="M4561" s="297"/>
      <c r="N4561" s="297"/>
    </row>
    <row r="4562" spans="1:14" s="296" customFormat="1" ht="15" x14ac:dyDescent="0.25">
      <c r="A4562" s="1"/>
      <c r="B4562" s="1" t="s">
        <v>544</v>
      </c>
      <c r="C4562" s="32">
        <v>6459</v>
      </c>
      <c r="D4562" s="1">
        <v>27000</v>
      </c>
      <c r="E4562" s="1"/>
      <c r="F4562" s="1">
        <v>300.83999999999997</v>
      </c>
      <c r="G4562" s="1">
        <v>27000</v>
      </c>
      <c r="H4562" s="5">
        <f t="shared" si="88"/>
        <v>0</v>
      </c>
      <c r="I4562" s="6"/>
      <c r="J4562" s="43"/>
      <c r="K4562" s="51"/>
      <c r="L4562" s="86"/>
      <c r="M4562" s="297"/>
      <c r="N4562" s="297"/>
    </row>
    <row r="4563" spans="1:14" s="296" customFormat="1" ht="15" x14ac:dyDescent="0.25">
      <c r="A4563" s="1"/>
      <c r="B4563" s="1" t="s">
        <v>544</v>
      </c>
      <c r="C4563" s="32">
        <v>8360</v>
      </c>
      <c r="D4563" s="1">
        <v>27000</v>
      </c>
      <c r="E4563" s="1"/>
      <c r="F4563" s="1">
        <v>300.83999999999997</v>
      </c>
      <c r="G4563" s="1">
        <v>27000</v>
      </c>
      <c r="H4563" s="5">
        <f t="shared" si="88"/>
        <v>0</v>
      </c>
      <c r="I4563" s="6"/>
      <c r="J4563" s="43"/>
      <c r="K4563" s="51"/>
      <c r="L4563" s="86"/>
      <c r="M4563" s="297"/>
      <c r="N4563" s="297"/>
    </row>
    <row r="4564" spans="1:14" s="296" customFormat="1" ht="15" x14ac:dyDescent="0.25">
      <c r="A4564" s="1"/>
      <c r="B4564" s="1" t="s">
        <v>544</v>
      </c>
      <c r="C4564" s="32">
        <v>2486</v>
      </c>
      <c r="D4564" s="1">
        <v>18000</v>
      </c>
      <c r="E4564" s="1"/>
      <c r="F4564" s="1">
        <v>201.74</v>
      </c>
      <c r="G4564" s="1">
        <v>18000</v>
      </c>
      <c r="H4564" s="5">
        <f t="shared" si="88"/>
        <v>0</v>
      </c>
      <c r="I4564" s="6"/>
      <c r="J4564" s="43"/>
      <c r="K4564" s="51"/>
      <c r="L4564" s="86"/>
      <c r="M4564" s="297"/>
      <c r="N4564" s="297"/>
    </row>
    <row r="4565" spans="1:14" s="296" customFormat="1" ht="15" x14ac:dyDescent="0.25">
      <c r="A4565" s="1"/>
      <c r="B4565" s="1" t="s">
        <v>544</v>
      </c>
      <c r="C4565" s="32">
        <v>3145</v>
      </c>
      <c r="D4565" s="1">
        <v>10000</v>
      </c>
      <c r="E4565" s="1"/>
      <c r="F4565" s="1">
        <v>111.41</v>
      </c>
      <c r="G4565" s="1">
        <v>10000</v>
      </c>
      <c r="H4565" s="5">
        <f t="shared" si="88"/>
        <v>0</v>
      </c>
      <c r="I4565" s="6"/>
      <c r="J4565" s="43"/>
      <c r="K4565" s="51"/>
      <c r="L4565" s="86"/>
      <c r="M4565" s="297"/>
      <c r="N4565" s="297"/>
    </row>
    <row r="4566" spans="1:14" s="296" customFormat="1" ht="15" x14ac:dyDescent="0.25">
      <c r="A4566" s="1"/>
      <c r="B4566" s="1" t="s">
        <v>544</v>
      </c>
      <c r="C4566" s="32">
        <v>1169</v>
      </c>
      <c r="D4566" s="1">
        <v>25000</v>
      </c>
      <c r="E4566" s="1"/>
      <c r="F4566" s="1">
        <v>278.22000000000003</v>
      </c>
      <c r="G4566" s="1">
        <v>25000</v>
      </c>
      <c r="H4566" s="5">
        <f t="shared" si="88"/>
        <v>0</v>
      </c>
      <c r="I4566" s="6"/>
      <c r="J4566" s="43"/>
      <c r="K4566" s="51"/>
      <c r="L4566" s="86"/>
      <c r="M4566" s="297"/>
      <c r="N4566" s="297"/>
    </row>
    <row r="4567" spans="1:14" s="296" customFormat="1" ht="15" x14ac:dyDescent="0.25">
      <c r="A4567" s="1"/>
      <c r="B4567" s="1" t="s">
        <v>544</v>
      </c>
      <c r="C4567" s="32">
        <v>7860</v>
      </c>
      <c r="D4567" s="1">
        <v>20000</v>
      </c>
      <c r="E4567" s="1"/>
      <c r="F4567" s="1">
        <v>222.42</v>
      </c>
      <c r="G4567" s="1">
        <v>20000</v>
      </c>
      <c r="H4567" s="5">
        <f t="shared" si="88"/>
        <v>0</v>
      </c>
      <c r="I4567" s="6"/>
      <c r="J4567" s="43"/>
      <c r="K4567" s="51"/>
      <c r="L4567" s="86"/>
      <c r="M4567" s="297"/>
      <c r="N4567" s="297"/>
    </row>
    <row r="4568" spans="1:14" s="296" customFormat="1" ht="15" x14ac:dyDescent="0.25">
      <c r="A4568" s="1"/>
      <c r="B4568" s="1" t="s">
        <v>544</v>
      </c>
      <c r="C4568" s="32">
        <v>2793</v>
      </c>
      <c r="D4568" s="1">
        <v>48000</v>
      </c>
      <c r="E4568" s="1"/>
      <c r="F4568" s="1">
        <v>840.54</v>
      </c>
      <c r="G4568" s="1">
        <v>48000</v>
      </c>
      <c r="H4568" s="5">
        <f t="shared" si="88"/>
        <v>0</v>
      </c>
      <c r="I4568" s="6"/>
      <c r="J4568" s="43"/>
      <c r="K4568" s="51"/>
      <c r="L4568" s="86"/>
      <c r="M4568" s="297"/>
      <c r="N4568" s="297"/>
    </row>
    <row r="4569" spans="1:14" s="296" customFormat="1" ht="15" x14ac:dyDescent="0.25">
      <c r="A4569" s="1"/>
      <c r="B4569" s="1" t="s">
        <v>544</v>
      </c>
      <c r="C4569" s="32" t="s">
        <v>66</v>
      </c>
      <c r="D4569" s="1">
        <v>100</v>
      </c>
      <c r="E4569" s="1"/>
      <c r="F4569" s="1">
        <v>1.05</v>
      </c>
      <c r="G4569" s="1">
        <v>100</v>
      </c>
      <c r="H4569" s="5">
        <f t="shared" si="88"/>
        <v>0</v>
      </c>
      <c r="I4569" s="6"/>
      <c r="J4569" s="43"/>
      <c r="K4569" s="51"/>
      <c r="L4569" s="86"/>
      <c r="M4569" s="297"/>
      <c r="N4569" s="297"/>
    </row>
    <row r="4570" spans="1:14" s="296" customFormat="1" ht="15" x14ac:dyDescent="0.25">
      <c r="A4570" s="1"/>
      <c r="B4570" s="1" t="s">
        <v>545</v>
      </c>
      <c r="C4570" s="32">
        <v>5.1999999999999998E-3</v>
      </c>
      <c r="D4570" s="1">
        <v>16000</v>
      </c>
      <c r="E4570" s="1"/>
      <c r="F4570" s="1">
        <v>178.22</v>
      </c>
      <c r="G4570" s="1">
        <v>16000</v>
      </c>
      <c r="H4570" s="5">
        <f t="shared" si="88"/>
        <v>0</v>
      </c>
      <c r="I4570" s="6"/>
      <c r="J4570" s="43"/>
      <c r="K4570" s="51"/>
      <c r="L4570" s="86"/>
      <c r="M4570" s="297"/>
      <c r="N4570" s="297"/>
    </row>
    <row r="4571" spans="1:14" s="296" customFormat="1" ht="15" x14ac:dyDescent="0.25">
      <c r="A4571" s="1"/>
      <c r="B4571" s="1" t="s">
        <v>545</v>
      </c>
      <c r="C4571" s="32" t="s">
        <v>30</v>
      </c>
      <c r="D4571" s="1">
        <v>4500</v>
      </c>
      <c r="E4571" s="1"/>
      <c r="F4571" s="1">
        <v>50.45</v>
      </c>
      <c r="G4571" s="1">
        <v>4500</v>
      </c>
      <c r="H4571" s="5">
        <f t="shared" si="88"/>
        <v>0</v>
      </c>
      <c r="I4571" s="6"/>
      <c r="J4571" s="43"/>
      <c r="K4571" s="51"/>
      <c r="L4571" s="86"/>
      <c r="M4571" s="297"/>
      <c r="N4571" s="297"/>
    </row>
    <row r="4572" spans="1:14" s="296" customFormat="1" ht="15" x14ac:dyDescent="0.25">
      <c r="A4572" s="1"/>
      <c r="B4572" s="1" t="s">
        <v>545</v>
      </c>
      <c r="C4572" s="32">
        <v>2227</v>
      </c>
      <c r="D4572" s="1">
        <v>31600</v>
      </c>
      <c r="E4572" s="1"/>
      <c r="F4572" s="1">
        <v>352.85</v>
      </c>
      <c r="G4572" s="1">
        <v>31600</v>
      </c>
      <c r="H4572" s="5">
        <f t="shared" si="88"/>
        <v>0</v>
      </c>
      <c r="I4572" s="6"/>
      <c r="J4572" s="43"/>
      <c r="K4572" s="51"/>
      <c r="L4572" s="86"/>
      <c r="M4572" s="297"/>
      <c r="N4572" s="297"/>
    </row>
    <row r="4573" spans="1:14" s="298" customFormat="1" ht="15" x14ac:dyDescent="0.25">
      <c r="A4573" s="1"/>
      <c r="B4573" s="1" t="s">
        <v>545</v>
      </c>
      <c r="C4573" s="32">
        <v>8863</v>
      </c>
      <c r="D4573" s="1">
        <v>26000</v>
      </c>
      <c r="E4573" s="1"/>
      <c r="F4573" s="1">
        <v>260.44</v>
      </c>
      <c r="G4573" s="1">
        <v>26000</v>
      </c>
      <c r="H4573" s="5">
        <f t="shared" si="88"/>
        <v>0</v>
      </c>
      <c r="I4573" s="6"/>
      <c r="J4573" s="43"/>
      <c r="K4573" s="51"/>
      <c r="L4573" s="86"/>
      <c r="M4573" s="299"/>
      <c r="N4573" s="299"/>
    </row>
    <row r="4574" spans="1:14" s="298" customFormat="1" ht="15" x14ac:dyDescent="0.25">
      <c r="A4574" s="1"/>
      <c r="B4574" s="1" t="s">
        <v>545</v>
      </c>
      <c r="C4574" s="32">
        <v>2316</v>
      </c>
      <c r="D4574" s="1">
        <v>27000</v>
      </c>
      <c r="E4574" s="1"/>
      <c r="F4574" s="1">
        <v>299.74</v>
      </c>
      <c r="G4574" s="1">
        <v>27000</v>
      </c>
      <c r="H4574" s="5">
        <f t="shared" si="88"/>
        <v>0</v>
      </c>
      <c r="I4574" s="6"/>
      <c r="J4574" s="43"/>
      <c r="K4574" s="51"/>
      <c r="L4574" s="86"/>
      <c r="M4574" s="299"/>
      <c r="N4574" s="299"/>
    </row>
    <row r="4575" spans="1:14" s="298" customFormat="1" ht="15" x14ac:dyDescent="0.25">
      <c r="A4575" s="1"/>
      <c r="B4575" s="1" t="s">
        <v>545</v>
      </c>
      <c r="C4575" s="32">
        <v>9025</v>
      </c>
      <c r="D4575" s="1">
        <v>26000</v>
      </c>
      <c r="E4575" s="1"/>
      <c r="F4575" s="1">
        <v>260.44</v>
      </c>
      <c r="G4575" s="1">
        <v>26000</v>
      </c>
      <c r="H4575" s="5">
        <f t="shared" si="88"/>
        <v>0</v>
      </c>
      <c r="I4575" s="6"/>
      <c r="J4575" s="43"/>
      <c r="K4575" s="51"/>
      <c r="L4575" s="86"/>
      <c r="M4575" s="299"/>
      <c r="N4575" s="299"/>
    </row>
    <row r="4576" spans="1:14" s="298" customFormat="1" ht="15" x14ac:dyDescent="0.25">
      <c r="A4576" s="1"/>
      <c r="B4576" s="1" t="s">
        <v>545</v>
      </c>
      <c r="C4576" s="32">
        <v>8154</v>
      </c>
      <c r="D4576" s="1">
        <v>27000</v>
      </c>
      <c r="E4576" s="1"/>
      <c r="F4576" s="1">
        <v>289.64</v>
      </c>
      <c r="G4576" s="1">
        <v>27000</v>
      </c>
      <c r="H4576" s="5">
        <f t="shared" si="88"/>
        <v>0</v>
      </c>
      <c r="I4576" s="6"/>
      <c r="J4576" s="43"/>
      <c r="K4576" s="51"/>
      <c r="L4576" s="86"/>
      <c r="M4576" s="299"/>
      <c r="N4576" s="299"/>
    </row>
    <row r="4577" spans="1:14" s="298" customFormat="1" ht="15" x14ac:dyDescent="0.25">
      <c r="A4577" s="1"/>
      <c r="B4577" s="1" t="s">
        <v>545</v>
      </c>
      <c r="C4577" s="32" t="s">
        <v>30</v>
      </c>
      <c r="D4577" s="1">
        <v>5000</v>
      </c>
      <c r="E4577" s="1"/>
      <c r="F4577" s="1">
        <v>55.15</v>
      </c>
      <c r="G4577" s="1">
        <v>5000</v>
      </c>
      <c r="H4577" s="5">
        <f t="shared" ref="H4577:H4640" si="89">D4577-G4577</f>
        <v>0</v>
      </c>
      <c r="I4577" s="6"/>
      <c r="J4577" s="43"/>
      <c r="K4577" s="51"/>
      <c r="L4577" s="86"/>
      <c r="M4577" s="299"/>
      <c r="N4577" s="299"/>
    </row>
    <row r="4578" spans="1:14" s="298" customFormat="1" ht="15" x14ac:dyDescent="0.25">
      <c r="A4578" s="1"/>
      <c r="B4578" s="1" t="s">
        <v>545</v>
      </c>
      <c r="C4578" s="32">
        <v>7848</v>
      </c>
      <c r="D4578" s="1">
        <v>19000</v>
      </c>
      <c r="E4578" s="1"/>
      <c r="F4578" s="1">
        <v>250.82</v>
      </c>
      <c r="G4578" s="1">
        <v>19000</v>
      </c>
      <c r="H4578" s="5">
        <f t="shared" si="89"/>
        <v>0</v>
      </c>
      <c r="I4578" s="6"/>
      <c r="J4578" s="43"/>
      <c r="K4578" s="51"/>
      <c r="L4578" s="86"/>
      <c r="M4578" s="299"/>
      <c r="N4578" s="299"/>
    </row>
    <row r="4579" spans="1:14" s="298" customFormat="1" ht="15" x14ac:dyDescent="0.25">
      <c r="A4579" s="1"/>
      <c r="B4579" s="1" t="s">
        <v>545</v>
      </c>
      <c r="C4579" s="32">
        <v>1796</v>
      </c>
      <c r="D4579" s="1">
        <v>30000</v>
      </c>
      <c r="E4579" s="1"/>
      <c r="F4579" s="1">
        <v>317.45</v>
      </c>
      <c r="G4579" s="1">
        <v>30000</v>
      </c>
      <c r="H4579" s="5">
        <f t="shared" si="89"/>
        <v>0</v>
      </c>
      <c r="I4579" s="6"/>
      <c r="J4579" s="43"/>
      <c r="K4579" s="51"/>
      <c r="L4579" s="86"/>
      <c r="M4579" s="299"/>
      <c r="N4579" s="299"/>
    </row>
    <row r="4580" spans="1:14" s="298" customFormat="1" ht="15" x14ac:dyDescent="0.25">
      <c r="A4580" s="1"/>
      <c r="B4580" s="1" t="s">
        <v>545</v>
      </c>
      <c r="C4580" s="32">
        <v>6474</v>
      </c>
      <c r="D4580" s="1">
        <v>25000</v>
      </c>
      <c r="E4580" s="1"/>
      <c r="F4580" s="1">
        <v>278.22000000000003</v>
      </c>
      <c r="G4580" s="1">
        <v>25000</v>
      </c>
      <c r="H4580" s="5">
        <f t="shared" si="89"/>
        <v>0</v>
      </c>
      <c r="I4580" s="6"/>
      <c r="J4580" s="43"/>
      <c r="K4580" s="51"/>
      <c r="L4580" s="86"/>
      <c r="M4580" s="299"/>
      <c r="N4580" s="299"/>
    </row>
    <row r="4581" spans="1:14" s="298" customFormat="1" ht="15" x14ac:dyDescent="0.25">
      <c r="A4581" s="1"/>
      <c r="B4581" s="1" t="s">
        <v>545</v>
      </c>
      <c r="C4581" s="32">
        <v>5.8400000000000001E-2</v>
      </c>
      <c r="D4581" s="1">
        <v>23000</v>
      </c>
      <c r="E4581" s="1"/>
      <c r="F4581" s="1">
        <v>228.62</v>
      </c>
      <c r="G4581" s="1">
        <v>23000</v>
      </c>
      <c r="H4581" s="5">
        <f t="shared" si="89"/>
        <v>0</v>
      </c>
      <c r="I4581" s="6"/>
      <c r="J4581" s="43"/>
      <c r="K4581" s="51"/>
      <c r="L4581" s="86"/>
      <c r="M4581" s="299"/>
      <c r="N4581" s="299"/>
    </row>
    <row r="4582" spans="1:14" s="298" customFormat="1" ht="15" x14ac:dyDescent="0.25">
      <c r="A4582" s="1"/>
      <c r="B4582" s="1" t="s">
        <v>545</v>
      </c>
      <c r="C4582" s="32">
        <v>1403</v>
      </c>
      <c r="D4582" s="1">
        <v>26000</v>
      </c>
      <c r="E4582" s="1"/>
      <c r="F4582" s="1">
        <v>271.83999999999997</v>
      </c>
      <c r="G4582" s="1">
        <v>26000</v>
      </c>
      <c r="H4582" s="5">
        <f t="shared" si="89"/>
        <v>0</v>
      </c>
      <c r="I4582" s="6"/>
      <c r="J4582" s="43"/>
      <c r="K4582" s="51"/>
      <c r="L4582" s="86"/>
      <c r="M4582" s="299"/>
      <c r="N4582" s="299"/>
    </row>
    <row r="4583" spans="1:14" s="298" customFormat="1" ht="15" x14ac:dyDescent="0.25">
      <c r="A4583" s="1"/>
      <c r="B4583" s="1" t="s">
        <v>545</v>
      </c>
      <c r="C4583" s="32">
        <v>4115</v>
      </c>
      <c r="D4583" s="1">
        <v>24000</v>
      </c>
      <c r="E4583" s="1"/>
      <c r="F4583" s="1">
        <v>267.62</v>
      </c>
      <c r="G4583" s="1">
        <v>24000</v>
      </c>
      <c r="H4583" s="5">
        <f t="shared" si="89"/>
        <v>0</v>
      </c>
      <c r="I4583" s="6"/>
      <c r="J4583" s="43"/>
      <c r="K4583" s="51"/>
      <c r="L4583" s="86"/>
      <c r="M4583" s="299"/>
      <c r="N4583" s="299"/>
    </row>
    <row r="4584" spans="1:14" s="298" customFormat="1" ht="15" x14ac:dyDescent="0.25">
      <c r="A4584" s="1"/>
      <c r="B4584" s="1" t="s">
        <v>545</v>
      </c>
      <c r="C4584" s="32">
        <v>6302</v>
      </c>
      <c r="D4584" s="1">
        <v>22000</v>
      </c>
      <c r="E4584" s="1"/>
      <c r="F4584" s="1">
        <v>245.74</v>
      </c>
      <c r="G4584" s="1">
        <v>22000</v>
      </c>
      <c r="H4584" s="5">
        <f t="shared" si="89"/>
        <v>0</v>
      </c>
      <c r="I4584" s="6"/>
      <c r="J4584" s="43"/>
      <c r="K4584" s="51"/>
      <c r="L4584" s="86"/>
      <c r="M4584" s="299"/>
      <c r="N4584" s="299"/>
    </row>
    <row r="4585" spans="1:14" s="298" customFormat="1" ht="15" x14ac:dyDescent="0.25">
      <c r="A4585" s="1"/>
      <c r="B4585" s="1" t="s">
        <v>545</v>
      </c>
      <c r="C4585" s="32">
        <v>2258</v>
      </c>
      <c r="D4585" s="1">
        <v>22000</v>
      </c>
      <c r="E4585" s="1"/>
      <c r="F4585" s="1">
        <v>245.74</v>
      </c>
      <c r="G4585" s="1">
        <v>22000</v>
      </c>
      <c r="H4585" s="5">
        <f t="shared" si="89"/>
        <v>0</v>
      </c>
      <c r="I4585" s="6"/>
      <c r="J4585" s="43"/>
      <c r="K4585" s="51"/>
      <c r="L4585" s="86"/>
      <c r="M4585" s="299"/>
      <c r="N4585" s="299"/>
    </row>
    <row r="4586" spans="1:14" s="298" customFormat="1" ht="15" x14ac:dyDescent="0.25">
      <c r="A4586" s="1"/>
      <c r="B4586" s="1" t="s">
        <v>545</v>
      </c>
      <c r="C4586" s="32">
        <v>7446</v>
      </c>
      <c r="D4586" s="1">
        <v>18000</v>
      </c>
      <c r="E4586" s="1"/>
      <c r="F4586" s="1">
        <v>200.37</v>
      </c>
      <c r="G4586" s="1">
        <v>18000</v>
      </c>
      <c r="H4586" s="5">
        <f t="shared" si="89"/>
        <v>0</v>
      </c>
      <c r="I4586" s="6"/>
      <c r="J4586" s="43"/>
      <c r="K4586" s="51"/>
      <c r="L4586" s="86"/>
      <c r="M4586" s="299"/>
      <c r="N4586" s="299"/>
    </row>
    <row r="4587" spans="1:14" s="298" customFormat="1" ht="15" x14ac:dyDescent="0.25">
      <c r="A4587" s="1"/>
      <c r="B4587" s="1" t="s">
        <v>545</v>
      </c>
      <c r="C4587" s="32">
        <v>7253</v>
      </c>
      <c r="D4587" s="1">
        <v>27000</v>
      </c>
      <c r="E4587" s="1"/>
      <c r="F4587" s="1">
        <v>300.18</v>
      </c>
      <c r="G4587" s="1">
        <v>27000</v>
      </c>
      <c r="H4587" s="5">
        <f t="shared" si="89"/>
        <v>0</v>
      </c>
      <c r="I4587" s="6"/>
      <c r="J4587" s="43"/>
      <c r="K4587" s="51"/>
      <c r="L4587" s="86"/>
      <c r="M4587" s="299"/>
      <c r="N4587" s="299"/>
    </row>
    <row r="4588" spans="1:14" s="298" customFormat="1" ht="15" x14ac:dyDescent="0.25">
      <c r="A4588" s="1"/>
      <c r="B4588" s="1" t="s">
        <v>545</v>
      </c>
      <c r="C4588" s="32">
        <v>3330</v>
      </c>
      <c r="D4588" s="1">
        <v>15000</v>
      </c>
      <c r="E4588" s="1"/>
      <c r="F4588" s="1">
        <v>167.22</v>
      </c>
      <c r="G4588" s="1">
        <v>15000</v>
      </c>
      <c r="H4588" s="5">
        <f t="shared" si="89"/>
        <v>0</v>
      </c>
      <c r="I4588" s="6"/>
      <c r="J4588" s="43"/>
      <c r="K4588" s="51"/>
      <c r="L4588" s="86"/>
      <c r="M4588" s="299"/>
      <c r="N4588" s="299"/>
    </row>
    <row r="4589" spans="1:14" s="298" customFormat="1" ht="15" x14ac:dyDescent="0.25">
      <c r="A4589" s="1"/>
      <c r="B4589" s="1" t="s">
        <v>545</v>
      </c>
      <c r="C4589" s="32">
        <v>2414</v>
      </c>
      <c r="D4589" s="1">
        <v>19000</v>
      </c>
      <c r="E4589" s="1"/>
      <c r="F4589" s="1">
        <v>206.54</v>
      </c>
      <c r="G4589" s="1">
        <v>19000</v>
      </c>
      <c r="H4589" s="5">
        <f t="shared" si="89"/>
        <v>0</v>
      </c>
      <c r="I4589" s="6"/>
      <c r="J4589" s="43"/>
      <c r="K4589" s="51"/>
      <c r="L4589" s="86"/>
      <c r="M4589" s="299"/>
      <c r="N4589" s="299"/>
    </row>
    <row r="4590" spans="1:14" s="298" customFormat="1" ht="15" x14ac:dyDescent="0.25">
      <c r="A4590" s="1"/>
      <c r="B4590" s="1" t="s">
        <v>546</v>
      </c>
      <c r="C4590" s="32" t="s">
        <v>30</v>
      </c>
      <c r="D4590" s="1">
        <v>6000</v>
      </c>
      <c r="E4590" s="1"/>
      <c r="F4590" s="1">
        <v>66.239999999999995</v>
      </c>
      <c r="G4590" s="1">
        <v>6000</v>
      </c>
      <c r="H4590" s="5">
        <f t="shared" si="89"/>
        <v>0</v>
      </c>
      <c r="I4590" s="6"/>
      <c r="J4590" s="43"/>
      <c r="K4590" s="51"/>
      <c r="L4590" s="86"/>
      <c r="M4590" s="299"/>
      <c r="N4590" s="299"/>
    </row>
    <row r="4591" spans="1:14" s="298" customFormat="1" ht="15" x14ac:dyDescent="0.25">
      <c r="A4591" s="1"/>
      <c r="B4591" s="1" t="s">
        <v>546</v>
      </c>
      <c r="C4591" s="32">
        <v>4751</v>
      </c>
      <c r="D4591" s="1">
        <v>28000</v>
      </c>
      <c r="E4591" s="1"/>
      <c r="F4591" s="1">
        <v>282.76</v>
      </c>
      <c r="G4591" s="1">
        <v>28000</v>
      </c>
      <c r="H4591" s="5">
        <f t="shared" si="89"/>
        <v>0</v>
      </c>
      <c r="I4591" s="6"/>
      <c r="J4591" s="43"/>
      <c r="K4591" s="51"/>
      <c r="L4591" s="86"/>
      <c r="M4591" s="299"/>
      <c r="N4591" s="299"/>
    </row>
    <row r="4592" spans="1:14" s="298" customFormat="1" ht="15" x14ac:dyDescent="0.25">
      <c r="A4592" s="1"/>
      <c r="B4592" s="1" t="s">
        <v>546</v>
      </c>
      <c r="C4592" s="32">
        <v>9001</v>
      </c>
      <c r="D4592" s="1">
        <v>15000</v>
      </c>
      <c r="E4592" s="1"/>
      <c r="F4592" s="1">
        <v>178.22</v>
      </c>
      <c r="G4592" s="1">
        <v>15000</v>
      </c>
      <c r="H4592" s="5">
        <f t="shared" si="89"/>
        <v>0</v>
      </c>
      <c r="I4592" s="6"/>
      <c r="J4592" s="43"/>
      <c r="K4592" s="51"/>
      <c r="L4592" s="86"/>
      <c r="M4592" s="299"/>
      <c r="N4592" s="299"/>
    </row>
    <row r="4593" spans="1:14" s="298" customFormat="1" ht="15" x14ac:dyDescent="0.25">
      <c r="A4593" s="1"/>
      <c r="B4593" s="1" t="s">
        <v>546</v>
      </c>
      <c r="C4593" s="32">
        <v>9903</v>
      </c>
      <c r="D4593" s="1">
        <v>20000</v>
      </c>
      <c r="E4593" s="1"/>
      <c r="F4593" s="1">
        <v>222.67</v>
      </c>
      <c r="G4593" s="1">
        <v>20000</v>
      </c>
      <c r="H4593" s="5">
        <f t="shared" si="89"/>
        <v>0</v>
      </c>
      <c r="I4593" s="6"/>
      <c r="J4593" s="43"/>
      <c r="K4593" s="51"/>
      <c r="L4593" s="86"/>
      <c r="M4593" s="299"/>
      <c r="N4593" s="299"/>
    </row>
    <row r="4594" spans="1:14" s="298" customFormat="1" ht="15" x14ac:dyDescent="0.25">
      <c r="A4594" s="1"/>
      <c r="B4594" s="1" t="s">
        <v>546</v>
      </c>
      <c r="C4594" s="32">
        <v>1692</v>
      </c>
      <c r="D4594" s="1">
        <v>23000</v>
      </c>
      <c r="E4594" s="1"/>
      <c r="F4594" s="1">
        <v>256.83999999999997</v>
      </c>
      <c r="G4594" s="1">
        <v>23000</v>
      </c>
      <c r="H4594" s="5">
        <f t="shared" si="89"/>
        <v>0</v>
      </c>
      <c r="I4594" s="6"/>
      <c r="J4594" s="43"/>
      <c r="K4594" s="51"/>
      <c r="L4594" s="86"/>
      <c r="M4594" s="299"/>
      <c r="N4594" s="299"/>
    </row>
    <row r="4595" spans="1:14" s="298" customFormat="1" ht="15" x14ac:dyDescent="0.25">
      <c r="A4595" s="1"/>
      <c r="B4595" s="1" t="s">
        <v>546</v>
      </c>
      <c r="C4595" s="32">
        <v>6351</v>
      </c>
      <c r="D4595" s="1">
        <v>17000</v>
      </c>
      <c r="E4595" s="1"/>
      <c r="F4595" s="1">
        <v>189.67</v>
      </c>
      <c r="G4595" s="1">
        <v>17000</v>
      </c>
      <c r="H4595" s="5">
        <f t="shared" si="89"/>
        <v>0</v>
      </c>
      <c r="I4595" s="6"/>
      <c r="J4595" s="43"/>
      <c r="K4595" s="51"/>
      <c r="L4595" s="86"/>
      <c r="M4595" s="299"/>
      <c r="N4595" s="299"/>
    </row>
    <row r="4596" spans="1:14" s="298" customFormat="1" ht="15" x14ac:dyDescent="0.25">
      <c r="A4596" s="1"/>
      <c r="B4596" s="1" t="s">
        <v>546</v>
      </c>
      <c r="C4596" s="32">
        <v>1953</v>
      </c>
      <c r="D4596" s="1">
        <v>30000</v>
      </c>
      <c r="E4596" s="1"/>
      <c r="F4596" s="1">
        <v>345.42</v>
      </c>
      <c r="G4596" s="1">
        <v>30000</v>
      </c>
      <c r="H4596" s="5">
        <f t="shared" si="89"/>
        <v>0</v>
      </c>
      <c r="I4596" s="6"/>
      <c r="J4596" s="43"/>
      <c r="K4596" s="51"/>
      <c r="L4596" s="86"/>
      <c r="M4596" s="299"/>
      <c r="N4596" s="299"/>
    </row>
    <row r="4597" spans="1:14" s="298" customFormat="1" ht="15" x14ac:dyDescent="0.25">
      <c r="A4597" s="1"/>
      <c r="B4597" s="1" t="s">
        <v>546</v>
      </c>
      <c r="C4597" s="32">
        <v>7192</v>
      </c>
      <c r="D4597" s="1">
        <v>30000</v>
      </c>
      <c r="E4597" s="1"/>
      <c r="F4597" s="1">
        <v>345.42</v>
      </c>
      <c r="G4597" s="1">
        <v>30000</v>
      </c>
      <c r="H4597" s="5">
        <f t="shared" si="89"/>
        <v>0</v>
      </c>
      <c r="I4597" s="6"/>
      <c r="J4597" s="43"/>
      <c r="K4597" s="51"/>
      <c r="L4597" s="86"/>
      <c r="M4597" s="299"/>
      <c r="N4597" s="299"/>
    </row>
    <row r="4598" spans="1:14" s="298" customFormat="1" ht="15" x14ac:dyDescent="0.25">
      <c r="A4598" s="1"/>
      <c r="B4598" s="1" t="s">
        <v>546</v>
      </c>
      <c r="C4598" s="32">
        <v>7816</v>
      </c>
      <c r="D4598" s="1">
        <v>25000</v>
      </c>
      <c r="E4598" s="1"/>
      <c r="F4598" s="1">
        <v>278.22000000000003</v>
      </c>
      <c r="G4598" s="1">
        <v>25000</v>
      </c>
      <c r="H4598" s="5">
        <f t="shared" si="89"/>
        <v>0</v>
      </c>
      <c r="I4598" s="6"/>
      <c r="J4598" s="43"/>
      <c r="K4598" s="51"/>
      <c r="L4598" s="86"/>
      <c r="M4598" s="299"/>
      <c r="N4598" s="299"/>
    </row>
    <row r="4599" spans="1:14" s="298" customFormat="1" ht="15" x14ac:dyDescent="0.25">
      <c r="A4599" s="1"/>
      <c r="B4599" s="1" t="s">
        <v>546</v>
      </c>
      <c r="C4599" s="32">
        <v>8617</v>
      </c>
      <c r="D4599" s="1">
        <v>25000</v>
      </c>
      <c r="E4599" s="1"/>
      <c r="F4599" s="1">
        <v>278.22000000000003</v>
      </c>
      <c r="G4599" s="1">
        <v>25000</v>
      </c>
      <c r="H4599" s="5">
        <f t="shared" si="89"/>
        <v>0</v>
      </c>
      <c r="I4599" s="6"/>
      <c r="J4599" s="43"/>
      <c r="K4599" s="51"/>
      <c r="L4599" s="86"/>
      <c r="M4599" s="299"/>
      <c r="N4599" s="299"/>
    </row>
    <row r="4600" spans="1:14" s="298" customFormat="1" ht="15" x14ac:dyDescent="0.25">
      <c r="A4600" s="1"/>
      <c r="B4600" s="1" t="s">
        <v>546</v>
      </c>
      <c r="C4600" s="32">
        <v>9500</v>
      </c>
      <c r="D4600" s="1">
        <v>24000</v>
      </c>
      <c r="E4600" s="1"/>
      <c r="F4600" s="1">
        <v>265.94</v>
      </c>
      <c r="G4600" s="1">
        <v>24000</v>
      </c>
      <c r="H4600" s="5">
        <f t="shared" si="89"/>
        <v>0</v>
      </c>
      <c r="I4600" s="6"/>
      <c r="J4600" s="43"/>
      <c r="K4600" s="51"/>
      <c r="L4600" s="86"/>
      <c r="M4600" s="299"/>
      <c r="N4600" s="299"/>
    </row>
    <row r="4601" spans="1:14" s="298" customFormat="1" ht="15" x14ac:dyDescent="0.25">
      <c r="A4601" s="1"/>
      <c r="B4601" s="1" t="s">
        <v>546</v>
      </c>
      <c r="C4601" s="32">
        <v>6311</v>
      </c>
      <c r="D4601" s="1">
        <v>24000</v>
      </c>
      <c r="E4601" s="1"/>
      <c r="F4601" s="1">
        <v>264.94</v>
      </c>
      <c r="G4601" s="1">
        <v>24000</v>
      </c>
      <c r="H4601" s="5">
        <f t="shared" si="89"/>
        <v>0</v>
      </c>
      <c r="I4601" s="6"/>
      <c r="J4601" s="43"/>
      <c r="K4601" s="51"/>
      <c r="L4601" s="86"/>
      <c r="M4601" s="299"/>
      <c r="N4601" s="299"/>
    </row>
    <row r="4602" spans="1:14" s="298" customFormat="1" ht="15" x14ac:dyDescent="0.25">
      <c r="A4602" s="1"/>
      <c r="B4602" s="1" t="s">
        <v>546</v>
      </c>
      <c r="C4602" s="32">
        <v>8311</v>
      </c>
      <c r="D4602" s="1">
        <v>24000</v>
      </c>
      <c r="E4602" s="1"/>
      <c r="F4602" s="1">
        <v>264.94</v>
      </c>
      <c r="G4602" s="1">
        <v>24000</v>
      </c>
      <c r="H4602" s="5">
        <f t="shared" si="89"/>
        <v>0</v>
      </c>
      <c r="I4602" s="6"/>
      <c r="J4602" s="43"/>
      <c r="K4602" s="51"/>
      <c r="L4602" s="86"/>
      <c r="M4602" s="299"/>
      <c r="N4602" s="299"/>
    </row>
    <row r="4603" spans="1:14" s="300" customFormat="1" ht="15" x14ac:dyDescent="0.25">
      <c r="A4603" s="1"/>
      <c r="B4603" s="1" t="s">
        <v>547</v>
      </c>
      <c r="C4603" s="32" t="s">
        <v>30</v>
      </c>
      <c r="D4603" s="1">
        <v>4500</v>
      </c>
      <c r="E4603" s="1"/>
      <c r="F4603" s="1">
        <v>50.24</v>
      </c>
      <c r="G4603" s="1">
        <v>4500</v>
      </c>
      <c r="H4603" s="5">
        <f t="shared" si="89"/>
        <v>0</v>
      </c>
      <c r="I4603" s="6"/>
      <c r="J4603" s="43"/>
      <c r="K4603" s="51"/>
      <c r="L4603" s="86"/>
      <c r="M4603" s="301"/>
      <c r="N4603" s="301"/>
    </row>
    <row r="4604" spans="1:14" s="300" customFormat="1" ht="15" x14ac:dyDescent="0.25">
      <c r="A4604" s="1"/>
      <c r="B4604" s="1" t="s">
        <v>547</v>
      </c>
      <c r="C4604" s="32" t="s">
        <v>30</v>
      </c>
      <c r="D4604" s="1">
        <v>5000</v>
      </c>
      <c r="E4604" s="1"/>
      <c r="F4604" s="1">
        <v>55.47</v>
      </c>
      <c r="G4604" s="1">
        <v>5000</v>
      </c>
      <c r="H4604" s="5">
        <f t="shared" si="89"/>
        <v>0</v>
      </c>
      <c r="I4604" s="6"/>
      <c r="J4604" s="43"/>
      <c r="K4604" s="51"/>
      <c r="L4604" s="86"/>
      <c r="M4604" s="301"/>
      <c r="N4604" s="301"/>
    </row>
    <row r="4605" spans="1:14" s="300" customFormat="1" ht="15" x14ac:dyDescent="0.25">
      <c r="A4605" s="1"/>
      <c r="B4605" s="1" t="s">
        <v>547</v>
      </c>
      <c r="C4605" s="32">
        <v>1871</v>
      </c>
      <c r="D4605" s="1">
        <v>23000</v>
      </c>
      <c r="E4605" s="1"/>
      <c r="F4605" s="1">
        <v>256.87</v>
      </c>
      <c r="G4605" s="1">
        <v>23000</v>
      </c>
      <c r="H4605" s="5">
        <f t="shared" si="89"/>
        <v>0</v>
      </c>
      <c r="I4605" s="6"/>
      <c r="J4605" s="43"/>
      <c r="K4605" s="51"/>
      <c r="L4605" s="86"/>
      <c r="M4605" s="301"/>
      <c r="N4605" s="301"/>
    </row>
    <row r="4606" spans="1:14" s="300" customFormat="1" ht="15" x14ac:dyDescent="0.25">
      <c r="A4606" s="1"/>
      <c r="B4606" s="1" t="s">
        <v>547</v>
      </c>
      <c r="C4606" s="32">
        <v>3537</v>
      </c>
      <c r="D4606" s="1">
        <v>18000</v>
      </c>
      <c r="E4606" s="1"/>
      <c r="F4606" s="1">
        <v>195.74</v>
      </c>
      <c r="G4606" s="1">
        <v>18000</v>
      </c>
      <c r="H4606" s="5">
        <f t="shared" si="89"/>
        <v>0</v>
      </c>
      <c r="I4606" s="6"/>
      <c r="J4606" s="43"/>
      <c r="K4606" s="51"/>
      <c r="L4606" s="86"/>
      <c r="M4606" s="301"/>
      <c r="N4606" s="301"/>
    </row>
    <row r="4607" spans="1:14" s="300" customFormat="1" ht="15" x14ac:dyDescent="0.25">
      <c r="A4607" s="1"/>
      <c r="B4607" s="1" t="s">
        <v>547</v>
      </c>
      <c r="C4607" s="32">
        <v>6659</v>
      </c>
      <c r="D4607" s="1">
        <v>28000</v>
      </c>
      <c r="E4607" s="1"/>
      <c r="F4607" s="1">
        <v>312.62</v>
      </c>
      <c r="G4607" s="1">
        <v>28000</v>
      </c>
      <c r="H4607" s="5">
        <f t="shared" si="89"/>
        <v>0</v>
      </c>
      <c r="I4607" s="6"/>
      <c r="J4607" s="43"/>
      <c r="K4607" s="51"/>
      <c r="L4607" s="86"/>
      <c r="M4607" s="301"/>
      <c r="N4607" s="301"/>
    </row>
    <row r="4608" spans="1:14" s="300" customFormat="1" ht="15" x14ac:dyDescent="0.25">
      <c r="A4608" s="1"/>
      <c r="B4608" s="1" t="s">
        <v>547</v>
      </c>
      <c r="C4608" s="32">
        <v>4535</v>
      </c>
      <c r="D4608" s="1">
        <v>29000</v>
      </c>
      <c r="E4608" s="1"/>
      <c r="F4608" s="1">
        <v>323.41000000000003</v>
      </c>
      <c r="G4608" s="1">
        <v>29000</v>
      </c>
      <c r="H4608" s="5">
        <f t="shared" si="89"/>
        <v>0</v>
      </c>
      <c r="I4608" s="6"/>
      <c r="J4608" s="43"/>
      <c r="K4608" s="51"/>
      <c r="L4608" s="86"/>
      <c r="M4608" s="301"/>
      <c r="N4608" s="301"/>
    </row>
    <row r="4609" spans="1:14" s="300" customFormat="1" ht="15" x14ac:dyDescent="0.25">
      <c r="A4609" s="1"/>
      <c r="B4609" s="1" t="s">
        <v>547</v>
      </c>
      <c r="C4609" s="32">
        <v>4076</v>
      </c>
      <c r="D4609" s="1">
        <v>14000</v>
      </c>
      <c r="E4609" s="1"/>
      <c r="F4609" s="1">
        <v>155.94</v>
      </c>
      <c r="G4609" s="1">
        <v>14000</v>
      </c>
      <c r="H4609" s="5">
        <f t="shared" si="89"/>
        <v>0</v>
      </c>
      <c r="I4609" s="6"/>
      <c r="J4609" s="43"/>
      <c r="K4609" s="51"/>
      <c r="L4609" s="86"/>
      <c r="M4609" s="301"/>
      <c r="N4609" s="301"/>
    </row>
    <row r="4610" spans="1:14" s="300" customFormat="1" ht="15" x14ac:dyDescent="0.25">
      <c r="A4610" s="1"/>
      <c r="B4610" s="1" t="s">
        <v>547</v>
      </c>
      <c r="C4610" s="32">
        <v>6393</v>
      </c>
      <c r="D4610" s="1">
        <v>22000</v>
      </c>
      <c r="E4610" s="1"/>
      <c r="F4610" s="1">
        <v>233.61</v>
      </c>
      <c r="G4610" s="1">
        <v>22000</v>
      </c>
      <c r="H4610" s="5">
        <f t="shared" si="89"/>
        <v>0</v>
      </c>
      <c r="I4610" s="6"/>
      <c r="J4610" s="43"/>
      <c r="K4610" s="51"/>
      <c r="L4610" s="86"/>
      <c r="M4610" s="301"/>
      <c r="N4610" s="301"/>
    </row>
    <row r="4611" spans="1:14" s="300" customFormat="1" ht="15" x14ac:dyDescent="0.25">
      <c r="A4611" s="1"/>
      <c r="B4611" s="1" t="s">
        <v>547</v>
      </c>
      <c r="C4611" s="32">
        <v>9378</v>
      </c>
      <c r="D4611" s="1">
        <v>22000</v>
      </c>
      <c r="E4611" s="1"/>
      <c r="F4611" s="1">
        <v>233.61</v>
      </c>
      <c r="G4611" s="1">
        <v>22000</v>
      </c>
      <c r="H4611" s="5">
        <f t="shared" si="89"/>
        <v>0</v>
      </c>
      <c r="I4611" s="6"/>
      <c r="J4611" s="43"/>
      <c r="K4611" s="51"/>
      <c r="L4611" s="86"/>
      <c r="M4611" s="301"/>
      <c r="N4611" s="301"/>
    </row>
    <row r="4612" spans="1:14" s="300" customFormat="1" ht="15" x14ac:dyDescent="0.25">
      <c r="A4612" s="1"/>
      <c r="B4612" s="1" t="s">
        <v>547</v>
      </c>
      <c r="C4612" s="32">
        <v>6037</v>
      </c>
      <c r="D4612" s="1">
        <v>22000</v>
      </c>
      <c r="E4612" s="1"/>
      <c r="F4612" s="1">
        <v>233.61</v>
      </c>
      <c r="G4612" s="1">
        <v>22000</v>
      </c>
      <c r="H4612" s="5">
        <f t="shared" si="89"/>
        <v>0</v>
      </c>
      <c r="I4612" s="6"/>
      <c r="J4612" s="43"/>
      <c r="K4612" s="51"/>
      <c r="L4612" s="86"/>
      <c r="M4612" s="301"/>
      <c r="N4612" s="301"/>
    </row>
    <row r="4613" spans="1:14" s="300" customFormat="1" ht="15" x14ac:dyDescent="0.25">
      <c r="A4613" s="1"/>
      <c r="B4613" s="1" t="s">
        <v>547</v>
      </c>
      <c r="C4613" s="32">
        <v>4629</v>
      </c>
      <c r="D4613" s="1">
        <v>20000</v>
      </c>
      <c r="E4613" s="1"/>
      <c r="F4613" s="1">
        <v>222.67</v>
      </c>
      <c r="G4613" s="1">
        <v>20000</v>
      </c>
      <c r="H4613" s="5">
        <f t="shared" si="89"/>
        <v>0</v>
      </c>
      <c r="I4613" s="6"/>
      <c r="J4613" s="43"/>
      <c r="K4613" s="51"/>
      <c r="L4613" s="86"/>
      <c r="M4613" s="301"/>
      <c r="N4613" s="301"/>
    </row>
    <row r="4614" spans="1:14" s="300" customFormat="1" ht="15" x14ac:dyDescent="0.25">
      <c r="A4614" s="1"/>
      <c r="B4614" s="1" t="s">
        <v>547</v>
      </c>
      <c r="C4614" s="32">
        <v>7.1000000000000004E-3</v>
      </c>
      <c r="D4614" s="1">
        <v>15000</v>
      </c>
      <c r="E4614" s="1"/>
      <c r="F4614" s="1">
        <v>178.22</v>
      </c>
      <c r="G4614" s="1">
        <v>15000</v>
      </c>
      <c r="H4614" s="5">
        <f t="shared" si="89"/>
        <v>0</v>
      </c>
      <c r="I4614" s="6"/>
      <c r="J4614" s="43"/>
      <c r="K4614" s="51"/>
      <c r="L4614" s="86"/>
      <c r="M4614" s="301"/>
      <c r="N4614" s="301"/>
    </row>
    <row r="4615" spans="1:14" s="300" customFormat="1" ht="15" x14ac:dyDescent="0.25">
      <c r="A4615" s="1"/>
      <c r="B4615" s="1" t="s">
        <v>547</v>
      </c>
      <c r="C4615" s="32">
        <v>7.6E-3</v>
      </c>
      <c r="D4615" s="1">
        <v>15000</v>
      </c>
      <c r="E4615" s="1"/>
      <c r="F4615" s="1">
        <v>178.22</v>
      </c>
      <c r="G4615" s="1">
        <v>15000</v>
      </c>
      <c r="H4615" s="5">
        <f t="shared" si="89"/>
        <v>0</v>
      </c>
      <c r="I4615" s="6"/>
      <c r="J4615" s="43"/>
      <c r="K4615" s="51"/>
      <c r="L4615" s="86"/>
      <c r="M4615" s="301"/>
      <c r="N4615" s="301"/>
    </row>
    <row r="4616" spans="1:14" s="300" customFormat="1" ht="15" x14ac:dyDescent="0.25">
      <c r="A4616" s="1"/>
      <c r="B4616" s="1" t="s">
        <v>547</v>
      </c>
      <c r="C4616" s="32">
        <v>4913</v>
      </c>
      <c r="D4616" s="1">
        <v>25000</v>
      </c>
      <c r="E4616" s="1"/>
      <c r="F4616" s="1">
        <v>278.45</v>
      </c>
      <c r="G4616" s="1">
        <v>25000</v>
      </c>
      <c r="H4616" s="5">
        <f t="shared" si="89"/>
        <v>0</v>
      </c>
      <c r="I4616" s="6"/>
      <c r="J4616" s="43"/>
      <c r="K4616" s="51"/>
      <c r="L4616" s="86"/>
      <c r="M4616" s="301"/>
      <c r="N4616" s="301"/>
    </row>
    <row r="4617" spans="1:14" s="300" customFormat="1" ht="15" x14ac:dyDescent="0.25">
      <c r="A4617" s="1"/>
      <c r="B4617" s="1" t="s">
        <v>547</v>
      </c>
      <c r="C4617" s="32">
        <v>7045</v>
      </c>
      <c r="D4617" s="1">
        <v>22000</v>
      </c>
      <c r="E4617" s="1"/>
      <c r="F4617" s="1">
        <v>233.61</v>
      </c>
      <c r="G4617" s="1">
        <v>22000</v>
      </c>
      <c r="H4617" s="5">
        <f t="shared" si="89"/>
        <v>0</v>
      </c>
      <c r="I4617" s="6"/>
      <c r="J4617" s="43"/>
      <c r="K4617" s="51"/>
      <c r="L4617" s="86">
        <f>2151788-2137225</f>
        <v>14563</v>
      </c>
      <c r="M4617" s="303" t="s">
        <v>550</v>
      </c>
      <c r="N4617" s="302">
        <f>14563-11328</f>
        <v>3235</v>
      </c>
    </row>
    <row r="4618" spans="1:14" s="316" customFormat="1" ht="15" x14ac:dyDescent="0.25">
      <c r="A4618" s="1"/>
      <c r="B4618" s="1" t="s">
        <v>556</v>
      </c>
      <c r="C4618" s="32">
        <v>7.6300000000000007E-2</v>
      </c>
      <c r="D4618" s="1">
        <v>15000</v>
      </c>
      <c r="E4618" s="1"/>
      <c r="F4618" s="1">
        <v>167.15</v>
      </c>
      <c r="G4618" s="1">
        <v>15000</v>
      </c>
      <c r="H4618" s="5">
        <f t="shared" si="89"/>
        <v>0</v>
      </c>
      <c r="I4618" s="6"/>
      <c r="J4618" s="43"/>
      <c r="K4618" s="51"/>
      <c r="L4618" s="86"/>
      <c r="M4618" s="317"/>
    </row>
    <row r="4619" spans="1:14" s="316" customFormat="1" ht="15" x14ac:dyDescent="0.25">
      <c r="A4619" s="1"/>
      <c r="B4619" s="1" t="s">
        <v>556</v>
      </c>
      <c r="C4619" s="32">
        <v>5498</v>
      </c>
      <c r="D4619" s="1">
        <v>21000</v>
      </c>
      <c r="E4619" s="1"/>
      <c r="F4619" s="1">
        <v>233.84</v>
      </c>
      <c r="G4619" s="1">
        <v>21000</v>
      </c>
      <c r="H4619" s="5">
        <f t="shared" si="89"/>
        <v>0</v>
      </c>
      <c r="I4619" s="6"/>
      <c r="J4619" s="43"/>
      <c r="K4619" s="51"/>
      <c r="L4619" s="86"/>
      <c r="M4619" s="317"/>
    </row>
    <row r="4620" spans="1:14" s="316" customFormat="1" ht="15" x14ac:dyDescent="0.25">
      <c r="A4620" s="1"/>
      <c r="B4620" s="1" t="s">
        <v>556</v>
      </c>
      <c r="C4620" s="32">
        <v>5841</v>
      </c>
      <c r="D4620" s="1">
        <v>29000</v>
      </c>
      <c r="E4620" s="1"/>
      <c r="F4620" s="1">
        <v>323.75</v>
      </c>
      <c r="G4620" s="1">
        <v>29000</v>
      </c>
      <c r="H4620" s="5">
        <f t="shared" si="89"/>
        <v>0</v>
      </c>
      <c r="I4620" s="6"/>
      <c r="J4620" s="43"/>
      <c r="K4620" s="51"/>
      <c r="L4620" s="86"/>
      <c r="M4620" s="317"/>
    </row>
    <row r="4621" spans="1:14" s="316" customFormat="1" ht="15" x14ac:dyDescent="0.25">
      <c r="A4621" s="1"/>
      <c r="B4621" s="1" t="s">
        <v>556</v>
      </c>
      <c r="C4621" s="32">
        <v>1666</v>
      </c>
      <c r="D4621" s="1">
        <v>20000</v>
      </c>
      <c r="E4621" s="1"/>
      <c r="F4621" s="1">
        <v>222.65</v>
      </c>
      <c r="G4621" s="1">
        <v>20000</v>
      </c>
      <c r="H4621" s="5">
        <f t="shared" si="89"/>
        <v>0</v>
      </c>
      <c r="I4621" s="6"/>
      <c r="J4621" s="43"/>
      <c r="K4621" s="51"/>
      <c r="L4621" s="86"/>
      <c r="M4621" s="317"/>
    </row>
    <row r="4622" spans="1:14" s="316" customFormat="1" ht="15" x14ac:dyDescent="0.25">
      <c r="A4622" s="1"/>
      <c r="B4622" s="1" t="s">
        <v>556</v>
      </c>
      <c r="C4622" s="32">
        <v>9109</v>
      </c>
      <c r="D4622" s="1">
        <v>15000</v>
      </c>
      <c r="E4622" s="1"/>
      <c r="F4622" s="1">
        <v>167.15</v>
      </c>
      <c r="G4622" s="1">
        <v>15000</v>
      </c>
      <c r="H4622" s="5">
        <f t="shared" si="89"/>
        <v>0</v>
      </c>
      <c r="I4622" s="6"/>
      <c r="J4622" s="43"/>
      <c r="K4622" s="51"/>
      <c r="L4622" s="86"/>
      <c r="M4622" s="317"/>
    </row>
    <row r="4623" spans="1:14" s="316" customFormat="1" ht="15" x14ac:dyDescent="0.25">
      <c r="A4623" s="1"/>
      <c r="B4623" s="1" t="s">
        <v>556</v>
      </c>
      <c r="C4623" s="32">
        <v>5686</v>
      </c>
      <c r="D4623" s="1">
        <v>20000</v>
      </c>
      <c r="E4623" s="1"/>
      <c r="F4623" s="1">
        <v>222.65</v>
      </c>
      <c r="G4623" s="1">
        <v>20000</v>
      </c>
      <c r="H4623" s="5">
        <f t="shared" si="89"/>
        <v>0</v>
      </c>
      <c r="I4623" s="6"/>
      <c r="J4623" s="43"/>
      <c r="K4623" s="51"/>
      <c r="L4623" s="86"/>
      <c r="M4623" s="317"/>
    </row>
    <row r="4624" spans="1:14" s="316" customFormat="1" ht="15" x14ac:dyDescent="0.25">
      <c r="A4624" s="1"/>
      <c r="B4624" s="1" t="s">
        <v>556</v>
      </c>
      <c r="C4624" s="32">
        <v>1028</v>
      </c>
      <c r="D4624" s="1">
        <v>15000</v>
      </c>
      <c r="E4624" s="1"/>
      <c r="F4624" s="1">
        <v>167.15</v>
      </c>
      <c r="G4624" s="1">
        <v>15000</v>
      </c>
      <c r="H4624" s="5">
        <f t="shared" si="89"/>
        <v>0</v>
      </c>
      <c r="I4624" s="6"/>
      <c r="J4624" s="43"/>
      <c r="K4624" s="51"/>
      <c r="L4624" s="86"/>
      <c r="M4624" s="317"/>
    </row>
    <row r="4625" spans="1:13" s="316" customFormat="1" ht="15" x14ac:dyDescent="0.25">
      <c r="A4625" s="1"/>
      <c r="B4625" s="1" t="s">
        <v>556</v>
      </c>
      <c r="C4625" s="32">
        <v>2178</v>
      </c>
      <c r="D4625" s="1">
        <v>15000</v>
      </c>
      <c r="E4625" s="1"/>
      <c r="F4625" s="1">
        <v>167.15</v>
      </c>
      <c r="G4625" s="1">
        <v>15000</v>
      </c>
      <c r="H4625" s="5">
        <f t="shared" si="89"/>
        <v>0</v>
      </c>
      <c r="I4625" s="6"/>
      <c r="J4625" s="43"/>
      <c r="K4625" s="51"/>
      <c r="L4625" s="86"/>
      <c r="M4625" s="317"/>
    </row>
    <row r="4626" spans="1:13" s="316" customFormat="1" ht="15" x14ac:dyDescent="0.25">
      <c r="A4626" s="1"/>
      <c r="B4626" s="1" t="s">
        <v>556</v>
      </c>
      <c r="C4626" s="32">
        <v>6.7400000000000002E-2</v>
      </c>
      <c r="D4626" s="1">
        <v>27000</v>
      </c>
      <c r="E4626" s="1"/>
      <c r="F4626" s="1">
        <v>294.92</v>
      </c>
      <c r="G4626" s="1">
        <v>27000</v>
      </c>
      <c r="H4626" s="5">
        <f t="shared" si="89"/>
        <v>0</v>
      </c>
      <c r="I4626" s="6"/>
      <c r="J4626" s="43"/>
      <c r="K4626" s="51"/>
      <c r="L4626" s="86"/>
      <c r="M4626" s="317"/>
    </row>
    <row r="4627" spans="1:13" s="316" customFormat="1" ht="15" x14ac:dyDescent="0.25">
      <c r="A4627" s="1"/>
      <c r="B4627" s="1" t="s">
        <v>556</v>
      </c>
      <c r="C4627" s="32">
        <v>8047</v>
      </c>
      <c r="D4627" s="1">
        <v>25000</v>
      </c>
      <c r="E4627" s="1"/>
      <c r="F4627" s="1">
        <v>278.33999999999997</v>
      </c>
      <c r="G4627" s="1">
        <v>25000</v>
      </c>
      <c r="H4627" s="5">
        <f t="shared" si="89"/>
        <v>0</v>
      </c>
      <c r="I4627" s="6"/>
      <c r="J4627" s="43"/>
      <c r="K4627" s="51"/>
      <c r="L4627" s="86"/>
      <c r="M4627" s="317"/>
    </row>
    <row r="4628" spans="1:13" s="316" customFormat="1" ht="15" x14ac:dyDescent="0.25">
      <c r="A4628" s="1"/>
      <c r="B4628" s="1" t="s">
        <v>556</v>
      </c>
      <c r="C4628" s="32">
        <v>2422</v>
      </c>
      <c r="D4628" s="1">
        <v>23000</v>
      </c>
      <c r="E4628" s="1"/>
      <c r="F4628" s="1">
        <v>242.57</v>
      </c>
      <c r="G4628" s="1">
        <v>23000</v>
      </c>
      <c r="H4628" s="5">
        <f t="shared" si="89"/>
        <v>0</v>
      </c>
      <c r="I4628" s="6"/>
      <c r="J4628" s="43"/>
      <c r="K4628" s="51"/>
      <c r="L4628" s="86"/>
      <c r="M4628" s="317"/>
    </row>
    <row r="4629" spans="1:13" s="316" customFormat="1" ht="15" x14ac:dyDescent="0.25">
      <c r="A4629" s="1"/>
      <c r="B4629" s="1" t="s">
        <v>556</v>
      </c>
      <c r="C4629" s="32">
        <v>1751</v>
      </c>
      <c r="D4629" s="1">
        <v>22000</v>
      </c>
      <c r="E4629" s="1"/>
      <c r="F4629" s="1">
        <v>233.61</v>
      </c>
      <c r="G4629" s="1">
        <v>22000</v>
      </c>
      <c r="H4629" s="5">
        <f t="shared" si="89"/>
        <v>0</v>
      </c>
      <c r="I4629" s="6"/>
      <c r="J4629" s="43"/>
      <c r="K4629" s="51"/>
      <c r="L4629" s="86"/>
      <c r="M4629" s="317"/>
    </row>
    <row r="4630" spans="1:13" s="316" customFormat="1" ht="15" x14ac:dyDescent="0.25">
      <c r="A4630" s="1"/>
      <c r="B4630" s="1" t="s">
        <v>556</v>
      </c>
      <c r="C4630" s="32">
        <v>8291</v>
      </c>
      <c r="D4630" s="1">
        <v>23000</v>
      </c>
      <c r="E4630" s="1"/>
      <c r="F4630" s="1">
        <v>256.52</v>
      </c>
      <c r="G4630" s="1">
        <v>23000</v>
      </c>
      <c r="H4630" s="5">
        <f t="shared" si="89"/>
        <v>0</v>
      </c>
      <c r="I4630" s="6"/>
      <c r="J4630" s="43"/>
      <c r="K4630" s="51"/>
      <c r="L4630" s="86"/>
      <c r="M4630" s="317"/>
    </row>
    <row r="4631" spans="1:13" s="316" customFormat="1" ht="15" x14ac:dyDescent="0.25">
      <c r="A4631" s="1"/>
      <c r="B4631" s="1" t="s">
        <v>556</v>
      </c>
      <c r="C4631" s="32">
        <v>7488</v>
      </c>
      <c r="D4631" s="1">
        <v>30000</v>
      </c>
      <c r="E4631" s="1"/>
      <c r="F4631" s="1">
        <v>365.35</v>
      </c>
      <c r="G4631" s="1">
        <v>30000</v>
      </c>
      <c r="H4631" s="5">
        <f t="shared" si="89"/>
        <v>0</v>
      </c>
      <c r="I4631" s="6"/>
      <c r="J4631" s="43"/>
      <c r="K4631" s="51"/>
      <c r="L4631" s="86"/>
      <c r="M4631" s="317"/>
    </row>
    <row r="4632" spans="1:13" s="316" customFormat="1" ht="15" x14ac:dyDescent="0.25">
      <c r="A4632" s="1"/>
      <c r="B4632" s="1" t="s">
        <v>556</v>
      </c>
      <c r="C4632" s="32">
        <v>4572</v>
      </c>
      <c r="D4632" s="1">
        <v>17000</v>
      </c>
      <c r="E4632" s="1"/>
      <c r="F4632" s="1">
        <v>187.21</v>
      </c>
      <c r="G4632" s="1">
        <v>17000</v>
      </c>
      <c r="H4632" s="5">
        <f t="shared" si="89"/>
        <v>0</v>
      </c>
      <c r="I4632" s="6"/>
      <c r="J4632" s="43"/>
      <c r="K4632" s="51"/>
      <c r="L4632" s="86"/>
      <c r="M4632" s="317"/>
    </row>
    <row r="4633" spans="1:13" s="316" customFormat="1" ht="15" x14ac:dyDescent="0.25">
      <c r="A4633" s="1"/>
      <c r="B4633" s="1" t="s">
        <v>556</v>
      </c>
      <c r="C4633" s="32">
        <v>3077</v>
      </c>
      <c r="D4633" s="1">
        <v>17000</v>
      </c>
      <c r="E4633" s="1"/>
      <c r="F4633" s="1">
        <v>187.21</v>
      </c>
      <c r="G4633" s="1">
        <v>17000</v>
      </c>
      <c r="H4633" s="5">
        <f t="shared" si="89"/>
        <v>0</v>
      </c>
      <c r="I4633" s="6"/>
      <c r="J4633" s="43"/>
      <c r="K4633" s="51"/>
      <c r="L4633" s="86"/>
      <c r="M4633" s="317"/>
    </row>
    <row r="4634" spans="1:13" s="316" customFormat="1" ht="15" x14ac:dyDescent="0.25">
      <c r="A4634" s="1"/>
      <c r="B4634" s="1" t="s">
        <v>556</v>
      </c>
      <c r="C4634" s="32">
        <v>2.01E-2</v>
      </c>
      <c r="D4634" s="1">
        <v>22000</v>
      </c>
      <c r="E4634" s="1"/>
      <c r="F4634" s="1">
        <v>233.61</v>
      </c>
      <c r="G4634" s="1">
        <v>22000</v>
      </c>
      <c r="H4634" s="5">
        <f t="shared" si="89"/>
        <v>0</v>
      </c>
      <c r="I4634" s="6"/>
      <c r="J4634" s="43"/>
      <c r="K4634" s="51"/>
      <c r="L4634" s="86"/>
      <c r="M4634" s="317"/>
    </row>
    <row r="4635" spans="1:13" s="316" customFormat="1" ht="15" x14ac:dyDescent="0.25">
      <c r="A4635" s="1"/>
      <c r="B4635" s="1" t="s">
        <v>556</v>
      </c>
      <c r="C4635" s="32">
        <v>9743</v>
      </c>
      <c r="D4635" s="1">
        <v>18000</v>
      </c>
      <c r="E4635" s="1"/>
      <c r="F4635" s="1">
        <v>200.37</v>
      </c>
      <c r="G4635" s="1">
        <v>18000</v>
      </c>
      <c r="H4635" s="5">
        <f t="shared" si="89"/>
        <v>0</v>
      </c>
      <c r="I4635" s="6"/>
      <c r="J4635" s="43"/>
      <c r="K4635" s="51"/>
      <c r="L4635" s="86"/>
      <c r="M4635" s="317"/>
    </row>
    <row r="4636" spans="1:13" s="316" customFormat="1" ht="15" x14ac:dyDescent="0.25">
      <c r="A4636" s="1"/>
      <c r="B4636" s="1" t="s">
        <v>556</v>
      </c>
      <c r="C4636" s="32">
        <v>9384</v>
      </c>
      <c r="D4636" s="1">
        <v>26700</v>
      </c>
      <c r="E4636" s="1"/>
      <c r="F4636" s="1">
        <v>297.85000000000002</v>
      </c>
      <c r="G4636" s="1">
        <v>26700</v>
      </c>
      <c r="H4636" s="5">
        <f t="shared" si="89"/>
        <v>0</v>
      </c>
      <c r="I4636" s="6"/>
      <c r="J4636" s="43"/>
      <c r="K4636" s="51"/>
      <c r="L4636" s="86"/>
      <c r="M4636" s="317"/>
    </row>
    <row r="4637" spans="1:13" s="316" customFormat="1" ht="15" x14ac:dyDescent="0.25">
      <c r="A4637" s="1"/>
      <c r="B4637" s="1" t="s">
        <v>556</v>
      </c>
      <c r="C4637" s="32">
        <v>6013</v>
      </c>
      <c r="D4637" s="1">
        <v>20000</v>
      </c>
      <c r="E4637" s="1"/>
      <c r="F4637" s="1">
        <v>222.65</v>
      </c>
      <c r="G4637" s="1">
        <v>20000</v>
      </c>
      <c r="H4637" s="5">
        <f t="shared" si="89"/>
        <v>0</v>
      </c>
      <c r="I4637" s="6"/>
      <c r="J4637" s="43"/>
      <c r="K4637" s="51"/>
      <c r="L4637" s="86"/>
      <c r="M4637" s="317"/>
    </row>
    <row r="4638" spans="1:13" s="316" customFormat="1" ht="15" x14ac:dyDescent="0.25">
      <c r="A4638" s="1"/>
      <c r="B4638" s="1" t="s">
        <v>556</v>
      </c>
      <c r="C4638" s="32">
        <v>6.2E-2</v>
      </c>
      <c r="D4638" s="1">
        <v>15000</v>
      </c>
      <c r="E4638" s="1"/>
      <c r="F4638" s="1">
        <v>167.15</v>
      </c>
      <c r="G4638" s="1">
        <v>15000</v>
      </c>
      <c r="H4638" s="5">
        <f t="shared" si="89"/>
        <v>0</v>
      </c>
      <c r="I4638" s="6"/>
      <c r="J4638" s="43"/>
      <c r="K4638" s="51"/>
      <c r="L4638" s="86"/>
      <c r="M4638" s="317"/>
    </row>
    <row r="4639" spans="1:13" s="316" customFormat="1" ht="15" x14ac:dyDescent="0.25">
      <c r="A4639" s="1"/>
      <c r="B4639" s="1" t="s">
        <v>556</v>
      </c>
      <c r="C4639" s="32">
        <v>1606</v>
      </c>
      <c r="D4639" s="1">
        <v>21000</v>
      </c>
      <c r="E4639" s="1"/>
      <c r="F4639" s="1">
        <v>233.61</v>
      </c>
      <c r="G4639" s="1">
        <v>21000</v>
      </c>
      <c r="H4639" s="5">
        <f t="shared" si="89"/>
        <v>0</v>
      </c>
      <c r="I4639" s="6"/>
      <c r="J4639" s="43"/>
      <c r="K4639" s="51"/>
      <c r="L4639" s="86"/>
      <c r="M4639" s="317"/>
    </row>
    <row r="4640" spans="1:13" s="316" customFormat="1" ht="15" x14ac:dyDescent="0.25">
      <c r="A4640" s="1"/>
      <c r="B4640" s="1" t="s">
        <v>556</v>
      </c>
      <c r="C4640" s="32">
        <v>6217</v>
      </c>
      <c r="D4640" s="1">
        <v>20000</v>
      </c>
      <c r="E4640" s="1"/>
      <c r="F4640" s="1">
        <v>278.22000000000003</v>
      </c>
      <c r="G4640" s="1">
        <v>20000</v>
      </c>
      <c r="H4640" s="5">
        <f t="shared" si="89"/>
        <v>0</v>
      </c>
      <c r="I4640" s="6"/>
      <c r="J4640" s="43"/>
      <c r="K4640" s="51"/>
      <c r="L4640" s="86"/>
      <c r="M4640" s="317"/>
    </row>
    <row r="4641" spans="1:14" s="316" customFormat="1" ht="15" x14ac:dyDescent="0.25">
      <c r="A4641" s="1"/>
      <c r="B4641" s="1" t="s">
        <v>556</v>
      </c>
      <c r="C4641" s="32">
        <v>6385</v>
      </c>
      <c r="D4641" s="1">
        <v>20000</v>
      </c>
      <c r="E4641" s="1"/>
      <c r="F4641" s="1">
        <v>278.22000000000003</v>
      </c>
      <c r="G4641" s="1">
        <v>20000</v>
      </c>
      <c r="H4641" s="5">
        <f t="shared" ref="H4641:H4704" si="90">D4641-G4641</f>
        <v>0</v>
      </c>
      <c r="I4641" s="6"/>
      <c r="J4641" s="43"/>
      <c r="K4641" s="51"/>
      <c r="L4641" s="86">
        <f>2285562-2233925</f>
        <v>51637</v>
      </c>
      <c r="M4641" s="317" t="s">
        <v>557</v>
      </c>
      <c r="N4641" s="316">
        <f>51637-48401</f>
        <v>3236</v>
      </c>
    </row>
    <row r="4642" spans="1:14" s="318" customFormat="1" ht="15" x14ac:dyDescent="0.25">
      <c r="A4642" s="1"/>
      <c r="B4642" s="1" t="s">
        <v>558</v>
      </c>
      <c r="C4642" s="32">
        <v>7714</v>
      </c>
      <c r="D4642" s="1">
        <v>16000</v>
      </c>
      <c r="E4642" s="1"/>
      <c r="F4642" s="1">
        <v>178.22</v>
      </c>
      <c r="G4642" s="1">
        <v>16000</v>
      </c>
      <c r="H4642" s="5">
        <f t="shared" si="90"/>
        <v>0</v>
      </c>
      <c r="I4642" s="6"/>
      <c r="J4642" s="43"/>
      <c r="K4642" s="51"/>
      <c r="L4642" s="86"/>
      <c r="M4642" s="319"/>
    </row>
    <row r="4643" spans="1:14" s="318" customFormat="1" ht="15" x14ac:dyDescent="0.25">
      <c r="A4643" s="1"/>
      <c r="B4643" s="1" t="s">
        <v>558</v>
      </c>
      <c r="C4643" s="32" t="s">
        <v>30</v>
      </c>
      <c r="D4643" s="1">
        <v>5000</v>
      </c>
      <c r="E4643" s="1"/>
      <c r="F4643" s="1">
        <v>55.25</v>
      </c>
      <c r="G4643" s="1">
        <v>5000</v>
      </c>
      <c r="H4643" s="5">
        <f t="shared" si="90"/>
        <v>0</v>
      </c>
      <c r="I4643" s="6"/>
      <c r="J4643" s="43"/>
      <c r="K4643" s="51"/>
      <c r="L4643" s="86"/>
      <c r="M4643" s="319"/>
    </row>
    <row r="4644" spans="1:14" s="318" customFormat="1" ht="15" x14ac:dyDescent="0.25">
      <c r="A4644" s="1"/>
      <c r="B4644" s="1" t="s">
        <v>558</v>
      </c>
      <c r="C4644" s="32">
        <v>4192</v>
      </c>
      <c r="D4644" s="1">
        <v>10000</v>
      </c>
      <c r="E4644" s="1"/>
      <c r="F4644" s="1">
        <v>111.41</v>
      </c>
      <c r="G4644" s="1">
        <v>10000</v>
      </c>
      <c r="H4644" s="5">
        <f t="shared" si="90"/>
        <v>0</v>
      </c>
      <c r="I4644" s="6"/>
      <c r="J4644" s="43"/>
      <c r="K4644" s="51"/>
      <c r="L4644" s="86"/>
      <c r="M4644" s="319"/>
    </row>
    <row r="4645" spans="1:14" s="318" customFormat="1" ht="15" x14ac:dyDescent="0.25">
      <c r="A4645" s="1"/>
      <c r="B4645" s="1" t="s">
        <v>558</v>
      </c>
      <c r="C4645" s="32" t="s">
        <v>66</v>
      </c>
      <c r="D4645" s="1">
        <v>210</v>
      </c>
      <c r="E4645" s="1"/>
      <c r="F4645" s="1">
        <v>2.0699999999999998</v>
      </c>
      <c r="G4645" s="1">
        <v>210</v>
      </c>
      <c r="H4645" s="5">
        <f t="shared" si="90"/>
        <v>0</v>
      </c>
      <c r="I4645" s="6"/>
      <c r="J4645" s="43"/>
      <c r="K4645" s="51"/>
      <c r="L4645" s="86"/>
      <c r="M4645" s="319"/>
    </row>
    <row r="4646" spans="1:14" s="318" customFormat="1" ht="15" x14ac:dyDescent="0.25">
      <c r="A4646" s="1"/>
      <c r="B4646" s="1" t="s">
        <v>558</v>
      </c>
      <c r="C4646" s="32">
        <v>6364</v>
      </c>
      <c r="D4646" s="1">
        <v>20000</v>
      </c>
      <c r="E4646" s="1"/>
      <c r="F4646" s="1">
        <v>278.22000000000003</v>
      </c>
      <c r="G4646" s="1">
        <v>20000</v>
      </c>
      <c r="H4646" s="5">
        <f t="shared" si="90"/>
        <v>0</v>
      </c>
      <c r="I4646" s="6"/>
      <c r="J4646" s="43"/>
      <c r="K4646" s="51"/>
      <c r="L4646" s="86"/>
      <c r="M4646" s="319"/>
    </row>
    <row r="4647" spans="1:14" s="318" customFormat="1" ht="15" x14ac:dyDescent="0.25">
      <c r="A4647" s="1"/>
      <c r="B4647" s="1" t="s">
        <v>558</v>
      </c>
      <c r="C4647" s="32">
        <v>2574</v>
      </c>
      <c r="D4647" s="1">
        <v>20000</v>
      </c>
      <c r="E4647" s="1"/>
      <c r="F4647" s="1">
        <v>278.22000000000003</v>
      </c>
      <c r="G4647" s="1">
        <v>20000</v>
      </c>
      <c r="H4647" s="5">
        <f t="shared" si="90"/>
        <v>0</v>
      </c>
      <c r="I4647" s="6"/>
      <c r="J4647" s="43"/>
      <c r="K4647" s="51"/>
      <c r="L4647" s="86"/>
      <c r="M4647" s="319"/>
    </row>
    <row r="4648" spans="1:14" s="318" customFormat="1" ht="15" x14ac:dyDescent="0.25">
      <c r="A4648" s="1"/>
      <c r="B4648" s="1" t="s">
        <v>558</v>
      </c>
      <c r="C4648" s="32">
        <v>2555</v>
      </c>
      <c r="D4648" s="1">
        <v>20000</v>
      </c>
      <c r="E4648" s="1"/>
      <c r="F4648" s="1">
        <v>278.22000000000003</v>
      </c>
      <c r="G4648" s="1">
        <v>20000</v>
      </c>
      <c r="H4648" s="5">
        <f t="shared" si="90"/>
        <v>0</v>
      </c>
      <c r="I4648" s="6"/>
      <c r="J4648" s="43"/>
      <c r="K4648" s="51"/>
      <c r="L4648" s="86"/>
      <c r="M4648" s="319"/>
    </row>
    <row r="4649" spans="1:14" s="318" customFormat="1" ht="15" x14ac:dyDescent="0.25">
      <c r="A4649" s="1"/>
      <c r="B4649" s="1" t="s">
        <v>558</v>
      </c>
      <c r="C4649" s="32">
        <v>1883</v>
      </c>
      <c r="D4649" s="1">
        <v>26000</v>
      </c>
      <c r="E4649" s="1"/>
      <c r="F4649" s="1">
        <v>289.54000000000002</v>
      </c>
      <c r="G4649" s="1">
        <v>26000</v>
      </c>
      <c r="H4649" s="5">
        <f t="shared" si="90"/>
        <v>0</v>
      </c>
      <c r="I4649" s="6"/>
      <c r="J4649" s="43"/>
      <c r="K4649" s="51"/>
      <c r="L4649" s="86"/>
      <c r="M4649" s="319"/>
    </row>
    <row r="4650" spans="1:14" s="318" customFormat="1" ht="15" x14ac:dyDescent="0.25">
      <c r="A4650" s="1"/>
      <c r="B4650" s="1" t="s">
        <v>558</v>
      </c>
      <c r="C4650" s="32">
        <v>4223</v>
      </c>
      <c r="D4650" s="1">
        <v>15000</v>
      </c>
      <c r="E4650" s="1"/>
      <c r="F4650" s="1">
        <v>167.15</v>
      </c>
      <c r="G4650" s="1">
        <v>15000</v>
      </c>
      <c r="H4650" s="5">
        <f t="shared" si="90"/>
        <v>0</v>
      </c>
      <c r="I4650" s="6"/>
      <c r="J4650" s="43"/>
      <c r="K4650" s="51"/>
      <c r="L4650" s="86"/>
      <c r="M4650" s="319"/>
    </row>
    <row r="4651" spans="1:14" s="318" customFormat="1" ht="15" x14ac:dyDescent="0.25">
      <c r="A4651" s="1"/>
      <c r="B4651" s="1" t="s">
        <v>558</v>
      </c>
      <c r="C4651" s="32" t="s">
        <v>30</v>
      </c>
      <c r="D4651" s="1">
        <v>7000</v>
      </c>
      <c r="E4651" s="1"/>
      <c r="F4651" s="1">
        <v>77.64</v>
      </c>
      <c r="G4651" s="1">
        <v>7000</v>
      </c>
      <c r="H4651" s="5">
        <f t="shared" si="90"/>
        <v>0</v>
      </c>
      <c r="I4651" s="6"/>
      <c r="J4651" s="43"/>
      <c r="K4651" s="51"/>
      <c r="L4651" s="86"/>
      <c r="M4651" s="319"/>
    </row>
    <row r="4652" spans="1:14" s="318" customFormat="1" ht="15" x14ac:dyDescent="0.25">
      <c r="A4652" s="1"/>
      <c r="B4652" s="1" t="s">
        <v>558</v>
      </c>
      <c r="C4652" s="32" t="s">
        <v>66</v>
      </c>
      <c r="D4652" s="1">
        <v>100</v>
      </c>
      <c r="E4652" s="1"/>
      <c r="F4652" s="1">
        <v>1.05</v>
      </c>
      <c r="G4652" s="1">
        <v>100</v>
      </c>
      <c r="H4652" s="5">
        <f t="shared" si="90"/>
        <v>0</v>
      </c>
      <c r="I4652" s="6"/>
      <c r="J4652" s="43"/>
      <c r="K4652" s="51"/>
      <c r="L4652" s="86">
        <f>2373235-2292224</f>
        <v>81011</v>
      </c>
      <c r="M4652" s="319"/>
    </row>
    <row r="4653" spans="1:14" s="324" customFormat="1" ht="15" x14ac:dyDescent="0.25">
      <c r="A4653" s="1"/>
      <c r="B4653" s="1" t="s">
        <v>559</v>
      </c>
      <c r="C4653" s="32">
        <v>8426</v>
      </c>
      <c r="D4653" s="1">
        <v>26000</v>
      </c>
      <c r="E4653" s="1"/>
      <c r="F4653" s="1">
        <v>289.51</v>
      </c>
      <c r="G4653" s="1">
        <v>26000</v>
      </c>
      <c r="H4653" s="5">
        <f t="shared" si="90"/>
        <v>0</v>
      </c>
      <c r="I4653" s="6"/>
      <c r="J4653" s="43"/>
      <c r="K4653" s="51"/>
      <c r="L4653" s="86"/>
      <c r="M4653" s="325"/>
    </row>
    <row r="4654" spans="1:14" s="324" customFormat="1" ht="15" x14ac:dyDescent="0.25">
      <c r="A4654" s="1"/>
      <c r="B4654" s="1" t="s">
        <v>559</v>
      </c>
      <c r="C4654" s="32" t="s">
        <v>30</v>
      </c>
      <c r="D4654" s="1">
        <v>4500</v>
      </c>
      <c r="E4654" s="1"/>
      <c r="F4654" s="1">
        <v>50.45</v>
      </c>
      <c r="G4654" s="1">
        <v>4500</v>
      </c>
      <c r="H4654" s="5">
        <f t="shared" si="90"/>
        <v>0</v>
      </c>
      <c r="I4654" s="6"/>
      <c r="J4654" s="43"/>
      <c r="K4654" s="51"/>
      <c r="L4654" s="86"/>
      <c r="M4654" s="325"/>
    </row>
    <row r="4655" spans="1:14" s="324" customFormat="1" ht="15" x14ac:dyDescent="0.25">
      <c r="A4655" s="1"/>
      <c r="B4655" s="1" t="s">
        <v>559</v>
      </c>
      <c r="C4655" s="32" t="s">
        <v>30</v>
      </c>
      <c r="D4655" s="1">
        <v>3500</v>
      </c>
      <c r="E4655" s="1"/>
      <c r="F4655" s="1">
        <v>39.520000000000003</v>
      </c>
      <c r="G4655" s="1">
        <v>3500</v>
      </c>
      <c r="H4655" s="5">
        <f t="shared" si="90"/>
        <v>0</v>
      </c>
      <c r="I4655" s="6"/>
      <c r="J4655" s="43"/>
      <c r="K4655" s="51"/>
      <c r="L4655" s="86"/>
      <c r="M4655" s="325"/>
    </row>
    <row r="4656" spans="1:14" s="324" customFormat="1" ht="15" x14ac:dyDescent="0.25">
      <c r="A4656" s="1"/>
      <c r="B4656" s="1" t="s">
        <v>559</v>
      </c>
      <c r="C4656" s="32">
        <v>2393</v>
      </c>
      <c r="D4656" s="1">
        <v>21000</v>
      </c>
      <c r="E4656" s="1"/>
      <c r="F4656" s="1">
        <v>233.62</v>
      </c>
      <c r="G4656" s="1">
        <v>21000</v>
      </c>
      <c r="H4656" s="5">
        <f t="shared" si="90"/>
        <v>0</v>
      </c>
      <c r="I4656" s="6"/>
      <c r="J4656" s="43"/>
      <c r="K4656" s="51"/>
      <c r="L4656" s="86"/>
      <c r="M4656" s="325"/>
    </row>
    <row r="4657" spans="1:14" s="324" customFormat="1" ht="15" x14ac:dyDescent="0.25">
      <c r="A4657" s="1"/>
      <c r="B4657" s="1" t="s">
        <v>559</v>
      </c>
      <c r="C4657" s="32">
        <v>1.9699999999999999E-2</v>
      </c>
      <c r="D4657" s="1">
        <v>20000</v>
      </c>
      <c r="E4657" s="1"/>
      <c r="F4657" s="1">
        <v>222.82</v>
      </c>
      <c r="G4657" s="1">
        <v>20000</v>
      </c>
      <c r="H4657" s="5">
        <f t="shared" si="90"/>
        <v>0</v>
      </c>
      <c r="I4657" s="6"/>
      <c r="J4657" s="43"/>
      <c r="K4657" s="51"/>
      <c r="L4657" s="86"/>
      <c r="M4657" s="325"/>
    </row>
    <row r="4658" spans="1:14" s="324" customFormat="1" ht="15" x14ac:dyDescent="0.25">
      <c r="A4658" s="1"/>
      <c r="B4658" s="1" t="s">
        <v>559</v>
      </c>
      <c r="C4658" s="32">
        <v>7251</v>
      </c>
      <c r="D4658" s="1">
        <v>10000</v>
      </c>
      <c r="E4658" s="1"/>
      <c r="F4658" s="1">
        <v>111.41</v>
      </c>
      <c r="G4658" s="1">
        <v>10000</v>
      </c>
      <c r="H4658" s="5">
        <f t="shared" si="90"/>
        <v>0</v>
      </c>
      <c r="I4658" s="6"/>
      <c r="J4658" s="43"/>
      <c r="K4658" s="51"/>
      <c r="L4658" s="86"/>
      <c r="M4658" s="325"/>
    </row>
    <row r="4659" spans="1:14" s="324" customFormat="1" ht="15" x14ac:dyDescent="0.25">
      <c r="A4659" s="1"/>
      <c r="B4659" s="1" t="s">
        <v>559</v>
      </c>
      <c r="C4659" s="32">
        <v>3643</v>
      </c>
      <c r="D4659" s="1">
        <v>31000</v>
      </c>
      <c r="E4659" s="1"/>
      <c r="F4659" s="1">
        <v>368.54</v>
      </c>
      <c r="G4659" s="1">
        <v>31000</v>
      </c>
      <c r="H4659" s="5">
        <f t="shared" si="90"/>
        <v>0</v>
      </c>
      <c r="I4659" s="6"/>
      <c r="J4659" s="43"/>
      <c r="K4659" s="51"/>
      <c r="L4659" s="86"/>
      <c r="M4659" s="325"/>
    </row>
    <row r="4660" spans="1:14" s="324" customFormat="1" ht="15" x14ac:dyDescent="0.25">
      <c r="A4660" s="1"/>
      <c r="B4660" s="1" t="s">
        <v>559</v>
      </c>
      <c r="C4660" s="32">
        <v>3826</v>
      </c>
      <c r="D4660" s="1">
        <v>15000</v>
      </c>
      <c r="E4660" s="1"/>
      <c r="F4660" s="1">
        <v>167.15</v>
      </c>
      <c r="G4660" s="1">
        <v>15000</v>
      </c>
      <c r="H4660" s="5">
        <f t="shared" si="90"/>
        <v>0</v>
      </c>
      <c r="I4660" s="6"/>
      <c r="J4660" s="43"/>
      <c r="K4660" s="51"/>
      <c r="L4660" s="86"/>
      <c r="M4660" s="325"/>
    </row>
    <row r="4661" spans="1:14" s="324" customFormat="1" ht="15" x14ac:dyDescent="0.25">
      <c r="A4661" s="1"/>
      <c r="B4661" s="1" t="s">
        <v>559</v>
      </c>
      <c r="C4661" s="32">
        <v>5.3999999999999999E-2</v>
      </c>
      <c r="D4661" s="1">
        <v>20000</v>
      </c>
      <c r="E4661" s="1"/>
      <c r="F4661" s="1">
        <v>278.22000000000003</v>
      </c>
      <c r="G4661" s="1">
        <v>20000</v>
      </c>
      <c r="H4661" s="5">
        <f t="shared" si="90"/>
        <v>0</v>
      </c>
      <c r="I4661" s="6"/>
      <c r="J4661" s="43"/>
      <c r="K4661" s="51"/>
      <c r="L4661" s="86"/>
      <c r="M4661" s="325"/>
    </row>
    <row r="4662" spans="1:14" s="324" customFormat="1" ht="15" x14ac:dyDescent="0.25">
      <c r="A4662" s="1"/>
      <c r="B4662" s="1" t="s">
        <v>559</v>
      </c>
      <c r="C4662" s="32">
        <v>9837</v>
      </c>
      <c r="D4662" s="1">
        <v>25000</v>
      </c>
      <c r="E4662" s="1"/>
      <c r="F4662" s="1">
        <v>278.33999999999997</v>
      </c>
      <c r="G4662" s="1">
        <v>25000</v>
      </c>
      <c r="H4662" s="5">
        <f t="shared" si="90"/>
        <v>0</v>
      </c>
      <c r="I4662" s="6"/>
      <c r="J4662" s="43"/>
      <c r="K4662" s="51"/>
      <c r="L4662" s="86"/>
      <c r="M4662" s="325"/>
    </row>
    <row r="4663" spans="1:14" s="324" customFormat="1" ht="15" x14ac:dyDescent="0.25">
      <c r="A4663" s="1"/>
      <c r="B4663" s="1" t="s">
        <v>559</v>
      </c>
      <c r="C4663" s="32">
        <v>5250</v>
      </c>
      <c r="D4663" s="1">
        <v>17000</v>
      </c>
      <c r="E4663" s="1"/>
      <c r="F4663" s="1">
        <v>187.24</v>
      </c>
      <c r="G4663" s="1">
        <v>17000</v>
      </c>
      <c r="H4663" s="5">
        <f t="shared" si="90"/>
        <v>0</v>
      </c>
      <c r="I4663" s="6"/>
      <c r="J4663" s="43"/>
      <c r="K4663" s="51"/>
      <c r="L4663" s="86"/>
      <c r="M4663" s="325"/>
    </row>
    <row r="4664" spans="1:14" s="324" customFormat="1" ht="15" x14ac:dyDescent="0.25">
      <c r="A4664" s="1"/>
      <c r="B4664" s="1" t="s">
        <v>559</v>
      </c>
      <c r="C4664" s="32">
        <v>1677</v>
      </c>
      <c r="D4664" s="1">
        <v>20000</v>
      </c>
      <c r="E4664" s="1"/>
      <c r="F4664" s="1">
        <v>222.82</v>
      </c>
      <c r="G4664" s="1">
        <v>20000</v>
      </c>
      <c r="H4664" s="5">
        <f t="shared" si="90"/>
        <v>0</v>
      </c>
      <c r="I4664" s="6"/>
      <c r="J4664" s="43"/>
      <c r="K4664" s="51"/>
      <c r="L4664" s="86"/>
      <c r="M4664" s="325"/>
    </row>
    <row r="4665" spans="1:14" s="324" customFormat="1" ht="15" x14ac:dyDescent="0.25">
      <c r="A4665" s="1"/>
      <c r="B4665" s="1" t="s">
        <v>559</v>
      </c>
      <c r="C4665" s="32">
        <v>8154</v>
      </c>
      <c r="D4665" s="1">
        <v>20000</v>
      </c>
      <c r="E4665" s="1"/>
      <c r="F4665" s="1">
        <v>222.82</v>
      </c>
      <c r="G4665" s="1">
        <v>20000</v>
      </c>
      <c r="H4665" s="5">
        <f t="shared" si="90"/>
        <v>0</v>
      </c>
      <c r="I4665" s="6"/>
      <c r="J4665" s="43"/>
      <c r="K4665" s="51"/>
      <c r="L4665" s="86"/>
      <c r="M4665" s="325"/>
    </row>
    <row r="4666" spans="1:14" s="324" customFormat="1" ht="15" x14ac:dyDescent="0.25">
      <c r="A4666" s="1"/>
      <c r="B4666" s="1" t="s">
        <v>559</v>
      </c>
      <c r="C4666" s="32">
        <v>8303</v>
      </c>
      <c r="D4666" s="1">
        <v>25000</v>
      </c>
      <c r="E4666" s="1"/>
      <c r="F4666" s="1">
        <v>278.87</v>
      </c>
      <c r="G4666" s="1">
        <v>25000</v>
      </c>
      <c r="H4666" s="5">
        <f t="shared" si="90"/>
        <v>0</v>
      </c>
      <c r="I4666" s="6"/>
      <c r="J4666" s="43"/>
      <c r="K4666" s="51"/>
      <c r="L4666" s="86"/>
      <c r="M4666" s="325"/>
    </row>
    <row r="4667" spans="1:14" s="324" customFormat="1" ht="15" x14ac:dyDescent="0.25">
      <c r="A4667" s="1"/>
      <c r="B4667" s="1" t="s">
        <v>559</v>
      </c>
      <c r="C4667" s="32">
        <v>9356</v>
      </c>
      <c r="D4667" s="1">
        <v>25973</v>
      </c>
      <c r="E4667" s="1"/>
      <c r="F4667" s="1">
        <v>287.97000000000003</v>
      </c>
      <c r="G4667" s="1">
        <v>25973</v>
      </c>
      <c r="H4667" s="5">
        <f t="shared" si="90"/>
        <v>0</v>
      </c>
      <c r="I4667" s="6"/>
      <c r="J4667" s="43"/>
      <c r="K4667" s="51"/>
      <c r="L4667" s="86">
        <f>1879016-1857208</f>
        <v>21808</v>
      </c>
      <c r="M4667" s="327" t="s">
        <v>560</v>
      </c>
      <c r="N4667" s="326">
        <f>21808-20570</f>
        <v>1238</v>
      </c>
    </row>
    <row r="4668" spans="1:14" s="329" customFormat="1" ht="15" x14ac:dyDescent="0.25">
      <c r="A4668" s="1"/>
      <c r="B4668" s="1" t="s">
        <v>561</v>
      </c>
      <c r="C4668" s="32">
        <v>1224</v>
      </c>
      <c r="D4668" s="1">
        <v>17000</v>
      </c>
      <c r="E4668" s="1"/>
      <c r="F4668" s="1">
        <v>178.63</v>
      </c>
      <c r="G4668" s="1">
        <v>17000</v>
      </c>
      <c r="H4668" s="5">
        <f t="shared" si="90"/>
        <v>0</v>
      </c>
      <c r="I4668" s="6"/>
      <c r="J4668" s="43"/>
      <c r="K4668" s="51"/>
      <c r="L4668" s="86"/>
      <c r="M4668" s="330"/>
    </row>
    <row r="4669" spans="1:14" s="329" customFormat="1" ht="15" x14ac:dyDescent="0.25">
      <c r="A4669" s="1"/>
      <c r="B4669" s="1" t="s">
        <v>561</v>
      </c>
      <c r="C4669" s="32">
        <v>5455</v>
      </c>
      <c r="D4669" s="1">
        <v>20000</v>
      </c>
      <c r="E4669" s="1"/>
      <c r="F4669" s="1">
        <v>222.82</v>
      </c>
      <c r="G4669" s="1">
        <v>20000</v>
      </c>
      <c r="H4669" s="5">
        <f t="shared" si="90"/>
        <v>0</v>
      </c>
      <c r="I4669" s="6"/>
      <c r="J4669" s="43"/>
      <c r="K4669" s="51"/>
      <c r="L4669" s="86"/>
      <c r="M4669" s="330"/>
    </row>
    <row r="4670" spans="1:14" s="329" customFormat="1" ht="15" x14ac:dyDescent="0.25">
      <c r="A4670" s="1"/>
      <c r="B4670" s="1" t="s">
        <v>561</v>
      </c>
      <c r="C4670" s="32">
        <v>6591</v>
      </c>
      <c r="D4670" s="1">
        <v>21000</v>
      </c>
      <c r="E4670" s="1"/>
      <c r="F4670" s="1">
        <v>242.42</v>
      </c>
      <c r="G4670" s="1">
        <v>21000</v>
      </c>
      <c r="H4670" s="5">
        <f t="shared" si="90"/>
        <v>0</v>
      </c>
      <c r="I4670" s="6"/>
      <c r="J4670" s="43"/>
      <c r="K4670" s="51"/>
      <c r="L4670" s="86"/>
      <c r="M4670" s="330"/>
    </row>
    <row r="4671" spans="1:14" s="329" customFormat="1" ht="15" x14ac:dyDescent="0.25">
      <c r="A4671" s="1"/>
      <c r="B4671" s="1" t="s">
        <v>561</v>
      </c>
      <c r="C4671" s="32">
        <v>4451</v>
      </c>
      <c r="D4671" s="1">
        <v>8000</v>
      </c>
      <c r="E4671" s="1"/>
      <c r="F4671" s="1">
        <v>89.54</v>
      </c>
      <c r="G4671" s="1">
        <v>8000</v>
      </c>
      <c r="H4671" s="5">
        <f t="shared" si="90"/>
        <v>0</v>
      </c>
      <c r="I4671" s="6"/>
      <c r="J4671" s="43"/>
      <c r="K4671" s="51"/>
      <c r="L4671" s="86"/>
      <c r="M4671" s="330"/>
    </row>
    <row r="4672" spans="1:14" s="329" customFormat="1" ht="15" x14ac:dyDescent="0.25">
      <c r="A4672" s="1"/>
      <c r="B4672" s="1" t="s">
        <v>561</v>
      </c>
      <c r="C4672" s="32">
        <v>2972</v>
      </c>
      <c r="D4672" s="1">
        <v>22000</v>
      </c>
      <c r="E4672" s="1"/>
      <c r="F4672" s="1">
        <v>262.75</v>
      </c>
      <c r="G4672" s="1">
        <v>22000</v>
      </c>
      <c r="H4672" s="5">
        <f t="shared" si="90"/>
        <v>0</v>
      </c>
      <c r="I4672" s="6"/>
      <c r="J4672" s="43"/>
      <c r="K4672" s="51"/>
      <c r="L4672" s="86"/>
      <c r="M4672" s="330"/>
    </row>
    <row r="4673" spans="1:13" s="329" customFormat="1" ht="15" x14ac:dyDescent="0.25">
      <c r="A4673" s="1"/>
      <c r="B4673" s="1" t="s">
        <v>561</v>
      </c>
      <c r="C4673" s="32">
        <v>3738</v>
      </c>
      <c r="D4673" s="1">
        <v>25000</v>
      </c>
      <c r="E4673" s="1"/>
      <c r="F4673" s="1">
        <v>278.87</v>
      </c>
      <c r="G4673" s="1">
        <v>25000</v>
      </c>
      <c r="H4673" s="5">
        <f t="shared" si="90"/>
        <v>0</v>
      </c>
      <c r="I4673" s="6"/>
      <c r="J4673" s="43"/>
      <c r="K4673" s="51"/>
      <c r="L4673" s="86"/>
      <c r="M4673" s="330"/>
    </row>
    <row r="4674" spans="1:13" s="329" customFormat="1" ht="15" x14ac:dyDescent="0.25">
      <c r="A4674" s="1"/>
      <c r="B4674" s="1" t="s">
        <v>561</v>
      </c>
      <c r="C4674" s="32" t="s">
        <v>66</v>
      </c>
      <c r="D4674" s="1">
        <v>210</v>
      </c>
      <c r="E4674" s="1"/>
      <c r="F4674" s="1">
        <v>2.08</v>
      </c>
      <c r="G4674" s="1">
        <v>210</v>
      </c>
      <c r="H4674" s="5">
        <f t="shared" si="90"/>
        <v>0</v>
      </c>
      <c r="I4674" s="6"/>
      <c r="J4674" s="43"/>
      <c r="K4674" s="51"/>
      <c r="L4674" s="86"/>
      <c r="M4674" s="330"/>
    </row>
    <row r="4675" spans="1:13" s="329" customFormat="1" ht="15" x14ac:dyDescent="0.25">
      <c r="A4675" s="1"/>
      <c r="B4675" s="1" t="s">
        <v>561</v>
      </c>
      <c r="C4675" s="32">
        <v>5246</v>
      </c>
      <c r="D4675" s="1">
        <v>20000</v>
      </c>
      <c r="E4675" s="1"/>
      <c r="F4675" s="1">
        <v>222.82</v>
      </c>
      <c r="G4675" s="1">
        <v>20000</v>
      </c>
      <c r="H4675" s="5">
        <f t="shared" si="90"/>
        <v>0</v>
      </c>
      <c r="I4675" s="6"/>
      <c r="J4675" s="43"/>
      <c r="K4675" s="51"/>
      <c r="L4675" s="86"/>
      <c r="M4675" s="330"/>
    </row>
    <row r="4676" spans="1:13" s="329" customFormat="1" ht="15" x14ac:dyDescent="0.25">
      <c r="A4676" s="1"/>
      <c r="B4676" s="1" t="s">
        <v>561</v>
      </c>
      <c r="C4676" s="32">
        <v>6212</v>
      </c>
      <c r="D4676" s="1">
        <v>20000</v>
      </c>
      <c r="E4676" s="1"/>
      <c r="F4676" s="1">
        <v>222.82</v>
      </c>
      <c r="G4676" s="1">
        <v>20000</v>
      </c>
      <c r="H4676" s="5">
        <f t="shared" si="90"/>
        <v>0</v>
      </c>
      <c r="I4676" s="6"/>
      <c r="J4676" s="43"/>
      <c r="K4676" s="51"/>
      <c r="L4676" s="86"/>
      <c r="M4676" s="330"/>
    </row>
    <row r="4677" spans="1:13" s="329" customFormat="1" ht="15" x14ac:dyDescent="0.25">
      <c r="A4677" s="1"/>
      <c r="B4677" s="1" t="s">
        <v>561</v>
      </c>
      <c r="C4677" s="32">
        <v>3720</v>
      </c>
      <c r="D4677" s="1">
        <v>15000</v>
      </c>
      <c r="E4677" s="1"/>
      <c r="F4677" s="1">
        <v>167.15</v>
      </c>
      <c r="G4677" s="1">
        <v>15000</v>
      </c>
      <c r="H4677" s="5">
        <f t="shared" si="90"/>
        <v>0</v>
      </c>
      <c r="I4677" s="6"/>
      <c r="J4677" s="43"/>
      <c r="K4677" s="51"/>
      <c r="L4677" s="86"/>
      <c r="M4677" s="330"/>
    </row>
    <row r="4678" spans="1:13" s="329" customFormat="1" ht="15" x14ac:dyDescent="0.25">
      <c r="A4678" s="1"/>
      <c r="B4678" s="1" t="s">
        <v>561</v>
      </c>
      <c r="C4678" s="32">
        <v>5.8400000000000001E-2</v>
      </c>
      <c r="D4678" s="1">
        <v>21000</v>
      </c>
      <c r="E4678" s="1"/>
      <c r="F4678" s="1">
        <v>242.42</v>
      </c>
      <c r="G4678" s="1">
        <v>21000</v>
      </c>
      <c r="H4678" s="5">
        <f t="shared" si="90"/>
        <v>0</v>
      </c>
      <c r="I4678" s="6"/>
      <c r="J4678" s="43"/>
      <c r="K4678" s="51"/>
      <c r="L4678" s="86"/>
      <c r="M4678" s="330"/>
    </row>
    <row r="4679" spans="1:13" s="329" customFormat="1" ht="15" x14ac:dyDescent="0.25">
      <c r="A4679" s="1"/>
      <c r="B4679" s="1" t="s">
        <v>561</v>
      </c>
      <c r="C4679" s="32">
        <v>7.9899999999999999E-2</v>
      </c>
      <c r="D4679" s="1">
        <v>23000</v>
      </c>
      <c r="E4679" s="1"/>
      <c r="F4679" s="1">
        <v>278.47000000000003</v>
      </c>
      <c r="G4679" s="1">
        <v>23000</v>
      </c>
      <c r="H4679" s="5">
        <f t="shared" si="90"/>
        <v>0</v>
      </c>
      <c r="I4679" s="6"/>
      <c r="J4679" s="43"/>
      <c r="K4679" s="51"/>
      <c r="L4679" s="86"/>
      <c r="M4679" s="330"/>
    </row>
    <row r="4680" spans="1:13" s="329" customFormat="1" ht="15" x14ac:dyDescent="0.25">
      <c r="A4680" s="1"/>
      <c r="B4680" s="1" t="s">
        <v>561</v>
      </c>
      <c r="C4680" s="32">
        <v>1.77E-2</v>
      </c>
      <c r="D4680" s="1">
        <v>25000</v>
      </c>
      <c r="E4680" s="1"/>
      <c r="F4680" s="1">
        <v>278.87</v>
      </c>
      <c r="G4680" s="1">
        <v>25000</v>
      </c>
      <c r="H4680" s="5">
        <f t="shared" si="90"/>
        <v>0</v>
      </c>
      <c r="I4680" s="6"/>
      <c r="J4680" s="43"/>
      <c r="K4680" s="51"/>
      <c r="L4680" s="86"/>
      <c r="M4680" s="330"/>
    </row>
    <row r="4681" spans="1:13" s="329" customFormat="1" ht="17.25" customHeight="1" x14ac:dyDescent="0.25">
      <c r="A4681" s="217"/>
      <c r="B4681" s="217" t="s">
        <v>561</v>
      </c>
      <c r="C4681" s="335">
        <v>8154</v>
      </c>
      <c r="D4681" s="217">
        <v>6000</v>
      </c>
      <c r="E4681" s="217" t="s">
        <v>563</v>
      </c>
      <c r="F4681" s="1">
        <v>0</v>
      </c>
      <c r="G4681" s="1">
        <v>6000</v>
      </c>
      <c r="H4681" s="5">
        <f t="shared" si="90"/>
        <v>0</v>
      </c>
      <c r="I4681" s="6"/>
      <c r="J4681" s="43"/>
      <c r="K4681" s="51"/>
      <c r="L4681" s="86"/>
      <c r="M4681" s="330"/>
    </row>
    <row r="4682" spans="1:13" s="329" customFormat="1" ht="15" x14ac:dyDescent="0.25">
      <c r="A4682" s="1"/>
      <c r="B4682" s="1" t="s">
        <v>564</v>
      </c>
      <c r="C4682" s="32">
        <v>9025</v>
      </c>
      <c r="D4682" s="1">
        <v>23000</v>
      </c>
      <c r="E4682" s="1"/>
      <c r="F4682" s="1">
        <v>272.86</v>
      </c>
      <c r="G4682" s="1">
        <v>23000</v>
      </c>
      <c r="H4682" s="5">
        <f t="shared" si="90"/>
        <v>0</v>
      </c>
      <c r="I4682" s="6"/>
      <c r="J4682" s="43"/>
      <c r="K4682" s="51"/>
      <c r="L4682" s="86"/>
      <c r="M4682" s="330"/>
    </row>
    <row r="4683" spans="1:13" s="329" customFormat="1" ht="15" x14ac:dyDescent="0.25">
      <c r="A4683" s="1"/>
      <c r="B4683" s="1" t="s">
        <v>564</v>
      </c>
      <c r="C4683" s="32">
        <v>9115</v>
      </c>
      <c r="D4683" s="1">
        <v>23000</v>
      </c>
      <c r="E4683" s="1"/>
      <c r="F4683" s="1">
        <v>272.86</v>
      </c>
      <c r="G4683" s="1">
        <v>23000</v>
      </c>
      <c r="H4683" s="5">
        <f t="shared" si="90"/>
        <v>0</v>
      </c>
      <c r="I4683" s="6"/>
      <c r="J4683" s="43"/>
      <c r="K4683" s="51"/>
      <c r="L4683" s="86"/>
      <c r="M4683" s="330"/>
    </row>
    <row r="4684" spans="1:13" s="329" customFormat="1" ht="15" x14ac:dyDescent="0.25">
      <c r="A4684" s="1"/>
      <c r="B4684" s="1" t="s">
        <v>564</v>
      </c>
      <c r="C4684" s="32">
        <v>7761</v>
      </c>
      <c r="D4684" s="1">
        <v>22000</v>
      </c>
      <c r="E4684" s="1"/>
      <c r="F4684" s="1">
        <v>262.75</v>
      </c>
      <c r="G4684" s="1">
        <v>22000</v>
      </c>
      <c r="H4684" s="5">
        <f t="shared" si="90"/>
        <v>0</v>
      </c>
      <c r="I4684" s="6"/>
      <c r="J4684" s="43"/>
      <c r="K4684" s="51"/>
      <c r="L4684" s="86"/>
      <c r="M4684" s="330"/>
    </row>
    <row r="4685" spans="1:13" s="329" customFormat="1" ht="15" x14ac:dyDescent="0.25">
      <c r="A4685" s="1"/>
      <c r="B4685" s="1" t="s">
        <v>564</v>
      </c>
      <c r="C4685" s="32">
        <v>1.95E-2</v>
      </c>
      <c r="D4685" s="1">
        <v>27000</v>
      </c>
      <c r="E4685" s="1"/>
      <c r="F4685" s="1">
        <v>300.52</v>
      </c>
      <c r="G4685" s="1">
        <v>27000</v>
      </c>
      <c r="H4685" s="5">
        <f t="shared" si="90"/>
        <v>0</v>
      </c>
      <c r="I4685" s="6"/>
      <c r="J4685" s="43"/>
      <c r="K4685" s="51"/>
      <c r="L4685" s="86"/>
      <c r="M4685" s="330"/>
    </row>
    <row r="4686" spans="1:13" s="329" customFormat="1" ht="15" x14ac:dyDescent="0.25">
      <c r="A4686" s="1"/>
      <c r="B4686" s="1" t="s">
        <v>564</v>
      </c>
      <c r="C4686" s="32">
        <v>8587</v>
      </c>
      <c r="D4686" s="1">
        <v>25000</v>
      </c>
      <c r="E4686" s="1"/>
      <c r="F4686" s="1">
        <v>278.87</v>
      </c>
      <c r="G4686" s="1">
        <v>25000</v>
      </c>
      <c r="H4686" s="5">
        <f t="shared" si="90"/>
        <v>0</v>
      </c>
      <c r="I4686" s="6"/>
      <c r="J4686" s="43"/>
      <c r="K4686" s="51"/>
      <c r="L4686" s="86"/>
      <c r="M4686" s="330"/>
    </row>
    <row r="4687" spans="1:13" s="329" customFormat="1" ht="15" x14ac:dyDescent="0.25">
      <c r="A4687" s="1"/>
      <c r="B4687" s="1" t="s">
        <v>564</v>
      </c>
      <c r="C4687" s="32">
        <v>9070</v>
      </c>
      <c r="D4687" s="1">
        <v>25000</v>
      </c>
      <c r="E4687" s="1"/>
      <c r="F4687" s="1">
        <v>278.87</v>
      </c>
      <c r="G4687" s="1">
        <v>25000</v>
      </c>
      <c r="H4687" s="5">
        <f t="shared" si="90"/>
        <v>0</v>
      </c>
      <c r="I4687" s="6"/>
      <c r="J4687" s="43"/>
      <c r="K4687" s="51"/>
      <c r="L4687" s="86"/>
      <c r="M4687" s="330"/>
    </row>
    <row r="4688" spans="1:13" s="329" customFormat="1" ht="15" x14ac:dyDescent="0.25">
      <c r="A4688" s="1"/>
      <c r="B4688" s="1" t="s">
        <v>564</v>
      </c>
      <c r="C4688" s="32">
        <v>5957</v>
      </c>
      <c r="D4688" s="1">
        <v>32000</v>
      </c>
      <c r="E4688" s="1"/>
      <c r="F4688" s="1">
        <v>353.51</v>
      </c>
      <c r="G4688" s="1">
        <v>32000</v>
      </c>
      <c r="H4688" s="5">
        <f t="shared" si="90"/>
        <v>0</v>
      </c>
      <c r="I4688" s="6"/>
      <c r="J4688" s="43"/>
      <c r="K4688" s="51"/>
      <c r="L4688" s="86"/>
      <c r="M4688" s="330"/>
    </row>
    <row r="4689" spans="1:14" s="329" customFormat="1" ht="15" x14ac:dyDescent="0.25">
      <c r="A4689" s="1"/>
      <c r="B4689" s="1" t="s">
        <v>564</v>
      </c>
      <c r="C4689" s="32">
        <v>4765</v>
      </c>
      <c r="D4689" s="1">
        <v>26000</v>
      </c>
      <c r="E4689" s="1"/>
      <c r="F4689" s="1">
        <v>281.62</v>
      </c>
      <c r="G4689" s="1">
        <v>26000</v>
      </c>
      <c r="H4689" s="5">
        <f t="shared" si="90"/>
        <v>0</v>
      </c>
      <c r="I4689" s="6"/>
      <c r="J4689" s="43"/>
      <c r="K4689" s="51"/>
      <c r="L4689" s="86"/>
      <c r="M4689" s="330"/>
    </row>
    <row r="4690" spans="1:14" s="329" customFormat="1" ht="15" x14ac:dyDescent="0.25">
      <c r="A4690" s="1"/>
      <c r="B4690" s="1" t="s">
        <v>564</v>
      </c>
      <c r="C4690" s="32">
        <v>4591</v>
      </c>
      <c r="D4690" s="1">
        <v>24000</v>
      </c>
      <c r="E4690" s="1"/>
      <c r="F4690" s="1">
        <v>267.33999999999997</v>
      </c>
      <c r="G4690" s="1">
        <v>24000</v>
      </c>
      <c r="H4690" s="5">
        <f t="shared" si="90"/>
        <v>0</v>
      </c>
      <c r="I4690" s="6"/>
      <c r="J4690" s="43"/>
      <c r="K4690" s="51"/>
      <c r="L4690" s="86"/>
      <c r="M4690" s="330"/>
    </row>
    <row r="4691" spans="1:14" s="329" customFormat="1" ht="15" x14ac:dyDescent="0.25">
      <c r="A4691" s="1"/>
      <c r="B4691" s="1" t="s">
        <v>564</v>
      </c>
      <c r="C4691" s="32">
        <v>1223</v>
      </c>
      <c r="D4691" s="1">
        <v>17000</v>
      </c>
      <c r="E4691" s="1"/>
      <c r="F4691" s="1">
        <v>186.52</v>
      </c>
      <c r="G4691" s="1">
        <v>17000</v>
      </c>
      <c r="H4691" s="5">
        <f t="shared" si="90"/>
        <v>0</v>
      </c>
      <c r="I4691" s="6"/>
      <c r="J4691" s="43"/>
      <c r="K4691" s="51"/>
      <c r="L4691" s="86"/>
      <c r="M4691" s="330"/>
    </row>
    <row r="4692" spans="1:14" s="329" customFormat="1" ht="15" x14ac:dyDescent="0.25">
      <c r="A4692" s="1"/>
      <c r="B4692" s="1" t="s">
        <v>564</v>
      </c>
      <c r="C4692" s="32">
        <v>9825</v>
      </c>
      <c r="D4692" s="1">
        <v>17000</v>
      </c>
      <c r="E4692" s="1"/>
      <c r="F4692" s="1">
        <v>186.52</v>
      </c>
      <c r="G4692" s="1">
        <v>17000</v>
      </c>
      <c r="H4692" s="5">
        <f t="shared" si="90"/>
        <v>0</v>
      </c>
      <c r="I4692" s="6"/>
      <c r="J4692" s="43"/>
      <c r="K4692" s="51"/>
      <c r="L4692" s="86"/>
      <c r="M4692" s="330"/>
    </row>
    <row r="4693" spans="1:14" s="329" customFormat="1" ht="15" x14ac:dyDescent="0.25">
      <c r="A4693" s="1"/>
      <c r="B4693" s="1" t="s">
        <v>564</v>
      </c>
      <c r="C4693" s="32">
        <v>6037</v>
      </c>
      <c r="D4693" s="1">
        <v>20000</v>
      </c>
      <c r="E4693" s="1"/>
      <c r="F4693" s="1">
        <v>222.82</v>
      </c>
      <c r="G4693" s="1">
        <v>20000</v>
      </c>
      <c r="H4693" s="5">
        <f t="shared" si="90"/>
        <v>0</v>
      </c>
      <c r="I4693" s="6"/>
      <c r="J4693" s="43"/>
      <c r="K4693" s="51"/>
      <c r="L4693" s="86"/>
      <c r="M4693" s="330"/>
    </row>
    <row r="4694" spans="1:14" s="329" customFormat="1" ht="15" x14ac:dyDescent="0.25">
      <c r="A4694" s="1"/>
      <c r="B4694" s="1" t="s">
        <v>564</v>
      </c>
      <c r="C4694" s="32">
        <v>4295</v>
      </c>
      <c r="D4694" s="1">
        <v>20000</v>
      </c>
      <c r="E4694" s="1"/>
      <c r="F4694" s="1">
        <v>222.82</v>
      </c>
      <c r="G4694" s="1">
        <v>20000</v>
      </c>
      <c r="H4694" s="5">
        <f t="shared" si="90"/>
        <v>0</v>
      </c>
      <c r="I4694" s="6"/>
      <c r="J4694" s="43"/>
      <c r="K4694" s="51"/>
      <c r="L4694" s="86"/>
      <c r="M4694" s="330"/>
    </row>
    <row r="4695" spans="1:14" s="329" customFormat="1" ht="15" x14ac:dyDescent="0.25">
      <c r="A4695" s="1"/>
      <c r="B4695" s="1" t="s">
        <v>564</v>
      </c>
      <c r="C4695" s="32">
        <v>5416</v>
      </c>
      <c r="D4695" s="1">
        <v>22000</v>
      </c>
      <c r="E4695" s="1"/>
      <c r="F4695" s="1">
        <v>262.75</v>
      </c>
      <c r="G4695" s="1">
        <v>22000</v>
      </c>
      <c r="H4695" s="5">
        <f t="shared" si="90"/>
        <v>0</v>
      </c>
      <c r="I4695" s="6"/>
      <c r="J4695" s="43"/>
      <c r="K4695" s="51"/>
      <c r="L4695" s="86"/>
      <c r="M4695" s="330"/>
    </row>
    <row r="4696" spans="1:14" s="329" customFormat="1" ht="15" x14ac:dyDescent="0.25">
      <c r="A4696" s="1"/>
      <c r="B4696" s="1" t="s">
        <v>564</v>
      </c>
      <c r="C4696" s="32">
        <v>9383</v>
      </c>
      <c r="D4696" s="1">
        <v>22000</v>
      </c>
      <c r="E4696" s="1"/>
      <c r="F4696" s="1">
        <v>262.75</v>
      </c>
      <c r="G4696" s="1">
        <v>22000</v>
      </c>
      <c r="H4696" s="5">
        <f t="shared" si="90"/>
        <v>0</v>
      </c>
      <c r="I4696" s="6"/>
      <c r="J4696" s="43"/>
      <c r="K4696" s="51"/>
      <c r="L4696" s="86"/>
      <c r="M4696" s="330"/>
    </row>
    <row r="4697" spans="1:14" s="329" customFormat="1" ht="15" x14ac:dyDescent="0.25">
      <c r="A4697" s="1"/>
      <c r="B4697" s="1" t="s">
        <v>564</v>
      </c>
      <c r="C4697" s="32">
        <v>8311</v>
      </c>
      <c r="D4697" s="1">
        <v>24000</v>
      </c>
      <c r="E4697" s="1"/>
      <c r="F4697" s="1">
        <v>267.33999999999997</v>
      </c>
      <c r="G4697" s="1">
        <v>24000</v>
      </c>
      <c r="H4697" s="5">
        <f t="shared" si="90"/>
        <v>0</v>
      </c>
      <c r="I4697" s="6"/>
      <c r="J4697" s="43"/>
      <c r="K4697" s="51"/>
      <c r="L4697" s="86"/>
      <c r="M4697" s="330"/>
    </row>
    <row r="4698" spans="1:14" s="329" customFormat="1" ht="15" x14ac:dyDescent="0.25">
      <c r="A4698" s="1"/>
      <c r="B4698" s="1" t="s">
        <v>564</v>
      </c>
      <c r="C4698" s="32">
        <v>6311</v>
      </c>
      <c r="D4698" s="1">
        <v>24000</v>
      </c>
      <c r="E4698" s="1"/>
      <c r="F4698" s="1">
        <v>267.33999999999997</v>
      </c>
      <c r="G4698" s="1">
        <v>24000</v>
      </c>
      <c r="H4698" s="5">
        <f t="shared" si="90"/>
        <v>0</v>
      </c>
      <c r="I4698" s="6"/>
      <c r="J4698" s="43"/>
      <c r="K4698" s="51"/>
      <c r="L4698" s="86"/>
      <c r="M4698" s="330"/>
    </row>
    <row r="4699" spans="1:14" s="329" customFormat="1" ht="15" x14ac:dyDescent="0.25">
      <c r="A4699" s="1"/>
      <c r="B4699" s="1" t="s">
        <v>564</v>
      </c>
      <c r="C4699" s="32">
        <v>4751</v>
      </c>
      <c r="D4699" s="1">
        <v>23000</v>
      </c>
      <c r="E4699" s="1"/>
      <c r="F4699" s="1">
        <v>256.64</v>
      </c>
      <c r="G4699" s="1">
        <v>23000</v>
      </c>
      <c r="H4699" s="5">
        <f t="shared" si="90"/>
        <v>0</v>
      </c>
      <c r="I4699" s="6"/>
      <c r="J4699" s="43"/>
      <c r="K4699" s="51"/>
      <c r="L4699" s="86"/>
      <c r="M4699" s="330"/>
    </row>
    <row r="4700" spans="1:14" s="329" customFormat="1" ht="15" x14ac:dyDescent="0.25">
      <c r="A4700" s="1"/>
      <c r="B4700" s="1" t="s">
        <v>564</v>
      </c>
      <c r="C4700" s="32">
        <v>2929</v>
      </c>
      <c r="D4700" s="1">
        <v>27000</v>
      </c>
      <c r="E4700" s="1"/>
      <c r="F4700" s="1">
        <v>352.27</v>
      </c>
      <c r="G4700" s="1">
        <v>27000</v>
      </c>
      <c r="H4700" s="5">
        <f t="shared" si="90"/>
        <v>0</v>
      </c>
      <c r="I4700" s="6"/>
      <c r="J4700" s="43"/>
      <c r="K4700" s="51"/>
      <c r="L4700" s="86">
        <f>2245227-2243418</f>
        <v>1809</v>
      </c>
      <c r="M4700" s="330" t="s">
        <v>565</v>
      </c>
      <c r="N4700" s="329">
        <f>1809-570</f>
        <v>1239</v>
      </c>
    </row>
    <row r="4701" spans="1:14" s="331" customFormat="1" ht="15" x14ac:dyDescent="0.25">
      <c r="A4701" s="1"/>
      <c r="B4701" s="1" t="s">
        <v>566</v>
      </c>
      <c r="C4701" s="32" t="s">
        <v>30</v>
      </c>
      <c r="D4701" s="1">
        <v>4500</v>
      </c>
      <c r="E4701" s="1"/>
      <c r="F4701" s="1">
        <v>50.45</v>
      </c>
      <c r="G4701" s="1">
        <v>4500</v>
      </c>
      <c r="H4701" s="5">
        <f t="shared" si="90"/>
        <v>0</v>
      </c>
      <c r="I4701" s="6"/>
      <c r="J4701" s="43"/>
      <c r="K4701" s="51"/>
      <c r="L4701" s="86"/>
      <c r="M4701" s="332"/>
    </row>
    <row r="4702" spans="1:14" s="331" customFormat="1" ht="15" x14ac:dyDescent="0.25">
      <c r="A4702" s="1"/>
      <c r="B4702" s="1" t="s">
        <v>566</v>
      </c>
      <c r="C4702" s="32">
        <v>5640</v>
      </c>
      <c r="D4702" s="1">
        <v>35000</v>
      </c>
      <c r="E4702" s="1"/>
      <c r="F4702" s="1">
        <v>389.51</v>
      </c>
      <c r="G4702" s="1">
        <v>35000</v>
      </c>
      <c r="H4702" s="5">
        <f t="shared" si="90"/>
        <v>0</v>
      </c>
      <c r="I4702" s="6"/>
      <c r="J4702" s="43"/>
      <c r="K4702" s="51"/>
      <c r="L4702" s="86"/>
      <c r="M4702" s="332"/>
    </row>
    <row r="4703" spans="1:14" s="331" customFormat="1" ht="15" x14ac:dyDescent="0.25">
      <c r="A4703" s="1"/>
      <c r="B4703" s="1" t="s">
        <v>566</v>
      </c>
      <c r="C4703" s="32">
        <v>2316</v>
      </c>
      <c r="D4703" s="1">
        <v>24000</v>
      </c>
      <c r="E4703" s="1"/>
      <c r="F4703" s="1">
        <v>233.85</v>
      </c>
      <c r="G4703" s="1">
        <v>24000</v>
      </c>
      <c r="H4703" s="5">
        <f t="shared" si="90"/>
        <v>0</v>
      </c>
      <c r="I4703" s="6"/>
      <c r="J4703" s="43"/>
      <c r="K4703" s="51"/>
      <c r="L4703" s="86"/>
      <c r="M4703" s="332"/>
    </row>
    <row r="4704" spans="1:14" s="331" customFormat="1" ht="15" x14ac:dyDescent="0.25">
      <c r="A4704" s="1"/>
      <c r="B4704" s="1" t="s">
        <v>566</v>
      </c>
      <c r="C4704" s="32">
        <v>7840</v>
      </c>
      <c r="D4704" s="1">
        <v>26000</v>
      </c>
      <c r="E4704" s="1"/>
      <c r="F4704" s="1">
        <v>289.87</v>
      </c>
      <c r="G4704" s="1">
        <v>26000</v>
      </c>
      <c r="H4704" s="5">
        <f t="shared" si="90"/>
        <v>0</v>
      </c>
      <c r="I4704" s="6"/>
      <c r="J4704" s="43"/>
      <c r="K4704" s="51"/>
      <c r="L4704" s="86"/>
      <c r="M4704" s="332"/>
    </row>
    <row r="4705" spans="1:14" s="331" customFormat="1" ht="15" x14ac:dyDescent="0.25">
      <c r="A4705" s="1"/>
      <c r="B4705" s="1" t="s">
        <v>566</v>
      </c>
      <c r="C4705" s="32">
        <v>7122</v>
      </c>
      <c r="D4705" s="1">
        <v>25000</v>
      </c>
      <c r="E4705" s="1"/>
      <c r="F4705" s="1">
        <v>278.22000000000003</v>
      </c>
      <c r="G4705" s="1">
        <v>25000</v>
      </c>
      <c r="H4705" s="5">
        <f t="shared" ref="H4705:H4768" si="91">D4705-G4705</f>
        <v>0</v>
      </c>
      <c r="I4705" s="6"/>
      <c r="J4705" s="43"/>
      <c r="K4705" s="51"/>
      <c r="L4705" s="86"/>
      <c r="M4705" s="332"/>
    </row>
    <row r="4706" spans="1:14" s="331" customFormat="1" ht="15" x14ac:dyDescent="0.25">
      <c r="A4706" s="1"/>
      <c r="B4706" s="1" t="s">
        <v>566</v>
      </c>
      <c r="C4706" s="32">
        <v>8534</v>
      </c>
      <c r="D4706" s="1">
        <v>12000</v>
      </c>
      <c r="E4706" s="1"/>
      <c r="F4706" s="1">
        <v>133.97999999999999</v>
      </c>
      <c r="G4706" s="1">
        <v>12000</v>
      </c>
      <c r="H4706" s="5">
        <f t="shared" si="91"/>
        <v>0</v>
      </c>
      <c r="I4706" s="6"/>
      <c r="J4706" s="43"/>
      <c r="K4706" s="51"/>
      <c r="L4706" s="86"/>
      <c r="M4706" s="332"/>
    </row>
    <row r="4707" spans="1:14" s="331" customFormat="1" ht="15" x14ac:dyDescent="0.25">
      <c r="A4707" s="1"/>
      <c r="B4707" s="1" t="s">
        <v>566</v>
      </c>
      <c r="C4707" s="32">
        <v>4106</v>
      </c>
      <c r="D4707" s="1">
        <v>26500</v>
      </c>
      <c r="E4707" s="1"/>
      <c r="F4707" s="1">
        <v>251.87</v>
      </c>
      <c r="G4707" s="1">
        <v>26500</v>
      </c>
      <c r="H4707" s="5">
        <f t="shared" si="91"/>
        <v>0</v>
      </c>
      <c r="I4707" s="6"/>
      <c r="J4707" s="43"/>
      <c r="K4707" s="51"/>
      <c r="L4707" s="86"/>
      <c r="M4707" s="332"/>
    </row>
    <row r="4708" spans="1:14" s="331" customFormat="1" ht="15" x14ac:dyDescent="0.25">
      <c r="A4708" s="1"/>
      <c r="B4708" s="1" t="s">
        <v>566</v>
      </c>
      <c r="C4708" s="32" t="s">
        <v>30</v>
      </c>
      <c r="D4708" s="1">
        <v>5000</v>
      </c>
      <c r="E4708" s="1"/>
      <c r="F4708" s="1">
        <v>55.47</v>
      </c>
      <c r="G4708" s="1">
        <v>5000</v>
      </c>
      <c r="H4708" s="5">
        <f t="shared" si="91"/>
        <v>0</v>
      </c>
      <c r="I4708" s="6"/>
      <c r="J4708" s="43"/>
      <c r="K4708" s="51"/>
      <c r="L4708" s="86"/>
      <c r="M4708" s="332"/>
    </row>
    <row r="4709" spans="1:14" s="331" customFormat="1" ht="15" x14ac:dyDescent="0.25">
      <c r="A4709" s="1"/>
      <c r="B4709" s="1" t="s">
        <v>566</v>
      </c>
      <c r="C4709" s="32">
        <v>7930</v>
      </c>
      <c r="D4709" s="1">
        <v>25000</v>
      </c>
      <c r="E4709" s="1"/>
      <c r="F4709" s="1">
        <v>278.22000000000003</v>
      </c>
      <c r="G4709" s="1">
        <v>25000</v>
      </c>
      <c r="H4709" s="5">
        <f t="shared" si="91"/>
        <v>0</v>
      </c>
      <c r="I4709" s="6"/>
      <c r="J4709" s="43"/>
      <c r="K4709" s="51"/>
      <c r="L4709" s="86"/>
      <c r="M4709" s="332"/>
    </row>
    <row r="4710" spans="1:14" s="331" customFormat="1" ht="15" x14ac:dyDescent="0.25">
      <c r="A4710" s="1"/>
      <c r="B4710" s="1" t="s">
        <v>566</v>
      </c>
      <c r="C4710" s="32">
        <v>4661</v>
      </c>
      <c r="D4710" s="1">
        <v>25000</v>
      </c>
      <c r="E4710" s="1"/>
      <c r="F4710" s="1">
        <v>278.22000000000003</v>
      </c>
      <c r="G4710" s="1">
        <v>25000</v>
      </c>
      <c r="H4710" s="5">
        <f t="shared" si="91"/>
        <v>0</v>
      </c>
      <c r="I4710" s="6"/>
      <c r="J4710" s="43"/>
      <c r="K4710" s="51"/>
      <c r="L4710" s="86"/>
      <c r="M4710" s="332"/>
    </row>
    <row r="4711" spans="1:14" s="331" customFormat="1" ht="15" x14ac:dyDescent="0.25">
      <c r="A4711" s="1"/>
      <c r="B4711" s="1" t="s">
        <v>566</v>
      </c>
      <c r="C4711" s="32">
        <v>7808</v>
      </c>
      <c r="D4711" s="1">
        <v>25000</v>
      </c>
      <c r="E4711" s="1"/>
      <c r="F4711" s="1">
        <v>278.22000000000003</v>
      </c>
      <c r="G4711" s="1">
        <v>25000</v>
      </c>
      <c r="H4711" s="5">
        <f t="shared" si="91"/>
        <v>0</v>
      </c>
      <c r="I4711" s="6"/>
      <c r="J4711" s="43"/>
      <c r="K4711" s="51"/>
      <c r="L4711" s="86"/>
      <c r="M4711" s="332"/>
    </row>
    <row r="4712" spans="1:14" s="331" customFormat="1" ht="15" x14ac:dyDescent="0.25">
      <c r="A4712" s="1"/>
      <c r="B4712" s="1" t="s">
        <v>566</v>
      </c>
      <c r="C4712" s="32">
        <v>2117</v>
      </c>
      <c r="D4712" s="1">
        <v>18000</v>
      </c>
      <c r="E4712" s="1"/>
      <c r="F4712" s="1">
        <v>200.65</v>
      </c>
      <c r="G4712" s="1">
        <v>18000</v>
      </c>
      <c r="H4712" s="5">
        <f t="shared" si="91"/>
        <v>0</v>
      </c>
      <c r="I4712" s="6"/>
      <c r="J4712" s="43"/>
      <c r="K4712" s="51"/>
      <c r="L4712" s="86"/>
      <c r="M4712" s="332"/>
    </row>
    <row r="4713" spans="1:14" s="331" customFormat="1" ht="15" x14ac:dyDescent="0.25">
      <c r="A4713" s="1"/>
      <c r="B4713" s="1" t="s">
        <v>566</v>
      </c>
      <c r="C4713" s="32">
        <v>3320</v>
      </c>
      <c r="D4713" s="1">
        <v>21000</v>
      </c>
      <c r="E4713" s="1"/>
      <c r="F4713" s="1">
        <v>222.35</v>
      </c>
      <c r="G4713" s="1">
        <v>21000</v>
      </c>
      <c r="H4713" s="5">
        <f t="shared" si="91"/>
        <v>0</v>
      </c>
      <c r="I4713" s="6"/>
      <c r="J4713" s="43"/>
      <c r="K4713" s="51"/>
      <c r="L4713" s="86"/>
      <c r="M4713" s="332"/>
    </row>
    <row r="4714" spans="1:14" s="331" customFormat="1" ht="15" x14ac:dyDescent="0.25">
      <c r="A4714" s="1"/>
      <c r="B4714" s="1" t="s">
        <v>566</v>
      </c>
      <c r="C4714" s="32">
        <v>9824</v>
      </c>
      <c r="D4714" s="1">
        <v>18000</v>
      </c>
      <c r="E4714" s="1"/>
      <c r="F4714" s="1">
        <v>200.65</v>
      </c>
      <c r="G4714" s="1">
        <v>18000</v>
      </c>
      <c r="H4714" s="5">
        <f t="shared" si="91"/>
        <v>0</v>
      </c>
      <c r="I4714" s="6"/>
      <c r="J4714" s="43"/>
      <c r="K4714" s="51"/>
      <c r="L4714" s="86">
        <f>2037227-2033418</f>
        <v>3809</v>
      </c>
      <c r="M4714" s="332" t="s">
        <v>565</v>
      </c>
      <c r="N4714" s="331">
        <f>3809-570</f>
        <v>3239</v>
      </c>
    </row>
    <row r="4715" spans="1:14" s="333" customFormat="1" ht="15" x14ac:dyDescent="0.25">
      <c r="A4715" s="1"/>
      <c r="B4715" s="1" t="s">
        <v>567</v>
      </c>
      <c r="C4715" s="32" t="s">
        <v>63</v>
      </c>
      <c r="D4715" s="1">
        <v>3000</v>
      </c>
      <c r="E4715" s="1"/>
      <c r="F4715" s="1">
        <v>33.42</v>
      </c>
      <c r="G4715" s="1">
        <v>3000</v>
      </c>
      <c r="H4715" s="5">
        <f t="shared" si="91"/>
        <v>0</v>
      </c>
      <c r="I4715" s="6"/>
      <c r="J4715" s="43"/>
      <c r="K4715" s="51"/>
      <c r="L4715" s="86"/>
      <c r="M4715" s="334"/>
    </row>
    <row r="4716" spans="1:14" s="333" customFormat="1" ht="15" x14ac:dyDescent="0.25">
      <c r="A4716" s="1"/>
      <c r="B4716" s="1" t="s">
        <v>567</v>
      </c>
      <c r="C4716" s="32" t="s">
        <v>66</v>
      </c>
      <c r="D4716" s="1">
        <v>210</v>
      </c>
      <c r="E4716" s="1"/>
      <c r="F4716" s="1">
        <v>2.08</v>
      </c>
      <c r="G4716" s="1">
        <v>210</v>
      </c>
      <c r="H4716" s="5">
        <f t="shared" si="91"/>
        <v>0</v>
      </c>
      <c r="I4716" s="6"/>
      <c r="J4716" s="43"/>
      <c r="K4716" s="51"/>
      <c r="L4716" s="86"/>
      <c r="M4716" s="334"/>
    </row>
    <row r="4717" spans="1:14" s="333" customFormat="1" ht="15" x14ac:dyDescent="0.25">
      <c r="A4717" s="1"/>
      <c r="B4717" s="1" t="s">
        <v>567</v>
      </c>
      <c r="C4717" s="32">
        <v>2808</v>
      </c>
      <c r="D4717" s="1">
        <v>23000</v>
      </c>
      <c r="E4717" s="1"/>
      <c r="F4717" s="1">
        <v>254.65</v>
      </c>
      <c r="G4717" s="1">
        <v>23000</v>
      </c>
      <c r="H4717" s="5">
        <f t="shared" si="91"/>
        <v>0</v>
      </c>
      <c r="I4717" s="6"/>
      <c r="J4717" s="43"/>
      <c r="K4717" s="51"/>
      <c r="L4717" s="86"/>
      <c r="M4717" s="334"/>
    </row>
    <row r="4718" spans="1:14" s="333" customFormat="1" ht="15" x14ac:dyDescent="0.25">
      <c r="A4718" s="1"/>
      <c r="B4718" s="1" t="s">
        <v>567</v>
      </c>
      <c r="C4718" s="32">
        <v>1304</v>
      </c>
      <c r="D4718" s="1">
        <v>22000</v>
      </c>
      <c r="E4718" s="1"/>
      <c r="F4718" s="1">
        <v>262.75</v>
      </c>
      <c r="G4718" s="1">
        <v>22000</v>
      </c>
      <c r="H4718" s="5">
        <f t="shared" si="91"/>
        <v>0</v>
      </c>
      <c r="I4718" s="6"/>
      <c r="J4718" s="43"/>
      <c r="K4718" s="51"/>
      <c r="L4718" s="86"/>
      <c r="M4718" s="334"/>
    </row>
    <row r="4719" spans="1:14" s="333" customFormat="1" ht="15" x14ac:dyDescent="0.25">
      <c r="A4719" s="1"/>
      <c r="B4719" s="1" t="s">
        <v>567</v>
      </c>
      <c r="C4719" s="32">
        <v>5.1000000000000004E-3</v>
      </c>
      <c r="D4719" s="1">
        <v>17000</v>
      </c>
      <c r="E4719" s="1"/>
      <c r="F4719" s="1">
        <v>178.22</v>
      </c>
      <c r="G4719" s="1">
        <v>17000</v>
      </c>
      <c r="H4719" s="5">
        <f t="shared" si="91"/>
        <v>0</v>
      </c>
      <c r="I4719" s="6"/>
      <c r="J4719" s="43"/>
      <c r="K4719" s="51"/>
      <c r="L4719" s="86"/>
      <c r="M4719" s="334"/>
    </row>
    <row r="4720" spans="1:14" s="333" customFormat="1" ht="15" x14ac:dyDescent="0.25">
      <c r="A4720" s="1"/>
      <c r="B4720" s="1" t="s">
        <v>567</v>
      </c>
      <c r="C4720" s="32">
        <v>7676</v>
      </c>
      <c r="D4720" s="1">
        <v>26000</v>
      </c>
      <c r="E4720" s="1"/>
      <c r="F4720" s="1">
        <v>289.83999999999997</v>
      </c>
      <c r="G4720" s="1">
        <v>26000</v>
      </c>
      <c r="H4720" s="5">
        <f t="shared" si="91"/>
        <v>0</v>
      </c>
      <c r="I4720" s="6"/>
      <c r="J4720" s="43"/>
      <c r="K4720" s="51"/>
      <c r="L4720" s="86"/>
      <c r="M4720" s="334"/>
    </row>
    <row r="4721" spans="1:14" s="333" customFormat="1" ht="15" x14ac:dyDescent="0.25">
      <c r="A4721" s="1"/>
      <c r="B4721" s="1" t="s">
        <v>567</v>
      </c>
      <c r="C4721" s="32">
        <v>5252</v>
      </c>
      <c r="D4721" s="1">
        <v>17000</v>
      </c>
      <c r="E4721" s="1"/>
      <c r="F4721" s="1">
        <v>178.22</v>
      </c>
      <c r="G4721" s="1">
        <v>17000</v>
      </c>
      <c r="H4721" s="5">
        <f t="shared" si="91"/>
        <v>0</v>
      </c>
      <c r="I4721" s="6"/>
      <c r="J4721" s="43"/>
      <c r="K4721" s="51"/>
      <c r="L4721" s="86"/>
      <c r="M4721" s="334"/>
    </row>
    <row r="4722" spans="1:14" s="333" customFormat="1" ht="15" x14ac:dyDescent="0.25">
      <c r="A4722" s="1"/>
      <c r="B4722" s="1" t="s">
        <v>567</v>
      </c>
      <c r="C4722" s="32">
        <v>5498</v>
      </c>
      <c r="D4722" s="1">
        <v>21000</v>
      </c>
      <c r="E4722" s="1"/>
      <c r="F4722" s="1">
        <v>233.64</v>
      </c>
      <c r="G4722" s="1">
        <v>21000</v>
      </c>
      <c r="H4722" s="5">
        <f t="shared" si="91"/>
        <v>0</v>
      </c>
      <c r="I4722" s="6"/>
      <c r="J4722" s="43"/>
      <c r="K4722" s="51"/>
      <c r="L4722" s="86"/>
      <c r="M4722" s="334"/>
    </row>
    <row r="4723" spans="1:14" s="333" customFormat="1" ht="15" x14ac:dyDescent="0.25">
      <c r="A4723" s="1"/>
      <c r="B4723" s="1" t="s">
        <v>567</v>
      </c>
      <c r="C4723" s="32">
        <v>8676</v>
      </c>
      <c r="D4723" s="1">
        <v>18000</v>
      </c>
      <c r="E4723" s="1"/>
      <c r="F4723" s="1">
        <v>200.32</v>
      </c>
      <c r="G4723" s="1">
        <v>18000</v>
      </c>
      <c r="H4723" s="5">
        <f t="shared" si="91"/>
        <v>0</v>
      </c>
      <c r="I4723" s="6"/>
      <c r="J4723" s="43"/>
      <c r="K4723" s="51"/>
      <c r="L4723" s="86"/>
      <c r="M4723" s="334"/>
    </row>
    <row r="4724" spans="1:14" s="333" customFormat="1" ht="15" x14ac:dyDescent="0.25">
      <c r="A4724" s="1"/>
      <c r="B4724" s="1" t="s">
        <v>567</v>
      </c>
      <c r="C4724" s="32">
        <v>3877</v>
      </c>
      <c r="D4724" s="1">
        <v>15000</v>
      </c>
      <c r="E4724" s="1"/>
      <c r="F4724" s="1">
        <v>167.15</v>
      </c>
      <c r="G4724" s="1">
        <v>15000</v>
      </c>
      <c r="H4724" s="5">
        <f t="shared" si="91"/>
        <v>0</v>
      </c>
      <c r="I4724" s="6"/>
      <c r="J4724" s="43"/>
      <c r="K4724" s="51"/>
      <c r="L4724" s="86"/>
      <c r="M4724" s="334"/>
    </row>
    <row r="4725" spans="1:14" s="333" customFormat="1" ht="15" x14ac:dyDescent="0.25">
      <c r="A4725" s="1"/>
      <c r="B4725" s="1" t="s">
        <v>567</v>
      </c>
      <c r="C4725" s="32">
        <v>9207</v>
      </c>
      <c r="D4725" s="1">
        <v>15000</v>
      </c>
      <c r="E4725" s="1"/>
      <c r="F4725" s="1">
        <v>167.15</v>
      </c>
      <c r="G4725" s="1">
        <v>15000</v>
      </c>
      <c r="H4725" s="5">
        <f t="shared" si="91"/>
        <v>0</v>
      </c>
      <c r="I4725" s="6"/>
      <c r="J4725" s="43"/>
      <c r="K4725" s="51"/>
      <c r="L4725" s="86"/>
      <c r="M4725" s="334"/>
    </row>
    <row r="4726" spans="1:14" s="333" customFormat="1" ht="15" x14ac:dyDescent="0.25">
      <c r="A4726" s="1"/>
      <c r="B4726" s="1" t="s">
        <v>567</v>
      </c>
      <c r="C4726" s="32">
        <v>8555</v>
      </c>
      <c r="D4726" s="1">
        <v>18000</v>
      </c>
      <c r="E4726" s="1"/>
      <c r="F4726" s="1">
        <v>200.35</v>
      </c>
      <c r="G4726" s="1">
        <v>18000</v>
      </c>
      <c r="H4726" s="5">
        <f t="shared" si="91"/>
        <v>0</v>
      </c>
      <c r="I4726" s="6"/>
      <c r="J4726" s="43"/>
      <c r="K4726" s="51"/>
      <c r="L4726" s="86"/>
      <c r="M4726" s="334"/>
    </row>
    <row r="4727" spans="1:14" s="333" customFormat="1" ht="15" x14ac:dyDescent="0.25">
      <c r="A4727" s="1"/>
      <c r="B4727" s="1" t="s">
        <v>567</v>
      </c>
      <c r="C4727" s="32">
        <v>3346</v>
      </c>
      <c r="D4727" s="1">
        <v>26000</v>
      </c>
      <c r="E4727" s="1"/>
      <c r="F4727" s="1">
        <v>289.87</v>
      </c>
      <c r="G4727" s="1">
        <v>26000</v>
      </c>
      <c r="H4727" s="5">
        <f t="shared" si="91"/>
        <v>0</v>
      </c>
      <c r="I4727" s="6"/>
      <c r="J4727" s="43"/>
      <c r="K4727" s="51"/>
      <c r="L4727" s="86"/>
      <c r="M4727" s="334"/>
    </row>
    <row r="4728" spans="1:14" s="333" customFormat="1" ht="15" x14ac:dyDescent="0.25">
      <c r="A4728" s="1"/>
      <c r="B4728" s="1" t="s">
        <v>567</v>
      </c>
      <c r="C4728" s="32">
        <v>7709</v>
      </c>
      <c r="D4728" s="1">
        <v>15000</v>
      </c>
      <c r="E4728" s="1"/>
      <c r="F4728" s="1">
        <v>167.15</v>
      </c>
      <c r="G4728" s="1">
        <v>15000</v>
      </c>
      <c r="H4728" s="5">
        <f t="shared" si="91"/>
        <v>0</v>
      </c>
      <c r="I4728" s="6"/>
      <c r="J4728" s="43"/>
      <c r="K4728" s="51"/>
      <c r="L4728" s="86"/>
      <c r="M4728" s="334"/>
    </row>
    <row r="4729" spans="1:14" s="333" customFormat="1" ht="15" x14ac:dyDescent="0.25">
      <c r="A4729" s="1"/>
      <c r="B4729" s="1" t="s">
        <v>567</v>
      </c>
      <c r="C4729" s="32">
        <v>3329</v>
      </c>
      <c r="D4729" s="1">
        <v>13000</v>
      </c>
      <c r="E4729" s="1"/>
      <c r="F4729" s="1">
        <v>144.24</v>
      </c>
      <c r="G4729" s="1">
        <v>13000</v>
      </c>
      <c r="H4729" s="5">
        <f t="shared" si="91"/>
        <v>0</v>
      </c>
      <c r="I4729" s="6"/>
      <c r="J4729" s="43"/>
      <c r="K4729" s="51"/>
      <c r="L4729" s="86"/>
      <c r="M4729" s="334"/>
    </row>
    <row r="4730" spans="1:14" s="333" customFormat="1" ht="15" x14ac:dyDescent="0.25">
      <c r="A4730" s="1"/>
      <c r="B4730" s="1" t="s">
        <v>567</v>
      </c>
      <c r="C4730" s="32">
        <v>7957</v>
      </c>
      <c r="D4730" s="1">
        <v>8000</v>
      </c>
      <c r="E4730" s="1"/>
      <c r="F4730" s="1">
        <v>89.78</v>
      </c>
      <c r="G4730" s="1">
        <v>8000</v>
      </c>
      <c r="H4730" s="5">
        <f t="shared" si="91"/>
        <v>0</v>
      </c>
      <c r="I4730" s="6"/>
      <c r="J4730" s="43"/>
      <c r="K4730" s="51"/>
      <c r="L4730" s="86">
        <f>1994437-1990628</f>
        <v>3809</v>
      </c>
      <c r="M4730" s="334" t="s">
        <v>565</v>
      </c>
      <c r="N4730" s="333">
        <f>3809-570</f>
        <v>3239</v>
      </c>
    </row>
    <row r="4731" spans="1:14" s="336" customFormat="1" ht="15" x14ac:dyDescent="0.25">
      <c r="A4731" s="1"/>
      <c r="B4731" s="1" t="s">
        <v>568</v>
      </c>
      <c r="C4731" s="32">
        <v>5958</v>
      </c>
      <c r="D4731" s="1">
        <v>10000</v>
      </c>
      <c r="E4731" s="1"/>
      <c r="F4731" s="1">
        <v>111.41</v>
      </c>
      <c r="G4731" s="1">
        <v>10000</v>
      </c>
      <c r="H4731" s="5">
        <f t="shared" si="91"/>
        <v>0</v>
      </c>
      <c r="I4731" s="6"/>
      <c r="J4731" s="43"/>
      <c r="K4731" s="51"/>
      <c r="L4731" s="86"/>
      <c r="M4731" s="337"/>
    </row>
    <row r="4732" spans="1:14" s="336" customFormat="1" ht="15" x14ac:dyDescent="0.25">
      <c r="A4732" s="1"/>
      <c r="B4732" s="1" t="s">
        <v>568</v>
      </c>
      <c r="C4732" s="32">
        <v>6291</v>
      </c>
      <c r="D4732" s="1">
        <v>10000</v>
      </c>
      <c r="E4732" s="1"/>
      <c r="F4732" s="1">
        <v>111.41</v>
      </c>
      <c r="G4732" s="1">
        <v>10000</v>
      </c>
      <c r="H4732" s="5">
        <f t="shared" si="91"/>
        <v>0</v>
      </c>
      <c r="I4732" s="6"/>
      <c r="J4732" s="43"/>
      <c r="K4732" s="51"/>
      <c r="L4732" s="86"/>
      <c r="M4732" s="337"/>
    </row>
    <row r="4733" spans="1:14" s="336" customFormat="1" ht="15" x14ac:dyDescent="0.25">
      <c r="A4733" s="1"/>
      <c r="B4733" s="1" t="s">
        <v>568</v>
      </c>
      <c r="C4733" s="32" t="s">
        <v>30</v>
      </c>
      <c r="D4733" s="1">
        <v>5000</v>
      </c>
      <c r="E4733" s="1"/>
      <c r="F4733" s="1">
        <v>55.48</v>
      </c>
      <c r="G4733" s="1">
        <v>5000</v>
      </c>
      <c r="H4733" s="5">
        <f t="shared" si="91"/>
        <v>0</v>
      </c>
      <c r="I4733" s="6"/>
      <c r="J4733" s="43"/>
      <c r="K4733" s="51"/>
      <c r="L4733" s="86"/>
      <c r="M4733" s="337"/>
    </row>
    <row r="4734" spans="1:14" s="336" customFormat="1" ht="15" x14ac:dyDescent="0.25">
      <c r="A4734" s="1"/>
      <c r="B4734" s="1" t="s">
        <v>568</v>
      </c>
      <c r="C4734" s="32">
        <v>4282</v>
      </c>
      <c r="D4734" s="1">
        <v>10000</v>
      </c>
      <c r="E4734" s="1"/>
      <c r="F4734" s="1">
        <v>111.41</v>
      </c>
      <c r="G4734" s="1">
        <v>10000</v>
      </c>
      <c r="H4734" s="5">
        <f t="shared" si="91"/>
        <v>0</v>
      </c>
      <c r="I4734" s="6"/>
      <c r="J4734" s="43"/>
      <c r="K4734" s="51"/>
      <c r="L4734" s="86"/>
      <c r="M4734" s="337"/>
    </row>
    <row r="4735" spans="1:14" s="336" customFormat="1" ht="15" x14ac:dyDescent="0.25">
      <c r="A4735" s="1"/>
      <c r="B4735" s="1" t="s">
        <v>568</v>
      </c>
      <c r="C4735" s="32">
        <v>6400</v>
      </c>
      <c r="D4735" s="1">
        <v>12000</v>
      </c>
      <c r="E4735" s="1"/>
      <c r="F4735" s="1">
        <v>145.84</v>
      </c>
      <c r="G4735" s="1">
        <v>12000</v>
      </c>
      <c r="H4735" s="5">
        <f t="shared" si="91"/>
        <v>0</v>
      </c>
      <c r="I4735" s="6"/>
      <c r="J4735" s="43"/>
      <c r="K4735" s="51"/>
      <c r="L4735" s="86"/>
      <c r="M4735" s="337"/>
    </row>
    <row r="4736" spans="1:14" s="336" customFormat="1" ht="15" x14ac:dyDescent="0.25">
      <c r="A4736" s="1"/>
      <c r="B4736" s="1" t="s">
        <v>568</v>
      </c>
      <c r="C4736" s="32">
        <v>8.8900000000000007E-2</v>
      </c>
      <c r="D4736" s="1">
        <v>20000</v>
      </c>
      <c r="E4736" s="1"/>
      <c r="F4736" s="1">
        <v>222.82</v>
      </c>
      <c r="G4736" s="1">
        <v>20000</v>
      </c>
      <c r="H4736" s="5">
        <f t="shared" si="91"/>
        <v>0</v>
      </c>
      <c r="I4736" s="6"/>
      <c r="J4736" s="43"/>
      <c r="K4736" s="51"/>
      <c r="L4736" s="86"/>
      <c r="M4736" s="337"/>
    </row>
    <row r="4737" spans="1:14" s="336" customFormat="1" ht="15" x14ac:dyDescent="0.25">
      <c r="A4737" s="1"/>
      <c r="B4737" s="1" t="s">
        <v>568</v>
      </c>
      <c r="C4737" s="32">
        <v>3503</v>
      </c>
      <c r="D4737" s="1">
        <v>20000</v>
      </c>
      <c r="E4737" s="1"/>
      <c r="F4737" s="1">
        <v>222.82</v>
      </c>
      <c r="G4737" s="1">
        <v>20000</v>
      </c>
      <c r="H4737" s="5">
        <f t="shared" si="91"/>
        <v>0</v>
      </c>
      <c r="I4737" s="6"/>
      <c r="J4737" s="43"/>
      <c r="K4737" s="51"/>
      <c r="L4737" s="86"/>
      <c r="M4737" s="337"/>
    </row>
    <row r="4738" spans="1:14" s="336" customFormat="1" ht="15" x14ac:dyDescent="0.25">
      <c r="A4738" s="1"/>
      <c r="B4738" s="1" t="s">
        <v>568</v>
      </c>
      <c r="C4738" s="32">
        <v>5151</v>
      </c>
      <c r="D4738" s="1">
        <v>17000</v>
      </c>
      <c r="E4738" s="1"/>
      <c r="F4738" s="1">
        <v>189.65</v>
      </c>
      <c r="G4738" s="1">
        <v>17000</v>
      </c>
      <c r="H4738" s="5">
        <f t="shared" si="91"/>
        <v>0</v>
      </c>
      <c r="I4738" s="6"/>
      <c r="J4738" s="43"/>
      <c r="K4738" s="51"/>
      <c r="L4738" s="86"/>
      <c r="M4738" s="337"/>
    </row>
    <row r="4739" spans="1:14" s="336" customFormat="1" ht="15" x14ac:dyDescent="0.25">
      <c r="A4739" s="1"/>
      <c r="B4739" s="1" t="s">
        <v>568</v>
      </c>
      <c r="C4739" s="32">
        <v>5250</v>
      </c>
      <c r="D4739" s="1">
        <v>17000</v>
      </c>
      <c r="E4739" s="1"/>
      <c r="F4739" s="1">
        <v>189.65</v>
      </c>
      <c r="G4739" s="1">
        <v>17000</v>
      </c>
      <c r="H4739" s="5">
        <f t="shared" si="91"/>
        <v>0</v>
      </c>
      <c r="I4739" s="6"/>
      <c r="J4739" s="43"/>
      <c r="K4739" s="51"/>
      <c r="L4739" s="86">
        <f>1915437-1911628</f>
        <v>3809</v>
      </c>
      <c r="M4739" s="337" t="s">
        <v>565</v>
      </c>
      <c r="N4739" s="336">
        <f>3809-570</f>
        <v>3239</v>
      </c>
    </row>
    <row r="4740" spans="1:14" s="338" customFormat="1" ht="15" x14ac:dyDescent="0.25">
      <c r="A4740" s="1"/>
      <c r="B4740" s="1" t="s">
        <v>569</v>
      </c>
      <c r="C4740" s="32">
        <v>2809</v>
      </c>
      <c r="D4740" s="1">
        <v>16000</v>
      </c>
      <c r="E4740" s="1"/>
      <c r="F4740" s="1">
        <v>178.22</v>
      </c>
      <c r="G4740" s="1">
        <v>16000</v>
      </c>
      <c r="H4740" s="5">
        <f t="shared" si="91"/>
        <v>0</v>
      </c>
      <c r="I4740" s="6"/>
      <c r="J4740" s="43"/>
      <c r="K4740" s="51"/>
      <c r="L4740" s="86"/>
      <c r="M4740" s="339"/>
    </row>
    <row r="4741" spans="1:14" s="338" customFormat="1" ht="15" x14ac:dyDescent="0.25">
      <c r="A4741" s="1"/>
      <c r="B4741" s="1" t="s">
        <v>569</v>
      </c>
      <c r="C4741" s="32">
        <v>4513</v>
      </c>
      <c r="D4741" s="1">
        <v>16000</v>
      </c>
      <c r="E4741" s="1"/>
      <c r="F4741" s="1">
        <v>178.22</v>
      </c>
      <c r="G4741" s="1">
        <v>16000</v>
      </c>
      <c r="H4741" s="5">
        <f t="shared" si="91"/>
        <v>0</v>
      </c>
      <c r="I4741" s="6"/>
      <c r="J4741" s="43"/>
      <c r="K4741" s="51"/>
      <c r="L4741" s="86"/>
      <c r="M4741" s="339"/>
    </row>
    <row r="4742" spans="1:14" s="338" customFormat="1" ht="15" x14ac:dyDescent="0.25">
      <c r="A4742" s="1"/>
      <c r="B4742" s="1" t="s">
        <v>569</v>
      </c>
      <c r="C4742" s="32">
        <v>1738</v>
      </c>
      <c r="D4742" s="1">
        <v>16000</v>
      </c>
      <c r="E4742" s="1"/>
      <c r="F4742" s="1">
        <v>178.22</v>
      </c>
      <c r="G4742" s="1">
        <v>16000</v>
      </c>
      <c r="H4742" s="5">
        <f t="shared" si="91"/>
        <v>0</v>
      </c>
      <c r="I4742" s="6"/>
      <c r="J4742" s="43"/>
      <c r="K4742" s="51"/>
      <c r="L4742" s="86"/>
      <c r="M4742" s="339"/>
    </row>
    <row r="4743" spans="1:14" s="338" customFormat="1" ht="15" x14ac:dyDescent="0.25">
      <c r="A4743" s="1"/>
      <c r="B4743" s="1" t="s">
        <v>569</v>
      </c>
      <c r="C4743" s="32">
        <v>1811</v>
      </c>
      <c r="D4743" s="1">
        <v>33000</v>
      </c>
      <c r="E4743" s="1"/>
      <c r="F4743" s="1">
        <v>334.85</v>
      </c>
      <c r="G4743" s="1">
        <v>33000</v>
      </c>
      <c r="H4743" s="5">
        <f t="shared" si="91"/>
        <v>0</v>
      </c>
      <c r="I4743" s="6"/>
      <c r="J4743" s="43"/>
      <c r="K4743" s="51"/>
      <c r="L4743" s="86"/>
      <c r="M4743" s="339"/>
    </row>
    <row r="4744" spans="1:14" s="338" customFormat="1" ht="15" x14ac:dyDescent="0.25">
      <c r="A4744" s="1"/>
      <c r="B4744" s="1" t="s">
        <v>569</v>
      </c>
      <c r="C4744" s="32">
        <v>2590</v>
      </c>
      <c r="D4744" s="1">
        <v>10000</v>
      </c>
      <c r="E4744" s="1"/>
      <c r="F4744" s="1">
        <v>111.41</v>
      </c>
      <c r="G4744" s="1">
        <v>10000</v>
      </c>
      <c r="H4744" s="5">
        <f t="shared" si="91"/>
        <v>0</v>
      </c>
      <c r="I4744" s="6"/>
      <c r="J4744" s="43"/>
      <c r="K4744" s="51"/>
      <c r="L4744" s="86"/>
      <c r="M4744" s="339"/>
    </row>
    <row r="4745" spans="1:14" s="338" customFormat="1" ht="15" x14ac:dyDescent="0.25">
      <c r="A4745" s="1"/>
      <c r="B4745" s="1" t="s">
        <v>569</v>
      </c>
      <c r="C4745" s="32">
        <v>2913</v>
      </c>
      <c r="D4745" s="1">
        <v>17000</v>
      </c>
      <c r="E4745" s="1"/>
      <c r="F4745" s="1">
        <v>189.54</v>
      </c>
      <c r="G4745" s="1">
        <v>17000</v>
      </c>
      <c r="H4745" s="5">
        <f t="shared" si="91"/>
        <v>0</v>
      </c>
      <c r="I4745" s="6"/>
      <c r="J4745" s="43"/>
      <c r="K4745" s="51"/>
      <c r="L4745" s="86"/>
      <c r="M4745" s="339"/>
    </row>
    <row r="4746" spans="1:14" s="338" customFormat="1" ht="15" x14ac:dyDescent="0.25">
      <c r="A4746" s="1"/>
      <c r="B4746" s="1" t="s">
        <v>569</v>
      </c>
      <c r="C4746" s="32">
        <v>7149</v>
      </c>
      <c r="D4746" s="1">
        <v>23000</v>
      </c>
      <c r="E4746" s="1"/>
      <c r="F4746" s="1">
        <v>256.87</v>
      </c>
      <c r="G4746" s="1">
        <v>23000</v>
      </c>
      <c r="H4746" s="5">
        <f t="shared" si="91"/>
        <v>0</v>
      </c>
      <c r="I4746" s="6"/>
      <c r="J4746" s="43"/>
      <c r="K4746" s="51"/>
      <c r="L4746" s="86">
        <f>1846437-1842628</f>
        <v>3809</v>
      </c>
      <c r="M4746" s="339" t="s">
        <v>565</v>
      </c>
      <c r="N4746" s="338">
        <f>3809-570</f>
        <v>3239</v>
      </c>
    </row>
    <row r="4747" spans="1:14" s="341" customFormat="1" ht="15" x14ac:dyDescent="0.25">
      <c r="A4747" s="1"/>
      <c r="B4747" s="1" t="s">
        <v>570</v>
      </c>
      <c r="C4747" s="32" t="s">
        <v>30</v>
      </c>
      <c r="D4747" s="1">
        <v>4500</v>
      </c>
      <c r="E4747" s="1"/>
      <c r="F4747" s="1">
        <v>50.13</v>
      </c>
      <c r="G4747" s="1">
        <v>4500</v>
      </c>
      <c r="H4747" s="5">
        <f t="shared" si="91"/>
        <v>0</v>
      </c>
      <c r="I4747" s="6"/>
      <c r="J4747" s="43"/>
      <c r="K4747" s="51"/>
      <c r="L4747" s="86"/>
      <c r="M4747" s="342"/>
    </row>
    <row r="4748" spans="1:14" s="341" customFormat="1" ht="15" x14ac:dyDescent="0.25">
      <c r="A4748" s="1"/>
      <c r="B4748" s="1" t="s">
        <v>570</v>
      </c>
      <c r="C4748" s="32">
        <v>6659</v>
      </c>
      <c r="D4748" s="1">
        <v>16000</v>
      </c>
      <c r="E4748" s="1"/>
      <c r="F4748" s="1">
        <v>178.22</v>
      </c>
      <c r="G4748" s="1">
        <v>16000</v>
      </c>
      <c r="H4748" s="5">
        <f t="shared" si="91"/>
        <v>0</v>
      </c>
      <c r="I4748" s="6"/>
      <c r="J4748" s="43"/>
      <c r="K4748" s="51"/>
      <c r="L4748" s="86"/>
      <c r="M4748" s="342"/>
    </row>
    <row r="4749" spans="1:14" s="341" customFormat="1" ht="15" x14ac:dyDescent="0.25">
      <c r="A4749" s="1"/>
      <c r="B4749" s="1" t="s">
        <v>570</v>
      </c>
      <c r="C4749" s="32">
        <v>4514</v>
      </c>
      <c r="D4749" s="1">
        <v>16000</v>
      </c>
      <c r="E4749" s="1"/>
      <c r="F4749" s="1">
        <v>178.22</v>
      </c>
      <c r="G4749" s="1">
        <v>16000</v>
      </c>
      <c r="H4749" s="5">
        <f t="shared" si="91"/>
        <v>0</v>
      </c>
      <c r="I4749" s="6"/>
      <c r="J4749" s="43"/>
      <c r="K4749" s="51"/>
      <c r="L4749" s="86"/>
      <c r="M4749" s="342"/>
    </row>
    <row r="4750" spans="1:14" s="341" customFormat="1" ht="15" x14ac:dyDescent="0.25">
      <c r="A4750" s="1"/>
      <c r="B4750" s="1" t="s">
        <v>570</v>
      </c>
      <c r="C4750" s="32">
        <v>2009</v>
      </c>
      <c r="D4750" s="1">
        <v>16000</v>
      </c>
      <c r="E4750" s="1"/>
      <c r="F4750" s="1">
        <v>178.22</v>
      </c>
      <c r="G4750" s="1">
        <v>16000</v>
      </c>
      <c r="H4750" s="5">
        <f t="shared" si="91"/>
        <v>0</v>
      </c>
      <c r="I4750" s="6"/>
      <c r="J4750" s="43"/>
      <c r="K4750" s="51"/>
      <c r="L4750" s="86"/>
      <c r="M4750" s="342"/>
    </row>
    <row r="4751" spans="1:14" s="341" customFormat="1" ht="15" x14ac:dyDescent="0.25">
      <c r="A4751" s="1"/>
      <c r="B4751" s="1" t="s">
        <v>570</v>
      </c>
      <c r="C4751" s="32">
        <v>4018</v>
      </c>
      <c r="D4751" s="1">
        <v>16000</v>
      </c>
      <c r="E4751" s="1"/>
      <c r="F4751" s="1">
        <v>178.22</v>
      </c>
      <c r="G4751" s="1">
        <v>16000</v>
      </c>
      <c r="H4751" s="5">
        <f t="shared" si="91"/>
        <v>0</v>
      </c>
      <c r="I4751" s="6"/>
      <c r="J4751" s="43"/>
      <c r="K4751" s="51"/>
      <c r="L4751" s="86"/>
      <c r="M4751" s="342"/>
    </row>
    <row r="4752" spans="1:14" s="341" customFormat="1" ht="15" x14ac:dyDescent="0.25">
      <c r="A4752" s="1"/>
      <c r="B4752" s="1" t="s">
        <v>570</v>
      </c>
      <c r="C4752" s="32">
        <v>6573</v>
      </c>
      <c r="D4752" s="1">
        <v>16000</v>
      </c>
      <c r="E4752" s="1"/>
      <c r="F4752" s="1">
        <v>178.22</v>
      </c>
      <c r="G4752" s="1">
        <v>16000</v>
      </c>
      <c r="H4752" s="5">
        <f t="shared" si="91"/>
        <v>0</v>
      </c>
      <c r="I4752" s="6"/>
      <c r="J4752" s="43"/>
      <c r="K4752" s="51"/>
      <c r="L4752" s="86"/>
      <c r="M4752" s="342"/>
    </row>
    <row r="4753" spans="1:14" s="341" customFormat="1" ht="15" x14ac:dyDescent="0.25">
      <c r="A4753" s="1"/>
      <c r="B4753" s="1" t="s">
        <v>570</v>
      </c>
      <c r="C4753" s="32">
        <v>4058</v>
      </c>
      <c r="D4753" s="1">
        <v>16000</v>
      </c>
      <c r="E4753" s="1"/>
      <c r="F4753" s="1">
        <v>178.22</v>
      </c>
      <c r="G4753" s="1">
        <v>16000</v>
      </c>
      <c r="H4753" s="5">
        <f t="shared" si="91"/>
        <v>0</v>
      </c>
      <c r="I4753" s="6"/>
      <c r="J4753" s="43"/>
      <c r="K4753" s="51"/>
      <c r="L4753" s="86"/>
      <c r="M4753" s="342"/>
    </row>
    <row r="4754" spans="1:14" s="341" customFormat="1" ht="15" x14ac:dyDescent="0.25">
      <c r="A4754" s="1"/>
      <c r="B4754" s="1" t="s">
        <v>570</v>
      </c>
      <c r="C4754" s="32">
        <v>9230</v>
      </c>
      <c r="D4754" s="1">
        <v>10000</v>
      </c>
      <c r="E4754" s="1"/>
      <c r="F4754" s="1">
        <v>111.41</v>
      </c>
      <c r="G4754" s="1">
        <v>10000</v>
      </c>
      <c r="H4754" s="5">
        <f t="shared" si="91"/>
        <v>0</v>
      </c>
      <c r="I4754" s="6"/>
      <c r="J4754" s="43"/>
      <c r="K4754" s="51"/>
      <c r="L4754" s="86"/>
      <c r="M4754" s="342"/>
    </row>
    <row r="4755" spans="1:14" s="341" customFormat="1" ht="15" x14ac:dyDescent="0.25">
      <c r="A4755" s="1"/>
      <c r="B4755" s="1" t="s">
        <v>570</v>
      </c>
      <c r="C4755" s="32" t="s">
        <v>30</v>
      </c>
      <c r="D4755" s="1">
        <v>5000</v>
      </c>
      <c r="E4755" s="1"/>
      <c r="F4755" s="1">
        <v>55.42</v>
      </c>
      <c r="G4755" s="1">
        <v>5000</v>
      </c>
      <c r="H4755" s="5">
        <f t="shared" si="91"/>
        <v>0</v>
      </c>
      <c r="I4755" s="6"/>
      <c r="J4755" s="43"/>
      <c r="K4755" s="51"/>
      <c r="L4755" s="86"/>
      <c r="M4755" s="342"/>
    </row>
    <row r="4756" spans="1:14" s="341" customFormat="1" ht="15" x14ac:dyDescent="0.25">
      <c r="A4756" s="1"/>
      <c r="B4756" s="1" t="s">
        <v>570</v>
      </c>
      <c r="C4756" s="32" t="s">
        <v>66</v>
      </c>
      <c r="D4756" s="1">
        <v>210</v>
      </c>
      <c r="E4756" s="1"/>
      <c r="F4756" s="1">
        <v>2.08</v>
      </c>
      <c r="G4756" s="1">
        <v>210</v>
      </c>
      <c r="H4756" s="5">
        <f t="shared" si="91"/>
        <v>0</v>
      </c>
      <c r="I4756" s="6"/>
      <c r="J4756" s="43"/>
      <c r="K4756" s="51"/>
      <c r="L4756" s="86"/>
      <c r="M4756" s="342"/>
    </row>
    <row r="4757" spans="1:14" s="341" customFormat="1" ht="15" x14ac:dyDescent="0.25">
      <c r="A4757" s="1"/>
      <c r="B4757" s="1" t="s">
        <v>570</v>
      </c>
      <c r="C4757" s="32">
        <v>3965</v>
      </c>
      <c r="D4757" s="1">
        <v>22000</v>
      </c>
      <c r="E4757" s="1"/>
      <c r="F4757" s="1">
        <v>236.85</v>
      </c>
      <c r="G4757" s="1">
        <v>22000</v>
      </c>
      <c r="H4757" s="5">
        <f t="shared" si="91"/>
        <v>0</v>
      </c>
      <c r="I4757" s="6"/>
      <c r="J4757" s="43"/>
      <c r="K4757" s="51"/>
      <c r="L4757" s="86"/>
      <c r="M4757" s="342"/>
    </row>
    <row r="4758" spans="1:14" s="341" customFormat="1" ht="15" x14ac:dyDescent="0.25">
      <c r="A4758" s="1"/>
      <c r="B4758" s="1" t="s">
        <v>570</v>
      </c>
      <c r="C4758" s="32">
        <v>2150</v>
      </c>
      <c r="D4758" s="1">
        <v>20000</v>
      </c>
      <c r="E4758" s="1"/>
      <c r="F4758" s="1">
        <v>222.82</v>
      </c>
      <c r="G4758" s="1">
        <v>20000</v>
      </c>
      <c r="H4758" s="5">
        <f t="shared" si="91"/>
        <v>0</v>
      </c>
      <c r="I4758" s="6"/>
      <c r="J4758" s="43"/>
      <c r="K4758" s="51"/>
      <c r="L4758" s="86"/>
      <c r="M4758" s="342"/>
    </row>
    <row r="4759" spans="1:14" s="341" customFormat="1" ht="15" x14ac:dyDescent="0.25">
      <c r="A4759" s="1"/>
      <c r="B4759" s="1" t="s">
        <v>570</v>
      </c>
      <c r="C4759" s="32">
        <v>3488</v>
      </c>
      <c r="D4759" s="1">
        <v>20000</v>
      </c>
      <c r="E4759" s="1"/>
      <c r="F4759" s="1">
        <v>222.82</v>
      </c>
      <c r="G4759" s="1">
        <v>20000</v>
      </c>
      <c r="H4759" s="5">
        <f t="shared" si="91"/>
        <v>0</v>
      </c>
      <c r="I4759" s="6"/>
      <c r="J4759" s="43"/>
      <c r="K4759" s="51"/>
      <c r="L4759" s="86"/>
      <c r="M4759" s="342"/>
    </row>
    <row r="4760" spans="1:14" s="341" customFormat="1" ht="15" x14ac:dyDescent="0.25">
      <c r="A4760" s="1"/>
      <c r="B4760" s="1" t="s">
        <v>570</v>
      </c>
      <c r="C4760" s="32">
        <v>3383</v>
      </c>
      <c r="D4760" s="1">
        <v>20000</v>
      </c>
      <c r="E4760" s="1"/>
      <c r="F4760" s="1">
        <v>222.82</v>
      </c>
      <c r="G4760" s="1">
        <v>20000</v>
      </c>
      <c r="H4760" s="5">
        <f t="shared" si="91"/>
        <v>0</v>
      </c>
      <c r="I4760" s="6"/>
      <c r="J4760" s="43"/>
      <c r="K4760" s="51"/>
      <c r="L4760" s="86"/>
      <c r="M4760" s="342"/>
    </row>
    <row r="4761" spans="1:14" s="341" customFormat="1" ht="15" x14ac:dyDescent="0.25">
      <c r="A4761" s="1"/>
      <c r="B4761" s="1" t="s">
        <v>570</v>
      </c>
      <c r="C4761" s="32">
        <v>5847</v>
      </c>
      <c r="D4761" s="1">
        <v>26000</v>
      </c>
      <c r="E4761" s="1"/>
      <c r="F4761" s="1">
        <v>289.75</v>
      </c>
      <c r="G4761" s="1">
        <v>26000</v>
      </c>
      <c r="H4761" s="5">
        <f t="shared" si="91"/>
        <v>0</v>
      </c>
      <c r="I4761" s="6"/>
      <c r="J4761" s="43"/>
      <c r="K4761" s="51"/>
      <c r="L4761" s="86"/>
      <c r="M4761" s="342"/>
    </row>
    <row r="4762" spans="1:14" s="341" customFormat="1" ht="15" x14ac:dyDescent="0.25">
      <c r="A4762" s="1"/>
      <c r="B4762" s="1" t="s">
        <v>570</v>
      </c>
      <c r="C4762" s="32">
        <v>4657</v>
      </c>
      <c r="D4762" s="1">
        <v>20000</v>
      </c>
      <c r="E4762" s="1"/>
      <c r="F4762" s="1">
        <v>222.82</v>
      </c>
      <c r="G4762" s="1">
        <v>20000</v>
      </c>
      <c r="H4762" s="5">
        <f t="shared" si="91"/>
        <v>0</v>
      </c>
      <c r="I4762" s="6"/>
      <c r="J4762" s="43"/>
      <c r="K4762" s="51"/>
      <c r="L4762" s="86">
        <f>1908492-1886338</f>
        <v>22154</v>
      </c>
      <c r="M4762" s="342" t="s">
        <v>571</v>
      </c>
      <c r="N4762" s="341">
        <f>22154-18913</f>
        <v>3241</v>
      </c>
    </row>
    <row r="4763" spans="1:14" s="343" customFormat="1" ht="15" x14ac:dyDescent="0.25">
      <c r="A4763" s="1"/>
      <c r="B4763" s="1" t="s">
        <v>572</v>
      </c>
      <c r="C4763" s="32">
        <v>5.1999999999999998E-3</v>
      </c>
      <c r="D4763" s="1">
        <v>17000</v>
      </c>
      <c r="E4763" s="1"/>
      <c r="F4763" s="1">
        <v>185.54</v>
      </c>
      <c r="G4763" s="1">
        <v>17000</v>
      </c>
      <c r="H4763" s="5">
        <f t="shared" si="91"/>
        <v>0</v>
      </c>
      <c r="I4763" s="6"/>
      <c r="J4763" s="43"/>
      <c r="K4763" s="51"/>
      <c r="L4763" s="86"/>
      <c r="M4763" s="344"/>
    </row>
    <row r="4764" spans="1:14" s="343" customFormat="1" ht="15" x14ac:dyDescent="0.25">
      <c r="A4764" s="1"/>
      <c r="B4764" s="1" t="s">
        <v>572</v>
      </c>
      <c r="C4764" s="32">
        <v>4544</v>
      </c>
      <c r="D4764" s="1">
        <v>25000</v>
      </c>
      <c r="E4764" s="1"/>
      <c r="F4764" s="1">
        <v>278.22000000000003</v>
      </c>
      <c r="G4764" s="1">
        <v>25000</v>
      </c>
      <c r="H4764" s="5">
        <f t="shared" si="91"/>
        <v>0</v>
      </c>
      <c r="I4764" s="6"/>
      <c r="J4764" s="43"/>
      <c r="K4764" s="51"/>
      <c r="L4764" s="86"/>
      <c r="M4764" s="344"/>
    </row>
    <row r="4765" spans="1:14" s="343" customFormat="1" ht="15" x14ac:dyDescent="0.25">
      <c r="A4765" s="1"/>
      <c r="B4765" s="1" t="s">
        <v>572</v>
      </c>
      <c r="C4765" s="32">
        <v>2832</v>
      </c>
      <c r="D4765" s="1">
        <v>19000</v>
      </c>
      <c r="E4765" s="1"/>
      <c r="F4765" s="1">
        <v>219.65</v>
      </c>
      <c r="G4765" s="1">
        <v>19000</v>
      </c>
      <c r="H4765" s="5">
        <f t="shared" si="91"/>
        <v>0</v>
      </c>
      <c r="I4765" s="6"/>
      <c r="J4765" s="43"/>
      <c r="K4765" s="51"/>
      <c r="L4765" s="86"/>
      <c r="M4765" s="344"/>
    </row>
    <row r="4766" spans="1:14" s="343" customFormat="1" ht="15" x14ac:dyDescent="0.25">
      <c r="A4766" s="1"/>
      <c r="B4766" s="1" t="s">
        <v>572</v>
      </c>
      <c r="C4766" s="32">
        <v>7677</v>
      </c>
      <c r="D4766" s="1">
        <v>14000</v>
      </c>
      <c r="E4766" s="1"/>
      <c r="F4766" s="1">
        <v>155.25</v>
      </c>
      <c r="G4766" s="1">
        <v>14000</v>
      </c>
      <c r="H4766" s="5">
        <f t="shared" si="91"/>
        <v>0</v>
      </c>
      <c r="I4766" s="6"/>
      <c r="J4766" s="43"/>
      <c r="K4766" s="51"/>
      <c r="L4766" s="86"/>
      <c r="M4766" s="344"/>
    </row>
    <row r="4767" spans="1:14" s="343" customFormat="1" ht="15" x14ac:dyDescent="0.25">
      <c r="A4767" s="1"/>
      <c r="B4767" s="1" t="s">
        <v>572</v>
      </c>
      <c r="C4767" s="32">
        <v>2809</v>
      </c>
      <c r="D4767" s="1">
        <v>16000</v>
      </c>
      <c r="E4767" s="1"/>
      <c r="F4767" s="1">
        <v>178.22</v>
      </c>
      <c r="G4767" s="1">
        <v>16000</v>
      </c>
      <c r="H4767" s="5">
        <f t="shared" si="91"/>
        <v>0</v>
      </c>
      <c r="I4767" s="6"/>
      <c r="J4767" s="43"/>
      <c r="K4767" s="51"/>
      <c r="L4767" s="86"/>
      <c r="M4767" s="344"/>
    </row>
    <row r="4768" spans="1:14" s="343" customFormat="1" ht="15" x14ac:dyDescent="0.25">
      <c r="A4768" s="1"/>
      <c r="B4768" s="1" t="s">
        <v>572</v>
      </c>
      <c r="C4768" s="32">
        <v>9151</v>
      </c>
      <c r="D4768" s="1">
        <v>10000</v>
      </c>
      <c r="E4768" s="1"/>
      <c r="F4768" s="1">
        <v>111.41</v>
      </c>
      <c r="G4768" s="1">
        <v>10000</v>
      </c>
      <c r="H4768" s="5">
        <f t="shared" si="91"/>
        <v>0</v>
      </c>
      <c r="I4768" s="6"/>
      <c r="J4768" s="43"/>
      <c r="K4768" s="51"/>
      <c r="L4768" s="86"/>
      <c r="M4768" s="344"/>
    </row>
    <row r="4769" spans="1:13" s="343" customFormat="1" ht="15" x14ac:dyDescent="0.25">
      <c r="A4769" s="1"/>
      <c r="B4769" s="1" t="s">
        <v>572</v>
      </c>
      <c r="C4769" s="32">
        <v>4451</v>
      </c>
      <c r="D4769" s="1">
        <v>10000</v>
      </c>
      <c r="E4769" s="1"/>
      <c r="F4769" s="1">
        <v>111.41</v>
      </c>
      <c r="G4769" s="1">
        <v>10000</v>
      </c>
      <c r="H4769" s="5">
        <f t="shared" ref="H4769:H4832" si="92">D4769-G4769</f>
        <v>0</v>
      </c>
      <c r="I4769" s="6"/>
      <c r="J4769" s="43"/>
      <c r="K4769" s="51"/>
      <c r="L4769" s="86"/>
      <c r="M4769" s="344"/>
    </row>
    <row r="4770" spans="1:13" s="343" customFormat="1" ht="15" x14ac:dyDescent="0.25">
      <c r="A4770" s="1"/>
      <c r="B4770" s="1" t="s">
        <v>572</v>
      </c>
      <c r="C4770" s="32" t="s">
        <v>30</v>
      </c>
      <c r="D4770" s="1">
        <v>3500</v>
      </c>
      <c r="E4770" s="1"/>
      <c r="F4770" s="1">
        <v>35.840000000000003</v>
      </c>
      <c r="G4770" s="1">
        <v>3500</v>
      </c>
      <c r="H4770" s="5">
        <f t="shared" si="92"/>
        <v>0</v>
      </c>
      <c r="I4770" s="6"/>
      <c r="J4770" s="43"/>
      <c r="K4770" s="51"/>
      <c r="L4770" s="86"/>
      <c r="M4770" s="344"/>
    </row>
    <row r="4771" spans="1:13" s="343" customFormat="1" ht="15" x14ac:dyDescent="0.25">
      <c r="A4771" s="1"/>
      <c r="B4771" s="1" t="s">
        <v>572</v>
      </c>
      <c r="C4771" s="32">
        <v>2.2499999999999999E-2</v>
      </c>
      <c r="D4771" s="1">
        <v>15000</v>
      </c>
      <c r="E4771" s="1"/>
      <c r="F4771" s="1">
        <v>167.15</v>
      </c>
      <c r="G4771" s="1">
        <v>15000</v>
      </c>
      <c r="H4771" s="5">
        <f t="shared" si="92"/>
        <v>0</v>
      </c>
      <c r="I4771" s="6"/>
      <c r="J4771" s="43"/>
      <c r="K4771" s="51"/>
      <c r="L4771" s="86"/>
      <c r="M4771" s="344"/>
    </row>
    <row r="4772" spans="1:13" s="343" customFormat="1" ht="15" x14ac:dyDescent="0.25">
      <c r="A4772" s="1"/>
      <c r="B4772" s="1" t="s">
        <v>572</v>
      </c>
      <c r="C4772" s="32">
        <v>6888</v>
      </c>
      <c r="D4772" s="1">
        <v>15000</v>
      </c>
      <c r="E4772" s="1"/>
      <c r="F4772" s="1">
        <v>167.15</v>
      </c>
      <c r="G4772" s="1">
        <v>15000</v>
      </c>
      <c r="H4772" s="5">
        <f t="shared" si="92"/>
        <v>0</v>
      </c>
      <c r="I4772" s="6"/>
      <c r="J4772" s="43"/>
      <c r="K4772" s="51"/>
      <c r="L4772" s="86"/>
      <c r="M4772" s="344"/>
    </row>
    <row r="4773" spans="1:13" s="343" customFormat="1" ht="15" x14ac:dyDescent="0.25">
      <c r="A4773" s="1"/>
      <c r="B4773" s="1" t="s">
        <v>572</v>
      </c>
      <c r="C4773" s="32">
        <v>8593</v>
      </c>
      <c r="D4773" s="1">
        <v>15000</v>
      </c>
      <c r="E4773" s="1"/>
      <c r="F4773" s="1">
        <v>167.15</v>
      </c>
      <c r="G4773" s="1">
        <v>15000</v>
      </c>
      <c r="H4773" s="5">
        <f t="shared" si="92"/>
        <v>0</v>
      </c>
      <c r="I4773" s="6"/>
      <c r="J4773" s="43"/>
      <c r="K4773" s="51"/>
      <c r="L4773" s="86"/>
      <c r="M4773" s="344"/>
    </row>
    <row r="4774" spans="1:13" s="343" customFormat="1" ht="15" x14ac:dyDescent="0.25">
      <c r="A4774" s="1"/>
      <c r="B4774" s="1" t="s">
        <v>572</v>
      </c>
      <c r="C4774" s="32">
        <v>4381</v>
      </c>
      <c r="D4774" s="1">
        <v>15000</v>
      </c>
      <c r="E4774" s="1"/>
      <c r="F4774" s="1">
        <v>167.15</v>
      </c>
      <c r="G4774" s="1">
        <v>15000</v>
      </c>
      <c r="H4774" s="5">
        <f t="shared" si="92"/>
        <v>0</v>
      </c>
      <c r="I4774" s="6"/>
      <c r="J4774" s="43"/>
      <c r="K4774" s="51"/>
      <c r="L4774" s="86"/>
      <c r="M4774" s="344"/>
    </row>
    <row r="4775" spans="1:13" s="343" customFormat="1" ht="15" x14ac:dyDescent="0.25">
      <c r="A4775" s="1"/>
      <c r="B4775" s="1" t="s">
        <v>572</v>
      </c>
      <c r="C4775" s="32">
        <v>9903</v>
      </c>
      <c r="D4775" s="1">
        <v>15000</v>
      </c>
      <c r="E4775" s="1"/>
      <c r="F4775" s="1">
        <v>167.15</v>
      </c>
      <c r="G4775" s="1">
        <v>15000</v>
      </c>
      <c r="H4775" s="5">
        <f t="shared" si="92"/>
        <v>0</v>
      </c>
      <c r="I4775" s="6"/>
      <c r="J4775" s="43"/>
      <c r="K4775" s="51"/>
      <c r="L4775" s="86"/>
      <c r="M4775" s="344"/>
    </row>
    <row r="4776" spans="1:13" s="343" customFormat="1" ht="15" x14ac:dyDescent="0.25">
      <c r="A4776" s="1"/>
      <c r="B4776" s="1" t="s">
        <v>572</v>
      </c>
      <c r="C4776" s="32">
        <v>3433</v>
      </c>
      <c r="D4776" s="1">
        <v>26800</v>
      </c>
      <c r="E4776" s="1"/>
      <c r="F4776" s="1">
        <v>298.85000000000002</v>
      </c>
      <c r="G4776" s="1">
        <v>26800</v>
      </c>
      <c r="H4776" s="5">
        <f t="shared" si="92"/>
        <v>0</v>
      </c>
      <c r="I4776" s="6"/>
      <c r="J4776" s="43"/>
      <c r="K4776" s="51"/>
      <c r="L4776" s="86"/>
      <c r="M4776" s="344"/>
    </row>
    <row r="4777" spans="1:13" s="343" customFormat="1" ht="15" x14ac:dyDescent="0.25">
      <c r="A4777" s="1"/>
      <c r="B4777" s="1" t="s">
        <v>572</v>
      </c>
      <c r="C4777" s="32">
        <v>5953</v>
      </c>
      <c r="D4777" s="1">
        <v>12000</v>
      </c>
      <c r="E4777" s="1"/>
      <c r="F4777" s="1">
        <v>133.35</v>
      </c>
      <c r="G4777" s="1">
        <v>12000</v>
      </c>
      <c r="H4777" s="5">
        <f t="shared" si="92"/>
        <v>0</v>
      </c>
      <c r="I4777" s="6"/>
      <c r="J4777" s="43"/>
      <c r="K4777" s="51"/>
      <c r="L4777" s="86"/>
      <c r="M4777" s="344"/>
    </row>
    <row r="4778" spans="1:13" s="343" customFormat="1" ht="15" x14ac:dyDescent="0.25">
      <c r="A4778" s="1"/>
      <c r="B4778" s="1" t="s">
        <v>572</v>
      </c>
      <c r="C4778" s="32">
        <v>8311</v>
      </c>
      <c r="D4778" s="1">
        <v>24000</v>
      </c>
      <c r="E4778" s="1"/>
      <c r="F4778" s="1">
        <v>262.64</v>
      </c>
      <c r="G4778" s="1">
        <v>24000</v>
      </c>
      <c r="H4778" s="5">
        <f t="shared" si="92"/>
        <v>0</v>
      </c>
      <c r="I4778" s="6"/>
      <c r="J4778" s="43"/>
      <c r="K4778" s="51"/>
      <c r="L4778" s="86"/>
      <c r="M4778" s="344"/>
    </row>
    <row r="4779" spans="1:13" s="343" customFormat="1" ht="15" x14ac:dyDescent="0.25">
      <c r="A4779" s="1"/>
      <c r="B4779" s="1" t="s">
        <v>572</v>
      </c>
      <c r="C4779" s="32">
        <v>6311</v>
      </c>
      <c r="D4779" s="1">
        <v>21000</v>
      </c>
      <c r="E4779" s="1"/>
      <c r="F4779" s="1">
        <v>233.63</v>
      </c>
      <c r="G4779" s="1">
        <v>21000</v>
      </c>
      <c r="H4779" s="5">
        <f t="shared" si="92"/>
        <v>0</v>
      </c>
      <c r="I4779" s="6"/>
      <c r="J4779" s="43"/>
      <c r="K4779" s="51"/>
      <c r="L4779" s="86"/>
      <c r="M4779" s="344"/>
    </row>
    <row r="4780" spans="1:13" s="343" customFormat="1" ht="15" x14ac:dyDescent="0.25">
      <c r="A4780" s="1"/>
      <c r="B4780" s="1" t="s">
        <v>572</v>
      </c>
      <c r="C4780" s="32">
        <v>3799</v>
      </c>
      <c r="D4780" s="1">
        <v>21000</v>
      </c>
      <c r="E4780" s="1"/>
      <c r="F4780" s="1">
        <v>233.63</v>
      </c>
      <c r="G4780" s="1">
        <v>21000</v>
      </c>
      <c r="H4780" s="5">
        <f t="shared" si="92"/>
        <v>0</v>
      </c>
      <c r="I4780" s="6"/>
      <c r="J4780" s="43"/>
      <c r="K4780" s="51"/>
      <c r="L4780" s="86"/>
      <c r="M4780" s="344"/>
    </row>
    <row r="4781" spans="1:13" s="343" customFormat="1" ht="15" x14ac:dyDescent="0.25">
      <c r="A4781" s="1"/>
      <c r="B4781" s="1" t="s">
        <v>573</v>
      </c>
      <c r="C4781" s="32">
        <v>4514</v>
      </c>
      <c r="D4781" s="1">
        <v>16000</v>
      </c>
      <c r="E4781" s="1"/>
      <c r="F4781" s="1">
        <v>178.22</v>
      </c>
      <c r="G4781" s="1">
        <v>16000</v>
      </c>
      <c r="H4781" s="5">
        <f t="shared" si="92"/>
        <v>0</v>
      </c>
      <c r="I4781" s="6"/>
      <c r="J4781" s="43"/>
      <c r="K4781" s="51"/>
      <c r="L4781" s="86"/>
      <c r="M4781" s="344"/>
    </row>
    <row r="4782" spans="1:13" s="343" customFormat="1" ht="15" x14ac:dyDescent="0.25">
      <c r="A4782" s="1"/>
      <c r="B4782" s="1" t="s">
        <v>573</v>
      </c>
      <c r="C4782" s="32">
        <v>9230</v>
      </c>
      <c r="D4782" s="1">
        <v>16000</v>
      </c>
      <c r="E4782" s="1"/>
      <c r="F4782" s="1">
        <v>178.22</v>
      </c>
      <c r="G4782" s="1">
        <v>16000</v>
      </c>
      <c r="H4782" s="5">
        <f t="shared" si="92"/>
        <v>0</v>
      </c>
      <c r="I4782" s="6"/>
      <c r="J4782" s="43"/>
      <c r="K4782" s="51"/>
      <c r="L4782" s="86"/>
      <c r="M4782" s="344"/>
    </row>
    <row r="4783" spans="1:13" s="343" customFormat="1" ht="15" x14ac:dyDescent="0.25">
      <c r="A4783" s="1"/>
      <c r="B4783" s="1" t="s">
        <v>573</v>
      </c>
      <c r="C4783" s="32">
        <v>6573</v>
      </c>
      <c r="D4783" s="1">
        <v>16000</v>
      </c>
      <c r="E4783" s="1"/>
      <c r="F4783" s="1">
        <v>178.22</v>
      </c>
      <c r="G4783" s="1">
        <v>16000</v>
      </c>
      <c r="H4783" s="5">
        <f t="shared" si="92"/>
        <v>0</v>
      </c>
      <c r="I4783" s="6"/>
      <c r="J4783" s="43"/>
      <c r="K4783" s="51"/>
      <c r="L4783" s="86"/>
      <c r="M4783" s="344"/>
    </row>
    <row r="4784" spans="1:13" s="343" customFormat="1" ht="15" x14ac:dyDescent="0.25">
      <c r="A4784" s="1"/>
      <c r="B4784" s="1" t="s">
        <v>573</v>
      </c>
      <c r="C4784" s="32">
        <v>6659</v>
      </c>
      <c r="D4784" s="1">
        <v>16000</v>
      </c>
      <c r="E4784" s="1"/>
      <c r="F4784" s="1">
        <v>178.22</v>
      </c>
      <c r="G4784" s="1">
        <v>16000</v>
      </c>
      <c r="H4784" s="5">
        <f t="shared" si="92"/>
        <v>0</v>
      </c>
      <c r="I4784" s="6"/>
      <c r="J4784" s="43"/>
      <c r="K4784" s="51"/>
      <c r="L4784" s="86"/>
      <c r="M4784" s="344"/>
    </row>
    <row r="4785" spans="1:14" s="343" customFormat="1" ht="15" x14ac:dyDescent="0.25">
      <c r="A4785" s="1"/>
      <c r="B4785" s="1" t="s">
        <v>573</v>
      </c>
      <c r="C4785" s="32">
        <v>1738</v>
      </c>
      <c r="D4785" s="1">
        <v>16000</v>
      </c>
      <c r="E4785" s="1"/>
      <c r="F4785" s="1">
        <v>178.22</v>
      </c>
      <c r="G4785" s="1">
        <v>16000</v>
      </c>
      <c r="H4785" s="5">
        <f t="shared" si="92"/>
        <v>0</v>
      </c>
      <c r="I4785" s="6"/>
      <c r="J4785" s="43"/>
      <c r="K4785" s="51"/>
      <c r="L4785" s="86"/>
      <c r="M4785" s="344"/>
    </row>
    <row r="4786" spans="1:14" s="343" customFormat="1" ht="15" x14ac:dyDescent="0.25">
      <c r="A4786" s="1"/>
      <c r="B4786" s="1" t="s">
        <v>573</v>
      </c>
      <c r="C4786" s="32">
        <v>4858</v>
      </c>
      <c r="D4786" s="1">
        <v>15000</v>
      </c>
      <c r="E4786" s="1"/>
      <c r="F4786" s="1">
        <v>167.15</v>
      </c>
      <c r="G4786" s="1">
        <v>15000</v>
      </c>
      <c r="H4786" s="5">
        <f t="shared" si="92"/>
        <v>0</v>
      </c>
      <c r="I4786" s="6"/>
      <c r="J4786" s="43"/>
      <c r="K4786" s="51"/>
      <c r="L4786" s="86"/>
      <c r="M4786" s="344"/>
    </row>
    <row r="4787" spans="1:14" s="343" customFormat="1" ht="15" x14ac:dyDescent="0.25">
      <c r="A4787" s="1"/>
      <c r="B4787" s="1" t="s">
        <v>573</v>
      </c>
      <c r="C4787" s="32">
        <v>1223</v>
      </c>
      <c r="D4787" s="1">
        <v>15000</v>
      </c>
      <c r="E4787" s="1"/>
      <c r="F4787" s="1">
        <v>167.15</v>
      </c>
      <c r="G4787" s="1">
        <v>15000</v>
      </c>
      <c r="H4787" s="5">
        <f t="shared" si="92"/>
        <v>0</v>
      </c>
      <c r="I4787" s="6"/>
      <c r="J4787" s="43"/>
      <c r="K4787" s="51"/>
      <c r="L4787" s="86"/>
      <c r="M4787" s="344"/>
    </row>
    <row r="4788" spans="1:14" s="343" customFormat="1" ht="15" x14ac:dyDescent="0.25">
      <c r="A4788" s="1"/>
      <c r="B4788" s="1" t="s">
        <v>573</v>
      </c>
      <c r="C4788" s="32">
        <v>9824</v>
      </c>
      <c r="D4788" s="1">
        <v>17000</v>
      </c>
      <c r="E4788" s="1"/>
      <c r="F4788" s="1">
        <v>189.27</v>
      </c>
      <c r="G4788" s="1">
        <v>17000</v>
      </c>
      <c r="H4788" s="5">
        <f t="shared" si="92"/>
        <v>0</v>
      </c>
      <c r="I4788" s="6"/>
      <c r="J4788" s="43"/>
      <c r="K4788" s="51"/>
      <c r="L4788" s="86"/>
      <c r="M4788" s="344"/>
    </row>
    <row r="4789" spans="1:14" s="343" customFormat="1" ht="15" x14ac:dyDescent="0.25">
      <c r="A4789" s="1"/>
      <c r="B4789" s="1" t="s">
        <v>573</v>
      </c>
      <c r="C4789" s="32">
        <v>9825</v>
      </c>
      <c r="D4789" s="1">
        <v>17000</v>
      </c>
      <c r="E4789" s="1"/>
      <c r="F4789" s="1">
        <v>189.27</v>
      </c>
      <c r="G4789" s="1">
        <v>17000</v>
      </c>
      <c r="H4789" s="5">
        <f t="shared" si="92"/>
        <v>0</v>
      </c>
      <c r="I4789" s="6"/>
      <c r="J4789" s="43"/>
      <c r="K4789" s="51"/>
      <c r="L4789" s="86"/>
      <c r="M4789" s="344"/>
    </row>
    <row r="4790" spans="1:14" s="343" customFormat="1" ht="15" x14ac:dyDescent="0.25">
      <c r="A4790" s="1"/>
      <c r="B4790" s="1" t="s">
        <v>573</v>
      </c>
      <c r="C4790" s="32">
        <v>2774</v>
      </c>
      <c r="D4790" s="1">
        <v>14000</v>
      </c>
      <c r="E4790" s="1"/>
      <c r="F4790" s="1">
        <v>155.65</v>
      </c>
      <c r="G4790" s="1">
        <v>14000</v>
      </c>
      <c r="H4790" s="5">
        <f t="shared" si="92"/>
        <v>0</v>
      </c>
      <c r="I4790" s="6"/>
      <c r="J4790" s="43"/>
      <c r="K4790" s="51"/>
      <c r="L4790" s="86"/>
      <c r="M4790" s="344"/>
    </row>
    <row r="4791" spans="1:14" s="343" customFormat="1" ht="15" x14ac:dyDescent="0.25">
      <c r="A4791" s="1"/>
      <c r="B4791" s="1" t="s">
        <v>573</v>
      </c>
      <c r="C4791" s="32">
        <v>5808</v>
      </c>
      <c r="D4791" s="1">
        <v>10000</v>
      </c>
      <c r="E4791" s="1"/>
      <c r="F4791" s="1">
        <v>111.41</v>
      </c>
      <c r="G4791" s="1">
        <v>10000</v>
      </c>
      <c r="H4791" s="5">
        <f t="shared" si="92"/>
        <v>0</v>
      </c>
      <c r="I4791" s="6"/>
      <c r="J4791" s="43"/>
      <c r="K4791" s="51"/>
      <c r="L4791" s="86"/>
      <c r="M4791" s="344"/>
    </row>
    <row r="4792" spans="1:14" s="343" customFormat="1" ht="15" x14ac:dyDescent="0.25">
      <c r="A4792" s="1"/>
      <c r="B4792" s="1" t="s">
        <v>573</v>
      </c>
      <c r="C4792" s="32">
        <v>4848</v>
      </c>
      <c r="D4792" s="1">
        <v>20000</v>
      </c>
      <c r="E4792" s="1"/>
      <c r="F4792" s="1">
        <v>222.82</v>
      </c>
      <c r="G4792" s="1">
        <v>20000</v>
      </c>
      <c r="H4792" s="5">
        <f t="shared" si="92"/>
        <v>0</v>
      </c>
      <c r="I4792" s="6"/>
      <c r="J4792" s="43"/>
      <c r="K4792" s="51"/>
      <c r="L4792" s="86"/>
      <c r="M4792" s="344"/>
    </row>
    <row r="4793" spans="1:14" s="343" customFormat="1" ht="15" x14ac:dyDescent="0.25">
      <c r="A4793" s="1"/>
      <c r="B4793" s="1" t="s">
        <v>573</v>
      </c>
      <c r="C4793" s="32">
        <v>1796</v>
      </c>
      <c r="D4793" s="1">
        <v>30000</v>
      </c>
      <c r="E4793" s="1"/>
      <c r="F4793" s="1">
        <v>317.52999999999997</v>
      </c>
      <c r="G4793" s="1">
        <v>30000</v>
      </c>
      <c r="H4793" s="5">
        <f t="shared" si="92"/>
        <v>0</v>
      </c>
      <c r="I4793" s="6"/>
      <c r="J4793" s="43"/>
      <c r="K4793" s="51"/>
      <c r="L4793" s="86"/>
      <c r="M4793" s="344"/>
    </row>
    <row r="4794" spans="1:14" s="343" customFormat="1" ht="15" x14ac:dyDescent="0.25">
      <c r="A4794" s="1"/>
      <c r="B4794" s="1" t="s">
        <v>573</v>
      </c>
      <c r="C4794" s="32">
        <v>6368</v>
      </c>
      <c r="D4794" s="1">
        <v>40000</v>
      </c>
      <c r="E4794" s="1"/>
      <c r="F4794" s="1">
        <v>384.98</v>
      </c>
      <c r="G4794" s="1">
        <v>40000</v>
      </c>
      <c r="H4794" s="5">
        <f t="shared" si="92"/>
        <v>0</v>
      </c>
      <c r="I4794" s="6"/>
      <c r="J4794" s="43"/>
      <c r="K4794" s="51"/>
      <c r="L4794" s="86"/>
      <c r="M4794" s="344"/>
    </row>
    <row r="4795" spans="1:14" s="343" customFormat="1" ht="15" x14ac:dyDescent="0.25">
      <c r="A4795" s="1"/>
      <c r="B4795" s="1" t="s">
        <v>573</v>
      </c>
      <c r="C4795" s="32">
        <v>2092</v>
      </c>
      <c r="D4795" s="1">
        <v>27000</v>
      </c>
      <c r="E4795" s="1"/>
      <c r="F4795" s="1">
        <v>300.95999999999998</v>
      </c>
      <c r="G4795" s="1">
        <v>27000</v>
      </c>
      <c r="H4795" s="5">
        <f t="shared" si="92"/>
        <v>0</v>
      </c>
      <c r="I4795" s="6"/>
      <c r="J4795" s="43"/>
      <c r="K4795" s="51"/>
      <c r="L4795" s="86"/>
      <c r="M4795" s="344"/>
    </row>
    <row r="4796" spans="1:14" s="343" customFormat="1" ht="15" x14ac:dyDescent="0.25">
      <c r="A4796" s="1"/>
      <c r="B4796" s="1" t="s">
        <v>573</v>
      </c>
      <c r="C4796" s="32">
        <v>2122</v>
      </c>
      <c r="D4796" s="1">
        <v>24000</v>
      </c>
      <c r="E4796" s="1"/>
      <c r="F4796" s="1">
        <v>267.85000000000002</v>
      </c>
      <c r="G4796" s="1">
        <v>24000</v>
      </c>
      <c r="H4796" s="5">
        <f t="shared" si="92"/>
        <v>0</v>
      </c>
      <c r="I4796" s="6"/>
      <c r="J4796" s="43"/>
      <c r="K4796" s="51"/>
      <c r="L4796" s="86"/>
      <c r="M4796" s="344"/>
    </row>
    <row r="4797" spans="1:14" s="343" customFormat="1" ht="15" x14ac:dyDescent="0.25">
      <c r="A4797" s="1"/>
      <c r="B4797" s="1" t="s">
        <v>573</v>
      </c>
      <c r="C4797" s="32">
        <v>4083</v>
      </c>
      <c r="D4797" s="1">
        <v>25000</v>
      </c>
      <c r="E4797" s="1"/>
      <c r="F4797" s="1">
        <v>278.22000000000003</v>
      </c>
      <c r="G4797" s="1">
        <v>25000</v>
      </c>
      <c r="H4797" s="5">
        <f t="shared" si="92"/>
        <v>0</v>
      </c>
      <c r="I4797" s="6"/>
      <c r="J4797" s="43"/>
      <c r="K4797" s="51"/>
      <c r="L4797" s="86"/>
      <c r="M4797" s="344"/>
    </row>
    <row r="4798" spans="1:14" s="343" customFormat="1" ht="15" x14ac:dyDescent="0.25">
      <c r="A4798" s="1"/>
      <c r="B4798" s="1" t="s">
        <v>573</v>
      </c>
      <c r="C4798" s="32">
        <v>3558</v>
      </c>
      <c r="D4798" s="1">
        <v>32000</v>
      </c>
      <c r="E4798" s="1"/>
      <c r="F4798" s="1">
        <v>356.87</v>
      </c>
      <c r="G4798" s="1">
        <v>32000</v>
      </c>
      <c r="H4798" s="5">
        <f t="shared" si="92"/>
        <v>0</v>
      </c>
      <c r="I4798" s="6"/>
      <c r="J4798" s="43"/>
      <c r="K4798" s="51"/>
      <c r="L4798" s="86">
        <f>2568792-2546638</f>
        <v>22154</v>
      </c>
      <c r="M4798" s="344" t="s">
        <v>571</v>
      </c>
      <c r="N4798" s="343">
        <f>22154-18913</f>
        <v>3241</v>
      </c>
    </row>
    <row r="4799" spans="1:14" s="346" customFormat="1" ht="15" x14ac:dyDescent="0.25">
      <c r="A4799" s="1"/>
      <c r="B4799" s="1" t="s">
        <v>574</v>
      </c>
      <c r="C4799" s="32">
        <v>2809</v>
      </c>
      <c r="D4799" s="1">
        <v>16000</v>
      </c>
      <c r="E4799" s="1"/>
      <c r="F4799" s="1">
        <v>178.22</v>
      </c>
      <c r="G4799" s="1">
        <v>16000</v>
      </c>
      <c r="H4799" s="5">
        <f t="shared" si="92"/>
        <v>0</v>
      </c>
      <c r="I4799" s="6"/>
      <c r="J4799" s="43"/>
      <c r="K4799" s="51"/>
      <c r="L4799" s="86"/>
      <c r="M4799" s="347"/>
    </row>
    <row r="4800" spans="1:14" s="346" customFormat="1" ht="15" x14ac:dyDescent="0.25">
      <c r="A4800" s="1"/>
      <c r="B4800" s="1" t="s">
        <v>574</v>
      </c>
      <c r="C4800" s="32">
        <v>6957</v>
      </c>
      <c r="D4800" s="1">
        <v>16000</v>
      </c>
      <c r="E4800" s="1"/>
      <c r="F4800" s="1">
        <v>178.22</v>
      </c>
      <c r="G4800" s="1">
        <v>16000</v>
      </c>
      <c r="H4800" s="5">
        <f t="shared" si="92"/>
        <v>0</v>
      </c>
      <c r="I4800" s="6"/>
      <c r="J4800" s="43"/>
      <c r="K4800" s="51"/>
      <c r="L4800" s="86"/>
      <c r="M4800" s="347"/>
    </row>
    <row r="4801" spans="1:13" s="346" customFormat="1" ht="15" x14ac:dyDescent="0.25">
      <c r="A4801" s="1"/>
      <c r="B4801" s="1" t="s">
        <v>574</v>
      </c>
      <c r="C4801" s="32">
        <v>4059</v>
      </c>
      <c r="D4801" s="1">
        <v>16000</v>
      </c>
      <c r="E4801" s="1"/>
      <c r="F4801" s="1">
        <v>178.22</v>
      </c>
      <c r="G4801" s="1">
        <v>16000</v>
      </c>
      <c r="H4801" s="5">
        <f t="shared" si="92"/>
        <v>0</v>
      </c>
      <c r="I4801" s="6"/>
      <c r="J4801" s="43"/>
      <c r="K4801" s="51"/>
      <c r="L4801" s="86"/>
      <c r="M4801" s="347"/>
    </row>
    <row r="4802" spans="1:13" s="346" customFormat="1" ht="15" x14ac:dyDescent="0.25">
      <c r="A4802" s="1"/>
      <c r="B4802" s="1" t="s">
        <v>574</v>
      </c>
      <c r="C4802" s="32">
        <v>4513</v>
      </c>
      <c r="D4802" s="1">
        <v>16000</v>
      </c>
      <c r="E4802" s="1"/>
      <c r="F4802" s="1">
        <v>178.22</v>
      </c>
      <c r="G4802" s="1">
        <v>16000</v>
      </c>
      <c r="H4802" s="5">
        <f t="shared" si="92"/>
        <v>0</v>
      </c>
      <c r="I4802" s="6"/>
      <c r="J4802" s="43"/>
      <c r="K4802" s="51"/>
      <c r="L4802" s="86"/>
      <c r="M4802" s="347"/>
    </row>
    <row r="4803" spans="1:13" s="346" customFormat="1" ht="15" x14ac:dyDescent="0.25">
      <c r="A4803" s="1"/>
      <c r="B4803" s="1" t="s">
        <v>574</v>
      </c>
      <c r="C4803" s="32">
        <v>4058</v>
      </c>
      <c r="D4803" s="1">
        <v>16000</v>
      </c>
      <c r="E4803" s="1"/>
      <c r="F4803" s="1">
        <v>178.22</v>
      </c>
      <c r="G4803" s="1">
        <v>16000</v>
      </c>
      <c r="H4803" s="5">
        <f t="shared" si="92"/>
        <v>0</v>
      </c>
      <c r="I4803" s="6"/>
      <c r="J4803" s="43"/>
      <c r="K4803" s="51"/>
      <c r="L4803" s="86"/>
      <c r="M4803" s="347"/>
    </row>
    <row r="4804" spans="1:13" s="346" customFormat="1" ht="15" x14ac:dyDescent="0.25">
      <c r="A4804" s="1"/>
      <c r="B4804" s="1" t="s">
        <v>574</v>
      </c>
      <c r="C4804" s="32">
        <v>5252</v>
      </c>
      <c r="D4804" s="1">
        <v>17000</v>
      </c>
      <c r="E4804" s="1"/>
      <c r="F4804" s="1">
        <v>189.75</v>
      </c>
      <c r="G4804" s="1">
        <v>17000</v>
      </c>
      <c r="H4804" s="5">
        <f t="shared" si="92"/>
        <v>0</v>
      </c>
      <c r="I4804" s="6"/>
      <c r="J4804" s="43"/>
      <c r="K4804" s="51"/>
      <c r="L4804" s="86"/>
      <c r="M4804" s="347"/>
    </row>
    <row r="4805" spans="1:13" s="346" customFormat="1" ht="15" x14ac:dyDescent="0.25">
      <c r="A4805" s="1"/>
      <c r="B4805" s="1" t="s">
        <v>574</v>
      </c>
      <c r="C4805" s="32">
        <v>5151</v>
      </c>
      <c r="D4805" s="1">
        <v>17000</v>
      </c>
      <c r="E4805" s="1"/>
      <c r="F4805" s="1">
        <v>189.75</v>
      </c>
      <c r="G4805" s="1">
        <v>17000</v>
      </c>
      <c r="H4805" s="5">
        <f t="shared" si="92"/>
        <v>0</v>
      </c>
      <c r="I4805" s="6"/>
      <c r="J4805" s="43"/>
      <c r="K4805" s="51"/>
      <c r="L4805" s="86"/>
      <c r="M4805" s="347"/>
    </row>
    <row r="4806" spans="1:13" s="346" customFormat="1" ht="15" x14ac:dyDescent="0.25">
      <c r="A4806" s="1"/>
      <c r="B4806" s="1" t="s">
        <v>574</v>
      </c>
      <c r="C4806" s="32">
        <v>5.1000000000000004E-3</v>
      </c>
      <c r="D4806" s="1">
        <v>17000</v>
      </c>
      <c r="E4806" s="1"/>
      <c r="F4806" s="1">
        <v>189.75</v>
      </c>
      <c r="G4806" s="1">
        <v>17000</v>
      </c>
      <c r="H4806" s="5">
        <f t="shared" si="92"/>
        <v>0</v>
      </c>
      <c r="I4806" s="6"/>
      <c r="J4806" s="43"/>
      <c r="K4806" s="51"/>
      <c r="L4806" s="86"/>
      <c r="M4806" s="347"/>
    </row>
    <row r="4807" spans="1:13" s="346" customFormat="1" ht="15" x14ac:dyDescent="0.25">
      <c r="A4807" s="1"/>
      <c r="B4807" s="1" t="s">
        <v>574</v>
      </c>
      <c r="C4807" s="32">
        <v>5250</v>
      </c>
      <c r="D4807" s="1">
        <v>17000</v>
      </c>
      <c r="E4807" s="1"/>
      <c r="F4807" s="1">
        <v>189.75</v>
      </c>
      <c r="G4807" s="1">
        <v>17000</v>
      </c>
      <c r="H4807" s="5">
        <f t="shared" si="92"/>
        <v>0</v>
      </c>
      <c r="I4807" s="6"/>
      <c r="J4807" s="43"/>
      <c r="K4807" s="51"/>
      <c r="L4807" s="86"/>
      <c r="M4807" s="347"/>
    </row>
    <row r="4808" spans="1:13" s="346" customFormat="1" ht="15" x14ac:dyDescent="0.25">
      <c r="A4808" s="1"/>
      <c r="B4808" s="1" t="s">
        <v>574</v>
      </c>
      <c r="C4808" s="32" t="s">
        <v>30</v>
      </c>
      <c r="D4808" s="1">
        <v>4500</v>
      </c>
      <c r="E4808" s="1"/>
      <c r="F4808" s="1">
        <v>50.45</v>
      </c>
      <c r="G4808" s="1">
        <v>4500</v>
      </c>
      <c r="H4808" s="5">
        <f t="shared" si="92"/>
        <v>0</v>
      </c>
      <c r="I4808" s="6"/>
      <c r="J4808" s="43"/>
      <c r="K4808" s="51"/>
      <c r="L4808" s="86"/>
      <c r="M4808" s="347"/>
    </row>
    <row r="4809" spans="1:13" s="346" customFormat="1" ht="15" x14ac:dyDescent="0.25">
      <c r="A4809" s="1"/>
      <c r="B4809" s="1" t="s">
        <v>574</v>
      </c>
      <c r="C4809" s="32" t="s">
        <v>30</v>
      </c>
      <c r="D4809" s="1">
        <v>5000</v>
      </c>
      <c r="E4809" s="1"/>
      <c r="F4809" s="1">
        <v>55.65</v>
      </c>
      <c r="G4809" s="1">
        <v>5000</v>
      </c>
      <c r="H4809" s="5">
        <f t="shared" si="92"/>
        <v>0</v>
      </c>
      <c r="I4809" s="6"/>
      <c r="J4809" s="43"/>
      <c r="K4809" s="51"/>
      <c r="L4809" s="86"/>
      <c r="M4809" s="347"/>
    </row>
    <row r="4810" spans="1:13" s="346" customFormat="1" ht="15" x14ac:dyDescent="0.25">
      <c r="A4810" s="1"/>
      <c r="B4810" s="1" t="s">
        <v>574</v>
      </c>
      <c r="C4810" s="32" t="s">
        <v>63</v>
      </c>
      <c r="D4810" s="1">
        <v>2500</v>
      </c>
      <c r="E4810" s="1"/>
      <c r="F4810" s="1">
        <v>27.85</v>
      </c>
      <c r="G4810" s="1">
        <v>2500</v>
      </c>
      <c r="H4810" s="5">
        <f t="shared" si="92"/>
        <v>0</v>
      </c>
      <c r="I4810" s="6"/>
      <c r="J4810" s="43"/>
      <c r="K4810" s="51"/>
      <c r="L4810" s="86"/>
      <c r="M4810" s="347"/>
    </row>
    <row r="4811" spans="1:13" s="346" customFormat="1" ht="15" x14ac:dyDescent="0.25">
      <c r="A4811" s="1"/>
      <c r="B4811" s="1" t="s">
        <v>574</v>
      </c>
      <c r="C4811" s="32" t="s">
        <v>66</v>
      </c>
      <c r="D4811" s="1">
        <v>210</v>
      </c>
      <c r="E4811" s="1"/>
      <c r="F4811" s="1">
        <v>2.08</v>
      </c>
      <c r="G4811" s="1">
        <v>210</v>
      </c>
      <c r="H4811" s="5">
        <f t="shared" si="92"/>
        <v>0</v>
      </c>
      <c r="I4811" s="6"/>
      <c r="J4811" s="43"/>
      <c r="K4811" s="51"/>
      <c r="L4811" s="86"/>
      <c r="M4811" s="347"/>
    </row>
    <row r="4812" spans="1:13" s="346" customFormat="1" ht="15" x14ac:dyDescent="0.25">
      <c r="A4812" s="1"/>
      <c r="B4812" s="1" t="s">
        <v>574</v>
      </c>
      <c r="C4812" s="32">
        <v>2289</v>
      </c>
      <c r="D4812" s="1">
        <v>20000</v>
      </c>
      <c r="E4812" s="1"/>
      <c r="F4812" s="1">
        <v>222.82</v>
      </c>
      <c r="G4812" s="1">
        <v>20000</v>
      </c>
      <c r="H4812" s="5">
        <f t="shared" si="92"/>
        <v>0</v>
      </c>
      <c r="I4812" s="6"/>
      <c r="J4812" s="43"/>
      <c r="K4812" s="51"/>
      <c r="L4812" s="86"/>
      <c r="M4812" s="347"/>
    </row>
    <row r="4813" spans="1:13" s="346" customFormat="1" ht="15" x14ac:dyDescent="0.25">
      <c r="A4813" s="1"/>
      <c r="B4813" s="1" t="s">
        <v>574</v>
      </c>
      <c r="C4813" s="32">
        <v>9602</v>
      </c>
      <c r="D4813" s="1">
        <v>15000</v>
      </c>
      <c r="E4813" s="1"/>
      <c r="F4813" s="1">
        <v>167.15</v>
      </c>
      <c r="G4813" s="1">
        <v>15000</v>
      </c>
      <c r="H4813" s="5">
        <f t="shared" si="92"/>
        <v>0</v>
      </c>
      <c r="I4813" s="6"/>
      <c r="J4813" s="43"/>
      <c r="K4813" s="51"/>
      <c r="L4813" s="86"/>
      <c r="M4813" s="347"/>
    </row>
    <row r="4814" spans="1:13" s="346" customFormat="1" ht="15" x14ac:dyDescent="0.25">
      <c r="A4814" s="1"/>
      <c r="B4814" s="1" t="s">
        <v>574</v>
      </c>
      <c r="C4814" s="32">
        <v>4699</v>
      </c>
      <c r="D4814" s="1">
        <v>23000</v>
      </c>
      <c r="E4814" s="1"/>
      <c r="F4814" s="1">
        <v>256.97000000000003</v>
      </c>
      <c r="G4814" s="1">
        <v>23000</v>
      </c>
      <c r="H4814" s="5">
        <f t="shared" si="92"/>
        <v>0</v>
      </c>
      <c r="I4814" s="6"/>
      <c r="J4814" s="43"/>
      <c r="K4814" s="51"/>
      <c r="L4814" s="86"/>
      <c r="M4814" s="347"/>
    </row>
    <row r="4815" spans="1:13" s="346" customFormat="1" ht="15" x14ac:dyDescent="0.25">
      <c r="A4815" s="1"/>
      <c r="B4815" s="1" t="s">
        <v>574</v>
      </c>
      <c r="C4815" s="32">
        <v>4.4699999999999997E-2</v>
      </c>
      <c r="D4815" s="1">
        <v>22000</v>
      </c>
      <c r="E4815" s="1"/>
      <c r="F4815" s="1">
        <v>245.52</v>
      </c>
      <c r="G4815" s="1">
        <v>22000</v>
      </c>
      <c r="H4815" s="5">
        <f t="shared" si="92"/>
        <v>0</v>
      </c>
      <c r="I4815" s="6"/>
      <c r="J4815" s="43"/>
      <c r="K4815" s="51"/>
      <c r="L4815" s="86"/>
      <c r="M4815" s="347"/>
    </row>
    <row r="4816" spans="1:13" s="346" customFormat="1" ht="15" x14ac:dyDescent="0.25">
      <c r="A4816" s="1"/>
      <c r="B4816" s="1" t="s">
        <v>574</v>
      </c>
      <c r="C4816" s="32">
        <v>1260</v>
      </c>
      <c r="D4816" s="1">
        <v>25000</v>
      </c>
      <c r="E4816" s="1"/>
      <c r="F4816" s="1">
        <v>278.22000000000003</v>
      </c>
      <c r="G4816" s="1">
        <v>25000</v>
      </c>
      <c r="H4816" s="5">
        <f t="shared" si="92"/>
        <v>0</v>
      </c>
      <c r="I4816" s="6"/>
      <c r="J4816" s="43"/>
      <c r="K4816" s="51"/>
      <c r="L4816" s="86"/>
      <c r="M4816" s="347"/>
    </row>
    <row r="4817" spans="1:14" s="346" customFormat="1" ht="15" x14ac:dyDescent="0.25">
      <c r="A4817" s="1"/>
      <c r="B4817" s="1" t="s">
        <v>574</v>
      </c>
      <c r="C4817" s="32">
        <v>4915</v>
      </c>
      <c r="D4817" s="1">
        <v>15000</v>
      </c>
      <c r="E4817" s="1"/>
      <c r="F4817" s="1">
        <v>167.15</v>
      </c>
      <c r="G4817" s="1">
        <v>15000</v>
      </c>
      <c r="H4817" s="5">
        <f t="shared" si="92"/>
        <v>0</v>
      </c>
      <c r="I4817" s="6"/>
      <c r="J4817" s="43"/>
      <c r="K4817" s="51"/>
      <c r="L4817" s="86"/>
      <c r="M4817" s="347"/>
    </row>
    <row r="4818" spans="1:14" s="346" customFormat="1" ht="15" x14ac:dyDescent="0.25">
      <c r="A4818" s="1"/>
      <c r="B4818" s="1" t="s">
        <v>574</v>
      </c>
      <c r="C4818" s="32">
        <v>5110</v>
      </c>
      <c r="D4818" s="1">
        <v>28000</v>
      </c>
      <c r="E4818" s="1"/>
      <c r="F4818" s="1">
        <v>298.64</v>
      </c>
      <c r="G4818" s="1">
        <v>28000</v>
      </c>
      <c r="H4818" s="5">
        <f t="shared" si="92"/>
        <v>0</v>
      </c>
      <c r="I4818" s="6"/>
      <c r="J4818" s="43"/>
      <c r="K4818" s="51"/>
      <c r="L4818" s="86">
        <f>2165032-2154848</f>
        <v>10184</v>
      </c>
      <c r="M4818" s="347" t="s">
        <v>575</v>
      </c>
      <c r="N4818" s="346">
        <f>10184-6943</f>
        <v>3241</v>
      </c>
    </row>
    <row r="4819" spans="1:14" s="348" customFormat="1" ht="15" x14ac:dyDescent="0.25">
      <c r="A4819" s="1"/>
      <c r="B4819" s="1" t="s">
        <v>576</v>
      </c>
      <c r="C4819" s="32">
        <v>6957</v>
      </c>
      <c r="D4819" s="1">
        <v>16000</v>
      </c>
      <c r="E4819" s="1"/>
      <c r="F4819" s="1">
        <v>178.22</v>
      </c>
      <c r="G4819" s="1">
        <v>16000</v>
      </c>
      <c r="H4819" s="5">
        <f t="shared" si="92"/>
        <v>0</v>
      </c>
      <c r="I4819" s="6"/>
      <c r="J4819" s="43"/>
      <c r="K4819" s="51"/>
      <c r="L4819" s="86"/>
      <c r="M4819" s="349"/>
    </row>
    <row r="4820" spans="1:14" s="348" customFormat="1" ht="15" x14ac:dyDescent="0.25">
      <c r="A4820" s="1"/>
      <c r="B4820" s="1" t="s">
        <v>576</v>
      </c>
      <c r="C4820" s="32">
        <v>1738</v>
      </c>
      <c r="D4820" s="1">
        <v>16000</v>
      </c>
      <c r="E4820" s="1"/>
      <c r="F4820" s="1">
        <v>178.22</v>
      </c>
      <c r="G4820" s="1">
        <v>16000</v>
      </c>
      <c r="H4820" s="5">
        <f t="shared" si="92"/>
        <v>0</v>
      </c>
      <c r="I4820" s="6"/>
      <c r="J4820" s="43"/>
      <c r="K4820" s="51"/>
      <c r="L4820" s="86"/>
      <c r="M4820" s="349"/>
    </row>
    <row r="4821" spans="1:14" s="348" customFormat="1" ht="15" x14ac:dyDescent="0.25">
      <c r="A4821" s="1"/>
      <c r="B4821" s="1" t="s">
        <v>576</v>
      </c>
      <c r="C4821" s="32">
        <v>6659</v>
      </c>
      <c r="D4821" s="1">
        <v>16000</v>
      </c>
      <c r="E4821" s="1"/>
      <c r="F4821" s="1">
        <v>178.22</v>
      </c>
      <c r="G4821" s="1">
        <v>16000</v>
      </c>
      <c r="H4821" s="5">
        <f t="shared" si="92"/>
        <v>0</v>
      </c>
      <c r="I4821" s="6"/>
      <c r="J4821" s="43"/>
      <c r="K4821" s="51"/>
      <c r="L4821" s="86"/>
      <c r="M4821" s="349"/>
    </row>
    <row r="4822" spans="1:14" s="348" customFormat="1" ht="15" x14ac:dyDescent="0.25">
      <c r="A4822" s="1"/>
      <c r="B4822" s="1" t="s">
        <v>576</v>
      </c>
      <c r="C4822" s="32">
        <v>6573</v>
      </c>
      <c r="D4822" s="1">
        <v>16000</v>
      </c>
      <c r="E4822" s="1"/>
      <c r="F4822" s="1">
        <v>178.22</v>
      </c>
      <c r="G4822" s="1">
        <v>16000</v>
      </c>
      <c r="H4822" s="5">
        <f t="shared" si="92"/>
        <v>0</v>
      </c>
      <c r="I4822" s="6"/>
      <c r="J4822" s="43"/>
      <c r="K4822" s="51"/>
      <c r="L4822" s="86"/>
      <c r="M4822" s="349"/>
    </row>
    <row r="4823" spans="1:14" s="348" customFormat="1" ht="15" x14ac:dyDescent="0.25">
      <c r="A4823" s="1"/>
      <c r="B4823" s="1" t="s">
        <v>576</v>
      </c>
      <c r="C4823" s="32">
        <v>9977</v>
      </c>
      <c r="D4823" s="1">
        <v>15000</v>
      </c>
      <c r="E4823" s="1"/>
      <c r="F4823" s="1">
        <v>167.15</v>
      </c>
      <c r="G4823" s="1">
        <v>15000</v>
      </c>
      <c r="H4823" s="5">
        <f t="shared" si="92"/>
        <v>0</v>
      </c>
      <c r="I4823" s="6"/>
      <c r="J4823" s="43"/>
      <c r="K4823" s="51"/>
      <c r="L4823" s="86"/>
      <c r="M4823" s="349"/>
    </row>
    <row r="4824" spans="1:14" s="348" customFormat="1" ht="15" x14ac:dyDescent="0.25">
      <c r="A4824" s="1"/>
      <c r="B4824" s="1" t="s">
        <v>576</v>
      </c>
      <c r="C4824" s="32">
        <v>5.2200000000000003E-2</v>
      </c>
      <c r="D4824" s="1">
        <v>25000</v>
      </c>
      <c r="E4824" s="1"/>
      <c r="F4824" s="1">
        <v>278.22000000000003</v>
      </c>
      <c r="G4824" s="1">
        <v>25000</v>
      </c>
      <c r="H4824" s="5">
        <f t="shared" si="92"/>
        <v>0</v>
      </c>
      <c r="I4824" s="6"/>
      <c r="J4824" s="43"/>
      <c r="K4824" s="51"/>
      <c r="L4824" s="86"/>
      <c r="M4824" s="349"/>
    </row>
    <row r="4825" spans="1:14" s="348" customFormat="1" ht="15" x14ac:dyDescent="0.25">
      <c r="A4825" s="1"/>
      <c r="B4825" s="1" t="s">
        <v>576</v>
      </c>
      <c r="C4825" s="32">
        <v>7761</v>
      </c>
      <c r="D4825" s="1">
        <v>22000</v>
      </c>
      <c r="E4825" s="1"/>
      <c r="F4825" s="1">
        <v>233.65</v>
      </c>
      <c r="G4825" s="1">
        <v>22000</v>
      </c>
      <c r="H4825" s="5">
        <f t="shared" si="92"/>
        <v>0</v>
      </c>
      <c r="I4825" s="6"/>
      <c r="J4825" s="43"/>
      <c r="K4825" s="51"/>
      <c r="L4825" s="86"/>
      <c r="M4825" s="349"/>
    </row>
    <row r="4826" spans="1:14" s="348" customFormat="1" ht="15" x14ac:dyDescent="0.25">
      <c r="A4826" s="1"/>
      <c r="B4826" s="1" t="s">
        <v>576</v>
      </c>
      <c r="C4826" s="32">
        <v>6593</v>
      </c>
      <c r="D4826" s="1">
        <v>22000</v>
      </c>
      <c r="E4826" s="1"/>
      <c r="F4826" s="1">
        <v>233.65</v>
      </c>
      <c r="G4826" s="1">
        <v>22000</v>
      </c>
      <c r="H4826" s="5">
        <f t="shared" si="92"/>
        <v>0</v>
      </c>
      <c r="I4826" s="6"/>
      <c r="J4826" s="43"/>
      <c r="K4826" s="51"/>
      <c r="L4826" s="86"/>
      <c r="M4826" s="349"/>
    </row>
    <row r="4827" spans="1:14" s="348" customFormat="1" ht="15" x14ac:dyDescent="0.25">
      <c r="A4827" s="1"/>
      <c r="B4827" s="1" t="s">
        <v>576</v>
      </c>
      <c r="C4827" s="32">
        <v>4331</v>
      </c>
      <c r="D4827" s="1">
        <v>20000</v>
      </c>
      <c r="E4827" s="1"/>
      <c r="F4827" s="1">
        <v>222.82</v>
      </c>
      <c r="G4827" s="1">
        <v>20000</v>
      </c>
      <c r="H4827" s="5">
        <f t="shared" si="92"/>
        <v>0</v>
      </c>
      <c r="I4827" s="6"/>
      <c r="J4827" s="43"/>
      <c r="K4827" s="51"/>
      <c r="L4827" s="86"/>
      <c r="M4827" s="349"/>
    </row>
    <row r="4828" spans="1:14" s="348" customFormat="1" ht="15" x14ac:dyDescent="0.25">
      <c r="A4828" s="1"/>
      <c r="B4828" s="1" t="s">
        <v>576</v>
      </c>
      <c r="C4828" s="32" t="s">
        <v>30</v>
      </c>
      <c r="D4828" s="1">
        <v>5000</v>
      </c>
      <c r="E4828" s="1"/>
      <c r="F4828" s="1">
        <v>55.45</v>
      </c>
      <c r="G4828" s="1">
        <v>5000</v>
      </c>
      <c r="H4828" s="5">
        <f t="shared" si="92"/>
        <v>0</v>
      </c>
      <c r="I4828" s="6"/>
      <c r="J4828" s="43"/>
      <c r="K4828" s="51"/>
      <c r="L4828" s="86"/>
      <c r="M4828" s="349"/>
    </row>
    <row r="4829" spans="1:14" s="348" customFormat="1" ht="15" x14ac:dyDescent="0.25">
      <c r="A4829" s="1"/>
      <c r="B4829" s="1" t="s">
        <v>576</v>
      </c>
      <c r="C4829" s="32">
        <v>2774</v>
      </c>
      <c r="D4829" s="1">
        <v>14000</v>
      </c>
      <c r="E4829" s="1"/>
      <c r="F4829" s="1">
        <v>155.94999999999999</v>
      </c>
      <c r="G4829" s="1">
        <v>14000</v>
      </c>
      <c r="H4829" s="5">
        <f t="shared" si="92"/>
        <v>0</v>
      </c>
      <c r="I4829" s="6"/>
      <c r="J4829" s="43"/>
      <c r="K4829" s="51"/>
      <c r="L4829" s="86"/>
      <c r="M4829" s="349"/>
    </row>
    <row r="4830" spans="1:14" s="348" customFormat="1" ht="15" x14ac:dyDescent="0.25">
      <c r="A4830" s="1"/>
      <c r="B4830" s="1" t="s">
        <v>576</v>
      </c>
      <c r="C4830" s="32">
        <v>8061</v>
      </c>
      <c r="D4830" s="1">
        <v>23000</v>
      </c>
      <c r="E4830" s="1"/>
      <c r="F4830" s="1">
        <v>256.87</v>
      </c>
      <c r="G4830" s="1">
        <v>23000</v>
      </c>
      <c r="H4830" s="5">
        <f t="shared" si="92"/>
        <v>0</v>
      </c>
      <c r="I4830" s="6"/>
      <c r="J4830" s="43"/>
      <c r="K4830" s="51"/>
      <c r="L4830" s="86"/>
      <c r="M4830" s="349"/>
    </row>
    <row r="4831" spans="1:14" s="348" customFormat="1" ht="15" x14ac:dyDescent="0.25">
      <c r="A4831" s="1"/>
      <c r="B4831" s="1" t="s">
        <v>576</v>
      </c>
      <c r="C4831" s="32" t="s">
        <v>66</v>
      </c>
      <c r="D4831" s="1">
        <v>210</v>
      </c>
      <c r="E4831" s="1"/>
      <c r="F4831" s="1">
        <v>2.08</v>
      </c>
      <c r="G4831" s="1">
        <v>210</v>
      </c>
      <c r="H4831" s="5">
        <f t="shared" si="92"/>
        <v>0</v>
      </c>
      <c r="I4831" s="6"/>
      <c r="J4831" s="43"/>
      <c r="K4831" s="51"/>
      <c r="L4831" s="86"/>
      <c r="M4831" s="349"/>
    </row>
    <row r="4832" spans="1:14" s="348" customFormat="1" ht="15" x14ac:dyDescent="0.25">
      <c r="A4832" s="1"/>
      <c r="B4832" s="1" t="s">
        <v>576</v>
      </c>
      <c r="C4832" s="32">
        <v>4894</v>
      </c>
      <c r="D4832" s="1">
        <v>28000</v>
      </c>
      <c r="E4832" s="1"/>
      <c r="F4832" s="1">
        <v>301.64</v>
      </c>
      <c r="G4832" s="1">
        <v>28000</v>
      </c>
      <c r="H4832" s="5">
        <f t="shared" si="92"/>
        <v>0</v>
      </c>
      <c r="I4832" s="6"/>
      <c r="J4832" s="43"/>
      <c r="K4832" s="51"/>
      <c r="L4832" s="86"/>
      <c r="M4832" s="349"/>
    </row>
    <row r="4833" spans="1:14" s="348" customFormat="1" ht="15" x14ac:dyDescent="0.25">
      <c r="A4833" s="1"/>
      <c r="B4833" s="1" t="s">
        <v>576</v>
      </c>
      <c r="C4833" s="32">
        <v>1467</v>
      </c>
      <c r="D4833" s="1">
        <v>20000</v>
      </c>
      <c r="E4833" s="1"/>
      <c r="F4833" s="1">
        <v>222.82</v>
      </c>
      <c r="G4833" s="1">
        <v>20000</v>
      </c>
      <c r="H4833" s="5">
        <f t="shared" ref="H4833:H4897" si="93">D4833-G4833</f>
        <v>0</v>
      </c>
      <c r="I4833" s="6"/>
      <c r="J4833" s="43"/>
      <c r="K4833" s="51"/>
      <c r="L4833" s="86"/>
      <c r="M4833" s="349"/>
    </row>
    <row r="4834" spans="1:14" s="348" customFormat="1" ht="15" x14ac:dyDescent="0.25">
      <c r="A4834" s="1"/>
      <c r="B4834" s="1" t="s">
        <v>576</v>
      </c>
      <c r="C4834" s="32">
        <v>3464</v>
      </c>
      <c r="D4834" s="1">
        <v>32000</v>
      </c>
      <c r="E4834" s="1"/>
      <c r="F4834" s="1">
        <v>334.98</v>
      </c>
      <c r="G4834" s="1">
        <v>32000</v>
      </c>
      <c r="H4834" s="5">
        <f t="shared" si="93"/>
        <v>0</v>
      </c>
      <c r="I4834" s="6"/>
      <c r="J4834" s="43"/>
      <c r="K4834" s="51"/>
      <c r="L4834" s="86"/>
      <c r="M4834" s="349"/>
    </row>
    <row r="4835" spans="1:14" s="348" customFormat="1" ht="15" x14ac:dyDescent="0.25">
      <c r="A4835" s="1"/>
      <c r="B4835" s="1" t="s">
        <v>576</v>
      </c>
      <c r="C4835" s="32">
        <v>9378</v>
      </c>
      <c r="D4835" s="1">
        <v>25000</v>
      </c>
      <c r="E4835" s="1"/>
      <c r="F4835" s="1">
        <v>278.22000000000003</v>
      </c>
      <c r="G4835" s="1">
        <v>25000</v>
      </c>
      <c r="H4835" s="5">
        <f t="shared" si="93"/>
        <v>0</v>
      </c>
      <c r="I4835" s="6"/>
      <c r="J4835" s="43"/>
      <c r="K4835" s="51"/>
      <c r="L4835" s="86"/>
      <c r="M4835" s="349"/>
    </row>
    <row r="4836" spans="1:14" s="348" customFormat="1" ht="15" x14ac:dyDescent="0.25">
      <c r="A4836" s="1"/>
      <c r="B4836" s="1" t="s">
        <v>576</v>
      </c>
      <c r="C4836" s="32">
        <v>8382</v>
      </c>
      <c r="D4836" s="1">
        <v>21000</v>
      </c>
      <c r="E4836" s="1"/>
      <c r="F4836" s="1">
        <v>217.54</v>
      </c>
      <c r="G4836" s="1">
        <v>21000</v>
      </c>
      <c r="H4836" s="5">
        <f t="shared" si="93"/>
        <v>0</v>
      </c>
      <c r="I4836" s="6"/>
      <c r="J4836" s="43"/>
      <c r="K4836" s="51"/>
      <c r="L4836" s="86"/>
      <c r="M4836" s="349"/>
    </row>
    <row r="4837" spans="1:14" s="348" customFormat="1" ht="15" x14ac:dyDescent="0.25">
      <c r="A4837" s="1"/>
      <c r="B4837" s="1" t="s">
        <v>576</v>
      </c>
      <c r="C4837" s="32">
        <v>4608</v>
      </c>
      <c r="D4837" s="1">
        <v>20000</v>
      </c>
      <c r="E4837" s="1"/>
      <c r="F4837" s="1">
        <v>222.82</v>
      </c>
      <c r="G4837" s="1">
        <v>20000</v>
      </c>
      <c r="H4837" s="5">
        <f t="shared" si="93"/>
        <v>0</v>
      </c>
      <c r="I4837" s="6"/>
      <c r="J4837" s="43"/>
      <c r="K4837" s="51"/>
      <c r="L4837" s="86"/>
      <c r="M4837" s="349"/>
    </row>
    <row r="4838" spans="1:14" s="348" customFormat="1" ht="15" x14ac:dyDescent="0.25">
      <c r="A4838" s="1"/>
      <c r="B4838" s="1" t="s">
        <v>576</v>
      </c>
      <c r="C4838" s="32">
        <v>1871</v>
      </c>
      <c r="D4838" s="1">
        <v>25000</v>
      </c>
      <c r="E4838" s="1"/>
      <c r="F4838" s="1">
        <v>278.22000000000003</v>
      </c>
      <c r="G4838" s="1">
        <v>25000</v>
      </c>
      <c r="H4838" s="5">
        <f t="shared" si="93"/>
        <v>0</v>
      </c>
      <c r="I4838" s="6"/>
      <c r="J4838" s="43"/>
      <c r="K4838" s="51"/>
      <c r="L4838" s="86"/>
      <c r="M4838" s="349"/>
    </row>
    <row r="4839" spans="1:14" s="348" customFormat="1" ht="15" x14ac:dyDescent="0.25">
      <c r="A4839" s="1"/>
      <c r="B4839" s="1" t="s">
        <v>576</v>
      </c>
      <c r="C4839" s="32">
        <v>8845</v>
      </c>
      <c r="D4839" s="1">
        <v>15000</v>
      </c>
      <c r="E4839" s="1"/>
      <c r="F4839" s="1">
        <v>167.15</v>
      </c>
      <c r="G4839" s="1">
        <v>15000</v>
      </c>
      <c r="H4839" s="5">
        <f t="shared" si="93"/>
        <v>0</v>
      </c>
      <c r="I4839" s="6"/>
      <c r="J4839" s="43"/>
      <c r="K4839" s="51"/>
      <c r="L4839" s="86"/>
      <c r="M4839" s="349"/>
    </row>
    <row r="4840" spans="1:14" s="348" customFormat="1" ht="15" x14ac:dyDescent="0.25">
      <c r="A4840" s="1"/>
      <c r="B4840" s="1" t="s">
        <v>576</v>
      </c>
      <c r="C4840" s="32">
        <v>8.5500000000000007E-2</v>
      </c>
      <c r="D4840" s="1">
        <v>15000</v>
      </c>
      <c r="E4840" s="1"/>
      <c r="F4840" s="1">
        <v>167.15</v>
      </c>
      <c r="G4840" s="1">
        <v>15000</v>
      </c>
      <c r="H4840" s="5">
        <f t="shared" si="93"/>
        <v>0</v>
      </c>
      <c r="I4840" s="6"/>
      <c r="J4840" s="43"/>
      <c r="K4840" s="51"/>
      <c r="L4840" s="86"/>
      <c r="M4840" s="349"/>
    </row>
    <row r="4841" spans="1:14" s="348" customFormat="1" ht="15" x14ac:dyDescent="0.25">
      <c r="A4841" s="1"/>
      <c r="B4841" s="1" t="s">
        <v>576</v>
      </c>
      <c r="C4841" s="32">
        <v>2063</v>
      </c>
      <c r="D4841" s="1">
        <v>20000</v>
      </c>
      <c r="E4841" s="1"/>
      <c r="F4841" s="1">
        <v>222.82</v>
      </c>
      <c r="G4841" s="1">
        <v>20000</v>
      </c>
      <c r="H4841" s="5">
        <f t="shared" si="93"/>
        <v>0</v>
      </c>
      <c r="I4841" s="6"/>
      <c r="J4841" s="43"/>
      <c r="K4841" s="51"/>
      <c r="L4841" s="86"/>
      <c r="M4841" s="349"/>
    </row>
    <row r="4842" spans="1:14" s="348" customFormat="1" ht="15" x14ac:dyDescent="0.25">
      <c r="A4842" s="1"/>
      <c r="B4842" s="1" t="s">
        <v>576</v>
      </c>
      <c r="C4842" s="32">
        <v>9811</v>
      </c>
      <c r="D4842" s="1">
        <v>20000</v>
      </c>
      <c r="E4842" s="1"/>
      <c r="F4842" s="1">
        <v>222.82</v>
      </c>
      <c r="G4842" s="1">
        <v>20000</v>
      </c>
      <c r="H4842" s="5">
        <f t="shared" si="93"/>
        <v>0</v>
      </c>
      <c r="I4842" s="6"/>
      <c r="J4842" s="43"/>
      <c r="K4842" s="51"/>
      <c r="L4842" s="86"/>
      <c r="M4842" s="349"/>
    </row>
    <row r="4843" spans="1:14" s="348" customFormat="1" ht="15" x14ac:dyDescent="0.25">
      <c r="A4843" s="1"/>
      <c r="B4843" s="1" t="s">
        <v>576</v>
      </c>
      <c r="C4843" s="32">
        <v>5932</v>
      </c>
      <c r="D4843" s="1">
        <v>20000</v>
      </c>
      <c r="E4843" s="1"/>
      <c r="F4843" s="1">
        <v>222.82</v>
      </c>
      <c r="G4843" s="1">
        <v>20000</v>
      </c>
      <c r="H4843" s="5">
        <f t="shared" si="93"/>
        <v>0</v>
      </c>
      <c r="I4843" s="6"/>
      <c r="J4843" s="43"/>
      <c r="K4843" s="51"/>
      <c r="L4843" s="86"/>
      <c r="M4843" s="349"/>
    </row>
    <row r="4844" spans="1:14" s="348" customFormat="1" ht="15" x14ac:dyDescent="0.25">
      <c r="A4844" s="1"/>
      <c r="B4844" s="1" t="s">
        <v>576</v>
      </c>
      <c r="C4844" s="32">
        <v>5949</v>
      </c>
      <c r="D4844" s="1">
        <v>30000</v>
      </c>
      <c r="E4844" s="1"/>
      <c r="F4844" s="1">
        <v>328.74</v>
      </c>
      <c r="G4844" s="1">
        <v>30000</v>
      </c>
      <c r="H4844" s="5">
        <f t="shared" si="93"/>
        <v>0</v>
      </c>
      <c r="I4844" s="6"/>
      <c r="J4844" s="43"/>
      <c r="K4844" s="51"/>
      <c r="L4844" s="86"/>
      <c r="M4844" s="349"/>
    </row>
    <row r="4845" spans="1:14" s="348" customFormat="1" ht="15" x14ac:dyDescent="0.25">
      <c r="A4845" s="1"/>
      <c r="B4845" s="1" t="s">
        <v>576</v>
      </c>
      <c r="C4845" s="32">
        <v>7487</v>
      </c>
      <c r="D4845" s="1">
        <v>20000</v>
      </c>
      <c r="E4845" s="1"/>
      <c r="F4845" s="1">
        <v>222.82</v>
      </c>
      <c r="G4845" s="1">
        <v>20000</v>
      </c>
      <c r="H4845" s="5">
        <f t="shared" si="93"/>
        <v>0</v>
      </c>
      <c r="I4845" s="6"/>
      <c r="J4845" s="43"/>
      <c r="K4845" s="51"/>
      <c r="L4845" s="86"/>
      <c r="M4845" s="349"/>
    </row>
    <row r="4846" spans="1:14" s="348" customFormat="1" ht="15" x14ac:dyDescent="0.25">
      <c r="A4846" s="1"/>
      <c r="B4846" s="1" t="s">
        <v>576</v>
      </c>
      <c r="C4846" s="32">
        <v>5383</v>
      </c>
      <c r="D4846" s="1">
        <v>3000</v>
      </c>
      <c r="E4846" s="1"/>
      <c r="F4846" s="1">
        <v>33.450000000000003</v>
      </c>
      <c r="G4846" s="1">
        <v>3000</v>
      </c>
      <c r="H4846" s="5">
        <f t="shared" si="93"/>
        <v>0</v>
      </c>
      <c r="I4846" s="6"/>
      <c r="J4846" s="43"/>
      <c r="K4846" s="51"/>
      <c r="L4846" s="86">
        <f>2403991-2379058</f>
        <v>24933</v>
      </c>
      <c r="M4846" s="349" t="s">
        <v>577</v>
      </c>
      <c r="N4846" s="348">
        <f>24933-21692</f>
        <v>3241</v>
      </c>
    </row>
    <row r="4847" spans="1:14" s="350" customFormat="1" ht="15" x14ac:dyDescent="0.25">
      <c r="A4847" s="1"/>
      <c r="B4847" s="1" t="s">
        <v>578</v>
      </c>
      <c r="C4847" s="32">
        <v>4059</v>
      </c>
      <c r="D4847" s="1">
        <v>16000</v>
      </c>
      <c r="E4847" s="1"/>
      <c r="F4847" s="1">
        <v>178.22</v>
      </c>
      <c r="G4847" s="1">
        <v>16000</v>
      </c>
      <c r="H4847" s="5">
        <f t="shared" si="93"/>
        <v>0</v>
      </c>
      <c r="I4847" s="6"/>
      <c r="J4847" s="43"/>
      <c r="K4847" s="51"/>
      <c r="L4847" s="86"/>
      <c r="M4847" s="351"/>
    </row>
    <row r="4848" spans="1:14" s="350" customFormat="1" ht="15" x14ac:dyDescent="0.25">
      <c r="A4848" s="1"/>
      <c r="B4848" s="1" t="s">
        <v>578</v>
      </c>
      <c r="C4848" s="32">
        <v>4513</v>
      </c>
      <c r="D4848" s="1">
        <v>16000</v>
      </c>
      <c r="E4848" s="1"/>
      <c r="F4848" s="1">
        <v>178.22</v>
      </c>
      <c r="G4848" s="1">
        <v>16000</v>
      </c>
      <c r="H4848" s="5">
        <f t="shared" si="93"/>
        <v>0</v>
      </c>
      <c r="I4848" s="6"/>
      <c r="J4848" s="43"/>
      <c r="K4848" s="51"/>
      <c r="L4848" s="86"/>
      <c r="M4848" s="351"/>
    </row>
    <row r="4849" spans="1:13" s="350" customFormat="1" ht="15" x14ac:dyDescent="0.25">
      <c r="A4849" s="1"/>
      <c r="B4849" s="1" t="s">
        <v>578</v>
      </c>
      <c r="C4849" s="32">
        <v>9230</v>
      </c>
      <c r="D4849" s="1">
        <v>16000</v>
      </c>
      <c r="E4849" s="1"/>
      <c r="F4849" s="1">
        <v>178.22</v>
      </c>
      <c r="G4849" s="1">
        <v>16000</v>
      </c>
      <c r="H4849" s="5">
        <f t="shared" si="93"/>
        <v>0</v>
      </c>
      <c r="I4849" s="6"/>
      <c r="J4849" s="43"/>
      <c r="K4849" s="51"/>
      <c r="L4849" s="86"/>
      <c r="M4849" s="351"/>
    </row>
    <row r="4850" spans="1:13" s="350" customFormat="1" ht="15" x14ac:dyDescent="0.25">
      <c r="A4850" s="1"/>
      <c r="B4850" s="1" t="s">
        <v>578</v>
      </c>
      <c r="C4850" s="32">
        <v>4058</v>
      </c>
      <c r="D4850" s="1">
        <v>16000</v>
      </c>
      <c r="E4850" s="1"/>
      <c r="F4850" s="1">
        <v>178.22</v>
      </c>
      <c r="G4850" s="1">
        <v>16000</v>
      </c>
      <c r="H4850" s="5">
        <f t="shared" si="93"/>
        <v>0</v>
      </c>
      <c r="I4850" s="6"/>
      <c r="J4850" s="43"/>
      <c r="K4850" s="51"/>
      <c r="L4850" s="86"/>
      <c r="M4850" s="351"/>
    </row>
    <row r="4851" spans="1:13" s="350" customFormat="1" ht="15" x14ac:dyDescent="0.25">
      <c r="A4851" s="1"/>
      <c r="B4851" s="1" t="s">
        <v>578</v>
      </c>
      <c r="C4851" s="32">
        <v>2809</v>
      </c>
      <c r="D4851" s="1">
        <v>16000</v>
      </c>
      <c r="E4851" s="1"/>
      <c r="F4851" s="1">
        <v>178.22</v>
      </c>
      <c r="G4851" s="1">
        <v>16000</v>
      </c>
      <c r="H4851" s="5">
        <f t="shared" si="93"/>
        <v>0</v>
      </c>
      <c r="I4851" s="6"/>
      <c r="J4851" s="43"/>
      <c r="K4851" s="51"/>
      <c r="L4851" s="86"/>
      <c r="M4851" s="351"/>
    </row>
    <row r="4852" spans="1:13" s="350" customFormat="1" ht="15" x14ac:dyDescent="0.25">
      <c r="A4852" s="1"/>
      <c r="B4852" s="1" t="s">
        <v>578</v>
      </c>
      <c r="C4852" s="32">
        <v>4514</v>
      </c>
      <c r="D4852" s="1">
        <v>16000</v>
      </c>
      <c r="E4852" s="1"/>
      <c r="F4852" s="1">
        <v>178.22</v>
      </c>
      <c r="G4852" s="1">
        <v>16000</v>
      </c>
      <c r="H4852" s="5">
        <f t="shared" si="93"/>
        <v>0</v>
      </c>
      <c r="I4852" s="6"/>
      <c r="J4852" s="43"/>
      <c r="K4852" s="51"/>
      <c r="L4852" s="86"/>
      <c r="M4852" s="351"/>
    </row>
    <row r="4853" spans="1:13" s="350" customFormat="1" ht="15" x14ac:dyDescent="0.25">
      <c r="A4853" s="1"/>
      <c r="B4853" s="1" t="s">
        <v>578</v>
      </c>
      <c r="C4853" s="32">
        <v>2810</v>
      </c>
      <c r="D4853" s="1">
        <v>16000</v>
      </c>
      <c r="E4853" s="1"/>
      <c r="F4853" s="1">
        <v>178.22</v>
      </c>
      <c r="G4853" s="1">
        <v>16000</v>
      </c>
      <c r="H4853" s="5">
        <f t="shared" si="93"/>
        <v>0</v>
      </c>
      <c r="I4853" s="6"/>
      <c r="J4853" s="43"/>
      <c r="K4853" s="51"/>
      <c r="L4853" s="86"/>
      <c r="M4853" s="351"/>
    </row>
    <row r="4854" spans="1:13" s="350" customFormat="1" ht="15" x14ac:dyDescent="0.25">
      <c r="A4854" s="1"/>
      <c r="B4854" s="1" t="s">
        <v>578</v>
      </c>
      <c r="C4854" s="32">
        <v>1304</v>
      </c>
      <c r="D4854" s="1">
        <v>25000</v>
      </c>
      <c r="E4854" s="1"/>
      <c r="F4854" s="1">
        <v>278.22000000000003</v>
      </c>
      <c r="G4854" s="1">
        <v>25000</v>
      </c>
      <c r="H4854" s="5">
        <f t="shared" si="93"/>
        <v>0</v>
      </c>
      <c r="I4854" s="6"/>
      <c r="J4854" s="43"/>
      <c r="K4854" s="51"/>
      <c r="L4854" s="86"/>
      <c r="M4854" s="351"/>
    </row>
    <row r="4855" spans="1:13" s="350" customFormat="1" ht="15" x14ac:dyDescent="0.25">
      <c r="A4855" s="1"/>
      <c r="B4855" s="1" t="s">
        <v>578</v>
      </c>
      <c r="C4855" s="32">
        <v>2808</v>
      </c>
      <c r="D4855" s="1">
        <v>25000</v>
      </c>
      <c r="E4855" s="1"/>
      <c r="F4855" s="1">
        <v>278.22000000000003</v>
      </c>
      <c r="G4855" s="1">
        <v>25000</v>
      </c>
      <c r="H4855" s="5">
        <f t="shared" si="93"/>
        <v>0</v>
      </c>
      <c r="I4855" s="6"/>
      <c r="J4855" s="43"/>
      <c r="K4855" s="51"/>
      <c r="L4855" s="86"/>
      <c r="M4855" s="351"/>
    </row>
    <row r="4856" spans="1:13" s="350" customFormat="1" ht="15" x14ac:dyDescent="0.25">
      <c r="A4856" s="1"/>
      <c r="B4856" s="1" t="s">
        <v>578</v>
      </c>
      <c r="C4856" s="32">
        <v>3891</v>
      </c>
      <c r="D4856" s="1">
        <v>25000</v>
      </c>
      <c r="E4856" s="1"/>
      <c r="F4856" s="1">
        <v>278.22000000000003</v>
      </c>
      <c r="G4856" s="1">
        <v>25000</v>
      </c>
      <c r="H4856" s="5">
        <f t="shared" si="93"/>
        <v>0</v>
      </c>
      <c r="I4856" s="6"/>
      <c r="J4856" s="43"/>
      <c r="K4856" s="51"/>
      <c r="L4856" s="86"/>
      <c r="M4856" s="351"/>
    </row>
    <row r="4857" spans="1:13" s="350" customFormat="1" ht="15" x14ac:dyDescent="0.25">
      <c r="A4857" s="1"/>
      <c r="B4857" s="1" t="s">
        <v>578</v>
      </c>
      <c r="C4857" s="32" t="s">
        <v>63</v>
      </c>
      <c r="D4857" s="1">
        <v>3000</v>
      </c>
      <c r="E4857" s="1"/>
      <c r="F4857" s="1">
        <v>33.450000000000003</v>
      </c>
      <c r="G4857" s="1">
        <v>3000</v>
      </c>
      <c r="H4857" s="5">
        <f t="shared" si="93"/>
        <v>0</v>
      </c>
      <c r="I4857" s="6"/>
      <c r="J4857" s="43"/>
      <c r="K4857" s="51"/>
      <c r="L4857" s="86"/>
      <c r="M4857" s="351"/>
    </row>
    <row r="4858" spans="1:13" s="350" customFormat="1" ht="15" x14ac:dyDescent="0.25">
      <c r="A4858" s="1"/>
      <c r="B4858" s="1" t="s">
        <v>578</v>
      </c>
      <c r="C4858" s="32" t="s">
        <v>30</v>
      </c>
      <c r="D4858" s="1">
        <v>4500</v>
      </c>
      <c r="E4858" s="1"/>
      <c r="F4858" s="1">
        <v>50.55</v>
      </c>
      <c r="G4858" s="1">
        <v>4500</v>
      </c>
      <c r="H4858" s="5">
        <f t="shared" si="93"/>
        <v>0</v>
      </c>
      <c r="I4858" s="6"/>
      <c r="J4858" s="43"/>
      <c r="K4858" s="51"/>
      <c r="L4858" s="86"/>
      <c r="M4858" s="351"/>
    </row>
    <row r="4859" spans="1:13" s="350" customFormat="1" ht="15" x14ac:dyDescent="0.25">
      <c r="A4859" s="1"/>
      <c r="B4859" s="1" t="s">
        <v>578</v>
      </c>
      <c r="C4859" s="32">
        <v>2677</v>
      </c>
      <c r="D4859" s="1">
        <v>14000</v>
      </c>
      <c r="E4859" s="1"/>
      <c r="F4859" s="1">
        <v>155.85</v>
      </c>
      <c r="G4859" s="1">
        <v>14000</v>
      </c>
      <c r="H4859" s="5">
        <f t="shared" si="93"/>
        <v>0</v>
      </c>
      <c r="I4859" s="6"/>
      <c r="J4859" s="43"/>
      <c r="K4859" s="51"/>
      <c r="L4859" s="86"/>
      <c r="M4859" s="351"/>
    </row>
    <row r="4860" spans="1:13" s="350" customFormat="1" ht="15" x14ac:dyDescent="0.25">
      <c r="A4860" s="1"/>
      <c r="B4860" s="1" t="s">
        <v>578</v>
      </c>
      <c r="C4860" s="32">
        <v>5.1999999999999998E-3</v>
      </c>
      <c r="D4860" s="1">
        <v>17000</v>
      </c>
      <c r="E4860" s="1"/>
      <c r="F4860" s="1">
        <v>189.74</v>
      </c>
      <c r="G4860" s="1">
        <v>17000</v>
      </c>
      <c r="H4860" s="5">
        <f t="shared" si="93"/>
        <v>0</v>
      </c>
      <c r="I4860" s="6"/>
      <c r="J4860" s="43"/>
      <c r="K4860" s="51"/>
      <c r="L4860" s="86"/>
      <c r="M4860" s="351"/>
    </row>
    <row r="4861" spans="1:13" s="350" customFormat="1" ht="15" x14ac:dyDescent="0.25">
      <c r="A4861" s="1"/>
      <c r="B4861" s="1" t="s">
        <v>578</v>
      </c>
      <c r="C4861" s="32">
        <v>2554</v>
      </c>
      <c r="D4861" s="1">
        <v>24000</v>
      </c>
      <c r="E4861" s="1"/>
      <c r="F4861" s="1">
        <v>267.62</v>
      </c>
      <c r="G4861" s="1">
        <v>24000</v>
      </c>
      <c r="H4861" s="5">
        <f t="shared" si="93"/>
        <v>0</v>
      </c>
      <c r="I4861" s="6"/>
      <c r="J4861" s="43"/>
      <c r="K4861" s="51"/>
      <c r="L4861" s="86"/>
      <c r="M4861" s="351"/>
    </row>
    <row r="4862" spans="1:13" s="350" customFormat="1" ht="15" x14ac:dyDescent="0.25">
      <c r="A4862" s="1"/>
      <c r="B4862" s="1" t="s">
        <v>578</v>
      </c>
      <c r="C4862" s="32">
        <v>5535</v>
      </c>
      <c r="D4862" s="1">
        <v>10000</v>
      </c>
      <c r="E4862" s="1"/>
      <c r="F4862" s="1">
        <v>111.41</v>
      </c>
      <c r="G4862" s="1">
        <v>10000</v>
      </c>
      <c r="H4862" s="5">
        <f t="shared" si="93"/>
        <v>0</v>
      </c>
      <c r="I4862" s="6"/>
      <c r="J4862" s="43"/>
      <c r="K4862" s="51"/>
      <c r="L4862" s="86"/>
      <c r="M4862" s="351"/>
    </row>
    <row r="4863" spans="1:13" s="350" customFormat="1" ht="15" x14ac:dyDescent="0.25">
      <c r="A4863" s="1"/>
      <c r="B4863" s="1" t="s">
        <v>578</v>
      </c>
      <c r="C4863" s="32">
        <v>4535</v>
      </c>
      <c r="D4863" s="1">
        <v>26000</v>
      </c>
      <c r="E4863" s="1"/>
      <c r="F4863" s="1">
        <v>289.64999999999998</v>
      </c>
      <c r="G4863" s="1">
        <v>26000</v>
      </c>
      <c r="H4863" s="5">
        <f t="shared" si="93"/>
        <v>0</v>
      </c>
      <c r="I4863" s="6"/>
      <c r="J4863" s="43"/>
      <c r="K4863" s="51"/>
      <c r="L4863" s="86"/>
      <c r="M4863" s="351"/>
    </row>
    <row r="4864" spans="1:13" s="350" customFormat="1" ht="15" x14ac:dyDescent="0.25">
      <c r="A4864" s="1"/>
      <c r="B4864" s="1" t="s">
        <v>578</v>
      </c>
      <c r="C4864" s="32">
        <v>3665</v>
      </c>
      <c r="D4864" s="1">
        <v>12500</v>
      </c>
      <c r="E4864" s="1"/>
      <c r="F4864" s="1">
        <v>133.41999999999999</v>
      </c>
      <c r="G4864" s="1">
        <v>12500</v>
      </c>
      <c r="H4864" s="5">
        <f t="shared" si="93"/>
        <v>0</v>
      </c>
      <c r="I4864" s="6"/>
      <c r="J4864" s="43"/>
      <c r="K4864" s="51"/>
      <c r="L4864" s="86"/>
      <c r="M4864" s="351"/>
    </row>
    <row r="4865" spans="1:13" s="350" customFormat="1" ht="15" x14ac:dyDescent="0.25">
      <c r="A4865" s="1"/>
      <c r="B4865" s="1" t="s">
        <v>578</v>
      </c>
      <c r="C4865" s="32">
        <v>5498</v>
      </c>
      <c r="D4865" s="1">
        <v>21000</v>
      </c>
      <c r="E4865" s="1"/>
      <c r="F4865" s="1">
        <v>233.21</v>
      </c>
      <c r="G4865" s="1">
        <v>21000</v>
      </c>
      <c r="H4865" s="5">
        <f t="shared" si="93"/>
        <v>0</v>
      </c>
      <c r="I4865" s="6"/>
      <c r="J4865" s="43"/>
      <c r="K4865" s="51"/>
      <c r="L4865" s="86"/>
      <c r="M4865" s="351"/>
    </row>
    <row r="4866" spans="1:13" s="350" customFormat="1" ht="15" x14ac:dyDescent="0.25">
      <c r="A4866" s="1"/>
      <c r="B4866" s="1" t="s">
        <v>578</v>
      </c>
      <c r="C4866" s="32">
        <v>6151</v>
      </c>
      <c r="D4866" s="1">
        <v>27000</v>
      </c>
      <c r="E4866" s="1"/>
      <c r="F4866" s="1">
        <v>300.52999999999997</v>
      </c>
      <c r="G4866" s="1">
        <v>27000</v>
      </c>
      <c r="H4866" s="5">
        <f t="shared" si="93"/>
        <v>0</v>
      </c>
      <c r="I4866" s="6"/>
      <c r="J4866" s="43"/>
      <c r="K4866" s="51"/>
      <c r="L4866" s="86"/>
      <c r="M4866" s="351"/>
    </row>
    <row r="4867" spans="1:13" s="350" customFormat="1" ht="15" x14ac:dyDescent="0.25">
      <c r="A4867" s="1"/>
      <c r="B4867" s="1" t="s">
        <v>578</v>
      </c>
      <c r="C4867" s="32">
        <v>5553</v>
      </c>
      <c r="D4867" s="1">
        <v>25000</v>
      </c>
      <c r="E4867" s="1"/>
      <c r="F4867" s="1">
        <v>278.22000000000003</v>
      </c>
      <c r="G4867" s="1">
        <v>25000</v>
      </c>
      <c r="H4867" s="5">
        <f t="shared" si="93"/>
        <v>0</v>
      </c>
      <c r="I4867" s="6"/>
      <c r="J4867" s="43"/>
      <c r="K4867" s="51"/>
      <c r="L4867" s="86"/>
      <c r="M4867" s="351"/>
    </row>
    <row r="4868" spans="1:13" s="350" customFormat="1" ht="15" x14ac:dyDescent="0.25">
      <c r="A4868" s="1"/>
      <c r="B4868" s="1" t="s">
        <v>578</v>
      </c>
      <c r="C4868" s="32">
        <v>6318</v>
      </c>
      <c r="D4868" s="1">
        <v>22000</v>
      </c>
      <c r="E4868" s="1"/>
      <c r="F4868" s="1">
        <v>250.74</v>
      </c>
      <c r="G4868" s="1">
        <v>22000</v>
      </c>
      <c r="H4868" s="5">
        <f t="shared" si="93"/>
        <v>0</v>
      </c>
      <c r="I4868" s="6"/>
      <c r="J4868" s="43"/>
      <c r="K4868" s="51"/>
      <c r="L4868" s="86"/>
      <c r="M4868" s="351"/>
    </row>
    <row r="4869" spans="1:13" s="350" customFormat="1" ht="15" x14ac:dyDescent="0.25">
      <c r="A4869" s="1"/>
      <c r="B4869" s="1" t="s">
        <v>578</v>
      </c>
      <c r="C4869" s="32">
        <v>1677</v>
      </c>
      <c r="D4869" s="1">
        <v>20000</v>
      </c>
      <c r="E4869" s="1"/>
      <c r="F4869" s="1">
        <v>222.82</v>
      </c>
      <c r="G4869" s="1">
        <v>20000</v>
      </c>
      <c r="H4869" s="5">
        <f t="shared" si="93"/>
        <v>0</v>
      </c>
      <c r="I4869" s="6"/>
      <c r="J4869" s="43"/>
      <c r="K4869" s="51"/>
      <c r="L4869" s="86"/>
      <c r="M4869" s="351"/>
    </row>
    <row r="4870" spans="1:13" s="350" customFormat="1" ht="15" x14ac:dyDescent="0.25">
      <c r="A4870" s="1"/>
      <c r="B4870" s="1" t="s">
        <v>578</v>
      </c>
      <c r="C4870" s="32">
        <v>2.1999999999999999E-2</v>
      </c>
      <c r="D4870" s="1">
        <v>35000</v>
      </c>
      <c r="E4870" s="1"/>
      <c r="F4870" s="1">
        <v>358.62</v>
      </c>
      <c r="G4870" s="1">
        <v>35000</v>
      </c>
      <c r="H4870" s="5">
        <f t="shared" si="93"/>
        <v>0</v>
      </c>
      <c r="I4870" s="6"/>
      <c r="J4870" s="43"/>
      <c r="K4870" s="51"/>
      <c r="L4870" s="86"/>
      <c r="M4870" s="351"/>
    </row>
    <row r="4871" spans="1:13" s="350" customFormat="1" ht="15" x14ac:dyDescent="0.25">
      <c r="A4871" s="1"/>
      <c r="B4871" s="1" t="s">
        <v>578</v>
      </c>
      <c r="C4871" s="32">
        <v>3222</v>
      </c>
      <c r="D4871" s="1">
        <v>28000</v>
      </c>
      <c r="E4871" s="1"/>
      <c r="F4871" s="1">
        <v>311.52</v>
      </c>
      <c r="G4871" s="1">
        <v>28000</v>
      </c>
      <c r="H4871" s="5">
        <f t="shared" si="93"/>
        <v>0</v>
      </c>
      <c r="I4871" s="6"/>
      <c r="J4871" s="43"/>
      <c r="K4871" s="51"/>
      <c r="L4871" s="86"/>
      <c r="M4871" s="351"/>
    </row>
    <row r="4872" spans="1:13" s="350" customFormat="1" ht="15" x14ac:dyDescent="0.25">
      <c r="A4872" s="1"/>
      <c r="B4872" s="1" t="s">
        <v>578</v>
      </c>
      <c r="C4872" s="32">
        <v>1222</v>
      </c>
      <c r="D4872" s="1">
        <v>20000</v>
      </c>
      <c r="E4872" s="1"/>
      <c r="F4872" s="1">
        <v>222.82</v>
      </c>
      <c r="G4872" s="1">
        <v>20000</v>
      </c>
      <c r="H4872" s="5">
        <f t="shared" si="93"/>
        <v>0</v>
      </c>
      <c r="I4872" s="6"/>
      <c r="J4872" s="43"/>
      <c r="K4872" s="51"/>
      <c r="L4872" s="86"/>
      <c r="M4872" s="351"/>
    </row>
    <row r="4873" spans="1:13" s="350" customFormat="1" ht="15" x14ac:dyDescent="0.25">
      <c r="A4873" s="1"/>
      <c r="B4873" s="1" t="s">
        <v>578</v>
      </c>
      <c r="C4873" s="32">
        <v>3621</v>
      </c>
      <c r="D4873" s="1">
        <v>20000</v>
      </c>
      <c r="E4873" s="1"/>
      <c r="F4873" s="1">
        <v>222.82</v>
      </c>
      <c r="G4873" s="1">
        <v>20000</v>
      </c>
      <c r="H4873" s="5">
        <f t="shared" si="93"/>
        <v>0</v>
      </c>
      <c r="I4873" s="6"/>
      <c r="J4873" s="43"/>
      <c r="K4873" s="51"/>
      <c r="L4873" s="86"/>
      <c r="M4873" s="351"/>
    </row>
    <row r="4874" spans="1:13" s="350" customFormat="1" ht="15" x14ac:dyDescent="0.25">
      <c r="A4874" s="1"/>
      <c r="B4874" s="1" t="s">
        <v>578</v>
      </c>
      <c r="C4874" s="32">
        <v>1343</v>
      </c>
      <c r="D4874" s="1">
        <v>30000</v>
      </c>
      <c r="E4874" s="1"/>
      <c r="F4874" s="1">
        <v>334.97</v>
      </c>
      <c r="G4874" s="1">
        <v>30000</v>
      </c>
      <c r="H4874" s="5">
        <f t="shared" si="93"/>
        <v>0</v>
      </c>
      <c r="I4874" s="6"/>
      <c r="J4874" s="43"/>
      <c r="K4874" s="51"/>
      <c r="L4874" s="86"/>
      <c r="M4874" s="351"/>
    </row>
    <row r="4875" spans="1:13" s="350" customFormat="1" ht="15" x14ac:dyDescent="0.25">
      <c r="A4875" s="1"/>
      <c r="B4875" s="1" t="s">
        <v>579</v>
      </c>
      <c r="C4875" s="32">
        <v>6573</v>
      </c>
      <c r="D4875" s="1">
        <v>16000</v>
      </c>
      <c r="E4875" s="1"/>
      <c r="F4875" s="1">
        <v>178.22</v>
      </c>
      <c r="G4875" s="1">
        <v>16000</v>
      </c>
      <c r="H4875" s="5">
        <f t="shared" si="93"/>
        <v>0</v>
      </c>
      <c r="I4875" s="6"/>
      <c r="J4875" s="43"/>
      <c r="K4875" s="51"/>
      <c r="L4875" s="86"/>
      <c r="M4875" s="351"/>
    </row>
    <row r="4876" spans="1:13" s="350" customFormat="1" ht="15" x14ac:dyDescent="0.25">
      <c r="A4876" s="1"/>
      <c r="B4876" s="1" t="s">
        <v>579</v>
      </c>
      <c r="C4876" s="32">
        <v>6957</v>
      </c>
      <c r="D4876" s="1">
        <v>16000</v>
      </c>
      <c r="E4876" s="1"/>
      <c r="F4876" s="1">
        <v>178.22</v>
      </c>
      <c r="G4876" s="1">
        <v>16000</v>
      </c>
      <c r="H4876" s="5">
        <f t="shared" si="93"/>
        <v>0</v>
      </c>
      <c r="I4876" s="6"/>
      <c r="J4876" s="43"/>
      <c r="K4876" s="51"/>
      <c r="L4876" s="86"/>
      <c r="M4876" s="351"/>
    </row>
    <row r="4877" spans="1:13" s="350" customFormat="1" ht="15" x14ac:dyDescent="0.25">
      <c r="A4877" s="1"/>
      <c r="B4877" s="1" t="s">
        <v>579</v>
      </c>
      <c r="C4877" s="32">
        <v>1738</v>
      </c>
      <c r="D4877" s="1">
        <v>16000</v>
      </c>
      <c r="E4877" s="1"/>
      <c r="F4877" s="1">
        <v>178.22</v>
      </c>
      <c r="G4877" s="1">
        <v>16000</v>
      </c>
      <c r="H4877" s="5">
        <f t="shared" si="93"/>
        <v>0</v>
      </c>
      <c r="I4877" s="6"/>
      <c r="J4877" s="43"/>
      <c r="K4877" s="51"/>
      <c r="L4877" s="86"/>
      <c r="M4877" s="351"/>
    </row>
    <row r="4878" spans="1:13" s="350" customFormat="1" ht="15" x14ac:dyDescent="0.25">
      <c r="A4878" s="1"/>
      <c r="B4878" s="1" t="s">
        <v>579</v>
      </c>
      <c r="C4878" s="32">
        <v>6659</v>
      </c>
      <c r="D4878" s="1">
        <v>16000</v>
      </c>
      <c r="E4878" s="1"/>
      <c r="F4878" s="1">
        <v>178.22</v>
      </c>
      <c r="G4878" s="1">
        <v>16000</v>
      </c>
      <c r="H4878" s="5">
        <f t="shared" si="93"/>
        <v>0</v>
      </c>
      <c r="I4878" s="6"/>
      <c r="J4878" s="43"/>
      <c r="K4878" s="51"/>
      <c r="L4878" s="86"/>
      <c r="M4878" s="351"/>
    </row>
    <row r="4879" spans="1:13" s="350" customFormat="1" ht="15" x14ac:dyDescent="0.25">
      <c r="A4879" s="1"/>
      <c r="B4879" s="1" t="s">
        <v>579</v>
      </c>
      <c r="C4879" s="32" t="s">
        <v>66</v>
      </c>
      <c r="D4879" s="1">
        <v>210</v>
      </c>
      <c r="E4879" s="1"/>
      <c r="F4879" s="1">
        <v>2.08</v>
      </c>
      <c r="G4879" s="1">
        <v>210</v>
      </c>
      <c r="H4879" s="5">
        <f t="shared" si="93"/>
        <v>0</v>
      </c>
      <c r="I4879" s="6"/>
      <c r="J4879" s="43"/>
      <c r="K4879" s="51"/>
      <c r="L4879" s="86"/>
      <c r="M4879" s="351"/>
    </row>
    <row r="4880" spans="1:13" s="350" customFormat="1" ht="15" x14ac:dyDescent="0.25">
      <c r="A4880" s="1"/>
      <c r="B4880" s="1" t="s">
        <v>579</v>
      </c>
      <c r="C4880" s="32">
        <v>4451</v>
      </c>
      <c r="D4880" s="1">
        <v>10000</v>
      </c>
      <c r="E4880" s="1"/>
      <c r="F4880" s="1">
        <v>111.41</v>
      </c>
      <c r="G4880" s="1">
        <v>10000</v>
      </c>
      <c r="H4880" s="5">
        <f t="shared" si="93"/>
        <v>0</v>
      </c>
      <c r="I4880" s="6"/>
      <c r="J4880" s="43"/>
      <c r="K4880" s="51"/>
      <c r="L4880" s="86"/>
      <c r="M4880" s="351"/>
    </row>
    <row r="4881" spans="1:13" s="350" customFormat="1" ht="15" x14ac:dyDescent="0.25">
      <c r="A4881" s="1"/>
      <c r="B4881" s="1" t="s">
        <v>579</v>
      </c>
      <c r="C4881" s="32">
        <v>4765</v>
      </c>
      <c r="D4881" s="1">
        <v>25000</v>
      </c>
      <c r="E4881" s="1"/>
      <c r="F4881" s="1">
        <v>278.22000000000003</v>
      </c>
      <c r="G4881" s="1">
        <v>25000</v>
      </c>
      <c r="H4881" s="5">
        <f t="shared" si="93"/>
        <v>0</v>
      </c>
      <c r="I4881" s="6"/>
      <c r="J4881" s="43"/>
      <c r="K4881" s="51"/>
      <c r="L4881" s="86"/>
      <c r="M4881" s="351"/>
    </row>
    <row r="4882" spans="1:13" s="350" customFormat="1" ht="15" x14ac:dyDescent="0.25">
      <c r="A4882" s="1"/>
      <c r="B4882" s="1" t="s">
        <v>579</v>
      </c>
      <c r="C4882" s="32">
        <v>3839</v>
      </c>
      <c r="D4882" s="1">
        <v>14500</v>
      </c>
      <c r="E4882" s="1"/>
      <c r="F4882" s="1">
        <v>162.54</v>
      </c>
      <c r="G4882" s="1">
        <v>14500</v>
      </c>
      <c r="H4882" s="5">
        <f t="shared" si="93"/>
        <v>0</v>
      </c>
      <c r="I4882" s="6"/>
      <c r="J4882" s="43"/>
      <c r="K4882" s="51"/>
      <c r="L4882" s="86"/>
      <c r="M4882" s="351"/>
    </row>
    <row r="4883" spans="1:13" s="350" customFormat="1" ht="15" x14ac:dyDescent="0.25">
      <c r="A4883" s="1"/>
      <c r="B4883" s="1" t="s">
        <v>579</v>
      </c>
      <c r="C4883" s="32">
        <v>4.7E-2</v>
      </c>
      <c r="D4883" s="1">
        <v>13000</v>
      </c>
      <c r="E4883" s="1"/>
      <c r="F4883" s="1">
        <v>144.13</v>
      </c>
      <c r="G4883" s="1">
        <v>13000</v>
      </c>
      <c r="H4883" s="5">
        <f t="shared" si="93"/>
        <v>0</v>
      </c>
      <c r="I4883" s="6"/>
      <c r="J4883" s="43"/>
      <c r="K4883" s="51"/>
      <c r="L4883" s="86"/>
      <c r="M4883" s="351"/>
    </row>
    <row r="4884" spans="1:13" s="350" customFormat="1" ht="15" x14ac:dyDescent="0.25">
      <c r="A4884" s="1"/>
      <c r="B4884" s="1" t="s">
        <v>579</v>
      </c>
      <c r="C4884" s="32" t="s">
        <v>30</v>
      </c>
      <c r="D4884" s="1">
        <v>5000</v>
      </c>
      <c r="E4884" s="1"/>
      <c r="F4884" s="1">
        <v>55.35</v>
      </c>
      <c r="G4884" s="1">
        <v>5000</v>
      </c>
      <c r="H4884" s="5">
        <f t="shared" si="93"/>
        <v>0</v>
      </c>
      <c r="I4884" s="6"/>
      <c r="J4884" s="43"/>
      <c r="K4884" s="51"/>
      <c r="L4884" s="86"/>
      <c r="M4884" s="351"/>
    </row>
    <row r="4885" spans="1:13" s="350" customFormat="1" ht="15" x14ac:dyDescent="0.25">
      <c r="A4885" s="1"/>
      <c r="B4885" s="1" t="s">
        <v>579</v>
      </c>
      <c r="C4885" s="32">
        <v>2316</v>
      </c>
      <c r="D4885" s="1">
        <v>25000</v>
      </c>
      <c r="E4885" s="1"/>
      <c r="F4885" s="1">
        <v>278.22000000000003</v>
      </c>
      <c r="G4885" s="1">
        <v>25000</v>
      </c>
      <c r="H4885" s="5">
        <f t="shared" si="93"/>
        <v>0</v>
      </c>
      <c r="I4885" s="6"/>
      <c r="J4885" s="43"/>
      <c r="K4885" s="51"/>
      <c r="L4885" s="86"/>
      <c r="M4885" s="351"/>
    </row>
    <row r="4886" spans="1:13" s="350" customFormat="1" ht="15" x14ac:dyDescent="0.25">
      <c r="A4886" s="1"/>
      <c r="B4886" s="1" t="s">
        <v>579</v>
      </c>
      <c r="C4886" s="32">
        <v>7761</v>
      </c>
      <c r="D4886" s="1">
        <v>22000</v>
      </c>
      <c r="E4886" s="1"/>
      <c r="F4886" s="1">
        <v>240.65</v>
      </c>
      <c r="G4886" s="1">
        <v>22000</v>
      </c>
      <c r="H4886" s="5">
        <f t="shared" si="93"/>
        <v>0</v>
      </c>
      <c r="I4886" s="6"/>
      <c r="J4886" s="43"/>
      <c r="K4886" s="51"/>
      <c r="L4886" s="86"/>
      <c r="M4886" s="351"/>
    </row>
    <row r="4887" spans="1:13" s="350" customFormat="1" ht="15" x14ac:dyDescent="0.25">
      <c r="A4887" s="1"/>
      <c r="B4887" s="1" t="s">
        <v>579</v>
      </c>
      <c r="C4887" s="32">
        <v>7021</v>
      </c>
      <c r="D4887" s="1">
        <v>24000</v>
      </c>
      <c r="E4887" s="1"/>
      <c r="F4887" s="1">
        <v>257.94</v>
      </c>
      <c r="G4887" s="1">
        <v>24000</v>
      </c>
      <c r="H4887" s="5">
        <f t="shared" si="93"/>
        <v>0</v>
      </c>
      <c r="I4887" s="6"/>
      <c r="J4887" s="43"/>
      <c r="K4887" s="51"/>
      <c r="L4887" s="86"/>
      <c r="M4887" s="351"/>
    </row>
    <row r="4888" spans="1:13" s="350" customFormat="1" ht="15" x14ac:dyDescent="0.25">
      <c r="A4888" s="1"/>
      <c r="B4888" s="1" t="s">
        <v>579</v>
      </c>
      <c r="C4888" s="32">
        <v>5363</v>
      </c>
      <c r="D4888" s="1">
        <v>24000</v>
      </c>
      <c r="E4888" s="1"/>
      <c r="F4888" s="1">
        <v>245.74</v>
      </c>
      <c r="G4888" s="1">
        <v>24000</v>
      </c>
      <c r="H4888" s="5">
        <f t="shared" si="93"/>
        <v>0</v>
      </c>
      <c r="I4888" s="6"/>
      <c r="J4888" s="43"/>
      <c r="K4888" s="51"/>
      <c r="L4888" s="86"/>
      <c r="M4888" s="351"/>
    </row>
    <row r="4889" spans="1:13" s="350" customFormat="1" ht="15" x14ac:dyDescent="0.25">
      <c r="A4889" s="1"/>
      <c r="B4889" s="1" t="s">
        <v>579</v>
      </c>
      <c r="C4889" s="32">
        <v>1187</v>
      </c>
      <c r="D4889" s="1">
        <v>13000</v>
      </c>
      <c r="E4889" s="1"/>
      <c r="F4889" s="1">
        <v>144.13</v>
      </c>
      <c r="G4889" s="1">
        <v>13000</v>
      </c>
      <c r="H4889" s="5">
        <f t="shared" si="93"/>
        <v>0</v>
      </c>
      <c r="I4889" s="6"/>
      <c r="J4889" s="43"/>
      <c r="K4889" s="51"/>
      <c r="L4889" s="86"/>
      <c r="M4889" s="351"/>
    </row>
    <row r="4890" spans="1:13" s="350" customFormat="1" ht="15" x14ac:dyDescent="0.25">
      <c r="A4890" s="1"/>
      <c r="B4890" s="1" t="s">
        <v>579</v>
      </c>
      <c r="C4890" s="32">
        <v>2090</v>
      </c>
      <c r="D4890" s="1">
        <v>18000</v>
      </c>
      <c r="E4890" s="1"/>
      <c r="F4890" s="1">
        <v>200.53</v>
      </c>
      <c r="G4890" s="1">
        <v>18000</v>
      </c>
      <c r="H4890" s="5">
        <f t="shared" si="93"/>
        <v>0</v>
      </c>
      <c r="I4890" s="6"/>
      <c r="J4890" s="43"/>
      <c r="K4890" s="51"/>
      <c r="L4890" s="86"/>
      <c r="M4890" s="351"/>
    </row>
    <row r="4891" spans="1:13" s="350" customFormat="1" ht="15" x14ac:dyDescent="0.25">
      <c r="A4891" s="1"/>
      <c r="B4891" s="1" t="s">
        <v>579</v>
      </c>
      <c r="C4891" s="32">
        <v>2227</v>
      </c>
      <c r="D4891" s="1">
        <v>32000</v>
      </c>
      <c r="E4891" s="1"/>
      <c r="F4891" s="1">
        <v>356.52</v>
      </c>
      <c r="G4891" s="1">
        <v>32000</v>
      </c>
      <c r="H4891" s="5">
        <f t="shared" si="93"/>
        <v>0</v>
      </c>
      <c r="I4891" s="6"/>
      <c r="J4891" s="43"/>
      <c r="K4891" s="51"/>
      <c r="L4891" s="86"/>
      <c r="M4891" s="351"/>
    </row>
    <row r="4892" spans="1:13" s="350" customFormat="1" ht="15" x14ac:dyDescent="0.25">
      <c r="A4892" s="1"/>
      <c r="B4892" s="1" t="s">
        <v>579</v>
      </c>
      <c r="C4892" s="32">
        <v>7154</v>
      </c>
      <c r="D4892" s="1">
        <v>15000</v>
      </c>
      <c r="E4892" s="1"/>
      <c r="F4892" s="1">
        <v>167.15</v>
      </c>
      <c r="G4892" s="1">
        <v>15000</v>
      </c>
      <c r="H4892" s="5">
        <f t="shared" si="93"/>
        <v>0</v>
      </c>
      <c r="I4892" s="6"/>
      <c r="J4892" s="43"/>
      <c r="K4892" s="51"/>
      <c r="L4892" s="86"/>
      <c r="M4892" s="351"/>
    </row>
    <row r="4893" spans="1:13" s="350" customFormat="1" ht="15" x14ac:dyDescent="0.25">
      <c r="A4893" s="1"/>
      <c r="B4893" s="1" t="s">
        <v>579</v>
      </c>
      <c r="C4893" s="32">
        <v>4154</v>
      </c>
      <c r="D4893" s="1">
        <v>30000</v>
      </c>
      <c r="E4893" s="1"/>
      <c r="F4893" s="1">
        <v>334.97</v>
      </c>
      <c r="G4893" s="1">
        <v>30000</v>
      </c>
      <c r="H4893" s="5">
        <f t="shared" si="93"/>
        <v>0</v>
      </c>
      <c r="I4893" s="6"/>
      <c r="J4893" s="43"/>
      <c r="K4893" s="51"/>
      <c r="L4893" s="86"/>
      <c r="M4893" s="351"/>
    </row>
    <row r="4894" spans="1:13" s="350" customFormat="1" ht="15" x14ac:dyDescent="0.25">
      <c r="A4894" s="1"/>
      <c r="B4894" s="1" t="s">
        <v>579</v>
      </c>
      <c r="C4894" s="32">
        <v>5.3699999999999998E-2</v>
      </c>
      <c r="D4894" s="1">
        <v>18000</v>
      </c>
      <c r="E4894" s="1"/>
      <c r="F4894" s="1">
        <v>200.53</v>
      </c>
      <c r="G4894" s="1">
        <v>18000</v>
      </c>
      <c r="H4894" s="5">
        <f t="shared" si="93"/>
        <v>0</v>
      </c>
      <c r="I4894" s="6"/>
      <c r="J4894" s="43"/>
      <c r="K4894" s="51"/>
      <c r="L4894" s="86"/>
      <c r="M4894" s="351"/>
    </row>
    <row r="4895" spans="1:13" s="350" customFormat="1" ht="15" x14ac:dyDescent="0.25">
      <c r="A4895" s="1"/>
      <c r="B4895" s="1" t="s">
        <v>579</v>
      </c>
      <c r="C4895" s="32">
        <v>9933</v>
      </c>
      <c r="D4895" s="1">
        <v>18000</v>
      </c>
      <c r="E4895" s="1"/>
      <c r="F4895" s="1">
        <v>200.53</v>
      </c>
      <c r="G4895" s="1">
        <v>18000</v>
      </c>
      <c r="H4895" s="5">
        <f t="shared" si="93"/>
        <v>0</v>
      </c>
      <c r="I4895" s="6"/>
      <c r="J4895" s="43"/>
      <c r="K4895" s="51"/>
      <c r="L4895" s="86"/>
      <c r="M4895" s="351"/>
    </row>
    <row r="4896" spans="1:13" s="350" customFormat="1" ht="15" x14ac:dyDescent="0.25">
      <c r="A4896" s="1"/>
      <c r="B4896" s="1" t="s">
        <v>579</v>
      </c>
      <c r="C4896" s="32">
        <v>4513</v>
      </c>
      <c r="D4896" s="1">
        <v>16000</v>
      </c>
      <c r="E4896" s="1"/>
      <c r="F4896" s="1">
        <v>178.22</v>
      </c>
      <c r="G4896" s="1">
        <v>16000</v>
      </c>
      <c r="H4896" s="5">
        <f t="shared" si="93"/>
        <v>0</v>
      </c>
      <c r="I4896" s="6"/>
      <c r="J4896" s="43"/>
      <c r="K4896" s="51"/>
      <c r="L4896" s="86"/>
      <c r="M4896" s="351"/>
    </row>
    <row r="4897" spans="1:14" s="350" customFormat="1" ht="15" x14ac:dyDescent="0.25">
      <c r="A4897" s="1"/>
      <c r="B4897" s="1" t="s">
        <v>579</v>
      </c>
      <c r="C4897" s="32">
        <v>7165</v>
      </c>
      <c r="D4897" s="1">
        <v>17800</v>
      </c>
      <c r="E4897" s="1"/>
      <c r="F4897" s="1">
        <v>198.97</v>
      </c>
      <c r="G4897" s="1">
        <v>17800</v>
      </c>
      <c r="H4897" s="5">
        <f t="shared" si="93"/>
        <v>0</v>
      </c>
      <c r="I4897" s="6"/>
      <c r="J4897" s="43"/>
      <c r="K4897" s="51"/>
      <c r="L4897" s="86"/>
      <c r="M4897" s="351"/>
    </row>
    <row r="4898" spans="1:14" s="350" customFormat="1" ht="15" x14ac:dyDescent="0.25">
      <c r="A4898" s="1"/>
      <c r="B4898" s="1" t="s">
        <v>579</v>
      </c>
      <c r="C4898" s="32">
        <v>8517</v>
      </c>
      <c r="D4898" s="1">
        <v>12000</v>
      </c>
      <c r="E4898" s="1"/>
      <c r="F4898" s="1">
        <v>133.43</v>
      </c>
      <c r="G4898" s="1">
        <v>12000</v>
      </c>
      <c r="H4898" s="5">
        <f t="shared" ref="H4898:H4925" si="94">D4898-G4898</f>
        <v>0</v>
      </c>
      <c r="I4898" s="6"/>
      <c r="J4898" s="43"/>
      <c r="K4898" s="51"/>
      <c r="L4898" s="86"/>
      <c r="M4898" s="351"/>
    </row>
    <row r="4899" spans="1:14" s="350" customFormat="1" ht="15" x14ac:dyDescent="0.25">
      <c r="A4899" s="1"/>
      <c r="B4899" s="1" t="s">
        <v>579</v>
      </c>
      <c r="C4899" s="32">
        <v>4896</v>
      </c>
      <c r="D4899" s="1">
        <v>20000</v>
      </c>
      <c r="E4899" s="1"/>
      <c r="F4899" s="1">
        <v>222.82</v>
      </c>
      <c r="G4899" s="1">
        <v>20000</v>
      </c>
      <c r="H4899" s="5">
        <f t="shared" si="94"/>
        <v>0</v>
      </c>
      <c r="I4899" s="6"/>
      <c r="J4899" s="43"/>
      <c r="K4899" s="51"/>
      <c r="L4899" s="86"/>
      <c r="M4899" s="351"/>
    </row>
    <row r="4900" spans="1:14" s="350" customFormat="1" ht="15" x14ac:dyDescent="0.25">
      <c r="A4900" s="1"/>
      <c r="B4900" s="1" t="s">
        <v>579</v>
      </c>
      <c r="C4900" s="32">
        <v>6.83E-2</v>
      </c>
      <c r="D4900" s="1">
        <v>14000</v>
      </c>
      <c r="E4900" s="1"/>
      <c r="F4900" s="1">
        <v>155.34</v>
      </c>
      <c r="G4900" s="1">
        <v>14000</v>
      </c>
      <c r="H4900" s="5">
        <f t="shared" si="94"/>
        <v>0</v>
      </c>
      <c r="I4900" s="6"/>
      <c r="J4900" s="43"/>
      <c r="K4900" s="51"/>
      <c r="L4900" s="86"/>
      <c r="M4900" s="351"/>
    </row>
    <row r="4901" spans="1:14" s="350" customFormat="1" ht="15" x14ac:dyDescent="0.25">
      <c r="A4901" s="1"/>
      <c r="B4901" s="1" t="s">
        <v>579</v>
      </c>
      <c r="C4901" s="32">
        <v>5414</v>
      </c>
      <c r="D4901" s="1">
        <v>12000</v>
      </c>
      <c r="E4901" s="1"/>
      <c r="F4901" s="1">
        <v>133.44999999999999</v>
      </c>
      <c r="G4901" s="1">
        <v>12000</v>
      </c>
      <c r="H4901" s="5">
        <f t="shared" si="94"/>
        <v>0</v>
      </c>
      <c r="I4901" s="6"/>
      <c r="J4901" s="43"/>
      <c r="K4901" s="51"/>
      <c r="L4901" s="86"/>
      <c r="M4901" s="351"/>
    </row>
    <row r="4902" spans="1:14" s="350" customFormat="1" ht="15" x14ac:dyDescent="0.25">
      <c r="A4902" s="1"/>
      <c r="B4902" s="1" t="s">
        <v>579</v>
      </c>
      <c r="C4902" s="32">
        <v>5216</v>
      </c>
      <c r="D4902" s="1">
        <v>12000</v>
      </c>
      <c r="E4902" s="1"/>
      <c r="F4902" s="1">
        <v>133.44999999999999</v>
      </c>
      <c r="G4902" s="1">
        <v>12000</v>
      </c>
      <c r="H4902" s="5">
        <f t="shared" si="94"/>
        <v>0</v>
      </c>
      <c r="I4902" s="6"/>
      <c r="J4902" s="43"/>
      <c r="K4902" s="51"/>
      <c r="L4902" s="86"/>
      <c r="M4902" s="351"/>
    </row>
    <row r="4903" spans="1:14" s="350" customFormat="1" ht="15" x14ac:dyDescent="0.25">
      <c r="A4903" s="1"/>
      <c r="B4903" s="1" t="s">
        <v>579</v>
      </c>
      <c r="C4903" s="32">
        <v>2301</v>
      </c>
      <c r="D4903" s="1">
        <v>12000</v>
      </c>
      <c r="E4903" s="1"/>
      <c r="F4903" s="1">
        <v>133.44999999999999</v>
      </c>
      <c r="G4903" s="1">
        <v>12000</v>
      </c>
      <c r="H4903" s="5">
        <f t="shared" si="94"/>
        <v>0</v>
      </c>
      <c r="I4903" s="6"/>
      <c r="J4903" s="43"/>
      <c r="K4903" s="51"/>
      <c r="L4903" s="86"/>
      <c r="M4903" s="351"/>
    </row>
    <row r="4904" spans="1:14" s="350" customFormat="1" ht="15" x14ac:dyDescent="0.25">
      <c r="A4904" s="1"/>
      <c r="B4904" s="1" t="s">
        <v>579</v>
      </c>
      <c r="C4904" s="32">
        <v>4214</v>
      </c>
      <c r="D4904" s="1">
        <v>14000</v>
      </c>
      <c r="E4904" s="1"/>
      <c r="F4904" s="1">
        <v>155.34</v>
      </c>
      <c r="G4904" s="1">
        <v>14000</v>
      </c>
      <c r="H4904" s="5">
        <f t="shared" si="94"/>
        <v>0</v>
      </c>
      <c r="I4904" s="6"/>
      <c r="J4904" s="43"/>
      <c r="K4904" s="51"/>
      <c r="L4904" s="86"/>
      <c r="M4904" s="351"/>
    </row>
    <row r="4905" spans="1:14" s="350" customFormat="1" ht="15" x14ac:dyDescent="0.25">
      <c r="A4905" s="1"/>
      <c r="B4905" s="1" t="s">
        <v>579</v>
      </c>
      <c r="C4905" s="32">
        <v>6766</v>
      </c>
      <c r="D4905" s="1">
        <v>14000</v>
      </c>
      <c r="E4905" s="1"/>
      <c r="F4905" s="1">
        <v>155.34</v>
      </c>
      <c r="G4905" s="1">
        <v>14000</v>
      </c>
      <c r="H4905" s="5">
        <f t="shared" si="94"/>
        <v>0</v>
      </c>
      <c r="I4905" s="6"/>
      <c r="J4905" s="43"/>
      <c r="K4905" s="51"/>
      <c r="L4905" s="86"/>
      <c r="M4905" s="351"/>
    </row>
    <row r="4906" spans="1:14" s="350" customFormat="1" ht="15" x14ac:dyDescent="0.25">
      <c r="A4906" s="1"/>
      <c r="B4906" s="1" t="s">
        <v>579</v>
      </c>
      <c r="C4906" s="32">
        <v>3784</v>
      </c>
      <c r="D4906" s="1">
        <v>25000</v>
      </c>
      <c r="E4906" s="1"/>
      <c r="F4906" s="1">
        <v>278.22000000000003</v>
      </c>
      <c r="G4906" s="1">
        <v>25000</v>
      </c>
      <c r="H4906" s="5">
        <f t="shared" si="94"/>
        <v>0</v>
      </c>
      <c r="I4906" s="6"/>
      <c r="J4906" s="43"/>
      <c r="K4906" s="51"/>
      <c r="L4906" s="86">
        <f>2469151-2464568</f>
        <v>4583</v>
      </c>
      <c r="M4906" s="351" t="s">
        <v>580</v>
      </c>
      <c r="N4906" s="350">
        <f>4583-1341</f>
        <v>3242</v>
      </c>
    </row>
    <row r="4907" spans="1:14" s="352" customFormat="1" ht="15" x14ac:dyDescent="0.25">
      <c r="A4907" s="1"/>
      <c r="B4907" s="1" t="s">
        <v>581</v>
      </c>
      <c r="C4907" s="32" t="s">
        <v>30</v>
      </c>
      <c r="D4907" s="1">
        <v>2000</v>
      </c>
      <c r="E4907" s="1"/>
      <c r="F4907" s="1">
        <v>22.24</v>
      </c>
      <c r="G4907" s="1">
        <v>2000</v>
      </c>
      <c r="H4907" s="5">
        <f t="shared" si="94"/>
        <v>0</v>
      </c>
      <c r="I4907" s="6"/>
      <c r="J4907" s="43"/>
      <c r="K4907" s="51"/>
      <c r="L4907" s="86"/>
      <c r="M4907" s="353"/>
    </row>
    <row r="4908" spans="1:14" s="352" customFormat="1" ht="15" x14ac:dyDescent="0.25">
      <c r="A4908" s="1"/>
      <c r="B4908" s="1" t="s">
        <v>581</v>
      </c>
      <c r="C4908" s="32">
        <v>4259</v>
      </c>
      <c r="D4908" s="1">
        <v>10000</v>
      </c>
      <c r="E4908" s="1"/>
      <c r="F4908" s="1">
        <v>111.41</v>
      </c>
      <c r="G4908" s="1">
        <v>10000</v>
      </c>
      <c r="H4908" s="5">
        <f t="shared" si="94"/>
        <v>0</v>
      </c>
      <c r="I4908" s="6"/>
      <c r="J4908" s="43"/>
      <c r="K4908" s="51"/>
      <c r="L4908" s="86"/>
      <c r="M4908" s="353"/>
    </row>
    <row r="4909" spans="1:14" s="352" customFormat="1" ht="15" x14ac:dyDescent="0.25">
      <c r="A4909" s="1"/>
      <c r="B4909" s="1" t="s">
        <v>581</v>
      </c>
      <c r="C4909" s="32">
        <v>4563</v>
      </c>
      <c r="D4909" s="1">
        <v>23000</v>
      </c>
      <c r="E4909" s="1"/>
      <c r="F4909" s="1">
        <v>240.84</v>
      </c>
      <c r="G4909" s="1">
        <v>23000</v>
      </c>
      <c r="H4909" s="5">
        <f t="shared" si="94"/>
        <v>0</v>
      </c>
      <c r="I4909" s="6"/>
      <c r="J4909" s="43"/>
      <c r="K4909" s="51"/>
      <c r="L4909" s="86"/>
      <c r="M4909" s="353"/>
    </row>
    <row r="4910" spans="1:14" s="352" customFormat="1" ht="15" x14ac:dyDescent="0.25">
      <c r="A4910" s="1"/>
      <c r="B4910" s="1" t="s">
        <v>581</v>
      </c>
      <c r="C4910" s="32">
        <v>9289</v>
      </c>
      <c r="D4910" s="1">
        <v>23000</v>
      </c>
      <c r="E4910" s="1"/>
      <c r="F4910" s="1">
        <v>240.84</v>
      </c>
      <c r="G4910" s="1">
        <v>23000</v>
      </c>
      <c r="H4910" s="5">
        <f t="shared" si="94"/>
        <v>0</v>
      </c>
      <c r="I4910" s="6"/>
      <c r="J4910" s="43"/>
      <c r="K4910" s="51"/>
      <c r="L4910" s="86"/>
      <c r="M4910" s="353"/>
    </row>
    <row r="4911" spans="1:14" s="352" customFormat="1" ht="15" x14ac:dyDescent="0.25">
      <c r="A4911" s="1"/>
      <c r="B4911" s="1" t="s">
        <v>581</v>
      </c>
      <c r="C4911" s="32">
        <v>5250</v>
      </c>
      <c r="D4911" s="1">
        <v>17000</v>
      </c>
      <c r="E4911" s="1"/>
      <c r="F4911" s="1">
        <v>189.62</v>
      </c>
      <c r="G4911" s="1">
        <v>17000</v>
      </c>
      <c r="H4911" s="5">
        <f t="shared" si="94"/>
        <v>0</v>
      </c>
      <c r="I4911" s="6"/>
      <c r="J4911" s="43"/>
      <c r="K4911" s="51"/>
      <c r="L4911" s="86"/>
      <c r="M4911" s="353"/>
    </row>
    <row r="4912" spans="1:14" s="352" customFormat="1" ht="15" x14ac:dyDescent="0.25">
      <c r="A4912" s="1"/>
      <c r="B4912" s="1" t="s">
        <v>581</v>
      </c>
      <c r="C4912" s="32">
        <v>8874</v>
      </c>
      <c r="D4912" s="1">
        <v>30000</v>
      </c>
      <c r="E4912" s="1"/>
      <c r="F4912" s="1">
        <v>334.98</v>
      </c>
      <c r="G4912" s="1">
        <v>30000</v>
      </c>
      <c r="H4912" s="5">
        <f t="shared" si="94"/>
        <v>0</v>
      </c>
      <c r="I4912" s="6"/>
      <c r="J4912" s="43"/>
      <c r="K4912" s="51"/>
      <c r="L4912" s="86"/>
      <c r="M4912" s="353"/>
    </row>
    <row r="4913" spans="1:14" s="352" customFormat="1" ht="15" x14ac:dyDescent="0.25">
      <c r="A4913" s="1"/>
      <c r="B4913" s="1" t="s">
        <v>581</v>
      </c>
      <c r="C4913" s="32" t="s">
        <v>30</v>
      </c>
      <c r="D4913" s="1">
        <v>4500</v>
      </c>
      <c r="E4913" s="1"/>
      <c r="F4913" s="1">
        <v>50.45</v>
      </c>
      <c r="G4913" s="1">
        <v>4500</v>
      </c>
      <c r="H4913" s="5">
        <f t="shared" si="94"/>
        <v>0</v>
      </c>
      <c r="I4913" s="6"/>
      <c r="J4913" s="43"/>
      <c r="K4913" s="51"/>
      <c r="L4913" s="86"/>
      <c r="M4913" s="353"/>
    </row>
    <row r="4914" spans="1:14" s="352" customFormat="1" ht="15" x14ac:dyDescent="0.25">
      <c r="A4914" s="1"/>
      <c r="B4914" s="1" t="s">
        <v>581</v>
      </c>
      <c r="C4914" s="32">
        <v>2809</v>
      </c>
      <c r="D4914" s="1">
        <v>16000</v>
      </c>
      <c r="E4914" s="1"/>
      <c r="F4914" s="1">
        <v>178.22</v>
      </c>
      <c r="G4914" s="1">
        <v>16000</v>
      </c>
      <c r="H4914" s="5">
        <f t="shared" si="94"/>
        <v>0</v>
      </c>
      <c r="I4914" s="6"/>
      <c r="J4914" s="43"/>
      <c r="K4914" s="51"/>
      <c r="L4914" s="86"/>
      <c r="M4914" s="353"/>
    </row>
    <row r="4915" spans="1:14" s="352" customFormat="1" ht="15" x14ac:dyDescent="0.25">
      <c r="A4915" s="1"/>
      <c r="B4915" s="1" t="s">
        <v>581</v>
      </c>
      <c r="C4915" s="32">
        <v>8452</v>
      </c>
      <c r="D4915" s="1">
        <v>10000</v>
      </c>
      <c r="E4915" s="1"/>
      <c r="F4915" s="1">
        <v>111.41</v>
      </c>
      <c r="G4915" s="1">
        <v>10000</v>
      </c>
      <c r="H4915" s="5">
        <f t="shared" si="94"/>
        <v>0</v>
      </c>
      <c r="I4915" s="6"/>
      <c r="J4915" s="43"/>
      <c r="K4915" s="51"/>
      <c r="L4915" s="86"/>
      <c r="M4915" s="353"/>
    </row>
    <row r="4916" spans="1:14" s="352" customFormat="1" ht="15" x14ac:dyDescent="0.25">
      <c r="A4916" s="1"/>
      <c r="B4916" s="1" t="s">
        <v>581</v>
      </c>
      <c r="C4916" s="32">
        <v>8.9399999999999993E-2</v>
      </c>
      <c r="D4916" s="1">
        <v>25000</v>
      </c>
      <c r="E4916" s="1"/>
      <c r="F4916" s="1">
        <v>278.22000000000003</v>
      </c>
      <c r="G4916" s="1">
        <v>25000</v>
      </c>
      <c r="H4916" s="5">
        <f t="shared" si="94"/>
        <v>0</v>
      </c>
      <c r="I4916" s="6"/>
      <c r="J4916" s="43"/>
      <c r="K4916" s="51"/>
      <c r="L4916" s="86"/>
      <c r="M4916" s="353"/>
    </row>
    <row r="4917" spans="1:14" s="352" customFormat="1" ht="15" x14ac:dyDescent="0.25">
      <c r="A4917" s="1"/>
      <c r="B4917" s="1" t="s">
        <v>581</v>
      </c>
      <c r="C4917" s="32">
        <v>3219</v>
      </c>
      <c r="D4917" s="1">
        <v>23000</v>
      </c>
      <c r="E4917" s="1"/>
      <c r="F4917" s="1">
        <v>261.54000000000002</v>
      </c>
      <c r="G4917" s="1">
        <v>23000</v>
      </c>
      <c r="H4917" s="5">
        <f t="shared" si="94"/>
        <v>0</v>
      </c>
      <c r="I4917" s="6"/>
      <c r="J4917" s="43"/>
      <c r="K4917" s="51"/>
      <c r="L4917" s="86"/>
      <c r="M4917" s="353"/>
    </row>
    <row r="4918" spans="1:14" s="352" customFormat="1" ht="15" x14ac:dyDescent="0.25">
      <c r="A4918" s="1"/>
      <c r="B4918" s="1" t="s">
        <v>581</v>
      </c>
      <c r="C4918" s="32">
        <v>5035</v>
      </c>
      <c r="D4918" s="1">
        <v>28000</v>
      </c>
      <c r="E4918" s="1"/>
      <c r="F4918" s="1">
        <v>311.87</v>
      </c>
      <c r="G4918" s="1">
        <v>28000</v>
      </c>
      <c r="H4918" s="5">
        <f t="shared" si="94"/>
        <v>0</v>
      </c>
      <c r="I4918" s="6"/>
      <c r="J4918" s="43"/>
      <c r="K4918" s="51"/>
      <c r="L4918" s="86"/>
      <c r="M4918" s="353"/>
    </row>
    <row r="4919" spans="1:14" s="352" customFormat="1" ht="15" x14ac:dyDescent="0.25">
      <c r="A4919" s="1"/>
      <c r="B4919" s="1" t="s">
        <v>581</v>
      </c>
      <c r="C4919" s="32">
        <v>6957</v>
      </c>
      <c r="D4919" s="1">
        <v>23000</v>
      </c>
      <c r="E4919" s="1"/>
      <c r="F4919" s="1">
        <v>261.54000000000002</v>
      </c>
      <c r="G4919" s="1">
        <v>23000</v>
      </c>
      <c r="H4919" s="5">
        <f t="shared" si="94"/>
        <v>0</v>
      </c>
      <c r="I4919" s="6"/>
      <c r="J4919" s="43"/>
      <c r="K4919" s="51"/>
      <c r="L4919" s="86"/>
      <c r="M4919" s="353"/>
    </row>
    <row r="4920" spans="1:14" s="352" customFormat="1" ht="15" x14ac:dyDescent="0.25">
      <c r="A4920" s="1"/>
      <c r="B4920" s="1" t="s">
        <v>581</v>
      </c>
      <c r="C4920" s="32">
        <v>7600</v>
      </c>
      <c r="D4920" s="1">
        <v>10000</v>
      </c>
      <c r="E4920" s="1"/>
      <c r="F4920" s="1">
        <v>111.41</v>
      </c>
      <c r="G4920" s="1">
        <v>10000</v>
      </c>
      <c r="H4920" s="5">
        <f t="shared" si="94"/>
        <v>0</v>
      </c>
      <c r="I4920" s="6"/>
      <c r="J4920" s="43"/>
      <c r="K4920" s="51"/>
      <c r="L4920" s="86"/>
      <c r="M4920" s="353"/>
    </row>
    <row r="4921" spans="1:14" s="352" customFormat="1" ht="15" x14ac:dyDescent="0.25">
      <c r="A4921" s="1"/>
      <c r="B4921" s="1" t="s">
        <v>581</v>
      </c>
      <c r="C4921" s="32">
        <v>8423</v>
      </c>
      <c r="D4921" s="1">
        <v>25000</v>
      </c>
      <c r="E4921" s="1"/>
      <c r="F4921" s="1">
        <v>278.22000000000003</v>
      </c>
      <c r="G4921" s="1">
        <v>25000</v>
      </c>
      <c r="H4921" s="5">
        <f t="shared" si="94"/>
        <v>0</v>
      </c>
      <c r="I4921" s="6"/>
      <c r="J4921" s="43"/>
      <c r="K4921" s="51"/>
      <c r="L4921" s="86"/>
      <c r="M4921" s="353"/>
    </row>
    <row r="4922" spans="1:14" s="352" customFormat="1" ht="15" x14ac:dyDescent="0.25">
      <c r="A4922" s="1"/>
      <c r="B4922" s="1" t="s">
        <v>581</v>
      </c>
      <c r="C4922" s="32">
        <v>2380</v>
      </c>
      <c r="D4922" s="1">
        <v>25000</v>
      </c>
      <c r="E4922" s="1"/>
      <c r="F4922" s="1">
        <v>278.22000000000003</v>
      </c>
      <c r="G4922" s="1">
        <v>25000</v>
      </c>
      <c r="H4922" s="5">
        <f t="shared" si="94"/>
        <v>0</v>
      </c>
      <c r="I4922" s="6"/>
      <c r="J4922" s="43"/>
      <c r="K4922" s="51"/>
      <c r="L4922" s="86"/>
      <c r="M4922" s="353"/>
    </row>
    <row r="4923" spans="1:14" s="352" customFormat="1" ht="15" x14ac:dyDescent="0.25">
      <c r="A4923" s="1"/>
      <c r="B4923" s="1" t="s">
        <v>581</v>
      </c>
      <c r="C4923" s="32">
        <v>7686</v>
      </c>
      <c r="D4923" s="1">
        <v>25000</v>
      </c>
      <c r="E4923" s="1"/>
      <c r="F4923" s="1">
        <v>278.22000000000003</v>
      </c>
      <c r="G4923" s="1">
        <v>25000</v>
      </c>
      <c r="H4923" s="5">
        <f t="shared" si="94"/>
        <v>0</v>
      </c>
      <c r="I4923" s="6"/>
      <c r="J4923" s="43"/>
      <c r="K4923" s="51"/>
      <c r="L4923" s="86"/>
      <c r="M4923" s="353"/>
    </row>
    <row r="4924" spans="1:14" s="352" customFormat="1" ht="15" x14ac:dyDescent="0.25">
      <c r="A4924" s="1"/>
      <c r="B4924" s="1" t="s">
        <v>581</v>
      </c>
      <c r="C4924" s="32">
        <v>5478</v>
      </c>
      <c r="D4924" s="1">
        <v>27000</v>
      </c>
      <c r="E4924" s="1"/>
      <c r="F4924" s="1">
        <v>300.64</v>
      </c>
      <c r="G4924" s="1">
        <v>27000</v>
      </c>
      <c r="H4924" s="5">
        <f t="shared" si="94"/>
        <v>0</v>
      </c>
      <c r="I4924" s="6"/>
      <c r="J4924" s="43"/>
      <c r="K4924" s="51"/>
      <c r="L4924" s="86"/>
      <c r="M4924" s="353"/>
    </row>
    <row r="4925" spans="1:14" s="352" customFormat="1" ht="15.75" customHeight="1" x14ac:dyDescent="0.25">
      <c r="A4925" s="1"/>
      <c r="B4925" s="1" t="s">
        <v>581</v>
      </c>
      <c r="C4925" s="32">
        <v>8531</v>
      </c>
      <c r="D4925" s="1">
        <v>28000</v>
      </c>
      <c r="E4925" s="1"/>
      <c r="F4925" s="1">
        <v>311.87</v>
      </c>
      <c r="G4925" s="1">
        <v>28000</v>
      </c>
      <c r="H4925" s="5">
        <f t="shared" si="94"/>
        <v>0</v>
      </c>
      <c r="I4925" s="6"/>
      <c r="J4925" s="43"/>
      <c r="K4925" s="51"/>
      <c r="L4925" s="86">
        <f>2258982-2239068</f>
        <v>19914</v>
      </c>
      <c r="M4925" s="353" t="s">
        <v>582</v>
      </c>
      <c r="N4925" s="352">
        <f>19914-16671</f>
        <v>3243</v>
      </c>
    </row>
    <row r="4926" spans="1:14" ht="15" x14ac:dyDescent="0.25">
      <c r="A4926" s="1"/>
      <c r="B4926" s="1"/>
      <c r="C4926" s="20" t="s">
        <v>9</v>
      </c>
      <c r="D4926" s="21">
        <f>SUM(D5:D4925)</f>
        <v>85847272</v>
      </c>
      <c r="E4926" s="22"/>
      <c r="F4926" s="23">
        <f>SUM(F10:F4925)</f>
        <v>956824.09265004715</v>
      </c>
      <c r="G4926" s="21">
        <f>SUM(G5:G4925)</f>
        <v>85847272</v>
      </c>
      <c r="H4926" s="22"/>
      <c r="I4926" s="24">
        <f>SUM(I10:I588)</f>
        <v>84008204</v>
      </c>
      <c r="L4926" s="45"/>
    </row>
    <row r="4927" spans="1:14" ht="15" x14ac:dyDescent="0.25">
      <c r="A4927" s="44"/>
      <c r="B4927" s="1"/>
      <c r="C4927" s="20" t="s">
        <v>10</v>
      </c>
      <c r="D4927" s="25">
        <f>SUM(D4926-I4926)</f>
        <v>1839068</v>
      </c>
      <c r="E4927" s="22"/>
      <c r="F4927" s="22"/>
      <c r="G4927" s="26" t="s">
        <v>10</v>
      </c>
      <c r="H4927" s="25">
        <f>SUM(G4926-I4926)</f>
        <v>1839068</v>
      </c>
      <c r="I4927" s="25"/>
    </row>
    <row r="4928" spans="1:14" ht="15" x14ac:dyDescent="0.25">
      <c r="A4928" s="41"/>
      <c r="K4928" s="48"/>
      <c r="L4928" s="48"/>
    </row>
    <row r="4929" spans="4:14" x14ac:dyDescent="0.2">
      <c r="F4929" s="29"/>
      <c r="K4929" s="40">
        <f>1839068+400000+17000</f>
        <v>2256068</v>
      </c>
      <c r="L4929" s="40">
        <f>2259031-2256068</f>
        <v>2963</v>
      </c>
    </row>
    <row r="4930" spans="4:14" x14ac:dyDescent="0.2">
      <c r="D4930" s="29"/>
      <c r="E4930" t="s">
        <v>75</v>
      </c>
      <c r="K4930" s="40"/>
      <c r="L4930" s="40"/>
      <c r="N4930" s="340"/>
    </row>
    <row r="4931" spans="4:14" x14ac:dyDescent="0.2">
      <c r="D4931" s="29"/>
      <c r="E4931" s="29"/>
      <c r="I4931" s="29" t="s">
        <v>173</v>
      </c>
      <c r="K4931" s="40"/>
      <c r="L4931" s="40"/>
    </row>
    <row r="4932" spans="4:14" x14ac:dyDescent="0.2">
      <c r="D4932" s="314"/>
      <c r="E4932" s="314"/>
      <c r="F4932" s="314"/>
      <c r="K4932" s="40"/>
      <c r="L4932" s="40"/>
    </row>
    <row r="4933" spans="4:14" x14ac:dyDescent="0.2">
      <c r="D4933" s="314"/>
      <c r="E4933" s="314"/>
      <c r="F4933" s="314"/>
      <c r="K4933" s="40"/>
      <c r="L4933" s="41"/>
    </row>
    <row r="4934" spans="4:14" x14ac:dyDescent="0.2">
      <c r="D4934" s="314"/>
      <c r="E4934" s="314"/>
      <c r="F4934" s="314"/>
      <c r="K4934" s="40"/>
      <c r="L4934" s="41"/>
    </row>
    <row r="4935" spans="4:14" x14ac:dyDescent="0.2">
      <c r="D4935" s="314"/>
      <c r="E4935" s="314"/>
      <c r="F4935" s="314"/>
      <c r="K4935" s="40"/>
      <c r="L4935" s="41"/>
    </row>
    <row r="4937" spans="4:14" x14ac:dyDescent="0.2">
      <c r="H4937" t="s">
        <v>75</v>
      </c>
    </row>
    <row r="4945" spans="9:9" x14ac:dyDescent="0.2">
      <c r="I4945" s="211"/>
    </row>
  </sheetData>
  <sortState ref="A2:P4643">
    <sortCondition ref="H3867"/>
  </sortState>
  <mergeCells count="1">
    <mergeCell ref="A2:I2"/>
  </mergeCells>
  <pageMargins left="0.17" right="0.26" top="0.75" bottom="0.75" header="0.25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8"/>
  <sheetViews>
    <sheetView topLeftCell="A2163" workbookViewId="0">
      <selection activeCell="I2184" sqref="I2184"/>
    </sheetView>
  </sheetViews>
  <sheetFormatPr defaultRowHeight="14.25" x14ac:dyDescent="0.2"/>
  <cols>
    <col min="3" max="3" width="17.25" customWidth="1"/>
    <col min="4" max="4" width="17.75" customWidth="1"/>
    <col min="6" max="6" width="10.375" customWidth="1"/>
    <col min="7" max="7" width="13.625" customWidth="1"/>
    <col min="8" max="8" width="14.375" customWidth="1"/>
    <col min="9" max="9" width="13.25" customWidth="1"/>
  </cols>
  <sheetData>
    <row r="1" spans="1:10" ht="18.75" x14ac:dyDescent="0.3">
      <c r="A1" s="765" t="s">
        <v>0</v>
      </c>
      <c r="B1" s="766"/>
      <c r="C1" s="766"/>
      <c r="D1" s="766"/>
      <c r="E1" s="766"/>
      <c r="F1" s="766"/>
      <c r="G1" s="766"/>
      <c r="H1" s="766"/>
      <c r="I1" s="767"/>
    </row>
    <row r="2" spans="1:10" ht="15" x14ac:dyDescent="0.25">
      <c r="A2" s="1"/>
      <c r="B2" s="1"/>
      <c r="C2" s="2"/>
      <c r="D2" s="1"/>
      <c r="E2" s="3" t="s">
        <v>11</v>
      </c>
      <c r="F2" s="4">
        <v>2022</v>
      </c>
      <c r="G2" s="1"/>
      <c r="H2" s="5"/>
      <c r="I2" s="1"/>
    </row>
    <row r="3" spans="1:10" ht="15" x14ac:dyDescent="0.25">
      <c r="A3" s="6" t="s">
        <v>1</v>
      </c>
      <c r="B3" s="7" t="s">
        <v>2</v>
      </c>
      <c r="C3" s="8" t="s">
        <v>3</v>
      </c>
      <c r="D3" s="9" t="s">
        <v>4</v>
      </c>
      <c r="E3" s="10"/>
      <c r="F3" s="11" t="s">
        <v>5</v>
      </c>
      <c r="G3" s="12" t="s">
        <v>6</v>
      </c>
      <c r="H3" s="13" t="s">
        <v>7</v>
      </c>
      <c r="I3" s="1"/>
    </row>
    <row r="4" spans="1:10" ht="15" x14ac:dyDescent="0.25">
      <c r="A4" s="33" t="s">
        <v>172</v>
      </c>
      <c r="B4" s="33"/>
      <c r="C4" s="109"/>
      <c r="D4" s="89">
        <v>77264</v>
      </c>
      <c r="E4" s="110"/>
      <c r="F4" s="33"/>
      <c r="G4" s="33">
        <v>77264</v>
      </c>
      <c r="H4" s="5">
        <f t="shared" ref="H4" si="0">D4-G4</f>
        <v>0</v>
      </c>
      <c r="I4" s="14" t="s">
        <v>8</v>
      </c>
    </row>
    <row r="5" spans="1:10" ht="15" x14ac:dyDescent="0.25">
      <c r="A5" s="33" t="s">
        <v>274</v>
      </c>
      <c r="B5" s="33"/>
      <c r="C5" s="109"/>
      <c r="D5" s="89">
        <v>23903</v>
      </c>
      <c r="E5" s="110"/>
      <c r="F5" s="33"/>
      <c r="G5" s="33">
        <v>23903</v>
      </c>
      <c r="H5" s="5"/>
      <c r="I5" s="14"/>
    </row>
    <row r="6" spans="1:10" ht="18.75" x14ac:dyDescent="0.3">
      <c r="B6" s="64" t="s">
        <v>23</v>
      </c>
      <c r="C6" s="176" t="s">
        <v>358</v>
      </c>
      <c r="D6" s="64">
        <v>1999075</v>
      </c>
      <c r="E6" s="64"/>
      <c r="F6" s="64"/>
      <c r="G6" s="64">
        <v>1999075</v>
      </c>
      <c r="H6" s="1"/>
      <c r="I6" s="30">
        <v>200000</v>
      </c>
      <c r="J6" s="30" t="s">
        <v>23</v>
      </c>
    </row>
    <row r="7" spans="1:10" ht="15" x14ac:dyDescent="0.25">
      <c r="B7" s="1" t="s">
        <v>29</v>
      </c>
      <c r="C7" s="15">
        <v>4393</v>
      </c>
      <c r="D7" s="28">
        <v>21000</v>
      </c>
      <c r="E7" s="59"/>
      <c r="F7" s="17">
        <v>225.51</v>
      </c>
      <c r="G7" s="28">
        <v>21000</v>
      </c>
      <c r="H7" s="1">
        <f t="shared" ref="H7:H70" si="1">D7-G7</f>
        <v>0</v>
      </c>
      <c r="I7" s="30">
        <v>300000</v>
      </c>
      <c r="J7" s="19" t="s">
        <v>29</v>
      </c>
    </row>
    <row r="8" spans="1:10" ht="15" x14ac:dyDescent="0.25">
      <c r="B8" s="1" t="s">
        <v>29</v>
      </c>
      <c r="C8" s="15">
        <v>5185</v>
      </c>
      <c r="D8" s="28">
        <v>9000</v>
      </c>
      <c r="E8" s="59"/>
      <c r="F8" s="17">
        <v>96.65</v>
      </c>
      <c r="G8" s="28">
        <v>9000</v>
      </c>
      <c r="H8" s="1">
        <f t="shared" si="1"/>
        <v>0</v>
      </c>
      <c r="I8" s="114">
        <v>300000</v>
      </c>
      <c r="J8" s="115" t="s">
        <v>31</v>
      </c>
    </row>
    <row r="9" spans="1:10" ht="15" x14ac:dyDescent="0.25">
      <c r="B9" s="1" t="s">
        <v>29</v>
      </c>
      <c r="C9" s="15" t="s">
        <v>44</v>
      </c>
      <c r="D9" s="28">
        <v>26000</v>
      </c>
      <c r="E9" s="59"/>
      <c r="F9" s="17">
        <v>279.20999999999998</v>
      </c>
      <c r="G9" s="28">
        <v>26000</v>
      </c>
      <c r="H9" s="1">
        <f t="shared" si="1"/>
        <v>0</v>
      </c>
      <c r="I9" s="30">
        <v>800000</v>
      </c>
      <c r="J9" s="19" t="s">
        <v>48</v>
      </c>
    </row>
    <row r="10" spans="1:10" ht="15" x14ac:dyDescent="0.25">
      <c r="B10" s="1" t="s">
        <v>29</v>
      </c>
      <c r="C10" s="15" t="s">
        <v>45</v>
      </c>
      <c r="D10" s="28">
        <v>9000</v>
      </c>
      <c r="E10" s="59"/>
      <c r="F10" s="17">
        <v>96.65</v>
      </c>
      <c r="G10" s="28">
        <v>9000</v>
      </c>
      <c r="H10" s="1">
        <f t="shared" si="1"/>
        <v>0</v>
      </c>
      <c r="I10" s="30">
        <v>400000</v>
      </c>
      <c r="J10" s="19" t="s">
        <v>50</v>
      </c>
    </row>
    <row r="11" spans="1:10" ht="15" x14ac:dyDescent="0.25">
      <c r="B11" s="1" t="s">
        <v>29</v>
      </c>
      <c r="C11" s="15">
        <v>7514</v>
      </c>
      <c r="D11" s="28">
        <v>29000</v>
      </c>
      <c r="E11" s="59"/>
      <c r="F11" s="17">
        <v>311.42</v>
      </c>
      <c r="G11" s="28">
        <v>29000</v>
      </c>
      <c r="H11" s="1">
        <f t="shared" si="1"/>
        <v>0</v>
      </c>
      <c r="I11" s="30">
        <v>700000</v>
      </c>
      <c r="J11" s="19" t="s">
        <v>51</v>
      </c>
    </row>
    <row r="12" spans="1:10" ht="15" x14ac:dyDescent="0.25">
      <c r="B12" s="1" t="s">
        <v>29</v>
      </c>
      <c r="C12" s="15">
        <v>4924</v>
      </c>
      <c r="D12" s="28">
        <v>12000</v>
      </c>
      <c r="E12" s="59"/>
      <c r="F12" s="17">
        <v>128.87</v>
      </c>
      <c r="G12" s="28">
        <v>12000</v>
      </c>
      <c r="H12" s="1">
        <f t="shared" si="1"/>
        <v>0</v>
      </c>
      <c r="I12" s="30">
        <v>400000</v>
      </c>
      <c r="J12" s="19" t="s">
        <v>53</v>
      </c>
    </row>
    <row r="13" spans="1:10" ht="15" x14ac:dyDescent="0.25">
      <c r="B13" s="1" t="s">
        <v>29</v>
      </c>
      <c r="C13" s="15" t="s">
        <v>30</v>
      </c>
      <c r="D13" s="28">
        <v>3500</v>
      </c>
      <c r="E13" s="59"/>
      <c r="F13" s="17">
        <v>37.58</v>
      </c>
      <c r="G13" s="28">
        <v>3500</v>
      </c>
      <c r="H13" s="1">
        <f t="shared" si="1"/>
        <v>0</v>
      </c>
      <c r="I13" s="30">
        <v>800000</v>
      </c>
      <c r="J13" s="19" t="s">
        <v>58</v>
      </c>
    </row>
    <row r="14" spans="1:10" ht="15" x14ac:dyDescent="0.25">
      <c r="B14" s="1" t="s">
        <v>29</v>
      </c>
      <c r="C14" s="15">
        <v>7029</v>
      </c>
      <c r="D14" s="28">
        <v>12000</v>
      </c>
      <c r="E14" s="1"/>
      <c r="F14" s="17">
        <v>128.86000000000001</v>
      </c>
      <c r="G14" s="28">
        <v>12000</v>
      </c>
      <c r="H14" s="1">
        <f t="shared" si="1"/>
        <v>0</v>
      </c>
      <c r="I14" s="30">
        <v>600000</v>
      </c>
      <c r="J14" s="30" t="s">
        <v>60</v>
      </c>
    </row>
    <row r="15" spans="1:10" ht="15" x14ac:dyDescent="0.25">
      <c r="B15" s="1" t="s">
        <v>29</v>
      </c>
      <c r="C15" s="15">
        <v>3505</v>
      </c>
      <c r="D15" s="16">
        <v>29000</v>
      </c>
      <c r="E15" s="1"/>
      <c r="F15" s="17">
        <v>311.43</v>
      </c>
      <c r="G15" s="16">
        <v>29000</v>
      </c>
      <c r="H15" s="1">
        <f t="shared" si="1"/>
        <v>0</v>
      </c>
      <c r="I15" s="30">
        <v>300000</v>
      </c>
      <c r="J15" s="30" t="s">
        <v>65</v>
      </c>
    </row>
    <row r="16" spans="1:10" ht="15" x14ac:dyDescent="0.25">
      <c r="B16" s="1" t="s">
        <v>29</v>
      </c>
      <c r="C16" s="15">
        <v>7780</v>
      </c>
      <c r="D16" s="16">
        <v>21000</v>
      </c>
      <c r="E16" s="1"/>
      <c r="F16" s="17">
        <v>225.51</v>
      </c>
      <c r="G16" s="16">
        <v>21000</v>
      </c>
      <c r="H16" s="1">
        <f t="shared" si="1"/>
        <v>0</v>
      </c>
      <c r="I16" s="30">
        <v>200000</v>
      </c>
      <c r="J16" s="30" t="s">
        <v>67</v>
      </c>
    </row>
    <row r="17" spans="2:10" ht="15" x14ac:dyDescent="0.25">
      <c r="B17" s="1" t="s">
        <v>29</v>
      </c>
      <c r="C17" s="15">
        <v>1220</v>
      </c>
      <c r="D17" s="16">
        <v>14000</v>
      </c>
      <c r="E17" s="1"/>
      <c r="F17" s="17">
        <v>150.34</v>
      </c>
      <c r="G17" s="16">
        <v>14000</v>
      </c>
      <c r="H17" s="1">
        <f t="shared" si="1"/>
        <v>0</v>
      </c>
      <c r="I17" s="30">
        <v>400000</v>
      </c>
      <c r="J17" s="30" t="s">
        <v>70</v>
      </c>
    </row>
    <row r="18" spans="2:10" ht="15" x14ac:dyDescent="0.25">
      <c r="B18" s="1" t="s">
        <v>29</v>
      </c>
      <c r="C18" s="15">
        <v>941</v>
      </c>
      <c r="D18" s="16">
        <v>14000</v>
      </c>
      <c r="E18" s="1"/>
      <c r="F18" s="17">
        <v>150.34</v>
      </c>
      <c r="G18" s="16">
        <v>14000</v>
      </c>
      <c r="H18" s="1">
        <f t="shared" si="1"/>
        <v>0</v>
      </c>
      <c r="I18" s="30">
        <v>100000</v>
      </c>
      <c r="J18" s="30" t="s">
        <v>71</v>
      </c>
    </row>
    <row r="19" spans="2:10" ht="15" x14ac:dyDescent="0.25">
      <c r="B19" s="1" t="s">
        <v>29</v>
      </c>
      <c r="C19" s="15">
        <v>1352</v>
      </c>
      <c r="D19" s="16">
        <v>12000</v>
      </c>
      <c r="E19" s="1"/>
      <c r="F19" s="17">
        <v>128.86000000000001</v>
      </c>
      <c r="G19" s="16">
        <v>12000</v>
      </c>
      <c r="H19" s="1">
        <f t="shared" si="1"/>
        <v>0</v>
      </c>
      <c r="I19" s="30">
        <v>400000</v>
      </c>
      <c r="J19" s="30" t="s">
        <v>74</v>
      </c>
    </row>
    <row r="20" spans="2:10" ht="15" x14ac:dyDescent="0.25">
      <c r="B20" s="1" t="s">
        <v>29</v>
      </c>
      <c r="C20" s="32" t="s">
        <v>30</v>
      </c>
      <c r="D20" s="16">
        <v>5000</v>
      </c>
      <c r="E20" s="1"/>
      <c r="F20" s="17">
        <v>53.69</v>
      </c>
      <c r="G20" s="16">
        <v>5000</v>
      </c>
      <c r="H20" s="1">
        <f t="shared" si="1"/>
        <v>0</v>
      </c>
      <c r="I20" s="30">
        <v>300000</v>
      </c>
      <c r="J20" s="30" t="s">
        <v>76</v>
      </c>
    </row>
    <row r="21" spans="2:10" ht="15" x14ac:dyDescent="0.25">
      <c r="B21" s="1" t="s">
        <v>29</v>
      </c>
      <c r="C21" s="15">
        <v>3226</v>
      </c>
      <c r="D21" s="16">
        <v>17000</v>
      </c>
      <c r="E21" s="1"/>
      <c r="F21" s="17">
        <v>182.56</v>
      </c>
      <c r="G21" s="16">
        <v>17000</v>
      </c>
      <c r="H21" s="1">
        <f t="shared" si="1"/>
        <v>0</v>
      </c>
      <c r="I21" s="30">
        <v>100000</v>
      </c>
      <c r="J21" s="30" t="s">
        <v>77</v>
      </c>
    </row>
    <row r="22" spans="2:10" ht="15" x14ac:dyDescent="0.25">
      <c r="B22" s="1" t="s">
        <v>29</v>
      </c>
      <c r="C22" s="15">
        <v>4623</v>
      </c>
      <c r="D22" s="16">
        <v>18000</v>
      </c>
      <c r="E22" s="1"/>
      <c r="F22" s="17">
        <v>193.29</v>
      </c>
      <c r="G22" s="16">
        <v>18000</v>
      </c>
      <c r="H22" s="1">
        <f t="shared" si="1"/>
        <v>0</v>
      </c>
      <c r="I22" s="30">
        <v>100000</v>
      </c>
      <c r="J22" s="30" t="s">
        <v>78</v>
      </c>
    </row>
    <row r="23" spans="2:10" ht="15" x14ac:dyDescent="0.25">
      <c r="B23" s="1" t="s">
        <v>29</v>
      </c>
      <c r="C23" s="15">
        <v>5305</v>
      </c>
      <c r="D23" s="16">
        <v>22000</v>
      </c>
      <c r="E23" s="1"/>
      <c r="F23" s="17">
        <v>236.25</v>
      </c>
      <c r="G23" s="16">
        <v>22000</v>
      </c>
      <c r="H23" s="1">
        <f t="shared" si="1"/>
        <v>0</v>
      </c>
      <c r="I23" s="30">
        <v>200000</v>
      </c>
      <c r="J23" s="30" t="s">
        <v>79</v>
      </c>
    </row>
    <row r="24" spans="2:10" ht="15" x14ac:dyDescent="0.25">
      <c r="B24" s="1" t="s">
        <v>29</v>
      </c>
      <c r="C24" s="15">
        <v>4326</v>
      </c>
      <c r="D24" s="16">
        <v>18000</v>
      </c>
      <c r="E24" s="1"/>
      <c r="F24" s="17">
        <v>193.3</v>
      </c>
      <c r="G24" s="16">
        <v>18000</v>
      </c>
      <c r="H24" s="1">
        <f t="shared" si="1"/>
        <v>0</v>
      </c>
      <c r="I24" s="30">
        <v>400000</v>
      </c>
      <c r="J24" s="30" t="s">
        <v>83</v>
      </c>
    </row>
    <row r="25" spans="2:10" ht="15" x14ac:dyDescent="0.25">
      <c r="B25" s="1" t="s">
        <v>29</v>
      </c>
      <c r="C25" s="15">
        <v>8526</v>
      </c>
      <c r="D25" s="16">
        <v>18000</v>
      </c>
      <c r="E25" s="1"/>
      <c r="F25" s="17">
        <v>193.3</v>
      </c>
      <c r="G25" s="16">
        <v>18000</v>
      </c>
      <c r="H25" s="1">
        <f t="shared" si="1"/>
        <v>0</v>
      </c>
      <c r="I25" s="30">
        <v>200000</v>
      </c>
      <c r="J25" s="30" t="s">
        <v>84</v>
      </c>
    </row>
    <row r="26" spans="2:10" ht="15" x14ac:dyDescent="0.25">
      <c r="B26" s="1" t="s">
        <v>29</v>
      </c>
      <c r="C26" s="15">
        <v>7466</v>
      </c>
      <c r="D26" s="16">
        <v>8000</v>
      </c>
      <c r="E26" s="1"/>
      <c r="F26" s="17">
        <v>85.91</v>
      </c>
      <c r="G26" s="16">
        <v>8000</v>
      </c>
      <c r="H26" s="1">
        <f t="shared" si="1"/>
        <v>0</v>
      </c>
      <c r="I26" s="30">
        <v>200000</v>
      </c>
      <c r="J26" s="30" t="s">
        <v>85</v>
      </c>
    </row>
    <row r="27" spans="2:10" ht="15" x14ac:dyDescent="0.25">
      <c r="B27" s="1" t="s">
        <v>29</v>
      </c>
      <c r="C27" s="15">
        <v>4953</v>
      </c>
      <c r="D27" s="16">
        <v>6000</v>
      </c>
      <c r="E27" s="1"/>
      <c r="F27" s="17">
        <v>67.430000000000007</v>
      </c>
      <c r="G27" s="16">
        <v>6000</v>
      </c>
      <c r="H27" s="1">
        <f t="shared" si="1"/>
        <v>0</v>
      </c>
      <c r="I27" s="30">
        <v>200000</v>
      </c>
      <c r="J27" s="30" t="s">
        <v>87</v>
      </c>
    </row>
    <row r="28" spans="2:10" ht="15" x14ac:dyDescent="0.25">
      <c r="B28" s="1" t="s">
        <v>29</v>
      </c>
      <c r="C28" s="15">
        <v>7271</v>
      </c>
      <c r="D28" s="16">
        <v>10000</v>
      </c>
      <c r="E28" s="1"/>
      <c r="F28" s="17">
        <v>107.38</v>
      </c>
      <c r="G28" s="16">
        <v>10000</v>
      </c>
      <c r="H28" s="1">
        <f t="shared" si="1"/>
        <v>0</v>
      </c>
      <c r="I28" s="30">
        <v>100000</v>
      </c>
      <c r="J28" s="30" t="s">
        <v>88</v>
      </c>
    </row>
    <row r="29" spans="2:10" ht="15" x14ac:dyDescent="0.25">
      <c r="B29" s="1" t="s">
        <v>29</v>
      </c>
      <c r="C29" s="15">
        <v>1712</v>
      </c>
      <c r="D29" s="16">
        <v>35000</v>
      </c>
      <c r="E29" s="1"/>
      <c r="F29" s="17">
        <v>375.85</v>
      </c>
      <c r="G29" s="16">
        <v>35000</v>
      </c>
      <c r="H29" s="1">
        <f t="shared" si="1"/>
        <v>0</v>
      </c>
      <c r="I29" s="30">
        <v>100000</v>
      </c>
      <c r="J29" s="30" t="s">
        <v>89</v>
      </c>
    </row>
    <row r="30" spans="2:10" ht="15" x14ac:dyDescent="0.25">
      <c r="B30" s="1" t="s">
        <v>29</v>
      </c>
      <c r="C30" s="15">
        <v>7562</v>
      </c>
      <c r="D30" s="16">
        <v>18000</v>
      </c>
      <c r="E30" s="1"/>
      <c r="F30" s="17">
        <v>193.29</v>
      </c>
      <c r="G30" s="16">
        <v>18000</v>
      </c>
      <c r="H30" s="1">
        <f t="shared" si="1"/>
        <v>0</v>
      </c>
      <c r="I30" s="30">
        <v>400000</v>
      </c>
      <c r="J30" s="30" t="s">
        <v>92</v>
      </c>
    </row>
    <row r="31" spans="2:10" ht="15" x14ac:dyDescent="0.25">
      <c r="B31" s="1" t="s">
        <v>29</v>
      </c>
      <c r="C31" s="15">
        <v>1887</v>
      </c>
      <c r="D31" s="16">
        <v>14000</v>
      </c>
      <c r="E31" s="1"/>
      <c r="F31" s="17">
        <v>150.34</v>
      </c>
      <c r="G31" s="16">
        <v>14000</v>
      </c>
      <c r="H31" s="1">
        <f t="shared" si="1"/>
        <v>0</v>
      </c>
      <c r="I31" s="30">
        <v>400000</v>
      </c>
      <c r="J31" s="30" t="s">
        <v>96</v>
      </c>
    </row>
    <row r="32" spans="2:10" ht="15" x14ac:dyDescent="0.25">
      <c r="B32" s="1" t="s">
        <v>29</v>
      </c>
      <c r="C32" s="15">
        <v>1172</v>
      </c>
      <c r="D32" s="1">
        <v>30000</v>
      </c>
      <c r="E32" s="1"/>
      <c r="F32" s="17">
        <v>322.16000000000003</v>
      </c>
      <c r="G32" s="1">
        <v>30000</v>
      </c>
      <c r="H32" s="1">
        <f t="shared" si="1"/>
        <v>0</v>
      </c>
      <c r="I32" s="30">
        <v>200000</v>
      </c>
      <c r="J32" s="30" t="s">
        <v>100</v>
      </c>
    </row>
    <row r="33" spans="2:10" ht="15" x14ac:dyDescent="0.25">
      <c r="B33" s="1" t="s">
        <v>29</v>
      </c>
      <c r="C33" s="15">
        <v>6717</v>
      </c>
      <c r="D33" s="16">
        <v>23000</v>
      </c>
      <c r="E33" s="1"/>
      <c r="F33" s="17">
        <v>246.99</v>
      </c>
      <c r="G33" s="16">
        <v>23000</v>
      </c>
      <c r="H33" s="1">
        <f t="shared" si="1"/>
        <v>0</v>
      </c>
      <c r="I33" s="30">
        <v>200000</v>
      </c>
      <c r="J33" s="30" t="s">
        <v>104</v>
      </c>
    </row>
    <row r="34" spans="2:10" ht="15" x14ac:dyDescent="0.25">
      <c r="B34" s="1" t="s">
        <v>29</v>
      </c>
      <c r="C34" s="15">
        <v>1179</v>
      </c>
      <c r="D34" s="16">
        <v>14000</v>
      </c>
      <c r="E34" s="1"/>
      <c r="F34" s="17">
        <v>149.06</v>
      </c>
      <c r="G34" s="16">
        <v>14000</v>
      </c>
      <c r="H34" s="1">
        <f t="shared" si="1"/>
        <v>0</v>
      </c>
      <c r="I34" s="30">
        <v>200000</v>
      </c>
      <c r="J34" s="30" t="s">
        <v>106</v>
      </c>
    </row>
    <row r="35" spans="2:10" ht="15" x14ac:dyDescent="0.25">
      <c r="B35" s="1" t="s">
        <v>29</v>
      </c>
      <c r="C35" s="15">
        <v>1246</v>
      </c>
      <c r="D35" s="16">
        <v>8000</v>
      </c>
      <c r="E35" s="1"/>
      <c r="F35" s="17">
        <v>85.91</v>
      </c>
      <c r="G35" s="16">
        <v>8000</v>
      </c>
      <c r="H35" s="1">
        <f t="shared" si="1"/>
        <v>0</v>
      </c>
      <c r="I35" s="30">
        <v>200000</v>
      </c>
      <c r="J35" s="30" t="s">
        <v>107</v>
      </c>
    </row>
    <row r="36" spans="2:10" ht="15" x14ac:dyDescent="0.25">
      <c r="B36" s="1" t="s">
        <v>29</v>
      </c>
      <c r="C36" s="15" t="s">
        <v>47</v>
      </c>
      <c r="D36" s="16">
        <v>5000</v>
      </c>
      <c r="E36" s="1"/>
      <c r="F36" s="17">
        <v>53.69</v>
      </c>
      <c r="G36" s="16">
        <v>5000</v>
      </c>
      <c r="H36" s="1">
        <f t="shared" si="1"/>
        <v>0</v>
      </c>
      <c r="I36" s="30">
        <v>100000</v>
      </c>
      <c r="J36" s="30" t="s">
        <v>111</v>
      </c>
    </row>
    <row r="37" spans="2:10" ht="15" x14ac:dyDescent="0.25">
      <c r="B37" s="1" t="s">
        <v>31</v>
      </c>
      <c r="C37" s="15">
        <v>7006</v>
      </c>
      <c r="D37" s="16">
        <v>30000</v>
      </c>
      <c r="E37" s="1"/>
      <c r="F37" s="17">
        <v>319.42</v>
      </c>
      <c r="G37" s="16">
        <v>30000</v>
      </c>
      <c r="H37" s="1">
        <f t="shared" si="1"/>
        <v>0</v>
      </c>
      <c r="I37" s="30">
        <v>100000</v>
      </c>
      <c r="J37" s="30" t="s">
        <v>112</v>
      </c>
    </row>
    <row r="38" spans="2:10" ht="15" x14ac:dyDescent="0.25">
      <c r="B38" s="1" t="s">
        <v>31</v>
      </c>
      <c r="C38" s="15">
        <v>6021</v>
      </c>
      <c r="D38" s="16">
        <v>17000</v>
      </c>
      <c r="E38" s="1"/>
      <c r="F38" s="17">
        <v>179.45</v>
      </c>
      <c r="G38" s="16">
        <v>17000</v>
      </c>
      <c r="H38" s="1">
        <f t="shared" si="1"/>
        <v>0</v>
      </c>
      <c r="I38" s="30">
        <v>100000</v>
      </c>
      <c r="J38" s="30" t="s">
        <v>114</v>
      </c>
    </row>
    <row r="39" spans="2:10" ht="15" x14ac:dyDescent="0.25">
      <c r="B39" s="1" t="s">
        <v>31</v>
      </c>
      <c r="C39" s="15">
        <v>8010</v>
      </c>
      <c r="D39" s="16">
        <v>24000</v>
      </c>
      <c r="E39" s="1"/>
      <c r="F39" s="17">
        <v>255.53</v>
      </c>
      <c r="G39" s="16">
        <v>24000</v>
      </c>
      <c r="H39" s="1">
        <f t="shared" si="1"/>
        <v>0</v>
      </c>
      <c r="I39" s="30">
        <v>100000</v>
      </c>
      <c r="J39" s="30" t="s">
        <v>115</v>
      </c>
    </row>
    <row r="40" spans="2:10" ht="15" x14ac:dyDescent="0.25">
      <c r="B40" s="1" t="s">
        <v>31</v>
      </c>
      <c r="C40" s="15">
        <v>9189</v>
      </c>
      <c r="D40" s="16">
        <v>13000</v>
      </c>
      <c r="E40" s="1"/>
      <c r="F40" s="17">
        <v>138.41</v>
      </c>
      <c r="G40" s="16">
        <v>13000</v>
      </c>
      <c r="H40" s="1">
        <f t="shared" si="1"/>
        <v>0</v>
      </c>
      <c r="I40" s="30">
        <v>200000</v>
      </c>
      <c r="J40" s="30" t="s">
        <v>117</v>
      </c>
    </row>
    <row r="41" spans="2:10" ht="15" x14ac:dyDescent="0.25">
      <c r="B41" s="1" t="s">
        <v>31</v>
      </c>
      <c r="C41" s="15">
        <v>5924</v>
      </c>
      <c r="D41" s="16">
        <v>27000</v>
      </c>
      <c r="E41" s="1"/>
      <c r="F41" s="17">
        <v>287.48</v>
      </c>
      <c r="G41" s="16">
        <v>27000</v>
      </c>
      <c r="H41" s="1">
        <f t="shared" si="1"/>
        <v>0</v>
      </c>
      <c r="I41" s="30">
        <v>300000</v>
      </c>
      <c r="J41" s="30" t="s">
        <v>120</v>
      </c>
    </row>
    <row r="42" spans="2:10" ht="15" x14ac:dyDescent="0.25">
      <c r="B42" s="1" t="s">
        <v>31</v>
      </c>
      <c r="C42" s="15">
        <v>2323</v>
      </c>
      <c r="D42" s="16">
        <v>19000</v>
      </c>
      <c r="E42" s="1"/>
      <c r="F42" s="17">
        <v>202.3</v>
      </c>
      <c r="G42" s="16">
        <v>19000</v>
      </c>
      <c r="H42" s="1">
        <f t="shared" si="1"/>
        <v>0</v>
      </c>
      <c r="I42" s="30">
        <v>200000</v>
      </c>
      <c r="J42" s="30" t="s">
        <v>122</v>
      </c>
    </row>
    <row r="43" spans="2:10" ht="15" x14ac:dyDescent="0.25">
      <c r="B43" s="1" t="s">
        <v>31</v>
      </c>
      <c r="C43" s="15">
        <v>5826</v>
      </c>
      <c r="D43" s="16">
        <v>10000</v>
      </c>
      <c r="E43" s="1"/>
      <c r="F43" s="17">
        <v>106.47</v>
      </c>
      <c r="G43" s="16">
        <v>10000</v>
      </c>
      <c r="H43" s="1">
        <f t="shared" si="1"/>
        <v>0</v>
      </c>
      <c r="I43" s="30">
        <v>300000</v>
      </c>
      <c r="J43" s="30" t="s">
        <v>123</v>
      </c>
    </row>
    <row r="44" spans="2:10" ht="15" x14ac:dyDescent="0.25">
      <c r="B44" s="1" t="s">
        <v>31</v>
      </c>
      <c r="C44" s="15">
        <v>1309</v>
      </c>
      <c r="D44" s="16">
        <v>8000</v>
      </c>
      <c r="E44" s="1"/>
      <c r="F44" s="17">
        <v>85.18</v>
      </c>
      <c r="G44" s="16">
        <v>8000</v>
      </c>
      <c r="H44" s="1">
        <f t="shared" si="1"/>
        <v>0</v>
      </c>
      <c r="I44" s="30">
        <v>400000</v>
      </c>
      <c r="J44" s="30" t="s">
        <v>124</v>
      </c>
    </row>
    <row r="45" spans="2:10" ht="15" x14ac:dyDescent="0.25">
      <c r="B45" s="1" t="s">
        <v>31</v>
      </c>
      <c r="C45" s="15">
        <v>2708</v>
      </c>
      <c r="D45" s="16">
        <v>16000</v>
      </c>
      <c r="E45" s="1"/>
      <c r="F45" s="17">
        <v>170.35</v>
      </c>
      <c r="G45" s="16">
        <v>16000</v>
      </c>
      <c r="H45" s="1">
        <f t="shared" si="1"/>
        <v>0</v>
      </c>
      <c r="I45" s="30">
        <v>600000</v>
      </c>
      <c r="J45" s="30" t="s">
        <v>126</v>
      </c>
    </row>
    <row r="46" spans="2:10" ht="15" x14ac:dyDescent="0.25">
      <c r="B46" s="1" t="s">
        <v>31</v>
      </c>
      <c r="C46" s="15">
        <v>3579</v>
      </c>
      <c r="D46" s="16">
        <v>32000</v>
      </c>
      <c r="E46" s="1"/>
      <c r="F46" s="17">
        <v>340.72</v>
      </c>
      <c r="G46" s="16">
        <v>32000</v>
      </c>
      <c r="H46" s="1">
        <f t="shared" si="1"/>
        <v>0</v>
      </c>
      <c r="I46" s="30">
        <v>400000</v>
      </c>
      <c r="J46" s="30" t="s">
        <v>127</v>
      </c>
    </row>
    <row r="47" spans="2:10" ht="15" x14ac:dyDescent="0.25">
      <c r="B47" s="1" t="s">
        <v>31</v>
      </c>
      <c r="C47" s="15">
        <v>2227</v>
      </c>
      <c r="D47" s="16">
        <v>13000</v>
      </c>
      <c r="E47" s="1"/>
      <c r="F47" s="17">
        <v>138.41999999999999</v>
      </c>
      <c r="G47" s="16">
        <v>13000</v>
      </c>
      <c r="H47" s="1">
        <f t="shared" si="1"/>
        <v>0</v>
      </c>
      <c r="I47" s="30">
        <v>250000</v>
      </c>
      <c r="J47" s="30" t="s">
        <v>128</v>
      </c>
    </row>
    <row r="48" spans="2:10" ht="15" x14ac:dyDescent="0.25">
      <c r="B48" s="1" t="s">
        <v>31</v>
      </c>
      <c r="C48" s="15">
        <v>2961</v>
      </c>
      <c r="D48" s="16">
        <v>16000</v>
      </c>
      <c r="E48" s="1"/>
      <c r="F48" s="17">
        <v>170.35</v>
      </c>
      <c r="G48" s="16">
        <v>16000</v>
      </c>
      <c r="H48" s="1">
        <f t="shared" si="1"/>
        <v>0</v>
      </c>
      <c r="I48" s="30">
        <v>300000</v>
      </c>
      <c r="J48" s="30" t="s">
        <v>129</v>
      </c>
    </row>
    <row r="49" spans="2:10" ht="15" x14ac:dyDescent="0.25">
      <c r="B49" s="1" t="s">
        <v>31</v>
      </c>
      <c r="C49" s="15">
        <v>2962</v>
      </c>
      <c r="D49" s="16">
        <v>16000</v>
      </c>
      <c r="E49" s="1"/>
      <c r="F49" s="17">
        <v>170.35</v>
      </c>
      <c r="G49" s="16">
        <v>16000</v>
      </c>
      <c r="H49" s="1">
        <f t="shared" si="1"/>
        <v>0</v>
      </c>
      <c r="I49" s="30">
        <v>350000</v>
      </c>
      <c r="J49" s="30" t="s">
        <v>131</v>
      </c>
    </row>
    <row r="50" spans="2:10" ht="15" x14ac:dyDescent="0.25">
      <c r="B50" s="1" t="s">
        <v>31</v>
      </c>
      <c r="C50" s="15">
        <v>2233</v>
      </c>
      <c r="D50" s="16">
        <v>14000</v>
      </c>
      <c r="E50" s="1"/>
      <c r="F50" s="17">
        <f t="shared" ref="F50:F67" si="2">D50/93.92</f>
        <v>149.06303236797274</v>
      </c>
      <c r="G50" s="16">
        <v>14000</v>
      </c>
      <c r="H50" s="1">
        <f t="shared" si="1"/>
        <v>0</v>
      </c>
      <c r="I50" s="30">
        <v>300000</v>
      </c>
      <c r="J50" s="30" t="s">
        <v>132</v>
      </c>
    </row>
    <row r="51" spans="2:10" ht="15" x14ac:dyDescent="0.25">
      <c r="B51" s="1" t="s">
        <v>31</v>
      </c>
      <c r="C51" s="15">
        <v>2963</v>
      </c>
      <c r="D51" s="16">
        <v>16000</v>
      </c>
      <c r="E51" s="1"/>
      <c r="F51" s="17">
        <v>170.35</v>
      </c>
      <c r="G51" s="16">
        <v>16000</v>
      </c>
      <c r="H51" s="1">
        <f t="shared" si="1"/>
        <v>0</v>
      </c>
      <c r="I51" s="30">
        <v>500000</v>
      </c>
      <c r="J51" s="30" t="s">
        <v>134</v>
      </c>
    </row>
    <row r="52" spans="2:10" ht="15" x14ac:dyDescent="0.25">
      <c r="B52" s="1" t="s">
        <v>31</v>
      </c>
      <c r="C52" s="15">
        <v>1051</v>
      </c>
      <c r="D52" s="16">
        <v>25000</v>
      </c>
      <c r="E52" s="1"/>
      <c r="F52" s="17">
        <f t="shared" si="2"/>
        <v>266.18398637137989</v>
      </c>
      <c r="G52" s="16">
        <v>25000</v>
      </c>
      <c r="H52" s="1">
        <f t="shared" si="1"/>
        <v>0</v>
      </c>
      <c r="I52" s="30">
        <v>250000</v>
      </c>
      <c r="J52" s="30" t="s">
        <v>136</v>
      </c>
    </row>
    <row r="53" spans="2:10" ht="15" x14ac:dyDescent="0.25">
      <c r="B53" s="1" t="s">
        <v>31</v>
      </c>
      <c r="C53" s="32" t="s">
        <v>30</v>
      </c>
      <c r="D53" s="16">
        <v>4500</v>
      </c>
      <c r="E53" s="1"/>
      <c r="F53" s="17">
        <f t="shared" si="2"/>
        <v>47.913117546848383</v>
      </c>
      <c r="G53" s="16">
        <v>4500</v>
      </c>
      <c r="H53" s="1">
        <f t="shared" si="1"/>
        <v>0</v>
      </c>
      <c r="I53" s="30">
        <v>300000</v>
      </c>
      <c r="J53" s="30" t="s">
        <v>137</v>
      </c>
    </row>
    <row r="54" spans="2:10" ht="15" x14ac:dyDescent="0.25">
      <c r="B54" s="1" t="s">
        <v>31</v>
      </c>
      <c r="C54" s="15">
        <v>4126</v>
      </c>
      <c r="D54" s="16">
        <v>13000</v>
      </c>
      <c r="E54" s="1"/>
      <c r="F54" s="17">
        <f t="shared" si="2"/>
        <v>138.41567291311753</v>
      </c>
      <c r="G54" s="16">
        <v>13000</v>
      </c>
      <c r="H54" s="1">
        <f t="shared" si="1"/>
        <v>0</v>
      </c>
      <c r="I54" s="111">
        <v>71719</v>
      </c>
      <c r="J54" s="111" t="s">
        <v>126</v>
      </c>
    </row>
    <row r="55" spans="2:10" ht="15" x14ac:dyDescent="0.25">
      <c r="B55" s="1" t="s">
        <v>31</v>
      </c>
      <c r="C55" s="15">
        <v>2926</v>
      </c>
      <c r="D55" s="16">
        <v>18000</v>
      </c>
      <c r="E55" s="1"/>
      <c r="F55" s="17">
        <f t="shared" si="2"/>
        <v>191.65247018739353</v>
      </c>
      <c r="G55" s="16">
        <v>18000</v>
      </c>
      <c r="H55" s="1">
        <f t="shared" si="1"/>
        <v>0</v>
      </c>
      <c r="I55" s="30">
        <v>200000</v>
      </c>
      <c r="J55" s="30" t="s">
        <v>139</v>
      </c>
    </row>
    <row r="56" spans="2:10" ht="15" x14ac:dyDescent="0.25">
      <c r="B56" s="1" t="s">
        <v>31</v>
      </c>
      <c r="C56" s="15">
        <v>4713</v>
      </c>
      <c r="D56" s="16">
        <v>6000</v>
      </c>
      <c r="E56" s="1"/>
      <c r="F56" s="17">
        <f t="shared" si="2"/>
        <v>63.884156729131178</v>
      </c>
      <c r="G56" s="16">
        <v>6000</v>
      </c>
      <c r="H56" s="1">
        <f t="shared" si="1"/>
        <v>0</v>
      </c>
      <c r="I56" s="30">
        <v>100000</v>
      </c>
      <c r="J56" s="30" t="s">
        <v>140</v>
      </c>
    </row>
    <row r="57" spans="2:10" ht="15" x14ac:dyDescent="0.25">
      <c r="B57" s="1" t="s">
        <v>31</v>
      </c>
      <c r="C57" s="15">
        <v>2207</v>
      </c>
      <c r="D57" s="16">
        <v>11000</v>
      </c>
      <c r="E57" s="1"/>
      <c r="F57" s="17">
        <f t="shared" si="2"/>
        <v>117.12095400340715</v>
      </c>
      <c r="G57" s="16">
        <v>11000</v>
      </c>
      <c r="H57" s="1">
        <f t="shared" si="1"/>
        <v>0</v>
      </c>
      <c r="I57" s="30">
        <v>150000</v>
      </c>
      <c r="J57" s="30" t="s">
        <v>151</v>
      </c>
    </row>
    <row r="58" spans="2:10" ht="15" x14ac:dyDescent="0.25">
      <c r="B58" s="1" t="s">
        <v>31</v>
      </c>
      <c r="C58" s="15">
        <v>8297</v>
      </c>
      <c r="D58" s="16">
        <v>27000</v>
      </c>
      <c r="E58" s="1"/>
      <c r="F58" s="17">
        <v>287.47000000000003</v>
      </c>
      <c r="G58" s="16">
        <v>27000</v>
      </c>
      <c r="H58" s="1">
        <f t="shared" si="1"/>
        <v>0</v>
      </c>
      <c r="I58" s="30">
        <v>150000</v>
      </c>
      <c r="J58" s="30" t="s">
        <v>154</v>
      </c>
    </row>
    <row r="59" spans="2:10" ht="15" x14ac:dyDescent="0.25">
      <c r="B59" s="1" t="s">
        <v>31</v>
      </c>
      <c r="C59" s="15">
        <v>1895</v>
      </c>
      <c r="D59" s="16">
        <v>27000</v>
      </c>
      <c r="E59" s="1"/>
      <c r="F59" s="17">
        <v>287.47000000000003</v>
      </c>
      <c r="G59" s="16">
        <v>27000</v>
      </c>
      <c r="H59" s="1">
        <f t="shared" si="1"/>
        <v>0</v>
      </c>
      <c r="I59" s="30">
        <v>150000</v>
      </c>
      <c r="J59" s="30" t="s">
        <v>155</v>
      </c>
    </row>
    <row r="60" spans="2:10" ht="15" x14ac:dyDescent="0.25">
      <c r="B60" s="1" t="s">
        <v>31</v>
      </c>
      <c r="C60" s="15">
        <v>213</v>
      </c>
      <c r="D60" s="16">
        <v>12000</v>
      </c>
      <c r="E60" s="1"/>
      <c r="F60" s="17">
        <f t="shared" si="2"/>
        <v>127.76831345826236</v>
      </c>
      <c r="G60" s="16">
        <v>12000</v>
      </c>
      <c r="H60" s="1">
        <f t="shared" si="1"/>
        <v>0</v>
      </c>
      <c r="I60" s="30">
        <v>150000</v>
      </c>
      <c r="J60" s="30" t="s">
        <v>156</v>
      </c>
    </row>
    <row r="61" spans="2:10" ht="15" x14ac:dyDescent="0.25">
      <c r="B61" s="1" t="s">
        <v>31</v>
      </c>
      <c r="C61" s="15">
        <v>5475</v>
      </c>
      <c r="D61" s="16">
        <v>30000</v>
      </c>
      <c r="E61" s="1"/>
      <c r="F61" s="17">
        <f t="shared" si="2"/>
        <v>319.42078364565589</v>
      </c>
      <c r="G61" s="16">
        <v>30000</v>
      </c>
      <c r="H61" s="1">
        <f t="shared" si="1"/>
        <v>0</v>
      </c>
      <c r="I61" s="30">
        <v>200000</v>
      </c>
      <c r="J61" s="30" t="s">
        <v>157</v>
      </c>
    </row>
    <row r="62" spans="2:10" ht="15" x14ac:dyDescent="0.25">
      <c r="B62" s="1" t="s">
        <v>31</v>
      </c>
      <c r="C62" s="15">
        <v>2246</v>
      </c>
      <c r="D62" s="16">
        <v>15000</v>
      </c>
      <c r="E62" s="1"/>
      <c r="F62" s="17">
        <f t="shared" si="2"/>
        <v>159.71039182282794</v>
      </c>
      <c r="G62" s="16">
        <v>15000</v>
      </c>
      <c r="H62" s="1">
        <f t="shared" si="1"/>
        <v>0</v>
      </c>
      <c r="I62" s="30">
        <v>300000</v>
      </c>
      <c r="J62" s="30" t="s">
        <v>159</v>
      </c>
    </row>
    <row r="63" spans="2:10" ht="15" x14ac:dyDescent="0.25">
      <c r="B63" s="1" t="s">
        <v>31</v>
      </c>
      <c r="C63" s="15">
        <v>1152</v>
      </c>
      <c r="D63" s="16">
        <v>13000</v>
      </c>
      <c r="E63" s="1"/>
      <c r="F63" s="17">
        <v>137.22999999999999</v>
      </c>
      <c r="G63" s="16">
        <v>13000</v>
      </c>
      <c r="H63" s="1">
        <f t="shared" si="1"/>
        <v>0</v>
      </c>
      <c r="I63" s="30">
        <v>300000</v>
      </c>
      <c r="J63" s="30" t="s">
        <v>158</v>
      </c>
    </row>
    <row r="64" spans="2:10" ht="15" x14ac:dyDescent="0.25">
      <c r="B64" s="1" t="s">
        <v>31</v>
      </c>
      <c r="C64" s="15">
        <v>5324</v>
      </c>
      <c r="D64" s="16">
        <v>11000</v>
      </c>
      <c r="E64" s="1"/>
      <c r="F64" s="17">
        <f t="shared" si="2"/>
        <v>117.12095400340715</v>
      </c>
      <c r="G64" s="16">
        <v>11000</v>
      </c>
      <c r="H64" s="1">
        <f t="shared" si="1"/>
        <v>0</v>
      </c>
      <c r="I64" s="30">
        <v>600000</v>
      </c>
      <c r="J64" s="30" t="s">
        <v>161</v>
      </c>
    </row>
    <row r="65" spans="2:10" ht="15" x14ac:dyDescent="0.25">
      <c r="B65" s="1" t="s">
        <v>31</v>
      </c>
      <c r="C65" s="15">
        <v>3426</v>
      </c>
      <c r="D65" s="16">
        <v>15000</v>
      </c>
      <c r="E65" s="1"/>
      <c r="F65" s="17">
        <f t="shared" si="2"/>
        <v>159.71039182282794</v>
      </c>
      <c r="G65" s="16">
        <v>15000</v>
      </c>
      <c r="H65" s="1">
        <f t="shared" si="1"/>
        <v>0</v>
      </c>
      <c r="I65" s="30">
        <v>300000</v>
      </c>
      <c r="J65" s="30" t="s">
        <v>162</v>
      </c>
    </row>
    <row r="66" spans="2:10" ht="15" x14ac:dyDescent="0.25">
      <c r="B66" s="1" t="s">
        <v>31</v>
      </c>
      <c r="C66" s="15">
        <v>2056</v>
      </c>
      <c r="D66" s="16">
        <v>17000</v>
      </c>
      <c r="E66" s="1"/>
      <c r="F66" s="17">
        <v>179.45</v>
      </c>
      <c r="G66" s="16">
        <v>17000</v>
      </c>
      <c r="H66" s="1">
        <f t="shared" si="1"/>
        <v>0</v>
      </c>
      <c r="I66" s="30">
        <v>200000</v>
      </c>
      <c r="J66" s="30" t="s">
        <v>163</v>
      </c>
    </row>
    <row r="67" spans="2:10" ht="15" x14ac:dyDescent="0.25">
      <c r="B67" s="1" t="s">
        <v>31</v>
      </c>
      <c r="C67" s="15">
        <v>4326</v>
      </c>
      <c r="D67" s="16">
        <v>14000</v>
      </c>
      <c r="E67" s="1"/>
      <c r="F67" s="17">
        <f t="shared" si="2"/>
        <v>149.06303236797274</v>
      </c>
      <c r="G67" s="16">
        <v>14000</v>
      </c>
      <c r="H67" s="1">
        <f t="shared" si="1"/>
        <v>0</v>
      </c>
      <c r="I67" s="30">
        <v>600000</v>
      </c>
      <c r="J67" s="30" t="s">
        <v>164</v>
      </c>
    </row>
    <row r="68" spans="2:10" ht="15" x14ac:dyDescent="0.25">
      <c r="B68" s="1" t="s">
        <v>32</v>
      </c>
      <c r="C68" s="15">
        <v>1321</v>
      </c>
      <c r="D68" s="16">
        <v>13000</v>
      </c>
      <c r="E68" s="1"/>
      <c r="F68" s="17">
        <f t="shared" ref="F68:F93" si="3">D68/94.73</f>
        <v>137.23213343185895</v>
      </c>
      <c r="G68" s="16">
        <v>13000</v>
      </c>
      <c r="H68" s="1">
        <f t="shared" si="1"/>
        <v>0</v>
      </c>
      <c r="I68" s="30">
        <v>250000</v>
      </c>
      <c r="J68" s="30" t="s">
        <v>165</v>
      </c>
    </row>
    <row r="69" spans="2:10" ht="15" x14ac:dyDescent="0.25">
      <c r="B69" s="1" t="s">
        <v>32</v>
      </c>
      <c r="C69" s="15">
        <v>9559</v>
      </c>
      <c r="D69" s="16">
        <v>16000</v>
      </c>
      <c r="E69" s="1"/>
      <c r="F69" s="17">
        <f t="shared" si="3"/>
        <v>168.90108730074948</v>
      </c>
      <c r="G69" s="16">
        <v>16000</v>
      </c>
      <c r="H69" s="1">
        <f t="shared" si="1"/>
        <v>0</v>
      </c>
      <c r="I69" s="30">
        <v>300000</v>
      </c>
      <c r="J69" s="30" t="s">
        <v>168</v>
      </c>
    </row>
    <row r="70" spans="2:10" ht="15" x14ac:dyDescent="0.25">
      <c r="B70" s="1" t="s">
        <v>32</v>
      </c>
      <c r="C70" s="15">
        <v>253</v>
      </c>
      <c r="D70" s="16">
        <v>13000</v>
      </c>
      <c r="E70" s="1"/>
      <c r="F70" s="17">
        <f t="shared" si="3"/>
        <v>137.23213343185895</v>
      </c>
      <c r="G70" s="16">
        <v>13000</v>
      </c>
      <c r="H70" s="1">
        <f t="shared" si="1"/>
        <v>0</v>
      </c>
      <c r="I70" s="30">
        <v>200000</v>
      </c>
      <c r="J70" s="30" t="s">
        <v>170</v>
      </c>
    </row>
    <row r="71" spans="2:10" ht="15" x14ac:dyDescent="0.25">
      <c r="B71" s="1" t="s">
        <v>32</v>
      </c>
      <c r="C71" s="15">
        <v>3776</v>
      </c>
      <c r="D71" s="16">
        <v>12000</v>
      </c>
      <c r="E71" s="1"/>
      <c r="F71" s="17">
        <f t="shared" si="3"/>
        <v>126.67581547556212</v>
      </c>
      <c r="G71" s="16">
        <v>12000</v>
      </c>
      <c r="H71" s="1">
        <f t="shared" ref="H71:H134" si="4">D71-G71</f>
        <v>0</v>
      </c>
      <c r="I71" s="30">
        <v>150000</v>
      </c>
      <c r="J71" s="30" t="s">
        <v>171</v>
      </c>
    </row>
    <row r="72" spans="2:10" ht="15" x14ac:dyDescent="0.25">
      <c r="B72" s="1" t="s">
        <v>32</v>
      </c>
      <c r="C72" s="15">
        <v>6353</v>
      </c>
      <c r="D72" s="16">
        <v>13000</v>
      </c>
      <c r="E72" s="1"/>
      <c r="F72" s="17">
        <f t="shared" si="3"/>
        <v>137.23213343185895</v>
      </c>
      <c r="G72" s="16">
        <v>13000</v>
      </c>
      <c r="H72" s="1">
        <f t="shared" si="4"/>
        <v>0</v>
      </c>
      <c r="I72" s="30">
        <v>200000</v>
      </c>
      <c r="J72" s="30" t="s">
        <v>174</v>
      </c>
    </row>
    <row r="73" spans="2:10" ht="15" x14ac:dyDescent="0.25">
      <c r="B73" s="1" t="s">
        <v>32</v>
      </c>
      <c r="C73" s="15">
        <v>6408</v>
      </c>
      <c r="D73" s="16">
        <v>16000</v>
      </c>
      <c r="E73" s="1"/>
      <c r="F73" s="17">
        <f t="shared" si="3"/>
        <v>168.90108730074948</v>
      </c>
      <c r="G73" s="16">
        <v>16000</v>
      </c>
      <c r="H73" s="1">
        <f t="shared" si="4"/>
        <v>0</v>
      </c>
      <c r="I73" s="30">
        <v>150000</v>
      </c>
      <c r="J73" s="30" t="s">
        <v>194</v>
      </c>
    </row>
    <row r="74" spans="2:10" ht="15" x14ac:dyDescent="0.25">
      <c r="B74" s="1" t="s">
        <v>32</v>
      </c>
      <c r="C74" s="15">
        <v>4747</v>
      </c>
      <c r="D74" s="16">
        <v>11000</v>
      </c>
      <c r="E74" s="1"/>
      <c r="F74" s="17">
        <f t="shared" si="3"/>
        <v>116.11949751926528</v>
      </c>
      <c r="G74" s="16">
        <v>11000</v>
      </c>
      <c r="H74" s="1">
        <f t="shared" si="4"/>
        <v>0</v>
      </c>
      <c r="I74" s="30">
        <v>100000</v>
      </c>
      <c r="J74" s="30" t="s">
        <v>195</v>
      </c>
    </row>
    <row r="75" spans="2:10" ht="15" x14ac:dyDescent="0.25">
      <c r="B75" s="1" t="s">
        <v>32</v>
      </c>
      <c r="C75" s="32" t="s">
        <v>30</v>
      </c>
      <c r="D75" s="16">
        <v>5000</v>
      </c>
      <c r="E75" s="1"/>
      <c r="F75" s="17">
        <f t="shared" si="3"/>
        <v>52.781589781484215</v>
      </c>
      <c r="G75" s="16">
        <v>5000</v>
      </c>
      <c r="H75" s="1">
        <f t="shared" si="4"/>
        <v>0</v>
      </c>
      <c r="I75" s="30">
        <v>200000</v>
      </c>
      <c r="J75" s="30" t="s">
        <v>196</v>
      </c>
    </row>
    <row r="76" spans="2:10" ht="15" x14ac:dyDescent="0.25">
      <c r="B76" s="1" t="s">
        <v>32</v>
      </c>
      <c r="C76" s="15">
        <v>4326</v>
      </c>
      <c r="D76" s="16">
        <v>13000</v>
      </c>
      <c r="E76" s="1"/>
      <c r="F76" s="17">
        <f t="shared" si="3"/>
        <v>137.23213343185895</v>
      </c>
      <c r="G76" s="16">
        <v>13000</v>
      </c>
      <c r="H76" s="1">
        <f t="shared" si="4"/>
        <v>0</v>
      </c>
      <c r="I76" s="30">
        <v>200000</v>
      </c>
      <c r="J76" s="30" t="s">
        <v>198</v>
      </c>
    </row>
    <row r="77" spans="2:10" ht="15" x14ac:dyDescent="0.25">
      <c r="B77" s="1" t="s">
        <v>32</v>
      </c>
      <c r="C77" s="32" t="s">
        <v>17</v>
      </c>
      <c r="D77" s="16">
        <v>3500</v>
      </c>
      <c r="E77" s="1"/>
      <c r="F77">
        <v>36.94</v>
      </c>
      <c r="G77" s="16">
        <v>3500</v>
      </c>
      <c r="H77" s="1">
        <f t="shared" si="4"/>
        <v>0</v>
      </c>
      <c r="I77" s="111">
        <v>60600</v>
      </c>
      <c r="J77" s="111" t="s">
        <v>199</v>
      </c>
    </row>
    <row r="78" spans="2:10" ht="15" x14ac:dyDescent="0.25">
      <c r="B78" s="1" t="s">
        <v>32</v>
      </c>
      <c r="C78" s="15" t="s">
        <v>49</v>
      </c>
      <c r="D78" s="16">
        <v>13000</v>
      </c>
      <c r="E78" s="1"/>
      <c r="F78">
        <v>137.22999999999999</v>
      </c>
      <c r="G78" s="16">
        <v>13000</v>
      </c>
      <c r="H78" s="1">
        <f t="shared" si="4"/>
        <v>0</v>
      </c>
      <c r="I78" s="30">
        <v>150000</v>
      </c>
      <c r="J78" s="30" t="s">
        <v>199</v>
      </c>
    </row>
    <row r="79" spans="2:10" ht="15" x14ac:dyDescent="0.25">
      <c r="B79" s="1" t="s">
        <v>32</v>
      </c>
      <c r="C79" s="15">
        <v>8468</v>
      </c>
      <c r="D79" s="16">
        <v>10000</v>
      </c>
      <c r="E79" s="1"/>
      <c r="F79" s="17">
        <f t="shared" si="3"/>
        <v>105.56317956296843</v>
      </c>
      <c r="G79" s="16">
        <v>10000</v>
      </c>
      <c r="H79" s="1">
        <f t="shared" si="4"/>
        <v>0</v>
      </c>
      <c r="I79" s="30">
        <v>100000</v>
      </c>
      <c r="J79" s="30" t="s">
        <v>201</v>
      </c>
    </row>
    <row r="80" spans="2:10" ht="15" x14ac:dyDescent="0.25">
      <c r="B80" s="1" t="s">
        <v>32</v>
      </c>
      <c r="C80" s="15">
        <v>120</v>
      </c>
      <c r="D80" s="16">
        <v>14000</v>
      </c>
      <c r="E80" s="1"/>
      <c r="F80" s="17">
        <f t="shared" si="3"/>
        <v>147.78845138815581</v>
      </c>
      <c r="G80" s="16">
        <v>14000</v>
      </c>
      <c r="H80" s="1">
        <f t="shared" si="4"/>
        <v>0</v>
      </c>
      <c r="I80" s="30">
        <v>150000</v>
      </c>
      <c r="J80" s="30" t="s">
        <v>202</v>
      </c>
    </row>
    <row r="81" spans="2:10" ht="15" x14ac:dyDescent="0.25">
      <c r="B81" s="1" t="s">
        <v>32</v>
      </c>
      <c r="C81" s="15">
        <v>1888</v>
      </c>
      <c r="D81" s="16">
        <v>13000</v>
      </c>
      <c r="E81" s="1"/>
      <c r="F81" s="17">
        <f t="shared" si="3"/>
        <v>137.23213343185895</v>
      </c>
      <c r="G81" s="16">
        <v>13000</v>
      </c>
      <c r="H81" s="1">
        <f t="shared" si="4"/>
        <v>0</v>
      </c>
      <c r="I81" s="30">
        <v>100000</v>
      </c>
      <c r="J81" s="30" t="s">
        <v>203</v>
      </c>
    </row>
    <row r="82" spans="2:10" ht="15" x14ac:dyDescent="0.25">
      <c r="B82" s="1" t="s">
        <v>32</v>
      </c>
      <c r="C82" s="15">
        <v>118</v>
      </c>
      <c r="D82" s="16">
        <v>14000</v>
      </c>
      <c r="E82" s="1"/>
      <c r="F82" s="17">
        <v>147.78</v>
      </c>
      <c r="G82" s="16">
        <v>14000</v>
      </c>
      <c r="H82" s="1">
        <f t="shared" si="4"/>
        <v>0</v>
      </c>
      <c r="I82" s="30">
        <v>150000</v>
      </c>
      <c r="J82" s="30" t="s">
        <v>208</v>
      </c>
    </row>
    <row r="83" spans="2:10" ht="15" x14ac:dyDescent="0.25">
      <c r="B83" s="1" t="s">
        <v>32</v>
      </c>
      <c r="C83" s="15">
        <v>4884</v>
      </c>
      <c r="D83" s="16">
        <v>15000</v>
      </c>
      <c r="E83" s="1"/>
      <c r="F83" s="17">
        <f t="shared" si="3"/>
        <v>158.34476934445266</v>
      </c>
      <c r="G83" s="16">
        <v>15000</v>
      </c>
      <c r="H83" s="1">
        <f t="shared" si="4"/>
        <v>0</v>
      </c>
      <c r="I83" s="30">
        <v>200000</v>
      </c>
      <c r="J83" s="30" t="s">
        <v>211</v>
      </c>
    </row>
    <row r="84" spans="2:10" ht="15" x14ac:dyDescent="0.25">
      <c r="B84" s="1" t="s">
        <v>32</v>
      </c>
      <c r="C84" s="15">
        <v>7570</v>
      </c>
      <c r="D84" s="16">
        <v>25000</v>
      </c>
      <c r="E84" s="1"/>
      <c r="F84" s="17">
        <v>263.89999999999998</v>
      </c>
      <c r="G84" s="16">
        <v>25000</v>
      </c>
      <c r="H84" s="1">
        <f t="shared" si="4"/>
        <v>0</v>
      </c>
      <c r="I84" s="30">
        <v>150000</v>
      </c>
      <c r="J84" s="30" t="s">
        <v>212</v>
      </c>
    </row>
    <row r="85" spans="2:10" ht="15" x14ac:dyDescent="0.25">
      <c r="B85" s="1" t="s">
        <v>32</v>
      </c>
      <c r="C85" s="15">
        <v>775</v>
      </c>
      <c r="D85" s="16">
        <v>27000</v>
      </c>
      <c r="E85" s="1"/>
      <c r="F85" s="17">
        <f t="shared" si="3"/>
        <v>285.02058482001479</v>
      </c>
      <c r="G85" s="16">
        <v>27000</v>
      </c>
      <c r="H85" s="1">
        <f t="shared" si="4"/>
        <v>0</v>
      </c>
      <c r="I85" s="30">
        <v>200000</v>
      </c>
      <c r="J85" s="30" t="s">
        <v>213</v>
      </c>
    </row>
    <row r="86" spans="2:10" ht="15" x14ac:dyDescent="0.25">
      <c r="B86" s="1" t="s">
        <v>32</v>
      </c>
      <c r="C86" s="15">
        <v>1477</v>
      </c>
      <c r="D86" s="16">
        <v>17000</v>
      </c>
      <c r="E86" s="1"/>
      <c r="F86" s="17">
        <v>179.45</v>
      </c>
      <c r="G86" s="16">
        <v>17000</v>
      </c>
      <c r="H86" s="1">
        <f t="shared" si="4"/>
        <v>0</v>
      </c>
      <c r="I86" s="30">
        <v>150000</v>
      </c>
      <c r="J86" s="30" t="s">
        <v>214</v>
      </c>
    </row>
    <row r="87" spans="2:10" ht="15" x14ac:dyDescent="0.25">
      <c r="B87" s="1" t="s">
        <v>32</v>
      </c>
      <c r="C87" s="15">
        <v>4924</v>
      </c>
      <c r="D87" s="16">
        <v>12000</v>
      </c>
      <c r="E87" s="1"/>
      <c r="F87" s="17">
        <f t="shared" si="3"/>
        <v>126.67581547556212</v>
      </c>
      <c r="G87" s="16">
        <v>12000</v>
      </c>
      <c r="H87" s="1">
        <f t="shared" si="4"/>
        <v>0</v>
      </c>
      <c r="I87" s="30">
        <v>150000</v>
      </c>
      <c r="J87" s="30" t="s">
        <v>215</v>
      </c>
    </row>
    <row r="88" spans="2:10" ht="15" x14ac:dyDescent="0.25">
      <c r="B88" s="1" t="s">
        <v>32</v>
      </c>
      <c r="C88" s="15">
        <v>9192</v>
      </c>
      <c r="D88" s="16">
        <v>30000</v>
      </c>
      <c r="E88" s="1"/>
      <c r="F88" s="17">
        <f t="shared" si="3"/>
        <v>316.68953868890532</v>
      </c>
      <c r="G88" s="16">
        <v>30000</v>
      </c>
      <c r="H88" s="1">
        <f t="shared" si="4"/>
        <v>0</v>
      </c>
      <c r="I88" s="30">
        <v>200000</v>
      </c>
      <c r="J88" s="30" t="s">
        <v>218</v>
      </c>
    </row>
    <row r="89" spans="2:10" ht="15" x14ac:dyDescent="0.25">
      <c r="B89" s="1" t="s">
        <v>32</v>
      </c>
      <c r="C89" s="15">
        <v>293</v>
      </c>
      <c r="D89" s="16">
        <v>14000</v>
      </c>
      <c r="E89" s="1"/>
      <c r="F89" s="17">
        <f t="shared" si="3"/>
        <v>147.78845138815581</v>
      </c>
      <c r="G89" s="16">
        <v>14000</v>
      </c>
      <c r="H89" s="1">
        <f t="shared" si="4"/>
        <v>0</v>
      </c>
      <c r="I89" s="30">
        <v>100000</v>
      </c>
      <c r="J89" s="30" t="s">
        <v>219</v>
      </c>
    </row>
    <row r="90" spans="2:10" ht="15" x14ac:dyDescent="0.25">
      <c r="B90" s="1" t="s">
        <v>32</v>
      </c>
      <c r="C90" s="15">
        <v>3543</v>
      </c>
      <c r="D90" s="16">
        <v>18000</v>
      </c>
      <c r="E90" s="1"/>
      <c r="F90" s="17">
        <f t="shared" si="3"/>
        <v>190.01372321334318</v>
      </c>
      <c r="G90" s="16">
        <v>18000</v>
      </c>
      <c r="H90" s="1">
        <f t="shared" si="4"/>
        <v>0</v>
      </c>
      <c r="I90" s="30">
        <v>150000</v>
      </c>
      <c r="J90" s="30" t="s">
        <v>220</v>
      </c>
    </row>
    <row r="91" spans="2:10" ht="15" x14ac:dyDescent="0.25">
      <c r="B91" s="1" t="s">
        <v>32</v>
      </c>
      <c r="C91" s="15">
        <v>185</v>
      </c>
      <c r="D91" s="16">
        <v>26000</v>
      </c>
      <c r="E91" s="1"/>
      <c r="F91" s="17">
        <f t="shared" si="3"/>
        <v>274.46426686371791</v>
      </c>
      <c r="G91" s="16">
        <v>26000</v>
      </c>
      <c r="H91" s="1">
        <f t="shared" si="4"/>
        <v>0</v>
      </c>
      <c r="I91" s="30">
        <v>100000</v>
      </c>
      <c r="J91" s="30" t="s">
        <v>221</v>
      </c>
    </row>
    <row r="92" spans="2:10" ht="15" x14ac:dyDescent="0.25">
      <c r="B92" s="1" t="s">
        <v>32</v>
      </c>
      <c r="C92" s="15">
        <v>371</v>
      </c>
      <c r="D92" s="16">
        <v>17000</v>
      </c>
      <c r="E92" s="1"/>
      <c r="F92" s="17">
        <f t="shared" si="3"/>
        <v>179.45740525704633</v>
      </c>
      <c r="G92" s="16">
        <v>17000</v>
      </c>
      <c r="H92" s="1">
        <f t="shared" si="4"/>
        <v>0</v>
      </c>
      <c r="I92" s="30">
        <v>100000</v>
      </c>
      <c r="J92" s="30" t="s">
        <v>222</v>
      </c>
    </row>
    <row r="93" spans="2:10" ht="15" x14ac:dyDescent="0.25">
      <c r="B93" s="1" t="s">
        <v>32</v>
      </c>
      <c r="C93" s="15">
        <v>5353</v>
      </c>
      <c r="D93" s="16">
        <v>15000</v>
      </c>
      <c r="E93" s="1"/>
      <c r="F93" s="17">
        <f t="shared" si="3"/>
        <v>158.34476934445266</v>
      </c>
      <c r="G93" s="16">
        <v>15000</v>
      </c>
      <c r="H93" s="1">
        <f t="shared" si="4"/>
        <v>0</v>
      </c>
      <c r="I93" s="30">
        <v>100000</v>
      </c>
      <c r="J93" s="30" t="s">
        <v>223</v>
      </c>
    </row>
    <row r="94" spans="2:10" ht="15" x14ac:dyDescent="0.25">
      <c r="B94" s="1" t="s">
        <v>48</v>
      </c>
      <c r="C94" s="15">
        <v>1557</v>
      </c>
      <c r="D94" s="16">
        <v>20000</v>
      </c>
      <c r="E94" s="1"/>
      <c r="F94" s="17">
        <f t="shared" ref="F94:F116" si="5">D94/94.81</f>
        <v>210.94821221390148</v>
      </c>
      <c r="G94" s="16">
        <v>20000</v>
      </c>
      <c r="H94" s="1">
        <f t="shared" si="4"/>
        <v>0</v>
      </c>
      <c r="I94" s="30">
        <v>100000</v>
      </c>
      <c r="J94" s="30" t="s">
        <v>225</v>
      </c>
    </row>
    <row r="95" spans="2:10" ht="15" x14ac:dyDescent="0.25">
      <c r="B95" s="1" t="s">
        <v>48</v>
      </c>
      <c r="C95" s="15">
        <v>7029</v>
      </c>
      <c r="D95" s="16">
        <v>12000</v>
      </c>
      <c r="E95" s="1"/>
      <c r="F95" s="17">
        <f t="shared" si="5"/>
        <v>126.56892732834089</v>
      </c>
      <c r="G95" s="16">
        <v>12000</v>
      </c>
      <c r="H95" s="1">
        <f t="shared" si="4"/>
        <v>0</v>
      </c>
      <c r="I95" s="30">
        <v>100000</v>
      </c>
      <c r="J95" s="30" t="s">
        <v>226</v>
      </c>
    </row>
    <row r="96" spans="2:10" ht="15" x14ac:dyDescent="0.25">
      <c r="B96" s="1" t="s">
        <v>48</v>
      </c>
      <c r="C96" s="15">
        <v>4126</v>
      </c>
      <c r="D96" s="16">
        <v>13000</v>
      </c>
      <c r="E96" s="1"/>
      <c r="F96" s="17">
        <f t="shared" si="5"/>
        <v>137.11633793903596</v>
      </c>
      <c r="G96" s="16">
        <v>13000</v>
      </c>
      <c r="H96" s="1">
        <f t="shared" si="4"/>
        <v>0</v>
      </c>
      <c r="I96" s="30">
        <v>250000</v>
      </c>
      <c r="J96" s="30" t="s">
        <v>227</v>
      </c>
    </row>
    <row r="97" spans="2:10" ht="15" x14ac:dyDescent="0.25">
      <c r="B97" s="1" t="s">
        <v>48</v>
      </c>
      <c r="C97" s="15">
        <v>8326</v>
      </c>
      <c r="D97" s="16">
        <v>17000</v>
      </c>
      <c r="E97" s="1"/>
      <c r="F97" s="17">
        <f t="shared" si="5"/>
        <v>179.30598038181625</v>
      </c>
      <c r="G97" s="16">
        <v>17000</v>
      </c>
      <c r="H97" s="1">
        <f t="shared" si="4"/>
        <v>0</v>
      </c>
      <c r="I97" s="30">
        <v>300000</v>
      </c>
      <c r="J97" s="30" t="s">
        <v>228</v>
      </c>
    </row>
    <row r="98" spans="2:10" ht="15" x14ac:dyDescent="0.25">
      <c r="B98" s="1" t="s">
        <v>48</v>
      </c>
      <c r="C98" s="15">
        <v>5014</v>
      </c>
      <c r="D98" s="16">
        <v>15000</v>
      </c>
      <c r="E98" s="1"/>
      <c r="F98" s="17">
        <f t="shared" si="5"/>
        <v>158.21115916042612</v>
      </c>
      <c r="G98" s="16">
        <v>15000</v>
      </c>
      <c r="H98" s="1">
        <f t="shared" si="4"/>
        <v>0</v>
      </c>
      <c r="I98" s="111">
        <v>50000</v>
      </c>
      <c r="J98" s="111" t="s">
        <v>228</v>
      </c>
    </row>
    <row r="99" spans="2:10" ht="15" x14ac:dyDescent="0.25">
      <c r="B99" s="1" t="s">
        <v>48</v>
      </c>
      <c r="C99" s="15">
        <v>1973</v>
      </c>
      <c r="D99" s="16">
        <v>10000</v>
      </c>
      <c r="E99" s="1"/>
      <c r="F99" s="17">
        <f t="shared" si="5"/>
        <v>105.47410610695074</v>
      </c>
      <c r="G99" s="16">
        <v>10000</v>
      </c>
      <c r="H99" s="1">
        <f t="shared" si="4"/>
        <v>0</v>
      </c>
      <c r="I99" s="30">
        <v>400000</v>
      </c>
      <c r="J99" s="30" t="s">
        <v>230</v>
      </c>
    </row>
    <row r="100" spans="2:10" ht="15" x14ac:dyDescent="0.25">
      <c r="B100" s="1" t="s">
        <v>48</v>
      </c>
      <c r="C100" s="15">
        <v>30</v>
      </c>
      <c r="D100" s="16">
        <v>28000</v>
      </c>
      <c r="E100" s="1"/>
      <c r="F100" s="17">
        <f t="shared" si="5"/>
        <v>295.32749709946205</v>
      </c>
      <c r="G100" s="16">
        <v>28000</v>
      </c>
      <c r="H100" s="1">
        <f t="shared" si="4"/>
        <v>0</v>
      </c>
      <c r="I100" s="30">
        <v>200000</v>
      </c>
      <c r="J100" s="30" t="s">
        <v>231</v>
      </c>
    </row>
    <row r="101" spans="2:10" ht="15" x14ac:dyDescent="0.25">
      <c r="B101" s="1" t="s">
        <v>48</v>
      </c>
      <c r="C101" s="15">
        <v>2234</v>
      </c>
      <c r="D101" s="16">
        <v>19000</v>
      </c>
      <c r="E101" s="1"/>
      <c r="F101" s="17">
        <f t="shared" si="5"/>
        <v>200.40080160320642</v>
      </c>
      <c r="G101" s="16">
        <v>19000</v>
      </c>
      <c r="H101" s="1">
        <f t="shared" si="4"/>
        <v>0</v>
      </c>
      <c r="I101" s="30">
        <v>100000</v>
      </c>
      <c r="J101" s="30" t="s">
        <v>234</v>
      </c>
    </row>
    <row r="102" spans="2:10" ht="15" x14ac:dyDescent="0.25">
      <c r="B102" s="1" t="s">
        <v>48</v>
      </c>
      <c r="C102" s="15">
        <v>2962</v>
      </c>
      <c r="D102" s="16">
        <v>16000</v>
      </c>
      <c r="E102" s="1"/>
      <c r="F102" s="17">
        <f t="shared" si="5"/>
        <v>168.75856977112119</v>
      </c>
      <c r="G102" s="16">
        <v>16000</v>
      </c>
      <c r="H102" s="1">
        <f t="shared" si="4"/>
        <v>0</v>
      </c>
      <c r="I102" s="30">
        <v>100000</v>
      </c>
      <c r="J102" s="30" t="s">
        <v>235</v>
      </c>
    </row>
    <row r="103" spans="2:10" ht="15" x14ac:dyDescent="0.25">
      <c r="B103" s="1" t="s">
        <v>48</v>
      </c>
      <c r="C103" s="15">
        <v>2740</v>
      </c>
      <c r="D103" s="16">
        <v>15000</v>
      </c>
      <c r="E103" s="1"/>
      <c r="F103" s="17">
        <f t="shared" si="5"/>
        <v>158.21115916042612</v>
      </c>
      <c r="G103" s="16">
        <v>15000</v>
      </c>
      <c r="H103" s="1">
        <f t="shared" si="4"/>
        <v>0</v>
      </c>
      <c r="I103" s="30">
        <v>100000</v>
      </c>
      <c r="J103" s="30" t="s">
        <v>236</v>
      </c>
    </row>
    <row r="104" spans="2:10" ht="15" x14ac:dyDescent="0.25">
      <c r="B104" s="1" t="s">
        <v>48</v>
      </c>
      <c r="C104" s="15">
        <v>129</v>
      </c>
      <c r="D104" s="16">
        <v>14000</v>
      </c>
      <c r="E104" s="1"/>
      <c r="F104" s="17">
        <f t="shared" si="5"/>
        <v>147.66374854973103</v>
      </c>
      <c r="G104" s="16">
        <v>14000</v>
      </c>
      <c r="H104" s="1">
        <f t="shared" si="4"/>
        <v>0</v>
      </c>
      <c r="I104" s="30">
        <v>300000</v>
      </c>
      <c r="J104" s="30" t="s">
        <v>237</v>
      </c>
    </row>
    <row r="105" spans="2:10" ht="15" x14ac:dyDescent="0.25">
      <c r="B105" s="1" t="s">
        <v>48</v>
      </c>
      <c r="C105" s="15">
        <v>3626</v>
      </c>
      <c r="D105" s="16">
        <v>20000</v>
      </c>
      <c r="E105" s="1"/>
      <c r="F105" s="17">
        <f t="shared" si="5"/>
        <v>210.94821221390148</v>
      </c>
      <c r="G105" s="16">
        <v>20000</v>
      </c>
      <c r="H105" s="1">
        <f t="shared" si="4"/>
        <v>0</v>
      </c>
      <c r="I105" s="30">
        <v>300000</v>
      </c>
      <c r="J105" s="30" t="s">
        <v>238</v>
      </c>
    </row>
    <row r="106" spans="2:10" ht="15" x14ac:dyDescent="0.25">
      <c r="B106" s="1" t="s">
        <v>48</v>
      </c>
      <c r="C106" s="15">
        <v>2963</v>
      </c>
      <c r="D106" s="16">
        <v>16000</v>
      </c>
      <c r="E106" s="1"/>
      <c r="F106" s="17">
        <f t="shared" si="5"/>
        <v>168.75856977112119</v>
      </c>
      <c r="G106" s="16">
        <v>16000</v>
      </c>
      <c r="H106" s="1">
        <f t="shared" si="4"/>
        <v>0</v>
      </c>
      <c r="I106" s="30">
        <v>400000</v>
      </c>
      <c r="J106" s="30" t="s">
        <v>239</v>
      </c>
    </row>
    <row r="107" spans="2:10" ht="15" x14ac:dyDescent="0.25">
      <c r="B107" s="1" t="s">
        <v>48</v>
      </c>
      <c r="C107" s="15">
        <v>5404</v>
      </c>
      <c r="D107" s="16">
        <v>12000</v>
      </c>
      <c r="E107" s="1"/>
      <c r="F107" s="17">
        <f t="shared" si="5"/>
        <v>126.56892732834089</v>
      </c>
      <c r="G107" s="16">
        <v>12000</v>
      </c>
      <c r="H107" s="1">
        <f t="shared" si="4"/>
        <v>0</v>
      </c>
      <c r="I107" s="30">
        <v>200000</v>
      </c>
      <c r="J107" s="30" t="s">
        <v>240</v>
      </c>
    </row>
    <row r="108" spans="2:10" ht="15" x14ac:dyDescent="0.25">
      <c r="B108" s="1" t="s">
        <v>48</v>
      </c>
      <c r="C108" s="15">
        <v>128</v>
      </c>
      <c r="D108" s="16">
        <v>13000</v>
      </c>
      <c r="E108" s="1"/>
      <c r="F108" s="17">
        <f t="shared" si="5"/>
        <v>137.11633793903596</v>
      </c>
      <c r="G108" s="16">
        <v>13000</v>
      </c>
      <c r="H108" s="1">
        <f t="shared" si="4"/>
        <v>0</v>
      </c>
      <c r="I108" s="30">
        <v>100000</v>
      </c>
      <c r="J108" s="30" t="s">
        <v>241</v>
      </c>
    </row>
    <row r="109" spans="2:10" ht="15" x14ac:dyDescent="0.25">
      <c r="B109" s="1" t="s">
        <v>48</v>
      </c>
      <c r="C109" s="15">
        <v>2526</v>
      </c>
      <c r="D109" s="16">
        <v>17000</v>
      </c>
      <c r="E109" s="1"/>
      <c r="F109" s="17">
        <f t="shared" si="5"/>
        <v>179.30598038181625</v>
      </c>
      <c r="G109" s="16">
        <v>17000</v>
      </c>
      <c r="H109" s="1">
        <f t="shared" si="4"/>
        <v>0</v>
      </c>
      <c r="I109" s="30">
        <v>150000</v>
      </c>
      <c r="J109" s="30" t="s">
        <v>241</v>
      </c>
    </row>
    <row r="110" spans="2:10" ht="15" x14ac:dyDescent="0.25">
      <c r="B110" s="1" t="s">
        <v>48</v>
      </c>
      <c r="C110" s="15" t="s">
        <v>55</v>
      </c>
      <c r="D110" s="16">
        <v>25000</v>
      </c>
      <c r="E110" s="1"/>
      <c r="F110" s="17">
        <f t="shared" si="5"/>
        <v>263.68526526737685</v>
      </c>
      <c r="G110" s="16">
        <v>25000</v>
      </c>
      <c r="H110" s="1">
        <f t="shared" si="4"/>
        <v>0</v>
      </c>
      <c r="I110" s="30">
        <v>100000</v>
      </c>
      <c r="J110" s="30" t="s">
        <v>243</v>
      </c>
    </row>
    <row r="111" spans="2:10" ht="15" x14ac:dyDescent="0.25">
      <c r="B111" s="1" t="s">
        <v>48</v>
      </c>
      <c r="C111" s="15">
        <v>2961</v>
      </c>
      <c r="D111" s="16">
        <v>16000</v>
      </c>
      <c r="E111" s="1"/>
      <c r="F111" s="17">
        <f t="shared" si="5"/>
        <v>168.75856977112119</v>
      </c>
      <c r="G111" s="16">
        <v>16000</v>
      </c>
      <c r="H111" s="1">
        <f t="shared" si="4"/>
        <v>0</v>
      </c>
      <c r="I111" s="30">
        <v>150000</v>
      </c>
      <c r="J111" s="30" t="s">
        <v>244</v>
      </c>
    </row>
    <row r="112" spans="2:10" ht="15" x14ac:dyDescent="0.25">
      <c r="B112" s="1" t="s">
        <v>48</v>
      </c>
      <c r="C112" s="15" t="s">
        <v>54</v>
      </c>
      <c r="D112" s="16">
        <v>25000</v>
      </c>
      <c r="E112" s="1"/>
      <c r="F112" s="17">
        <f t="shared" si="5"/>
        <v>263.68526526737685</v>
      </c>
      <c r="G112" s="16">
        <v>25000</v>
      </c>
      <c r="H112" s="1">
        <f t="shared" si="4"/>
        <v>0</v>
      </c>
      <c r="I112" s="30">
        <v>200000</v>
      </c>
      <c r="J112" s="30" t="s">
        <v>245</v>
      </c>
    </row>
    <row r="113" spans="2:10" ht="15" x14ac:dyDescent="0.25">
      <c r="B113" s="1" t="s">
        <v>48</v>
      </c>
      <c r="C113" s="15">
        <v>6821</v>
      </c>
      <c r="D113" s="16">
        <v>16000</v>
      </c>
      <c r="E113" s="1"/>
      <c r="F113" s="17">
        <f t="shared" si="5"/>
        <v>168.75856977112119</v>
      </c>
      <c r="G113" s="16">
        <v>16000</v>
      </c>
      <c r="H113" s="1">
        <f t="shared" si="4"/>
        <v>0</v>
      </c>
      <c r="I113" s="30">
        <v>100000</v>
      </c>
      <c r="J113" s="30" t="s">
        <v>247</v>
      </c>
    </row>
    <row r="114" spans="2:10" ht="15" x14ac:dyDescent="0.25">
      <c r="B114" s="1" t="s">
        <v>48</v>
      </c>
      <c r="C114" s="15">
        <v>3548</v>
      </c>
      <c r="D114" s="16">
        <v>17000</v>
      </c>
      <c r="E114" s="1"/>
      <c r="F114" s="17">
        <f t="shared" si="5"/>
        <v>179.30598038181625</v>
      </c>
      <c r="G114" s="16">
        <v>17000</v>
      </c>
      <c r="H114" s="1">
        <f t="shared" si="4"/>
        <v>0</v>
      </c>
      <c r="I114" s="30">
        <v>150000</v>
      </c>
      <c r="J114" s="30" t="s">
        <v>246</v>
      </c>
    </row>
    <row r="115" spans="2:10" ht="15" x14ac:dyDescent="0.25">
      <c r="B115" s="1" t="s">
        <v>48</v>
      </c>
      <c r="C115" s="15">
        <v>4393</v>
      </c>
      <c r="D115" s="16">
        <v>25000</v>
      </c>
      <c r="E115" s="1"/>
      <c r="F115" s="17">
        <f t="shared" si="5"/>
        <v>263.68526526737685</v>
      </c>
      <c r="G115" s="16">
        <v>25000</v>
      </c>
      <c r="H115" s="1">
        <f t="shared" si="4"/>
        <v>0</v>
      </c>
      <c r="I115" s="30">
        <v>150000</v>
      </c>
      <c r="J115" s="30" t="s">
        <v>249</v>
      </c>
    </row>
    <row r="116" spans="2:10" ht="15" x14ac:dyDescent="0.25">
      <c r="B116" s="1" t="s">
        <v>48</v>
      </c>
      <c r="C116" s="15">
        <v>4551</v>
      </c>
      <c r="D116" s="16">
        <v>15000</v>
      </c>
      <c r="E116" s="1"/>
      <c r="F116" s="17">
        <f t="shared" si="5"/>
        <v>158.21115916042612</v>
      </c>
      <c r="G116" s="16">
        <v>15000</v>
      </c>
      <c r="H116" s="1">
        <f t="shared" si="4"/>
        <v>0</v>
      </c>
      <c r="I116" s="30">
        <v>200000</v>
      </c>
      <c r="J116" s="30" t="s">
        <v>251</v>
      </c>
    </row>
    <row r="117" spans="2:10" ht="15" x14ac:dyDescent="0.25">
      <c r="B117" s="1" t="s">
        <v>48</v>
      </c>
      <c r="C117" s="15">
        <v>8191</v>
      </c>
      <c r="D117" s="16">
        <v>28000</v>
      </c>
      <c r="E117" s="1"/>
      <c r="F117" s="17">
        <f>D117/99.66</f>
        <v>280.95524784266507</v>
      </c>
      <c r="G117" s="16">
        <v>28000</v>
      </c>
      <c r="H117" s="1">
        <f t="shared" si="4"/>
        <v>0</v>
      </c>
      <c r="I117" s="30">
        <v>200000</v>
      </c>
      <c r="J117" s="30" t="s">
        <v>256</v>
      </c>
    </row>
    <row r="118" spans="2:10" ht="15" x14ac:dyDescent="0.25">
      <c r="B118" s="1" t="s">
        <v>48</v>
      </c>
      <c r="C118" s="15">
        <v>4967</v>
      </c>
      <c r="D118" s="16">
        <v>25000</v>
      </c>
      <c r="E118" s="1"/>
      <c r="F118" s="17">
        <v>315.36</v>
      </c>
      <c r="G118" s="16">
        <v>25000</v>
      </c>
      <c r="H118" s="1">
        <f t="shared" si="4"/>
        <v>0</v>
      </c>
      <c r="I118" s="30">
        <v>100000</v>
      </c>
      <c r="J118" s="30" t="s">
        <v>257</v>
      </c>
    </row>
    <row r="119" spans="2:10" ht="15" x14ac:dyDescent="0.25">
      <c r="B119" s="1" t="s">
        <v>48</v>
      </c>
      <c r="C119" s="15">
        <v>1992</v>
      </c>
      <c r="D119" s="16">
        <v>30000</v>
      </c>
      <c r="E119" s="1"/>
      <c r="F119" s="17">
        <f>D119/114.96</f>
        <v>260.96033402922757</v>
      </c>
      <c r="G119" s="16">
        <v>30000</v>
      </c>
      <c r="H119" s="1">
        <f t="shared" si="4"/>
        <v>0</v>
      </c>
      <c r="I119" s="30">
        <v>100000</v>
      </c>
      <c r="J119" s="30" t="s">
        <v>258</v>
      </c>
    </row>
    <row r="120" spans="2:10" ht="15" x14ac:dyDescent="0.25">
      <c r="B120" s="1" t="s">
        <v>48</v>
      </c>
      <c r="C120" s="15">
        <v>2943</v>
      </c>
      <c r="D120" s="16">
        <v>33000</v>
      </c>
      <c r="E120" s="1"/>
      <c r="F120" s="17">
        <f>D120/99.66</f>
        <v>331.12582781456956</v>
      </c>
      <c r="G120" s="16">
        <v>33000</v>
      </c>
      <c r="H120" s="1">
        <f t="shared" si="4"/>
        <v>0</v>
      </c>
      <c r="I120" s="30">
        <v>100000</v>
      </c>
      <c r="J120" s="30" t="s">
        <v>259</v>
      </c>
    </row>
    <row r="121" spans="2:10" ht="15" x14ac:dyDescent="0.25">
      <c r="B121" s="1" t="s">
        <v>48</v>
      </c>
      <c r="C121" s="15">
        <v>2283</v>
      </c>
      <c r="D121" s="16">
        <v>10000</v>
      </c>
      <c r="E121" s="1"/>
      <c r="F121" s="17">
        <v>105.12</v>
      </c>
      <c r="G121" s="16">
        <v>10000</v>
      </c>
      <c r="H121" s="1">
        <f t="shared" si="4"/>
        <v>0</v>
      </c>
      <c r="I121" s="30">
        <v>100000</v>
      </c>
      <c r="J121" s="30" t="s">
        <v>260</v>
      </c>
    </row>
    <row r="122" spans="2:10" ht="15" x14ac:dyDescent="0.25">
      <c r="B122" s="1" t="s">
        <v>48</v>
      </c>
      <c r="C122" s="15">
        <v>2227</v>
      </c>
      <c r="D122" s="16">
        <v>16000</v>
      </c>
      <c r="E122" s="1"/>
      <c r="F122" s="17">
        <v>168.19</v>
      </c>
      <c r="G122" s="16">
        <v>16000</v>
      </c>
      <c r="H122" s="1">
        <f t="shared" si="4"/>
        <v>0</v>
      </c>
      <c r="I122" s="30">
        <v>100000</v>
      </c>
      <c r="J122" s="30" t="s">
        <v>262</v>
      </c>
    </row>
    <row r="123" spans="2:10" ht="15" x14ac:dyDescent="0.25">
      <c r="B123" s="1" t="s">
        <v>50</v>
      </c>
      <c r="C123" s="15">
        <v>5826</v>
      </c>
      <c r="D123" s="16">
        <v>12000</v>
      </c>
      <c r="E123" s="1"/>
      <c r="F123" s="17">
        <v>125.09</v>
      </c>
      <c r="G123" s="16">
        <v>12000</v>
      </c>
      <c r="H123" s="1">
        <f t="shared" si="4"/>
        <v>0</v>
      </c>
      <c r="I123" s="30">
        <v>100000</v>
      </c>
      <c r="J123" s="30" t="s">
        <v>263</v>
      </c>
    </row>
    <row r="124" spans="2:10" ht="15" x14ac:dyDescent="0.25">
      <c r="B124" s="1" t="s">
        <v>50</v>
      </c>
      <c r="C124" s="15">
        <v>4326</v>
      </c>
      <c r="D124" s="16">
        <v>15000</v>
      </c>
      <c r="E124" s="1"/>
      <c r="F124" s="17">
        <v>156.36000000000001</v>
      </c>
      <c r="G124" s="16">
        <v>15000</v>
      </c>
      <c r="H124" s="1">
        <f t="shared" si="4"/>
        <v>0</v>
      </c>
      <c r="I124" s="111">
        <v>41565</v>
      </c>
      <c r="J124" s="111" t="s">
        <v>264</v>
      </c>
    </row>
    <row r="125" spans="2:10" ht="15" x14ac:dyDescent="0.25">
      <c r="B125" s="1" t="s">
        <v>50</v>
      </c>
      <c r="C125" s="15" t="s">
        <v>30</v>
      </c>
      <c r="D125" s="16">
        <v>3500</v>
      </c>
      <c r="E125" s="1"/>
      <c r="F125" s="17">
        <v>36.479999999999997</v>
      </c>
      <c r="G125" s="16">
        <v>3500</v>
      </c>
      <c r="H125" s="1">
        <f t="shared" si="4"/>
        <v>0</v>
      </c>
      <c r="I125" s="30">
        <v>100000</v>
      </c>
      <c r="J125" s="30" t="s">
        <v>266</v>
      </c>
    </row>
    <row r="126" spans="2:10" ht="15" x14ac:dyDescent="0.25">
      <c r="B126" s="1" t="s">
        <v>50</v>
      </c>
      <c r="C126" s="15"/>
      <c r="D126" s="16">
        <v>5000</v>
      </c>
      <c r="E126" s="1"/>
      <c r="F126" s="17">
        <v>52.12</v>
      </c>
      <c r="G126" s="16">
        <v>5000</v>
      </c>
      <c r="H126" s="1">
        <f t="shared" si="4"/>
        <v>0</v>
      </c>
      <c r="I126" s="30">
        <v>100000</v>
      </c>
      <c r="J126" s="30" t="s">
        <v>268</v>
      </c>
    </row>
    <row r="127" spans="2:10" ht="15" x14ac:dyDescent="0.25">
      <c r="B127" s="1" t="s">
        <v>50</v>
      </c>
      <c r="C127" s="15">
        <v>3426</v>
      </c>
      <c r="D127" s="16">
        <v>14000</v>
      </c>
      <c r="E127" s="1"/>
      <c r="F127" s="17">
        <v>145.94</v>
      </c>
      <c r="G127" s="16">
        <v>14000</v>
      </c>
      <c r="H127" s="1">
        <f t="shared" si="4"/>
        <v>0</v>
      </c>
      <c r="I127" s="30">
        <v>50000</v>
      </c>
      <c r="J127" s="30" t="s">
        <v>269</v>
      </c>
    </row>
    <row r="128" spans="2:10" ht="15" x14ac:dyDescent="0.25">
      <c r="B128" s="1" t="s">
        <v>50</v>
      </c>
      <c r="C128" s="15">
        <v>2232</v>
      </c>
      <c r="D128" s="16">
        <v>20000</v>
      </c>
      <c r="E128" s="1"/>
      <c r="F128" s="17">
        <v>208.49</v>
      </c>
      <c r="G128" s="16">
        <v>20000</v>
      </c>
      <c r="H128" s="1">
        <f t="shared" si="4"/>
        <v>0</v>
      </c>
      <c r="I128" s="30">
        <v>100000</v>
      </c>
      <c r="J128" s="30" t="s">
        <v>270</v>
      </c>
    </row>
    <row r="129" spans="2:10" ht="15" x14ac:dyDescent="0.25">
      <c r="B129" s="1" t="s">
        <v>50</v>
      </c>
      <c r="C129" s="15">
        <v>2056</v>
      </c>
      <c r="D129" s="16">
        <v>17000</v>
      </c>
      <c r="E129" s="1"/>
      <c r="F129" s="17">
        <v>177.21</v>
      </c>
      <c r="G129" s="16">
        <v>17000</v>
      </c>
      <c r="H129" s="1">
        <f t="shared" si="4"/>
        <v>0</v>
      </c>
      <c r="I129" s="30">
        <v>100000</v>
      </c>
      <c r="J129" s="30" t="s">
        <v>271</v>
      </c>
    </row>
    <row r="130" spans="2:10" ht="15" x14ac:dyDescent="0.25">
      <c r="B130" s="1" t="s">
        <v>50</v>
      </c>
      <c r="C130" s="15">
        <v>1152</v>
      </c>
      <c r="D130" s="16">
        <v>12000</v>
      </c>
      <c r="E130" s="1"/>
      <c r="F130" s="17">
        <v>125.09</v>
      </c>
      <c r="G130" s="16">
        <v>12000</v>
      </c>
      <c r="H130" s="1">
        <f t="shared" si="4"/>
        <v>0</v>
      </c>
      <c r="I130" s="30">
        <v>100000</v>
      </c>
      <c r="J130" s="30" t="s">
        <v>273</v>
      </c>
    </row>
    <row r="131" spans="2:10" ht="15" x14ac:dyDescent="0.25">
      <c r="B131" s="1" t="s">
        <v>50</v>
      </c>
      <c r="C131" s="15">
        <v>2615</v>
      </c>
      <c r="D131" s="16">
        <v>25000</v>
      </c>
      <c r="E131" s="1"/>
      <c r="F131" s="17">
        <v>260.60000000000002</v>
      </c>
      <c r="G131" s="16">
        <v>25000</v>
      </c>
      <c r="H131" s="1">
        <f t="shared" si="4"/>
        <v>0</v>
      </c>
      <c r="I131" s="30">
        <v>150000</v>
      </c>
      <c r="J131" s="30" t="s">
        <v>277</v>
      </c>
    </row>
    <row r="132" spans="2:10" ht="15" x14ac:dyDescent="0.25">
      <c r="B132" s="1" t="s">
        <v>50</v>
      </c>
      <c r="C132" s="15">
        <v>4494</v>
      </c>
      <c r="D132" s="16">
        <v>19000</v>
      </c>
      <c r="E132" s="1"/>
      <c r="F132" s="17">
        <v>198.06</v>
      </c>
      <c r="G132" s="16">
        <v>19000</v>
      </c>
      <c r="H132" s="1">
        <f t="shared" si="4"/>
        <v>0</v>
      </c>
      <c r="I132" s="30">
        <v>150000</v>
      </c>
      <c r="J132" s="30" t="s">
        <v>278</v>
      </c>
    </row>
    <row r="133" spans="2:10" ht="15" x14ac:dyDescent="0.25">
      <c r="B133" s="1" t="s">
        <v>50</v>
      </c>
      <c r="C133" s="15">
        <v>5567</v>
      </c>
      <c r="D133" s="16">
        <v>18000</v>
      </c>
      <c r="E133" s="1"/>
      <c r="F133" s="17">
        <v>187.63</v>
      </c>
      <c r="G133" s="16">
        <v>18000</v>
      </c>
      <c r="H133" s="1">
        <f t="shared" si="4"/>
        <v>0</v>
      </c>
      <c r="I133" s="30">
        <v>150000</v>
      </c>
      <c r="J133" s="30" t="s">
        <v>280</v>
      </c>
    </row>
    <row r="134" spans="2:10" ht="15" x14ac:dyDescent="0.25">
      <c r="B134" s="1" t="s">
        <v>50</v>
      </c>
      <c r="C134" s="15">
        <v>2057</v>
      </c>
      <c r="D134" s="16">
        <v>25000</v>
      </c>
      <c r="E134" s="1"/>
      <c r="F134" s="17">
        <v>260.61</v>
      </c>
      <c r="G134" s="16">
        <v>25000</v>
      </c>
      <c r="H134" s="1">
        <f t="shared" si="4"/>
        <v>0</v>
      </c>
      <c r="I134" s="30">
        <v>150000</v>
      </c>
      <c r="J134" s="30" t="s">
        <v>281</v>
      </c>
    </row>
    <row r="135" spans="2:10" ht="15" x14ac:dyDescent="0.25">
      <c r="B135" s="1" t="s">
        <v>50</v>
      </c>
      <c r="C135" s="15">
        <v>148</v>
      </c>
      <c r="D135" s="16">
        <v>14000</v>
      </c>
      <c r="E135" s="1"/>
      <c r="F135" s="17">
        <v>145.94</v>
      </c>
      <c r="G135" s="16">
        <v>14000</v>
      </c>
      <c r="H135" s="1">
        <f t="shared" ref="H135:H198" si="6">D135-G135</f>
        <v>0</v>
      </c>
      <c r="I135" s="30">
        <v>150000</v>
      </c>
      <c r="J135" s="30" t="s">
        <v>282</v>
      </c>
    </row>
    <row r="136" spans="2:10" ht="15" x14ac:dyDescent="0.25">
      <c r="B136" s="1" t="s">
        <v>50</v>
      </c>
      <c r="C136" s="15">
        <v>7350</v>
      </c>
      <c r="D136" s="16">
        <v>14000</v>
      </c>
      <c r="E136" s="1"/>
      <c r="F136" s="17">
        <v>145.94</v>
      </c>
      <c r="G136" s="16">
        <v>14000</v>
      </c>
      <c r="H136" s="1">
        <f t="shared" si="6"/>
        <v>0</v>
      </c>
      <c r="I136" s="30">
        <v>200000</v>
      </c>
      <c r="J136" s="30" t="s">
        <v>285</v>
      </c>
    </row>
    <row r="137" spans="2:10" ht="15" x14ac:dyDescent="0.25">
      <c r="B137" s="1" t="s">
        <v>50</v>
      </c>
      <c r="C137" s="15">
        <v>4747</v>
      </c>
      <c r="D137" s="16">
        <v>12000</v>
      </c>
      <c r="E137" s="1"/>
      <c r="F137" s="17">
        <v>125.09</v>
      </c>
      <c r="G137" s="16">
        <v>12000</v>
      </c>
      <c r="H137" s="1">
        <f t="shared" si="6"/>
        <v>0</v>
      </c>
      <c r="I137" s="30">
        <v>200000</v>
      </c>
      <c r="J137" s="30" t="s">
        <v>286</v>
      </c>
    </row>
    <row r="138" spans="2:10" ht="15" x14ac:dyDescent="0.25">
      <c r="B138" s="1" t="s">
        <v>50</v>
      </c>
      <c r="C138" s="15">
        <v>8386</v>
      </c>
      <c r="D138" s="16">
        <v>8000</v>
      </c>
      <c r="E138" s="1"/>
      <c r="F138" s="17">
        <v>83.39</v>
      </c>
      <c r="G138" s="16">
        <v>8000</v>
      </c>
      <c r="H138" s="1">
        <f t="shared" si="6"/>
        <v>0</v>
      </c>
      <c r="I138" s="30">
        <v>150000</v>
      </c>
      <c r="J138" s="30" t="s">
        <v>287</v>
      </c>
    </row>
    <row r="139" spans="2:10" ht="15" x14ac:dyDescent="0.25">
      <c r="B139" s="1" t="s">
        <v>50</v>
      </c>
      <c r="C139" s="15">
        <v>6648</v>
      </c>
      <c r="D139" s="16">
        <v>28000</v>
      </c>
      <c r="E139" s="1"/>
      <c r="F139" s="17">
        <v>291.88</v>
      </c>
      <c r="G139" s="16">
        <v>28000</v>
      </c>
      <c r="H139" s="1">
        <f t="shared" si="6"/>
        <v>0</v>
      </c>
      <c r="I139" s="30">
        <v>400000</v>
      </c>
      <c r="J139" s="30" t="s">
        <v>288</v>
      </c>
    </row>
    <row r="140" spans="2:10" ht="15" x14ac:dyDescent="0.25">
      <c r="B140" s="1" t="s">
        <v>50</v>
      </c>
      <c r="C140" s="15">
        <v>5659</v>
      </c>
      <c r="D140" s="16">
        <v>30000</v>
      </c>
      <c r="E140" s="1"/>
      <c r="F140" s="17">
        <v>312.73</v>
      </c>
      <c r="G140" s="16">
        <v>30000</v>
      </c>
      <c r="H140" s="1">
        <f t="shared" si="6"/>
        <v>0</v>
      </c>
      <c r="I140" s="30">
        <v>300000</v>
      </c>
      <c r="J140" s="30" t="s">
        <v>289</v>
      </c>
    </row>
    <row r="141" spans="2:10" ht="15" x14ac:dyDescent="0.25">
      <c r="B141" s="1" t="s">
        <v>50</v>
      </c>
      <c r="C141" s="15">
        <v>1289</v>
      </c>
      <c r="D141" s="16">
        <v>23000</v>
      </c>
      <c r="E141" s="1"/>
      <c r="F141" s="17">
        <v>239.75</v>
      </c>
      <c r="G141" s="16">
        <v>23000</v>
      </c>
      <c r="H141" s="1">
        <f t="shared" si="6"/>
        <v>0</v>
      </c>
      <c r="I141" s="30">
        <v>300000</v>
      </c>
      <c r="J141" s="30" t="s">
        <v>290</v>
      </c>
    </row>
    <row r="142" spans="2:10" ht="15" x14ac:dyDescent="0.25">
      <c r="B142" s="1" t="s">
        <v>50</v>
      </c>
      <c r="C142" s="15">
        <v>293</v>
      </c>
      <c r="D142" s="16">
        <v>14000</v>
      </c>
      <c r="E142" s="1"/>
      <c r="F142" s="17">
        <v>145.94</v>
      </c>
      <c r="G142" s="16">
        <v>14000</v>
      </c>
      <c r="H142" s="1">
        <f t="shared" si="6"/>
        <v>0</v>
      </c>
      <c r="I142" s="30">
        <v>300000</v>
      </c>
      <c r="J142" s="30" t="s">
        <v>292</v>
      </c>
    </row>
    <row r="143" spans="2:10" ht="15" x14ac:dyDescent="0.25">
      <c r="B143" s="1" t="s">
        <v>50</v>
      </c>
      <c r="C143" s="15">
        <v>4953</v>
      </c>
      <c r="D143" s="16">
        <v>8000</v>
      </c>
      <c r="E143" s="1"/>
      <c r="F143" s="17">
        <v>83.39</v>
      </c>
      <c r="G143" s="16">
        <v>8000</v>
      </c>
      <c r="H143" s="1">
        <f t="shared" si="6"/>
        <v>0</v>
      </c>
      <c r="I143" s="30">
        <v>300000</v>
      </c>
      <c r="J143" s="30" t="s">
        <v>293</v>
      </c>
    </row>
    <row r="144" spans="2:10" ht="15" x14ac:dyDescent="0.25">
      <c r="B144" s="1" t="s">
        <v>50</v>
      </c>
      <c r="C144" s="15" t="s">
        <v>30</v>
      </c>
      <c r="D144" s="16">
        <v>4500</v>
      </c>
      <c r="E144" s="1"/>
      <c r="F144" s="17">
        <v>46.91</v>
      </c>
      <c r="G144" s="16">
        <v>4500</v>
      </c>
      <c r="H144" s="1">
        <f t="shared" si="6"/>
        <v>0</v>
      </c>
      <c r="I144" s="30">
        <v>300000</v>
      </c>
      <c r="J144" s="30" t="s">
        <v>294</v>
      </c>
    </row>
    <row r="145" spans="2:10" ht="15" x14ac:dyDescent="0.25">
      <c r="B145" s="1" t="s">
        <v>50</v>
      </c>
      <c r="C145" s="15">
        <v>8108</v>
      </c>
      <c r="D145" s="16">
        <v>30000</v>
      </c>
      <c r="E145" s="1"/>
      <c r="F145" s="17">
        <v>312.73</v>
      </c>
      <c r="G145" s="16">
        <v>30000</v>
      </c>
      <c r="H145" s="1">
        <f t="shared" si="6"/>
        <v>0</v>
      </c>
      <c r="I145" s="30">
        <v>300000</v>
      </c>
      <c r="J145" s="30" t="s">
        <v>297</v>
      </c>
    </row>
    <row r="146" spans="2:10" ht="15" x14ac:dyDescent="0.25">
      <c r="B146" s="1" t="s">
        <v>50</v>
      </c>
      <c r="C146" s="15">
        <v>118</v>
      </c>
      <c r="D146" s="16">
        <v>14000</v>
      </c>
      <c r="E146" s="1"/>
      <c r="F146" s="17">
        <v>145.9</v>
      </c>
      <c r="G146" s="16">
        <v>14000</v>
      </c>
      <c r="H146" s="1">
        <f t="shared" si="6"/>
        <v>0</v>
      </c>
      <c r="I146" s="30">
        <v>400000</v>
      </c>
      <c r="J146" s="30" t="s">
        <v>298</v>
      </c>
    </row>
    <row r="147" spans="2:10" ht="15" x14ac:dyDescent="0.25">
      <c r="B147" s="1" t="s">
        <v>50</v>
      </c>
      <c r="C147" s="15">
        <v>4608</v>
      </c>
      <c r="D147" s="16">
        <v>23000</v>
      </c>
      <c r="E147" s="1"/>
      <c r="F147" s="17">
        <v>239.76</v>
      </c>
      <c r="G147" s="16">
        <v>23000</v>
      </c>
      <c r="H147" s="1">
        <f t="shared" si="6"/>
        <v>0</v>
      </c>
      <c r="I147" s="30">
        <v>500000</v>
      </c>
      <c r="J147" s="30" t="s">
        <v>299</v>
      </c>
    </row>
    <row r="148" spans="2:10" ht="15" x14ac:dyDescent="0.25">
      <c r="B148" s="1" t="s">
        <v>50</v>
      </c>
      <c r="C148" s="15">
        <v>6903</v>
      </c>
      <c r="D148" s="16">
        <v>18000</v>
      </c>
      <c r="E148" s="1"/>
      <c r="F148" s="17">
        <v>187.63</v>
      </c>
      <c r="G148" s="16">
        <v>18000</v>
      </c>
      <c r="H148" s="1">
        <f t="shared" si="6"/>
        <v>0</v>
      </c>
      <c r="I148" s="30">
        <v>400000</v>
      </c>
      <c r="J148" s="30" t="s">
        <v>301</v>
      </c>
    </row>
    <row r="149" spans="2:10" ht="15" x14ac:dyDescent="0.25">
      <c r="B149" s="1" t="s">
        <v>50</v>
      </c>
      <c r="C149" s="15">
        <v>6255</v>
      </c>
      <c r="D149" s="16">
        <v>25000</v>
      </c>
      <c r="E149" s="1"/>
      <c r="F149" s="17">
        <v>260.60000000000002</v>
      </c>
      <c r="G149" s="16">
        <v>25000</v>
      </c>
      <c r="H149" s="1">
        <f t="shared" si="6"/>
        <v>0</v>
      </c>
      <c r="I149" s="30">
        <v>300000</v>
      </c>
      <c r="J149" s="30" t="s">
        <v>304</v>
      </c>
    </row>
    <row r="150" spans="2:10" ht="15" x14ac:dyDescent="0.25">
      <c r="B150" s="1" t="s">
        <v>50</v>
      </c>
      <c r="C150" s="15">
        <v>7125</v>
      </c>
      <c r="D150" s="16">
        <v>25000</v>
      </c>
      <c r="E150" s="1"/>
      <c r="F150" s="17">
        <v>260.60000000000002</v>
      </c>
      <c r="G150" s="16">
        <v>25000</v>
      </c>
      <c r="H150" s="1">
        <f t="shared" si="6"/>
        <v>0</v>
      </c>
      <c r="I150" s="30">
        <v>300000</v>
      </c>
      <c r="J150" s="30" t="s">
        <v>306</v>
      </c>
    </row>
    <row r="151" spans="2:10" ht="15" x14ac:dyDescent="0.25">
      <c r="B151" s="1" t="s">
        <v>50</v>
      </c>
      <c r="C151" s="15">
        <v>8254</v>
      </c>
      <c r="D151" s="16">
        <v>23000</v>
      </c>
      <c r="E151" s="1"/>
      <c r="F151" s="17">
        <v>239.76</v>
      </c>
      <c r="G151" s="16">
        <v>23000</v>
      </c>
      <c r="H151" s="1">
        <f t="shared" si="6"/>
        <v>0</v>
      </c>
      <c r="I151" s="30">
        <v>400000</v>
      </c>
      <c r="J151" s="30" t="s">
        <v>307</v>
      </c>
    </row>
    <row r="152" spans="2:10" ht="15" x14ac:dyDescent="0.25">
      <c r="B152" s="1" t="s">
        <v>50</v>
      </c>
      <c r="C152" s="15">
        <v>1480</v>
      </c>
      <c r="D152" s="16">
        <v>22000</v>
      </c>
      <c r="E152" s="1"/>
      <c r="F152" s="17">
        <v>229.33</v>
      </c>
      <c r="G152" s="16">
        <v>22000</v>
      </c>
      <c r="H152" s="1">
        <f t="shared" si="6"/>
        <v>0</v>
      </c>
      <c r="I152" s="30">
        <v>300000</v>
      </c>
      <c r="J152" s="30" t="s">
        <v>308</v>
      </c>
    </row>
    <row r="153" spans="2:10" ht="15" x14ac:dyDescent="0.25">
      <c r="B153" s="1" t="s">
        <v>50</v>
      </c>
      <c r="C153" s="15">
        <v>120</v>
      </c>
      <c r="D153" s="16">
        <v>14000</v>
      </c>
      <c r="E153" s="1"/>
      <c r="F153" s="17">
        <v>145.94</v>
      </c>
      <c r="G153" s="16">
        <v>14000</v>
      </c>
      <c r="H153" s="1">
        <f t="shared" si="6"/>
        <v>0</v>
      </c>
      <c r="I153" s="30">
        <v>200000</v>
      </c>
      <c r="J153" s="30" t="s">
        <v>309</v>
      </c>
    </row>
    <row r="154" spans="2:10" ht="15" x14ac:dyDescent="0.25">
      <c r="B154" s="1" t="s">
        <v>51</v>
      </c>
      <c r="C154" s="15">
        <v>1321</v>
      </c>
      <c r="D154" s="34">
        <v>13000</v>
      </c>
      <c r="E154" s="1"/>
      <c r="F154" s="17">
        <v>134.4</v>
      </c>
      <c r="G154" s="34">
        <v>13000</v>
      </c>
      <c r="H154" s="1">
        <f t="shared" si="6"/>
        <v>0</v>
      </c>
      <c r="I154" s="30">
        <v>400000</v>
      </c>
      <c r="J154" s="30" t="s">
        <v>311</v>
      </c>
    </row>
    <row r="155" spans="2:10" ht="15" x14ac:dyDescent="0.25">
      <c r="B155" s="1" t="s">
        <v>51</v>
      </c>
      <c r="C155" s="15">
        <v>9921</v>
      </c>
      <c r="D155" s="16">
        <v>20000</v>
      </c>
      <c r="E155" s="1"/>
      <c r="F155" s="17">
        <v>206.76</v>
      </c>
      <c r="G155" s="16">
        <v>20000</v>
      </c>
      <c r="H155" s="1">
        <f t="shared" si="6"/>
        <v>0</v>
      </c>
      <c r="I155" s="171">
        <v>300000</v>
      </c>
      <c r="J155" s="171" t="s">
        <v>313</v>
      </c>
    </row>
    <row r="156" spans="2:10" ht="15" x14ac:dyDescent="0.25">
      <c r="B156" s="1" t="s">
        <v>51</v>
      </c>
      <c r="C156" s="15">
        <v>5931</v>
      </c>
      <c r="D156" s="16">
        <v>20000</v>
      </c>
      <c r="E156" s="1"/>
      <c r="F156" s="17">
        <v>206.76</v>
      </c>
      <c r="G156" s="16">
        <v>20000</v>
      </c>
      <c r="H156" s="1">
        <f t="shared" si="6"/>
        <v>0</v>
      </c>
      <c r="I156" s="171">
        <v>300000</v>
      </c>
      <c r="J156" s="171" t="s">
        <v>315</v>
      </c>
    </row>
    <row r="157" spans="2:10" ht="15" x14ac:dyDescent="0.25">
      <c r="B157" s="1" t="s">
        <v>51</v>
      </c>
      <c r="C157" s="15">
        <v>869</v>
      </c>
      <c r="D157" s="16">
        <v>31000</v>
      </c>
      <c r="E157" s="1"/>
      <c r="F157" s="17">
        <v>320.48</v>
      </c>
      <c r="G157" s="16">
        <v>31000</v>
      </c>
      <c r="H157" s="1">
        <f t="shared" si="6"/>
        <v>0</v>
      </c>
      <c r="I157" s="171">
        <v>250000</v>
      </c>
      <c r="J157" s="171" t="s">
        <v>316</v>
      </c>
    </row>
    <row r="158" spans="2:10" ht="15" x14ac:dyDescent="0.25">
      <c r="B158" s="1" t="s">
        <v>51</v>
      </c>
      <c r="C158" s="15" t="s">
        <v>30</v>
      </c>
      <c r="D158" s="16">
        <v>5000</v>
      </c>
      <c r="E158" s="1"/>
      <c r="F158" s="17">
        <v>51.69</v>
      </c>
      <c r="G158" s="16">
        <v>5000</v>
      </c>
      <c r="H158" s="1">
        <f t="shared" si="6"/>
        <v>0</v>
      </c>
      <c r="I158" s="30">
        <v>300000</v>
      </c>
      <c r="J158" s="30" t="s">
        <v>317</v>
      </c>
    </row>
    <row r="159" spans="2:10" ht="15" x14ac:dyDescent="0.25">
      <c r="B159" s="1" t="s">
        <v>51</v>
      </c>
      <c r="C159" s="15">
        <v>2694</v>
      </c>
      <c r="D159" s="16">
        <v>18000</v>
      </c>
      <c r="E159" s="1"/>
      <c r="F159" s="17">
        <v>186.08500000000001</v>
      </c>
      <c r="G159" s="16">
        <v>18000</v>
      </c>
      <c r="H159" s="1">
        <f t="shared" si="6"/>
        <v>0</v>
      </c>
      <c r="I159" s="30">
        <v>400000</v>
      </c>
      <c r="J159" s="30" t="s">
        <v>319</v>
      </c>
    </row>
    <row r="160" spans="2:10" ht="15" x14ac:dyDescent="0.25">
      <c r="B160" s="1" t="s">
        <v>51</v>
      </c>
      <c r="C160" s="15">
        <v>4559</v>
      </c>
      <c r="D160" s="16">
        <v>16000</v>
      </c>
      <c r="E160" s="1"/>
      <c r="F160" s="17">
        <v>165.40899999999999</v>
      </c>
      <c r="G160" s="16">
        <v>16000</v>
      </c>
      <c r="H160" s="1">
        <f t="shared" si="6"/>
        <v>0</v>
      </c>
      <c r="I160" s="30">
        <v>400000</v>
      </c>
      <c r="J160" s="30" t="s">
        <v>320</v>
      </c>
    </row>
    <row r="161" spans="2:10" ht="15" x14ac:dyDescent="0.25">
      <c r="B161" s="1" t="s">
        <v>51</v>
      </c>
      <c r="C161" s="15">
        <v>1557</v>
      </c>
      <c r="D161" s="16">
        <v>18000</v>
      </c>
      <c r="E161" s="1"/>
      <c r="F161" s="17">
        <v>186.08500000000001</v>
      </c>
      <c r="G161" s="16">
        <v>18000</v>
      </c>
      <c r="H161" s="1">
        <f t="shared" si="6"/>
        <v>0</v>
      </c>
      <c r="I161" s="30">
        <v>150000</v>
      </c>
      <c r="J161" s="30" t="s">
        <v>322</v>
      </c>
    </row>
    <row r="162" spans="2:10" ht="15" x14ac:dyDescent="0.25">
      <c r="B162" s="1" t="s">
        <v>51</v>
      </c>
      <c r="C162" s="15">
        <v>6353</v>
      </c>
      <c r="D162" s="16">
        <v>15000</v>
      </c>
      <c r="E162" s="1"/>
      <c r="F162" s="17">
        <v>155.071</v>
      </c>
      <c r="G162" s="16">
        <v>15000</v>
      </c>
      <c r="H162" s="1">
        <f t="shared" si="6"/>
        <v>0</v>
      </c>
      <c r="I162" s="30">
        <v>200000</v>
      </c>
      <c r="J162" s="30" t="s">
        <v>324</v>
      </c>
    </row>
    <row r="163" spans="2:10" ht="15" x14ac:dyDescent="0.25">
      <c r="B163" s="1" t="s">
        <v>51</v>
      </c>
      <c r="C163" s="15">
        <v>253</v>
      </c>
      <c r="D163" s="16">
        <v>15000</v>
      </c>
      <c r="E163" s="1"/>
      <c r="F163" s="17">
        <v>155.071</v>
      </c>
      <c r="G163" s="16">
        <v>15000</v>
      </c>
      <c r="H163" s="1">
        <f t="shared" si="6"/>
        <v>0</v>
      </c>
      <c r="I163" s="30">
        <v>200000</v>
      </c>
      <c r="J163" s="30" t="s">
        <v>325</v>
      </c>
    </row>
    <row r="164" spans="2:10" ht="15" x14ac:dyDescent="0.25">
      <c r="B164" s="1" t="s">
        <v>51</v>
      </c>
      <c r="C164" s="15">
        <v>2926</v>
      </c>
      <c r="D164" s="16">
        <v>18000</v>
      </c>
      <c r="E164" s="1"/>
      <c r="F164" s="17">
        <v>186.08500000000001</v>
      </c>
      <c r="G164" s="16">
        <v>18000</v>
      </c>
      <c r="H164" s="1">
        <f t="shared" si="6"/>
        <v>0</v>
      </c>
      <c r="I164" s="30">
        <v>150000</v>
      </c>
      <c r="J164" s="30" t="s">
        <v>328</v>
      </c>
    </row>
    <row r="165" spans="2:10" ht="15" x14ac:dyDescent="0.25">
      <c r="B165" s="1" t="s">
        <v>51</v>
      </c>
      <c r="C165" s="15" t="s">
        <v>57</v>
      </c>
      <c r="D165" s="16">
        <v>15000</v>
      </c>
      <c r="E165" s="1"/>
      <c r="F165" s="17">
        <v>155.071</v>
      </c>
      <c r="G165" s="16">
        <v>15000</v>
      </c>
      <c r="H165" s="1">
        <f t="shared" si="6"/>
        <v>0</v>
      </c>
      <c r="I165" s="30">
        <v>150000</v>
      </c>
      <c r="J165" s="30" t="s">
        <v>329</v>
      </c>
    </row>
    <row r="166" spans="2:10" ht="15" x14ac:dyDescent="0.25">
      <c r="B166" s="1" t="s">
        <v>51</v>
      </c>
      <c r="C166" s="15">
        <v>292</v>
      </c>
      <c r="D166" s="16">
        <v>15000</v>
      </c>
      <c r="E166" s="1"/>
      <c r="F166" s="17">
        <v>155.071</v>
      </c>
      <c r="G166" s="16">
        <v>15000</v>
      </c>
      <c r="H166" s="1">
        <f t="shared" si="6"/>
        <v>0</v>
      </c>
      <c r="I166" s="30">
        <v>150000</v>
      </c>
      <c r="J166" s="30" t="s">
        <v>334</v>
      </c>
    </row>
    <row r="167" spans="2:10" ht="15" x14ac:dyDescent="0.25">
      <c r="B167" s="1" t="s">
        <v>51</v>
      </c>
      <c r="C167" s="15">
        <v>127</v>
      </c>
      <c r="D167" s="16">
        <v>15000</v>
      </c>
      <c r="E167" s="1"/>
      <c r="F167" s="17">
        <v>155.07</v>
      </c>
      <c r="G167" s="16">
        <v>15000</v>
      </c>
      <c r="H167" s="1">
        <f t="shared" si="6"/>
        <v>0</v>
      </c>
      <c r="I167" s="30">
        <v>400000</v>
      </c>
      <c r="J167" s="30" t="s">
        <v>340</v>
      </c>
    </row>
    <row r="168" spans="2:10" ht="15" x14ac:dyDescent="0.25">
      <c r="B168" s="1" t="s">
        <v>51</v>
      </c>
      <c r="C168" s="15">
        <v>119</v>
      </c>
      <c r="D168" s="16">
        <v>15000</v>
      </c>
      <c r="E168" s="1"/>
      <c r="F168" s="17">
        <v>155.07</v>
      </c>
      <c r="G168" s="16">
        <v>15000</v>
      </c>
      <c r="H168" s="1">
        <f t="shared" si="6"/>
        <v>0</v>
      </c>
      <c r="I168" s="30">
        <v>300000</v>
      </c>
      <c r="J168" s="30" t="s">
        <v>341</v>
      </c>
    </row>
    <row r="169" spans="2:10" ht="15" x14ac:dyDescent="0.25">
      <c r="B169" s="1" t="s">
        <v>51</v>
      </c>
      <c r="C169" s="15">
        <v>8966</v>
      </c>
      <c r="D169" s="16">
        <v>5000</v>
      </c>
      <c r="E169" s="1"/>
      <c r="F169" s="17">
        <v>51.69</v>
      </c>
      <c r="G169" s="16">
        <v>5000</v>
      </c>
      <c r="H169" s="1">
        <f t="shared" si="6"/>
        <v>0</v>
      </c>
      <c r="I169" s="30">
        <v>300000</v>
      </c>
      <c r="J169" s="30" t="s">
        <v>343</v>
      </c>
    </row>
    <row r="170" spans="2:10" x14ac:dyDescent="0.2">
      <c r="B170" s="1" t="s">
        <v>51</v>
      </c>
      <c r="C170" s="15">
        <v>2227</v>
      </c>
      <c r="D170" s="16">
        <v>13000</v>
      </c>
      <c r="E170" s="1"/>
      <c r="F170" s="17">
        <v>134.4</v>
      </c>
      <c r="G170" s="16">
        <v>13000</v>
      </c>
      <c r="H170" s="1">
        <f t="shared" si="6"/>
        <v>0</v>
      </c>
      <c r="I170" s="1"/>
      <c r="J170" s="1"/>
    </row>
    <row r="171" spans="2:10" x14ac:dyDescent="0.2">
      <c r="B171" s="1" t="s">
        <v>51</v>
      </c>
      <c r="C171" s="15">
        <v>5596</v>
      </c>
      <c r="D171" s="16">
        <v>28000</v>
      </c>
      <c r="E171" s="1"/>
      <c r="F171" s="17">
        <v>289.45999999999998</v>
      </c>
      <c r="G171" s="16">
        <v>28000</v>
      </c>
      <c r="H171" s="1">
        <f t="shared" si="6"/>
        <v>0</v>
      </c>
      <c r="I171" s="1"/>
      <c r="J171" s="1"/>
    </row>
    <row r="172" spans="2:10" x14ac:dyDescent="0.2">
      <c r="B172" s="1" t="s">
        <v>51</v>
      </c>
      <c r="C172" s="15">
        <v>647</v>
      </c>
      <c r="D172" s="16">
        <v>15000</v>
      </c>
      <c r="E172" s="1"/>
      <c r="F172" s="17">
        <v>155.071</v>
      </c>
      <c r="G172" s="16">
        <v>15000</v>
      </c>
      <c r="H172" s="1">
        <f t="shared" si="6"/>
        <v>0</v>
      </c>
      <c r="I172" s="1"/>
      <c r="J172" s="1"/>
    </row>
    <row r="173" spans="2:10" x14ac:dyDescent="0.2">
      <c r="B173" s="1" t="s">
        <v>51</v>
      </c>
      <c r="C173" s="15">
        <v>121</v>
      </c>
      <c r="D173" s="16">
        <v>16000</v>
      </c>
      <c r="E173" s="1"/>
      <c r="F173" s="17">
        <v>165.40899999999999</v>
      </c>
      <c r="G173" s="16">
        <v>16000</v>
      </c>
      <c r="H173" s="1">
        <f t="shared" si="6"/>
        <v>0</v>
      </c>
      <c r="I173" s="1"/>
      <c r="J173" s="1"/>
    </row>
    <row r="174" spans="2:10" x14ac:dyDescent="0.2">
      <c r="B174" s="1" t="s">
        <v>51</v>
      </c>
      <c r="C174" s="15">
        <v>7271</v>
      </c>
      <c r="D174" s="16">
        <v>10000</v>
      </c>
      <c r="E174" s="1"/>
      <c r="F174" s="17">
        <v>103.38</v>
      </c>
      <c r="G174" s="16">
        <v>10000</v>
      </c>
      <c r="H174" s="1">
        <f t="shared" si="6"/>
        <v>0</v>
      </c>
      <c r="I174" s="1"/>
      <c r="J174" s="1"/>
    </row>
    <row r="175" spans="2:10" x14ac:dyDescent="0.2">
      <c r="B175" s="1" t="s">
        <v>51</v>
      </c>
      <c r="C175" s="15">
        <v>3877</v>
      </c>
      <c r="D175" s="16">
        <v>15000</v>
      </c>
      <c r="E175" s="1"/>
      <c r="F175" s="17">
        <v>155.071</v>
      </c>
      <c r="G175" s="16">
        <v>15000</v>
      </c>
      <c r="H175" s="1">
        <f t="shared" si="6"/>
        <v>0</v>
      </c>
      <c r="I175" s="1"/>
      <c r="J175" s="1"/>
    </row>
    <row r="176" spans="2:10" x14ac:dyDescent="0.2">
      <c r="B176" s="1" t="s">
        <v>51</v>
      </c>
      <c r="C176" s="15">
        <v>8530</v>
      </c>
      <c r="D176" s="16">
        <v>9000</v>
      </c>
      <c r="E176" s="1"/>
      <c r="F176" s="17">
        <v>93.043000000000006</v>
      </c>
      <c r="G176" s="16">
        <v>9000</v>
      </c>
      <c r="H176" s="1">
        <f t="shared" si="6"/>
        <v>0</v>
      </c>
      <c r="I176" s="1"/>
      <c r="J176" s="1"/>
    </row>
    <row r="177" spans="2:10" x14ac:dyDescent="0.2">
      <c r="B177" s="1" t="s">
        <v>51</v>
      </c>
      <c r="C177" s="15">
        <v>9924</v>
      </c>
      <c r="D177" s="16">
        <v>31000</v>
      </c>
      <c r="E177" s="1"/>
      <c r="F177" s="17">
        <v>320.48</v>
      </c>
      <c r="G177" s="16">
        <v>31000</v>
      </c>
      <c r="H177" s="1">
        <f t="shared" si="6"/>
        <v>0</v>
      </c>
      <c r="I177" s="1"/>
      <c r="J177" s="1"/>
    </row>
    <row r="178" spans="2:10" x14ac:dyDescent="0.2">
      <c r="B178" s="1" t="s">
        <v>53</v>
      </c>
      <c r="C178" s="15">
        <v>5931</v>
      </c>
      <c r="D178" s="16">
        <v>24000</v>
      </c>
      <c r="E178" s="1"/>
      <c r="F178" s="17">
        <v>248.113</v>
      </c>
      <c r="G178" s="16">
        <v>24000</v>
      </c>
      <c r="H178" s="1">
        <f t="shared" si="6"/>
        <v>0</v>
      </c>
      <c r="I178" s="1"/>
      <c r="J178" s="1"/>
    </row>
    <row r="179" spans="2:10" x14ac:dyDescent="0.2">
      <c r="B179" s="1" t="s">
        <v>53</v>
      </c>
      <c r="C179" s="15">
        <v>2681</v>
      </c>
      <c r="D179" s="16">
        <v>14000</v>
      </c>
      <c r="E179" s="1"/>
      <c r="F179" s="17">
        <v>144.733</v>
      </c>
      <c r="G179" s="16">
        <v>14000</v>
      </c>
      <c r="H179" s="1">
        <f t="shared" si="6"/>
        <v>0</v>
      </c>
      <c r="I179" s="1"/>
      <c r="J179" s="1"/>
    </row>
    <row r="180" spans="2:10" x14ac:dyDescent="0.2">
      <c r="B180" s="1" t="s">
        <v>53</v>
      </c>
      <c r="C180" s="15" t="s">
        <v>30</v>
      </c>
      <c r="D180" s="16">
        <v>4500</v>
      </c>
      <c r="E180" s="1"/>
      <c r="F180" s="17">
        <v>46.521000000000001</v>
      </c>
      <c r="G180" s="16">
        <v>4500</v>
      </c>
      <c r="H180" s="1">
        <f t="shared" si="6"/>
        <v>0</v>
      </c>
      <c r="I180" s="1"/>
      <c r="J180" s="1"/>
    </row>
    <row r="181" spans="2:10" x14ac:dyDescent="0.2">
      <c r="B181" s="1" t="s">
        <v>53</v>
      </c>
      <c r="C181" s="15">
        <v>253</v>
      </c>
      <c r="D181" s="16">
        <v>13000</v>
      </c>
      <c r="E181" s="1"/>
      <c r="F181" s="17">
        <v>134.39500000000001</v>
      </c>
      <c r="G181" s="16">
        <v>13000</v>
      </c>
      <c r="H181" s="1">
        <f t="shared" si="6"/>
        <v>0</v>
      </c>
      <c r="I181" s="1"/>
      <c r="J181" s="1"/>
    </row>
    <row r="182" spans="2:10" x14ac:dyDescent="0.2">
      <c r="B182" s="1" t="s">
        <v>53</v>
      </c>
      <c r="C182" s="15">
        <v>5596</v>
      </c>
      <c r="D182" s="16">
        <v>9000</v>
      </c>
      <c r="E182" s="1"/>
      <c r="F182" s="17">
        <v>93.043000000000006</v>
      </c>
      <c r="G182" s="16">
        <v>9000</v>
      </c>
      <c r="H182" s="1">
        <f t="shared" si="6"/>
        <v>0</v>
      </c>
      <c r="I182" s="1"/>
      <c r="J182" s="1"/>
    </row>
    <row r="183" spans="2:10" x14ac:dyDescent="0.2">
      <c r="B183" s="1" t="s">
        <v>53</v>
      </c>
      <c r="C183" s="15">
        <v>8010</v>
      </c>
      <c r="D183" s="16">
        <v>24000</v>
      </c>
      <c r="E183" s="1"/>
      <c r="F183" s="17">
        <v>248.113</v>
      </c>
      <c r="G183" s="16">
        <v>24000</v>
      </c>
      <c r="H183" s="1">
        <f t="shared" si="6"/>
        <v>0</v>
      </c>
      <c r="I183" s="1"/>
      <c r="J183" s="1"/>
    </row>
    <row r="184" spans="2:10" x14ac:dyDescent="0.2">
      <c r="B184" s="1" t="s">
        <v>53</v>
      </c>
      <c r="C184" s="15">
        <v>1199</v>
      </c>
      <c r="D184" s="16">
        <v>30000</v>
      </c>
      <c r="E184" s="1"/>
      <c r="F184" s="17">
        <v>310.142</v>
      </c>
      <c r="G184" s="16">
        <v>30000</v>
      </c>
      <c r="H184" s="1">
        <f t="shared" si="6"/>
        <v>0</v>
      </c>
      <c r="I184" s="1"/>
      <c r="J184" s="1"/>
    </row>
    <row r="185" spans="2:10" x14ac:dyDescent="0.2">
      <c r="B185" s="1" t="s">
        <v>53</v>
      </c>
      <c r="C185" s="15">
        <v>765</v>
      </c>
      <c r="D185" s="16">
        <v>30000</v>
      </c>
      <c r="E185" s="1"/>
      <c r="F185" s="17">
        <v>310.142</v>
      </c>
      <c r="G185" s="16">
        <v>30000</v>
      </c>
      <c r="H185" s="1">
        <f t="shared" si="6"/>
        <v>0</v>
      </c>
      <c r="I185" s="1"/>
      <c r="J185" s="1"/>
    </row>
    <row r="186" spans="2:10" x14ac:dyDescent="0.2">
      <c r="B186" s="1" t="s">
        <v>53</v>
      </c>
      <c r="C186" s="15">
        <v>2740</v>
      </c>
      <c r="D186" s="16">
        <v>15000</v>
      </c>
      <c r="E186" s="1"/>
      <c r="F186" s="17">
        <v>155.071</v>
      </c>
      <c r="G186" s="16">
        <v>15000</v>
      </c>
      <c r="H186" s="1">
        <f t="shared" si="6"/>
        <v>0</v>
      </c>
      <c r="I186" s="1"/>
      <c r="J186" s="1"/>
    </row>
    <row r="187" spans="2:10" x14ac:dyDescent="0.2">
      <c r="B187" s="1" t="s">
        <v>53</v>
      </c>
      <c r="C187" s="32" t="s">
        <v>63</v>
      </c>
      <c r="D187" s="16">
        <v>3500</v>
      </c>
      <c r="E187" s="1"/>
      <c r="F187" s="17">
        <v>36.183</v>
      </c>
      <c r="G187" s="16">
        <v>3500</v>
      </c>
      <c r="H187" s="1">
        <f t="shared" si="6"/>
        <v>0</v>
      </c>
      <c r="I187" s="1"/>
      <c r="J187" s="1"/>
    </row>
    <row r="188" spans="2:10" x14ac:dyDescent="0.2">
      <c r="B188" s="1" t="s">
        <v>53</v>
      </c>
      <c r="C188" s="15">
        <v>4441</v>
      </c>
      <c r="D188" s="16">
        <v>5000</v>
      </c>
      <c r="E188" s="1"/>
      <c r="F188" s="17">
        <v>51.69</v>
      </c>
      <c r="G188" s="16">
        <v>5000</v>
      </c>
      <c r="H188" s="1">
        <f t="shared" si="6"/>
        <v>0</v>
      </c>
      <c r="I188" s="1"/>
      <c r="J188" s="1"/>
    </row>
    <row r="189" spans="2:10" x14ac:dyDescent="0.2">
      <c r="B189" s="1" t="s">
        <v>53</v>
      </c>
      <c r="C189" s="15">
        <v>530</v>
      </c>
      <c r="D189" s="16">
        <v>9000</v>
      </c>
      <c r="E189" s="1"/>
      <c r="F189" s="17">
        <v>93.043000000000006</v>
      </c>
      <c r="G189" s="16">
        <v>9000</v>
      </c>
      <c r="H189" s="1">
        <f t="shared" si="6"/>
        <v>0</v>
      </c>
      <c r="I189" s="1"/>
      <c r="J189" s="1"/>
    </row>
    <row r="190" spans="2:10" x14ac:dyDescent="0.2">
      <c r="B190" s="1" t="s">
        <v>53</v>
      </c>
      <c r="C190" s="15">
        <v>5185</v>
      </c>
      <c r="D190" s="16">
        <v>9000</v>
      </c>
      <c r="E190" s="1"/>
      <c r="F190" s="17">
        <v>93.043000000000006</v>
      </c>
      <c r="G190" s="16">
        <v>9000</v>
      </c>
      <c r="H190" s="1">
        <f t="shared" si="6"/>
        <v>0</v>
      </c>
      <c r="I190" s="1"/>
      <c r="J190" s="1"/>
    </row>
    <row r="191" spans="2:10" x14ac:dyDescent="0.2">
      <c r="B191" s="1" t="s">
        <v>53</v>
      </c>
      <c r="C191" s="15">
        <v>9090</v>
      </c>
      <c r="D191" s="16">
        <v>18000</v>
      </c>
      <c r="E191" s="1"/>
      <c r="F191" s="17">
        <v>186.08500000000001</v>
      </c>
      <c r="G191" s="16">
        <v>18000</v>
      </c>
      <c r="H191" s="1">
        <f t="shared" si="6"/>
        <v>0</v>
      </c>
      <c r="I191" s="1"/>
      <c r="J191" s="1"/>
    </row>
    <row r="192" spans="2:10" x14ac:dyDescent="0.2">
      <c r="B192" s="1" t="s">
        <v>53</v>
      </c>
      <c r="C192" s="15">
        <v>4713</v>
      </c>
      <c r="D192" s="16">
        <v>7000</v>
      </c>
      <c r="E192" s="1"/>
      <c r="F192" s="17">
        <v>72.366</v>
      </c>
      <c r="G192" s="16">
        <v>7000</v>
      </c>
      <c r="H192" s="1">
        <f t="shared" si="6"/>
        <v>0</v>
      </c>
      <c r="I192" s="1"/>
      <c r="J192" s="1"/>
    </row>
    <row r="193" spans="2:10" x14ac:dyDescent="0.2">
      <c r="B193" s="1" t="s">
        <v>53</v>
      </c>
      <c r="C193" s="15">
        <v>128</v>
      </c>
      <c r="D193" s="16">
        <v>13000</v>
      </c>
      <c r="E193" s="1"/>
      <c r="F193" s="17">
        <v>134.39500000000001</v>
      </c>
      <c r="G193" s="16">
        <v>13000</v>
      </c>
      <c r="H193" s="1">
        <f t="shared" si="6"/>
        <v>0</v>
      </c>
      <c r="I193" s="1"/>
      <c r="J193" s="1"/>
    </row>
    <row r="194" spans="2:10" x14ac:dyDescent="0.2">
      <c r="B194" s="1" t="s">
        <v>53</v>
      </c>
      <c r="C194" s="15">
        <v>8722</v>
      </c>
      <c r="D194" s="16">
        <v>12000</v>
      </c>
      <c r="E194" s="1"/>
      <c r="F194" s="17">
        <v>124.057</v>
      </c>
      <c r="G194" s="16">
        <v>12000</v>
      </c>
      <c r="H194" s="1">
        <f t="shared" si="6"/>
        <v>0</v>
      </c>
      <c r="I194" s="1"/>
      <c r="J194" s="1"/>
    </row>
    <row r="195" spans="2:10" x14ac:dyDescent="0.2">
      <c r="B195" s="1" t="s">
        <v>53</v>
      </c>
      <c r="C195" s="15">
        <v>3295</v>
      </c>
      <c r="D195" s="16">
        <v>28000</v>
      </c>
      <c r="E195" s="1"/>
      <c r="F195" s="17">
        <v>289.45999999999998</v>
      </c>
      <c r="G195" s="16">
        <v>28000</v>
      </c>
      <c r="H195" s="1">
        <f t="shared" si="6"/>
        <v>0</v>
      </c>
      <c r="I195" s="1"/>
      <c r="J195" s="1"/>
    </row>
    <row r="196" spans="2:10" x14ac:dyDescent="0.2">
      <c r="B196" s="1" t="s">
        <v>53</v>
      </c>
      <c r="C196" s="15">
        <v>3776</v>
      </c>
      <c r="D196" s="16">
        <v>12000</v>
      </c>
      <c r="E196" s="1"/>
      <c r="F196" s="17">
        <v>124.057</v>
      </c>
      <c r="G196" s="16">
        <v>12000</v>
      </c>
      <c r="H196" s="1">
        <f t="shared" si="6"/>
        <v>0</v>
      </c>
      <c r="I196" s="1"/>
      <c r="J196" s="1"/>
    </row>
    <row r="197" spans="2:10" x14ac:dyDescent="0.2">
      <c r="B197" s="1" t="s">
        <v>53</v>
      </c>
      <c r="C197" s="15">
        <v>1028</v>
      </c>
      <c r="D197" s="16">
        <v>20000</v>
      </c>
      <c r="E197" s="1"/>
      <c r="F197" s="17">
        <v>206.76</v>
      </c>
      <c r="G197" s="16">
        <v>20000</v>
      </c>
      <c r="H197" s="1">
        <f t="shared" si="6"/>
        <v>0</v>
      </c>
      <c r="I197" s="1"/>
      <c r="J197" s="1"/>
    </row>
    <row r="198" spans="2:10" x14ac:dyDescent="0.2">
      <c r="B198" s="1" t="s">
        <v>53</v>
      </c>
      <c r="C198" s="15">
        <v>6353</v>
      </c>
      <c r="D198" s="16">
        <v>13000</v>
      </c>
      <c r="E198" s="1"/>
      <c r="F198" s="17">
        <v>134.39599999999999</v>
      </c>
      <c r="G198" s="16">
        <v>13000</v>
      </c>
      <c r="H198" s="1">
        <f t="shared" si="6"/>
        <v>0</v>
      </c>
      <c r="I198" s="1"/>
      <c r="J198" s="1"/>
    </row>
    <row r="199" spans="2:10" x14ac:dyDescent="0.2">
      <c r="B199" s="1" t="s">
        <v>53</v>
      </c>
      <c r="C199" s="15">
        <v>1309</v>
      </c>
      <c r="D199" s="16">
        <v>15000</v>
      </c>
      <c r="E199" s="1"/>
      <c r="F199" s="17">
        <v>155.071</v>
      </c>
      <c r="G199" s="16">
        <v>15000</v>
      </c>
      <c r="H199" s="1">
        <f t="shared" ref="H199:H262" si="7">D199-G199</f>
        <v>0</v>
      </c>
      <c r="I199" s="1"/>
      <c r="J199" s="1"/>
    </row>
    <row r="200" spans="2:10" x14ac:dyDescent="0.2">
      <c r="B200" s="1" t="s">
        <v>53</v>
      </c>
      <c r="C200" s="15">
        <v>9025</v>
      </c>
      <c r="D200" s="16">
        <v>17000</v>
      </c>
      <c r="E200" s="1"/>
      <c r="F200" s="17">
        <v>175.75</v>
      </c>
      <c r="G200" s="16">
        <v>17000</v>
      </c>
      <c r="H200" s="1">
        <f t="shared" si="7"/>
        <v>0</v>
      </c>
      <c r="I200" s="1"/>
      <c r="J200" s="1"/>
    </row>
    <row r="201" spans="2:10" x14ac:dyDescent="0.2">
      <c r="B201" s="1" t="s">
        <v>53</v>
      </c>
      <c r="C201" s="15">
        <v>4729</v>
      </c>
      <c r="D201" s="16">
        <v>28000</v>
      </c>
      <c r="E201" s="1"/>
      <c r="F201" s="17">
        <v>175.75</v>
      </c>
      <c r="G201" s="16">
        <v>28000</v>
      </c>
      <c r="H201" s="1">
        <f t="shared" si="7"/>
        <v>0</v>
      </c>
      <c r="I201" s="1"/>
      <c r="J201" s="1"/>
    </row>
    <row r="202" spans="2:10" x14ac:dyDescent="0.2">
      <c r="B202" s="1" t="s">
        <v>53</v>
      </c>
      <c r="C202" s="15">
        <v>7562</v>
      </c>
      <c r="D202" s="16">
        <v>17000</v>
      </c>
      <c r="E202" s="1"/>
      <c r="F202" s="17">
        <v>175.74</v>
      </c>
      <c r="G202" s="16">
        <v>17000</v>
      </c>
      <c r="H202" s="1">
        <f t="shared" si="7"/>
        <v>0</v>
      </c>
      <c r="I202" s="1"/>
      <c r="J202" s="1"/>
    </row>
    <row r="203" spans="2:10" x14ac:dyDescent="0.2">
      <c r="B203" s="1" t="s">
        <v>53</v>
      </c>
      <c r="C203" s="15">
        <v>9626</v>
      </c>
      <c r="D203" s="16">
        <v>22000</v>
      </c>
      <c r="E203" s="1"/>
      <c r="F203" s="17">
        <v>227.44</v>
      </c>
      <c r="G203" s="16">
        <v>22000</v>
      </c>
      <c r="H203" s="1">
        <f t="shared" si="7"/>
        <v>0</v>
      </c>
      <c r="I203" s="1"/>
      <c r="J203" s="1"/>
    </row>
    <row r="204" spans="2:10" x14ac:dyDescent="0.2">
      <c r="B204" s="1" t="s">
        <v>53</v>
      </c>
      <c r="C204" s="15">
        <v>291</v>
      </c>
      <c r="D204" s="16">
        <v>15000</v>
      </c>
      <c r="E204" s="1"/>
      <c r="F204" s="17">
        <v>155.071</v>
      </c>
      <c r="G204" s="16">
        <v>15000</v>
      </c>
      <c r="H204" s="1">
        <f t="shared" si="7"/>
        <v>0</v>
      </c>
      <c r="I204" s="1"/>
      <c r="J204" s="1"/>
    </row>
    <row r="205" spans="2:10" x14ac:dyDescent="0.2">
      <c r="B205" s="1" t="s">
        <v>53</v>
      </c>
      <c r="C205" s="15">
        <v>1868</v>
      </c>
      <c r="D205" s="16">
        <v>13000</v>
      </c>
      <c r="E205" s="1"/>
      <c r="F205" s="17">
        <v>134.39599999999999</v>
      </c>
      <c r="G205" s="16">
        <v>13000</v>
      </c>
      <c r="H205" s="1">
        <f t="shared" si="7"/>
        <v>0</v>
      </c>
      <c r="I205" s="1"/>
      <c r="J205" s="1"/>
    </row>
    <row r="206" spans="2:10" x14ac:dyDescent="0.2">
      <c r="B206" s="1" t="s">
        <v>53</v>
      </c>
      <c r="C206" s="15">
        <v>7798</v>
      </c>
      <c r="D206" s="16">
        <v>28000</v>
      </c>
      <c r="E206" s="1"/>
      <c r="F206" s="17">
        <v>289.67</v>
      </c>
      <c r="G206" s="16">
        <v>28000</v>
      </c>
      <c r="H206" s="1">
        <f t="shared" si="7"/>
        <v>0</v>
      </c>
      <c r="I206" s="1"/>
      <c r="J206" s="1"/>
    </row>
    <row r="207" spans="2:10" x14ac:dyDescent="0.2">
      <c r="B207" s="1" t="s">
        <v>53</v>
      </c>
      <c r="C207" s="15">
        <v>129</v>
      </c>
      <c r="D207" s="16">
        <v>15000</v>
      </c>
      <c r="E207" s="1"/>
      <c r="F207" s="17">
        <v>155.071</v>
      </c>
      <c r="G207" s="16">
        <v>15000</v>
      </c>
      <c r="H207" s="1">
        <f t="shared" si="7"/>
        <v>0</v>
      </c>
      <c r="I207" s="1"/>
      <c r="J207" s="1"/>
    </row>
    <row r="208" spans="2:10" x14ac:dyDescent="0.2">
      <c r="B208" s="1" t="s">
        <v>53</v>
      </c>
      <c r="C208" s="15">
        <v>3540</v>
      </c>
      <c r="D208" s="16">
        <v>8000</v>
      </c>
      <c r="E208" s="1"/>
      <c r="F208" s="17">
        <v>82.703999999999994</v>
      </c>
      <c r="G208" s="16">
        <v>8000</v>
      </c>
      <c r="H208" s="1">
        <f t="shared" si="7"/>
        <v>0</v>
      </c>
      <c r="I208" s="1"/>
      <c r="J208" s="1"/>
    </row>
    <row r="209" spans="2:10" x14ac:dyDescent="0.2">
      <c r="B209" s="1" t="s">
        <v>53</v>
      </c>
      <c r="C209" s="15">
        <v>3044</v>
      </c>
      <c r="D209" s="16">
        <v>28000</v>
      </c>
      <c r="E209" s="1"/>
      <c r="F209" s="17">
        <v>289.67</v>
      </c>
      <c r="G209" s="16">
        <v>28000</v>
      </c>
      <c r="H209" s="1">
        <f t="shared" si="7"/>
        <v>0</v>
      </c>
      <c r="I209" s="1"/>
      <c r="J209" s="1"/>
    </row>
    <row r="210" spans="2:10" x14ac:dyDescent="0.2">
      <c r="B210" s="1" t="s">
        <v>53</v>
      </c>
      <c r="C210" s="15">
        <v>5826</v>
      </c>
      <c r="D210" s="16">
        <v>18000</v>
      </c>
      <c r="E210" s="1"/>
      <c r="F210" s="17">
        <v>186.08500000000001</v>
      </c>
      <c r="G210" s="16">
        <v>18000</v>
      </c>
      <c r="H210" s="1">
        <f t="shared" si="7"/>
        <v>0</v>
      </c>
      <c r="I210" s="1"/>
      <c r="J210" s="1"/>
    </row>
    <row r="211" spans="2:10" x14ac:dyDescent="0.2">
      <c r="B211" s="1" t="s">
        <v>58</v>
      </c>
      <c r="C211" s="15">
        <v>6552</v>
      </c>
      <c r="D211" s="16">
        <v>12000</v>
      </c>
      <c r="E211" s="1"/>
      <c r="F211" s="17">
        <v>124.057</v>
      </c>
      <c r="G211" s="16">
        <v>12000</v>
      </c>
      <c r="H211" s="1">
        <f t="shared" si="7"/>
        <v>0</v>
      </c>
      <c r="I211" s="1"/>
      <c r="J211" s="1"/>
    </row>
    <row r="212" spans="2:10" x14ac:dyDescent="0.2">
      <c r="B212" s="1" t="s">
        <v>58</v>
      </c>
      <c r="C212" s="15">
        <v>9189</v>
      </c>
      <c r="D212" s="16">
        <v>15000</v>
      </c>
      <c r="E212" s="1"/>
      <c r="F212" s="17">
        <v>155.071</v>
      </c>
      <c r="G212" s="16">
        <v>15000</v>
      </c>
      <c r="H212" s="1">
        <f t="shared" si="7"/>
        <v>0</v>
      </c>
      <c r="I212" s="1"/>
      <c r="J212" s="1"/>
    </row>
    <row r="213" spans="2:10" x14ac:dyDescent="0.2">
      <c r="B213" s="1" t="s">
        <v>58</v>
      </c>
      <c r="C213" s="15">
        <v>120</v>
      </c>
      <c r="D213" s="16">
        <v>14000</v>
      </c>
      <c r="E213" s="1"/>
      <c r="F213" s="17">
        <v>144.733</v>
      </c>
      <c r="G213" s="16">
        <v>14000</v>
      </c>
      <c r="H213" s="1">
        <f t="shared" si="7"/>
        <v>0</v>
      </c>
      <c r="I213" s="1"/>
      <c r="J213" s="1"/>
    </row>
    <row r="214" spans="2:10" x14ac:dyDescent="0.2">
      <c r="B214" s="1" t="s">
        <v>58</v>
      </c>
      <c r="C214" s="15">
        <v>118</v>
      </c>
      <c r="D214" s="16">
        <v>14000</v>
      </c>
      <c r="E214" s="1"/>
      <c r="F214" s="17">
        <v>144.733</v>
      </c>
      <c r="G214" s="16">
        <v>14000</v>
      </c>
      <c r="H214" s="1">
        <f t="shared" si="7"/>
        <v>0</v>
      </c>
      <c r="I214" s="1"/>
      <c r="J214" s="1"/>
    </row>
    <row r="215" spans="2:10" x14ac:dyDescent="0.2">
      <c r="B215" s="1" t="s">
        <v>58</v>
      </c>
      <c r="C215" s="15">
        <v>146</v>
      </c>
      <c r="D215" s="16">
        <v>22000</v>
      </c>
      <c r="E215" s="1"/>
      <c r="F215" s="17">
        <v>227.43700000000001</v>
      </c>
      <c r="G215" s="16">
        <v>22000</v>
      </c>
      <c r="H215" s="1">
        <f t="shared" si="7"/>
        <v>0</v>
      </c>
      <c r="I215" s="1"/>
      <c r="J215" s="1"/>
    </row>
    <row r="216" spans="2:10" x14ac:dyDescent="0.2">
      <c r="B216" s="1" t="s">
        <v>58</v>
      </c>
      <c r="C216" s="15">
        <v>5403</v>
      </c>
      <c r="D216" s="16">
        <v>8000</v>
      </c>
      <c r="E216" s="1"/>
      <c r="F216" s="17">
        <v>82.703999999999994</v>
      </c>
      <c r="G216" s="16">
        <v>8000</v>
      </c>
      <c r="H216" s="1">
        <f t="shared" si="7"/>
        <v>0</v>
      </c>
      <c r="I216" s="1"/>
      <c r="J216" s="1"/>
    </row>
    <row r="217" spans="2:10" x14ac:dyDescent="0.2">
      <c r="B217" s="1" t="s">
        <v>58</v>
      </c>
      <c r="C217" s="15">
        <v>932</v>
      </c>
      <c r="D217" s="16">
        <v>18000</v>
      </c>
      <c r="E217" s="1"/>
      <c r="F217" s="17">
        <v>186.08500000000001</v>
      </c>
      <c r="G217" s="16">
        <v>18000</v>
      </c>
      <c r="H217" s="1">
        <f t="shared" si="7"/>
        <v>0</v>
      </c>
      <c r="I217" s="1"/>
      <c r="J217" s="1"/>
    </row>
    <row r="218" spans="2:10" x14ac:dyDescent="0.2">
      <c r="B218" s="1" t="s">
        <v>58</v>
      </c>
      <c r="C218" s="15">
        <v>293</v>
      </c>
      <c r="D218" s="16">
        <v>14000</v>
      </c>
      <c r="E218" s="1"/>
      <c r="F218" s="17">
        <v>144.733</v>
      </c>
      <c r="G218" s="16">
        <v>14000</v>
      </c>
      <c r="H218" s="1">
        <f t="shared" si="7"/>
        <v>0</v>
      </c>
      <c r="I218" s="1"/>
      <c r="J218" s="1"/>
    </row>
    <row r="219" spans="2:10" x14ac:dyDescent="0.2">
      <c r="B219" s="1" t="s">
        <v>58</v>
      </c>
      <c r="C219" s="15" t="s">
        <v>30</v>
      </c>
      <c r="D219" s="16">
        <v>5000</v>
      </c>
      <c r="E219" s="1"/>
      <c r="F219" s="17">
        <v>51.69</v>
      </c>
      <c r="G219" s="16">
        <v>5000</v>
      </c>
      <c r="H219" s="1">
        <f t="shared" si="7"/>
        <v>0</v>
      </c>
      <c r="I219" s="1"/>
      <c r="J219" s="1"/>
    </row>
    <row r="220" spans="2:10" x14ac:dyDescent="0.2">
      <c r="B220" s="1" t="s">
        <v>58</v>
      </c>
      <c r="C220" s="15">
        <v>4378</v>
      </c>
      <c r="D220" s="16">
        <v>15000</v>
      </c>
      <c r="E220" s="1"/>
      <c r="F220" s="17">
        <v>155.071</v>
      </c>
      <c r="G220" s="16">
        <v>15000</v>
      </c>
      <c r="H220" s="1">
        <f t="shared" si="7"/>
        <v>0</v>
      </c>
      <c r="I220" s="1"/>
      <c r="J220" s="1"/>
    </row>
    <row r="221" spans="2:10" x14ac:dyDescent="0.2">
      <c r="B221" s="1" t="s">
        <v>58</v>
      </c>
      <c r="C221" s="15">
        <v>1978</v>
      </c>
      <c r="D221" s="16">
        <v>20000</v>
      </c>
      <c r="E221" s="1"/>
      <c r="F221" s="17">
        <v>206.071</v>
      </c>
      <c r="G221" s="16">
        <v>20000</v>
      </c>
      <c r="H221" s="1">
        <f t="shared" si="7"/>
        <v>0</v>
      </c>
      <c r="I221" s="1"/>
      <c r="J221" s="1"/>
    </row>
    <row r="222" spans="2:10" x14ac:dyDescent="0.2">
      <c r="B222" s="1" t="s">
        <v>58</v>
      </c>
      <c r="C222" s="15">
        <v>1220</v>
      </c>
      <c r="D222" s="16">
        <v>14000</v>
      </c>
      <c r="E222" s="1"/>
      <c r="F222" s="17">
        <v>144.733</v>
      </c>
      <c r="G222" s="16">
        <v>14000</v>
      </c>
      <c r="H222" s="1">
        <f t="shared" si="7"/>
        <v>0</v>
      </c>
      <c r="I222" s="1"/>
      <c r="J222" s="1"/>
    </row>
    <row r="223" spans="2:10" x14ac:dyDescent="0.2">
      <c r="B223" s="1" t="s">
        <v>58</v>
      </c>
      <c r="C223" s="15">
        <v>2227</v>
      </c>
      <c r="D223" s="16">
        <v>15000</v>
      </c>
      <c r="E223" s="1"/>
      <c r="F223" s="17">
        <v>155.07</v>
      </c>
      <c r="G223" s="16">
        <v>15000</v>
      </c>
      <c r="H223" s="1">
        <f t="shared" si="7"/>
        <v>0</v>
      </c>
      <c r="I223" s="1"/>
      <c r="J223" s="1"/>
    </row>
    <row r="224" spans="2:10" x14ac:dyDescent="0.2">
      <c r="B224" s="1" t="s">
        <v>58</v>
      </c>
      <c r="C224" s="15">
        <v>4945</v>
      </c>
      <c r="D224" s="16">
        <v>20000</v>
      </c>
      <c r="E224" s="1"/>
      <c r="F224" s="17">
        <v>206.761</v>
      </c>
      <c r="G224" s="16">
        <v>20000</v>
      </c>
      <c r="H224" s="1">
        <f t="shared" si="7"/>
        <v>0</v>
      </c>
      <c r="I224" s="1"/>
      <c r="J224" s="1"/>
    </row>
    <row r="225" spans="2:10" x14ac:dyDescent="0.2">
      <c r="B225" s="1" t="s">
        <v>58</v>
      </c>
      <c r="C225" s="15">
        <v>941</v>
      </c>
      <c r="D225" s="16">
        <v>13000</v>
      </c>
      <c r="E225" s="1"/>
      <c r="F225" s="17">
        <v>134.39500000000001</v>
      </c>
      <c r="G225" s="16">
        <v>13000</v>
      </c>
      <c r="H225" s="1">
        <f t="shared" si="7"/>
        <v>0</v>
      </c>
      <c r="I225" s="1"/>
      <c r="J225" s="1"/>
    </row>
    <row r="226" spans="2:10" x14ac:dyDescent="0.2">
      <c r="B226" s="1" t="s">
        <v>58</v>
      </c>
      <c r="C226" s="15">
        <v>4494</v>
      </c>
      <c r="D226" s="16">
        <v>17000</v>
      </c>
      <c r="E226" s="1"/>
      <c r="F226" s="17">
        <v>175.74700000000001</v>
      </c>
      <c r="G226" s="16">
        <v>17000</v>
      </c>
      <c r="H226" s="1">
        <f t="shared" si="7"/>
        <v>0</v>
      </c>
      <c r="I226" s="1"/>
      <c r="J226" s="1"/>
    </row>
    <row r="227" spans="2:10" x14ac:dyDescent="0.2">
      <c r="B227" s="1" t="s">
        <v>58</v>
      </c>
      <c r="C227" s="15">
        <v>1593</v>
      </c>
      <c r="D227" s="16">
        <v>13000</v>
      </c>
      <c r="E227" s="1"/>
      <c r="F227" s="17">
        <v>134.39500000000001</v>
      </c>
      <c r="G227" s="16">
        <v>13000</v>
      </c>
      <c r="H227" s="1">
        <f t="shared" si="7"/>
        <v>0</v>
      </c>
      <c r="I227" s="1"/>
      <c r="J227" s="1"/>
    </row>
    <row r="228" spans="2:10" x14ac:dyDescent="0.2">
      <c r="B228" s="1" t="s">
        <v>58</v>
      </c>
      <c r="C228" s="15">
        <v>1887</v>
      </c>
      <c r="D228" s="16">
        <v>14000</v>
      </c>
      <c r="E228" s="1"/>
      <c r="F228" s="17">
        <v>144.733</v>
      </c>
      <c r="G228" s="16">
        <v>14000</v>
      </c>
      <c r="H228" s="1">
        <f t="shared" si="7"/>
        <v>0</v>
      </c>
      <c r="I228" s="1"/>
      <c r="J228" s="1"/>
    </row>
    <row r="229" spans="2:10" x14ac:dyDescent="0.2">
      <c r="B229" s="1" t="s">
        <v>58</v>
      </c>
      <c r="C229" s="15">
        <v>1313</v>
      </c>
      <c r="D229" s="16">
        <v>9000</v>
      </c>
      <c r="E229" s="1"/>
      <c r="F229" s="17">
        <v>93.043000000000006</v>
      </c>
      <c r="G229" s="16">
        <v>9000</v>
      </c>
      <c r="H229" s="1">
        <f t="shared" si="7"/>
        <v>0</v>
      </c>
      <c r="I229" s="1"/>
      <c r="J229" s="1"/>
    </row>
    <row r="230" spans="2:10" x14ac:dyDescent="0.2">
      <c r="B230" s="1" t="s">
        <v>58</v>
      </c>
      <c r="C230" s="15">
        <v>3381</v>
      </c>
      <c r="D230" s="16">
        <v>9000</v>
      </c>
      <c r="E230" s="1"/>
      <c r="F230" s="17">
        <v>93.043000000000006</v>
      </c>
      <c r="G230" s="16">
        <v>9000</v>
      </c>
      <c r="H230" s="1">
        <f t="shared" si="7"/>
        <v>0</v>
      </c>
      <c r="I230" s="1"/>
      <c r="J230" s="1"/>
    </row>
    <row r="231" spans="2:10" x14ac:dyDescent="0.2">
      <c r="B231" s="1" t="s">
        <v>58</v>
      </c>
      <c r="C231" s="15">
        <v>8530</v>
      </c>
      <c r="D231" s="16">
        <v>9000</v>
      </c>
      <c r="E231" s="1"/>
      <c r="F231" s="17">
        <v>93.043000000000006</v>
      </c>
      <c r="G231" s="16">
        <v>9000</v>
      </c>
      <c r="H231" s="1">
        <f t="shared" si="7"/>
        <v>0</v>
      </c>
      <c r="I231" s="1"/>
      <c r="J231" s="1"/>
    </row>
    <row r="232" spans="2:10" x14ac:dyDescent="0.2">
      <c r="B232" s="1" t="s">
        <v>58</v>
      </c>
      <c r="C232" s="15">
        <v>7488</v>
      </c>
      <c r="D232" s="16">
        <v>9000</v>
      </c>
      <c r="E232" s="1"/>
      <c r="F232" s="17">
        <v>93.04</v>
      </c>
      <c r="G232" s="16">
        <v>9000</v>
      </c>
      <c r="H232" s="1">
        <f t="shared" si="7"/>
        <v>0</v>
      </c>
      <c r="I232" s="1"/>
      <c r="J232" s="1"/>
    </row>
    <row r="233" spans="2:10" x14ac:dyDescent="0.2">
      <c r="B233" s="1" t="s">
        <v>59</v>
      </c>
      <c r="C233" s="15">
        <v>253</v>
      </c>
      <c r="D233" s="16">
        <v>13000</v>
      </c>
      <c r="E233" s="1"/>
      <c r="F233" s="17">
        <v>134.39500000000001</v>
      </c>
      <c r="G233" s="16">
        <v>13000</v>
      </c>
      <c r="H233" s="1">
        <f t="shared" si="7"/>
        <v>0</v>
      </c>
      <c r="I233" s="1"/>
      <c r="J233" s="1"/>
    </row>
    <row r="234" spans="2:10" x14ac:dyDescent="0.2">
      <c r="B234" s="1" t="s">
        <v>59</v>
      </c>
      <c r="C234" s="15">
        <v>1816</v>
      </c>
      <c r="D234" s="16">
        <v>10000</v>
      </c>
      <c r="E234" s="1"/>
      <c r="F234" s="17">
        <v>103.38</v>
      </c>
      <c r="G234" s="16">
        <v>10000</v>
      </c>
      <c r="H234" s="1">
        <f t="shared" si="7"/>
        <v>0</v>
      </c>
      <c r="I234" s="1"/>
      <c r="J234" s="1"/>
    </row>
    <row r="235" spans="2:10" x14ac:dyDescent="0.2">
      <c r="B235" s="1" t="s">
        <v>59</v>
      </c>
      <c r="C235" s="15">
        <v>292</v>
      </c>
      <c r="D235" s="16">
        <v>15000</v>
      </c>
      <c r="E235" s="1"/>
      <c r="F235" s="17">
        <v>155.071</v>
      </c>
      <c r="G235" s="16">
        <v>15000</v>
      </c>
      <c r="H235" s="1">
        <f t="shared" si="7"/>
        <v>0</v>
      </c>
      <c r="I235" s="1"/>
      <c r="J235" s="1"/>
    </row>
    <row r="236" spans="2:10" x14ac:dyDescent="0.2">
      <c r="B236" s="1" t="s">
        <v>59</v>
      </c>
      <c r="C236" s="15" t="s">
        <v>61</v>
      </c>
      <c r="D236" s="16">
        <v>4500</v>
      </c>
      <c r="E236" s="1"/>
      <c r="F236" s="17">
        <v>46.521000000000001</v>
      </c>
      <c r="G236" s="16">
        <v>4500</v>
      </c>
      <c r="H236" s="1">
        <f t="shared" si="7"/>
        <v>0</v>
      </c>
      <c r="I236" s="1"/>
      <c r="J236" s="1"/>
    </row>
    <row r="237" spans="2:10" x14ac:dyDescent="0.2">
      <c r="B237" s="1" t="s">
        <v>59</v>
      </c>
      <c r="C237" s="15" t="s">
        <v>62</v>
      </c>
      <c r="D237" s="16">
        <v>400</v>
      </c>
      <c r="E237" s="1"/>
      <c r="F237" s="17">
        <v>4.1349999999999998</v>
      </c>
      <c r="G237" s="16">
        <v>400</v>
      </c>
      <c r="H237" s="1">
        <f t="shared" si="7"/>
        <v>0</v>
      </c>
      <c r="I237" s="1"/>
      <c r="J237" s="1"/>
    </row>
    <row r="238" spans="2:10" x14ac:dyDescent="0.2">
      <c r="B238" s="1" t="s">
        <v>59</v>
      </c>
      <c r="C238" s="15">
        <v>7109</v>
      </c>
      <c r="D238" s="16">
        <v>500</v>
      </c>
      <c r="E238" s="1"/>
      <c r="F238" s="17">
        <v>5.1689999999999996</v>
      </c>
      <c r="G238" s="16">
        <v>500</v>
      </c>
      <c r="H238" s="1">
        <f t="shared" si="7"/>
        <v>0</v>
      </c>
      <c r="I238" s="1"/>
      <c r="J238" s="1"/>
    </row>
    <row r="239" spans="2:10" x14ac:dyDescent="0.2">
      <c r="B239" s="1" t="s">
        <v>59</v>
      </c>
      <c r="C239" s="15" t="s">
        <v>63</v>
      </c>
      <c r="D239" s="16">
        <v>3500</v>
      </c>
      <c r="E239" s="1"/>
      <c r="F239" s="17">
        <v>36.183</v>
      </c>
      <c r="G239" s="16">
        <v>3500</v>
      </c>
      <c r="H239" s="1">
        <f t="shared" si="7"/>
        <v>0</v>
      </c>
      <c r="I239" s="1"/>
      <c r="J239" s="1"/>
    </row>
    <row r="240" spans="2:10" x14ac:dyDescent="0.2">
      <c r="B240" s="1" t="s">
        <v>59</v>
      </c>
      <c r="C240" s="15">
        <v>3505</v>
      </c>
      <c r="D240" s="16">
        <v>30000</v>
      </c>
      <c r="E240" s="1"/>
      <c r="F240" s="17">
        <v>310.142</v>
      </c>
      <c r="G240" s="16">
        <v>30000</v>
      </c>
      <c r="H240" s="1">
        <f t="shared" si="7"/>
        <v>0</v>
      </c>
      <c r="I240" s="1"/>
      <c r="J240" s="1"/>
    </row>
    <row r="241" spans="2:10" x14ac:dyDescent="0.2">
      <c r="B241" s="1" t="s">
        <v>59</v>
      </c>
      <c r="C241" s="15">
        <v>5552</v>
      </c>
      <c r="D241" s="16">
        <v>30000</v>
      </c>
      <c r="E241" s="1"/>
      <c r="F241" s="17">
        <v>310.142</v>
      </c>
      <c r="G241" s="16">
        <v>30000</v>
      </c>
      <c r="H241" s="1">
        <f t="shared" si="7"/>
        <v>0</v>
      </c>
      <c r="I241" s="1"/>
      <c r="J241" s="1"/>
    </row>
    <row r="242" spans="2:10" x14ac:dyDescent="0.2">
      <c r="B242" s="1" t="s">
        <v>59</v>
      </c>
      <c r="C242" s="15">
        <v>5931</v>
      </c>
      <c r="D242" s="16">
        <v>24000</v>
      </c>
      <c r="E242" s="1"/>
      <c r="F242" s="17">
        <v>248.113</v>
      </c>
      <c r="G242" s="16">
        <v>24000</v>
      </c>
      <c r="H242" s="1">
        <f t="shared" si="7"/>
        <v>0</v>
      </c>
      <c r="I242" s="1"/>
      <c r="J242" s="1"/>
    </row>
    <row r="243" spans="2:10" x14ac:dyDescent="0.2">
      <c r="B243" s="1" t="s">
        <v>59</v>
      </c>
      <c r="C243" s="15">
        <v>8665</v>
      </c>
      <c r="D243" s="16">
        <v>24000</v>
      </c>
      <c r="E243" s="1"/>
      <c r="F243" s="17">
        <v>248.113</v>
      </c>
      <c r="G243" s="16">
        <v>24000</v>
      </c>
      <c r="H243" s="1">
        <f t="shared" si="7"/>
        <v>0</v>
      </c>
      <c r="I243" s="1"/>
      <c r="J243" s="1"/>
    </row>
    <row r="244" spans="2:10" x14ac:dyDescent="0.2">
      <c r="B244" s="1" t="s">
        <v>59</v>
      </c>
      <c r="C244" s="15">
        <v>2131</v>
      </c>
      <c r="D244" s="16">
        <v>23000</v>
      </c>
      <c r="E244" s="1"/>
      <c r="F244" s="17">
        <v>237.77500000000001</v>
      </c>
      <c r="G244" s="16">
        <v>23000</v>
      </c>
      <c r="H244" s="1">
        <f t="shared" si="7"/>
        <v>0</v>
      </c>
      <c r="I244" s="1"/>
      <c r="J244" s="1"/>
    </row>
    <row r="245" spans="2:10" x14ac:dyDescent="0.2">
      <c r="B245" s="1" t="s">
        <v>59</v>
      </c>
      <c r="C245" s="15">
        <v>119</v>
      </c>
      <c r="D245" s="16">
        <v>15000</v>
      </c>
      <c r="E245" s="1"/>
      <c r="F245" s="17">
        <v>155.071</v>
      </c>
      <c r="G245" s="16">
        <v>15000</v>
      </c>
      <c r="H245" s="1">
        <f t="shared" si="7"/>
        <v>0</v>
      </c>
      <c r="I245" s="1"/>
      <c r="J245" s="1"/>
    </row>
    <row r="246" spans="2:10" x14ac:dyDescent="0.2">
      <c r="B246" s="1" t="s">
        <v>59</v>
      </c>
      <c r="C246" s="15">
        <v>127</v>
      </c>
      <c r="D246" s="16">
        <v>15000</v>
      </c>
      <c r="E246" s="1"/>
      <c r="F246" s="17">
        <v>155.071</v>
      </c>
      <c r="G246" s="16">
        <v>15000</v>
      </c>
      <c r="H246" s="1">
        <f t="shared" si="7"/>
        <v>0</v>
      </c>
      <c r="I246" s="1"/>
      <c r="J246" s="1"/>
    </row>
    <row r="247" spans="2:10" x14ac:dyDescent="0.2">
      <c r="B247" s="1" t="s">
        <v>59</v>
      </c>
      <c r="C247" s="15">
        <v>2681</v>
      </c>
      <c r="D247" s="16">
        <v>14000</v>
      </c>
      <c r="E247" s="1"/>
      <c r="F247" s="17">
        <v>144.733</v>
      </c>
      <c r="G247" s="16">
        <v>14000</v>
      </c>
      <c r="H247" s="1">
        <f t="shared" si="7"/>
        <v>0</v>
      </c>
      <c r="I247" s="1"/>
      <c r="J247" s="1"/>
    </row>
    <row r="248" spans="2:10" x14ac:dyDescent="0.2">
      <c r="B248" s="1" t="s">
        <v>59</v>
      </c>
      <c r="C248" s="15">
        <v>4125</v>
      </c>
      <c r="D248" s="16">
        <v>10000</v>
      </c>
      <c r="E248" s="1"/>
      <c r="F248" s="17">
        <v>103.381</v>
      </c>
      <c r="G248" s="16">
        <v>10000</v>
      </c>
      <c r="H248" s="1">
        <f t="shared" si="7"/>
        <v>0</v>
      </c>
      <c r="I248" s="1"/>
      <c r="J248" s="1"/>
    </row>
    <row r="249" spans="2:10" x14ac:dyDescent="0.2">
      <c r="B249" s="1" t="s">
        <v>59</v>
      </c>
      <c r="C249" s="15">
        <v>1565</v>
      </c>
      <c r="D249" s="16">
        <v>10000</v>
      </c>
      <c r="E249" s="1"/>
      <c r="F249" s="17">
        <v>103.381</v>
      </c>
      <c r="G249" s="16">
        <v>10000</v>
      </c>
      <c r="H249" s="1">
        <f t="shared" si="7"/>
        <v>0</v>
      </c>
      <c r="I249" s="1"/>
      <c r="J249" s="1"/>
    </row>
    <row r="250" spans="2:10" x14ac:dyDescent="0.2">
      <c r="B250" s="1" t="s">
        <v>59</v>
      </c>
      <c r="C250" s="15">
        <v>7127</v>
      </c>
      <c r="D250" s="16">
        <v>10000</v>
      </c>
      <c r="E250" s="1"/>
      <c r="F250" s="17">
        <v>103.381</v>
      </c>
      <c r="G250" s="16">
        <v>10000</v>
      </c>
      <c r="H250" s="1">
        <f t="shared" si="7"/>
        <v>0</v>
      </c>
      <c r="I250" s="1"/>
      <c r="J250" s="1"/>
    </row>
    <row r="251" spans="2:10" x14ac:dyDescent="0.2">
      <c r="B251" s="1" t="s">
        <v>59</v>
      </c>
      <c r="C251" s="15">
        <v>8921</v>
      </c>
      <c r="D251" s="16">
        <v>9000</v>
      </c>
      <c r="E251" s="1"/>
      <c r="F251" s="17">
        <v>93.043000000000006</v>
      </c>
      <c r="G251" s="16">
        <v>9000</v>
      </c>
      <c r="H251" s="1">
        <f t="shared" si="7"/>
        <v>0</v>
      </c>
      <c r="I251" s="1"/>
      <c r="J251" s="1"/>
    </row>
    <row r="252" spans="2:10" x14ac:dyDescent="0.2">
      <c r="B252" s="1" t="s">
        <v>64</v>
      </c>
      <c r="C252" s="15">
        <v>2077</v>
      </c>
      <c r="D252" s="16">
        <v>16000</v>
      </c>
      <c r="E252" s="1"/>
      <c r="F252" s="17">
        <v>165.40899999999999</v>
      </c>
      <c r="G252" s="16">
        <v>16000</v>
      </c>
      <c r="H252" s="1">
        <f t="shared" si="7"/>
        <v>0</v>
      </c>
      <c r="I252" s="1"/>
      <c r="J252" s="1"/>
    </row>
    <row r="253" spans="2:10" x14ac:dyDescent="0.2">
      <c r="B253" s="1" t="s">
        <v>64</v>
      </c>
      <c r="C253" s="15">
        <v>2290</v>
      </c>
      <c r="D253" s="16">
        <v>16000</v>
      </c>
      <c r="E253" s="1"/>
      <c r="F253" s="17">
        <v>165.40899999999999</v>
      </c>
      <c r="G253" s="16">
        <v>16000</v>
      </c>
      <c r="H253" s="1">
        <f t="shared" si="7"/>
        <v>0</v>
      </c>
      <c r="I253" s="1"/>
      <c r="J253" s="1"/>
    </row>
    <row r="254" spans="2:10" x14ac:dyDescent="0.2">
      <c r="B254" s="1" t="s">
        <v>64</v>
      </c>
      <c r="C254" s="15">
        <v>3543</v>
      </c>
      <c r="D254" s="16">
        <v>18000</v>
      </c>
      <c r="E254" s="1"/>
      <c r="F254" s="17">
        <v>186.08500000000001</v>
      </c>
      <c r="G254" s="16">
        <v>18000</v>
      </c>
      <c r="H254" s="1">
        <f t="shared" si="7"/>
        <v>0</v>
      </c>
      <c r="I254" s="1"/>
      <c r="J254" s="1"/>
    </row>
    <row r="255" spans="2:10" x14ac:dyDescent="0.2">
      <c r="B255" s="1" t="s">
        <v>64</v>
      </c>
      <c r="C255" s="15">
        <v>3390</v>
      </c>
      <c r="D255" s="16">
        <v>16000</v>
      </c>
      <c r="E255" s="1"/>
      <c r="F255" s="17">
        <v>165.40899999999999</v>
      </c>
      <c r="G255" s="16">
        <v>16000</v>
      </c>
      <c r="H255" s="1">
        <f t="shared" si="7"/>
        <v>0</v>
      </c>
      <c r="I255" s="1"/>
      <c r="J255" s="1"/>
    </row>
    <row r="256" spans="2:10" x14ac:dyDescent="0.2">
      <c r="B256" s="1" t="s">
        <v>64</v>
      </c>
      <c r="C256" s="15">
        <v>128</v>
      </c>
      <c r="D256" s="16">
        <v>13000</v>
      </c>
      <c r="E256" s="1"/>
      <c r="F256" s="17">
        <v>134.39500000000001</v>
      </c>
      <c r="G256" s="16">
        <v>13000</v>
      </c>
      <c r="H256" s="1">
        <f t="shared" si="7"/>
        <v>0</v>
      </c>
      <c r="I256" s="1"/>
      <c r="J256" s="1"/>
    </row>
    <row r="257" spans="2:10" x14ac:dyDescent="0.2">
      <c r="B257" s="1" t="s">
        <v>64</v>
      </c>
      <c r="C257" s="15">
        <v>4441</v>
      </c>
      <c r="D257" s="16">
        <v>5000</v>
      </c>
      <c r="E257" s="1"/>
      <c r="F257" s="17">
        <v>51.69</v>
      </c>
      <c r="G257" s="16">
        <v>5000</v>
      </c>
      <c r="H257" s="1">
        <f t="shared" si="7"/>
        <v>0</v>
      </c>
      <c r="I257" s="1"/>
      <c r="J257" s="1"/>
    </row>
    <row r="258" spans="2:10" x14ac:dyDescent="0.2">
      <c r="B258" s="1" t="s">
        <v>64</v>
      </c>
      <c r="C258" s="15">
        <v>530</v>
      </c>
      <c r="D258" s="16">
        <v>9000</v>
      </c>
      <c r="E258" s="1"/>
      <c r="F258" s="17">
        <v>93.043000000000006</v>
      </c>
      <c r="G258" s="16">
        <v>9000</v>
      </c>
      <c r="H258" s="1">
        <f t="shared" si="7"/>
        <v>0</v>
      </c>
      <c r="I258" s="1"/>
      <c r="J258" s="1"/>
    </row>
    <row r="259" spans="2:10" x14ac:dyDescent="0.2">
      <c r="B259" s="1" t="s">
        <v>64</v>
      </c>
      <c r="C259" s="15">
        <v>1477</v>
      </c>
      <c r="D259" s="16">
        <v>16000</v>
      </c>
      <c r="E259" s="1"/>
      <c r="F259" s="17">
        <v>165.40899999999999</v>
      </c>
      <c r="G259" s="16">
        <v>16000</v>
      </c>
      <c r="H259" s="1">
        <f t="shared" si="7"/>
        <v>0</v>
      </c>
      <c r="I259" s="1"/>
      <c r="J259" s="1"/>
    </row>
    <row r="260" spans="2:10" x14ac:dyDescent="0.2">
      <c r="B260" s="1" t="s">
        <v>64</v>
      </c>
      <c r="C260" s="15">
        <v>2151</v>
      </c>
      <c r="D260" s="16">
        <v>10000</v>
      </c>
      <c r="E260" s="1"/>
      <c r="F260" s="17">
        <v>103.381</v>
      </c>
      <c r="G260" s="16">
        <v>10000</v>
      </c>
      <c r="H260" s="1">
        <f t="shared" si="7"/>
        <v>0</v>
      </c>
      <c r="I260" s="1"/>
      <c r="J260" s="1"/>
    </row>
    <row r="261" spans="2:10" x14ac:dyDescent="0.2">
      <c r="B261" s="1" t="s">
        <v>64</v>
      </c>
      <c r="C261" s="15" t="s">
        <v>61</v>
      </c>
      <c r="D261" s="16">
        <v>5000</v>
      </c>
      <c r="E261" s="1"/>
      <c r="F261" s="17">
        <v>51.69</v>
      </c>
      <c r="G261" s="16">
        <v>5000</v>
      </c>
      <c r="H261" s="1">
        <f t="shared" si="7"/>
        <v>0</v>
      </c>
      <c r="I261" s="1"/>
      <c r="J261" s="1"/>
    </row>
    <row r="262" spans="2:10" x14ac:dyDescent="0.2">
      <c r="B262" s="1" t="s">
        <v>64</v>
      </c>
      <c r="C262" s="15">
        <v>8469</v>
      </c>
      <c r="D262" s="16">
        <v>10000</v>
      </c>
      <c r="E262" s="1"/>
      <c r="F262" s="17">
        <v>103.381</v>
      </c>
      <c r="G262" s="16">
        <v>10000</v>
      </c>
      <c r="H262" s="1">
        <f t="shared" si="7"/>
        <v>0</v>
      </c>
      <c r="I262" s="1"/>
      <c r="J262" s="1"/>
    </row>
    <row r="263" spans="2:10" x14ac:dyDescent="0.2">
      <c r="B263" s="1" t="s">
        <v>64</v>
      </c>
      <c r="C263" s="15">
        <v>118</v>
      </c>
      <c r="D263" s="16">
        <v>15000</v>
      </c>
      <c r="E263" s="1"/>
      <c r="F263" s="17">
        <v>155.071</v>
      </c>
      <c r="G263" s="16">
        <v>15000</v>
      </c>
      <c r="H263" s="1">
        <f t="shared" ref="H263:H326" si="8">D263-G263</f>
        <v>0</v>
      </c>
      <c r="I263" s="1"/>
      <c r="J263" s="1"/>
    </row>
    <row r="264" spans="2:10" x14ac:dyDescent="0.2">
      <c r="B264" s="1" t="s">
        <v>64</v>
      </c>
      <c r="C264" s="15">
        <v>2227</v>
      </c>
      <c r="D264" s="16">
        <v>15000</v>
      </c>
      <c r="E264" s="1"/>
      <c r="F264" s="17">
        <v>155.071</v>
      </c>
      <c r="G264" s="16">
        <v>15000</v>
      </c>
      <c r="H264" s="1">
        <f t="shared" si="8"/>
        <v>0</v>
      </c>
      <c r="I264" s="1"/>
      <c r="J264" s="1"/>
    </row>
    <row r="265" spans="2:10" x14ac:dyDescent="0.2">
      <c r="B265" s="1" t="s">
        <v>64</v>
      </c>
      <c r="C265" s="15">
        <v>9516</v>
      </c>
      <c r="D265" s="16">
        <v>15000</v>
      </c>
      <c r="E265" s="1"/>
      <c r="F265" s="17">
        <v>155.071</v>
      </c>
      <c r="G265" s="16">
        <v>15000</v>
      </c>
      <c r="H265" s="1">
        <f t="shared" si="8"/>
        <v>0</v>
      </c>
      <c r="I265" s="1"/>
      <c r="J265" s="1"/>
    </row>
    <row r="266" spans="2:10" x14ac:dyDescent="0.2">
      <c r="B266" s="1" t="s">
        <v>64</v>
      </c>
      <c r="C266" s="15">
        <v>6565</v>
      </c>
      <c r="D266" s="16">
        <v>14000</v>
      </c>
      <c r="E266" s="1"/>
      <c r="F266" s="17">
        <v>144.733</v>
      </c>
      <c r="G266" s="16">
        <v>14000</v>
      </c>
      <c r="H266" s="1">
        <f t="shared" si="8"/>
        <v>0</v>
      </c>
      <c r="I266" s="1"/>
      <c r="J266" s="1"/>
    </row>
    <row r="267" spans="2:10" x14ac:dyDescent="0.2">
      <c r="B267" s="1" t="s">
        <v>64</v>
      </c>
      <c r="C267" s="15">
        <v>120</v>
      </c>
      <c r="D267" s="16">
        <v>15000</v>
      </c>
      <c r="E267" s="1"/>
      <c r="F267" s="17">
        <v>155.071</v>
      </c>
      <c r="G267" s="16">
        <v>15000</v>
      </c>
      <c r="H267" s="1">
        <f t="shared" si="8"/>
        <v>0</v>
      </c>
      <c r="I267" s="1"/>
      <c r="J267" s="1"/>
    </row>
    <row r="268" spans="2:10" x14ac:dyDescent="0.2">
      <c r="B268" s="1" t="s">
        <v>64</v>
      </c>
      <c r="C268" s="15">
        <v>1758</v>
      </c>
      <c r="D268" s="16">
        <v>13000</v>
      </c>
      <c r="E268" s="1"/>
      <c r="F268" s="17">
        <v>134.39500000000001</v>
      </c>
      <c r="G268" s="16">
        <v>13000</v>
      </c>
      <c r="H268" s="1">
        <f t="shared" si="8"/>
        <v>0</v>
      </c>
      <c r="I268" s="1"/>
      <c r="J268" s="1"/>
    </row>
    <row r="269" spans="2:10" x14ac:dyDescent="0.2">
      <c r="B269" s="1" t="s">
        <v>64</v>
      </c>
      <c r="C269" s="15">
        <v>293</v>
      </c>
      <c r="D269" s="16">
        <v>15000</v>
      </c>
      <c r="E269" s="1"/>
      <c r="F269" s="17">
        <v>155.071</v>
      </c>
      <c r="G269" s="16">
        <v>15000</v>
      </c>
      <c r="H269" s="1">
        <f t="shared" si="8"/>
        <v>0</v>
      </c>
      <c r="I269" s="1"/>
      <c r="J269" s="1"/>
    </row>
    <row r="270" spans="2:10" x14ac:dyDescent="0.2">
      <c r="B270" s="1" t="s">
        <v>64</v>
      </c>
      <c r="C270" s="15">
        <v>291</v>
      </c>
      <c r="D270" s="16">
        <v>14000</v>
      </c>
      <c r="E270" s="1"/>
      <c r="F270" s="17">
        <v>144.733</v>
      </c>
      <c r="G270" s="16">
        <v>14000</v>
      </c>
      <c r="H270" s="1">
        <f t="shared" si="8"/>
        <v>0</v>
      </c>
      <c r="I270" s="1"/>
      <c r="J270" s="1"/>
    </row>
    <row r="271" spans="2:10" x14ac:dyDescent="0.2">
      <c r="B271" s="1" t="s">
        <v>64</v>
      </c>
      <c r="C271" s="15">
        <v>4107</v>
      </c>
      <c r="D271" s="16">
        <v>15000</v>
      </c>
      <c r="E271" s="1"/>
      <c r="F271" s="17">
        <v>155.071</v>
      </c>
      <c r="G271" s="16">
        <v>15000</v>
      </c>
      <c r="H271" s="1">
        <f t="shared" si="8"/>
        <v>0</v>
      </c>
      <c r="I271" s="1"/>
      <c r="J271" s="1"/>
    </row>
    <row r="272" spans="2:10" x14ac:dyDescent="0.2">
      <c r="B272" s="1" t="s">
        <v>64</v>
      </c>
      <c r="C272" s="15">
        <v>7271</v>
      </c>
      <c r="D272" s="16">
        <v>9000</v>
      </c>
      <c r="E272" s="1"/>
      <c r="F272" s="17">
        <v>93.043000000000006</v>
      </c>
      <c r="G272" s="16">
        <v>9000</v>
      </c>
      <c r="H272" s="1">
        <f t="shared" si="8"/>
        <v>0</v>
      </c>
      <c r="I272" s="1"/>
      <c r="J272" s="1"/>
    </row>
    <row r="273" spans="2:10" x14ac:dyDescent="0.2">
      <c r="B273" s="1" t="s">
        <v>64</v>
      </c>
      <c r="C273" s="15">
        <v>5403</v>
      </c>
      <c r="D273" s="16">
        <v>8000</v>
      </c>
      <c r="E273" s="1"/>
      <c r="F273" s="17">
        <v>82.703999999999994</v>
      </c>
      <c r="G273" s="16">
        <v>8000</v>
      </c>
      <c r="H273" s="1">
        <f t="shared" si="8"/>
        <v>0</v>
      </c>
      <c r="I273" s="1"/>
      <c r="J273" s="1"/>
    </row>
    <row r="274" spans="2:10" x14ac:dyDescent="0.2">
      <c r="B274" s="1" t="s">
        <v>64</v>
      </c>
      <c r="C274" s="15">
        <v>9599</v>
      </c>
      <c r="D274" s="16">
        <v>30000</v>
      </c>
      <c r="E274" s="1"/>
      <c r="F274" s="17">
        <v>310.142</v>
      </c>
      <c r="G274" s="16">
        <v>30000</v>
      </c>
      <c r="H274" s="1">
        <f t="shared" si="8"/>
        <v>0</v>
      </c>
      <c r="I274" s="1"/>
      <c r="J274" s="1"/>
    </row>
    <row r="275" spans="2:10" x14ac:dyDescent="0.2">
      <c r="B275" s="1" t="s">
        <v>64</v>
      </c>
      <c r="C275" s="15">
        <v>4156</v>
      </c>
      <c r="D275" s="16">
        <v>25000</v>
      </c>
      <c r="E275" s="1"/>
      <c r="F275" s="17">
        <v>258.45100000000002</v>
      </c>
      <c r="G275" s="16">
        <v>25000</v>
      </c>
      <c r="H275" s="1">
        <f t="shared" si="8"/>
        <v>0</v>
      </c>
      <c r="I275" s="1"/>
      <c r="J275" s="1"/>
    </row>
    <row r="276" spans="2:10" x14ac:dyDescent="0.2">
      <c r="B276" s="1" t="s">
        <v>64</v>
      </c>
      <c r="C276" s="15">
        <v>533</v>
      </c>
      <c r="D276" s="16">
        <v>7000</v>
      </c>
      <c r="E276" s="1"/>
      <c r="F276" s="17">
        <v>72.366</v>
      </c>
      <c r="G276" s="16">
        <v>7000</v>
      </c>
      <c r="H276" s="1">
        <f t="shared" si="8"/>
        <v>0</v>
      </c>
      <c r="I276" s="1"/>
      <c r="J276" s="1"/>
    </row>
    <row r="277" spans="2:10" x14ac:dyDescent="0.2">
      <c r="B277" s="1" t="s">
        <v>64</v>
      </c>
      <c r="C277" s="15">
        <v>5185</v>
      </c>
      <c r="D277" s="16">
        <v>8000</v>
      </c>
      <c r="E277" s="1"/>
      <c r="F277" s="17">
        <v>82.703999999999994</v>
      </c>
      <c r="G277" s="16">
        <v>8000</v>
      </c>
      <c r="H277" s="1">
        <f t="shared" si="8"/>
        <v>0</v>
      </c>
      <c r="I277" s="1"/>
      <c r="J277" s="1"/>
    </row>
    <row r="278" spans="2:10" x14ac:dyDescent="0.2">
      <c r="B278" s="1" t="s">
        <v>60</v>
      </c>
      <c r="C278" s="15" t="s">
        <v>61</v>
      </c>
      <c r="D278" s="16">
        <v>2986</v>
      </c>
      <c r="E278" s="1"/>
      <c r="F278" s="17">
        <v>30.869</v>
      </c>
      <c r="G278" s="16">
        <v>2986</v>
      </c>
      <c r="H278" s="1">
        <f t="shared" si="8"/>
        <v>0</v>
      </c>
      <c r="I278" s="1"/>
      <c r="J278" s="1"/>
    </row>
    <row r="279" spans="2:10" x14ac:dyDescent="0.2">
      <c r="B279" s="1" t="s">
        <v>60</v>
      </c>
      <c r="C279" s="32" t="s">
        <v>68</v>
      </c>
      <c r="D279" s="16">
        <v>5000</v>
      </c>
      <c r="E279" s="1"/>
      <c r="F279" s="17">
        <v>51.69</v>
      </c>
      <c r="G279" s="16">
        <v>5000</v>
      </c>
      <c r="H279" s="1">
        <f t="shared" si="8"/>
        <v>0</v>
      </c>
      <c r="I279" s="1"/>
      <c r="J279" s="1"/>
    </row>
    <row r="280" spans="2:10" x14ac:dyDescent="0.2">
      <c r="B280" s="1" t="s">
        <v>60</v>
      </c>
      <c r="C280" s="15">
        <v>941</v>
      </c>
      <c r="D280" s="16">
        <v>25000</v>
      </c>
      <c r="E280" s="1"/>
      <c r="F280" s="17">
        <v>258.45100000000002</v>
      </c>
      <c r="G280" s="16">
        <v>25000</v>
      </c>
      <c r="H280" s="1">
        <f t="shared" si="8"/>
        <v>0</v>
      </c>
      <c r="I280" s="1"/>
      <c r="J280" s="1"/>
    </row>
    <row r="281" spans="2:10" x14ac:dyDescent="0.2">
      <c r="B281" s="1" t="s">
        <v>60</v>
      </c>
      <c r="C281" s="15">
        <v>6349</v>
      </c>
      <c r="D281" s="16">
        <v>25000</v>
      </c>
      <c r="E281" s="1"/>
      <c r="F281" s="17">
        <v>258.45100000000002</v>
      </c>
      <c r="G281" s="16">
        <v>25000</v>
      </c>
      <c r="H281" s="1">
        <f t="shared" si="8"/>
        <v>0</v>
      </c>
      <c r="I281" s="1"/>
      <c r="J281" s="1"/>
    </row>
    <row r="282" spans="2:10" x14ac:dyDescent="0.2">
      <c r="B282" s="1" t="s">
        <v>60</v>
      </c>
      <c r="C282" s="15">
        <v>1321</v>
      </c>
      <c r="D282" s="16">
        <v>13000</v>
      </c>
      <c r="E282" s="1"/>
      <c r="F282" s="17">
        <v>134.39500000000001</v>
      </c>
      <c r="G282" s="16">
        <v>13000</v>
      </c>
      <c r="H282" s="1">
        <f t="shared" si="8"/>
        <v>0</v>
      </c>
      <c r="I282" s="1"/>
      <c r="J282" s="1"/>
    </row>
    <row r="283" spans="2:10" x14ac:dyDescent="0.2">
      <c r="B283" s="1" t="s">
        <v>60</v>
      </c>
      <c r="C283" s="15">
        <v>9941</v>
      </c>
      <c r="D283" s="16">
        <v>13000</v>
      </c>
      <c r="E283" s="1"/>
      <c r="F283" s="17">
        <v>134.39500000000001</v>
      </c>
      <c r="G283" s="16">
        <v>13000</v>
      </c>
      <c r="H283" s="1">
        <f t="shared" si="8"/>
        <v>0</v>
      </c>
      <c r="I283" s="1"/>
      <c r="J283" s="1"/>
    </row>
    <row r="284" spans="2:10" x14ac:dyDescent="0.2">
      <c r="B284" s="1" t="s">
        <v>60</v>
      </c>
      <c r="C284" s="15">
        <v>1593</v>
      </c>
      <c r="D284" s="16">
        <v>14000</v>
      </c>
      <c r="E284" s="1"/>
      <c r="F284" s="17">
        <v>144.733</v>
      </c>
      <c r="G284" s="16">
        <v>14000</v>
      </c>
      <c r="H284" s="1">
        <f t="shared" si="8"/>
        <v>0</v>
      </c>
      <c r="I284" s="1"/>
      <c r="J284" s="1"/>
    </row>
    <row r="285" spans="2:10" x14ac:dyDescent="0.2">
      <c r="B285" s="1" t="s">
        <v>60</v>
      </c>
      <c r="C285" s="15">
        <v>121</v>
      </c>
      <c r="D285" s="16">
        <v>15000</v>
      </c>
      <c r="E285" s="1"/>
      <c r="F285" s="17">
        <v>155.071</v>
      </c>
      <c r="G285" s="16">
        <v>15000</v>
      </c>
      <c r="H285" s="1">
        <f t="shared" si="8"/>
        <v>0</v>
      </c>
      <c r="I285" s="1"/>
      <c r="J285" s="1"/>
    </row>
    <row r="286" spans="2:10" x14ac:dyDescent="0.2">
      <c r="B286" s="1" t="s">
        <v>60</v>
      </c>
      <c r="C286" s="15">
        <v>1708</v>
      </c>
      <c r="D286" s="16">
        <v>15000</v>
      </c>
      <c r="E286" s="1"/>
      <c r="F286" s="17">
        <v>155.071</v>
      </c>
      <c r="G286" s="16">
        <v>15000</v>
      </c>
      <c r="H286" s="1">
        <f t="shared" si="8"/>
        <v>0</v>
      </c>
      <c r="I286" s="1"/>
      <c r="J286" s="1"/>
    </row>
    <row r="287" spans="2:10" x14ac:dyDescent="0.2">
      <c r="B287" s="1" t="s">
        <v>60</v>
      </c>
      <c r="C287" s="15">
        <v>9691</v>
      </c>
      <c r="D287" s="16">
        <v>15000</v>
      </c>
      <c r="E287" s="1"/>
      <c r="F287" s="17">
        <v>155.071</v>
      </c>
      <c r="G287" s="16">
        <v>15000</v>
      </c>
      <c r="H287" s="1">
        <f t="shared" si="8"/>
        <v>0</v>
      </c>
      <c r="I287" s="1"/>
      <c r="J287" s="1"/>
    </row>
    <row r="288" spans="2:10" x14ac:dyDescent="0.2">
      <c r="B288" s="1" t="s">
        <v>60</v>
      </c>
      <c r="C288" s="15">
        <v>253</v>
      </c>
      <c r="D288" s="16">
        <v>20000</v>
      </c>
      <c r="E288" s="1"/>
      <c r="F288" s="17">
        <v>206.761</v>
      </c>
      <c r="G288" s="16">
        <v>20000</v>
      </c>
      <c r="H288" s="1">
        <f t="shared" si="8"/>
        <v>0</v>
      </c>
      <c r="I288" s="1"/>
      <c r="J288" s="1"/>
    </row>
    <row r="289" spans="2:10" x14ac:dyDescent="0.2">
      <c r="B289" s="1" t="s">
        <v>60</v>
      </c>
      <c r="C289" s="15">
        <v>2946</v>
      </c>
      <c r="D289" s="16">
        <v>26000</v>
      </c>
      <c r="E289" s="1"/>
      <c r="F289" s="17">
        <v>268.78899999999999</v>
      </c>
      <c r="G289" s="16">
        <v>26000</v>
      </c>
      <c r="H289" s="1">
        <f t="shared" si="8"/>
        <v>0</v>
      </c>
      <c r="I289" s="1"/>
      <c r="J289" s="1"/>
    </row>
    <row r="290" spans="2:10" x14ac:dyDescent="0.2">
      <c r="B290" s="1" t="s">
        <v>60</v>
      </c>
      <c r="C290" s="15">
        <v>1717</v>
      </c>
      <c r="D290" s="16">
        <v>31000</v>
      </c>
      <c r="E290" s="1"/>
      <c r="F290" s="17">
        <v>320.48</v>
      </c>
      <c r="G290" s="16">
        <v>31000</v>
      </c>
      <c r="H290" s="1">
        <f t="shared" si="8"/>
        <v>0</v>
      </c>
      <c r="I290" s="1"/>
      <c r="J290" s="1"/>
    </row>
    <row r="291" spans="2:10" x14ac:dyDescent="0.2">
      <c r="B291" s="36" t="s">
        <v>60</v>
      </c>
      <c r="C291" s="35">
        <v>5931</v>
      </c>
      <c r="D291" s="36">
        <v>32000</v>
      </c>
      <c r="E291" s="36"/>
      <c r="F291" s="55">
        <v>330.81799999999998</v>
      </c>
      <c r="G291" s="36">
        <v>32000</v>
      </c>
      <c r="H291" s="1">
        <f t="shared" si="8"/>
        <v>0</v>
      </c>
      <c r="I291" s="1"/>
      <c r="J291" s="1"/>
    </row>
    <row r="292" spans="2:10" x14ac:dyDescent="0.2">
      <c r="B292" s="1" t="s">
        <v>65</v>
      </c>
      <c r="C292" s="15" t="s">
        <v>66</v>
      </c>
      <c r="D292" s="16">
        <v>400</v>
      </c>
      <c r="E292" s="1"/>
      <c r="F292" s="17">
        <v>155.07</v>
      </c>
      <c r="G292" s="16">
        <v>400</v>
      </c>
      <c r="H292" s="1">
        <f t="shared" si="8"/>
        <v>0</v>
      </c>
      <c r="I292" s="1"/>
      <c r="J292" s="1"/>
    </row>
    <row r="293" spans="2:10" x14ac:dyDescent="0.2">
      <c r="B293" s="1" t="s">
        <v>65</v>
      </c>
      <c r="C293" s="15">
        <v>6353</v>
      </c>
      <c r="D293" s="16">
        <v>20000</v>
      </c>
      <c r="E293" s="1"/>
      <c r="F293" s="17">
        <v>206.76</v>
      </c>
      <c r="G293" s="16">
        <v>20000</v>
      </c>
      <c r="H293" s="1">
        <f t="shared" si="8"/>
        <v>0</v>
      </c>
      <c r="I293" s="1"/>
      <c r="J293" s="1"/>
    </row>
    <row r="294" spans="2:10" x14ac:dyDescent="0.2">
      <c r="B294" s="1" t="s">
        <v>65</v>
      </c>
      <c r="C294" s="15">
        <v>2290</v>
      </c>
      <c r="D294" s="16">
        <v>16000</v>
      </c>
      <c r="E294" s="1"/>
      <c r="F294" s="17">
        <v>165.41</v>
      </c>
      <c r="G294" s="16">
        <v>16000</v>
      </c>
      <c r="H294" s="1">
        <f t="shared" si="8"/>
        <v>0</v>
      </c>
      <c r="I294" s="1"/>
      <c r="J294" s="1"/>
    </row>
    <row r="295" spans="2:10" x14ac:dyDescent="0.2">
      <c r="B295" s="1" t="s">
        <v>65</v>
      </c>
      <c r="C295" s="15">
        <v>1912</v>
      </c>
      <c r="D295" s="16">
        <v>34000</v>
      </c>
      <c r="E295" s="1"/>
      <c r="F295" s="17">
        <v>351.49</v>
      </c>
      <c r="G295" s="16">
        <v>34000</v>
      </c>
      <c r="H295" s="1">
        <f t="shared" si="8"/>
        <v>0</v>
      </c>
      <c r="I295" s="1"/>
      <c r="J295" s="1"/>
    </row>
    <row r="296" spans="2:10" x14ac:dyDescent="0.2">
      <c r="B296" s="1" t="s">
        <v>65</v>
      </c>
      <c r="C296" s="15">
        <v>2227</v>
      </c>
      <c r="D296" s="16">
        <v>20000</v>
      </c>
      <c r="E296" s="1"/>
      <c r="F296" s="17">
        <v>206.76</v>
      </c>
      <c r="G296" s="16">
        <v>20000</v>
      </c>
      <c r="H296" s="1">
        <f t="shared" si="8"/>
        <v>0</v>
      </c>
      <c r="I296" s="1"/>
      <c r="J296" s="1"/>
    </row>
    <row r="297" spans="2:10" x14ac:dyDescent="0.2">
      <c r="B297" s="1" t="s">
        <v>65</v>
      </c>
      <c r="C297" s="15">
        <v>5079</v>
      </c>
      <c r="D297" s="16">
        <v>30000</v>
      </c>
      <c r="E297" s="1"/>
      <c r="F297" s="17">
        <v>310.14</v>
      </c>
      <c r="G297" s="16">
        <v>30000</v>
      </c>
      <c r="H297" s="1">
        <f t="shared" si="8"/>
        <v>0</v>
      </c>
      <c r="I297" s="1"/>
      <c r="J297" s="1"/>
    </row>
    <row r="298" spans="2:10" x14ac:dyDescent="0.2">
      <c r="B298" s="1" t="s">
        <v>65</v>
      </c>
      <c r="C298" s="15">
        <v>3390</v>
      </c>
      <c r="D298" s="16">
        <v>16000</v>
      </c>
      <c r="E298" s="1"/>
      <c r="F298" s="17">
        <v>165.41</v>
      </c>
      <c r="G298" s="16">
        <v>16000</v>
      </c>
      <c r="H298" s="1">
        <f t="shared" si="8"/>
        <v>0</v>
      </c>
      <c r="I298" s="1"/>
      <c r="J298" s="1"/>
    </row>
    <row r="299" spans="2:10" x14ac:dyDescent="0.2">
      <c r="B299" s="1" t="s">
        <v>65</v>
      </c>
      <c r="C299" s="15">
        <v>2311</v>
      </c>
      <c r="D299" s="16">
        <v>15000</v>
      </c>
      <c r="E299" s="1"/>
      <c r="F299" s="17">
        <v>155.07</v>
      </c>
      <c r="G299" s="16">
        <v>15000</v>
      </c>
      <c r="H299" s="1">
        <f t="shared" si="8"/>
        <v>0</v>
      </c>
      <c r="I299" s="1"/>
      <c r="J299" s="1"/>
    </row>
    <row r="300" spans="2:10" x14ac:dyDescent="0.2">
      <c r="B300" s="1" t="s">
        <v>67</v>
      </c>
      <c r="C300" s="15">
        <v>1054</v>
      </c>
      <c r="D300" s="16">
        <v>15000</v>
      </c>
      <c r="E300" s="1"/>
      <c r="F300" s="17">
        <v>155.07</v>
      </c>
      <c r="G300" s="16">
        <v>15000</v>
      </c>
      <c r="H300" s="1">
        <f t="shared" si="8"/>
        <v>0</v>
      </c>
      <c r="I300" s="1"/>
      <c r="J300" s="1"/>
    </row>
    <row r="301" spans="2:10" x14ac:dyDescent="0.2">
      <c r="B301" s="1" t="s">
        <v>67</v>
      </c>
      <c r="C301" s="15">
        <v>4393</v>
      </c>
      <c r="D301" s="16">
        <v>25000</v>
      </c>
      <c r="E301" s="1"/>
      <c r="F301" s="17">
        <v>258.45</v>
      </c>
      <c r="G301" s="16">
        <v>25000</v>
      </c>
      <c r="H301" s="1">
        <f t="shared" si="8"/>
        <v>0</v>
      </c>
      <c r="I301" s="1"/>
      <c r="J301" s="1"/>
    </row>
    <row r="302" spans="2:10" x14ac:dyDescent="0.2">
      <c r="B302" s="1" t="s">
        <v>67</v>
      </c>
      <c r="C302" s="15">
        <v>2383</v>
      </c>
      <c r="D302" s="16">
        <v>15000</v>
      </c>
      <c r="E302" s="1"/>
      <c r="F302" s="17">
        <v>155.07</v>
      </c>
      <c r="G302" s="16">
        <v>15000</v>
      </c>
      <c r="H302" s="1">
        <f t="shared" si="8"/>
        <v>0</v>
      </c>
      <c r="I302" s="1"/>
      <c r="J302" s="1"/>
    </row>
    <row r="303" spans="2:10" x14ac:dyDescent="0.2">
      <c r="B303" s="1" t="s">
        <v>67</v>
      </c>
      <c r="C303" s="15">
        <v>8492</v>
      </c>
      <c r="D303" s="16">
        <v>20000</v>
      </c>
      <c r="E303" s="1"/>
      <c r="F303" s="17">
        <v>206.76</v>
      </c>
      <c r="G303" s="16">
        <v>20000</v>
      </c>
      <c r="H303" s="1">
        <f t="shared" si="8"/>
        <v>0</v>
      </c>
      <c r="I303" s="1"/>
      <c r="J303" s="1"/>
    </row>
    <row r="304" spans="2:10" x14ac:dyDescent="0.2">
      <c r="B304" s="1" t="s">
        <v>67</v>
      </c>
      <c r="C304" s="15">
        <v>7127</v>
      </c>
      <c r="D304" s="16">
        <v>8000</v>
      </c>
      <c r="E304" s="1"/>
      <c r="F304" s="17">
        <v>82.7</v>
      </c>
      <c r="G304" s="16">
        <v>8000</v>
      </c>
      <c r="H304" s="1">
        <f t="shared" si="8"/>
        <v>0</v>
      </c>
      <c r="I304" s="1"/>
      <c r="J304" s="1"/>
    </row>
    <row r="305" spans="2:10" x14ac:dyDescent="0.2">
      <c r="B305" s="1" t="s">
        <v>67</v>
      </c>
      <c r="C305" s="15">
        <v>5818</v>
      </c>
      <c r="D305" s="16">
        <v>18000</v>
      </c>
      <c r="E305" s="1"/>
      <c r="F305" s="17">
        <v>186.08</v>
      </c>
      <c r="G305" s="16">
        <v>18000</v>
      </c>
      <c r="H305" s="1">
        <f t="shared" si="8"/>
        <v>0</v>
      </c>
      <c r="I305" s="1"/>
      <c r="J305" s="1"/>
    </row>
    <row r="306" spans="2:10" x14ac:dyDescent="0.2">
      <c r="B306" s="1" t="s">
        <v>67</v>
      </c>
      <c r="C306" s="15">
        <v>4953</v>
      </c>
      <c r="D306" s="16">
        <v>6000</v>
      </c>
      <c r="E306" s="1"/>
      <c r="F306" s="17">
        <v>62.03</v>
      </c>
      <c r="G306" s="16">
        <v>6000</v>
      </c>
      <c r="H306" s="1">
        <f t="shared" si="8"/>
        <v>0</v>
      </c>
      <c r="I306" s="1"/>
      <c r="J306" s="1"/>
    </row>
    <row r="307" spans="2:10" x14ac:dyDescent="0.2">
      <c r="B307" s="1" t="s">
        <v>67</v>
      </c>
      <c r="C307" s="15">
        <v>9242</v>
      </c>
      <c r="D307" s="16">
        <v>20000</v>
      </c>
      <c r="E307" s="1"/>
      <c r="F307" s="17">
        <v>206.81</v>
      </c>
      <c r="G307" s="16">
        <v>20000</v>
      </c>
      <c r="H307" s="1">
        <f t="shared" si="8"/>
        <v>0</v>
      </c>
      <c r="I307" s="1"/>
      <c r="J307" s="1"/>
    </row>
    <row r="308" spans="2:10" x14ac:dyDescent="0.2">
      <c r="B308" s="1" t="s">
        <v>69</v>
      </c>
      <c r="C308" s="15">
        <v>7109</v>
      </c>
      <c r="D308" s="16">
        <v>3370</v>
      </c>
      <c r="E308" s="1"/>
      <c r="F308" s="17">
        <v>34.840000000000003</v>
      </c>
      <c r="G308" s="16">
        <v>3370</v>
      </c>
      <c r="H308" s="1">
        <f t="shared" si="8"/>
        <v>0</v>
      </c>
      <c r="I308" s="1"/>
      <c r="J308" s="1"/>
    </row>
    <row r="309" spans="2:10" x14ac:dyDescent="0.2">
      <c r="B309" s="1" t="s">
        <v>69</v>
      </c>
      <c r="C309" s="15">
        <v>5931</v>
      </c>
      <c r="D309" s="16">
        <v>26000</v>
      </c>
      <c r="E309" s="1"/>
      <c r="F309" s="17">
        <v>218.79</v>
      </c>
      <c r="G309" s="16">
        <v>26000</v>
      </c>
      <c r="H309" s="1">
        <f t="shared" si="8"/>
        <v>0</v>
      </c>
      <c r="I309" s="1"/>
      <c r="J309" s="1"/>
    </row>
    <row r="310" spans="2:10" x14ac:dyDescent="0.2">
      <c r="B310" s="1" t="s">
        <v>69</v>
      </c>
      <c r="C310" s="15">
        <v>941</v>
      </c>
      <c r="D310" s="16">
        <v>13000</v>
      </c>
      <c r="E310" s="1"/>
      <c r="F310" s="17">
        <v>134.59</v>
      </c>
      <c r="G310" s="16">
        <v>13000</v>
      </c>
      <c r="H310" s="1">
        <f t="shared" si="8"/>
        <v>0</v>
      </c>
      <c r="I310" s="1"/>
      <c r="J310" s="1"/>
    </row>
    <row r="311" spans="2:10" x14ac:dyDescent="0.2">
      <c r="B311" s="1" t="s">
        <v>69</v>
      </c>
      <c r="C311" s="15">
        <v>7029</v>
      </c>
      <c r="D311" s="16">
        <v>13000</v>
      </c>
      <c r="E311" s="1"/>
      <c r="F311" s="17">
        <v>134.59</v>
      </c>
      <c r="G311" s="16">
        <v>13000</v>
      </c>
      <c r="H311" s="1">
        <f t="shared" si="8"/>
        <v>0</v>
      </c>
      <c r="I311" s="1"/>
      <c r="J311" s="1"/>
    </row>
    <row r="312" spans="2:10" x14ac:dyDescent="0.2">
      <c r="B312" s="1" t="s">
        <v>69</v>
      </c>
      <c r="C312" s="15">
        <v>3058</v>
      </c>
      <c r="D312" s="16">
        <v>10000</v>
      </c>
      <c r="E312" s="1"/>
      <c r="F312" s="17">
        <v>103.38</v>
      </c>
      <c r="G312" s="16">
        <v>10000</v>
      </c>
      <c r="H312" s="1">
        <f t="shared" si="8"/>
        <v>0</v>
      </c>
      <c r="I312" s="1"/>
      <c r="J312" s="1"/>
    </row>
    <row r="313" spans="2:10" x14ac:dyDescent="0.2">
      <c r="B313" s="1" t="s">
        <v>69</v>
      </c>
      <c r="C313" s="15">
        <v>2453</v>
      </c>
      <c r="D313" s="16">
        <v>24000</v>
      </c>
      <c r="E313" s="1"/>
      <c r="F313" s="17">
        <v>248.11</v>
      </c>
      <c r="G313" s="16">
        <v>24000</v>
      </c>
      <c r="H313" s="1">
        <f t="shared" si="8"/>
        <v>0</v>
      </c>
      <c r="I313" s="1"/>
      <c r="J313" s="1"/>
    </row>
    <row r="314" spans="2:10" x14ac:dyDescent="0.2">
      <c r="B314" s="1" t="s">
        <v>69</v>
      </c>
      <c r="C314" s="15">
        <v>2227</v>
      </c>
      <c r="D314" s="16">
        <v>22000</v>
      </c>
      <c r="E314" s="1"/>
      <c r="F314" s="17">
        <v>227.44</v>
      </c>
      <c r="G314" s="16">
        <v>22000</v>
      </c>
      <c r="H314" s="1">
        <f t="shared" si="8"/>
        <v>0</v>
      </c>
      <c r="I314" s="1"/>
      <c r="J314" s="1"/>
    </row>
    <row r="315" spans="2:10" x14ac:dyDescent="0.2">
      <c r="B315" s="1" t="s">
        <v>69</v>
      </c>
      <c r="C315" s="15">
        <v>9189</v>
      </c>
      <c r="D315" s="16">
        <v>15000</v>
      </c>
      <c r="E315" s="1"/>
      <c r="F315" s="17">
        <v>155.07</v>
      </c>
      <c r="G315" s="16">
        <v>15000</v>
      </c>
      <c r="H315" s="1">
        <f t="shared" si="8"/>
        <v>0</v>
      </c>
      <c r="I315" s="1"/>
      <c r="J315" s="1"/>
    </row>
    <row r="316" spans="2:10" x14ac:dyDescent="0.2">
      <c r="B316" s="1" t="s">
        <v>69</v>
      </c>
      <c r="C316" s="32" t="s">
        <v>30</v>
      </c>
      <c r="D316" s="16">
        <v>5000</v>
      </c>
      <c r="E316" s="1"/>
      <c r="F316" s="17">
        <v>51.69</v>
      </c>
      <c r="G316" s="16">
        <v>5000</v>
      </c>
      <c r="H316" s="1">
        <f t="shared" si="8"/>
        <v>0</v>
      </c>
      <c r="I316" s="1"/>
      <c r="J316" s="1"/>
    </row>
    <row r="317" spans="2:10" x14ac:dyDescent="0.2">
      <c r="B317" s="1" t="s">
        <v>69</v>
      </c>
      <c r="C317" s="15">
        <v>6353</v>
      </c>
      <c r="D317" s="16">
        <v>22000</v>
      </c>
      <c r="E317" s="1"/>
      <c r="F317" s="17">
        <v>227.44</v>
      </c>
      <c r="G317" s="16">
        <v>22000</v>
      </c>
      <c r="H317" s="1">
        <f t="shared" si="8"/>
        <v>0</v>
      </c>
      <c r="I317" s="1"/>
      <c r="J317" s="1"/>
    </row>
    <row r="318" spans="2:10" x14ac:dyDescent="0.2">
      <c r="B318" s="1" t="s">
        <v>69</v>
      </c>
      <c r="C318" s="15">
        <v>3226</v>
      </c>
      <c r="D318" s="16">
        <v>20000</v>
      </c>
      <c r="E318" s="1"/>
      <c r="F318" s="17">
        <v>322.60000000000002</v>
      </c>
      <c r="G318" s="16">
        <v>20000</v>
      </c>
      <c r="H318" s="1">
        <f t="shared" si="8"/>
        <v>0</v>
      </c>
      <c r="I318" s="1"/>
      <c r="J318" s="1"/>
    </row>
    <row r="319" spans="2:10" x14ac:dyDescent="0.2">
      <c r="B319" s="1" t="s">
        <v>69</v>
      </c>
      <c r="C319" s="15">
        <v>3776</v>
      </c>
      <c r="D319" s="16">
        <v>10000</v>
      </c>
      <c r="E319" s="1"/>
      <c r="F319" s="17">
        <v>103.38</v>
      </c>
      <c r="G319" s="16">
        <v>10000</v>
      </c>
      <c r="H319" s="1">
        <f t="shared" si="8"/>
        <v>0</v>
      </c>
      <c r="I319" s="1"/>
      <c r="J319" s="1"/>
    </row>
    <row r="320" spans="2:10" x14ac:dyDescent="0.2">
      <c r="B320" s="1" t="s">
        <v>69</v>
      </c>
      <c r="C320" s="15">
        <v>8207</v>
      </c>
      <c r="D320" s="16">
        <v>30000</v>
      </c>
      <c r="E320" s="1"/>
      <c r="F320" s="17">
        <v>310.14999999999998</v>
      </c>
      <c r="G320" s="16">
        <v>30000</v>
      </c>
      <c r="H320" s="1">
        <f t="shared" si="8"/>
        <v>0</v>
      </c>
      <c r="I320" s="1"/>
      <c r="J320" s="1"/>
    </row>
    <row r="321" spans="2:10" x14ac:dyDescent="0.2">
      <c r="B321" s="1" t="s">
        <v>69</v>
      </c>
      <c r="C321" s="15">
        <v>9941</v>
      </c>
      <c r="D321" s="16">
        <v>15000</v>
      </c>
      <c r="E321" s="1"/>
      <c r="F321" s="17">
        <v>155.07</v>
      </c>
      <c r="G321" s="16">
        <v>15000</v>
      </c>
      <c r="H321" s="1">
        <f t="shared" si="8"/>
        <v>0</v>
      </c>
      <c r="I321" s="1"/>
      <c r="J321" s="1"/>
    </row>
    <row r="322" spans="2:10" x14ac:dyDescent="0.2">
      <c r="B322" s="1" t="s">
        <v>69</v>
      </c>
      <c r="C322" s="15">
        <v>9691</v>
      </c>
      <c r="D322" s="16">
        <v>15000</v>
      </c>
      <c r="E322" s="1"/>
      <c r="F322" s="17">
        <v>155.07</v>
      </c>
      <c r="G322" s="16">
        <v>15000</v>
      </c>
      <c r="H322" s="1">
        <f t="shared" si="8"/>
        <v>0</v>
      </c>
      <c r="I322" s="1"/>
      <c r="J322" s="1"/>
    </row>
    <row r="323" spans="2:10" x14ac:dyDescent="0.2">
      <c r="B323" s="1" t="s">
        <v>69</v>
      </c>
      <c r="C323" s="15">
        <v>991</v>
      </c>
      <c r="D323" s="16">
        <v>18000</v>
      </c>
      <c r="E323" s="1"/>
      <c r="F323" s="17">
        <v>243.98</v>
      </c>
      <c r="G323" s="16">
        <v>18000</v>
      </c>
      <c r="H323" s="1">
        <f t="shared" si="8"/>
        <v>0</v>
      </c>
      <c r="I323" s="1"/>
      <c r="J323" s="1"/>
    </row>
    <row r="324" spans="2:10" x14ac:dyDescent="0.2">
      <c r="B324" s="1" t="s">
        <v>69</v>
      </c>
      <c r="C324" s="15">
        <v>1593</v>
      </c>
      <c r="D324" s="16">
        <v>15000</v>
      </c>
      <c r="E324" s="1"/>
      <c r="F324" s="17">
        <v>155.07</v>
      </c>
      <c r="G324" s="16">
        <v>15000</v>
      </c>
      <c r="H324" s="1">
        <f t="shared" si="8"/>
        <v>0</v>
      </c>
      <c r="I324" s="1"/>
      <c r="J324" s="1"/>
    </row>
    <row r="325" spans="2:10" x14ac:dyDescent="0.2">
      <c r="B325" s="1" t="s">
        <v>69</v>
      </c>
      <c r="C325" s="15">
        <v>9476</v>
      </c>
      <c r="D325" s="16">
        <v>12000</v>
      </c>
      <c r="E325" s="1"/>
      <c r="F325" s="17">
        <v>124.06</v>
      </c>
      <c r="G325" s="16">
        <v>12000</v>
      </c>
      <c r="H325" s="1">
        <f t="shared" si="8"/>
        <v>0</v>
      </c>
      <c r="I325" s="1"/>
      <c r="J325" s="1"/>
    </row>
    <row r="326" spans="2:10" x14ac:dyDescent="0.2">
      <c r="B326" s="1" t="s">
        <v>69</v>
      </c>
      <c r="C326" s="15">
        <v>1352</v>
      </c>
      <c r="D326" s="16">
        <v>12000</v>
      </c>
      <c r="E326" s="1"/>
      <c r="F326" s="17">
        <v>124.06</v>
      </c>
      <c r="G326" s="16">
        <v>12000</v>
      </c>
      <c r="H326" s="1">
        <f t="shared" si="8"/>
        <v>0</v>
      </c>
      <c r="I326" s="1"/>
      <c r="J326" s="1"/>
    </row>
    <row r="327" spans="2:10" x14ac:dyDescent="0.2">
      <c r="B327" s="1" t="s">
        <v>69</v>
      </c>
      <c r="C327" s="15">
        <v>28</v>
      </c>
      <c r="D327" s="16">
        <v>15000</v>
      </c>
      <c r="E327" s="1"/>
      <c r="F327" s="17">
        <v>155.07</v>
      </c>
      <c r="G327" s="16">
        <v>15000</v>
      </c>
      <c r="H327" s="1">
        <f t="shared" ref="H327:H390" si="9">D327-G327</f>
        <v>0</v>
      </c>
      <c r="I327" s="1"/>
      <c r="J327" s="1"/>
    </row>
    <row r="328" spans="2:10" x14ac:dyDescent="0.2">
      <c r="B328" s="1" t="s">
        <v>69</v>
      </c>
      <c r="C328" s="15">
        <v>1708</v>
      </c>
      <c r="D328" s="16">
        <v>15000</v>
      </c>
      <c r="E328" s="1"/>
      <c r="F328" s="17">
        <v>155.07</v>
      </c>
      <c r="G328" s="16">
        <v>15000</v>
      </c>
      <c r="H328" s="1">
        <f t="shared" si="9"/>
        <v>0</v>
      </c>
      <c r="I328" s="1"/>
      <c r="J328" s="1"/>
    </row>
    <row r="329" spans="2:10" x14ac:dyDescent="0.2">
      <c r="B329" s="1" t="s">
        <v>70</v>
      </c>
      <c r="C329" s="15">
        <v>2681</v>
      </c>
      <c r="D329" s="16">
        <v>14000</v>
      </c>
      <c r="E329" s="1"/>
      <c r="F329" s="17">
        <v>144.72999999999999</v>
      </c>
      <c r="G329" s="16">
        <v>14000</v>
      </c>
      <c r="H329" s="1">
        <f t="shared" si="9"/>
        <v>0</v>
      </c>
      <c r="I329" s="1"/>
      <c r="J329" s="1"/>
    </row>
    <row r="330" spans="2:10" x14ac:dyDescent="0.2">
      <c r="B330" s="1" t="s">
        <v>70</v>
      </c>
      <c r="C330" s="15">
        <v>5931</v>
      </c>
      <c r="D330" s="16">
        <v>26000</v>
      </c>
      <c r="E330" s="1"/>
      <c r="F330" s="17">
        <v>268.29000000000002</v>
      </c>
      <c r="G330" s="16">
        <v>26000</v>
      </c>
      <c r="H330" s="1">
        <f t="shared" si="9"/>
        <v>0</v>
      </c>
      <c r="I330" s="1"/>
      <c r="J330" s="1"/>
    </row>
    <row r="331" spans="2:10" x14ac:dyDescent="0.2">
      <c r="B331" s="1" t="s">
        <v>70</v>
      </c>
      <c r="C331" s="15">
        <v>5931</v>
      </c>
      <c r="D331" s="16">
        <v>6000</v>
      </c>
      <c r="E331" s="1"/>
      <c r="F331" s="17">
        <v>62.03</v>
      </c>
      <c r="G331" s="16">
        <v>6000</v>
      </c>
      <c r="H331" s="1">
        <f t="shared" si="9"/>
        <v>0</v>
      </c>
      <c r="I331" s="1"/>
      <c r="J331" s="1"/>
    </row>
    <row r="332" spans="2:10" x14ac:dyDescent="0.2">
      <c r="B332" s="1" t="s">
        <v>70</v>
      </c>
      <c r="C332" s="32" t="s">
        <v>61</v>
      </c>
      <c r="D332" s="16">
        <v>3500</v>
      </c>
      <c r="E332" s="1"/>
      <c r="F332" s="17">
        <v>36.159999999999997</v>
      </c>
      <c r="G332" s="16">
        <v>3500</v>
      </c>
      <c r="H332" s="1">
        <f t="shared" si="9"/>
        <v>0</v>
      </c>
      <c r="I332" s="1"/>
      <c r="J332" s="1"/>
    </row>
    <row r="333" spans="2:10" x14ac:dyDescent="0.2">
      <c r="B333" s="1" t="s">
        <v>70</v>
      </c>
      <c r="C333" s="15">
        <v>3361</v>
      </c>
      <c r="D333" s="16">
        <v>37000</v>
      </c>
      <c r="E333" s="1"/>
      <c r="F333" s="17">
        <v>382.51</v>
      </c>
      <c r="G333" s="16">
        <v>37000</v>
      </c>
      <c r="H333" s="1">
        <f t="shared" si="9"/>
        <v>0</v>
      </c>
      <c r="I333" s="1"/>
      <c r="J333" s="1"/>
    </row>
    <row r="334" spans="2:10" x14ac:dyDescent="0.2">
      <c r="B334" s="1" t="s">
        <v>70</v>
      </c>
      <c r="C334" s="15">
        <v>4784</v>
      </c>
      <c r="D334" s="16">
        <v>25000</v>
      </c>
      <c r="E334" s="1"/>
      <c r="F334" s="17">
        <v>258.45</v>
      </c>
      <c r="G334" s="16">
        <v>25000</v>
      </c>
      <c r="H334" s="1">
        <f t="shared" si="9"/>
        <v>0</v>
      </c>
      <c r="I334" s="1"/>
      <c r="J334" s="1"/>
    </row>
    <row r="335" spans="2:10" x14ac:dyDescent="0.2">
      <c r="B335" s="1" t="s">
        <v>71</v>
      </c>
      <c r="C335" s="35">
        <v>7109</v>
      </c>
      <c r="D335" s="36">
        <v>4223</v>
      </c>
      <c r="E335" s="1"/>
      <c r="F335" s="37">
        <v>43.66</v>
      </c>
      <c r="G335" s="36">
        <v>4223</v>
      </c>
      <c r="H335" s="1">
        <f t="shared" si="9"/>
        <v>0</v>
      </c>
      <c r="I335" s="1"/>
      <c r="J335" s="1"/>
    </row>
    <row r="336" spans="2:10" x14ac:dyDescent="0.2">
      <c r="B336" s="1" t="s">
        <v>71</v>
      </c>
      <c r="C336" s="35">
        <v>5924</v>
      </c>
      <c r="D336" s="36">
        <v>28000</v>
      </c>
      <c r="E336" s="1"/>
      <c r="F336" s="37">
        <v>261.54000000000002</v>
      </c>
      <c r="G336" s="36">
        <v>28000</v>
      </c>
      <c r="H336" s="1">
        <f t="shared" si="9"/>
        <v>0</v>
      </c>
      <c r="I336" s="1"/>
      <c r="J336" s="1"/>
    </row>
    <row r="337" spans="2:10" x14ac:dyDescent="0.2">
      <c r="B337" s="1" t="s">
        <v>71</v>
      </c>
      <c r="C337" s="35">
        <v>5924</v>
      </c>
      <c r="D337" s="36">
        <v>26000</v>
      </c>
      <c r="E337" s="1"/>
      <c r="F337" s="37">
        <v>268.77999999999997</v>
      </c>
      <c r="G337" s="36">
        <v>26000</v>
      </c>
      <c r="H337" s="1">
        <f t="shared" si="9"/>
        <v>0</v>
      </c>
      <c r="I337" s="1"/>
      <c r="J337" s="1"/>
    </row>
    <row r="338" spans="2:10" x14ac:dyDescent="0.2">
      <c r="B338" s="1" t="s">
        <v>71</v>
      </c>
      <c r="C338" s="35">
        <v>5924</v>
      </c>
      <c r="D338" s="36">
        <v>25000</v>
      </c>
      <c r="E338" s="1"/>
      <c r="F338" s="37">
        <v>238.45</v>
      </c>
      <c r="G338" s="36">
        <v>25000</v>
      </c>
      <c r="H338" s="1">
        <f t="shared" si="9"/>
        <v>0</v>
      </c>
      <c r="I338" s="1"/>
      <c r="J338" s="1"/>
    </row>
    <row r="339" spans="2:10" x14ac:dyDescent="0.2">
      <c r="B339" s="1" t="s">
        <v>71</v>
      </c>
      <c r="C339" s="15">
        <v>3918</v>
      </c>
      <c r="D339" s="16">
        <v>30000</v>
      </c>
      <c r="E339" s="1"/>
      <c r="F339" s="17">
        <v>310.14</v>
      </c>
      <c r="G339" s="16">
        <v>30000</v>
      </c>
      <c r="H339" s="1">
        <f t="shared" si="9"/>
        <v>0</v>
      </c>
      <c r="I339" s="1"/>
      <c r="J339" s="1"/>
    </row>
    <row r="340" spans="2:10" x14ac:dyDescent="0.2">
      <c r="B340" s="1" t="s">
        <v>71</v>
      </c>
      <c r="C340" s="15">
        <v>4137</v>
      </c>
      <c r="D340" s="16">
        <v>17000</v>
      </c>
      <c r="E340" s="1"/>
      <c r="F340" s="17">
        <v>175.76</v>
      </c>
      <c r="G340" s="16">
        <v>17000</v>
      </c>
      <c r="H340" s="1">
        <f t="shared" si="9"/>
        <v>0</v>
      </c>
      <c r="I340" s="1"/>
      <c r="J340" s="1"/>
    </row>
    <row r="341" spans="2:10" x14ac:dyDescent="0.2">
      <c r="B341" s="1" t="s">
        <v>71</v>
      </c>
      <c r="C341" s="15">
        <v>2227</v>
      </c>
      <c r="D341" s="16">
        <v>20000</v>
      </c>
      <c r="E341" s="1"/>
      <c r="F341" s="17">
        <v>206.76</v>
      </c>
      <c r="G341" s="16">
        <v>20000</v>
      </c>
      <c r="H341" s="1">
        <f t="shared" si="9"/>
        <v>0</v>
      </c>
      <c r="I341" s="1"/>
      <c r="J341" s="1"/>
    </row>
    <row r="342" spans="2:10" x14ac:dyDescent="0.2">
      <c r="B342" s="1" t="s">
        <v>71</v>
      </c>
      <c r="C342" s="15">
        <v>253</v>
      </c>
      <c r="D342" s="16">
        <v>20000</v>
      </c>
      <c r="E342" s="1"/>
      <c r="F342" s="17">
        <v>206.76</v>
      </c>
      <c r="G342" s="16">
        <v>20000</v>
      </c>
      <c r="H342" s="1">
        <f t="shared" si="9"/>
        <v>0</v>
      </c>
      <c r="I342" s="1"/>
      <c r="J342" s="1"/>
    </row>
    <row r="343" spans="2:10" x14ac:dyDescent="0.2">
      <c r="B343" s="1" t="s">
        <v>71</v>
      </c>
      <c r="C343" s="15">
        <v>1593</v>
      </c>
      <c r="D343" s="16">
        <v>15000</v>
      </c>
      <c r="E343" s="1"/>
      <c r="F343" s="17">
        <v>155.07</v>
      </c>
      <c r="G343" s="16">
        <v>15000</v>
      </c>
      <c r="H343" s="1">
        <f t="shared" si="9"/>
        <v>0</v>
      </c>
      <c r="I343" s="1"/>
      <c r="J343" s="1"/>
    </row>
    <row r="344" spans="2:10" x14ac:dyDescent="0.2">
      <c r="B344" s="1" t="s">
        <v>71</v>
      </c>
      <c r="C344" s="15">
        <v>5925</v>
      </c>
      <c r="D344" s="16">
        <v>20000</v>
      </c>
      <c r="E344" s="1"/>
      <c r="F344" s="17">
        <v>206.76</v>
      </c>
      <c r="G344" s="16">
        <v>20000</v>
      </c>
      <c r="H344" s="1">
        <f t="shared" si="9"/>
        <v>0</v>
      </c>
      <c r="I344" s="1"/>
      <c r="J344" s="1"/>
    </row>
    <row r="345" spans="2:10" x14ac:dyDescent="0.2">
      <c r="B345" s="1" t="s">
        <v>71</v>
      </c>
      <c r="C345" s="15">
        <v>5819</v>
      </c>
      <c r="D345" s="16">
        <v>12000</v>
      </c>
      <c r="E345" s="1"/>
      <c r="F345" s="17">
        <v>124.06</v>
      </c>
      <c r="G345" s="16">
        <v>12000</v>
      </c>
      <c r="H345" s="1">
        <f t="shared" si="9"/>
        <v>0</v>
      </c>
      <c r="I345" s="1"/>
      <c r="J345" s="1"/>
    </row>
    <row r="346" spans="2:10" x14ac:dyDescent="0.2">
      <c r="B346" s="1" t="s">
        <v>71</v>
      </c>
      <c r="C346" s="15">
        <v>9941</v>
      </c>
      <c r="D346" s="16">
        <v>14000</v>
      </c>
      <c r="E346" s="1"/>
      <c r="F346" s="17">
        <v>144.75</v>
      </c>
      <c r="G346" s="16">
        <v>14000</v>
      </c>
      <c r="H346" s="1">
        <f t="shared" si="9"/>
        <v>0</v>
      </c>
      <c r="I346" s="1"/>
      <c r="J346" s="1"/>
    </row>
    <row r="347" spans="2:10" x14ac:dyDescent="0.2">
      <c r="B347" s="1" t="s">
        <v>71</v>
      </c>
      <c r="C347" s="15">
        <v>941</v>
      </c>
      <c r="D347" s="16">
        <v>14000</v>
      </c>
      <c r="E347" s="1"/>
      <c r="F347" s="17">
        <v>144.72999999999999</v>
      </c>
      <c r="G347" s="16">
        <v>14000</v>
      </c>
      <c r="H347" s="1">
        <f t="shared" si="9"/>
        <v>0</v>
      </c>
      <c r="I347" s="1"/>
      <c r="J347" s="1"/>
    </row>
    <row r="348" spans="2:10" x14ac:dyDescent="0.2">
      <c r="B348" s="1" t="s">
        <v>72</v>
      </c>
      <c r="C348" s="15">
        <v>1258</v>
      </c>
      <c r="D348" s="16">
        <v>14000</v>
      </c>
      <c r="E348" s="1"/>
      <c r="F348" s="17">
        <v>144.72999999999999</v>
      </c>
      <c r="G348" s="16">
        <v>14000</v>
      </c>
      <c r="H348" s="1">
        <f t="shared" si="9"/>
        <v>0</v>
      </c>
      <c r="I348" s="1"/>
      <c r="J348" s="1"/>
    </row>
    <row r="349" spans="2:10" x14ac:dyDescent="0.2">
      <c r="B349" s="1" t="s">
        <v>72</v>
      </c>
      <c r="C349" s="32">
        <v>2681</v>
      </c>
      <c r="D349" s="16">
        <v>14000</v>
      </c>
      <c r="E349" s="1"/>
      <c r="F349" s="17">
        <v>144.72999999999999</v>
      </c>
      <c r="G349" s="16">
        <v>14000</v>
      </c>
      <c r="H349" s="1">
        <f t="shared" si="9"/>
        <v>0</v>
      </c>
      <c r="I349" s="1"/>
      <c r="J349" s="1"/>
    </row>
    <row r="350" spans="2:10" x14ac:dyDescent="0.2">
      <c r="B350" s="1" t="s">
        <v>72</v>
      </c>
      <c r="C350" s="32" t="s">
        <v>73</v>
      </c>
      <c r="D350" s="16">
        <v>5000</v>
      </c>
      <c r="E350" s="1"/>
      <c r="F350" s="17">
        <v>51.69</v>
      </c>
      <c r="G350" s="16">
        <v>5000</v>
      </c>
      <c r="H350" s="1">
        <f t="shared" si="9"/>
        <v>0</v>
      </c>
      <c r="I350" s="1"/>
      <c r="J350" s="1"/>
    </row>
    <row r="351" spans="2:10" x14ac:dyDescent="0.2">
      <c r="B351" s="1" t="s">
        <v>72</v>
      </c>
      <c r="C351" s="32">
        <v>6999</v>
      </c>
      <c r="D351" s="16">
        <v>18000</v>
      </c>
      <c r="E351" s="1"/>
      <c r="F351" s="17">
        <v>186.11</v>
      </c>
      <c r="G351" s="16">
        <v>18000</v>
      </c>
      <c r="H351" s="1">
        <f t="shared" si="9"/>
        <v>0</v>
      </c>
      <c r="I351" s="1"/>
      <c r="J351" s="1"/>
    </row>
    <row r="352" spans="2:10" x14ac:dyDescent="0.2">
      <c r="B352" s="1" t="s">
        <v>72</v>
      </c>
      <c r="C352" s="32" t="s">
        <v>66</v>
      </c>
      <c r="D352" s="16">
        <v>400</v>
      </c>
      <c r="E352" s="1"/>
      <c r="F352" s="17">
        <v>3.8</v>
      </c>
      <c r="G352" s="16">
        <v>400</v>
      </c>
      <c r="H352" s="1">
        <f t="shared" si="9"/>
        <v>0</v>
      </c>
      <c r="I352" s="1"/>
      <c r="J352" s="1"/>
    </row>
    <row r="353" spans="2:10" x14ac:dyDescent="0.2">
      <c r="B353" s="1" t="s">
        <v>72</v>
      </c>
      <c r="C353" s="15">
        <v>1352</v>
      </c>
      <c r="D353" s="16">
        <v>13000</v>
      </c>
      <c r="E353" s="1"/>
      <c r="F353" s="17">
        <v>134.38999999999999</v>
      </c>
      <c r="G353" s="16">
        <v>13000</v>
      </c>
      <c r="H353" s="1">
        <f t="shared" si="9"/>
        <v>0</v>
      </c>
      <c r="I353" s="1"/>
      <c r="J353" s="1"/>
    </row>
    <row r="354" spans="2:10" x14ac:dyDescent="0.2">
      <c r="B354" s="1" t="s">
        <v>72</v>
      </c>
      <c r="C354" s="15">
        <v>6967</v>
      </c>
      <c r="D354" s="16">
        <v>18000</v>
      </c>
      <c r="E354" s="1"/>
      <c r="F354" s="17">
        <v>186.08</v>
      </c>
      <c r="G354" s="16">
        <v>18000</v>
      </c>
      <c r="H354" s="1">
        <f t="shared" si="9"/>
        <v>0</v>
      </c>
      <c r="I354" s="1"/>
      <c r="J354" s="1"/>
    </row>
    <row r="355" spans="2:10" x14ac:dyDescent="0.2">
      <c r="B355" s="1" t="s">
        <v>72</v>
      </c>
      <c r="C355" s="15">
        <v>9476</v>
      </c>
      <c r="D355" s="16">
        <v>13000</v>
      </c>
      <c r="E355" s="1"/>
      <c r="F355" s="17">
        <v>134.35</v>
      </c>
      <c r="G355" s="16">
        <v>13000</v>
      </c>
      <c r="H355" s="1">
        <f t="shared" si="9"/>
        <v>0</v>
      </c>
      <c r="I355" s="1"/>
      <c r="J355" s="1"/>
    </row>
    <row r="356" spans="2:10" x14ac:dyDescent="0.2">
      <c r="B356" s="1" t="s">
        <v>72</v>
      </c>
      <c r="C356" s="15">
        <v>2892</v>
      </c>
      <c r="D356" s="16">
        <v>30000</v>
      </c>
      <c r="E356" s="1"/>
      <c r="F356" s="17">
        <v>310.14</v>
      </c>
      <c r="G356" s="16">
        <v>30000</v>
      </c>
      <c r="H356" s="1">
        <f t="shared" si="9"/>
        <v>0</v>
      </c>
      <c r="I356" s="1"/>
      <c r="J356" s="1"/>
    </row>
    <row r="357" spans="2:10" x14ac:dyDescent="0.2">
      <c r="B357" s="1" t="s">
        <v>74</v>
      </c>
      <c r="C357" s="15">
        <v>8886</v>
      </c>
      <c r="D357" s="16">
        <v>20000</v>
      </c>
      <c r="E357" s="1"/>
      <c r="F357" s="17">
        <v>235.9</v>
      </c>
      <c r="G357" s="16">
        <v>20000</v>
      </c>
      <c r="H357" s="1">
        <f t="shared" si="9"/>
        <v>0</v>
      </c>
      <c r="I357" s="1"/>
      <c r="J357" s="1"/>
    </row>
    <row r="358" spans="2:10" x14ac:dyDescent="0.2">
      <c r="B358" s="1" t="s">
        <v>74</v>
      </c>
      <c r="C358" s="15">
        <v>2681</v>
      </c>
      <c r="D358" s="16">
        <v>14000</v>
      </c>
      <c r="E358" s="1"/>
      <c r="F358" s="17">
        <v>144.72999999999999</v>
      </c>
      <c r="G358" s="16">
        <v>14000</v>
      </c>
      <c r="H358" s="1">
        <f t="shared" si="9"/>
        <v>0</v>
      </c>
      <c r="I358" s="1"/>
      <c r="J358" s="1"/>
    </row>
    <row r="359" spans="2:10" x14ac:dyDescent="0.2">
      <c r="B359" s="1" t="s">
        <v>74</v>
      </c>
      <c r="C359" s="15">
        <v>2808</v>
      </c>
      <c r="D359" s="16">
        <v>28000</v>
      </c>
      <c r="E359" s="1"/>
      <c r="F359" s="17">
        <v>299.91000000000003</v>
      </c>
      <c r="G359" s="16">
        <v>28000</v>
      </c>
      <c r="H359" s="1">
        <f t="shared" si="9"/>
        <v>0</v>
      </c>
      <c r="I359" s="1"/>
      <c r="J359" s="1"/>
    </row>
    <row r="360" spans="2:10" x14ac:dyDescent="0.2">
      <c r="B360" s="1" t="s">
        <v>74</v>
      </c>
      <c r="C360" s="15">
        <v>7109</v>
      </c>
      <c r="D360" s="16">
        <v>4000</v>
      </c>
      <c r="E360" s="1"/>
      <c r="F360" s="17">
        <v>41.36</v>
      </c>
      <c r="G360" s="16">
        <v>4000</v>
      </c>
      <c r="H360" s="1">
        <f t="shared" si="9"/>
        <v>0</v>
      </c>
      <c r="I360" s="1"/>
      <c r="J360" s="1"/>
    </row>
    <row r="361" spans="2:10" x14ac:dyDescent="0.2">
      <c r="B361" s="1" t="s">
        <v>74</v>
      </c>
      <c r="C361" s="32" t="s">
        <v>61</v>
      </c>
      <c r="D361" s="16">
        <v>4000</v>
      </c>
      <c r="E361" s="1"/>
      <c r="F361" s="17">
        <v>41.36</v>
      </c>
      <c r="G361" s="16">
        <v>4000</v>
      </c>
      <c r="H361" s="1">
        <f t="shared" si="9"/>
        <v>0</v>
      </c>
      <c r="I361" s="1"/>
      <c r="J361" s="1"/>
    </row>
    <row r="362" spans="2:10" x14ac:dyDescent="0.2">
      <c r="B362" s="1" t="s">
        <v>74</v>
      </c>
      <c r="C362" s="15">
        <v>2227</v>
      </c>
      <c r="D362" s="16">
        <v>20000</v>
      </c>
      <c r="E362" s="1"/>
      <c r="F362" s="17">
        <v>206.76</v>
      </c>
      <c r="G362" s="16">
        <v>20000</v>
      </c>
      <c r="H362" s="1">
        <f t="shared" si="9"/>
        <v>0</v>
      </c>
      <c r="I362" s="1"/>
      <c r="J362" s="1"/>
    </row>
    <row r="363" spans="2:10" x14ac:dyDescent="0.2">
      <c r="B363" s="1" t="s">
        <v>74</v>
      </c>
      <c r="C363" s="15">
        <v>7909</v>
      </c>
      <c r="D363" s="16">
        <v>10000</v>
      </c>
      <c r="E363" s="1"/>
      <c r="F363" s="17">
        <v>103.76</v>
      </c>
      <c r="G363" s="16">
        <v>10000</v>
      </c>
      <c r="H363" s="1">
        <f t="shared" si="9"/>
        <v>0</v>
      </c>
      <c r="I363" s="1"/>
      <c r="J363" s="1"/>
    </row>
    <row r="364" spans="2:10" x14ac:dyDescent="0.2">
      <c r="B364" s="1" t="s">
        <v>74</v>
      </c>
      <c r="C364" s="15">
        <v>6353</v>
      </c>
      <c r="D364" s="16">
        <v>20000</v>
      </c>
      <c r="E364" s="1"/>
      <c r="F364" s="17">
        <v>206.76</v>
      </c>
      <c r="G364" s="16">
        <v>20000</v>
      </c>
      <c r="H364" s="1">
        <f t="shared" si="9"/>
        <v>0</v>
      </c>
      <c r="I364" s="1"/>
      <c r="J364" s="1"/>
    </row>
    <row r="365" spans="2:10" x14ac:dyDescent="0.2">
      <c r="B365" s="1" t="s">
        <v>74</v>
      </c>
      <c r="C365" s="15">
        <v>253</v>
      </c>
      <c r="D365" s="16">
        <v>20000</v>
      </c>
      <c r="E365" s="1"/>
      <c r="F365" s="17">
        <v>206.76</v>
      </c>
      <c r="G365" s="16">
        <v>20000</v>
      </c>
      <c r="H365" s="1">
        <f t="shared" si="9"/>
        <v>0</v>
      </c>
      <c r="I365" s="1"/>
      <c r="J365" s="1"/>
    </row>
    <row r="366" spans="2:10" x14ac:dyDescent="0.2">
      <c r="B366" s="1" t="s">
        <v>74</v>
      </c>
      <c r="C366" s="15">
        <v>651</v>
      </c>
      <c r="D366" s="16">
        <v>3000</v>
      </c>
      <c r="E366" s="1"/>
      <c r="F366" s="17">
        <v>31.09</v>
      </c>
      <c r="G366" s="16">
        <v>3000</v>
      </c>
      <c r="H366" s="1">
        <f t="shared" si="9"/>
        <v>0</v>
      </c>
      <c r="I366" s="1"/>
      <c r="J366" s="1"/>
    </row>
    <row r="367" spans="2:10" x14ac:dyDescent="0.2">
      <c r="B367" s="1" t="s">
        <v>74</v>
      </c>
      <c r="C367" s="15">
        <v>4926</v>
      </c>
      <c r="D367" s="16">
        <v>25000</v>
      </c>
      <c r="E367" s="1"/>
      <c r="F367" s="17">
        <v>182.26</v>
      </c>
      <c r="G367" s="16">
        <v>25000</v>
      </c>
      <c r="H367" s="1">
        <f t="shared" si="9"/>
        <v>0</v>
      </c>
      <c r="I367" s="1"/>
      <c r="J367" s="1"/>
    </row>
    <row r="368" spans="2:10" x14ac:dyDescent="0.2">
      <c r="B368" s="1" t="s">
        <v>74</v>
      </c>
      <c r="C368" s="15">
        <v>4447</v>
      </c>
      <c r="D368" s="16">
        <v>25000</v>
      </c>
      <c r="E368" s="1"/>
      <c r="F368" s="17">
        <v>258.45</v>
      </c>
      <c r="G368" s="16">
        <v>25000</v>
      </c>
      <c r="H368" s="1">
        <f t="shared" si="9"/>
        <v>0</v>
      </c>
      <c r="I368" s="1"/>
      <c r="J368" s="1"/>
    </row>
    <row r="369" spans="2:10" x14ac:dyDescent="0.2">
      <c r="B369" s="1" t="s">
        <v>74</v>
      </c>
      <c r="C369" s="15">
        <v>2804</v>
      </c>
      <c r="D369" s="16">
        <v>25000</v>
      </c>
      <c r="E369" s="1"/>
      <c r="F369" s="17">
        <v>258.45</v>
      </c>
      <c r="G369" s="16">
        <v>25000</v>
      </c>
      <c r="H369" s="1">
        <f t="shared" si="9"/>
        <v>0</v>
      </c>
      <c r="I369" s="1"/>
      <c r="J369" s="1"/>
    </row>
    <row r="370" spans="2:10" x14ac:dyDescent="0.2">
      <c r="B370" s="1" t="s">
        <v>74</v>
      </c>
      <c r="C370" s="15">
        <v>9026</v>
      </c>
      <c r="D370" s="16">
        <v>15000</v>
      </c>
      <c r="E370" s="1"/>
      <c r="F370" s="17">
        <v>155.07</v>
      </c>
      <c r="G370" s="16">
        <v>15000</v>
      </c>
      <c r="H370" s="1">
        <f t="shared" si="9"/>
        <v>0</v>
      </c>
      <c r="I370" s="1"/>
      <c r="J370" s="1"/>
    </row>
    <row r="371" spans="2:10" x14ac:dyDescent="0.2">
      <c r="B371" s="1" t="s">
        <v>74</v>
      </c>
      <c r="C371" s="15">
        <v>4092</v>
      </c>
      <c r="D371" s="16">
        <v>14000</v>
      </c>
      <c r="E371" s="1"/>
      <c r="F371" s="17">
        <v>144.72999999999999</v>
      </c>
      <c r="G371" s="16">
        <v>14000</v>
      </c>
      <c r="H371" s="1">
        <f t="shared" si="9"/>
        <v>0</v>
      </c>
      <c r="I371" s="1"/>
      <c r="J371" s="1"/>
    </row>
    <row r="372" spans="2:10" x14ac:dyDescent="0.2">
      <c r="B372" s="1" t="s">
        <v>74</v>
      </c>
      <c r="C372" s="15">
        <v>941</v>
      </c>
      <c r="D372" s="16">
        <v>13000</v>
      </c>
      <c r="E372" s="1"/>
      <c r="F372" s="17">
        <v>134.38999999999999</v>
      </c>
      <c r="G372" s="16">
        <v>13000</v>
      </c>
      <c r="H372" s="1">
        <f t="shared" si="9"/>
        <v>0</v>
      </c>
      <c r="I372" s="1"/>
      <c r="J372" s="1"/>
    </row>
    <row r="373" spans="2:10" x14ac:dyDescent="0.2">
      <c r="B373" s="1" t="s">
        <v>76</v>
      </c>
      <c r="C373" s="15">
        <v>1220</v>
      </c>
      <c r="D373" s="16">
        <v>15000</v>
      </c>
      <c r="E373" s="1"/>
      <c r="F373" s="17">
        <v>155.07</v>
      </c>
      <c r="G373" s="16">
        <v>15000</v>
      </c>
      <c r="H373" s="1">
        <f t="shared" si="9"/>
        <v>0</v>
      </c>
      <c r="I373" s="1"/>
      <c r="J373" s="1"/>
    </row>
    <row r="374" spans="2:10" x14ac:dyDescent="0.2">
      <c r="B374" s="1" t="s">
        <v>76</v>
      </c>
      <c r="C374" s="15">
        <v>5931</v>
      </c>
      <c r="D374" s="16">
        <v>18000</v>
      </c>
      <c r="E374" s="1"/>
      <c r="F374" s="17">
        <v>186.08</v>
      </c>
      <c r="G374" s="16">
        <v>18000</v>
      </c>
      <c r="H374" s="1">
        <f t="shared" si="9"/>
        <v>0</v>
      </c>
      <c r="I374" s="1"/>
      <c r="J374" s="1"/>
    </row>
    <row r="375" spans="2:10" x14ac:dyDescent="0.2">
      <c r="B375" s="1" t="s">
        <v>76</v>
      </c>
      <c r="C375" s="15">
        <v>7020</v>
      </c>
      <c r="D375" s="16">
        <v>25000</v>
      </c>
      <c r="E375" s="1"/>
      <c r="F375" s="17">
        <v>258.45</v>
      </c>
      <c r="G375" s="16">
        <v>25000</v>
      </c>
      <c r="H375" s="1">
        <f t="shared" si="9"/>
        <v>0</v>
      </c>
      <c r="I375" s="1"/>
      <c r="J375" s="1"/>
    </row>
    <row r="376" spans="2:10" x14ac:dyDescent="0.2">
      <c r="B376" s="1" t="s">
        <v>76</v>
      </c>
      <c r="C376" s="32" t="s">
        <v>61</v>
      </c>
      <c r="D376" s="16">
        <v>3500</v>
      </c>
      <c r="E376" s="1"/>
      <c r="F376" s="17">
        <v>36.18</v>
      </c>
      <c r="G376" s="16">
        <v>3500</v>
      </c>
      <c r="H376" s="1">
        <f t="shared" si="9"/>
        <v>0</v>
      </c>
      <c r="I376" s="1"/>
      <c r="J376" s="1"/>
    </row>
    <row r="377" spans="2:10" x14ac:dyDescent="0.2">
      <c r="B377" s="1" t="s">
        <v>76</v>
      </c>
      <c r="C377" s="15">
        <v>7369</v>
      </c>
      <c r="D377" s="16">
        <v>20000</v>
      </c>
      <c r="E377" s="1"/>
      <c r="F377" s="17">
        <v>206.76</v>
      </c>
      <c r="G377" s="16">
        <v>20000</v>
      </c>
      <c r="H377" s="1">
        <f t="shared" si="9"/>
        <v>0</v>
      </c>
      <c r="I377" s="1"/>
      <c r="J377" s="1"/>
    </row>
    <row r="378" spans="2:10" x14ac:dyDescent="0.2">
      <c r="B378" s="1" t="s">
        <v>76</v>
      </c>
      <c r="C378" s="15">
        <v>4313</v>
      </c>
      <c r="D378" s="16">
        <v>7000</v>
      </c>
      <c r="E378" s="1"/>
      <c r="F378" s="17">
        <v>72.37</v>
      </c>
      <c r="G378" s="16">
        <v>7000</v>
      </c>
      <c r="H378" s="1">
        <f t="shared" si="9"/>
        <v>0</v>
      </c>
      <c r="I378" s="1"/>
      <c r="J378" s="1"/>
    </row>
    <row r="379" spans="2:10" x14ac:dyDescent="0.2">
      <c r="B379" s="1" t="s">
        <v>76</v>
      </c>
      <c r="C379" s="15">
        <v>4125</v>
      </c>
      <c r="D379" s="16">
        <v>8000</v>
      </c>
      <c r="E379" s="1"/>
      <c r="F379" s="17">
        <v>82.7</v>
      </c>
      <c r="G379" s="16">
        <v>8000</v>
      </c>
      <c r="H379" s="1">
        <f t="shared" si="9"/>
        <v>0</v>
      </c>
      <c r="I379" s="1"/>
      <c r="J379" s="1"/>
    </row>
    <row r="380" spans="2:10" x14ac:dyDescent="0.2">
      <c r="B380" s="1" t="s">
        <v>77</v>
      </c>
      <c r="C380" s="15">
        <v>5943</v>
      </c>
      <c r="D380" s="16">
        <v>35000</v>
      </c>
      <c r="E380" s="1"/>
      <c r="F380" s="17">
        <v>349.29</v>
      </c>
      <c r="G380" s="16">
        <v>35000</v>
      </c>
      <c r="H380" s="1">
        <f t="shared" si="9"/>
        <v>0</v>
      </c>
      <c r="I380" s="1"/>
      <c r="J380" s="1"/>
    </row>
    <row r="381" spans="2:10" x14ac:dyDescent="0.2">
      <c r="B381" s="1" t="s">
        <v>77</v>
      </c>
      <c r="C381" s="15">
        <v>3222</v>
      </c>
      <c r="D381" s="16">
        <v>34000</v>
      </c>
      <c r="E381" s="1"/>
      <c r="F381" s="17">
        <v>349.73</v>
      </c>
      <c r="G381" s="16">
        <v>34000</v>
      </c>
      <c r="H381" s="1">
        <f t="shared" si="9"/>
        <v>0</v>
      </c>
      <c r="I381" s="1"/>
      <c r="J381" s="1"/>
    </row>
    <row r="382" spans="2:10" x14ac:dyDescent="0.2">
      <c r="B382" s="1" t="s">
        <v>77</v>
      </c>
      <c r="C382" s="15">
        <v>4017</v>
      </c>
      <c r="D382" s="16">
        <v>15000</v>
      </c>
      <c r="E382" s="1"/>
      <c r="F382" s="17">
        <v>155.07</v>
      </c>
      <c r="G382" s="16">
        <v>15000</v>
      </c>
      <c r="H382" s="1">
        <f t="shared" si="9"/>
        <v>0</v>
      </c>
      <c r="I382" s="1"/>
      <c r="J382" s="1"/>
    </row>
    <row r="383" spans="2:10" x14ac:dyDescent="0.2">
      <c r="B383" s="1" t="s">
        <v>77</v>
      </c>
      <c r="C383" s="15">
        <v>4953</v>
      </c>
      <c r="D383" s="16">
        <v>6000</v>
      </c>
      <c r="E383" s="1"/>
      <c r="F383" s="17">
        <v>62.02</v>
      </c>
      <c r="G383" s="16">
        <v>6000</v>
      </c>
      <c r="H383" s="1">
        <f t="shared" si="9"/>
        <v>0</v>
      </c>
      <c r="I383" s="1"/>
      <c r="J383" s="1"/>
    </row>
    <row r="384" spans="2:10" x14ac:dyDescent="0.2">
      <c r="B384" s="1" t="s">
        <v>77</v>
      </c>
      <c r="C384" s="15">
        <v>650</v>
      </c>
      <c r="D384" s="16">
        <v>18000</v>
      </c>
      <c r="E384" s="1"/>
      <c r="F384" s="17">
        <v>186.08</v>
      </c>
      <c r="G384" s="16">
        <v>18000</v>
      </c>
      <c r="H384" s="1">
        <f t="shared" si="9"/>
        <v>0</v>
      </c>
      <c r="I384" s="1"/>
      <c r="J384" s="1"/>
    </row>
    <row r="385" spans="2:10" x14ac:dyDescent="0.2">
      <c r="B385" s="1" t="s">
        <v>77</v>
      </c>
      <c r="C385" s="15">
        <v>3066</v>
      </c>
      <c r="D385" s="16">
        <v>25000</v>
      </c>
      <c r="E385" s="1"/>
      <c r="F385" s="17">
        <v>258.45</v>
      </c>
      <c r="G385" s="16">
        <v>25000</v>
      </c>
      <c r="H385" s="1">
        <f t="shared" si="9"/>
        <v>0</v>
      </c>
      <c r="I385" s="1"/>
      <c r="J385" s="1"/>
    </row>
    <row r="386" spans="2:10" x14ac:dyDescent="0.2">
      <c r="B386" s="1" t="s">
        <v>77</v>
      </c>
      <c r="C386" s="15">
        <v>3131</v>
      </c>
      <c r="D386" s="16">
        <v>12000</v>
      </c>
      <c r="E386" s="1"/>
      <c r="F386" s="17">
        <v>124.06</v>
      </c>
      <c r="G386" s="16">
        <v>12000</v>
      </c>
      <c r="H386" s="1">
        <f t="shared" si="9"/>
        <v>0</v>
      </c>
      <c r="I386" s="1"/>
      <c r="J386" s="1"/>
    </row>
    <row r="387" spans="2:10" x14ac:dyDescent="0.2">
      <c r="B387" s="1" t="s">
        <v>77</v>
      </c>
      <c r="C387" s="32">
        <v>4787</v>
      </c>
      <c r="D387" s="1">
        <v>25000</v>
      </c>
      <c r="E387" s="1"/>
      <c r="F387" s="1">
        <v>258.45</v>
      </c>
      <c r="G387" s="1">
        <v>25000</v>
      </c>
      <c r="H387" s="1">
        <f t="shared" si="9"/>
        <v>0</v>
      </c>
      <c r="I387" s="1"/>
      <c r="J387" s="1"/>
    </row>
    <row r="388" spans="2:10" x14ac:dyDescent="0.2">
      <c r="B388" s="1" t="s">
        <v>78</v>
      </c>
      <c r="C388" s="32" t="s">
        <v>66</v>
      </c>
      <c r="D388" s="1">
        <v>400</v>
      </c>
      <c r="E388" s="1"/>
      <c r="F388" s="1">
        <v>3.8</v>
      </c>
      <c r="G388" s="1">
        <v>400</v>
      </c>
      <c r="H388" s="1">
        <f t="shared" si="9"/>
        <v>0</v>
      </c>
      <c r="I388" s="1"/>
      <c r="J388" s="1"/>
    </row>
    <row r="389" spans="2:10" x14ac:dyDescent="0.2">
      <c r="B389" s="1" t="s">
        <v>78</v>
      </c>
      <c r="C389" s="32">
        <v>2227</v>
      </c>
      <c r="D389" s="1">
        <v>15000</v>
      </c>
      <c r="E389" s="1"/>
      <c r="F389" s="1">
        <v>155.07</v>
      </c>
      <c r="G389" s="1">
        <v>15000</v>
      </c>
      <c r="H389" s="1">
        <f t="shared" si="9"/>
        <v>0</v>
      </c>
      <c r="I389" s="1"/>
      <c r="J389" s="1"/>
    </row>
    <row r="390" spans="2:10" x14ac:dyDescent="0.2">
      <c r="B390" s="1" t="s">
        <v>78</v>
      </c>
      <c r="C390" s="32">
        <v>8657</v>
      </c>
      <c r="D390" s="1">
        <v>25000</v>
      </c>
      <c r="E390" s="1"/>
      <c r="F390" s="1">
        <v>258.45</v>
      </c>
      <c r="G390" s="1">
        <v>25000</v>
      </c>
      <c r="H390" s="1">
        <f t="shared" si="9"/>
        <v>0</v>
      </c>
      <c r="I390" s="1"/>
      <c r="J390" s="1"/>
    </row>
    <row r="391" spans="2:10" x14ac:dyDescent="0.2">
      <c r="B391" s="1" t="s">
        <v>78</v>
      </c>
      <c r="C391" s="32">
        <v>4156</v>
      </c>
      <c r="D391" s="1">
        <v>30000</v>
      </c>
      <c r="E391" s="1"/>
      <c r="F391" s="1">
        <v>310.14</v>
      </c>
      <c r="G391" s="1">
        <v>30000</v>
      </c>
      <c r="H391" s="1">
        <f t="shared" ref="H391:H454" si="10">D391-G391</f>
        <v>0</v>
      </c>
      <c r="I391" s="1"/>
      <c r="J391" s="1"/>
    </row>
    <row r="392" spans="2:10" x14ac:dyDescent="0.2">
      <c r="B392" s="1" t="s">
        <v>78</v>
      </c>
      <c r="C392" s="32">
        <v>2797</v>
      </c>
      <c r="D392" s="1">
        <v>14000</v>
      </c>
      <c r="E392" s="1"/>
      <c r="F392" s="1">
        <v>144.72999999999999</v>
      </c>
      <c r="G392" s="1">
        <v>14000</v>
      </c>
      <c r="H392" s="1">
        <f t="shared" si="10"/>
        <v>0</v>
      </c>
      <c r="I392" s="1"/>
      <c r="J392" s="1"/>
    </row>
    <row r="393" spans="2:10" x14ac:dyDescent="0.2">
      <c r="B393" s="1" t="s">
        <v>78</v>
      </c>
      <c r="C393" s="32">
        <v>6353</v>
      </c>
      <c r="D393" s="1">
        <v>20000</v>
      </c>
      <c r="E393" s="1"/>
      <c r="F393" s="1">
        <v>206.76</v>
      </c>
      <c r="G393" s="1">
        <v>20000</v>
      </c>
      <c r="H393" s="1">
        <f t="shared" si="10"/>
        <v>0</v>
      </c>
      <c r="I393" s="1"/>
      <c r="J393" s="1"/>
    </row>
    <row r="394" spans="2:10" x14ac:dyDescent="0.2">
      <c r="B394" s="1" t="s">
        <v>78</v>
      </c>
      <c r="C394" s="32">
        <v>253</v>
      </c>
      <c r="D394" s="1">
        <v>20000</v>
      </c>
      <c r="E394" s="1"/>
      <c r="F394" s="1">
        <v>206.76</v>
      </c>
      <c r="G394" s="1">
        <v>20000</v>
      </c>
      <c r="H394" s="1">
        <f t="shared" si="10"/>
        <v>0</v>
      </c>
      <c r="I394" s="1"/>
      <c r="J394" s="1"/>
    </row>
    <row r="395" spans="2:10" x14ac:dyDescent="0.2">
      <c r="B395" s="1" t="s">
        <v>78</v>
      </c>
      <c r="C395" s="32">
        <v>5691</v>
      </c>
      <c r="D395" s="1">
        <v>20000</v>
      </c>
      <c r="E395" s="1"/>
      <c r="F395" s="1">
        <v>206.76</v>
      </c>
      <c r="G395" s="1">
        <v>20000</v>
      </c>
      <c r="H395" s="1">
        <f t="shared" si="10"/>
        <v>0</v>
      </c>
      <c r="I395" s="1"/>
      <c r="J395" s="1"/>
    </row>
    <row r="396" spans="2:10" x14ac:dyDescent="0.2">
      <c r="B396" s="1" t="s">
        <v>79</v>
      </c>
      <c r="C396" s="32">
        <v>545</v>
      </c>
      <c r="D396" s="1">
        <v>15000</v>
      </c>
      <c r="E396" s="1"/>
      <c r="F396" s="1">
        <v>155.07</v>
      </c>
      <c r="G396" s="1">
        <v>15000</v>
      </c>
      <c r="H396" s="1">
        <f t="shared" si="10"/>
        <v>0</v>
      </c>
      <c r="I396" s="1"/>
      <c r="J396" s="1"/>
    </row>
    <row r="397" spans="2:10" x14ac:dyDescent="0.2">
      <c r="B397" s="1" t="s">
        <v>79</v>
      </c>
      <c r="C397" s="32">
        <v>7573</v>
      </c>
      <c r="D397" s="1">
        <v>23000</v>
      </c>
      <c r="E397" s="1"/>
      <c r="F397" s="1">
        <v>237.77</v>
      </c>
      <c r="G397" s="1">
        <v>23000</v>
      </c>
      <c r="H397" s="1">
        <f t="shared" si="10"/>
        <v>0</v>
      </c>
      <c r="I397" s="1"/>
      <c r="J397" s="1"/>
    </row>
    <row r="398" spans="2:10" x14ac:dyDescent="0.2">
      <c r="B398" s="1" t="s">
        <v>79</v>
      </c>
      <c r="C398" s="32">
        <v>2092</v>
      </c>
      <c r="D398" s="1">
        <v>30000</v>
      </c>
      <c r="E398" s="1"/>
      <c r="F398" s="1">
        <v>310.14</v>
      </c>
      <c r="G398" s="1">
        <v>30000</v>
      </c>
      <c r="H398" s="1">
        <f t="shared" si="10"/>
        <v>0</v>
      </c>
      <c r="I398" s="1"/>
      <c r="J398" s="1"/>
    </row>
    <row r="399" spans="2:10" x14ac:dyDescent="0.2">
      <c r="B399" s="1" t="s">
        <v>79</v>
      </c>
      <c r="C399" s="32">
        <v>3828</v>
      </c>
      <c r="D399" s="1">
        <v>10000</v>
      </c>
      <c r="E399" s="1"/>
      <c r="F399" s="1">
        <v>78.41</v>
      </c>
      <c r="G399" s="1">
        <v>10000</v>
      </c>
      <c r="H399" s="1">
        <f t="shared" si="10"/>
        <v>0</v>
      </c>
      <c r="I399" s="1"/>
      <c r="J399" s="1"/>
    </row>
    <row r="400" spans="2:10" x14ac:dyDescent="0.2">
      <c r="B400" s="1" t="s">
        <v>79</v>
      </c>
      <c r="C400" s="32">
        <v>4674</v>
      </c>
      <c r="D400" s="1">
        <v>30000</v>
      </c>
      <c r="E400" s="1"/>
      <c r="F400" s="1">
        <v>310.14</v>
      </c>
      <c r="G400" s="1">
        <v>30000</v>
      </c>
      <c r="H400" s="1">
        <f t="shared" si="10"/>
        <v>0</v>
      </c>
      <c r="I400" s="1"/>
      <c r="J400" s="1"/>
    </row>
    <row r="401" spans="2:10" x14ac:dyDescent="0.2">
      <c r="B401" s="1" t="s">
        <v>79</v>
      </c>
      <c r="C401" s="32">
        <v>4911</v>
      </c>
      <c r="D401" s="1">
        <v>10000</v>
      </c>
      <c r="E401" s="1"/>
      <c r="F401" s="1">
        <v>97.69</v>
      </c>
      <c r="G401" s="1">
        <v>10000</v>
      </c>
      <c r="H401" s="1">
        <f t="shared" si="10"/>
        <v>0</v>
      </c>
      <c r="I401" s="1"/>
      <c r="J401" s="1"/>
    </row>
    <row r="402" spans="2:10" x14ac:dyDescent="0.2">
      <c r="B402" s="1" t="s">
        <v>79</v>
      </c>
      <c r="C402" s="32" t="s">
        <v>61</v>
      </c>
      <c r="D402" s="1">
        <v>5000</v>
      </c>
      <c r="E402" s="1"/>
      <c r="F402" s="1">
        <v>51.69</v>
      </c>
      <c r="G402" s="1">
        <v>5000</v>
      </c>
      <c r="H402" s="1">
        <f t="shared" si="10"/>
        <v>0</v>
      </c>
      <c r="I402" s="1"/>
      <c r="J402" s="1"/>
    </row>
    <row r="403" spans="2:10" x14ac:dyDescent="0.2">
      <c r="B403" s="1" t="s">
        <v>79</v>
      </c>
      <c r="C403" s="32" t="s">
        <v>61</v>
      </c>
      <c r="D403" s="1">
        <v>4500</v>
      </c>
      <c r="E403" s="1"/>
      <c r="F403" s="1">
        <v>46.52</v>
      </c>
      <c r="G403" s="1">
        <v>4500</v>
      </c>
      <c r="H403" s="1">
        <f t="shared" si="10"/>
        <v>0</v>
      </c>
      <c r="I403" s="1"/>
      <c r="J403" s="1"/>
    </row>
    <row r="404" spans="2:10" x14ac:dyDescent="0.2">
      <c r="B404" s="1" t="s">
        <v>79</v>
      </c>
      <c r="C404" s="32">
        <v>7069</v>
      </c>
      <c r="D404" s="1">
        <v>20000</v>
      </c>
      <c r="E404" s="1"/>
      <c r="F404" s="1">
        <v>206.76</v>
      </c>
      <c r="G404" s="1">
        <v>20000</v>
      </c>
      <c r="H404" s="1">
        <f t="shared" si="10"/>
        <v>0</v>
      </c>
      <c r="I404" s="1"/>
      <c r="J404" s="1"/>
    </row>
    <row r="405" spans="2:10" x14ac:dyDescent="0.2">
      <c r="B405" s="1" t="s">
        <v>79</v>
      </c>
      <c r="C405" s="32">
        <v>9027</v>
      </c>
      <c r="D405" s="1">
        <v>10000</v>
      </c>
      <c r="E405" s="1"/>
      <c r="F405" s="1">
        <v>103.38</v>
      </c>
      <c r="G405" s="1">
        <v>10000</v>
      </c>
      <c r="H405" s="1">
        <f t="shared" si="10"/>
        <v>0</v>
      </c>
      <c r="I405" s="1"/>
      <c r="J405" s="1"/>
    </row>
    <row r="406" spans="2:10" x14ac:dyDescent="0.2">
      <c r="B406" s="1" t="s">
        <v>81</v>
      </c>
      <c r="C406" s="32">
        <v>4501</v>
      </c>
      <c r="D406" s="1">
        <v>25000</v>
      </c>
      <c r="E406" s="1"/>
      <c r="F406" s="1">
        <v>258.45</v>
      </c>
      <c r="G406" s="1">
        <v>25000</v>
      </c>
      <c r="H406" s="1">
        <f t="shared" si="10"/>
        <v>0</v>
      </c>
      <c r="I406" s="1"/>
      <c r="J406" s="1"/>
    </row>
    <row r="407" spans="2:10" x14ac:dyDescent="0.2">
      <c r="B407" s="1" t="s">
        <v>81</v>
      </c>
      <c r="C407" s="32">
        <v>9599</v>
      </c>
      <c r="D407" s="1">
        <v>32000</v>
      </c>
      <c r="E407" s="1"/>
      <c r="F407" s="1">
        <v>330.82</v>
      </c>
      <c r="G407" s="1">
        <v>32000</v>
      </c>
      <c r="H407" s="1">
        <f t="shared" si="10"/>
        <v>0</v>
      </c>
      <c r="I407" s="1"/>
      <c r="J407" s="1"/>
    </row>
    <row r="408" spans="2:10" x14ac:dyDescent="0.2">
      <c r="B408" s="1" t="s">
        <v>81</v>
      </c>
      <c r="C408" s="32" t="s">
        <v>61</v>
      </c>
      <c r="D408" s="1">
        <v>3500</v>
      </c>
      <c r="E408" s="1"/>
      <c r="F408" s="1">
        <v>36.18</v>
      </c>
      <c r="G408" s="1">
        <v>3500</v>
      </c>
      <c r="H408" s="1">
        <f t="shared" si="10"/>
        <v>0</v>
      </c>
      <c r="I408" s="1"/>
      <c r="J408" s="1"/>
    </row>
    <row r="409" spans="2:10" x14ac:dyDescent="0.2">
      <c r="B409" s="1" t="s">
        <v>81</v>
      </c>
      <c r="C409" s="32">
        <v>8797</v>
      </c>
      <c r="D409" s="1">
        <v>18000</v>
      </c>
      <c r="E409" s="1"/>
      <c r="F409" s="1">
        <v>164.38</v>
      </c>
      <c r="G409" s="1">
        <v>18000</v>
      </c>
      <c r="H409" s="1">
        <f t="shared" si="10"/>
        <v>0</v>
      </c>
      <c r="I409" s="1"/>
      <c r="J409" s="1"/>
    </row>
    <row r="410" spans="2:10" x14ac:dyDescent="0.2">
      <c r="B410" s="1" t="s">
        <v>81</v>
      </c>
      <c r="C410" s="32">
        <v>9942</v>
      </c>
      <c r="D410" s="1">
        <v>25000</v>
      </c>
      <c r="E410" s="1"/>
      <c r="F410" s="1">
        <v>253.79</v>
      </c>
      <c r="G410" s="1">
        <v>25000</v>
      </c>
      <c r="H410" s="1">
        <f t="shared" si="10"/>
        <v>0</v>
      </c>
      <c r="I410" s="1"/>
      <c r="J410" s="1"/>
    </row>
    <row r="411" spans="2:10" x14ac:dyDescent="0.2">
      <c r="B411" s="1" t="s">
        <v>81</v>
      </c>
      <c r="C411" s="32">
        <v>2021</v>
      </c>
      <c r="D411" s="1">
        <v>25000</v>
      </c>
      <c r="E411" s="1"/>
      <c r="F411" s="1">
        <v>258.45</v>
      </c>
      <c r="G411" s="1">
        <v>25000</v>
      </c>
      <c r="H411" s="1">
        <f t="shared" si="10"/>
        <v>0</v>
      </c>
      <c r="I411" s="1"/>
      <c r="J411" s="1"/>
    </row>
    <row r="412" spans="2:10" x14ac:dyDescent="0.2">
      <c r="B412" s="1" t="s">
        <v>82</v>
      </c>
      <c r="C412" s="32" t="s">
        <v>61</v>
      </c>
      <c r="D412" s="1">
        <v>5000</v>
      </c>
      <c r="E412" s="1"/>
      <c r="F412" s="1">
        <v>51.69</v>
      </c>
      <c r="G412" s="1">
        <v>5000</v>
      </c>
      <c r="H412" s="1">
        <f t="shared" si="10"/>
        <v>0</v>
      </c>
      <c r="I412" s="1"/>
      <c r="J412" s="1"/>
    </row>
    <row r="413" spans="2:10" x14ac:dyDescent="0.2">
      <c r="B413" s="1" t="s">
        <v>82</v>
      </c>
      <c r="C413" s="32" t="s">
        <v>61</v>
      </c>
      <c r="D413" s="1">
        <v>4500</v>
      </c>
      <c r="E413" s="1"/>
      <c r="F413" s="1">
        <v>46.52</v>
      </c>
      <c r="G413" s="1">
        <v>4500</v>
      </c>
      <c r="H413" s="1">
        <f t="shared" si="10"/>
        <v>0</v>
      </c>
      <c r="I413" s="1"/>
      <c r="J413" s="1"/>
    </row>
    <row r="414" spans="2:10" x14ac:dyDescent="0.2">
      <c r="B414" s="1" t="s">
        <v>82</v>
      </c>
      <c r="C414" s="32" t="s">
        <v>66</v>
      </c>
      <c r="D414" s="1">
        <v>400</v>
      </c>
      <c r="E414" s="1"/>
      <c r="F414" s="1">
        <v>3.8</v>
      </c>
      <c r="G414" s="1">
        <v>400</v>
      </c>
      <c r="H414" s="1">
        <f t="shared" si="10"/>
        <v>0</v>
      </c>
      <c r="I414" s="1"/>
      <c r="J414" s="1"/>
    </row>
    <row r="415" spans="2:10" x14ac:dyDescent="0.2">
      <c r="B415" s="1" t="s">
        <v>82</v>
      </c>
      <c r="C415" s="32">
        <v>4713</v>
      </c>
      <c r="D415" s="1">
        <v>6000</v>
      </c>
      <c r="E415" s="1"/>
      <c r="F415" s="1">
        <v>62.03</v>
      </c>
      <c r="G415" s="1">
        <v>6000</v>
      </c>
      <c r="H415" s="1">
        <f t="shared" si="10"/>
        <v>0</v>
      </c>
      <c r="I415" s="1"/>
      <c r="J415" s="1"/>
    </row>
    <row r="416" spans="2:10" x14ac:dyDescent="0.2">
      <c r="B416" s="1" t="s">
        <v>82</v>
      </c>
      <c r="C416" s="32">
        <v>6391</v>
      </c>
      <c r="D416" s="1">
        <v>15000</v>
      </c>
      <c r="E416" s="1"/>
      <c r="F416" s="1">
        <v>155.07</v>
      </c>
      <c r="G416" s="1">
        <v>15000</v>
      </c>
      <c r="H416" s="1">
        <f t="shared" si="10"/>
        <v>0</v>
      </c>
      <c r="I416" s="1"/>
      <c r="J416" s="1"/>
    </row>
    <row r="417" spans="2:10" x14ac:dyDescent="0.2">
      <c r="B417" s="1" t="s">
        <v>82</v>
      </c>
      <c r="C417" s="32">
        <v>5520</v>
      </c>
      <c r="D417" s="1">
        <v>24000</v>
      </c>
      <c r="E417" s="1"/>
      <c r="F417" s="1">
        <v>248.01</v>
      </c>
      <c r="G417" s="1">
        <v>24000</v>
      </c>
      <c r="H417" s="1">
        <f t="shared" si="10"/>
        <v>0</v>
      </c>
      <c r="I417" s="1"/>
      <c r="J417" s="1"/>
    </row>
    <row r="418" spans="2:10" x14ac:dyDescent="0.2">
      <c r="B418" s="1" t="s">
        <v>82</v>
      </c>
      <c r="C418" s="32">
        <v>3505</v>
      </c>
      <c r="D418" s="1">
        <v>30000</v>
      </c>
      <c r="E418" s="1"/>
      <c r="F418" s="1">
        <v>310.14</v>
      </c>
      <c r="G418" s="1">
        <v>30000</v>
      </c>
      <c r="H418" s="1">
        <f t="shared" si="10"/>
        <v>0</v>
      </c>
      <c r="I418" s="1"/>
      <c r="J418" s="1"/>
    </row>
    <row r="419" spans="2:10" x14ac:dyDescent="0.2">
      <c r="B419" s="1" t="s">
        <v>82</v>
      </c>
      <c r="C419" s="32">
        <v>1087</v>
      </c>
      <c r="D419" s="1">
        <v>32000</v>
      </c>
      <c r="E419" s="1"/>
      <c r="F419" s="1">
        <v>312.20999999999998</v>
      </c>
      <c r="G419" s="1">
        <v>32000</v>
      </c>
      <c r="H419" s="1">
        <f t="shared" si="10"/>
        <v>0</v>
      </c>
      <c r="I419" s="1"/>
      <c r="J419" s="1"/>
    </row>
    <row r="420" spans="2:10" x14ac:dyDescent="0.2">
      <c r="B420" s="1" t="s">
        <v>82</v>
      </c>
      <c r="C420" s="32">
        <v>4481</v>
      </c>
      <c r="D420" s="1">
        <v>25000</v>
      </c>
      <c r="E420" s="1"/>
      <c r="F420" s="1">
        <v>258.45</v>
      </c>
      <c r="G420" s="1">
        <v>25000</v>
      </c>
      <c r="H420" s="1">
        <f t="shared" si="10"/>
        <v>0</v>
      </c>
      <c r="I420" s="1"/>
      <c r="J420" s="1"/>
    </row>
    <row r="421" spans="2:10" x14ac:dyDescent="0.2">
      <c r="B421" s="1" t="s">
        <v>82</v>
      </c>
      <c r="C421" s="32">
        <v>5857</v>
      </c>
      <c r="D421" s="1">
        <v>35000</v>
      </c>
      <c r="E421" s="1"/>
      <c r="F421" s="1">
        <v>344.16</v>
      </c>
      <c r="G421" s="1">
        <v>35000</v>
      </c>
      <c r="H421" s="1">
        <f t="shared" si="10"/>
        <v>0</v>
      </c>
      <c r="I421" s="1"/>
      <c r="J421" s="1"/>
    </row>
    <row r="422" spans="2:10" x14ac:dyDescent="0.2">
      <c r="B422" s="1" t="s">
        <v>82</v>
      </c>
      <c r="C422" s="32">
        <v>2143</v>
      </c>
      <c r="D422" s="1">
        <v>35000</v>
      </c>
      <c r="E422" s="1"/>
      <c r="F422" s="1">
        <v>361.83</v>
      </c>
      <c r="G422" s="1">
        <v>35000</v>
      </c>
      <c r="H422" s="1">
        <f t="shared" si="10"/>
        <v>0</v>
      </c>
      <c r="I422" s="1"/>
      <c r="J422" s="1"/>
    </row>
    <row r="423" spans="2:10" x14ac:dyDescent="0.2">
      <c r="B423" s="1" t="s">
        <v>82</v>
      </c>
      <c r="C423" s="32">
        <v>65</v>
      </c>
      <c r="D423" s="1">
        <v>5000</v>
      </c>
      <c r="E423" s="1"/>
      <c r="F423" s="1">
        <v>51.69</v>
      </c>
      <c r="G423" s="1">
        <v>5000</v>
      </c>
      <c r="H423" s="1">
        <f t="shared" si="10"/>
        <v>0</v>
      </c>
      <c r="I423" s="1"/>
      <c r="J423" s="1"/>
    </row>
    <row r="424" spans="2:10" x14ac:dyDescent="0.2">
      <c r="B424" s="1" t="s">
        <v>83</v>
      </c>
      <c r="C424" s="32">
        <v>8665</v>
      </c>
      <c r="D424" s="1">
        <v>25000</v>
      </c>
      <c r="E424" s="1"/>
      <c r="F424" s="1">
        <v>258.45</v>
      </c>
      <c r="G424" s="1">
        <v>25000</v>
      </c>
      <c r="H424" s="1">
        <f t="shared" si="10"/>
        <v>0</v>
      </c>
      <c r="I424" s="1"/>
      <c r="J424" s="1"/>
    </row>
    <row r="425" spans="2:10" x14ac:dyDescent="0.2">
      <c r="B425" s="1" t="s">
        <v>83</v>
      </c>
      <c r="C425" s="32">
        <v>4729</v>
      </c>
      <c r="D425" s="1">
        <v>32000</v>
      </c>
      <c r="E425" s="1"/>
      <c r="F425" s="1">
        <v>330.82</v>
      </c>
      <c r="G425" s="1">
        <v>32000</v>
      </c>
      <c r="H425" s="1">
        <f t="shared" si="10"/>
        <v>0</v>
      </c>
      <c r="I425" s="1"/>
      <c r="J425" s="1"/>
    </row>
    <row r="426" spans="2:10" x14ac:dyDescent="0.2">
      <c r="B426" s="1" t="s">
        <v>83</v>
      </c>
      <c r="C426" s="32">
        <v>7578</v>
      </c>
      <c r="D426" s="1">
        <v>25000</v>
      </c>
      <c r="E426" s="1"/>
      <c r="F426" s="1">
        <v>258.45</v>
      </c>
      <c r="G426" s="1">
        <v>25000</v>
      </c>
      <c r="H426" s="1">
        <f t="shared" si="10"/>
        <v>0</v>
      </c>
      <c r="I426" s="1"/>
      <c r="J426" s="1"/>
    </row>
    <row r="427" spans="2:10" x14ac:dyDescent="0.2">
      <c r="B427" s="1" t="s">
        <v>83</v>
      </c>
      <c r="C427" s="32">
        <v>4045</v>
      </c>
      <c r="D427" s="1">
        <v>25000</v>
      </c>
      <c r="E427" s="1"/>
      <c r="F427" s="1">
        <v>258.45</v>
      </c>
      <c r="G427" s="1">
        <v>25000</v>
      </c>
      <c r="H427" s="1">
        <f t="shared" si="10"/>
        <v>0</v>
      </c>
      <c r="I427" s="1"/>
      <c r="J427" s="1"/>
    </row>
    <row r="428" spans="2:10" x14ac:dyDescent="0.2">
      <c r="B428" s="1" t="s">
        <v>83</v>
      </c>
      <c r="C428" s="32">
        <v>3828</v>
      </c>
      <c r="D428" s="1">
        <v>23000</v>
      </c>
      <c r="E428" s="1"/>
      <c r="F428" s="1">
        <v>237.78</v>
      </c>
      <c r="G428" s="1">
        <v>23000</v>
      </c>
      <c r="H428" s="1">
        <f t="shared" si="10"/>
        <v>0</v>
      </c>
      <c r="I428" s="1"/>
      <c r="J428" s="1"/>
    </row>
    <row r="429" spans="2:10" x14ac:dyDescent="0.2">
      <c r="B429" s="1" t="s">
        <v>83</v>
      </c>
      <c r="C429" s="32">
        <v>1681</v>
      </c>
      <c r="D429" s="1">
        <v>30000</v>
      </c>
      <c r="E429" s="1"/>
      <c r="F429" s="1">
        <v>310.14</v>
      </c>
      <c r="G429" s="1">
        <v>30000</v>
      </c>
      <c r="H429" s="1">
        <f t="shared" si="10"/>
        <v>0</v>
      </c>
      <c r="I429" s="1"/>
      <c r="J429" s="1"/>
    </row>
    <row r="430" spans="2:10" x14ac:dyDescent="0.2">
      <c r="B430" s="1" t="s">
        <v>83</v>
      </c>
      <c r="C430" s="32">
        <v>8878</v>
      </c>
      <c r="D430" s="1">
        <v>10000</v>
      </c>
      <c r="E430" s="1"/>
      <c r="F430" s="1">
        <v>103.38</v>
      </c>
      <c r="G430" s="1">
        <v>10000</v>
      </c>
      <c r="H430" s="1">
        <f t="shared" si="10"/>
        <v>0</v>
      </c>
      <c r="I430" s="1"/>
      <c r="J430" s="1"/>
    </row>
    <row r="431" spans="2:10" x14ac:dyDescent="0.2">
      <c r="B431" s="1" t="s">
        <v>84</v>
      </c>
      <c r="C431" s="32" t="s">
        <v>63</v>
      </c>
      <c r="D431" s="1">
        <v>3500</v>
      </c>
      <c r="E431" s="1"/>
      <c r="F431" s="1">
        <v>36.18</v>
      </c>
      <c r="G431" s="1">
        <v>3500</v>
      </c>
      <c r="H431" s="1">
        <f t="shared" si="10"/>
        <v>0</v>
      </c>
      <c r="I431" s="1"/>
      <c r="J431" s="1"/>
    </row>
    <row r="432" spans="2:10" x14ac:dyDescent="0.2">
      <c r="B432" s="1" t="s">
        <v>84</v>
      </c>
      <c r="C432" s="32">
        <v>6177</v>
      </c>
      <c r="D432" s="1">
        <v>10000</v>
      </c>
      <c r="E432" s="1"/>
      <c r="F432" s="1">
        <v>103.38</v>
      </c>
      <c r="G432" s="1">
        <v>10000</v>
      </c>
      <c r="H432" s="1">
        <f t="shared" si="10"/>
        <v>0</v>
      </c>
      <c r="I432" s="1"/>
      <c r="J432" s="1"/>
    </row>
    <row r="433" spans="2:10" x14ac:dyDescent="0.2">
      <c r="B433" s="1" t="s">
        <v>84</v>
      </c>
      <c r="C433" s="32">
        <v>2943</v>
      </c>
      <c r="D433" s="1">
        <v>34000</v>
      </c>
      <c r="E433" s="1"/>
      <c r="F433" s="1">
        <v>351.49</v>
      </c>
      <c r="G433" s="1">
        <v>34000</v>
      </c>
      <c r="H433" s="1">
        <f t="shared" si="10"/>
        <v>0</v>
      </c>
      <c r="I433" s="1"/>
      <c r="J433" s="1"/>
    </row>
    <row r="434" spans="2:10" x14ac:dyDescent="0.2">
      <c r="B434" s="1" t="s">
        <v>84</v>
      </c>
      <c r="C434" s="32" t="s">
        <v>73</v>
      </c>
      <c r="D434" s="1">
        <v>5000</v>
      </c>
      <c r="E434" s="1"/>
      <c r="F434" s="1">
        <v>51.69</v>
      </c>
      <c r="G434" s="1">
        <v>5000</v>
      </c>
      <c r="H434" s="1">
        <f t="shared" si="10"/>
        <v>0</v>
      </c>
      <c r="I434" s="1"/>
      <c r="J434" s="1"/>
    </row>
    <row r="435" spans="2:10" x14ac:dyDescent="0.2">
      <c r="B435" s="1" t="s">
        <v>84</v>
      </c>
      <c r="C435" s="32" t="s">
        <v>73</v>
      </c>
      <c r="D435" s="1">
        <v>4500</v>
      </c>
      <c r="E435" s="1"/>
      <c r="F435" s="1">
        <v>46.65</v>
      </c>
      <c r="G435" s="1">
        <v>4500</v>
      </c>
      <c r="H435" s="1">
        <f t="shared" si="10"/>
        <v>0</v>
      </c>
      <c r="I435" s="1"/>
      <c r="J435" s="1"/>
    </row>
    <row r="436" spans="2:10" x14ac:dyDescent="0.2">
      <c r="B436" s="1" t="s">
        <v>84</v>
      </c>
      <c r="C436" s="32">
        <v>3365</v>
      </c>
      <c r="D436" s="1">
        <v>10000</v>
      </c>
      <c r="E436" s="1"/>
      <c r="F436" s="1">
        <v>103.38</v>
      </c>
      <c r="G436" s="1">
        <v>10000</v>
      </c>
      <c r="H436" s="1">
        <f t="shared" si="10"/>
        <v>0</v>
      </c>
      <c r="I436" s="1"/>
      <c r="J436" s="1"/>
    </row>
    <row r="437" spans="2:10" x14ac:dyDescent="0.2">
      <c r="B437" s="1" t="s">
        <v>84</v>
      </c>
      <c r="C437" s="32">
        <v>1522</v>
      </c>
      <c r="D437" s="1">
        <v>12000</v>
      </c>
      <c r="E437" s="1"/>
      <c r="F437" s="1">
        <v>124.06</v>
      </c>
      <c r="G437" s="1">
        <v>12000</v>
      </c>
      <c r="H437" s="1">
        <f t="shared" si="10"/>
        <v>0</v>
      </c>
      <c r="I437" s="1"/>
      <c r="J437" s="1"/>
    </row>
    <row r="438" spans="2:10" x14ac:dyDescent="0.2">
      <c r="B438" s="1" t="s">
        <v>84</v>
      </c>
      <c r="C438" s="32">
        <v>4953</v>
      </c>
      <c r="D438" s="1">
        <v>6000</v>
      </c>
      <c r="E438" s="1"/>
      <c r="F438" s="1">
        <v>62.03</v>
      </c>
      <c r="G438" s="1">
        <v>6000</v>
      </c>
      <c r="H438" s="1">
        <f t="shared" si="10"/>
        <v>0</v>
      </c>
      <c r="I438" s="1"/>
      <c r="J438" s="1"/>
    </row>
    <row r="439" spans="2:10" x14ac:dyDescent="0.2">
      <c r="B439" s="1" t="s">
        <v>85</v>
      </c>
      <c r="C439" s="32" t="s">
        <v>73</v>
      </c>
      <c r="D439" s="1">
        <v>3500</v>
      </c>
      <c r="E439" s="1"/>
      <c r="F439" s="1">
        <v>36.18</v>
      </c>
      <c r="G439" s="1">
        <v>3500</v>
      </c>
      <c r="H439" s="1">
        <f t="shared" si="10"/>
        <v>0</v>
      </c>
      <c r="I439" s="1"/>
      <c r="J439" s="1"/>
    </row>
    <row r="440" spans="2:10" x14ac:dyDescent="0.2">
      <c r="B440" s="1" t="s">
        <v>85</v>
      </c>
      <c r="C440" s="32">
        <v>7991</v>
      </c>
      <c r="D440" s="1">
        <v>26000</v>
      </c>
      <c r="E440" s="1"/>
      <c r="F440" s="1">
        <v>264.66000000000003</v>
      </c>
      <c r="G440" s="1">
        <v>26000</v>
      </c>
      <c r="H440" s="1">
        <f t="shared" si="10"/>
        <v>0</v>
      </c>
      <c r="I440" s="1"/>
      <c r="J440" s="1"/>
    </row>
    <row r="441" spans="2:10" x14ac:dyDescent="0.2">
      <c r="B441" s="1" t="s">
        <v>85</v>
      </c>
      <c r="C441" s="32">
        <v>1425</v>
      </c>
      <c r="D441" s="1">
        <v>23000</v>
      </c>
      <c r="E441" s="1"/>
      <c r="F441" s="1">
        <v>163.13999999999999</v>
      </c>
      <c r="G441" s="1">
        <v>23000</v>
      </c>
      <c r="H441" s="1">
        <f t="shared" si="10"/>
        <v>0</v>
      </c>
      <c r="I441" s="1"/>
      <c r="J441" s="1"/>
    </row>
    <row r="442" spans="2:10" x14ac:dyDescent="0.2">
      <c r="B442" s="1" t="s">
        <v>85</v>
      </c>
      <c r="C442" s="32">
        <v>7707</v>
      </c>
      <c r="D442" s="1">
        <v>30000</v>
      </c>
      <c r="E442" s="1"/>
      <c r="F442" s="1">
        <v>306.63</v>
      </c>
      <c r="G442" s="1">
        <v>30000</v>
      </c>
      <c r="H442" s="1">
        <f t="shared" si="10"/>
        <v>0</v>
      </c>
      <c r="I442" s="1"/>
      <c r="J442" s="1"/>
    </row>
    <row r="443" spans="2:10" x14ac:dyDescent="0.2">
      <c r="B443" s="1" t="s">
        <v>85</v>
      </c>
      <c r="C443" s="32">
        <v>1330</v>
      </c>
      <c r="D443" s="1">
        <v>40000</v>
      </c>
      <c r="E443" s="1"/>
      <c r="F443" s="1">
        <v>413.52</v>
      </c>
      <c r="G443" s="1">
        <v>40000</v>
      </c>
      <c r="H443" s="1">
        <f t="shared" si="10"/>
        <v>0</v>
      </c>
      <c r="I443" s="1"/>
      <c r="J443" s="1"/>
    </row>
    <row r="444" spans="2:10" x14ac:dyDescent="0.2">
      <c r="B444" s="1" t="s">
        <v>85</v>
      </c>
      <c r="C444" s="32">
        <v>4920</v>
      </c>
      <c r="D444" s="1">
        <v>20000</v>
      </c>
      <c r="E444" s="1"/>
      <c r="F444" s="1">
        <v>228.29</v>
      </c>
      <c r="G444" s="1">
        <v>20000</v>
      </c>
      <c r="H444" s="1">
        <f t="shared" si="10"/>
        <v>0</v>
      </c>
      <c r="I444" s="1"/>
      <c r="J444" s="1"/>
    </row>
    <row r="445" spans="2:10" x14ac:dyDescent="0.2">
      <c r="B445" s="1" t="s">
        <v>85</v>
      </c>
      <c r="C445" s="32">
        <v>7362</v>
      </c>
      <c r="D445" s="1">
        <v>8000</v>
      </c>
      <c r="E445" s="1"/>
      <c r="F445" s="1">
        <v>82.7</v>
      </c>
      <c r="G445" s="1">
        <v>8000</v>
      </c>
      <c r="H445" s="1">
        <f t="shared" si="10"/>
        <v>0</v>
      </c>
      <c r="I445" s="1"/>
      <c r="J445" s="1"/>
    </row>
    <row r="446" spans="2:10" x14ac:dyDescent="0.2">
      <c r="B446" s="1" t="s">
        <v>85</v>
      </c>
      <c r="C446" s="32">
        <v>8227</v>
      </c>
      <c r="D446" s="1">
        <v>8000</v>
      </c>
      <c r="E446" s="1"/>
      <c r="F446" s="1">
        <v>82.7</v>
      </c>
      <c r="G446" s="1">
        <v>8000</v>
      </c>
      <c r="H446" s="1">
        <f t="shared" si="10"/>
        <v>0</v>
      </c>
      <c r="I446" s="1"/>
      <c r="J446" s="1"/>
    </row>
    <row r="447" spans="2:10" x14ac:dyDescent="0.2">
      <c r="B447" s="1" t="s">
        <v>85</v>
      </c>
      <c r="C447" s="32">
        <v>3222</v>
      </c>
      <c r="D447" s="1">
        <v>32000</v>
      </c>
      <c r="E447" s="1"/>
      <c r="F447" s="1">
        <v>330.82</v>
      </c>
      <c r="G447" s="1">
        <v>32000</v>
      </c>
      <c r="H447" s="1">
        <f t="shared" si="10"/>
        <v>0</v>
      </c>
      <c r="I447" s="1"/>
      <c r="J447" s="1"/>
    </row>
    <row r="448" spans="2:10" x14ac:dyDescent="0.2">
      <c r="B448" s="1" t="s">
        <v>87</v>
      </c>
      <c r="C448" s="32">
        <v>6000</v>
      </c>
      <c r="D448" s="1">
        <v>26000</v>
      </c>
      <c r="E448" s="1"/>
      <c r="F448" s="1">
        <v>209.35</v>
      </c>
      <c r="G448" s="1">
        <v>26000</v>
      </c>
      <c r="H448" s="1">
        <f t="shared" si="10"/>
        <v>0</v>
      </c>
      <c r="I448" s="1"/>
      <c r="J448" s="1"/>
    </row>
    <row r="449" spans="2:10" x14ac:dyDescent="0.2">
      <c r="B449" s="1" t="s">
        <v>87</v>
      </c>
      <c r="C449" s="32">
        <v>9253</v>
      </c>
      <c r="D449" s="1">
        <v>30000</v>
      </c>
      <c r="E449" s="1"/>
      <c r="F449" s="1">
        <v>310.14</v>
      </c>
      <c r="G449" s="1">
        <v>30000</v>
      </c>
      <c r="H449" s="1">
        <f t="shared" si="10"/>
        <v>0</v>
      </c>
      <c r="I449" s="1"/>
      <c r="J449" s="1"/>
    </row>
    <row r="450" spans="2:10" x14ac:dyDescent="0.2">
      <c r="B450" s="1" t="s">
        <v>87</v>
      </c>
      <c r="C450" s="32" t="s">
        <v>66</v>
      </c>
      <c r="D450" s="1">
        <v>400</v>
      </c>
      <c r="E450" s="1"/>
      <c r="F450" s="1">
        <v>3.8</v>
      </c>
      <c r="G450" s="1">
        <v>400</v>
      </c>
      <c r="H450" s="1">
        <f t="shared" si="10"/>
        <v>0</v>
      </c>
      <c r="I450" s="1"/>
      <c r="J450" s="1"/>
    </row>
    <row r="451" spans="2:10" x14ac:dyDescent="0.2">
      <c r="B451" s="1" t="s">
        <v>87</v>
      </c>
      <c r="C451" s="32" t="s">
        <v>61</v>
      </c>
      <c r="D451" s="1">
        <v>5000</v>
      </c>
      <c r="E451" s="1"/>
      <c r="F451" s="1">
        <v>51.69</v>
      </c>
      <c r="G451" s="1">
        <v>5000</v>
      </c>
      <c r="H451" s="1">
        <f t="shared" si="10"/>
        <v>0</v>
      </c>
      <c r="I451" s="1"/>
      <c r="J451" s="1"/>
    </row>
    <row r="452" spans="2:10" x14ac:dyDescent="0.2">
      <c r="B452" s="1" t="s">
        <v>87</v>
      </c>
      <c r="C452" s="32">
        <v>8743</v>
      </c>
      <c r="D452" s="1">
        <v>68000</v>
      </c>
      <c r="E452" s="1"/>
      <c r="F452" s="1">
        <v>653.78</v>
      </c>
      <c r="G452" s="1">
        <v>68000</v>
      </c>
      <c r="H452" s="1">
        <f t="shared" si="10"/>
        <v>0</v>
      </c>
      <c r="I452" s="1"/>
      <c r="J452" s="1"/>
    </row>
    <row r="453" spans="2:10" x14ac:dyDescent="0.2">
      <c r="B453" s="1" t="s">
        <v>87</v>
      </c>
      <c r="C453" s="32">
        <v>1380</v>
      </c>
      <c r="D453" s="1">
        <v>32000</v>
      </c>
      <c r="E453" s="1"/>
      <c r="F453" s="1">
        <v>300.01</v>
      </c>
      <c r="G453" s="1">
        <v>32000</v>
      </c>
      <c r="H453" s="1">
        <f t="shared" si="10"/>
        <v>0</v>
      </c>
      <c r="I453" s="1"/>
      <c r="J453" s="1"/>
    </row>
    <row r="454" spans="2:10" x14ac:dyDescent="0.2">
      <c r="B454" s="1" t="s">
        <v>87</v>
      </c>
      <c r="C454" s="32">
        <v>7909</v>
      </c>
      <c r="D454" s="1">
        <v>10000</v>
      </c>
      <c r="E454" s="1"/>
      <c r="F454" s="1">
        <v>103.38</v>
      </c>
      <c r="G454" s="1">
        <v>10000</v>
      </c>
      <c r="H454" s="1">
        <f t="shared" si="10"/>
        <v>0</v>
      </c>
      <c r="I454" s="1"/>
      <c r="J454" s="1"/>
    </row>
    <row r="455" spans="2:10" x14ac:dyDescent="0.2">
      <c r="B455" s="1" t="s">
        <v>87</v>
      </c>
      <c r="C455" s="32">
        <v>2151</v>
      </c>
      <c r="D455" s="1">
        <v>5000</v>
      </c>
      <c r="E455" s="1"/>
      <c r="F455" s="1">
        <v>51.69</v>
      </c>
      <c r="G455" s="1">
        <v>5000</v>
      </c>
      <c r="H455" s="1">
        <f t="shared" ref="H455:H518" si="11">D455-G455</f>
        <v>0</v>
      </c>
      <c r="I455" s="1"/>
      <c r="J455" s="1"/>
    </row>
    <row r="456" spans="2:10" x14ac:dyDescent="0.2">
      <c r="B456" s="1" t="s">
        <v>88</v>
      </c>
      <c r="C456" s="32">
        <v>926</v>
      </c>
      <c r="D456" s="1">
        <v>30000</v>
      </c>
      <c r="E456" s="1"/>
      <c r="F456" s="1">
        <v>196.1</v>
      </c>
      <c r="G456" s="1">
        <v>30000</v>
      </c>
      <c r="H456" s="1">
        <f t="shared" si="11"/>
        <v>0</v>
      </c>
      <c r="I456" s="1"/>
      <c r="J456" s="1"/>
    </row>
    <row r="457" spans="2:10" x14ac:dyDescent="0.2">
      <c r="B457" s="1" t="s">
        <v>88</v>
      </c>
      <c r="C457" s="32">
        <v>2207</v>
      </c>
      <c r="D457" s="1">
        <v>12000</v>
      </c>
      <c r="E457" s="1"/>
      <c r="F457" s="1">
        <v>114.03</v>
      </c>
      <c r="G457" s="1">
        <v>12000</v>
      </c>
      <c r="H457" s="1">
        <f t="shared" si="11"/>
        <v>0</v>
      </c>
      <c r="I457" s="1"/>
      <c r="J457" s="1"/>
    </row>
    <row r="458" spans="2:10" x14ac:dyDescent="0.2">
      <c r="B458" s="1" t="s">
        <v>89</v>
      </c>
      <c r="C458" s="32" t="s">
        <v>63</v>
      </c>
      <c r="D458" s="1">
        <v>3500</v>
      </c>
      <c r="E458" s="1"/>
      <c r="F458" s="1">
        <v>36.18</v>
      </c>
      <c r="G458" s="1">
        <v>3500</v>
      </c>
      <c r="H458" s="1">
        <f t="shared" si="11"/>
        <v>0</v>
      </c>
      <c r="I458" s="1"/>
      <c r="J458" s="1"/>
    </row>
    <row r="459" spans="2:10" x14ac:dyDescent="0.2">
      <c r="B459" s="1" t="s">
        <v>89</v>
      </c>
      <c r="C459" s="32" t="s">
        <v>61</v>
      </c>
      <c r="D459" s="1">
        <v>5000</v>
      </c>
      <c r="E459" s="1"/>
      <c r="F459" s="1">
        <v>51.69</v>
      </c>
      <c r="G459" s="1">
        <v>5000</v>
      </c>
      <c r="H459" s="1">
        <f t="shared" si="11"/>
        <v>0</v>
      </c>
      <c r="I459" s="1"/>
      <c r="J459" s="1"/>
    </row>
    <row r="460" spans="2:10" x14ac:dyDescent="0.2">
      <c r="B460" s="1" t="s">
        <v>89</v>
      </c>
      <c r="C460" s="32">
        <v>3625</v>
      </c>
      <c r="D460" s="1">
        <v>18000</v>
      </c>
      <c r="E460" s="1"/>
      <c r="F460" s="1">
        <v>186.08</v>
      </c>
      <c r="G460" s="1">
        <v>18000</v>
      </c>
      <c r="H460" s="1">
        <f t="shared" si="11"/>
        <v>0</v>
      </c>
      <c r="I460" s="1"/>
      <c r="J460" s="1"/>
    </row>
    <row r="461" spans="2:10" x14ac:dyDescent="0.2">
      <c r="B461" s="1" t="s">
        <v>89</v>
      </c>
      <c r="C461" s="32">
        <v>2522</v>
      </c>
      <c r="D461" s="1">
        <v>34000</v>
      </c>
      <c r="E461" s="1"/>
      <c r="F461" s="1">
        <v>351.49</v>
      </c>
      <c r="G461" s="1">
        <v>34000</v>
      </c>
      <c r="H461" s="1">
        <f t="shared" si="11"/>
        <v>0</v>
      </c>
      <c r="I461" s="1"/>
      <c r="J461" s="1"/>
    </row>
    <row r="462" spans="2:10" x14ac:dyDescent="0.2">
      <c r="B462" s="1" t="s">
        <v>89</v>
      </c>
      <c r="C462" s="32">
        <v>8208</v>
      </c>
      <c r="D462" s="1">
        <v>15000</v>
      </c>
      <c r="E462" s="1"/>
      <c r="F462" s="1">
        <v>155.07</v>
      </c>
      <c r="G462" s="1">
        <v>15000</v>
      </c>
      <c r="H462" s="1">
        <f t="shared" si="11"/>
        <v>0</v>
      </c>
      <c r="I462" s="1"/>
      <c r="J462" s="1"/>
    </row>
    <row r="463" spans="2:10" x14ac:dyDescent="0.2">
      <c r="B463" s="1" t="s">
        <v>89</v>
      </c>
      <c r="C463" s="32">
        <v>5865</v>
      </c>
      <c r="D463" s="1">
        <v>32000</v>
      </c>
      <c r="E463" s="1"/>
      <c r="F463" s="1">
        <v>330.82</v>
      </c>
      <c r="G463" s="1">
        <v>32000</v>
      </c>
      <c r="H463" s="1">
        <f t="shared" si="11"/>
        <v>0</v>
      </c>
      <c r="I463" s="1"/>
      <c r="J463" s="1"/>
    </row>
    <row r="464" spans="2:10" x14ac:dyDescent="0.2">
      <c r="B464" s="1" t="s">
        <v>89</v>
      </c>
      <c r="C464" s="32">
        <v>2943</v>
      </c>
      <c r="D464" s="1">
        <v>34000</v>
      </c>
      <c r="E464" s="1"/>
      <c r="F464" s="1">
        <v>351.49</v>
      </c>
      <c r="G464" s="1">
        <v>34000</v>
      </c>
      <c r="H464" s="1">
        <f t="shared" si="11"/>
        <v>0</v>
      </c>
      <c r="I464" s="1"/>
      <c r="J464" s="1"/>
    </row>
    <row r="465" spans="2:10" x14ac:dyDescent="0.2">
      <c r="B465" s="1" t="s">
        <v>89</v>
      </c>
      <c r="C465" s="32">
        <v>9090</v>
      </c>
      <c r="D465" s="1">
        <v>12000</v>
      </c>
      <c r="E465" s="1"/>
      <c r="F465" s="1">
        <v>124.06</v>
      </c>
      <c r="G465" s="1">
        <v>12000</v>
      </c>
      <c r="H465" s="1">
        <f t="shared" si="11"/>
        <v>0</v>
      </c>
      <c r="I465" s="1"/>
      <c r="J465" s="1"/>
    </row>
    <row r="466" spans="2:10" x14ac:dyDescent="0.2">
      <c r="B466" s="1" t="s">
        <v>89</v>
      </c>
      <c r="C466" s="32">
        <v>9068</v>
      </c>
      <c r="D466" s="1">
        <v>50000</v>
      </c>
      <c r="E466" s="1"/>
      <c r="F466" s="1">
        <v>516.9</v>
      </c>
      <c r="G466" s="1">
        <v>50000</v>
      </c>
      <c r="H466" s="1">
        <f t="shared" si="11"/>
        <v>0</v>
      </c>
      <c r="I466" s="1"/>
      <c r="J466" s="1"/>
    </row>
    <row r="467" spans="2:10" x14ac:dyDescent="0.2">
      <c r="B467" s="1" t="s">
        <v>89</v>
      </c>
      <c r="C467" s="32">
        <v>2189</v>
      </c>
      <c r="D467" s="1">
        <v>10000</v>
      </c>
      <c r="E467" s="1"/>
      <c r="F467" s="1">
        <v>103.38</v>
      </c>
      <c r="G467" s="1">
        <v>10000</v>
      </c>
      <c r="H467" s="1">
        <f t="shared" si="11"/>
        <v>0</v>
      </c>
      <c r="I467" s="1"/>
      <c r="J467" s="1"/>
    </row>
    <row r="468" spans="2:10" ht="15" x14ac:dyDescent="0.25">
      <c r="B468" s="1" t="s">
        <v>90</v>
      </c>
      <c r="C468" s="32">
        <v>145</v>
      </c>
      <c r="D468" s="1">
        <v>35000</v>
      </c>
      <c r="E468" s="1"/>
      <c r="F468" s="1">
        <v>361.87</v>
      </c>
      <c r="G468" s="1">
        <v>35000</v>
      </c>
      <c r="H468" s="5">
        <f t="shared" si="11"/>
        <v>0</v>
      </c>
      <c r="I468" s="30"/>
      <c r="J468" s="1"/>
    </row>
    <row r="469" spans="2:10" ht="15" x14ac:dyDescent="0.25">
      <c r="B469" s="1" t="s">
        <v>90</v>
      </c>
      <c r="C469" s="32">
        <v>1450</v>
      </c>
      <c r="D469" s="1">
        <v>13000</v>
      </c>
      <c r="E469" s="1"/>
      <c r="F469" s="1">
        <v>134.38999999999999</v>
      </c>
      <c r="G469" s="1">
        <v>13000</v>
      </c>
      <c r="H469" s="5">
        <f t="shared" si="11"/>
        <v>0</v>
      </c>
      <c r="I469" s="30"/>
      <c r="J469" s="1"/>
    </row>
    <row r="470" spans="2:10" ht="15" x14ac:dyDescent="0.25">
      <c r="B470" s="1" t="s">
        <v>90</v>
      </c>
      <c r="C470" s="32">
        <v>4467</v>
      </c>
      <c r="D470" s="1">
        <v>13000</v>
      </c>
      <c r="E470" s="1"/>
      <c r="F470" s="1">
        <v>134.38999999999999</v>
      </c>
      <c r="G470" s="1">
        <v>13000</v>
      </c>
      <c r="H470" s="5">
        <f t="shared" si="11"/>
        <v>0</v>
      </c>
      <c r="I470" s="30"/>
      <c r="J470" s="1"/>
    </row>
    <row r="471" spans="2:10" ht="15" x14ac:dyDescent="0.25">
      <c r="B471" s="1" t="s">
        <v>90</v>
      </c>
      <c r="C471" s="32">
        <v>4639</v>
      </c>
      <c r="D471" s="1">
        <v>26000</v>
      </c>
      <c r="E471" s="1"/>
      <c r="F471" s="1">
        <v>273.67</v>
      </c>
      <c r="G471" s="1">
        <v>26000</v>
      </c>
      <c r="H471" s="5">
        <f t="shared" si="11"/>
        <v>0</v>
      </c>
      <c r="I471" s="30"/>
      <c r="J471" s="1"/>
    </row>
    <row r="472" spans="2:10" ht="15" x14ac:dyDescent="0.25">
      <c r="B472" s="1" t="s">
        <v>90</v>
      </c>
      <c r="C472" s="32">
        <v>1992</v>
      </c>
      <c r="D472" s="1">
        <v>30000</v>
      </c>
      <c r="E472" s="1"/>
      <c r="F472" s="1">
        <v>304.97000000000003</v>
      </c>
      <c r="G472" s="1">
        <v>30000</v>
      </c>
      <c r="H472" s="5">
        <f t="shared" si="11"/>
        <v>0</v>
      </c>
      <c r="I472" s="30"/>
      <c r="J472" s="1"/>
    </row>
    <row r="473" spans="2:10" ht="15" x14ac:dyDescent="0.25">
      <c r="B473" s="1" t="s">
        <v>90</v>
      </c>
      <c r="C473" s="32">
        <v>5028</v>
      </c>
      <c r="D473" s="1">
        <v>33000</v>
      </c>
      <c r="E473" s="1"/>
      <c r="F473" s="1">
        <v>356.66</v>
      </c>
      <c r="G473" s="1">
        <v>33000</v>
      </c>
      <c r="H473" s="5">
        <f t="shared" si="11"/>
        <v>0</v>
      </c>
      <c r="I473" s="30"/>
      <c r="J473" s="1"/>
    </row>
    <row r="474" spans="2:10" ht="15" x14ac:dyDescent="0.25">
      <c r="B474" s="1" t="s">
        <v>90</v>
      </c>
      <c r="C474" s="32">
        <v>6528</v>
      </c>
      <c r="D474" s="1">
        <v>27000</v>
      </c>
      <c r="E474" s="1"/>
      <c r="F474" s="1">
        <v>279.12</v>
      </c>
      <c r="G474" s="1">
        <v>27000</v>
      </c>
      <c r="H474" s="5">
        <f t="shared" si="11"/>
        <v>0</v>
      </c>
      <c r="I474" s="30"/>
      <c r="J474" s="1"/>
    </row>
    <row r="475" spans="2:10" ht="15" x14ac:dyDescent="0.25">
      <c r="B475" s="1" t="s">
        <v>90</v>
      </c>
      <c r="C475" s="32">
        <v>736</v>
      </c>
      <c r="D475" s="1">
        <v>10000</v>
      </c>
      <c r="E475" s="1"/>
      <c r="F475" s="1">
        <v>103.38</v>
      </c>
      <c r="G475" s="1">
        <v>10000</v>
      </c>
      <c r="H475" s="5">
        <f t="shared" si="11"/>
        <v>0</v>
      </c>
      <c r="I475" s="30"/>
      <c r="J475" s="1"/>
    </row>
    <row r="476" spans="2:10" ht="15" x14ac:dyDescent="0.25">
      <c r="B476" s="1" t="s">
        <v>90</v>
      </c>
      <c r="C476" s="32">
        <v>65</v>
      </c>
      <c r="D476" s="1">
        <v>5000</v>
      </c>
      <c r="E476" s="1"/>
      <c r="F476" s="1">
        <v>51.69</v>
      </c>
      <c r="G476" s="1">
        <v>5000</v>
      </c>
      <c r="H476" s="5">
        <f t="shared" si="11"/>
        <v>0</v>
      </c>
      <c r="I476" s="30"/>
      <c r="J476" s="1"/>
    </row>
    <row r="477" spans="2:10" ht="15" x14ac:dyDescent="0.25">
      <c r="B477" s="1" t="s">
        <v>90</v>
      </c>
      <c r="C477" s="32">
        <v>3986</v>
      </c>
      <c r="D477" s="1">
        <v>5000</v>
      </c>
      <c r="E477" s="1"/>
      <c r="F477" s="1">
        <v>51.69</v>
      </c>
      <c r="G477" s="1">
        <v>5000</v>
      </c>
      <c r="H477" s="5">
        <f t="shared" si="11"/>
        <v>0</v>
      </c>
      <c r="I477" s="30"/>
      <c r="J477" s="1"/>
    </row>
    <row r="478" spans="2:10" ht="15" x14ac:dyDescent="0.25">
      <c r="B478" s="1" t="s">
        <v>90</v>
      </c>
      <c r="C478" s="32">
        <v>4579</v>
      </c>
      <c r="D478" s="1">
        <v>15000</v>
      </c>
      <c r="E478" s="1"/>
      <c r="F478" s="1">
        <v>155.07</v>
      </c>
      <c r="G478" s="1">
        <v>15000</v>
      </c>
      <c r="H478" s="5">
        <f t="shared" si="11"/>
        <v>0</v>
      </c>
      <c r="I478" s="30"/>
      <c r="J478" s="1"/>
    </row>
    <row r="479" spans="2:10" ht="15" x14ac:dyDescent="0.25">
      <c r="B479" s="1" t="s">
        <v>92</v>
      </c>
      <c r="C479" s="32" t="s">
        <v>63</v>
      </c>
      <c r="D479" s="1">
        <v>3500</v>
      </c>
      <c r="E479" s="1"/>
      <c r="F479" s="1">
        <v>36.18</v>
      </c>
      <c r="G479" s="1">
        <v>3500</v>
      </c>
      <c r="H479" s="5">
        <f t="shared" si="11"/>
        <v>0</v>
      </c>
      <c r="I479" s="30"/>
      <c r="J479" s="1"/>
    </row>
    <row r="480" spans="2:10" ht="15" x14ac:dyDescent="0.25">
      <c r="B480" s="1" t="s">
        <v>92</v>
      </c>
      <c r="C480" s="32" t="s">
        <v>61</v>
      </c>
      <c r="D480" s="1">
        <v>5000</v>
      </c>
      <c r="E480" s="1"/>
      <c r="F480" s="1">
        <v>51.69</v>
      </c>
      <c r="G480" s="1">
        <v>5000</v>
      </c>
      <c r="H480" s="5">
        <f t="shared" si="11"/>
        <v>0</v>
      </c>
      <c r="I480" s="30"/>
      <c r="J480" s="1"/>
    </row>
    <row r="481" spans="2:10" ht="15" x14ac:dyDescent="0.25">
      <c r="B481" s="1" t="s">
        <v>92</v>
      </c>
      <c r="C481" s="32" t="s">
        <v>66</v>
      </c>
      <c r="D481" s="1">
        <v>400</v>
      </c>
      <c r="E481" s="1"/>
      <c r="F481" s="1">
        <v>3.8</v>
      </c>
      <c r="G481" s="1">
        <v>400</v>
      </c>
      <c r="H481" s="5">
        <f t="shared" si="11"/>
        <v>0</v>
      </c>
      <c r="I481" s="30"/>
      <c r="J481" s="1"/>
    </row>
    <row r="482" spans="2:10" ht="15" x14ac:dyDescent="0.25">
      <c r="B482" s="1" t="s">
        <v>92</v>
      </c>
      <c r="C482" s="32">
        <v>9992</v>
      </c>
      <c r="D482" s="1">
        <v>25000</v>
      </c>
      <c r="E482" s="1"/>
      <c r="F482" s="1">
        <v>258.43</v>
      </c>
      <c r="G482" s="1">
        <v>25000</v>
      </c>
      <c r="H482" s="5">
        <f t="shared" si="11"/>
        <v>0</v>
      </c>
      <c r="I482" s="30"/>
      <c r="J482" s="1"/>
    </row>
    <row r="483" spans="2:10" ht="15" x14ac:dyDescent="0.25">
      <c r="B483" s="1" t="s">
        <v>92</v>
      </c>
      <c r="C483" s="32">
        <v>2943</v>
      </c>
      <c r="D483" s="1">
        <v>32000</v>
      </c>
      <c r="E483" s="1"/>
      <c r="F483" s="1">
        <v>330.82</v>
      </c>
      <c r="G483" s="1">
        <v>32000</v>
      </c>
      <c r="H483" s="5">
        <f t="shared" si="11"/>
        <v>0</v>
      </c>
      <c r="I483" s="30"/>
      <c r="J483" s="1"/>
    </row>
    <row r="484" spans="2:10" ht="15" x14ac:dyDescent="0.25">
      <c r="B484" s="1" t="s">
        <v>92</v>
      </c>
      <c r="C484" s="32">
        <v>5027</v>
      </c>
      <c r="D484" s="1">
        <v>22000</v>
      </c>
      <c r="E484" s="1"/>
      <c r="F484" s="1">
        <v>222.3</v>
      </c>
      <c r="G484" s="1">
        <v>22000</v>
      </c>
      <c r="H484" s="5">
        <f t="shared" si="11"/>
        <v>0</v>
      </c>
      <c r="I484" s="30"/>
      <c r="J484" s="1"/>
    </row>
    <row r="485" spans="2:10" ht="15" x14ac:dyDescent="0.25">
      <c r="B485" s="1" t="s">
        <v>92</v>
      </c>
      <c r="C485" s="32">
        <v>8790</v>
      </c>
      <c r="D485" s="1">
        <v>10000</v>
      </c>
      <c r="E485" s="1"/>
      <c r="F485" s="1">
        <v>103.38</v>
      </c>
      <c r="G485" s="1">
        <v>10000</v>
      </c>
      <c r="H485" s="5">
        <f t="shared" si="11"/>
        <v>0</v>
      </c>
      <c r="I485" s="30"/>
      <c r="J485" s="1"/>
    </row>
    <row r="486" spans="2:10" ht="15" x14ac:dyDescent="0.25">
      <c r="B486" s="1" t="s">
        <v>92</v>
      </c>
      <c r="C486" s="32">
        <v>6901</v>
      </c>
      <c r="D486" s="1">
        <v>28000</v>
      </c>
      <c r="E486" s="1"/>
      <c r="F486" s="1">
        <v>239.95</v>
      </c>
      <c r="G486" s="1">
        <v>28000</v>
      </c>
      <c r="H486" s="5">
        <f t="shared" si="11"/>
        <v>0</v>
      </c>
      <c r="I486" s="30"/>
      <c r="J486" s="1"/>
    </row>
    <row r="487" spans="2:10" ht="15" x14ac:dyDescent="0.25">
      <c r="B487" s="1" t="s">
        <v>92</v>
      </c>
      <c r="C487" s="32">
        <v>5997</v>
      </c>
      <c r="D487" s="1">
        <v>30000</v>
      </c>
      <c r="E487" s="1"/>
      <c r="F487" s="1">
        <v>310.14</v>
      </c>
      <c r="G487" s="1">
        <v>30000</v>
      </c>
      <c r="H487" s="5">
        <f t="shared" si="11"/>
        <v>0</v>
      </c>
      <c r="I487" s="30"/>
      <c r="J487" s="1"/>
    </row>
    <row r="488" spans="2:10" ht="15" x14ac:dyDescent="0.25">
      <c r="B488" s="1" t="s">
        <v>94</v>
      </c>
      <c r="C488" s="32">
        <v>302</v>
      </c>
      <c r="D488" s="1">
        <v>33000</v>
      </c>
      <c r="E488" s="1"/>
      <c r="F488" s="1">
        <v>375.34</v>
      </c>
      <c r="G488" s="1">
        <v>33000</v>
      </c>
      <c r="H488" s="5">
        <f t="shared" si="11"/>
        <v>0</v>
      </c>
      <c r="I488" s="30"/>
      <c r="J488" s="1"/>
    </row>
    <row r="489" spans="2:10" ht="15" x14ac:dyDescent="0.25">
      <c r="B489" s="1" t="s">
        <v>94</v>
      </c>
      <c r="C489" s="32">
        <v>1828</v>
      </c>
      <c r="D489" s="1">
        <v>30000</v>
      </c>
      <c r="E489" s="1"/>
      <c r="F489" s="1">
        <v>310.14</v>
      </c>
      <c r="G489" s="1">
        <v>30000</v>
      </c>
      <c r="H489" s="5">
        <f t="shared" si="11"/>
        <v>0</v>
      </c>
      <c r="I489" s="30"/>
      <c r="J489" s="1"/>
    </row>
    <row r="490" spans="2:10" ht="15" x14ac:dyDescent="0.25">
      <c r="B490" s="1" t="s">
        <v>94</v>
      </c>
      <c r="C490" s="32">
        <v>2751</v>
      </c>
      <c r="D490" s="1">
        <v>35000</v>
      </c>
      <c r="E490" s="1"/>
      <c r="F490" s="1">
        <v>361.84</v>
      </c>
      <c r="G490" s="1">
        <v>35000</v>
      </c>
      <c r="H490" s="5">
        <f t="shared" si="11"/>
        <v>0</v>
      </c>
      <c r="I490" s="30"/>
      <c r="J490" s="1"/>
    </row>
    <row r="491" spans="2:10" ht="15" x14ac:dyDescent="0.25">
      <c r="B491" s="1" t="s">
        <v>94</v>
      </c>
      <c r="C491" s="32">
        <v>1177</v>
      </c>
      <c r="D491" s="1">
        <v>7000</v>
      </c>
      <c r="E491" s="1"/>
      <c r="F491" s="1">
        <v>76.36</v>
      </c>
      <c r="G491" s="1">
        <v>7000</v>
      </c>
      <c r="H491" s="5">
        <f t="shared" si="11"/>
        <v>0</v>
      </c>
      <c r="I491" s="89"/>
      <c r="J491" s="1"/>
    </row>
    <row r="492" spans="2:10" x14ac:dyDescent="0.2">
      <c r="B492" s="1" t="s">
        <v>94</v>
      </c>
      <c r="C492" s="32" t="s">
        <v>61</v>
      </c>
      <c r="D492" s="1">
        <v>4500</v>
      </c>
      <c r="E492" s="1"/>
      <c r="F492" s="1">
        <v>46.52</v>
      </c>
      <c r="G492" s="1">
        <v>4500</v>
      </c>
      <c r="H492" s="5">
        <f t="shared" si="11"/>
        <v>0</v>
      </c>
      <c r="I492" s="1"/>
      <c r="J492" s="1"/>
    </row>
    <row r="493" spans="2:10" x14ac:dyDescent="0.2">
      <c r="B493" s="1" t="s">
        <v>94</v>
      </c>
      <c r="C493" s="32">
        <v>1270</v>
      </c>
      <c r="D493" s="1">
        <v>6000</v>
      </c>
      <c r="E493" s="1"/>
      <c r="F493" s="1">
        <v>62.02</v>
      </c>
      <c r="G493" s="1">
        <v>6000</v>
      </c>
      <c r="H493" s="5">
        <f t="shared" si="11"/>
        <v>0</v>
      </c>
      <c r="I493" s="1"/>
      <c r="J493" s="1"/>
    </row>
    <row r="494" spans="2:10" x14ac:dyDescent="0.2">
      <c r="B494" s="1" t="s">
        <v>94</v>
      </c>
      <c r="C494" s="32">
        <v>8991</v>
      </c>
      <c r="D494" s="1">
        <v>14000</v>
      </c>
      <c r="E494" s="1"/>
      <c r="F494" s="1">
        <v>144.72999999999999</v>
      </c>
      <c r="G494" s="1">
        <v>14000</v>
      </c>
      <c r="H494" s="5">
        <f t="shared" si="11"/>
        <v>0</v>
      </c>
      <c r="I494" s="1"/>
      <c r="J494" s="1"/>
    </row>
    <row r="495" spans="2:10" x14ac:dyDescent="0.2">
      <c r="B495" s="1" t="s">
        <v>94</v>
      </c>
      <c r="C495" s="32">
        <v>5268</v>
      </c>
      <c r="D495" s="1">
        <v>25000</v>
      </c>
      <c r="E495" s="1"/>
      <c r="F495" s="1">
        <v>258.45</v>
      </c>
      <c r="G495" s="1">
        <v>25000</v>
      </c>
      <c r="H495" s="5">
        <f t="shared" si="11"/>
        <v>0</v>
      </c>
      <c r="I495" s="1"/>
      <c r="J495" s="1"/>
    </row>
    <row r="496" spans="2:10" x14ac:dyDescent="0.2">
      <c r="B496" s="1" t="s">
        <v>94</v>
      </c>
      <c r="C496" s="32">
        <v>7568</v>
      </c>
      <c r="D496" s="1">
        <v>25000</v>
      </c>
      <c r="E496" s="1"/>
      <c r="F496" s="1">
        <v>256.45</v>
      </c>
      <c r="G496" s="1">
        <v>25000</v>
      </c>
      <c r="H496" s="5">
        <f t="shared" si="11"/>
        <v>0</v>
      </c>
      <c r="I496" s="1"/>
      <c r="J496" s="1"/>
    </row>
    <row r="497" spans="2:10" x14ac:dyDescent="0.2">
      <c r="B497" s="1" t="s">
        <v>94</v>
      </c>
      <c r="C497" s="32">
        <v>1108</v>
      </c>
      <c r="D497" s="1">
        <v>12000</v>
      </c>
      <c r="E497" s="1"/>
      <c r="F497" s="1">
        <v>124.06</v>
      </c>
      <c r="G497" s="1">
        <v>12000</v>
      </c>
      <c r="H497" s="5">
        <f t="shared" si="11"/>
        <v>0</v>
      </c>
      <c r="I497" s="1"/>
      <c r="J497" s="1"/>
    </row>
    <row r="498" spans="2:10" x14ac:dyDescent="0.2">
      <c r="B498" s="1" t="s">
        <v>96</v>
      </c>
      <c r="C498" s="32">
        <v>5601</v>
      </c>
      <c r="D498" s="1">
        <v>22000</v>
      </c>
      <c r="E498" s="1"/>
      <c r="F498" s="1"/>
      <c r="G498" s="1">
        <v>22000</v>
      </c>
      <c r="H498" s="5">
        <f t="shared" si="11"/>
        <v>0</v>
      </c>
      <c r="I498" s="1"/>
      <c r="J498" s="1"/>
    </row>
    <row r="499" spans="2:10" x14ac:dyDescent="0.2">
      <c r="B499" s="1" t="s">
        <v>96</v>
      </c>
      <c r="C499" s="32">
        <v>2878</v>
      </c>
      <c r="D499" s="1">
        <v>10000</v>
      </c>
      <c r="E499" s="1"/>
      <c r="F499" s="1">
        <v>103.38</v>
      </c>
      <c r="G499" s="1">
        <v>10000</v>
      </c>
      <c r="H499" s="5">
        <f t="shared" si="11"/>
        <v>0</v>
      </c>
      <c r="I499" s="1"/>
      <c r="J499" s="1"/>
    </row>
    <row r="500" spans="2:10" x14ac:dyDescent="0.2">
      <c r="B500" s="1" t="s">
        <v>96</v>
      </c>
      <c r="C500" s="32">
        <v>8733</v>
      </c>
      <c r="D500" s="1">
        <v>15000</v>
      </c>
      <c r="E500" s="1"/>
      <c r="F500" s="1">
        <v>155.07</v>
      </c>
      <c r="G500" s="1">
        <v>15000</v>
      </c>
      <c r="H500" s="5">
        <f t="shared" si="11"/>
        <v>0</v>
      </c>
      <c r="I500" s="1"/>
      <c r="J500" s="1"/>
    </row>
    <row r="501" spans="2:10" x14ac:dyDescent="0.2">
      <c r="B501" s="1" t="s">
        <v>96</v>
      </c>
      <c r="C501" s="32">
        <v>2144</v>
      </c>
      <c r="D501" s="1">
        <v>20000</v>
      </c>
      <c r="E501" s="1"/>
      <c r="F501" s="1">
        <v>206.76</v>
      </c>
      <c r="G501" s="1">
        <v>20000</v>
      </c>
      <c r="H501" s="5">
        <f t="shared" si="11"/>
        <v>0</v>
      </c>
      <c r="I501" s="1"/>
      <c r="J501" s="1"/>
    </row>
    <row r="502" spans="2:10" x14ac:dyDescent="0.2">
      <c r="B502" s="1" t="s">
        <v>96</v>
      </c>
      <c r="C502" s="32">
        <v>5237</v>
      </c>
      <c r="D502" s="1">
        <v>35000</v>
      </c>
      <c r="E502" s="1"/>
      <c r="F502" s="1">
        <v>361.83</v>
      </c>
      <c r="G502" s="1">
        <v>35000</v>
      </c>
      <c r="H502" s="5">
        <f t="shared" si="11"/>
        <v>0</v>
      </c>
      <c r="I502" s="1"/>
      <c r="J502" s="1"/>
    </row>
    <row r="503" spans="2:10" x14ac:dyDescent="0.2">
      <c r="B503" s="1" t="s">
        <v>96</v>
      </c>
      <c r="C503" s="32">
        <v>3124</v>
      </c>
      <c r="D503" s="1">
        <v>35000</v>
      </c>
      <c r="E503" s="1"/>
      <c r="F503" s="1">
        <v>361.83</v>
      </c>
      <c r="G503" s="1">
        <v>35000</v>
      </c>
      <c r="H503" s="5">
        <f t="shared" si="11"/>
        <v>0</v>
      </c>
      <c r="I503" s="1"/>
      <c r="J503" s="1"/>
    </row>
    <row r="504" spans="2:10" x14ac:dyDescent="0.2">
      <c r="B504" s="1" t="s">
        <v>100</v>
      </c>
      <c r="C504" s="32" t="s">
        <v>73</v>
      </c>
      <c r="D504" s="1">
        <v>3500</v>
      </c>
      <c r="E504" s="1"/>
      <c r="F504" s="1">
        <v>36.18</v>
      </c>
      <c r="G504" s="1">
        <v>3500</v>
      </c>
      <c r="H504" s="5">
        <f t="shared" si="11"/>
        <v>0</v>
      </c>
      <c r="I504" s="1"/>
      <c r="J504" s="1"/>
    </row>
    <row r="505" spans="2:10" x14ac:dyDescent="0.2">
      <c r="B505" s="1" t="s">
        <v>100</v>
      </c>
      <c r="C505" s="32">
        <v>6373</v>
      </c>
      <c r="D505" s="1">
        <v>18000</v>
      </c>
      <c r="E505" s="1"/>
      <c r="F505" s="1">
        <v>186.08</v>
      </c>
      <c r="G505" s="1">
        <v>18000</v>
      </c>
      <c r="H505" s="5">
        <f t="shared" si="11"/>
        <v>0</v>
      </c>
      <c r="I505" s="1"/>
      <c r="J505" s="1"/>
    </row>
    <row r="506" spans="2:10" x14ac:dyDescent="0.2">
      <c r="B506" s="1" t="s">
        <v>102</v>
      </c>
      <c r="C506" s="32">
        <v>7817</v>
      </c>
      <c r="D506" s="1">
        <v>33000</v>
      </c>
      <c r="E506" s="1"/>
      <c r="F506" s="1">
        <v>341.16</v>
      </c>
      <c r="G506" s="1">
        <v>33000</v>
      </c>
      <c r="H506" s="5">
        <f t="shared" si="11"/>
        <v>0</v>
      </c>
      <c r="I506" s="1"/>
      <c r="J506" s="1"/>
    </row>
    <row r="507" spans="2:10" x14ac:dyDescent="0.2">
      <c r="B507" s="1" t="s">
        <v>102</v>
      </c>
      <c r="C507" s="32">
        <v>711</v>
      </c>
      <c r="D507" s="1">
        <v>35000</v>
      </c>
      <c r="E507" s="1"/>
      <c r="F507" s="1">
        <v>361.53</v>
      </c>
      <c r="G507" s="1">
        <v>35000</v>
      </c>
      <c r="H507" s="5">
        <f t="shared" si="11"/>
        <v>0</v>
      </c>
      <c r="I507" s="1"/>
      <c r="J507" s="1"/>
    </row>
    <row r="508" spans="2:10" x14ac:dyDescent="0.2">
      <c r="B508" s="1" t="s">
        <v>102</v>
      </c>
      <c r="C508" s="32" t="s">
        <v>73</v>
      </c>
      <c r="D508" s="1">
        <v>4500</v>
      </c>
      <c r="E508" s="1"/>
      <c r="F508" s="1">
        <v>46.58</v>
      </c>
      <c r="G508" s="1">
        <v>4500</v>
      </c>
      <c r="H508" s="5">
        <f t="shared" si="11"/>
        <v>0</v>
      </c>
      <c r="I508" s="1"/>
      <c r="J508" s="1"/>
    </row>
    <row r="509" spans="2:10" x14ac:dyDescent="0.2">
      <c r="B509" s="1" t="s">
        <v>102</v>
      </c>
      <c r="C509" s="32">
        <v>3150</v>
      </c>
      <c r="D509" s="1">
        <v>10000</v>
      </c>
      <c r="E509" s="1"/>
      <c r="F509" s="1">
        <v>103.88</v>
      </c>
      <c r="G509" s="1">
        <v>10000</v>
      </c>
      <c r="H509" s="5">
        <f t="shared" si="11"/>
        <v>0</v>
      </c>
      <c r="I509" s="1"/>
      <c r="J509" s="1"/>
    </row>
    <row r="510" spans="2:10" x14ac:dyDescent="0.2">
      <c r="B510" s="1" t="s">
        <v>102</v>
      </c>
      <c r="C510" s="32">
        <v>2034</v>
      </c>
      <c r="D510" s="1">
        <v>30000</v>
      </c>
      <c r="E510" s="1"/>
      <c r="F510" s="1">
        <v>310.14</v>
      </c>
      <c r="G510" s="1">
        <v>30000</v>
      </c>
      <c r="H510" s="5">
        <f t="shared" si="11"/>
        <v>0</v>
      </c>
      <c r="I510" s="1"/>
      <c r="J510" s="1"/>
    </row>
    <row r="511" spans="2:10" x14ac:dyDescent="0.2">
      <c r="B511" s="1" t="s">
        <v>104</v>
      </c>
      <c r="C511" s="32" t="s">
        <v>66</v>
      </c>
      <c r="D511" s="1">
        <v>400</v>
      </c>
      <c r="E511" s="1"/>
      <c r="F511" s="1">
        <v>3.8</v>
      </c>
      <c r="G511" s="1">
        <v>400</v>
      </c>
      <c r="H511" s="5">
        <f t="shared" si="11"/>
        <v>0</v>
      </c>
      <c r="I511" s="1"/>
      <c r="J511" s="1"/>
    </row>
    <row r="512" spans="2:10" x14ac:dyDescent="0.2">
      <c r="B512" s="1" t="s">
        <v>104</v>
      </c>
      <c r="C512" s="32">
        <v>1062</v>
      </c>
      <c r="D512" s="1">
        <v>32000</v>
      </c>
      <c r="E512" s="1"/>
      <c r="F512" s="1">
        <v>330.82</v>
      </c>
      <c r="G512" s="1">
        <v>32000</v>
      </c>
      <c r="H512" s="5">
        <f t="shared" si="11"/>
        <v>0</v>
      </c>
      <c r="I512" s="1"/>
      <c r="J512" s="1"/>
    </row>
    <row r="513" spans="2:10" x14ac:dyDescent="0.2">
      <c r="B513" s="1" t="s">
        <v>105</v>
      </c>
      <c r="C513" s="32">
        <v>3505</v>
      </c>
      <c r="D513" s="1">
        <v>30000</v>
      </c>
      <c r="E513" s="1"/>
      <c r="F513" s="1">
        <v>310.14</v>
      </c>
      <c r="G513" s="1">
        <v>30000</v>
      </c>
      <c r="H513" s="5">
        <f t="shared" si="11"/>
        <v>0</v>
      </c>
      <c r="I513" s="1"/>
      <c r="J513" s="1"/>
    </row>
    <row r="514" spans="2:10" x14ac:dyDescent="0.2">
      <c r="B514" s="1" t="s">
        <v>105</v>
      </c>
      <c r="C514" s="32">
        <v>9855</v>
      </c>
      <c r="D514" s="1">
        <v>9000</v>
      </c>
      <c r="E514" s="1"/>
      <c r="F514" s="1">
        <v>93.04</v>
      </c>
      <c r="G514" s="1">
        <v>9000</v>
      </c>
      <c r="H514" s="5">
        <f t="shared" si="11"/>
        <v>0</v>
      </c>
      <c r="I514" s="1"/>
      <c r="J514" s="1"/>
    </row>
    <row r="515" spans="2:10" x14ac:dyDescent="0.2">
      <c r="B515" s="1" t="s">
        <v>105</v>
      </c>
      <c r="C515" s="32">
        <v>7909</v>
      </c>
      <c r="D515" s="1">
        <v>9000</v>
      </c>
      <c r="E515" s="1"/>
      <c r="F515" s="1">
        <v>93.04</v>
      </c>
      <c r="G515" s="1">
        <v>9000</v>
      </c>
      <c r="H515" s="5">
        <f t="shared" si="11"/>
        <v>0</v>
      </c>
      <c r="I515" s="1"/>
      <c r="J515" s="1"/>
    </row>
    <row r="516" spans="2:10" x14ac:dyDescent="0.2">
      <c r="B516" s="1" t="s">
        <v>105</v>
      </c>
      <c r="C516" s="32" t="s">
        <v>61</v>
      </c>
      <c r="D516" s="1">
        <v>3500</v>
      </c>
      <c r="E516" s="1"/>
      <c r="F516" s="1">
        <v>36.18</v>
      </c>
      <c r="G516" s="1">
        <v>3500</v>
      </c>
      <c r="H516" s="5">
        <f t="shared" si="11"/>
        <v>0</v>
      </c>
      <c r="I516" s="1"/>
      <c r="J516" s="1"/>
    </row>
    <row r="517" spans="2:10" x14ac:dyDescent="0.2">
      <c r="B517" s="1" t="s">
        <v>105</v>
      </c>
      <c r="C517" s="32">
        <v>979</v>
      </c>
      <c r="D517" s="1">
        <v>10000</v>
      </c>
      <c r="E517" s="1"/>
      <c r="F517" s="1">
        <v>82.71</v>
      </c>
      <c r="G517" s="1">
        <v>10000</v>
      </c>
      <c r="H517" s="5">
        <f t="shared" si="11"/>
        <v>0</v>
      </c>
      <c r="I517" s="1"/>
      <c r="J517" s="1"/>
    </row>
    <row r="518" spans="2:10" x14ac:dyDescent="0.2">
      <c r="B518" s="1" t="s">
        <v>105</v>
      </c>
      <c r="C518" s="32">
        <v>1522</v>
      </c>
      <c r="D518" s="1">
        <v>36000</v>
      </c>
      <c r="E518" s="1"/>
      <c r="F518" s="1">
        <v>372.16</v>
      </c>
      <c r="G518" s="1">
        <v>36000</v>
      </c>
      <c r="H518" s="5">
        <f t="shared" si="11"/>
        <v>0</v>
      </c>
      <c r="I518" s="1"/>
      <c r="J518" s="1"/>
    </row>
    <row r="519" spans="2:10" x14ac:dyDescent="0.2">
      <c r="B519" s="1" t="s">
        <v>105</v>
      </c>
      <c r="C519" s="32">
        <v>1347</v>
      </c>
      <c r="D519" s="1">
        <v>23000</v>
      </c>
      <c r="E519" s="1"/>
      <c r="F519" s="1">
        <v>214</v>
      </c>
      <c r="G519" s="1">
        <v>23000</v>
      </c>
      <c r="H519" s="5">
        <f t="shared" ref="H519:H582" si="12">D519-G519</f>
        <v>0</v>
      </c>
      <c r="I519" s="1"/>
      <c r="J519" s="1"/>
    </row>
    <row r="520" spans="2:10" x14ac:dyDescent="0.2">
      <c r="B520" s="1" t="s">
        <v>105</v>
      </c>
      <c r="C520" s="32">
        <v>1121</v>
      </c>
      <c r="D520" s="1">
        <v>30000</v>
      </c>
      <c r="E520" s="1"/>
      <c r="F520" s="1">
        <v>310.14</v>
      </c>
      <c r="G520" s="1">
        <v>30000</v>
      </c>
      <c r="H520" s="5">
        <f t="shared" si="12"/>
        <v>0</v>
      </c>
      <c r="I520" s="1"/>
      <c r="J520" s="1"/>
    </row>
    <row r="521" spans="2:10" x14ac:dyDescent="0.2">
      <c r="B521" s="1" t="s">
        <v>106</v>
      </c>
      <c r="C521" s="32">
        <v>13</v>
      </c>
      <c r="D521" s="1">
        <v>9000</v>
      </c>
      <c r="E521" s="1"/>
      <c r="F521" s="1">
        <v>93.04</v>
      </c>
      <c r="G521" s="1">
        <v>9000</v>
      </c>
      <c r="H521" s="5">
        <f t="shared" si="12"/>
        <v>0</v>
      </c>
      <c r="I521" s="1"/>
      <c r="J521" s="1"/>
    </row>
    <row r="522" spans="2:10" x14ac:dyDescent="0.2">
      <c r="B522" s="1" t="s">
        <v>106</v>
      </c>
      <c r="C522" s="32" t="s">
        <v>61</v>
      </c>
      <c r="D522" s="1">
        <v>4500</v>
      </c>
      <c r="E522" s="1"/>
      <c r="F522" s="1">
        <v>46.52</v>
      </c>
      <c r="G522" s="1">
        <v>4500</v>
      </c>
      <c r="H522" s="5">
        <f t="shared" si="12"/>
        <v>0</v>
      </c>
      <c r="I522" s="1"/>
      <c r="J522" s="1"/>
    </row>
    <row r="523" spans="2:10" x14ac:dyDescent="0.2">
      <c r="B523" s="1" t="s">
        <v>106</v>
      </c>
      <c r="C523" s="32">
        <v>7798</v>
      </c>
      <c r="D523" s="1">
        <v>25000</v>
      </c>
      <c r="E523" s="1"/>
      <c r="F523" s="1">
        <v>258</v>
      </c>
      <c r="G523" s="1">
        <v>25000</v>
      </c>
      <c r="H523" s="5">
        <f t="shared" si="12"/>
        <v>0</v>
      </c>
      <c r="I523" s="1"/>
      <c r="J523" s="1"/>
    </row>
    <row r="524" spans="2:10" x14ac:dyDescent="0.2">
      <c r="B524" s="1" t="s">
        <v>106</v>
      </c>
      <c r="C524" s="32">
        <v>4171</v>
      </c>
      <c r="D524" s="1">
        <v>30000</v>
      </c>
      <c r="E524" s="1"/>
      <c r="F524" s="1">
        <v>310</v>
      </c>
      <c r="G524" s="1">
        <v>30000</v>
      </c>
      <c r="H524" s="5">
        <f t="shared" si="12"/>
        <v>0</v>
      </c>
      <c r="I524" s="1"/>
      <c r="J524" s="1"/>
    </row>
    <row r="525" spans="2:10" x14ac:dyDescent="0.2">
      <c r="B525" s="1" t="s">
        <v>106</v>
      </c>
      <c r="C525" s="32">
        <v>3897</v>
      </c>
      <c r="D525" s="1">
        <v>35000</v>
      </c>
      <c r="E525" s="1"/>
      <c r="F525" s="1">
        <v>336</v>
      </c>
      <c r="G525" s="1">
        <v>35000</v>
      </c>
      <c r="H525" s="5">
        <f t="shared" si="12"/>
        <v>0</v>
      </c>
      <c r="I525" s="1"/>
      <c r="J525" s="1"/>
    </row>
    <row r="526" spans="2:10" x14ac:dyDescent="0.2">
      <c r="B526" s="1" t="s">
        <v>106</v>
      </c>
      <c r="C526" s="32">
        <v>2851</v>
      </c>
      <c r="D526" s="1">
        <v>24000</v>
      </c>
      <c r="E526" s="1"/>
      <c r="F526" s="1">
        <v>239</v>
      </c>
      <c r="G526" s="1">
        <v>24000</v>
      </c>
      <c r="H526" s="5">
        <f t="shared" si="12"/>
        <v>0</v>
      </c>
      <c r="I526" s="1"/>
      <c r="J526" s="1"/>
    </row>
    <row r="527" spans="2:10" x14ac:dyDescent="0.2">
      <c r="B527" s="1" t="s">
        <v>106</v>
      </c>
      <c r="C527" s="32">
        <v>2898</v>
      </c>
      <c r="D527" s="1">
        <v>30000</v>
      </c>
      <c r="E527" s="1"/>
      <c r="F527" s="1">
        <v>310</v>
      </c>
      <c r="G527" s="1">
        <v>30000</v>
      </c>
      <c r="H527" s="5">
        <f t="shared" si="12"/>
        <v>0</v>
      </c>
      <c r="I527" s="1"/>
      <c r="J527" s="1"/>
    </row>
    <row r="528" spans="2:10" x14ac:dyDescent="0.2">
      <c r="B528" s="1" t="s">
        <v>106</v>
      </c>
      <c r="C528" s="32">
        <v>7215</v>
      </c>
      <c r="D528" s="1">
        <v>30000</v>
      </c>
      <c r="E528" s="1"/>
      <c r="F528" s="1">
        <v>304</v>
      </c>
      <c r="G528" s="1">
        <v>30000</v>
      </c>
      <c r="H528" s="5">
        <f t="shared" si="12"/>
        <v>0</v>
      </c>
      <c r="I528" s="1"/>
      <c r="J528" s="1"/>
    </row>
    <row r="529" spans="2:10" x14ac:dyDescent="0.2">
      <c r="B529" s="1" t="s">
        <v>106</v>
      </c>
      <c r="C529" s="32" t="s">
        <v>66</v>
      </c>
      <c r="D529" s="1">
        <v>100</v>
      </c>
      <c r="E529" s="1"/>
      <c r="F529" s="1">
        <v>1.04</v>
      </c>
      <c r="G529" s="1">
        <v>100</v>
      </c>
      <c r="H529" s="5">
        <f t="shared" si="12"/>
        <v>0</v>
      </c>
      <c r="I529" s="1"/>
      <c r="J529" s="1"/>
    </row>
    <row r="530" spans="2:10" x14ac:dyDescent="0.2">
      <c r="B530" s="1" t="s">
        <v>107</v>
      </c>
      <c r="C530" s="32">
        <v>7102</v>
      </c>
      <c r="D530" s="1">
        <v>5180</v>
      </c>
      <c r="E530" s="1"/>
      <c r="F530" s="1">
        <v>53.05</v>
      </c>
      <c r="G530" s="1">
        <v>5180</v>
      </c>
      <c r="H530" s="5">
        <f t="shared" si="12"/>
        <v>0</v>
      </c>
      <c r="I530" s="1"/>
      <c r="J530" s="1"/>
    </row>
    <row r="531" spans="2:10" x14ac:dyDescent="0.2">
      <c r="B531" s="1" t="s">
        <v>107</v>
      </c>
      <c r="C531" s="32">
        <v>7488</v>
      </c>
      <c r="D531" s="1">
        <v>9000</v>
      </c>
      <c r="E531" s="1"/>
      <c r="F531" s="1">
        <v>93.04</v>
      </c>
      <c r="G531" s="1">
        <v>9000</v>
      </c>
      <c r="H531" s="5">
        <f t="shared" si="12"/>
        <v>0</v>
      </c>
      <c r="I531" s="1"/>
      <c r="J531" s="1"/>
    </row>
    <row r="532" spans="2:10" x14ac:dyDescent="0.2">
      <c r="B532" s="1" t="s">
        <v>107</v>
      </c>
      <c r="C532" s="32">
        <v>4156</v>
      </c>
      <c r="D532" s="1">
        <v>35000</v>
      </c>
      <c r="E532" s="1"/>
      <c r="F532" s="1">
        <v>361.83</v>
      </c>
      <c r="G532" s="1">
        <v>35000</v>
      </c>
      <c r="H532" s="5">
        <f t="shared" si="12"/>
        <v>0</v>
      </c>
      <c r="I532" s="1"/>
      <c r="J532" s="1"/>
    </row>
    <row r="533" spans="2:10" x14ac:dyDescent="0.2">
      <c r="B533" s="1" t="s">
        <v>107</v>
      </c>
      <c r="C533" s="32" t="s">
        <v>63</v>
      </c>
      <c r="D533" s="1">
        <v>3500</v>
      </c>
      <c r="E533" s="1"/>
      <c r="F533" s="1">
        <v>36.18</v>
      </c>
      <c r="G533" s="1">
        <v>3500</v>
      </c>
      <c r="H533" s="5">
        <f t="shared" si="12"/>
        <v>0</v>
      </c>
      <c r="I533" s="1"/>
      <c r="J533" s="1"/>
    </row>
    <row r="534" spans="2:10" x14ac:dyDescent="0.2">
      <c r="B534" s="1" t="s">
        <v>107</v>
      </c>
      <c r="C534" s="32" t="s">
        <v>66</v>
      </c>
      <c r="D534" s="1">
        <v>400</v>
      </c>
      <c r="E534" s="1"/>
      <c r="F534" s="1">
        <v>3.85</v>
      </c>
      <c r="G534" s="1">
        <v>400</v>
      </c>
      <c r="H534" s="5">
        <f t="shared" si="12"/>
        <v>0</v>
      </c>
      <c r="I534" s="1"/>
      <c r="J534" s="1"/>
    </row>
    <row r="535" spans="2:10" x14ac:dyDescent="0.2">
      <c r="B535" s="1" t="s">
        <v>111</v>
      </c>
      <c r="C535" s="32" t="s">
        <v>61</v>
      </c>
      <c r="D535" s="1">
        <v>4500</v>
      </c>
      <c r="E535" s="1"/>
      <c r="F535" s="1">
        <v>46.52</v>
      </c>
      <c r="G535" s="1">
        <v>4500</v>
      </c>
      <c r="H535" s="5">
        <f t="shared" si="12"/>
        <v>0</v>
      </c>
      <c r="I535" s="1"/>
      <c r="J535" s="1"/>
    </row>
    <row r="536" spans="2:10" x14ac:dyDescent="0.2">
      <c r="B536" s="1" t="s">
        <v>111</v>
      </c>
      <c r="C536" s="32">
        <v>603</v>
      </c>
      <c r="D536" s="1">
        <v>13000</v>
      </c>
      <c r="E536" s="1"/>
      <c r="F536" s="1">
        <v>134.38999999999999</v>
      </c>
      <c r="G536" s="1">
        <v>13000</v>
      </c>
      <c r="H536" s="5">
        <f t="shared" si="12"/>
        <v>0</v>
      </c>
      <c r="I536" s="1"/>
      <c r="J536" s="1"/>
    </row>
    <row r="537" spans="2:10" x14ac:dyDescent="0.2">
      <c r="B537" s="1" t="s">
        <v>111</v>
      </c>
      <c r="C537" s="32">
        <v>2566</v>
      </c>
      <c r="D537" s="1">
        <v>13000</v>
      </c>
      <c r="E537" s="1"/>
      <c r="F537" s="1">
        <v>134.38999999999999</v>
      </c>
      <c r="G537" s="1">
        <v>13000</v>
      </c>
      <c r="H537" s="5">
        <f t="shared" si="12"/>
        <v>0</v>
      </c>
      <c r="I537" s="1"/>
      <c r="J537" s="1"/>
    </row>
    <row r="538" spans="2:10" x14ac:dyDescent="0.2">
      <c r="B538" s="1" t="s">
        <v>111</v>
      </c>
      <c r="C538" s="32">
        <v>4787</v>
      </c>
      <c r="D538" s="1">
        <v>25000</v>
      </c>
      <c r="E538" s="1"/>
      <c r="F538" s="1">
        <v>258.45</v>
      </c>
      <c r="G538" s="1">
        <v>25000</v>
      </c>
      <c r="H538" s="5">
        <f t="shared" si="12"/>
        <v>0</v>
      </c>
      <c r="I538" s="1"/>
      <c r="J538" s="1"/>
    </row>
    <row r="539" spans="2:10" x14ac:dyDescent="0.2">
      <c r="B539" s="1" t="s">
        <v>111</v>
      </c>
      <c r="C539" s="32">
        <v>5691</v>
      </c>
      <c r="D539" s="1">
        <v>25000</v>
      </c>
      <c r="E539" s="1"/>
      <c r="F539" s="1">
        <v>258.45</v>
      </c>
      <c r="G539" s="1">
        <v>25000</v>
      </c>
      <c r="H539" s="5">
        <f t="shared" si="12"/>
        <v>0</v>
      </c>
      <c r="I539" s="1"/>
      <c r="J539" s="1"/>
    </row>
    <row r="540" spans="2:10" x14ac:dyDescent="0.2">
      <c r="B540" s="1" t="s">
        <v>111</v>
      </c>
      <c r="C540" s="32">
        <v>3535</v>
      </c>
      <c r="D540" s="1">
        <v>25000</v>
      </c>
      <c r="E540" s="1"/>
      <c r="F540" s="1">
        <v>258.45</v>
      </c>
      <c r="G540" s="1">
        <v>25000</v>
      </c>
      <c r="H540" s="5">
        <f t="shared" si="12"/>
        <v>0</v>
      </c>
      <c r="I540" s="1"/>
      <c r="J540" s="1"/>
    </row>
    <row r="541" spans="2:10" x14ac:dyDescent="0.2">
      <c r="B541" s="1" t="s">
        <v>111</v>
      </c>
      <c r="C541" s="32">
        <v>6135</v>
      </c>
      <c r="D541" s="1">
        <v>7000</v>
      </c>
      <c r="E541" s="1"/>
      <c r="F541" s="1">
        <v>72.36</v>
      </c>
      <c r="G541" s="1">
        <v>7000</v>
      </c>
      <c r="H541" s="5">
        <f t="shared" si="12"/>
        <v>0</v>
      </c>
      <c r="I541" s="1"/>
      <c r="J541" s="1"/>
    </row>
    <row r="542" spans="2:10" x14ac:dyDescent="0.2">
      <c r="B542" s="1" t="s">
        <v>112</v>
      </c>
      <c r="C542" s="32">
        <v>1352</v>
      </c>
      <c r="D542" s="1">
        <v>14000</v>
      </c>
      <c r="E542" s="1"/>
      <c r="F542" s="1">
        <v>144.72999999999999</v>
      </c>
      <c r="G542" s="1">
        <v>14000</v>
      </c>
      <c r="H542" s="5">
        <f t="shared" si="12"/>
        <v>0</v>
      </c>
      <c r="I542" s="1"/>
      <c r="J542" s="1"/>
    </row>
    <row r="543" spans="2:10" x14ac:dyDescent="0.2">
      <c r="B543" s="1" t="s">
        <v>112</v>
      </c>
      <c r="C543" s="32">
        <v>8084</v>
      </c>
      <c r="D543" s="1">
        <v>30000</v>
      </c>
      <c r="E543" s="1"/>
      <c r="F543" s="1">
        <v>310.14</v>
      </c>
      <c r="G543" s="1">
        <v>30000</v>
      </c>
      <c r="H543" s="5">
        <f t="shared" si="12"/>
        <v>0</v>
      </c>
      <c r="I543" s="1"/>
      <c r="J543" s="1"/>
    </row>
    <row r="544" spans="2:10" x14ac:dyDescent="0.2">
      <c r="B544" s="1" t="s">
        <v>112</v>
      </c>
      <c r="C544" s="32">
        <v>5836</v>
      </c>
      <c r="D544" s="1">
        <v>25000</v>
      </c>
      <c r="E544" s="1"/>
      <c r="F544" s="1">
        <v>258.45</v>
      </c>
      <c r="G544" s="1">
        <v>25000</v>
      </c>
      <c r="H544" s="5">
        <f t="shared" si="12"/>
        <v>0</v>
      </c>
      <c r="I544" s="1"/>
      <c r="J544" s="1"/>
    </row>
    <row r="545" spans="2:10" x14ac:dyDescent="0.2">
      <c r="B545" s="1" t="s">
        <v>112</v>
      </c>
      <c r="C545" s="32">
        <v>1309</v>
      </c>
      <c r="D545" s="1">
        <v>18000</v>
      </c>
      <c r="E545" s="1"/>
      <c r="F545" s="1">
        <v>186.08</v>
      </c>
      <c r="G545" s="1">
        <v>18000</v>
      </c>
      <c r="H545" s="5">
        <f t="shared" si="12"/>
        <v>0</v>
      </c>
      <c r="I545" s="1"/>
      <c r="J545" s="1"/>
    </row>
    <row r="546" spans="2:10" x14ac:dyDescent="0.2">
      <c r="B546" s="1" t="s">
        <v>114</v>
      </c>
      <c r="C546" s="32" t="s">
        <v>61</v>
      </c>
      <c r="D546" s="1">
        <v>4500</v>
      </c>
      <c r="E546" s="1"/>
      <c r="F546" s="1">
        <v>46.52</v>
      </c>
      <c r="G546" s="1">
        <v>4500</v>
      </c>
      <c r="H546" s="5">
        <f t="shared" si="12"/>
        <v>0</v>
      </c>
      <c r="I546" s="1"/>
      <c r="J546" s="1"/>
    </row>
    <row r="547" spans="2:10" x14ac:dyDescent="0.2">
      <c r="B547" s="1" t="s">
        <v>114</v>
      </c>
      <c r="C547" s="32">
        <v>1220</v>
      </c>
      <c r="D547" s="1">
        <v>14000</v>
      </c>
      <c r="E547" s="1"/>
      <c r="F547" s="1">
        <v>144.75</v>
      </c>
      <c r="G547" s="1">
        <v>14000</v>
      </c>
      <c r="H547" s="5">
        <f t="shared" si="12"/>
        <v>0</v>
      </c>
      <c r="I547" s="1"/>
      <c r="J547" s="1"/>
    </row>
    <row r="548" spans="2:10" x14ac:dyDescent="0.2">
      <c r="B548" s="1" t="s">
        <v>114</v>
      </c>
      <c r="C548" s="32">
        <v>9286</v>
      </c>
      <c r="D548" s="1">
        <v>10000</v>
      </c>
      <c r="E548" s="1"/>
      <c r="F548" s="1">
        <v>103.96</v>
      </c>
      <c r="G548" s="1">
        <v>10000</v>
      </c>
      <c r="H548" s="5">
        <f t="shared" si="12"/>
        <v>0</v>
      </c>
      <c r="I548" s="1"/>
      <c r="J548" s="1"/>
    </row>
    <row r="549" spans="2:10" x14ac:dyDescent="0.2">
      <c r="B549" s="1" t="s">
        <v>114</v>
      </c>
      <c r="C549" s="32" t="s">
        <v>61</v>
      </c>
      <c r="D549" s="1">
        <v>3500</v>
      </c>
      <c r="E549" s="1"/>
      <c r="F549" s="1">
        <v>35</v>
      </c>
      <c r="G549" s="1">
        <v>3500</v>
      </c>
      <c r="H549" s="5">
        <f t="shared" si="12"/>
        <v>0</v>
      </c>
      <c r="I549" s="1"/>
      <c r="J549" s="1"/>
    </row>
    <row r="550" spans="2:10" x14ac:dyDescent="0.2">
      <c r="B550" s="1" t="s">
        <v>114</v>
      </c>
      <c r="C550" s="32">
        <v>6648</v>
      </c>
      <c r="D550" s="1">
        <v>30000</v>
      </c>
      <c r="E550" s="1"/>
      <c r="F550" s="1">
        <v>276</v>
      </c>
      <c r="G550" s="1">
        <v>30000</v>
      </c>
      <c r="H550" s="5">
        <f t="shared" si="12"/>
        <v>0</v>
      </c>
      <c r="I550" s="1"/>
      <c r="J550" s="1"/>
    </row>
    <row r="551" spans="2:10" x14ac:dyDescent="0.2">
      <c r="B551" s="1" t="s">
        <v>114</v>
      </c>
      <c r="C551" s="32">
        <v>3389</v>
      </c>
      <c r="D551" s="1">
        <v>27000</v>
      </c>
      <c r="E551" s="1"/>
      <c r="F551" s="1">
        <v>262</v>
      </c>
      <c r="G551" s="1">
        <v>27000</v>
      </c>
      <c r="H551" s="5">
        <f t="shared" si="12"/>
        <v>0</v>
      </c>
      <c r="I551" s="1"/>
      <c r="J551" s="1"/>
    </row>
    <row r="552" spans="2:10" x14ac:dyDescent="0.2">
      <c r="B552" s="1" t="s">
        <v>115</v>
      </c>
      <c r="C552" s="32">
        <v>6887</v>
      </c>
      <c r="D552" s="1">
        <v>15000</v>
      </c>
      <c r="E552" s="1"/>
      <c r="F552" s="1">
        <v>155.07</v>
      </c>
      <c r="G552" s="1">
        <v>15000</v>
      </c>
      <c r="H552" s="5">
        <f t="shared" si="12"/>
        <v>0</v>
      </c>
      <c r="I552" s="1"/>
      <c r="J552" s="1"/>
    </row>
    <row r="553" spans="2:10" x14ac:dyDescent="0.2">
      <c r="B553" s="1" t="s">
        <v>115</v>
      </c>
      <c r="C553" s="32">
        <v>185</v>
      </c>
      <c r="D553" s="1">
        <v>15000</v>
      </c>
      <c r="E553" s="1"/>
      <c r="F553" s="1">
        <v>155.07</v>
      </c>
      <c r="G553" s="1">
        <v>15000</v>
      </c>
      <c r="H553" s="5">
        <f t="shared" si="12"/>
        <v>0</v>
      </c>
      <c r="I553" s="1"/>
      <c r="J553" s="1"/>
    </row>
    <row r="554" spans="2:10" x14ac:dyDescent="0.2">
      <c r="B554" s="1" t="s">
        <v>115</v>
      </c>
      <c r="C554" s="32">
        <v>65</v>
      </c>
      <c r="D554" s="1">
        <v>5000</v>
      </c>
      <c r="E554" s="1"/>
      <c r="F554" s="1">
        <v>51.69</v>
      </c>
      <c r="G554" s="1">
        <v>5000</v>
      </c>
      <c r="H554" s="5">
        <f t="shared" si="12"/>
        <v>0</v>
      </c>
      <c r="I554" s="1"/>
      <c r="J554" s="1"/>
    </row>
    <row r="555" spans="2:10" x14ac:dyDescent="0.2">
      <c r="B555" s="1" t="s">
        <v>115</v>
      </c>
      <c r="C555" s="32">
        <v>2423</v>
      </c>
      <c r="D555" s="1">
        <v>15000</v>
      </c>
      <c r="E555" s="1"/>
      <c r="F555" s="1">
        <v>155.07</v>
      </c>
      <c r="G555" s="1">
        <v>15000</v>
      </c>
      <c r="H555" s="5">
        <f t="shared" si="12"/>
        <v>0</v>
      </c>
      <c r="I555" s="1"/>
      <c r="J555" s="1"/>
    </row>
    <row r="556" spans="2:10" x14ac:dyDescent="0.2">
      <c r="B556" s="1" t="s">
        <v>115</v>
      </c>
      <c r="C556" s="32">
        <v>1352</v>
      </c>
      <c r="D556" s="1">
        <v>13000</v>
      </c>
      <c r="E556" s="1"/>
      <c r="F556" s="1">
        <v>134.38999999999999</v>
      </c>
      <c r="G556" s="1">
        <v>13000</v>
      </c>
      <c r="H556" s="5">
        <f t="shared" si="12"/>
        <v>0</v>
      </c>
      <c r="I556" s="1"/>
      <c r="J556" s="1"/>
    </row>
    <row r="557" spans="2:10" x14ac:dyDescent="0.2">
      <c r="B557" s="1" t="s">
        <v>115</v>
      </c>
      <c r="C557" s="32" t="s">
        <v>66</v>
      </c>
      <c r="D557" s="1">
        <v>100</v>
      </c>
      <c r="E557" s="1"/>
      <c r="F557" s="1">
        <v>1.04</v>
      </c>
      <c r="G557" s="1">
        <v>100</v>
      </c>
      <c r="H557" s="5">
        <f t="shared" si="12"/>
        <v>0</v>
      </c>
      <c r="I557" s="1"/>
      <c r="J557" s="1"/>
    </row>
    <row r="558" spans="2:10" x14ac:dyDescent="0.2">
      <c r="B558" s="1" t="s">
        <v>115</v>
      </c>
      <c r="C558" s="32">
        <v>5966</v>
      </c>
      <c r="D558" s="1">
        <v>20000</v>
      </c>
      <c r="E558" s="1"/>
      <c r="F558" s="1">
        <v>206.76</v>
      </c>
      <c r="G558" s="1">
        <v>20000</v>
      </c>
      <c r="H558" s="5">
        <f t="shared" si="12"/>
        <v>0</v>
      </c>
      <c r="I558" s="1"/>
      <c r="J558" s="1"/>
    </row>
    <row r="559" spans="2:10" x14ac:dyDescent="0.2">
      <c r="B559" s="1" t="s">
        <v>115</v>
      </c>
      <c r="C559" s="32">
        <v>4015</v>
      </c>
      <c r="D559" s="1">
        <v>30000</v>
      </c>
      <c r="E559" s="1"/>
      <c r="F559" s="1">
        <v>310.14</v>
      </c>
      <c r="G559" s="1">
        <v>30000</v>
      </c>
      <c r="H559" s="5">
        <f t="shared" si="12"/>
        <v>0</v>
      </c>
      <c r="I559" s="1"/>
      <c r="J559" s="1"/>
    </row>
    <row r="560" spans="2:10" x14ac:dyDescent="0.2">
      <c r="B560" s="1" t="s">
        <v>115</v>
      </c>
      <c r="C560" s="32">
        <v>9701</v>
      </c>
      <c r="D560" s="1">
        <v>30000</v>
      </c>
      <c r="E560" s="1"/>
      <c r="F560" s="1">
        <v>310.14</v>
      </c>
      <c r="G560" s="1">
        <v>30000</v>
      </c>
      <c r="H560" s="5">
        <f t="shared" si="12"/>
        <v>0</v>
      </c>
      <c r="I560" s="1"/>
      <c r="J560" s="1"/>
    </row>
    <row r="561" spans="2:10" x14ac:dyDescent="0.2">
      <c r="B561" s="1" t="s">
        <v>116</v>
      </c>
      <c r="C561" s="32" t="s">
        <v>66</v>
      </c>
      <c r="D561" s="1">
        <v>400</v>
      </c>
      <c r="E561" s="1"/>
      <c r="F561" s="1">
        <v>3.84</v>
      </c>
      <c r="G561" s="1">
        <v>400</v>
      </c>
      <c r="H561" s="5">
        <f t="shared" si="12"/>
        <v>0</v>
      </c>
      <c r="I561" s="1"/>
      <c r="J561" s="1"/>
    </row>
    <row r="562" spans="2:10" x14ac:dyDescent="0.2">
      <c r="B562" s="1" t="s">
        <v>116</v>
      </c>
      <c r="C562" s="32">
        <v>205</v>
      </c>
      <c r="D562" s="1">
        <v>13000</v>
      </c>
      <c r="E562" s="1"/>
      <c r="F562" s="1">
        <v>134.35</v>
      </c>
      <c r="G562" s="1">
        <v>13000</v>
      </c>
      <c r="H562" s="5">
        <f t="shared" si="12"/>
        <v>0</v>
      </c>
      <c r="I562" s="1"/>
      <c r="J562" s="1"/>
    </row>
    <row r="563" spans="2:10" x14ac:dyDescent="0.2">
      <c r="B563" s="1" t="s">
        <v>116</v>
      </c>
      <c r="C563" s="32">
        <v>311</v>
      </c>
      <c r="D563" s="1">
        <v>20000</v>
      </c>
      <c r="E563" s="1"/>
      <c r="F563" s="1">
        <v>206.26</v>
      </c>
      <c r="G563" s="1">
        <v>20000</v>
      </c>
      <c r="H563" s="5">
        <f t="shared" si="12"/>
        <v>0</v>
      </c>
      <c r="I563" s="1"/>
      <c r="J563" s="1"/>
    </row>
    <row r="564" spans="2:10" x14ac:dyDescent="0.2">
      <c r="B564" s="1" t="s">
        <v>116</v>
      </c>
      <c r="C564" s="32">
        <v>4551</v>
      </c>
      <c r="D564" s="1">
        <v>30000</v>
      </c>
      <c r="E564" s="1"/>
      <c r="F564" s="1">
        <v>294.74</v>
      </c>
      <c r="G564" s="1">
        <v>30000</v>
      </c>
      <c r="H564" s="5">
        <f t="shared" si="12"/>
        <v>0</v>
      </c>
      <c r="I564" s="1"/>
      <c r="J564" s="1"/>
    </row>
    <row r="565" spans="2:10" x14ac:dyDescent="0.2">
      <c r="B565" s="1" t="s">
        <v>116</v>
      </c>
      <c r="C565" s="32">
        <v>6311</v>
      </c>
      <c r="D565" s="1">
        <v>10000</v>
      </c>
      <c r="E565" s="1"/>
      <c r="F565" s="1">
        <v>103.38</v>
      </c>
      <c r="G565" s="1">
        <v>10000</v>
      </c>
      <c r="H565" s="5">
        <f t="shared" si="12"/>
        <v>0</v>
      </c>
      <c r="I565" s="1"/>
      <c r="J565" s="1"/>
    </row>
    <row r="566" spans="2:10" x14ac:dyDescent="0.2">
      <c r="B566" s="1" t="s">
        <v>116</v>
      </c>
      <c r="C566" s="32">
        <v>4151</v>
      </c>
      <c r="D566" s="1">
        <v>35000</v>
      </c>
      <c r="E566" s="1"/>
      <c r="F566" s="1">
        <v>321</v>
      </c>
      <c r="G566" s="1">
        <v>35000</v>
      </c>
      <c r="H566" s="5">
        <f t="shared" si="12"/>
        <v>0</v>
      </c>
      <c r="I566" s="1"/>
      <c r="J566" s="1"/>
    </row>
    <row r="567" spans="2:10" x14ac:dyDescent="0.2">
      <c r="B567" s="1" t="s">
        <v>116</v>
      </c>
      <c r="C567" s="32">
        <v>5026</v>
      </c>
      <c r="D567" s="1">
        <v>17000</v>
      </c>
      <c r="E567" s="1"/>
      <c r="F567" s="1">
        <v>175.69</v>
      </c>
      <c r="G567" s="1">
        <v>17000</v>
      </c>
      <c r="H567" s="5">
        <f t="shared" si="12"/>
        <v>0</v>
      </c>
      <c r="I567" s="1"/>
      <c r="J567" s="1"/>
    </row>
    <row r="568" spans="2:10" x14ac:dyDescent="0.2">
      <c r="B568" s="1" t="s">
        <v>118</v>
      </c>
      <c r="C568" s="32" t="s">
        <v>30</v>
      </c>
      <c r="D568" s="1">
        <v>4500</v>
      </c>
      <c r="E568" s="1"/>
      <c r="F568" s="1">
        <v>46.52</v>
      </c>
      <c r="G568" s="1">
        <v>4500</v>
      </c>
      <c r="H568" s="5">
        <f t="shared" si="12"/>
        <v>0</v>
      </c>
      <c r="I568" s="1"/>
      <c r="J568" s="1"/>
    </row>
    <row r="569" spans="2:10" x14ac:dyDescent="0.2">
      <c r="B569" s="1" t="s">
        <v>118</v>
      </c>
      <c r="C569" s="32" t="s">
        <v>63</v>
      </c>
      <c r="D569" s="1">
        <v>3500</v>
      </c>
      <c r="E569" s="1"/>
      <c r="F569" s="1">
        <v>36.18</v>
      </c>
      <c r="G569" s="1">
        <v>3500</v>
      </c>
      <c r="H569" s="5">
        <f t="shared" si="12"/>
        <v>0</v>
      </c>
      <c r="I569" s="1"/>
      <c r="J569" s="1"/>
    </row>
    <row r="570" spans="2:10" x14ac:dyDescent="0.2">
      <c r="B570" s="1" t="s">
        <v>118</v>
      </c>
      <c r="C570" s="32">
        <v>1727</v>
      </c>
      <c r="D570" s="1">
        <v>30000</v>
      </c>
      <c r="E570" s="1"/>
      <c r="F570" s="1">
        <v>310.14</v>
      </c>
      <c r="G570" s="1">
        <v>30000</v>
      </c>
      <c r="H570" s="5">
        <f t="shared" si="12"/>
        <v>0</v>
      </c>
      <c r="I570" s="1"/>
      <c r="J570" s="1"/>
    </row>
    <row r="571" spans="2:10" x14ac:dyDescent="0.2">
      <c r="B571" s="1" t="s">
        <v>118</v>
      </c>
      <c r="C571" s="32">
        <v>4087</v>
      </c>
      <c r="D571" s="1">
        <v>24000</v>
      </c>
      <c r="E571" s="1"/>
      <c r="F571" s="1">
        <v>248.11</v>
      </c>
      <c r="G571" s="1">
        <v>24000</v>
      </c>
      <c r="H571" s="5">
        <f t="shared" si="12"/>
        <v>0</v>
      </c>
      <c r="I571" s="1"/>
      <c r="J571" s="1"/>
    </row>
    <row r="572" spans="2:10" x14ac:dyDescent="0.2">
      <c r="B572" s="1" t="s">
        <v>118</v>
      </c>
      <c r="C572" s="32" t="s">
        <v>66</v>
      </c>
      <c r="D572" s="1">
        <v>100</v>
      </c>
      <c r="E572" s="1"/>
      <c r="F572" s="1">
        <v>1.04</v>
      </c>
      <c r="G572" s="1">
        <v>100</v>
      </c>
      <c r="H572" s="5">
        <f t="shared" si="12"/>
        <v>0</v>
      </c>
      <c r="I572" s="1"/>
      <c r="J572" s="1"/>
    </row>
    <row r="573" spans="2:10" x14ac:dyDescent="0.2">
      <c r="B573" s="1" t="s">
        <v>118</v>
      </c>
      <c r="C573" s="32">
        <v>8538</v>
      </c>
      <c r="D573" s="1">
        <v>22000</v>
      </c>
      <c r="E573" s="1"/>
      <c r="F573" s="1">
        <v>227.44</v>
      </c>
      <c r="G573" s="1">
        <v>22000</v>
      </c>
      <c r="H573" s="5">
        <f t="shared" si="12"/>
        <v>0</v>
      </c>
      <c r="I573" s="1"/>
      <c r="J573" s="1"/>
    </row>
    <row r="574" spans="2:10" x14ac:dyDescent="0.2">
      <c r="B574" s="1" t="s">
        <v>117</v>
      </c>
      <c r="C574" s="32">
        <v>9835</v>
      </c>
      <c r="D574" s="1">
        <v>12000</v>
      </c>
      <c r="E574" s="1"/>
      <c r="F574" s="1">
        <v>114.05</v>
      </c>
      <c r="G574" s="1">
        <v>12000</v>
      </c>
      <c r="H574" s="5">
        <f t="shared" si="12"/>
        <v>0</v>
      </c>
      <c r="I574" s="1"/>
      <c r="J574" s="1"/>
    </row>
    <row r="575" spans="2:10" x14ac:dyDescent="0.2">
      <c r="B575" s="1" t="s">
        <v>117</v>
      </c>
      <c r="C575" s="32">
        <v>1220</v>
      </c>
      <c r="D575" s="1">
        <v>12000</v>
      </c>
      <c r="E575" s="1"/>
      <c r="F575" s="1">
        <v>114.05</v>
      </c>
      <c r="G575" s="1">
        <v>12000</v>
      </c>
      <c r="H575" s="5">
        <f t="shared" si="12"/>
        <v>0</v>
      </c>
      <c r="I575" s="1"/>
      <c r="J575" s="1"/>
    </row>
    <row r="576" spans="2:10" x14ac:dyDescent="0.2">
      <c r="B576" s="1" t="s">
        <v>117</v>
      </c>
      <c r="C576" s="32">
        <v>4075</v>
      </c>
      <c r="D576" s="1">
        <v>12500</v>
      </c>
      <c r="E576" s="1"/>
      <c r="F576" s="1">
        <v>129.22999999999999</v>
      </c>
      <c r="G576" s="1">
        <v>12500</v>
      </c>
      <c r="H576" s="5">
        <f t="shared" si="12"/>
        <v>0</v>
      </c>
      <c r="I576" s="1"/>
      <c r="J576" s="1"/>
    </row>
    <row r="577" spans="2:10" x14ac:dyDescent="0.2">
      <c r="B577" s="1" t="s">
        <v>117</v>
      </c>
      <c r="C577" s="32">
        <v>6015</v>
      </c>
      <c r="D577" s="1">
        <v>30000</v>
      </c>
      <c r="E577" s="1"/>
      <c r="F577" s="1">
        <v>316.14</v>
      </c>
      <c r="G577" s="1">
        <v>30000</v>
      </c>
      <c r="H577" s="5">
        <f t="shared" si="12"/>
        <v>0</v>
      </c>
      <c r="I577" s="1"/>
      <c r="J577" s="1"/>
    </row>
    <row r="578" spans="2:10" x14ac:dyDescent="0.2">
      <c r="B578" s="1" t="s">
        <v>117</v>
      </c>
      <c r="C578" s="32">
        <v>6919</v>
      </c>
      <c r="D578" s="1">
        <v>35000</v>
      </c>
      <c r="E578" s="1"/>
      <c r="F578" s="1">
        <v>361.83</v>
      </c>
      <c r="G578" s="1">
        <v>35000</v>
      </c>
      <c r="H578" s="5">
        <f t="shared" si="12"/>
        <v>0</v>
      </c>
      <c r="I578" s="1"/>
      <c r="J578" s="1"/>
    </row>
    <row r="579" spans="2:10" x14ac:dyDescent="0.2">
      <c r="B579" s="1" t="s">
        <v>117</v>
      </c>
      <c r="C579" s="32">
        <v>2834</v>
      </c>
      <c r="D579" s="1">
        <v>15000</v>
      </c>
      <c r="E579" s="1"/>
      <c r="F579" s="1">
        <v>125.07</v>
      </c>
      <c r="G579" s="1">
        <v>15000</v>
      </c>
      <c r="H579" s="5">
        <f t="shared" si="12"/>
        <v>0</v>
      </c>
      <c r="I579" s="1"/>
      <c r="J579" s="1"/>
    </row>
    <row r="580" spans="2:10" x14ac:dyDescent="0.2">
      <c r="B580" s="1" t="s">
        <v>117</v>
      </c>
      <c r="C580" s="32" t="s">
        <v>66</v>
      </c>
      <c r="D580" s="1">
        <v>400</v>
      </c>
      <c r="E580" s="1"/>
      <c r="F580" s="1">
        <v>4.16</v>
      </c>
      <c r="G580" s="1">
        <v>400</v>
      </c>
      <c r="H580" s="5">
        <f t="shared" si="12"/>
        <v>0</v>
      </c>
      <c r="I580" s="1"/>
      <c r="J580" s="1"/>
    </row>
    <row r="581" spans="2:10" x14ac:dyDescent="0.2">
      <c r="B581" s="1" t="s">
        <v>117</v>
      </c>
      <c r="C581" s="32">
        <v>2152</v>
      </c>
      <c r="D581" s="1">
        <v>25000</v>
      </c>
      <c r="E581" s="1"/>
      <c r="F581" s="1">
        <v>253.3</v>
      </c>
      <c r="G581" s="1">
        <v>25000</v>
      </c>
      <c r="H581" s="5">
        <f t="shared" si="12"/>
        <v>0</v>
      </c>
      <c r="I581" s="1"/>
      <c r="J581" s="1"/>
    </row>
    <row r="582" spans="2:10" x14ac:dyDescent="0.2">
      <c r="B582" s="1" t="s">
        <v>117</v>
      </c>
      <c r="C582" s="32">
        <v>4314</v>
      </c>
      <c r="D582" s="1">
        <v>20000</v>
      </c>
      <c r="E582" s="1"/>
      <c r="F582" s="1">
        <v>206.76</v>
      </c>
      <c r="G582" s="1">
        <v>20000</v>
      </c>
      <c r="H582" s="5">
        <f t="shared" si="12"/>
        <v>0</v>
      </c>
      <c r="I582" s="1"/>
      <c r="J582" s="1"/>
    </row>
    <row r="583" spans="2:10" x14ac:dyDescent="0.2">
      <c r="B583" s="1" t="s">
        <v>117</v>
      </c>
      <c r="C583" s="32">
        <v>1352</v>
      </c>
      <c r="D583" s="1">
        <v>13000</v>
      </c>
      <c r="E583" s="1"/>
      <c r="F583" s="1">
        <v>134.35</v>
      </c>
      <c r="G583" s="1">
        <v>13000</v>
      </c>
      <c r="H583" s="5">
        <f t="shared" ref="H583:H693" si="13">D583-G583</f>
        <v>0</v>
      </c>
      <c r="I583" s="1"/>
      <c r="J583" s="1"/>
    </row>
    <row r="584" spans="2:10" x14ac:dyDescent="0.2">
      <c r="B584" s="1" t="s">
        <v>117</v>
      </c>
      <c r="C584" s="32">
        <v>6852</v>
      </c>
      <c r="D584" s="1">
        <v>25000</v>
      </c>
      <c r="E584" s="1"/>
      <c r="F584" s="1">
        <v>253.3</v>
      </c>
      <c r="G584" s="1">
        <v>25000</v>
      </c>
      <c r="H584" s="5">
        <f t="shared" si="13"/>
        <v>0</v>
      </c>
      <c r="I584" s="1"/>
      <c r="J584" s="1"/>
    </row>
    <row r="585" spans="2:10" x14ac:dyDescent="0.2">
      <c r="B585" s="1" t="s">
        <v>117</v>
      </c>
      <c r="C585" s="32">
        <v>1321</v>
      </c>
      <c r="D585" s="1">
        <v>13000</v>
      </c>
      <c r="E585" s="1"/>
      <c r="F585" s="1">
        <v>134.35</v>
      </c>
      <c r="G585" s="1">
        <v>13000</v>
      </c>
      <c r="H585" s="5">
        <f t="shared" si="13"/>
        <v>0</v>
      </c>
      <c r="I585" s="1"/>
      <c r="J585" s="1"/>
    </row>
    <row r="586" spans="2:10" x14ac:dyDescent="0.2">
      <c r="B586" s="1" t="s">
        <v>117</v>
      </c>
      <c r="C586" s="32">
        <v>293</v>
      </c>
      <c r="D586" s="1">
        <v>15000</v>
      </c>
      <c r="E586" s="1"/>
      <c r="F586" s="1">
        <v>155</v>
      </c>
      <c r="G586" s="1">
        <v>15000</v>
      </c>
      <c r="H586" s="5">
        <f t="shared" si="13"/>
        <v>0</v>
      </c>
      <c r="I586" s="1"/>
      <c r="J586" s="1"/>
    </row>
    <row r="587" spans="2:10" x14ac:dyDescent="0.2">
      <c r="B587" s="1" t="s">
        <v>117</v>
      </c>
      <c r="C587" s="32">
        <v>2740</v>
      </c>
      <c r="D587" s="1">
        <v>15000</v>
      </c>
      <c r="E587" s="1"/>
      <c r="F587" s="1">
        <v>155</v>
      </c>
      <c r="G587" s="1">
        <v>15000</v>
      </c>
      <c r="H587" s="5">
        <f t="shared" si="13"/>
        <v>0</v>
      </c>
      <c r="I587" s="1"/>
      <c r="J587" s="1"/>
    </row>
    <row r="588" spans="2:10" x14ac:dyDescent="0.2">
      <c r="B588" s="1" t="s">
        <v>117</v>
      </c>
      <c r="C588" s="85">
        <v>5746</v>
      </c>
      <c r="D588" s="1">
        <v>20000</v>
      </c>
      <c r="E588" s="1"/>
      <c r="F588" s="1">
        <v>206.76</v>
      </c>
      <c r="G588" s="1">
        <v>20000</v>
      </c>
      <c r="H588" s="5">
        <f t="shared" si="13"/>
        <v>0</v>
      </c>
      <c r="I588" s="1"/>
      <c r="J588" s="1"/>
    </row>
    <row r="589" spans="2:10" x14ac:dyDescent="0.2">
      <c r="B589" s="1" t="s">
        <v>117</v>
      </c>
      <c r="C589" s="32" t="s">
        <v>61</v>
      </c>
      <c r="D589" s="1">
        <v>4500</v>
      </c>
      <c r="E589" s="1"/>
      <c r="F589" s="1">
        <v>46.12</v>
      </c>
      <c r="G589" s="1">
        <v>4500</v>
      </c>
      <c r="H589" s="5">
        <f t="shared" si="13"/>
        <v>0</v>
      </c>
      <c r="I589" s="1"/>
      <c r="J589" s="1"/>
    </row>
    <row r="590" spans="2:10" x14ac:dyDescent="0.2">
      <c r="B590" s="1" t="s">
        <v>117</v>
      </c>
      <c r="C590" s="32">
        <v>1121</v>
      </c>
      <c r="D590" s="1">
        <v>30000</v>
      </c>
      <c r="E590" s="1"/>
      <c r="F590" s="1">
        <v>310.14</v>
      </c>
      <c r="G590" s="1">
        <v>30000</v>
      </c>
      <c r="H590" s="5">
        <f t="shared" si="13"/>
        <v>0</v>
      </c>
      <c r="I590" s="1"/>
      <c r="J590" s="1"/>
    </row>
    <row r="591" spans="2:10" x14ac:dyDescent="0.2">
      <c r="B591" s="1" t="s">
        <v>117</v>
      </c>
      <c r="C591" s="32">
        <v>7437</v>
      </c>
      <c r="D591" s="1">
        <v>25000</v>
      </c>
      <c r="E591" s="1"/>
      <c r="F591" s="1">
        <v>247.42</v>
      </c>
      <c r="G591" s="1">
        <v>25000</v>
      </c>
      <c r="H591" s="5">
        <f t="shared" si="13"/>
        <v>0</v>
      </c>
      <c r="I591" s="1"/>
      <c r="J591" s="1"/>
    </row>
    <row r="592" spans="2:10" x14ac:dyDescent="0.2">
      <c r="B592" s="1" t="s">
        <v>117</v>
      </c>
      <c r="C592" s="32">
        <v>7322</v>
      </c>
      <c r="D592" s="1">
        <v>20000</v>
      </c>
      <c r="E592" s="1"/>
      <c r="F592" s="1">
        <v>20.76</v>
      </c>
      <c r="G592" s="1">
        <v>20000</v>
      </c>
      <c r="H592" s="5">
        <f t="shared" si="13"/>
        <v>0</v>
      </c>
      <c r="I592" s="1"/>
      <c r="J592" s="1"/>
    </row>
    <row r="593" spans="2:10" x14ac:dyDescent="0.2">
      <c r="B593" s="1" t="s">
        <v>120</v>
      </c>
      <c r="C593" s="32">
        <v>511</v>
      </c>
      <c r="D593" s="1">
        <v>32000</v>
      </c>
      <c r="E593" s="1"/>
      <c r="F593" s="1">
        <v>320.27999999999997</v>
      </c>
      <c r="G593" s="1">
        <v>32000</v>
      </c>
      <c r="H593" s="5">
        <f t="shared" si="13"/>
        <v>0</v>
      </c>
      <c r="I593" s="1"/>
      <c r="J593" s="1"/>
    </row>
    <row r="594" spans="2:10" x14ac:dyDescent="0.2">
      <c r="B594" s="1" t="s">
        <v>120</v>
      </c>
      <c r="C594" s="32">
        <v>4194</v>
      </c>
      <c r="D594" s="1">
        <v>15000</v>
      </c>
      <c r="E594" s="1"/>
      <c r="F594" s="1">
        <v>155</v>
      </c>
      <c r="G594" s="1">
        <v>15000</v>
      </c>
      <c r="H594" s="5">
        <f t="shared" si="13"/>
        <v>0</v>
      </c>
      <c r="I594" s="1"/>
      <c r="J594" s="1"/>
    </row>
    <row r="595" spans="2:10" x14ac:dyDescent="0.2">
      <c r="B595" s="1" t="s">
        <v>120</v>
      </c>
      <c r="C595" s="32">
        <v>7876</v>
      </c>
      <c r="D595" s="1">
        <v>15000</v>
      </c>
      <c r="E595" s="1"/>
      <c r="F595" s="1">
        <v>155</v>
      </c>
      <c r="G595" s="1">
        <v>15000</v>
      </c>
      <c r="H595" s="5">
        <f t="shared" si="13"/>
        <v>0</v>
      </c>
      <c r="I595" s="1"/>
      <c r="J595" s="1"/>
    </row>
    <row r="596" spans="2:10" x14ac:dyDescent="0.2">
      <c r="B596" s="1" t="s">
        <v>120</v>
      </c>
      <c r="C596" s="32">
        <v>9927</v>
      </c>
      <c r="D596" s="1">
        <v>20000</v>
      </c>
      <c r="E596" s="1"/>
      <c r="F596" s="1">
        <v>206.76</v>
      </c>
      <c r="G596" s="1">
        <v>20000</v>
      </c>
      <c r="H596" s="5">
        <f t="shared" si="13"/>
        <v>0</v>
      </c>
      <c r="I596" s="1"/>
      <c r="J596" s="1"/>
    </row>
    <row r="597" spans="2:10" x14ac:dyDescent="0.2">
      <c r="B597" s="1" t="s">
        <v>120</v>
      </c>
      <c r="C597" s="32">
        <v>751</v>
      </c>
      <c r="D597" s="1">
        <v>20000</v>
      </c>
      <c r="E597" s="1"/>
      <c r="F597" s="1">
        <v>206.76</v>
      </c>
      <c r="G597" s="1">
        <v>20000</v>
      </c>
      <c r="H597" s="5">
        <f t="shared" si="13"/>
        <v>0</v>
      </c>
      <c r="I597" s="1"/>
      <c r="J597" s="1"/>
    </row>
    <row r="598" spans="2:10" x14ac:dyDescent="0.2">
      <c r="B598" s="1" t="s">
        <v>120</v>
      </c>
      <c r="C598" s="32">
        <v>3606</v>
      </c>
      <c r="D598" s="1">
        <v>20000</v>
      </c>
      <c r="E598" s="1"/>
      <c r="F598" s="1">
        <v>206.76</v>
      </c>
      <c r="G598" s="1">
        <v>20000</v>
      </c>
      <c r="H598" s="5">
        <f t="shared" si="13"/>
        <v>0</v>
      </c>
      <c r="I598" s="1"/>
      <c r="J598" s="1"/>
    </row>
    <row r="599" spans="2:10" x14ac:dyDescent="0.2">
      <c r="B599" s="1" t="s">
        <v>120</v>
      </c>
      <c r="C599" s="32">
        <v>5324</v>
      </c>
      <c r="D599" s="1">
        <v>18000</v>
      </c>
      <c r="E599" s="1"/>
      <c r="F599" s="1">
        <v>186.08</v>
      </c>
      <c r="G599" s="1">
        <v>18000</v>
      </c>
      <c r="H599" s="5">
        <f t="shared" si="13"/>
        <v>0</v>
      </c>
      <c r="I599" s="1"/>
      <c r="J599" s="1"/>
    </row>
    <row r="600" spans="2:10" x14ac:dyDescent="0.2">
      <c r="B600" s="1" t="s">
        <v>120</v>
      </c>
      <c r="C600" s="32">
        <v>5716</v>
      </c>
      <c r="D600" s="1">
        <v>10000</v>
      </c>
      <c r="E600" s="1"/>
      <c r="F600" s="1">
        <v>103.38</v>
      </c>
      <c r="G600" s="1">
        <v>10000</v>
      </c>
      <c r="H600" s="5">
        <f t="shared" si="13"/>
        <v>0</v>
      </c>
      <c r="I600" s="1"/>
      <c r="J600" s="1"/>
    </row>
    <row r="601" spans="2:10" x14ac:dyDescent="0.2">
      <c r="B601" s="1" t="s">
        <v>120</v>
      </c>
      <c r="C601" s="32">
        <v>9337</v>
      </c>
      <c r="D601" s="1">
        <v>25000</v>
      </c>
      <c r="E601" s="1"/>
      <c r="F601" s="1">
        <v>258.45</v>
      </c>
      <c r="G601" s="1">
        <v>25000</v>
      </c>
      <c r="H601" s="5">
        <f t="shared" si="13"/>
        <v>0</v>
      </c>
      <c r="I601" s="1"/>
      <c r="J601" s="1"/>
    </row>
    <row r="602" spans="2:10" x14ac:dyDescent="0.2">
      <c r="B602" s="1" t="s">
        <v>120</v>
      </c>
      <c r="C602" s="32">
        <v>7988</v>
      </c>
      <c r="D602" s="1">
        <v>14000</v>
      </c>
      <c r="E602" s="1"/>
      <c r="F602" s="1">
        <v>144.72999999999999</v>
      </c>
      <c r="G602" s="1">
        <v>14000</v>
      </c>
      <c r="H602" s="5">
        <f t="shared" si="13"/>
        <v>0</v>
      </c>
      <c r="I602" s="1"/>
      <c r="J602" s="1"/>
    </row>
    <row r="603" spans="2:10" x14ac:dyDescent="0.2">
      <c r="B603" s="1" t="s">
        <v>120</v>
      </c>
      <c r="C603" s="32">
        <v>3505</v>
      </c>
      <c r="D603" s="1">
        <v>30000</v>
      </c>
      <c r="E603" s="1"/>
      <c r="F603" s="1">
        <v>310.14999999999998</v>
      </c>
      <c r="G603" s="1">
        <v>30000</v>
      </c>
      <c r="H603" s="5">
        <f t="shared" si="13"/>
        <v>0</v>
      </c>
      <c r="I603" s="1"/>
      <c r="J603" s="1"/>
    </row>
    <row r="604" spans="2:10" x14ac:dyDescent="0.2">
      <c r="B604" s="1" t="s">
        <v>120</v>
      </c>
      <c r="C604" s="32">
        <v>1723</v>
      </c>
      <c r="D604" s="1">
        <v>10000</v>
      </c>
      <c r="E604" s="1"/>
      <c r="F604" s="1">
        <v>178.85</v>
      </c>
      <c r="G604" s="1">
        <v>10000</v>
      </c>
      <c r="H604" s="5">
        <f t="shared" si="13"/>
        <v>0</v>
      </c>
      <c r="I604" s="1"/>
      <c r="J604" s="1"/>
    </row>
    <row r="605" spans="2:10" x14ac:dyDescent="0.2">
      <c r="B605" s="1" t="s">
        <v>120</v>
      </c>
      <c r="C605" s="32">
        <v>4871</v>
      </c>
      <c r="D605" s="1">
        <v>16000</v>
      </c>
      <c r="E605" s="1"/>
      <c r="F605" s="1">
        <v>165.41</v>
      </c>
      <c r="G605" s="1">
        <v>16000</v>
      </c>
      <c r="H605" s="5">
        <f t="shared" si="13"/>
        <v>0</v>
      </c>
      <c r="I605" s="1"/>
      <c r="J605" s="1"/>
    </row>
    <row r="606" spans="2:10" x14ac:dyDescent="0.2">
      <c r="B606" s="1" t="s">
        <v>120</v>
      </c>
      <c r="C606" s="32">
        <v>6878</v>
      </c>
      <c r="D606" s="1">
        <v>28000</v>
      </c>
      <c r="E606" s="1"/>
      <c r="F606" s="1">
        <v>289</v>
      </c>
      <c r="G606" s="1">
        <v>28000</v>
      </c>
      <c r="H606" s="5">
        <f t="shared" si="13"/>
        <v>0</v>
      </c>
      <c r="I606" s="1"/>
      <c r="J606" s="1"/>
    </row>
    <row r="607" spans="2:10" x14ac:dyDescent="0.2">
      <c r="B607" s="1" t="s">
        <v>122</v>
      </c>
      <c r="C607" s="32">
        <v>7971</v>
      </c>
      <c r="D607" s="1">
        <v>30000</v>
      </c>
      <c r="E607" s="1"/>
      <c r="F607" s="1">
        <v>310.14</v>
      </c>
      <c r="G607" s="1">
        <v>30000</v>
      </c>
      <c r="H607" s="5">
        <f t="shared" si="13"/>
        <v>0</v>
      </c>
      <c r="I607" s="1"/>
      <c r="J607" s="1"/>
    </row>
    <row r="608" spans="2:10" x14ac:dyDescent="0.2">
      <c r="B608" s="1" t="s">
        <v>122</v>
      </c>
      <c r="C608" s="32">
        <v>756</v>
      </c>
      <c r="D608" s="1">
        <v>25000</v>
      </c>
      <c r="E608" s="1"/>
      <c r="F608" s="1">
        <v>258.45</v>
      </c>
      <c r="G608" s="1">
        <v>25000</v>
      </c>
      <c r="H608" s="5">
        <f t="shared" si="13"/>
        <v>0</v>
      </c>
      <c r="I608" s="1"/>
      <c r="J608" s="1"/>
    </row>
    <row r="609" spans="2:10" x14ac:dyDescent="0.2">
      <c r="B609" s="1" t="s">
        <v>122</v>
      </c>
      <c r="C609" s="32">
        <v>5691</v>
      </c>
      <c r="D609" s="1">
        <v>25000</v>
      </c>
      <c r="E609" s="1"/>
      <c r="F609" s="1">
        <v>258.45</v>
      </c>
      <c r="G609" s="1">
        <v>25000</v>
      </c>
      <c r="H609" s="5">
        <f t="shared" si="13"/>
        <v>0</v>
      </c>
      <c r="I609" s="1"/>
      <c r="J609" s="1"/>
    </row>
    <row r="610" spans="2:10" x14ac:dyDescent="0.2">
      <c r="B610" s="1" t="s">
        <v>122</v>
      </c>
      <c r="C610" s="32">
        <v>1220</v>
      </c>
      <c r="D610" s="1">
        <v>13000</v>
      </c>
      <c r="E610" s="1"/>
      <c r="F610" s="1">
        <v>134.38999999999999</v>
      </c>
      <c r="G610" s="1">
        <v>13000</v>
      </c>
      <c r="H610" s="5">
        <f t="shared" si="13"/>
        <v>0</v>
      </c>
      <c r="I610" s="1"/>
      <c r="J610" s="1"/>
    </row>
    <row r="611" spans="2:10" x14ac:dyDescent="0.2">
      <c r="B611" s="1" t="s">
        <v>122</v>
      </c>
      <c r="C611" s="32">
        <v>293</v>
      </c>
      <c r="D611" s="1">
        <v>15000</v>
      </c>
      <c r="E611" s="1"/>
      <c r="F611" s="1">
        <v>155.07</v>
      </c>
      <c r="G611" s="1">
        <v>15000</v>
      </c>
      <c r="H611" s="5">
        <f t="shared" si="13"/>
        <v>0</v>
      </c>
      <c r="I611" s="1"/>
      <c r="J611" s="1"/>
    </row>
    <row r="612" spans="2:10" x14ac:dyDescent="0.2">
      <c r="B612" s="1" t="s">
        <v>122</v>
      </c>
      <c r="C612" s="32">
        <v>341</v>
      </c>
      <c r="D612" s="1">
        <v>28000</v>
      </c>
      <c r="E612" s="1"/>
      <c r="F612" s="1">
        <v>287.47000000000003</v>
      </c>
      <c r="G612" s="1">
        <v>28000</v>
      </c>
      <c r="H612" s="5">
        <f t="shared" si="13"/>
        <v>0</v>
      </c>
      <c r="I612" s="1"/>
      <c r="J612" s="1"/>
    </row>
    <row r="613" spans="2:10" x14ac:dyDescent="0.2">
      <c r="B613" s="1" t="s">
        <v>122</v>
      </c>
      <c r="C613" s="32" t="s">
        <v>61</v>
      </c>
      <c r="D613" s="1">
        <v>3500</v>
      </c>
      <c r="E613" s="1"/>
      <c r="F613" s="1">
        <v>36.18</v>
      </c>
      <c r="G613" s="1">
        <v>3500</v>
      </c>
      <c r="H613" s="5">
        <f t="shared" si="13"/>
        <v>0</v>
      </c>
      <c r="I613" s="1"/>
      <c r="J613" s="1"/>
    </row>
    <row r="614" spans="2:10" x14ac:dyDescent="0.2">
      <c r="B614" s="1" t="s">
        <v>122</v>
      </c>
      <c r="C614" s="32">
        <v>8476</v>
      </c>
      <c r="D614" s="1">
        <v>10000</v>
      </c>
      <c r="E614" s="1"/>
      <c r="F614" s="1">
        <v>103.38</v>
      </c>
      <c r="G614" s="1">
        <v>10000</v>
      </c>
      <c r="H614" s="5">
        <f t="shared" si="13"/>
        <v>0</v>
      </c>
      <c r="I614" s="1"/>
      <c r="J614" s="1"/>
    </row>
    <row r="615" spans="2:10" x14ac:dyDescent="0.2">
      <c r="B615" s="1" t="s">
        <v>122</v>
      </c>
      <c r="C615" s="32" t="s">
        <v>66</v>
      </c>
      <c r="D615" s="1">
        <v>100</v>
      </c>
      <c r="E615" s="1"/>
      <c r="F615" s="1"/>
      <c r="G615" s="1">
        <v>100</v>
      </c>
      <c r="H615" s="5">
        <f t="shared" si="13"/>
        <v>0</v>
      </c>
      <c r="I615" s="1"/>
      <c r="J615" s="1"/>
    </row>
    <row r="616" spans="2:10" x14ac:dyDescent="0.2">
      <c r="B616" s="1" t="s">
        <v>122</v>
      </c>
      <c r="C616" s="32">
        <v>3411</v>
      </c>
      <c r="D616" s="1">
        <v>32000</v>
      </c>
      <c r="E616" s="1"/>
      <c r="F616" s="1">
        <v>312</v>
      </c>
      <c r="G616" s="1">
        <v>32000</v>
      </c>
      <c r="H616" s="5">
        <f t="shared" si="13"/>
        <v>0</v>
      </c>
      <c r="I616" s="1"/>
      <c r="J616" s="1"/>
    </row>
    <row r="617" spans="2:10" x14ac:dyDescent="0.2">
      <c r="B617" s="1" t="s">
        <v>122</v>
      </c>
      <c r="C617" s="32">
        <v>302</v>
      </c>
      <c r="D617" s="1">
        <v>35000</v>
      </c>
      <c r="E617" s="1"/>
      <c r="F617" s="1">
        <v>346</v>
      </c>
      <c r="G617" s="1">
        <v>35000</v>
      </c>
      <c r="H617" s="5">
        <f t="shared" si="13"/>
        <v>0</v>
      </c>
      <c r="I617" s="1"/>
      <c r="J617" s="1"/>
    </row>
    <row r="618" spans="2:10" x14ac:dyDescent="0.2">
      <c r="B618" s="1" t="s">
        <v>122</v>
      </c>
      <c r="C618" s="32">
        <v>386</v>
      </c>
      <c r="D618" s="1">
        <v>19000</v>
      </c>
      <c r="E618" s="1"/>
      <c r="F618" s="1">
        <v>196.42</v>
      </c>
      <c r="G618" s="1">
        <v>19000</v>
      </c>
      <c r="H618" s="5">
        <f t="shared" si="13"/>
        <v>0</v>
      </c>
      <c r="I618" s="1"/>
      <c r="J618" s="1"/>
    </row>
    <row r="619" spans="2:10" x14ac:dyDescent="0.2">
      <c r="B619" s="1" t="s">
        <v>122</v>
      </c>
      <c r="C619" s="32">
        <v>739</v>
      </c>
      <c r="D619" s="1">
        <v>10000</v>
      </c>
      <c r="E619" s="1"/>
      <c r="F619" s="1">
        <v>103.38</v>
      </c>
      <c r="G619" s="1">
        <v>10000</v>
      </c>
      <c r="H619" s="5">
        <f t="shared" si="13"/>
        <v>0</v>
      </c>
      <c r="I619" s="1"/>
      <c r="J619" s="1"/>
    </row>
    <row r="620" spans="2:10" x14ac:dyDescent="0.2">
      <c r="B620" s="1" t="s">
        <v>122</v>
      </c>
      <c r="C620" s="32">
        <v>120</v>
      </c>
      <c r="D620" s="1">
        <v>20000</v>
      </c>
      <c r="E620" s="1"/>
      <c r="F620" s="1">
        <v>206.76</v>
      </c>
      <c r="G620" s="1">
        <v>20000</v>
      </c>
      <c r="H620" s="5">
        <f t="shared" si="13"/>
        <v>0</v>
      </c>
      <c r="I620" s="1"/>
      <c r="J620" s="1"/>
    </row>
    <row r="621" spans="2:10" x14ac:dyDescent="0.2">
      <c r="B621" s="1" t="s">
        <v>122</v>
      </c>
      <c r="C621" s="32">
        <v>490</v>
      </c>
      <c r="D621" s="1">
        <v>30000</v>
      </c>
      <c r="E621" s="1"/>
      <c r="F621" s="1">
        <v>310</v>
      </c>
      <c r="G621" s="1">
        <v>30000</v>
      </c>
      <c r="H621" s="5">
        <f t="shared" si="13"/>
        <v>0</v>
      </c>
      <c r="I621" s="1"/>
      <c r="J621" s="1"/>
    </row>
    <row r="622" spans="2:10" x14ac:dyDescent="0.2">
      <c r="B622" s="1" t="s">
        <v>122</v>
      </c>
      <c r="C622" s="32">
        <v>7344</v>
      </c>
      <c r="D622" s="1">
        <v>18000</v>
      </c>
      <c r="E622" s="1"/>
      <c r="F622" s="1">
        <v>186</v>
      </c>
      <c r="G622" s="1">
        <v>18000</v>
      </c>
      <c r="H622" s="5">
        <f t="shared" si="13"/>
        <v>0</v>
      </c>
      <c r="I622" s="1"/>
      <c r="J622" s="1"/>
    </row>
    <row r="623" spans="2:10" x14ac:dyDescent="0.2">
      <c r="B623" s="1" t="s">
        <v>122</v>
      </c>
      <c r="C623" s="32" t="s">
        <v>61</v>
      </c>
      <c r="D623" s="1">
        <v>4500</v>
      </c>
      <c r="E623" s="1"/>
      <c r="F623" s="1">
        <v>46.52</v>
      </c>
      <c r="G623" s="1">
        <v>4500</v>
      </c>
      <c r="H623" s="5">
        <f t="shared" si="13"/>
        <v>0</v>
      </c>
      <c r="I623" s="1"/>
      <c r="J623" s="1"/>
    </row>
    <row r="624" spans="2:10" x14ac:dyDescent="0.2">
      <c r="B624" s="1" t="s">
        <v>123</v>
      </c>
      <c r="C624" s="32">
        <v>35</v>
      </c>
      <c r="D624" s="1">
        <v>16000</v>
      </c>
      <c r="E624" s="1"/>
      <c r="F624" s="1">
        <v>165.49</v>
      </c>
      <c r="G624" s="1">
        <v>16000</v>
      </c>
      <c r="H624" s="5">
        <f t="shared" si="13"/>
        <v>0</v>
      </c>
      <c r="I624" s="1"/>
      <c r="J624" s="1"/>
    </row>
    <row r="625" spans="2:10" x14ac:dyDescent="0.2">
      <c r="B625" s="1" t="s">
        <v>123</v>
      </c>
      <c r="C625" s="32">
        <v>65</v>
      </c>
      <c r="D625" s="1">
        <v>5000</v>
      </c>
      <c r="E625" s="1"/>
      <c r="F625" s="1">
        <v>51.69</v>
      </c>
      <c r="G625" s="1">
        <v>5000</v>
      </c>
      <c r="H625" s="5">
        <f t="shared" si="13"/>
        <v>0</v>
      </c>
      <c r="I625" s="1"/>
      <c r="J625" s="1"/>
    </row>
    <row r="626" spans="2:10" x14ac:dyDescent="0.2">
      <c r="B626" s="1" t="s">
        <v>123</v>
      </c>
      <c r="C626" s="32">
        <v>12</v>
      </c>
      <c r="D626" s="1">
        <v>16000</v>
      </c>
      <c r="E626" s="1"/>
      <c r="F626" s="1">
        <v>165.49</v>
      </c>
      <c r="G626" s="1">
        <v>16000</v>
      </c>
      <c r="H626" s="5">
        <f t="shared" si="13"/>
        <v>0</v>
      </c>
      <c r="I626" s="1"/>
      <c r="J626" s="1"/>
    </row>
    <row r="627" spans="2:10" x14ac:dyDescent="0.2">
      <c r="B627" s="1" t="s">
        <v>123</v>
      </c>
      <c r="C627" s="32">
        <v>3691</v>
      </c>
      <c r="D627" s="1">
        <v>25000</v>
      </c>
      <c r="E627" s="1"/>
      <c r="F627" s="1">
        <v>258.45</v>
      </c>
      <c r="G627" s="1">
        <v>25000</v>
      </c>
      <c r="H627" s="5">
        <f t="shared" si="13"/>
        <v>0</v>
      </c>
      <c r="I627" s="1"/>
      <c r="J627" s="1"/>
    </row>
    <row r="628" spans="2:10" x14ac:dyDescent="0.2">
      <c r="B628" s="1" t="s">
        <v>123</v>
      </c>
      <c r="C628" s="32">
        <v>1513</v>
      </c>
      <c r="D628" s="1">
        <v>25000</v>
      </c>
      <c r="E628" s="1"/>
      <c r="F628" s="1">
        <v>258.45</v>
      </c>
      <c r="G628" s="1">
        <v>25000</v>
      </c>
      <c r="H628" s="5">
        <f t="shared" si="13"/>
        <v>0</v>
      </c>
      <c r="I628" s="1"/>
      <c r="J628" s="1"/>
    </row>
    <row r="629" spans="2:10" x14ac:dyDescent="0.2">
      <c r="B629" s="1" t="s">
        <v>123</v>
      </c>
      <c r="C629" s="32">
        <v>3150</v>
      </c>
      <c r="D629" s="1">
        <v>14000</v>
      </c>
      <c r="E629" s="1"/>
      <c r="F629" s="1">
        <v>144.72999999999999</v>
      </c>
      <c r="G629" s="1">
        <v>14000</v>
      </c>
      <c r="H629" s="5">
        <f t="shared" si="13"/>
        <v>0</v>
      </c>
      <c r="I629" s="1"/>
      <c r="J629" s="1"/>
    </row>
    <row r="630" spans="2:10" x14ac:dyDescent="0.2">
      <c r="B630" s="1" t="s">
        <v>123</v>
      </c>
      <c r="C630" s="32">
        <v>2808</v>
      </c>
      <c r="D630" s="1">
        <v>30000</v>
      </c>
      <c r="E630" s="1"/>
      <c r="F630" s="1">
        <v>310.14</v>
      </c>
      <c r="G630" s="1">
        <v>30000</v>
      </c>
      <c r="H630" s="5">
        <f t="shared" si="13"/>
        <v>0</v>
      </c>
      <c r="I630" s="1"/>
      <c r="J630" s="1"/>
    </row>
    <row r="631" spans="2:10" x14ac:dyDescent="0.2">
      <c r="B631" s="1" t="s">
        <v>123</v>
      </c>
      <c r="C631" s="32">
        <v>9393</v>
      </c>
      <c r="D631" s="1">
        <v>10000</v>
      </c>
      <c r="E631" s="1"/>
      <c r="F631" s="1">
        <v>103.38</v>
      </c>
      <c r="G631" s="1">
        <v>10000</v>
      </c>
      <c r="H631" s="5">
        <f t="shared" si="13"/>
        <v>0</v>
      </c>
      <c r="I631" s="1"/>
      <c r="J631" s="1"/>
    </row>
    <row r="632" spans="2:10" x14ac:dyDescent="0.2">
      <c r="B632" s="1" t="s">
        <v>123</v>
      </c>
      <c r="C632" s="32">
        <v>126</v>
      </c>
      <c r="D632" s="1">
        <v>15000</v>
      </c>
      <c r="E632" s="1"/>
      <c r="F632" s="1">
        <v>155.07</v>
      </c>
      <c r="G632" s="1">
        <v>15000</v>
      </c>
      <c r="H632" s="5">
        <f t="shared" si="13"/>
        <v>0</v>
      </c>
      <c r="I632" s="1"/>
      <c r="J632" s="1"/>
    </row>
    <row r="633" spans="2:10" x14ac:dyDescent="0.2">
      <c r="B633" s="1" t="s">
        <v>123</v>
      </c>
      <c r="C633" s="32">
        <v>847</v>
      </c>
      <c r="D633" s="1">
        <v>14000</v>
      </c>
      <c r="E633" s="1"/>
      <c r="F633" s="1">
        <v>144.72999999999999</v>
      </c>
      <c r="G633" s="1">
        <v>14000</v>
      </c>
      <c r="H633" s="5">
        <f t="shared" si="13"/>
        <v>0</v>
      </c>
      <c r="I633" s="1"/>
      <c r="J633" s="1"/>
    </row>
    <row r="634" spans="2:10" x14ac:dyDescent="0.2">
      <c r="B634" s="1" t="s">
        <v>123</v>
      </c>
      <c r="C634" s="32">
        <v>8725</v>
      </c>
      <c r="D634" s="1">
        <v>30000</v>
      </c>
      <c r="E634" s="1"/>
      <c r="F634" s="1">
        <v>310.14</v>
      </c>
      <c r="G634" s="1">
        <v>30000</v>
      </c>
      <c r="H634" s="5">
        <f t="shared" si="13"/>
        <v>0</v>
      </c>
      <c r="I634" s="1"/>
      <c r="J634" s="1"/>
    </row>
    <row r="635" spans="2:10" x14ac:dyDescent="0.2">
      <c r="B635" s="1" t="s">
        <v>123</v>
      </c>
      <c r="C635" s="32">
        <v>1476</v>
      </c>
      <c r="D635" s="1">
        <v>12000</v>
      </c>
      <c r="E635" s="1"/>
      <c r="F635" s="1">
        <v>124</v>
      </c>
      <c r="G635" s="1">
        <v>12000</v>
      </c>
      <c r="H635" s="5">
        <f t="shared" si="13"/>
        <v>0</v>
      </c>
      <c r="I635" s="1"/>
      <c r="J635" s="1"/>
    </row>
    <row r="636" spans="2:10" x14ac:dyDescent="0.2">
      <c r="B636" s="1" t="s">
        <v>123</v>
      </c>
      <c r="C636" s="32">
        <v>3557</v>
      </c>
      <c r="D636" s="1">
        <v>20000</v>
      </c>
      <c r="E636" s="1"/>
      <c r="F636" s="1">
        <v>206.26</v>
      </c>
      <c r="G636" s="1">
        <v>20000</v>
      </c>
      <c r="H636" s="5">
        <f t="shared" si="13"/>
        <v>0</v>
      </c>
      <c r="I636" s="1"/>
      <c r="J636" s="1"/>
    </row>
    <row r="637" spans="2:10" x14ac:dyDescent="0.2">
      <c r="B637" s="1" t="s">
        <v>123</v>
      </c>
      <c r="C637" s="32">
        <v>711</v>
      </c>
      <c r="D637" s="1">
        <v>35000</v>
      </c>
      <c r="E637" s="1"/>
      <c r="F637" s="1">
        <v>361.85</v>
      </c>
      <c r="G637" s="1">
        <v>35000</v>
      </c>
      <c r="H637" s="5">
        <f t="shared" si="13"/>
        <v>0</v>
      </c>
      <c r="I637" s="1"/>
      <c r="J637" s="1"/>
    </row>
    <row r="638" spans="2:10" x14ac:dyDescent="0.2">
      <c r="B638" s="1" t="s">
        <v>123</v>
      </c>
      <c r="C638" s="32">
        <v>1347</v>
      </c>
      <c r="D638" s="1">
        <v>25000</v>
      </c>
      <c r="E638" s="1"/>
      <c r="F638" s="1">
        <v>258.45</v>
      </c>
      <c r="G638" s="1">
        <v>25000</v>
      </c>
      <c r="H638" s="5">
        <f t="shared" si="13"/>
        <v>0</v>
      </c>
      <c r="I638" s="1"/>
      <c r="J638" s="1"/>
    </row>
    <row r="639" spans="2:10" x14ac:dyDescent="0.2">
      <c r="B639" s="1" t="s">
        <v>123</v>
      </c>
      <c r="C639" s="32">
        <v>8452</v>
      </c>
      <c r="D639" s="1">
        <v>24000</v>
      </c>
      <c r="E639" s="1"/>
      <c r="F639" s="1">
        <v>245.84</v>
      </c>
      <c r="G639" s="1">
        <v>24000</v>
      </c>
      <c r="H639" s="5">
        <f t="shared" si="13"/>
        <v>0</v>
      </c>
      <c r="I639" s="1"/>
      <c r="J639" s="1"/>
    </row>
    <row r="640" spans="2:10" x14ac:dyDescent="0.2">
      <c r="B640" s="1" t="s">
        <v>123</v>
      </c>
      <c r="C640" s="32">
        <v>9539</v>
      </c>
      <c r="D640" s="1">
        <v>5000</v>
      </c>
      <c r="E640" s="1"/>
      <c r="F640" s="1">
        <v>51.69</v>
      </c>
      <c r="G640" s="1">
        <v>5000</v>
      </c>
      <c r="H640" s="5">
        <f t="shared" si="13"/>
        <v>0</v>
      </c>
      <c r="I640" s="1"/>
      <c r="J640" s="1"/>
    </row>
    <row r="641" spans="2:10" x14ac:dyDescent="0.2">
      <c r="B641" s="1" t="s">
        <v>123</v>
      </c>
      <c r="C641" s="32">
        <v>543</v>
      </c>
      <c r="D641" s="1">
        <v>13000</v>
      </c>
      <c r="E641" s="1"/>
      <c r="F641" s="1">
        <v>134.38999999999999</v>
      </c>
      <c r="G641" s="1">
        <v>13000</v>
      </c>
      <c r="H641" s="5">
        <f t="shared" si="13"/>
        <v>0</v>
      </c>
      <c r="I641" s="1"/>
      <c r="J641" s="1"/>
    </row>
    <row r="642" spans="2:10" x14ac:dyDescent="0.2">
      <c r="B642" s="1" t="s">
        <v>123</v>
      </c>
      <c r="C642" s="32">
        <v>4823</v>
      </c>
      <c r="D642" s="1">
        <v>27000</v>
      </c>
      <c r="E642" s="1"/>
      <c r="F642" s="1">
        <v>179.12</v>
      </c>
      <c r="G642" s="1">
        <v>27000</v>
      </c>
      <c r="H642" s="5">
        <f t="shared" si="13"/>
        <v>0</v>
      </c>
      <c r="I642" s="1"/>
      <c r="J642" s="1"/>
    </row>
    <row r="643" spans="2:10" x14ac:dyDescent="0.2">
      <c r="B643" s="1" t="s">
        <v>124</v>
      </c>
      <c r="C643" s="32">
        <v>8762</v>
      </c>
      <c r="D643" s="1">
        <v>20000</v>
      </c>
      <c r="E643" s="1"/>
      <c r="F643" s="1">
        <v>206.76</v>
      </c>
      <c r="G643" s="1">
        <v>20000</v>
      </c>
      <c r="H643" s="5">
        <f t="shared" si="13"/>
        <v>0</v>
      </c>
      <c r="I643" s="1"/>
      <c r="J643" s="1"/>
    </row>
    <row r="644" spans="2:10" x14ac:dyDescent="0.2">
      <c r="B644" s="1" t="s">
        <v>124</v>
      </c>
      <c r="C644" s="32">
        <v>5508</v>
      </c>
      <c r="D644" s="1">
        <v>22000</v>
      </c>
      <c r="E644" s="1"/>
      <c r="F644" s="1">
        <v>184.2</v>
      </c>
      <c r="G644" s="1">
        <v>22000</v>
      </c>
      <c r="H644" s="5">
        <f t="shared" si="13"/>
        <v>0</v>
      </c>
      <c r="I644" s="1"/>
      <c r="J644" s="1"/>
    </row>
    <row r="645" spans="2:10" x14ac:dyDescent="0.2">
      <c r="B645" s="1" t="s">
        <v>124</v>
      </c>
      <c r="C645" s="32">
        <v>5281</v>
      </c>
      <c r="D645" s="1">
        <v>14000</v>
      </c>
      <c r="E645" s="1"/>
      <c r="F645" s="1">
        <v>144.72999999999999</v>
      </c>
      <c r="G645" s="1">
        <v>14000</v>
      </c>
      <c r="H645" s="5">
        <f t="shared" si="13"/>
        <v>0</v>
      </c>
      <c r="I645" s="1"/>
      <c r="J645" s="1"/>
    </row>
    <row r="646" spans="2:10" x14ac:dyDescent="0.2">
      <c r="B646" s="1" t="s">
        <v>124</v>
      </c>
      <c r="C646" s="32">
        <v>293</v>
      </c>
      <c r="D646" s="1">
        <v>15000</v>
      </c>
      <c r="E646" s="1"/>
      <c r="F646" s="1">
        <v>155.07</v>
      </c>
      <c r="G646" s="1">
        <v>15000</v>
      </c>
      <c r="H646" s="5">
        <f t="shared" si="13"/>
        <v>0</v>
      </c>
      <c r="I646" s="1"/>
      <c r="J646" s="1"/>
    </row>
    <row r="647" spans="2:10" x14ac:dyDescent="0.2">
      <c r="B647" s="1" t="s">
        <v>124</v>
      </c>
      <c r="C647" s="32">
        <v>5655</v>
      </c>
      <c r="D647" s="1">
        <v>5000</v>
      </c>
      <c r="E647" s="1"/>
      <c r="F647" s="1">
        <v>51.69</v>
      </c>
      <c r="G647" s="1">
        <v>5000</v>
      </c>
      <c r="H647" s="5">
        <f t="shared" si="13"/>
        <v>0</v>
      </c>
      <c r="I647" s="1"/>
      <c r="J647" s="1"/>
    </row>
    <row r="648" spans="2:10" x14ac:dyDescent="0.2">
      <c r="B648" s="1" t="s">
        <v>124</v>
      </c>
      <c r="C648" s="32">
        <v>1205</v>
      </c>
      <c r="D648" s="1">
        <v>12000</v>
      </c>
      <c r="E648" s="1"/>
      <c r="F648" s="1">
        <v>124.06</v>
      </c>
      <c r="G648" s="1">
        <v>12000</v>
      </c>
      <c r="H648" s="5">
        <f t="shared" si="13"/>
        <v>0</v>
      </c>
      <c r="I648" s="1"/>
      <c r="J648" s="1"/>
    </row>
    <row r="649" spans="2:10" x14ac:dyDescent="0.2">
      <c r="B649" s="1" t="s">
        <v>124</v>
      </c>
      <c r="C649" s="32">
        <v>1220</v>
      </c>
      <c r="D649" s="1">
        <v>14000</v>
      </c>
      <c r="E649" s="1"/>
      <c r="F649" s="1">
        <v>144.72999999999999</v>
      </c>
      <c r="G649" s="1">
        <v>14000</v>
      </c>
      <c r="H649" s="5">
        <f t="shared" si="13"/>
        <v>0</v>
      </c>
      <c r="I649" s="1"/>
      <c r="J649" s="1"/>
    </row>
    <row r="650" spans="2:10" x14ac:dyDescent="0.2">
      <c r="B650" s="1" t="s">
        <v>124</v>
      </c>
      <c r="C650" s="32">
        <v>2350</v>
      </c>
      <c r="D650" s="1">
        <v>15000</v>
      </c>
      <c r="E650" s="1"/>
      <c r="F650" s="1">
        <v>155.07</v>
      </c>
      <c r="G650" s="1">
        <v>15000</v>
      </c>
      <c r="H650" s="5">
        <f t="shared" si="13"/>
        <v>0</v>
      </c>
      <c r="I650" s="1"/>
      <c r="J650" s="1"/>
    </row>
    <row r="651" spans="2:10" x14ac:dyDescent="0.2">
      <c r="B651" s="1" t="s">
        <v>124</v>
      </c>
      <c r="C651" s="32">
        <v>4787</v>
      </c>
      <c r="D651" s="1">
        <v>25000</v>
      </c>
      <c r="E651" s="1"/>
      <c r="F651" s="1">
        <v>258.45</v>
      </c>
      <c r="G651" s="1">
        <v>25000</v>
      </c>
      <c r="H651" s="5">
        <f t="shared" si="13"/>
        <v>0</v>
      </c>
      <c r="I651" s="1"/>
      <c r="J651" s="1"/>
    </row>
    <row r="652" spans="2:10" x14ac:dyDescent="0.2">
      <c r="B652" s="1" t="s">
        <v>124</v>
      </c>
      <c r="C652" s="32">
        <v>3131</v>
      </c>
      <c r="D652" s="1">
        <v>15000</v>
      </c>
      <c r="E652" s="1"/>
      <c r="F652" s="1">
        <v>155.07</v>
      </c>
      <c r="G652" s="1">
        <v>15000</v>
      </c>
      <c r="H652" s="5">
        <f t="shared" si="13"/>
        <v>0</v>
      </c>
      <c r="I652" s="1"/>
      <c r="J652" s="1"/>
    </row>
    <row r="653" spans="2:10" x14ac:dyDescent="0.2">
      <c r="B653" s="1" t="s">
        <v>124</v>
      </c>
      <c r="C653" s="32">
        <v>9708</v>
      </c>
      <c r="D653" s="1">
        <v>25000</v>
      </c>
      <c r="E653" s="1"/>
      <c r="F653" s="1">
        <v>258.45</v>
      </c>
      <c r="G653" s="1">
        <v>25000</v>
      </c>
      <c r="H653" s="5">
        <f t="shared" si="13"/>
        <v>0</v>
      </c>
      <c r="I653" s="1"/>
      <c r="J653" s="1"/>
    </row>
    <row r="654" spans="2:10" x14ac:dyDescent="0.2">
      <c r="B654" s="1" t="s">
        <v>124</v>
      </c>
      <c r="C654" s="32">
        <v>6988</v>
      </c>
      <c r="D654" s="1">
        <v>25000</v>
      </c>
      <c r="E654" s="1"/>
      <c r="F654" s="1">
        <v>255.66</v>
      </c>
      <c r="G654" s="1">
        <v>25000</v>
      </c>
      <c r="H654" s="5">
        <f t="shared" si="13"/>
        <v>0</v>
      </c>
      <c r="I654" s="1"/>
      <c r="J654" s="1"/>
    </row>
    <row r="655" spans="2:10" x14ac:dyDescent="0.2">
      <c r="B655" s="1" t="s">
        <v>124</v>
      </c>
      <c r="C655" s="32" t="s">
        <v>63</v>
      </c>
      <c r="D655" s="1">
        <v>3500</v>
      </c>
      <c r="E655" s="1"/>
      <c r="F655" s="1">
        <v>36.18</v>
      </c>
      <c r="G655" s="1">
        <v>3500</v>
      </c>
      <c r="H655" s="5">
        <f t="shared" si="13"/>
        <v>0</v>
      </c>
      <c r="I655" s="1"/>
      <c r="J655" s="1"/>
    </row>
    <row r="656" spans="2:10" x14ac:dyDescent="0.2">
      <c r="B656" s="1" t="s">
        <v>124</v>
      </c>
      <c r="C656" s="32">
        <v>7845</v>
      </c>
      <c r="D656" s="1">
        <v>25000</v>
      </c>
      <c r="E656" s="1"/>
      <c r="F656" s="1">
        <v>210.35</v>
      </c>
      <c r="G656" s="1">
        <v>25000</v>
      </c>
      <c r="H656" s="5">
        <f t="shared" si="13"/>
        <v>0</v>
      </c>
      <c r="I656" s="1"/>
      <c r="J656" s="1"/>
    </row>
    <row r="657" spans="2:10" x14ac:dyDescent="0.2">
      <c r="B657" s="1" t="s">
        <v>124</v>
      </c>
      <c r="C657" s="32">
        <v>1413</v>
      </c>
      <c r="D657" s="1">
        <v>16000</v>
      </c>
      <c r="E657" s="1"/>
      <c r="F657" s="1">
        <v>165.41</v>
      </c>
      <c r="G657" s="1">
        <v>16000</v>
      </c>
      <c r="H657" s="5">
        <f t="shared" si="13"/>
        <v>0</v>
      </c>
      <c r="I657" s="1"/>
      <c r="J657" s="1"/>
    </row>
    <row r="658" spans="2:10" x14ac:dyDescent="0.2">
      <c r="B658" s="1" t="s">
        <v>124</v>
      </c>
      <c r="C658" s="32">
        <v>4775</v>
      </c>
      <c r="D658" s="1">
        <v>5000</v>
      </c>
      <c r="E658" s="1"/>
      <c r="F658" s="1">
        <v>51.69</v>
      </c>
      <c r="G658" s="1">
        <v>5000</v>
      </c>
      <c r="H658" s="5">
        <f t="shared" si="13"/>
        <v>0</v>
      </c>
      <c r="I658" s="1"/>
      <c r="J658" s="1"/>
    </row>
    <row r="659" spans="2:10" x14ac:dyDescent="0.2">
      <c r="B659" s="1" t="s">
        <v>124</v>
      </c>
      <c r="C659" s="32">
        <v>9909</v>
      </c>
      <c r="D659" s="1">
        <v>27000</v>
      </c>
      <c r="E659" s="1"/>
      <c r="F659" s="1">
        <v>279.13</v>
      </c>
      <c r="G659" s="1">
        <v>27000</v>
      </c>
      <c r="H659" s="5">
        <f t="shared" si="13"/>
        <v>0</v>
      </c>
      <c r="I659" s="1"/>
      <c r="J659" s="1"/>
    </row>
    <row r="660" spans="2:10" x14ac:dyDescent="0.2">
      <c r="B660" s="1" t="s">
        <v>125</v>
      </c>
      <c r="C660" s="32">
        <v>4679</v>
      </c>
      <c r="D660" s="1">
        <v>15000</v>
      </c>
      <c r="E660" s="1"/>
      <c r="F660" s="1">
        <v>167.3</v>
      </c>
      <c r="G660" s="1">
        <v>15000</v>
      </c>
      <c r="H660" s="5">
        <f t="shared" si="13"/>
        <v>0</v>
      </c>
      <c r="I660" s="1"/>
      <c r="J660" s="1"/>
    </row>
    <row r="661" spans="2:10" x14ac:dyDescent="0.2">
      <c r="B661" s="1" t="s">
        <v>125</v>
      </c>
      <c r="C661" s="32" t="s">
        <v>61</v>
      </c>
      <c r="D661" s="1">
        <v>4500</v>
      </c>
      <c r="E661" s="1"/>
      <c r="F661" s="1">
        <v>50.19</v>
      </c>
      <c r="G661" s="1">
        <v>4500</v>
      </c>
      <c r="H661" s="5">
        <f t="shared" si="13"/>
        <v>0</v>
      </c>
      <c r="I661" s="1"/>
      <c r="J661" s="1"/>
    </row>
    <row r="662" spans="2:10" x14ac:dyDescent="0.2">
      <c r="B662" s="1" t="s">
        <v>125</v>
      </c>
      <c r="C662" s="32">
        <v>983</v>
      </c>
      <c r="D662" s="1">
        <v>23000</v>
      </c>
      <c r="E662" s="1"/>
      <c r="F662" s="1">
        <v>256.52</v>
      </c>
      <c r="G662" s="1">
        <v>23000</v>
      </c>
      <c r="H662" s="5">
        <f t="shared" si="13"/>
        <v>0</v>
      </c>
      <c r="I662" s="1"/>
      <c r="J662" s="1"/>
    </row>
    <row r="663" spans="2:10" x14ac:dyDescent="0.2">
      <c r="B663" s="1" t="s">
        <v>125</v>
      </c>
      <c r="C663" s="32">
        <v>9286</v>
      </c>
      <c r="D663" s="1">
        <v>10000</v>
      </c>
      <c r="E663" s="1"/>
      <c r="F663" s="1">
        <v>111.53</v>
      </c>
      <c r="G663" s="1">
        <v>10000</v>
      </c>
      <c r="H663" s="5">
        <f t="shared" si="13"/>
        <v>0</v>
      </c>
      <c r="I663" s="1"/>
      <c r="J663" s="1"/>
    </row>
    <row r="664" spans="2:10" x14ac:dyDescent="0.2">
      <c r="B664" s="1" t="s">
        <v>125</v>
      </c>
      <c r="C664" s="32">
        <v>756</v>
      </c>
      <c r="D664" s="1">
        <v>23000</v>
      </c>
      <c r="E664" s="1"/>
      <c r="F664" s="1">
        <v>256.22000000000003</v>
      </c>
      <c r="G664" s="1">
        <v>23000</v>
      </c>
      <c r="H664" s="5">
        <f t="shared" si="13"/>
        <v>0</v>
      </c>
      <c r="I664" s="1"/>
      <c r="J664" s="1"/>
    </row>
    <row r="665" spans="2:10" x14ac:dyDescent="0.2">
      <c r="B665" s="1" t="s">
        <v>125</v>
      </c>
      <c r="C665" s="32">
        <v>2458</v>
      </c>
      <c r="D665" s="1">
        <v>15000</v>
      </c>
      <c r="E665" s="1"/>
      <c r="F665" s="1">
        <v>167.3</v>
      </c>
      <c r="G665" s="1">
        <v>15000</v>
      </c>
      <c r="H665" s="5">
        <f t="shared" si="13"/>
        <v>0</v>
      </c>
      <c r="I665" s="1"/>
      <c r="J665" s="1"/>
    </row>
    <row r="666" spans="2:10" x14ac:dyDescent="0.2">
      <c r="B666" s="1" t="s">
        <v>125</v>
      </c>
      <c r="C666" s="32">
        <v>2229</v>
      </c>
      <c r="D666" s="1">
        <v>13000</v>
      </c>
      <c r="E666" s="1"/>
      <c r="F666" s="1">
        <v>144.99</v>
      </c>
      <c r="G666" s="1">
        <v>13000</v>
      </c>
      <c r="H666" s="5">
        <f t="shared" si="13"/>
        <v>0</v>
      </c>
      <c r="I666" s="1"/>
      <c r="J666" s="1"/>
    </row>
    <row r="667" spans="2:10" x14ac:dyDescent="0.2">
      <c r="B667" s="1" t="s">
        <v>125</v>
      </c>
      <c r="C667" s="32">
        <v>1422</v>
      </c>
      <c r="D667" s="1">
        <v>6000</v>
      </c>
      <c r="E667" s="1"/>
      <c r="F667" s="1">
        <v>49.2</v>
      </c>
      <c r="G667" s="1">
        <v>6000</v>
      </c>
      <c r="H667" s="5">
        <f t="shared" si="13"/>
        <v>0</v>
      </c>
      <c r="I667" s="1"/>
      <c r="J667" s="1"/>
    </row>
    <row r="668" spans="2:10" x14ac:dyDescent="0.2">
      <c r="B668" s="1" t="s">
        <v>125</v>
      </c>
      <c r="C668" s="32">
        <v>9703</v>
      </c>
      <c r="D668" s="1">
        <v>16000</v>
      </c>
      <c r="E668" s="1"/>
      <c r="F668" s="1">
        <v>178.45</v>
      </c>
      <c r="G668" s="1">
        <v>16000</v>
      </c>
      <c r="H668" s="5">
        <f t="shared" si="13"/>
        <v>0</v>
      </c>
      <c r="I668" s="1"/>
      <c r="J668" s="1"/>
    </row>
    <row r="669" spans="2:10" x14ac:dyDescent="0.2">
      <c r="B669" s="1" t="s">
        <v>125</v>
      </c>
      <c r="C669" s="32">
        <v>4962</v>
      </c>
      <c r="D669" s="1">
        <v>16000</v>
      </c>
      <c r="E669" s="1"/>
      <c r="F669" s="1">
        <v>128.44999999999999</v>
      </c>
      <c r="G669" s="1">
        <v>16000</v>
      </c>
      <c r="H669" s="5">
        <f t="shared" si="13"/>
        <v>0</v>
      </c>
      <c r="I669" s="1"/>
      <c r="J669" s="1"/>
    </row>
    <row r="670" spans="2:10" x14ac:dyDescent="0.2">
      <c r="B670" s="1" t="s">
        <v>125</v>
      </c>
      <c r="C670" s="32">
        <v>1888</v>
      </c>
      <c r="D670" s="1">
        <v>18000</v>
      </c>
      <c r="E670" s="1"/>
      <c r="F670" s="1">
        <v>133.94</v>
      </c>
      <c r="G670" s="1">
        <v>18000</v>
      </c>
      <c r="H670" s="5">
        <f t="shared" si="13"/>
        <v>0</v>
      </c>
      <c r="I670" s="1"/>
      <c r="J670" s="1"/>
    </row>
    <row r="671" spans="2:10" x14ac:dyDescent="0.2">
      <c r="B671" s="1" t="s">
        <v>125</v>
      </c>
      <c r="C671" s="32">
        <v>1952</v>
      </c>
      <c r="D671" s="1">
        <v>23000</v>
      </c>
      <c r="E671" s="1"/>
      <c r="F671" s="1">
        <v>256.52</v>
      </c>
      <c r="G671" s="1">
        <v>23000</v>
      </c>
      <c r="H671" s="5">
        <f t="shared" si="13"/>
        <v>0</v>
      </c>
      <c r="I671" s="1"/>
      <c r="J671" s="1"/>
    </row>
    <row r="672" spans="2:10" x14ac:dyDescent="0.2">
      <c r="B672" s="1" t="s">
        <v>125</v>
      </c>
      <c r="C672" s="32">
        <v>3088</v>
      </c>
      <c r="D672" s="1">
        <v>22000</v>
      </c>
      <c r="E672" s="1"/>
      <c r="F672" s="1">
        <v>245.59</v>
      </c>
      <c r="G672" s="1">
        <v>22000</v>
      </c>
      <c r="H672" s="5">
        <f t="shared" si="13"/>
        <v>0</v>
      </c>
      <c r="I672" s="1"/>
      <c r="J672" s="1"/>
    </row>
    <row r="673" spans="2:10" x14ac:dyDescent="0.2">
      <c r="B673" s="1" t="s">
        <v>125</v>
      </c>
      <c r="C673" s="32">
        <v>1268</v>
      </c>
      <c r="D673" s="1">
        <v>22000</v>
      </c>
      <c r="E673" s="1"/>
      <c r="F673" s="1">
        <v>245.59</v>
      </c>
      <c r="G673" s="1">
        <v>22000</v>
      </c>
      <c r="H673" s="5">
        <f t="shared" si="13"/>
        <v>0</v>
      </c>
      <c r="I673" s="1"/>
      <c r="J673" s="1"/>
    </row>
    <row r="674" spans="2:10" x14ac:dyDescent="0.2">
      <c r="B674" s="1" t="s">
        <v>125</v>
      </c>
      <c r="C674" s="32">
        <v>5632</v>
      </c>
      <c r="D674" s="1">
        <v>25000</v>
      </c>
      <c r="E674" s="1"/>
      <c r="F674" s="1">
        <v>366.94</v>
      </c>
      <c r="G674" s="1">
        <v>25000</v>
      </c>
      <c r="H674" s="5">
        <f t="shared" si="13"/>
        <v>0</v>
      </c>
      <c r="I674" s="1"/>
      <c r="J674" s="1"/>
    </row>
    <row r="675" spans="2:10" x14ac:dyDescent="0.2">
      <c r="B675" s="1" t="s">
        <v>125</v>
      </c>
      <c r="C675" s="32">
        <v>7099</v>
      </c>
      <c r="D675" s="1">
        <v>25000</v>
      </c>
      <c r="E675" s="1"/>
      <c r="F675" s="1">
        <v>278.83</v>
      </c>
      <c r="G675" s="1">
        <v>25000</v>
      </c>
      <c r="H675" s="5">
        <f t="shared" si="13"/>
        <v>0</v>
      </c>
      <c r="I675" s="1"/>
      <c r="J675" s="1"/>
    </row>
    <row r="676" spans="2:10" x14ac:dyDescent="0.2">
      <c r="B676" s="1" t="s">
        <v>125</v>
      </c>
      <c r="C676" s="32">
        <v>850</v>
      </c>
      <c r="D676" s="1">
        <v>20000</v>
      </c>
      <c r="E676" s="1"/>
      <c r="F676" s="1">
        <v>223.06</v>
      </c>
      <c r="G676" s="1">
        <v>20000</v>
      </c>
      <c r="H676" s="5">
        <f t="shared" si="13"/>
        <v>0</v>
      </c>
      <c r="I676" s="1"/>
      <c r="J676" s="1"/>
    </row>
    <row r="677" spans="2:10" x14ac:dyDescent="0.2">
      <c r="B677" s="1" t="s">
        <v>125</v>
      </c>
      <c r="C677" s="32">
        <v>63</v>
      </c>
      <c r="D677" s="1">
        <v>20000</v>
      </c>
      <c r="E677" s="1"/>
      <c r="F677" s="1">
        <v>223.06</v>
      </c>
      <c r="G677" s="1">
        <v>20000</v>
      </c>
      <c r="H677" s="5">
        <f t="shared" si="13"/>
        <v>0</v>
      </c>
      <c r="I677" s="1"/>
      <c r="J677" s="1"/>
    </row>
    <row r="678" spans="2:10" x14ac:dyDescent="0.2">
      <c r="B678" s="1" t="s">
        <v>125</v>
      </c>
      <c r="C678" s="32">
        <v>4242</v>
      </c>
      <c r="D678" s="1">
        <v>20000</v>
      </c>
      <c r="E678" s="1"/>
      <c r="F678" s="1">
        <v>192.75</v>
      </c>
      <c r="G678" s="1">
        <v>20000</v>
      </c>
      <c r="H678" s="5">
        <f t="shared" si="13"/>
        <v>0</v>
      </c>
      <c r="I678" s="1"/>
      <c r="J678" s="1"/>
    </row>
    <row r="679" spans="2:10" x14ac:dyDescent="0.2">
      <c r="B679" s="1" t="s">
        <v>125</v>
      </c>
      <c r="C679" s="32">
        <v>2015</v>
      </c>
      <c r="D679" s="1">
        <v>30000</v>
      </c>
      <c r="E679" s="1"/>
      <c r="F679" s="1">
        <v>290.10000000000002</v>
      </c>
      <c r="G679" s="1">
        <v>30000</v>
      </c>
      <c r="H679" s="5">
        <f t="shared" si="13"/>
        <v>0</v>
      </c>
      <c r="I679" s="1"/>
      <c r="J679" s="1"/>
    </row>
    <row r="680" spans="2:10" x14ac:dyDescent="0.2">
      <c r="B680" s="1" t="s">
        <v>125</v>
      </c>
      <c r="C680" s="32">
        <v>5887</v>
      </c>
      <c r="D680" s="1">
        <v>30000</v>
      </c>
      <c r="E680" s="1"/>
      <c r="F680" s="1">
        <v>322.02</v>
      </c>
      <c r="G680" s="1">
        <v>30000</v>
      </c>
      <c r="H680" s="5">
        <f t="shared" si="13"/>
        <v>0</v>
      </c>
      <c r="I680" s="1"/>
      <c r="J680" s="1"/>
    </row>
    <row r="681" spans="2:10" x14ac:dyDescent="0.2">
      <c r="B681" s="1" t="s">
        <v>125</v>
      </c>
      <c r="C681" s="32">
        <v>2092</v>
      </c>
      <c r="D681" s="1">
        <v>10000</v>
      </c>
      <c r="E681" s="1"/>
      <c r="F681" s="1">
        <v>111.53</v>
      </c>
      <c r="G681" s="1">
        <v>10000</v>
      </c>
      <c r="H681" s="5">
        <f t="shared" si="13"/>
        <v>0</v>
      </c>
      <c r="I681" s="1"/>
      <c r="J681" s="1"/>
    </row>
    <row r="682" spans="2:10" x14ac:dyDescent="0.2">
      <c r="B682" s="1" t="s">
        <v>126</v>
      </c>
      <c r="C682" s="32" t="s">
        <v>66</v>
      </c>
      <c r="D682" s="1">
        <v>400</v>
      </c>
      <c r="E682" s="1"/>
      <c r="F682" s="1"/>
      <c r="G682" s="1">
        <v>400</v>
      </c>
      <c r="H682" s="5">
        <f t="shared" si="13"/>
        <v>0</v>
      </c>
      <c r="I682" s="1"/>
      <c r="J682" s="1"/>
    </row>
    <row r="683" spans="2:10" x14ac:dyDescent="0.2">
      <c r="B683" s="1" t="s">
        <v>126</v>
      </c>
      <c r="C683" s="32">
        <v>5281</v>
      </c>
      <c r="D683" s="1">
        <v>13000</v>
      </c>
      <c r="E683" s="1"/>
      <c r="F683" s="1">
        <v>135.96</v>
      </c>
      <c r="G683" s="1">
        <v>13000</v>
      </c>
      <c r="H683" s="5">
        <f t="shared" si="13"/>
        <v>0</v>
      </c>
      <c r="I683" s="1"/>
      <c r="J683" s="1"/>
    </row>
    <row r="684" spans="2:10" x14ac:dyDescent="0.2">
      <c r="B684" s="1" t="s">
        <v>126</v>
      </c>
      <c r="C684" s="32">
        <v>6643</v>
      </c>
      <c r="D684" s="1">
        <v>20000</v>
      </c>
      <c r="E684" s="1"/>
      <c r="F684" s="1">
        <v>223.06</v>
      </c>
      <c r="G684" s="1">
        <v>20000</v>
      </c>
      <c r="H684" s="5">
        <f t="shared" si="13"/>
        <v>0</v>
      </c>
      <c r="I684" s="1"/>
      <c r="J684" s="1"/>
    </row>
    <row r="685" spans="2:10" x14ac:dyDescent="0.2">
      <c r="B685" s="1" t="s">
        <v>126</v>
      </c>
      <c r="C685" s="32">
        <v>1215</v>
      </c>
      <c r="D685" s="1">
        <v>14000</v>
      </c>
      <c r="E685" s="1"/>
      <c r="F685" s="1">
        <v>156.13999999999999</v>
      </c>
      <c r="G685" s="1">
        <v>14000</v>
      </c>
      <c r="H685" s="5">
        <f t="shared" si="13"/>
        <v>0</v>
      </c>
      <c r="I685" s="1"/>
      <c r="J685" s="1"/>
    </row>
    <row r="686" spans="2:10" x14ac:dyDescent="0.2">
      <c r="B686" s="1" t="s">
        <v>126</v>
      </c>
      <c r="C686" s="32">
        <v>1324</v>
      </c>
      <c r="D686" s="1">
        <v>16000</v>
      </c>
      <c r="E686" s="1"/>
      <c r="F686" s="1">
        <v>128.44999999999999</v>
      </c>
      <c r="G686" s="1">
        <v>16000</v>
      </c>
      <c r="H686" s="5">
        <f t="shared" si="13"/>
        <v>0</v>
      </c>
      <c r="I686" s="1"/>
      <c r="J686" s="1"/>
    </row>
    <row r="687" spans="2:10" x14ac:dyDescent="0.2">
      <c r="B687" s="1" t="s">
        <v>126</v>
      </c>
      <c r="C687" s="32">
        <v>7932</v>
      </c>
      <c r="D687" s="1">
        <v>20000</v>
      </c>
      <c r="E687" s="1"/>
      <c r="F687" s="1">
        <v>223.06</v>
      </c>
      <c r="G687" s="1">
        <v>20000</v>
      </c>
      <c r="H687" s="5">
        <f t="shared" si="13"/>
        <v>0</v>
      </c>
      <c r="I687" s="1"/>
      <c r="J687" s="1"/>
    </row>
    <row r="688" spans="2:10" x14ac:dyDescent="0.2">
      <c r="B688" s="1" t="s">
        <v>126</v>
      </c>
      <c r="C688" s="32">
        <v>3045</v>
      </c>
      <c r="D688" s="1">
        <v>30000</v>
      </c>
      <c r="E688" s="1"/>
      <c r="F688" s="1">
        <v>334.6</v>
      </c>
      <c r="G688" s="1">
        <v>30000</v>
      </c>
      <c r="H688" s="5">
        <f t="shared" si="13"/>
        <v>0</v>
      </c>
      <c r="I688" s="1"/>
      <c r="J688" s="1"/>
    </row>
    <row r="689" spans="2:10" x14ac:dyDescent="0.2">
      <c r="B689" s="1" t="s">
        <v>126</v>
      </c>
      <c r="C689" s="32">
        <v>5312</v>
      </c>
      <c r="D689" s="1">
        <v>30000</v>
      </c>
      <c r="E689" s="1"/>
      <c r="F689" s="1">
        <v>301.58999999999997</v>
      </c>
      <c r="G689" s="1">
        <v>30000</v>
      </c>
      <c r="H689" s="5">
        <f t="shared" si="13"/>
        <v>0</v>
      </c>
      <c r="I689" s="1"/>
      <c r="J689" s="1"/>
    </row>
    <row r="690" spans="2:10" x14ac:dyDescent="0.2">
      <c r="B690" s="1" t="s">
        <v>126</v>
      </c>
      <c r="C690" s="32">
        <v>2324</v>
      </c>
      <c r="D690" s="1">
        <v>24000</v>
      </c>
      <c r="E690" s="1"/>
      <c r="F690" s="1">
        <v>229.76</v>
      </c>
      <c r="G690" s="1">
        <v>24000</v>
      </c>
      <c r="H690" s="5">
        <f t="shared" si="13"/>
        <v>0</v>
      </c>
      <c r="I690" s="1"/>
      <c r="J690" s="1"/>
    </row>
    <row r="691" spans="2:10" x14ac:dyDescent="0.2">
      <c r="B691" s="1" t="s">
        <v>126</v>
      </c>
      <c r="C691" s="32">
        <v>5411</v>
      </c>
      <c r="D691" s="1">
        <v>20000</v>
      </c>
      <c r="E691" s="1"/>
      <c r="F691" s="1">
        <v>155.03</v>
      </c>
      <c r="G691" s="1">
        <v>20000</v>
      </c>
      <c r="H691" s="5">
        <f t="shared" si="13"/>
        <v>0</v>
      </c>
      <c r="I691" s="1"/>
      <c r="J691" s="1"/>
    </row>
    <row r="692" spans="2:10" x14ac:dyDescent="0.2">
      <c r="B692" s="1" t="s">
        <v>126</v>
      </c>
      <c r="C692" s="32">
        <v>6552</v>
      </c>
      <c r="D692" s="1">
        <v>30000</v>
      </c>
      <c r="E692" s="1"/>
      <c r="F692" s="1">
        <v>301.45</v>
      </c>
      <c r="G692" s="1">
        <v>30000</v>
      </c>
      <c r="H692" s="5">
        <f t="shared" si="13"/>
        <v>0</v>
      </c>
      <c r="I692" s="1"/>
      <c r="J692" s="1"/>
    </row>
    <row r="693" spans="2:10" x14ac:dyDescent="0.2">
      <c r="B693" s="1" t="s">
        <v>126</v>
      </c>
      <c r="C693" s="32">
        <v>1220</v>
      </c>
      <c r="D693" s="1">
        <v>13000</v>
      </c>
      <c r="E693" s="1"/>
      <c r="F693" s="1">
        <v>144.99</v>
      </c>
      <c r="G693" s="1">
        <v>13000</v>
      </c>
      <c r="H693" s="5">
        <f t="shared" si="13"/>
        <v>0</v>
      </c>
      <c r="I693" s="1"/>
      <c r="J693" s="1"/>
    </row>
    <row r="694" spans="2:10" x14ac:dyDescent="0.2">
      <c r="B694" s="1" t="s">
        <v>126</v>
      </c>
      <c r="C694" s="32">
        <v>2472</v>
      </c>
      <c r="D694" s="1">
        <v>15000</v>
      </c>
      <c r="E694" s="1"/>
      <c r="F694" s="1">
        <v>167.3</v>
      </c>
      <c r="G694" s="1">
        <v>15000</v>
      </c>
      <c r="H694" s="5">
        <f t="shared" ref="H694:H757" si="14">D694-G694</f>
        <v>0</v>
      </c>
      <c r="I694" s="1"/>
      <c r="J694" s="1"/>
    </row>
    <row r="695" spans="2:10" x14ac:dyDescent="0.2">
      <c r="B695" s="1" t="s">
        <v>126</v>
      </c>
      <c r="C695" s="32">
        <v>7385</v>
      </c>
      <c r="D695" s="1">
        <v>15000</v>
      </c>
      <c r="E695" s="1"/>
      <c r="F695" s="1">
        <v>167.3</v>
      </c>
      <c r="G695" s="1">
        <v>15000</v>
      </c>
      <c r="H695" s="5">
        <f t="shared" si="14"/>
        <v>0</v>
      </c>
      <c r="I695" s="1"/>
      <c r="J695" s="1"/>
    </row>
    <row r="696" spans="2:10" x14ac:dyDescent="0.2">
      <c r="B696" s="1" t="s">
        <v>126</v>
      </c>
      <c r="C696" s="32">
        <v>896</v>
      </c>
      <c r="D696" s="1">
        <v>14000</v>
      </c>
      <c r="E696" s="1"/>
      <c r="F696" s="1">
        <v>156.15</v>
      </c>
      <c r="G696" s="1">
        <v>14000</v>
      </c>
      <c r="H696" s="5">
        <f t="shared" si="14"/>
        <v>0</v>
      </c>
      <c r="I696" s="1"/>
      <c r="J696" s="1"/>
    </row>
    <row r="697" spans="2:10" x14ac:dyDescent="0.2">
      <c r="B697" s="1" t="s">
        <v>126</v>
      </c>
      <c r="C697" s="32" t="s">
        <v>61</v>
      </c>
      <c r="D697" s="1">
        <v>4500</v>
      </c>
      <c r="E697" s="1"/>
      <c r="F697" s="1">
        <v>50.19</v>
      </c>
      <c r="G697" s="1">
        <v>4500</v>
      </c>
      <c r="H697" s="5">
        <f t="shared" si="14"/>
        <v>0</v>
      </c>
      <c r="I697" s="1"/>
      <c r="J697" s="1"/>
    </row>
    <row r="698" spans="2:10" x14ac:dyDescent="0.2">
      <c r="B698" s="1" t="s">
        <v>126</v>
      </c>
      <c r="C698" s="32">
        <v>3184</v>
      </c>
      <c r="D698" s="1">
        <v>30000</v>
      </c>
      <c r="E698" s="1"/>
      <c r="F698" s="1">
        <v>326.29000000000002</v>
      </c>
      <c r="G698" s="1">
        <v>30000</v>
      </c>
      <c r="H698" s="5">
        <f t="shared" si="14"/>
        <v>0</v>
      </c>
      <c r="I698" s="1"/>
      <c r="J698" s="1"/>
    </row>
    <row r="699" spans="2:10" x14ac:dyDescent="0.2">
      <c r="B699" s="1" t="s">
        <v>126</v>
      </c>
      <c r="C699" s="32">
        <v>1205</v>
      </c>
      <c r="D699" s="1">
        <v>13000</v>
      </c>
      <c r="E699" s="1"/>
      <c r="F699" s="1">
        <v>144.49</v>
      </c>
      <c r="G699" s="1">
        <v>13000</v>
      </c>
      <c r="H699" s="5">
        <f t="shared" si="14"/>
        <v>0</v>
      </c>
      <c r="I699" s="1"/>
      <c r="J699" s="1"/>
    </row>
    <row r="700" spans="2:10" x14ac:dyDescent="0.2">
      <c r="B700" s="1" t="s">
        <v>127</v>
      </c>
      <c r="C700" s="32">
        <v>6640</v>
      </c>
      <c r="D700" s="1">
        <v>20000</v>
      </c>
      <c r="E700" s="1"/>
      <c r="F700" s="1">
        <v>223.06</v>
      </c>
      <c r="G700" s="1">
        <v>20000</v>
      </c>
      <c r="H700" s="5">
        <f t="shared" si="14"/>
        <v>0</v>
      </c>
      <c r="I700" s="1"/>
      <c r="J700" s="1"/>
    </row>
    <row r="701" spans="2:10" x14ac:dyDescent="0.2">
      <c r="B701" s="1" t="s">
        <v>127</v>
      </c>
      <c r="C701" s="32">
        <v>2280</v>
      </c>
      <c r="D701" s="1">
        <v>21000</v>
      </c>
      <c r="E701" s="1"/>
      <c r="F701" s="1">
        <v>234.22</v>
      </c>
      <c r="G701" s="1">
        <v>21000</v>
      </c>
      <c r="H701" s="5">
        <f t="shared" si="14"/>
        <v>0</v>
      </c>
      <c r="I701" s="1"/>
      <c r="J701" s="1"/>
    </row>
    <row r="702" spans="2:10" x14ac:dyDescent="0.2">
      <c r="B702" s="1" t="s">
        <v>127</v>
      </c>
      <c r="C702" s="32">
        <v>119</v>
      </c>
      <c r="D702" s="1">
        <v>16000</v>
      </c>
      <c r="E702" s="1"/>
      <c r="F702" s="1">
        <v>178.45</v>
      </c>
      <c r="G702" s="1">
        <v>16000</v>
      </c>
      <c r="H702" s="5">
        <f t="shared" si="14"/>
        <v>0</v>
      </c>
      <c r="I702" s="1"/>
      <c r="J702" s="1"/>
    </row>
    <row r="703" spans="2:10" x14ac:dyDescent="0.2">
      <c r="B703" s="1" t="s">
        <v>127</v>
      </c>
      <c r="C703" s="32">
        <v>1448</v>
      </c>
      <c r="D703" s="1">
        <v>15000</v>
      </c>
      <c r="E703" s="1"/>
      <c r="F703" s="1">
        <v>136.07</v>
      </c>
      <c r="G703" s="1">
        <v>15000</v>
      </c>
      <c r="H703" s="5">
        <f t="shared" si="14"/>
        <v>0</v>
      </c>
      <c r="I703" s="1"/>
      <c r="J703" s="1"/>
    </row>
    <row r="704" spans="2:10" x14ac:dyDescent="0.2">
      <c r="B704" s="1" t="s">
        <v>127</v>
      </c>
      <c r="C704" s="32">
        <v>1352</v>
      </c>
      <c r="D704" s="1">
        <v>13000</v>
      </c>
      <c r="E704" s="1"/>
      <c r="F704" s="1">
        <v>144.99</v>
      </c>
      <c r="G704" s="1">
        <v>13000</v>
      </c>
      <c r="H704" s="5">
        <f t="shared" si="14"/>
        <v>0</v>
      </c>
      <c r="I704" s="1"/>
      <c r="J704" s="1"/>
    </row>
    <row r="705" spans="2:10" x14ac:dyDescent="0.2">
      <c r="B705" s="1" t="s">
        <v>127</v>
      </c>
      <c r="C705" s="32" t="s">
        <v>61</v>
      </c>
      <c r="D705" s="1">
        <v>4500</v>
      </c>
      <c r="E705" s="1"/>
      <c r="F705" s="1">
        <v>50.19</v>
      </c>
      <c r="G705" s="1">
        <v>4500</v>
      </c>
      <c r="H705" s="5">
        <f t="shared" si="14"/>
        <v>0</v>
      </c>
      <c r="I705" s="1"/>
      <c r="J705" s="1"/>
    </row>
    <row r="706" spans="2:10" x14ac:dyDescent="0.2">
      <c r="B706" s="1" t="s">
        <v>127</v>
      </c>
      <c r="C706" s="32">
        <v>1752</v>
      </c>
      <c r="D706" s="1">
        <v>25000</v>
      </c>
      <c r="E706" s="1"/>
      <c r="F706" s="1">
        <v>278.83</v>
      </c>
      <c r="G706" s="1">
        <v>25000</v>
      </c>
      <c r="H706" s="5">
        <f t="shared" si="14"/>
        <v>0</v>
      </c>
      <c r="I706" s="1"/>
      <c r="J706" s="1"/>
    </row>
    <row r="707" spans="2:10" x14ac:dyDescent="0.2">
      <c r="B707" s="1" t="s">
        <v>127</v>
      </c>
      <c r="C707" s="32">
        <v>1340</v>
      </c>
      <c r="D707" s="1">
        <v>21400</v>
      </c>
      <c r="E707" s="1"/>
      <c r="F707" s="1">
        <v>238.68</v>
      </c>
      <c r="G707" s="1">
        <v>21400</v>
      </c>
      <c r="H707" s="5">
        <f t="shared" si="14"/>
        <v>0</v>
      </c>
      <c r="I707" s="1"/>
      <c r="J707" s="1"/>
    </row>
    <row r="708" spans="2:10" x14ac:dyDescent="0.2">
      <c r="B708" s="1" t="s">
        <v>127</v>
      </c>
      <c r="C708" s="32">
        <v>756</v>
      </c>
      <c r="D708" s="1">
        <v>24000</v>
      </c>
      <c r="E708" s="1"/>
      <c r="F708" s="1">
        <v>267.68</v>
      </c>
      <c r="G708" s="1">
        <v>24000</v>
      </c>
      <c r="H708" s="5">
        <f t="shared" si="14"/>
        <v>0</v>
      </c>
      <c r="I708" s="1"/>
      <c r="J708" s="1"/>
    </row>
    <row r="709" spans="2:10" x14ac:dyDescent="0.2">
      <c r="B709" s="1" t="s">
        <v>127</v>
      </c>
      <c r="C709" s="32">
        <v>1056</v>
      </c>
      <c r="D709" s="1">
        <v>5000</v>
      </c>
      <c r="E709" s="1"/>
      <c r="F709" s="1">
        <v>55.77</v>
      </c>
      <c r="G709" s="1">
        <v>5000</v>
      </c>
      <c r="H709" s="5">
        <f t="shared" si="14"/>
        <v>0</v>
      </c>
      <c r="I709" s="1"/>
      <c r="J709" s="1"/>
    </row>
    <row r="710" spans="2:10" x14ac:dyDescent="0.2">
      <c r="B710" s="1" t="s">
        <v>127</v>
      </c>
      <c r="C710" s="32">
        <v>2885</v>
      </c>
      <c r="D710" s="1">
        <v>6000</v>
      </c>
      <c r="E710" s="1"/>
      <c r="F710" s="1">
        <v>66.92</v>
      </c>
      <c r="G710" s="1">
        <v>6000</v>
      </c>
      <c r="H710" s="5">
        <f t="shared" si="14"/>
        <v>0</v>
      </c>
      <c r="I710" s="1"/>
      <c r="J710" s="1"/>
    </row>
    <row r="711" spans="2:10" x14ac:dyDescent="0.2">
      <c r="B711" s="1" t="s">
        <v>127</v>
      </c>
      <c r="C711" s="32">
        <v>8698</v>
      </c>
      <c r="D711" s="1">
        <v>30000</v>
      </c>
      <c r="E711" s="1"/>
      <c r="F711" s="1">
        <v>334.6</v>
      </c>
      <c r="G711" s="1">
        <v>30000</v>
      </c>
      <c r="H711" s="5">
        <f t="shared" si="14"/>
        <v>0</v>
      </c>
      <c r="I711" s="1"/>
      <c r="J711" s="1"/>
    </row>
    <row r="712" spans="2:10" x14ac:dyDescent="0.2">
      <c r="B712" s="1" t="s">
        <v>127</v>
      </c>
      <c r="C712" s="32">
        <v>185</v>
      </c>
      <c r="D712" s="1">
        <v>15000</v>
      </c>
      <c r="E712" s="1"/>
      <c r="F712" s="1">
        <v>167.3</v>
      </c>
      <c r="G712" s="1">
        <v>15000</v>
      </c>
      <c r="H712" s="5">
        <f t="shared" si="14"/>
        <v>0</v>
      </c>
      <c r="I712" s="1"/>
      <c r="J712" s="1"/>
    </row>
    <row r="713" spans="2:10" x14ac:dyDescent="0.2">
      <c r="B713" s="1" t="s">
        <v>127</v>
      </c>
      <c r="C713" s="32">
        <v>6556</v>
      </c>
      <c r="D713" s="1">
        <v>20000</v>
      </c>
      <c r="E713" s="1"/>
      <c r="F713" s="1">
        <v>223.06</v>
      </c>
      <c r="G713" s="1">
        <v>20000</v>
      </c>
      <c r="H713" s="5">
        <f t="shared" si="14"/>
        <v>0</v>
      </c>
      <c r="I713" s="1"/>
      <c r="J713" s="1"/>
    </row>
    <row r="714" spans="2:10" x14ac:dyDescent="0.2">
      <c r="B714" s="1" t="s">
        <v>127</v>
      </c>
      <c r="C714" s="32">
        <v>8244</v>
      </c>
      <c r="D714" s="1">
        <v>17000</v>
      </c>
      <c r="E714" s="1"/>
      <c r="F714" s="1">
        <v>189.6</v>
      </c>
      <c r="G714" s="1">
        <v>17000</v>
      </c>
      <c r="H714" s="5">
        <f t="shared" si="14"/>
        <v>0</v>
      </c>
      <c r="I714" s="1"/>
      <c r="J714" s="1"/>
    </row>
    <row r="715" spans="2:10" x14ac:dyDescent="0.2">
      <c r="B715" s="1" t="s">
        <v>127</v>
      </c>
      <c r="C715" s="32">
        <v>65</v>
      </c>
      <c r="D715" s="1">
        <v>5000</v>
      </c>
      <c r="E715" s="1"/>
      <c r="F715" s="1">
        <v>55.8</v>
      </c>
      <c r="G715" s="1">
        <v>5000</v>
      </c>
      <c r="H715" s="5">
        <f t="shared" si="14"/>
        <v>0</v>
      </c>
      <c r="I715" s="1"/>
      <c r="J715" s="1"/>
    </row>
    <row r="716" spans="2:10" x14ac:dyDescent="0.2">
      <c r="B716" s="1" t="s">
        <v>128</v>
      </c>
      <c r="C716" s="32">
        <v>1941</v>
      </c>
      <c r="D716" s="1">
        <v>22000</v>
      </c>
      <c r="E716" s="1"/>
      <c r="F716" s="1">
        <v>232</v>
      </c>
      <c r="G716" s="1">
        <v>22000</v>
      </c>
      <c r="H716" s="5">
        <f t="shared" si="14"/>
        <v>0</v>
      </c>
      <c r="I716" s="1"/>
      <c r="J716" s="1"/>
    </row>
    <row r="717" spans="2:10" x14ac:dyDescent="0.2">
      <c r="B717" s="1" t="s">
        <v>128</v>
      </c>
      <c r="C717" s="32">
        <v>291</v>
      </c>
      <c r="D717" s="1">
        <v>16000</v>
      </c>
      <c r="E717" s="1"/>
      <c r="F717" s="1">
        <v>178.45</v>
      </c>
      <c r="G717" s="1">
        <v>16000</v>
      </c>
      <c r="H717" s="5">
        <f t="shared" si="14"/>
        <v>0</v>
      </c>
      <c r="I717" s="1"/>
      <c r="J717" s="1"/>
    </row>
    <row r="718" spans="2:10" x14ac:dyDescent="0.2">
      <c r="B718" s="1" t="s">
        <v>128</v>
      </c>
      <c r="C718" s="32">
        <v>1021</v>
      </c>
      <c r="D718" s="1">
        <v>20000</v>
      </c>
      <c r="E718" s="1"/>
      <c r="F718" s="1">
        <v>223.06</v>
      </c>
      <c r="G718" s="1">
        <v>20000</v>
      </c>
      <c r="H718" s="5">
        <f t="shared" si="14"/>
        <v>0</v>
      </c>
      <c r="I718" s="1"/>
      <c r="J718" s="1"/>
    </row>
    <row r="719" spans="2:10" x14ac:dyDescent="0.2">
      <c r="B719" s="1" t="s">
        <v>128</v>
      </c>
      <c r="C719" s="32">
        <v>5488</v>
      </c>
      <c r="D719" s="1">
        <v>35000</v>
      </c>
      <c r="E719" s="1"/>
      <c r="F719" s="1">
        <v>362</v>
      </c>
      <c r="G719" s="1">
        <v>35000</v>
      </c>
      <c r="H719" s="5">
        <f t="shared" si="14"/>
        <v>0</v>
      </c>
      <c r="I719" s="1"/>
      <c r="J719" s="1"/>
    </row>
    <row r="720" spans="2:10" x14ac:dyDescent="0.2">
      <c r="B720" s="1" t="s">
        <v>128</v>
      </c>
      <c r="C720" s="32">
        <v>7780</v>
      </c>
      <c r="D720" s="1">
        <v>30000</v>
      </c>
      <c r="E720" s="1"/>
      <c r="F720" s="1">
        <v>334.6</v>
      </c>
      <c r="G720" s="1">
        <v>30000</v>
      </c>
      <c r="H720" s="5">
        <f t="shared" si="14"/>
        <v>0</v>
      </c>
      <c r="I720" s="1"/>
      <c r="J720" s="1"/>
    </row>
    <row r="721" spans="2:10" x14ac:dyDescent="0.2">
      <c r="B721" s="1" t="s">
        <v>128</v>
      </c>
      <c r="C721" s="32">
        <v>293</v>
      </c>
      <c r="D721" s="1">
        <v>14000</v>
      </c>
      <c r="E721" s="1"/>
      <c r="F721" s="1">
        <v>156.15</v>
      </c>
      <c r="G721" s="1">
        <v>14000</v>
      </c>
      <c r="H721" s="5">
        <f t="shared" si="14"/>
        <v>0</v>
      </c>
      <c r="I721" s="1"/>
      <c r="J721" s="1"/>
    </row>
    <row r="722" spans="2:10" x14ac:dyDescent="0.2">
      <c r="B722" s="1" t="s">
        <v>128</v>
      </c>
      <c r="C722" s="32">
        <v>7042</v>
      </c>
      <c r="D722" s="1">
        <v>20000</v>
      </c>
      <c r="E722" s="1"/>
      <c r="F722" s="1">
        <v>223.06</v>
      </c>
      <c r="G722" s="1">
        <v>20000</v>
      </c>
      <c r="H722" s="5">
        <f t="shared" si="14"/>
        <v>0</v>
      </c>
      <c r="I722" s="1"/>
      <c r="J722" s="1"/>
    </row>
    <row r="723" spans="2:10" x14ac:dyDescent="0.2">
      <c r="B723" s="1" t="s">
        <v>128</v>
      </c>
      <c r="C723" s="32">
        <v>127</v>
      </c>
      <c r="D723" s="1">
        <v>14000</v>
      </c>
      <c r="E723" s="1"/>
      <c r="F723" s="1">
        <v>156.15</v>
      </c>
      <c r="G723" s="1">
        <v>14000</v>
      </c>
      <c r="H723" s="5">
        <f t="shared" si="14"/>
        <v>0</v>
      </c>
      <c r="I723" s="1"/>
      <c r="J723" s="1"/>
    </row>
    <row r="724" spans="2:10" x14ac:dyDescent="0.2">
      <c r="B724" s="1" t="s">
        <v>128</v>
      </c>
      <c r="C724" s="32">
        <v>2152</v>
      </c>
      <c r="D724" s="1">
        <v>25000</v>
      </c>
      <c r="E724" s="1"/>
      <c r="F724" s="1">
        <v>278.83</v>
      </c>
      <c r="G724" s="1">
        <v>25000</v>
      </c>
      <c r="H724" s="5">
        <f t="shared" si="14"/>
        <v>0</v>
      </c>
      <c r="I724" s="1"/>
      <c r="J724" s="1"/>
    </row>
    <row r="725" spans="2:10" x14ac:dyDescent="0.2">
      <c r="B725" s="1" t="s">
        <v>128</v>
      </c>
      <c r="C725" s="32">
        <v>8723</v>
      </c>
      <c r="D725" s="1">
        <v>15000</v>
      </c>
      <c r="E725" s="1"/>
      <c r="F725" s="1">
        <v>93.8</v>
      </c>
      <c r="G725" s="1">
        <v>15000</v>
      </c>
      <c r="H725" s="5">
        <f t="shared" si="14"/>
        <v>0</v>
      </c>
      <c r="I725" s="1"/>
      <c r="J725" s="1"/>
    </row>
    <row r="726" spans="2:10" x14ac:dyDescent="0.2">
      <c r="B726" s="1" t="s">
        <v>128</v>
      </c>
      <c r="C726" s="32">
        <v>1852</v>
      </c>
      <c r="D726" s="1">
        <v>25000</v>
      </c>
      <c r="E726" s="1"/>
      <c r="F726" s="1">
        <v>232.2</v>
      </c>
      <c r="G726" s="1">
        <v>25000</v>
      </c>
      <c r="H726" s="5">
        <f t="shared" si="14"/>
        <v>0</v>
      </c>
      <c r="I726" s="1"/>
      <c r="J726" s="1"/>
    </row>
    <row r="727" spans="2:10" x14ac:dyDescent="0.2">
      <c r="B727" s="1" t="s">
        <v>128</v>
      </c>
      <c r="C727" s="32" t="s">
        <v>61</v>
      </c>
      <c r="D727" s="1">
        <v>4500</v>
      </c>
      <c r="E727" s="1"/>
      <c r="F727" s="1">
        <v>50.29</v>
      </c>
      <c r="G727" s="1">
        <v>4500</v>
      </c>
      <c r="H727" s="5">
        <f t="shared" si="14"/>
        <v>0</v>
      </c>
      <c r="I727" s="1"/>
      <c r="J727" s="1"/>
    </row>
    <row r="728" spans="2:10" x14ac:dyDescent="0.2">
      <c r="B728" s="1" t="s">
        <v>128</v>
      </c>
      <c r="C728" s="32">
        <v>35</v>
      </c>
      <c r="D728" s="1">
        <v>15000</v>
      </c>
      <c r="E728" s="1"/>
      <c r="F728" s="1">
        <v>167.3</v>
      </c>
      <c r="G728" s="1">
        <v>15000</v>
      </c>
      <c r="H728" s="5">
        <f t="shared" si="14"/>
        <v>0</v>
      </c>
      <c r="I728" s="1"/>
      <c r="J728" s="1"/>
    </row>
    <row r="729" spans="2:10" x14ac:dyDescent="0.2">
      <c r="B729" s="1" t="s">
        <v>128</v>
      </c>
      <c r="C729" s="32">
        <v>8065</v>
      </c>
      <c r="D729" s="1">
        <v>15000</v>
      </c>
      <c r="E729" s="1"/>
      <c r="F729" s="1">
        <v>167.3</v>
      </c>
      <c r="G729" s="1">
        <v>15000</v>
      </c>
      <c r="H729" s="5">
        <f t="shared" si="14"/>
        <v>0</v>
      </c>
      <c r="I729" s="1"/>
      <c r="J729" s="1"/>
    </row>
    <row r="730" spans="2:10" x14ac:dyDescent="0.2">
      <c r="B730" s="1" t="s">
        <v>128</v>
      </c>
      <c r="C730" s="32">
        <v>8240</v>
      </c>
      <c r="D730" s="1">
        <v>25000</v>
      </c>
      <c r="E730" s="1"/>
      <c r="F730" s="1">
        <v>199.64</v>
      </c>
      <c r="G730" s="1">
        <v>25000</v>
      </c>
      <c r="H730" s="5">
        <f t="shared" si="14"/>
        <v>0</v>
      </c>
      <c r="I730" s="1"/>
      <c r="J730" s="1"/>
    </row>
    <row r="731" spans="2:10" x14ac:dyDescent="0.2">
      <c r="B731" s="1" t="s">
        <v>128</v>
      </c>
      <c r="C731" s="32">
        <v>9786</v>
      </c>
      <c r="D731" s="1">
        <v>30000</v>
      </c>
      <c r="E731" s="1"/>
      <c r="F731" s="1">
        <v>334.6</v>
      </c>
      <c r="G731" s="1">
        <v>30000</v>
      </c>
      <c r="H731" s="5">
        <f t="shared" si="14"/>
        <v>0</v>
      </c>
      <c r="I731" s="1"/>
      <c r="J731" s="1"/>
    </row>
    <row r="732" spans="2:10" x14ac:dyDescent="0.2">
      <c r="B732" s="1" t="s">
        <v>128</v>
      </c>
      <c r="C732" s="32">
        <v>5888</v>
      </c>
      <c r="D732" s="1">
        <v>20000</v>
      </c>
      <c r="E732" s="1"/>
      <c r="F732" s="1">
        <v>211.35</v>
      </c>
      <c r="G732" s="1">
        <v>20000</v>
      </c>
      <c r="H732" s="5">
        <f t="shared" si="14"/>
        <v>0</v>
      </c>
      <c r="I732" s="1"/>
      <c r="J732" s="1"/>
    </row>
    <row r="733" spans="2:10" x14ac:dyDescent="0.2">
      <c r="B733" s="1" t="s">
        <v>128</v>
      </c>
      <c r="C733" s="32">
        <v>9925</v>
      </c>
      <c r="D733" s="1">
        <v>15000</v>
      </c>
      <c r="E733" s="1"/>
      <c r="F733" s="1">
        <v>167.3</v>
      </c>
      <c r="G733" s="1">
        <v>15000</v>
      </c>
      <c r="H733" s="5">
        <f t="shared" si="14"/>
        <v>0</v>
      </c>
      <c r="I733" s="1"/>
      <c r="J733" s="1"/>
    </row>
    <row r="734" spans="2:10" x14ac:dyDescent="0.2">
      <c r="B734" s="1" t="s">
        <v>128</v>
      </c>
      <c r="C734" s="32">
        <v>8715</v>
      </c>
      <c r="D734" s="1">
        <v>25000</v>
      </c>
      <c r="E734" s="1"/>
      <c r="F734" s="1">
        <v>199.64</v>
      </c>
      <c r="G734" s="1">
        <v>25000</v>
      </c>
      <c r="H734" s="5">
        <f t="shared" si="14"/>
        <v>0</v>
      </c>
      <c r="I734" s="1"/>
      <c r="J734" s="1"/>
    </row>
    <row r="735" spans="2:10" x14ac:dyDescent="0.2">
      <c r="B735" s="1" t="s">
        <v>129</v>
      </c>
      <c r="C735" s="32">
        <v>120</v>
      </c>
      <c r="D735" s="1">
        <v>16000</v>
      </c>
      <c r="E735" s="1"/>
      <c r="F735" s="1">
        <v>178.45</v>
      </c>
      <c r="G735" s="1">
        <v>16000</v>
      </c>
      <c r="H735" s="5">
        <f t="shared" si="14"/>
        <v>0</v>
      </c>
      <c r="I735" s="1"/>
      <c r="J735" s="1"/>
    </row>
    <row r="736" spans="2:10" x14ac:dyDescent="0.2">
      <c r="B736" s="1" t="s">
        <v>129</v>
      </c>
      <c r="C736" s="32">
        <v>7786</v>
      </c>
      <c r="D736" s="1">
        <v>17000</v>
      </c>
      <c r="E736" s="1"/>
      <c r="F736" s="1">
        <v>180.68</v>
      </c>
      <c r="G736" s="1">
        <v>17000</v>
      </c>
      <c r="H736" s="5">
        <f t="shared" si="14"/>
        <v>0</v>
      </c>
      <c r="I736" s="1"/>
      <c r="J736" s="1"/>
    </row>
    <row r="737" spans="2:10" x14ac:dyDescent="0.2">
      <c r="B737" s="1" t="s">
        <v>129</v>
      </c>
      <c r="C737" s="32">
        <v>1352</v>
      </c>
      <c r="D737" s="1">
        <v>13000</v>
      </c>
      <c r="E737" s="1"/>
      <c r="F737" s="1">
        <v>144.99</v>
      </c>
      <c r="G737" s="1">
        <v>13000</v>
      </c>
      <c r="H737" s="5">
        <f t="shared" si="14"/>
        <v>0</v>
      </c>
      <c r="I737" s="1"/>
      <c r="J737" s="1"/>
    </row>
    <row r="738" spans="2:10" x14ac:dyDescent="0.2">
      <c r="B738" s="1" t="s">
        <v>129</v>
      </c>
      <c r="C738" s="32">
        <v>756</v>
      </c>
      <c r="D738" s="1">
        <v>5000</v>
      </c>
      <c r="E738" s="1"/>
      <c r="F738" s="1">
        <v>55.77</v>
      </c>
      <c r="G738" s="1">
        <v>5000</v>
      </c>
      <c r="H738" s="5">
        <f t="shared" si="14"/>
        <v>0</v>
      </c>
      <c r="I738" s="1"/>
      <c r="J738" s="1"/>
    </row>
    <row r="739" spans="2:10" x14ac:dyDescent="0.2">
      <c r="B739" s="1" t="s">
        <v>129</v>
      </c>
      <c r="C739" s="32">
        <v>669</v>
      </c>
      <c r="D739" s="1">
        <v>15000</v>
      </c>
      <c r="E739" s="1"/>
      <c r="F739" s="1">
        <v>167.5</v>
      </c>
      <c r="G739" s="1">
        <v>15000</v>
      </c>
      <c r="H739" s="5">
        <f t="shared" si="14"/>
        <v>0</v>
      </c>
      <c r="I739" s="1"/>
      <c r="J739" s="1"/>
    </row>
    <row r="740" spans="2:10" x14ac:dyDescent="0.2">
      <c r="B740" s="1" t="s">
        <v>129</v>
      </c>
      <c r="C740" s="32">
        <v>543</v>
      </c>
      <c r="D740" s="1">
        <v>11000</v>
      </c>
      <c r="E740" s="1"/>
      <c r="F740" s="1">
        <v>122.69</v>
      </c>
      <c r="G740" s="1">
        <v>11000</v>
      </c>
      <c r="H740" s="5">
        <f t="shared" si="14"/>
        <v>0</v>
      </c>
      <c r="I740" s="1"/>
      <c r="J740" s="1"/>
    </row>
    <row r="741" spans="2:10" x14ac:dyDescent="0.2">
      <c r="B741" s="1" t="s">
        <v>129</v>
      </c>
      <c r="C741" s="32">
        <v>6939</v>
      </c>
      <c r="D741" s="1">
        <v>20000</v>
      </c>
      <c r="E741" s="1"/>
      <c r="F741" s="1">
        <v>223.06</v>
      </c>
      <c r="G741" s="1">
        <v>20000</v>
      </c>
      <c r="H741" s="5">
        <f t="shared" si="14"/>
        <v>0</v>
      </c>
      <c r="I741" s="1"/>
      <c r="J741" s="1"/>
    </row>
    <row r="742" spans="2:10" x14ac:dyDescent="0.2">
      <c r="B742" s="1" t="s">
        <v>129</v>
      </c>
      <c r="C742" s="32">
        <v>2775</v>
      </c>
      <c r="D742" s="1">
        <v>8000</v>
      </c>
      <c r="E742" s="1"/>
      <c r="F742" s="1">
        <v>89.23</v>
      </c>
      <c r="G742" s="1">
        <v>8000</v>
      </c>
      <c r="H742" s="5">
        <f t="shared" si="14"/>
        <v>0</v>
      </c>
      <c r="I742" s="1"/>
      <c r="J742" s="1"/>
    </row>
    <row r="743" spans="2:10" x14ac:dyDescent="0.2">
      <c r="B743" s="1" t="s">
        <v>129</v>
      </c>
      <c r="C743" s="32">
        <v>4182</v>
      </c>
      <c r="D743" s="1">
        <v>8000</v>
      </c>
      <c r="E743" s="1"/>
      <c r="F743" s="1">
        <v>89.23</v>
      </c>
      <c r="G743" s="1">
        <v>8000</v>
      </c>
      <c r="H743" s="5">
        <f t="shared" si="14"/>
        <v>0</v>
      </c>
      <c r="I743" s="1"/>
      <c r="J743" s="1"/>
    </row>
    <row r="744" spans="2:10" x14ac:dyDescent="0.2">
      <c r="B744" s="1" t="s">
        <v>129</v>
      </c>
      <c r="C744" s="32">
        <v>5729</v>
      </c>
      <c r="D744" s="1">
        <v>8000</v>
      </c>
      <c r="E744" s="1"/>
      <c r="F744" s="1">
        <v>89.23</v>
      </c>
      <c r="G744" s="1">
        <v>8000</v>
      </c>
      <c r="H744" s="5">
        <f t="shared" si="14"/>
        <v>0</v>
      </c>
      <c r="I744" s="1"/>
      <c r="J744" s="1"/>
    </row>
    <row r="745" spans="2:10" x14ac:dyDescent="0.2">
      <c r="B745" s="1" t="s">
        <v>129</v>
      </c>
      <c r="C745" s="32">
        <v>6328</v>
      </c>
      <c r="D745" s="1">
        <v>30000</v>
      </c>
      <c r="E745" s="1"/>
      <c r="F745" s="1">
        <v>334.6</v>
      </c>
      <c r="G745" s="1">
        <v>30000</v>
      </c>
      <c r="H745" s="5">
        <f t="shared" si="14"/>
        <v>0</v>
      </c>
      <c r="I745" s="1"/>
      <c r="J745" s="1"/>
    </row>
    <row r="746" spans="2:10" x14ac:dyDescent="0.2">
      <c r="B746" s="1" t="s">
        <v>129</v>
      </c>
      <c r="C746" s="32">
        <v>3576</v>
      </c>
      <c r="D746" s="1">
        <v>23000</v>
      </c>
      <c r="E746" s="1"/>
      <c r="F746" s="1">
        <v>256.52</v>
      </c>
      <c r="G746" s="1">
        <v>23000</v>
      </c>
      <c r="H746" s="5">
        <f t="shared" si="14"/>
        <v>0</v>
      </c>
      <c r="I746" s="1"/>
      <c r="J746" s="1"/>
    </row>
    <row r="747" spans="2:10" x14ac:dyDescent="0.2">
      <c r="B747" s="1" t="s">
        <v>129</v>
      </c>
      <c r="C747" s="32">
        <v>3112</v>
      </c>
      <c r="D747" s="1">
        <v>30000</v>
      </c>
      <c r="E747" s="1"/>
      <c r="F747" s="1">
        <v>297.79000000000002</v>
      </c>
      <c r="G747" s="1">
        <v>30000</v>
      </c>
      <c r="H747" s="5">
        <f t="shared" si="14"/>
        <v>0</v>
      </c>
      <c r="I747" s="1"/>
      <c r="J747" s="1"/>
    </row>
    <row r="748" spans="2:10" x14ac:dyDescent="0.2">
      <c r="B748" s="1" t="s">
        <v>129</v>
      </c>
      <c r="C748" s="32">
        <v>2024</v>
      </c>
      <c r="D748" s="1">
        <v>20000</v>
      </c>
      <c r="E748" s="1"/>
      <c r="F748" s="1">
        <v>223.06</v>
      </c>
      <c r="G748" s="1">
        <v>20000</v>
      </c>
      <c r="H748" s="5">
        <f t="shared" si="14"/>
        <v>0</v>
      </c>
      <c r="I748" s="1"/>
      <c r="J748" s="1"/>
    </row>
    <row r="749" spans="2:10" x14ac:dyDescent="0.2">
      <c r="B749" s="1" t="s">
        <v>129</v>
      </c>
      <c r="C749" s="32" t="s">
        <v>61</v>
      </c>
      <c r="D749" s="1">
        <v>5300</v>
      </c>
      <c r="E749" s="1"/>
      <c r="F749" s="1">
        <v>53.11</v>
      </c>
      <c r="G749" s="1">
        <v>5300</v>
      </c>
      <c r="H749" s="5">
        <f t="shared" si="14"/>
        <v>0</v>
      </c>
      <c r="I749" s="1"/>
      <c r="J749" s="1"/>
    </row>
    <row r="750" spans="2:10" x14ac:dyDescent="0.2">
      <c r="B750" s="1" t="s">
        <v>129</v>
      </c>
      <c r="C750" s="32">
        <v>1420</v>
      </c>
      <c r="D750" s="1">
        <v>25000</v>
      </c>
      <c r="E750" s="1"/>
      <c r="F750" s="1">
        <v>278.83</v>
      </c>
      <c r="G750" s="1">
        <v>25000</v>
      </c>
      <c r="H750" s="5">
        <f t="shared" si="14"/>
        <v>0</v>
      </c>
      <c r="I750" s="1"/>
      <c r="J750" s="1"/>
    </row>
    <row r="751" spans="2:10" x14ac:dyDescent="0.2">
      <c r="B751" s="1" t="s">
        <v>129</v>
      </c>
      <c r="C751" s="32">
        <v>2000</v>
      </c>
      <c r="D751" s="1">
        <v>20000</v>
      </c>
      <c r="E751" s="1"/>
      <c r="F751" s="1">
        <v>223.06</v>
      </c>
      <c r="G751" s="1">
        <v>20000</v>
      </c>
      <c r="H751" s="5">
        <f t="shared" si="14"/>
        <v>0</v>
      </c>
      <c r="I751" s="1"/>
      <c r="J751" s="1"/>
    </row>
    <row r="752" spans="2:10" x14ac:dyDescent="0.2">
      <c r="B752" s="1" t="s">
        <v>129</v>
      </c>
      <c r="C752" s="32">
        <v>1336</v>
      </c>
      <c r="D752" s="1">
        <v>27000</v>
      </c>
      <c r="E752" s="1"/>
      <c r="F752" s="1">
        <v>280</v>
      </c>
      <c r="G752" s="1">
        <v>27000</v>
      </c>
      <c r="H752" s="5">
        <f t="shared" si="14"/>
        <v>0</v>
      </c>
      <c r="I752" s="1"/>
      <c r="J752" s="1"/>
    </row>
    <row r="753" spans="2:10" x14ac:dyDescent="0.2">
      <c r="B753" s="1" t="s">
        <v>129</v>
      </c>
      <c r="C753" s="32">
        <v>2393</v>
      </c>
      <c r="D753" s="1">
        <v>17086</v>
      </c>
      <c r="E753" s="1"/>
      <c r="F753" s="1">
        <v>190</v>
      </c>
      <c r="G753" s="1">
        <v>17086</v>
      </c>
      <c r="H753" s="5">
        <f t="shared" si="14"/>
        <v>0</v>
      </c>
      <c r="I753" s="1"/>
      <c r="J753" s="1"/>
    </row>
    <row r="754" spans="2:10" x14ac:dyDescent="0.2">
      <c r="B754" s="1" t="s">
        <v>131</v>
      </c>
      <c r="C754" s="32">
        <v>124</v>
      </c>
      <c r="D754" s="1">
        <v>17000</v>
      </c>
      <c r="E754" s="1"/>
      <c r="F754" s="1">
        <v>189.61</v>
      </c>
      <c r="G754" s="1">
        <v>17000</v>
      </c>
      <c r="H754" s="5">
        <f t="shared" si="14"/>
        <v>0</v>
      </c>
      <c r="I754" s="1"/>
      <c r="J754" s="1"/>
    </row>
    <row r="755" spans="2:10" x14ac:dyDescent="0.2">
      <c r="B755" s="1" t="s">
        <v>131</v>
      </c>
      <c r="C755" s="32">
        <v>128</v>
      </c>
      <c r="D755" s="1">
        <v>17000</v>
      </c>
      <c r="E755" s="1"/>
      <c r="F755" s="1">
        <v>189.61</v>
      </c>
      <c r="G755" s="1">
        <v>17000</v>
      </c>
      <c r="H755" s="5">
        <f t="shared" si="14"/>
        <v>0</v>
      </c>
      <c r="I755" s="1"/>
      <c r="J755" s="1"/>
    </row>
    <row r="756" spans="2:10" x14ac:dyDescent="0.2">
      <c r="B756" s="1" t="s">
        <v>131</v>
      </c>
      <c r="C756" s="32" t="s">
        <v>61</v>
      </c>
      <c r="D756" s="1">
        <v>4500</v>
      </c>
      <c r="E756" s="1"/>
      <c r="F756" s="1">
        <v>50.19</v>
      </c>
      <c r="G756" s="1">
        <v>4500</v>
      </c>
      <c r="H756" s="5">
        <f t="shared" si="14"/>
        <v>0</v>
      </c>
      <c r="I756" s="1"/>
      <c r="J756" s="1"/>
    </row>
    <row r="757" spans="2:10" x14ac:dyDescent="0.2">
      <c r="B757" s="1" t="s">
        <v>131</v>
      </c>
      <c r="C757" s="32" t="s">
        <v>61</v>
      </c>
      <c r="D757" s="1">
        <v>5000</v>
      </c>
      <c r="E757" s="1"/>
      <c r="F757" s="1">
        <v>55.76</v>
      </c>
      <c r="G757" s="1">
        <v>5000</v>
      </c>
      <c r="H757" s="5">
        <f t="shared" si="14"/>
        <v>0</v>
      </c>
      <c r="I757" s="1"/>
      <c r="J757" s="1"/>
    </row>
    <row r="758" spans="2:10" x14ac:dyDescent="0.2">
      <c r="B758" s="1" t="s">
        <v>131</v>
      </c>
      <c r="C758" s="32" t="s">
        <v>63</v>
      </c>
      <c r="D758" s="1">
        <v>3500</v>
      </c>
      <c r="E758" s="1"/>
      <c r="F758" s="1">
        <v>39.04</v>
      </c>
      <c r="G758" s="1">
        <v>3500</v>
      </c>
      <c r="H758" s="5">
        <f t="shared" ref="H758:H821" si="15">D758-G758</f>
        <v>0</v>
      </c>
      <c r="I758" s="1"/>
      <c r="J758" s="1"/>
    </row>
    <row r="759" spans="2:10" x14ac:dyDescent="0.2">
      <c r="B759" s="1" t="s">
        <v>131</v>
      </c>
      <c r="C759" s="32">
        <v>788</v>
      </c>
      <c r="D759" s="1">
        <v>14000</v>
      </c>
      <c r="E759" s="1"/>
      <c r="F759" s="1">
        <v>156.15</v>
      </c>
      <c r="G759" s="1">
        <v>14000</v>
      </c>
      <c r="H759" s="5">
        <f t="shared" si="15"/>
        <v>0</v>
      </c>
      <c r="I759" s="1"/>
      <c r="J759" s="1"/>
    </row>
    <row r="760" spans="2:10" x14ac:dyDescent="0.2">
      <c r="B760" s="1" t="s">
        <v>131</v>
      </c>
      <c r="C760" s="32">
        <v>637</v>
      </c>
      <c r="D760" s="1">
        <v>10000</v>
      </c>
      <c r="E760" s="1"/>
      <c r="F760" s="1">
        <v>111.53</v>
      </c>
      <c r="G760" s="1">
        <v>10000</v>
      </c>
      <c r="H760" s="5">
        <f t="shared" si="15"/>
        <v>0</v>
      </c>
      <c r="I760" s="1"/>
      <c r="J760" s="1"/>
    </row>
    <row r="761" spans="2:10" x14ac:dyDescent="0.2">
      <c r="B761" s="1" t="s">
        <v>131</v>
      </c>
      <c r="C761" s="32">
        <v>3415</v>
      </c>
      <c r="D761" s="1">
        <v>20000</v>
      </c>
      <c r="E761" s="1"/>
      <c r="F761" s="1">
        <v>218.61</v>
      </c>
      <c r="G761" s="1">
        <v>20000</v>
      </c>
      <c r="H761" s="5">
        <f t="shared" si="15"/>
        <v>0</v>
      </c>
      <c r="I761" s="1"/>
      <c r="J761" s="1"/>
    </row>
    <row r="762" spans="2:10" x14ac:dyDescent="0.2">
      <c r="B762" s="1" t="s">
        <v>131</v>
      </c>
      <c r="C762" s="32">
        <v>8671</v>
      </c>
      <c r="D762" s="1">
        <v>30000</v>
      </c>
      <c r="E762" s="1"/>
      <c r="F762" s="1">
        <v>312.3</v>
      </c>
      <c r="G762" s="1">
        <v>30000</v>
      </c>
      <c r="H762" s="5">
        <f t="shared" si="15"/>
        <v>0</v>
      </c>
      <c r="I762" s="1"/>
      <c r="J762" s="1"/>
    </row>
    <row r="763" spans="2:10" x14ac:dyDescent="0.2">
      <c r="B763" s="1" t="s">
        <v>131</v>
      </c>
      <c r="C763" s="32">
        <v>6126</v>
      </c>
      <c r="D763" s="1">
        <v>16000</v>
      </c>
      <c r="E763" s="1"/>
      <c r="F763" s="1">
        <v>178.45</v>
      </c>
      <c r="G763" s="1">
        <v>16000</v>
      </c>
      <c r="H763" s="5">
        <f t="shared" si="15"/>
        <v>0</v>
      </c>
      <c r="I763" s="1"/>
      <c r="J763" s="1"/>
    </row>
    <row r="764" spans="2:10" x14ac:dyDescent="0.2">
      <c r="B764" s="1" t="s">
        <v>131</v>
      </c>
      <c r="C764" s="32">
        <v>1741</v>
      </c>
      <c r="D764" s="1">
        <v>15000</v>
      </c>
      <c r="E764" s="1"/>
      <c r="F764" s="1">
        <v>167.3</v>
      </c>
      <c r="G764" s="1">
        <v>15000</v>
      </c>
      <c r="H764" s="5">
        <f t="shared" si="15"/>
        <v>0</v>
      </c>
      <c r="I764" s="1"/>
      <c r="J764" s="1"/>
    </row>
    <row r="765" spans="2:10" x14ac:dyDescent="0.2">
      <c r="B765" s="1" t="s">
        <v>131</v>
      </c>
      <c r="C765" s="32">
        <v>8813</v>
      </c>
      <c r="D765" s="1">
        <v>25000</v>
      </c>
      <c r="E765" s="1"/>
      <c r="F765" s="1">
        <v>247.39</v>
      </c>
      <c r="G765" s="1">
        <v>25000</v>
      </c>
      <c r="H765" s="5">
        <f t="shared" si="15"/>
        <v>0</v>
      </c>
      <c r="I765" s="1"/>
      <c r="J765" s="1"/>
    </row>
    <row r="766" spans="2:10" x14ac:dyDescent="0.2">
      <c r="B766" s="1" t="s">
        <v>131</v>
      </c>
      <c r="C766" s="32">
        <v>4608</v>
      </c>
      <c r="D766" s="1">
        <v>10000</v>
      </c>
      <c r="E766" s="1"/>
      <c r="F766" s="1">
        <v>111.53</v>
      </c>
      <c r="G766" s="1">
        <v>10000</v>
      </c>
      <c r="H766" s="5">
        <f t="shared" si="15"/>
        <v>0</v>
      </c>
      <c r="I766" s="1"/>
      <c r="J766" s="1"/>
    </row>
    <row r="767" spans="2:10" x14ac:dyDescent="0.2">
      <c r="B767" s="1" t="s">
        <v>131</v>
      </c>
      <c r="C767" s="32">
        <v>6453</v>
      </c>
      <c r="D767" s="1">
        <v>25000</v>
      </c>
      <c r="E767" s="1"/>
      <c r="F767" s="1">
        <v>278.83</v>
      </c>
      <c r="G767" s="1">
        <v>25000</v>
      </c>
      <c r="H767" s="5">
        <f t="shared" si="15"/>
        <v>0</v>
      </c>
      <c r="I767" s="1"/>
      <c r="J767" s="1"/>
    </row>
    <row r="768" spans="2:10" x14ac:dyDescent="0.2">
      <c r="B768" s="1" t="s">
        <v>132</v>
      </c>
      <c r="C768" s="32">
        <v>4426</v>
      </c>
      <c r="D768" s="1">
        <v>10000</v>
      </c>
      <c r="E768" s="1"/>
      <c r="F768" s="1">
        <v>111.53</v>
      </c>
      <c r="G768" s="1">
        <v>10000</v>
      </c>
      <c r="H768" s="5">
        <f t="shared" si="15"/>
        <v>0</v>
      </c>
      <c r="I768" s="1"/>
      <c r="J768" s="1"/>
    </row>
    <row r="769" spans="2:10" x14ac:dyDescent="0.2">
      <c r="B769" s="1" t="s">
        <v>132</v>
      </c>
      <c r="C769" s="32">
        <v>8039</v>
      </c>
      <c r="D769" s="1">
        <v>30000</v>
      </c>
      <c r="E769" s="1"/>
      <c r="F769" s="1">
        <v>334.6</v>
      </c>
      <c r="G769" s="1">
        <v>30000</v>
      </c>
      <c r="H769" s="5">
        <f t="shared" si="15"/>
        <v>0</v>
      </c>
      <c r="I769" s="1"/>
      <c r="J769" s="1"/>
    </row>
    <row r="770" spans="2:10" x14ac:dyDescent="0.2">
      <c r="B770" s="1" t="s">
        <v>132</v>
      </c>
      <c r="C770" s="32">
        <v>643</v>
      </c>
      <c r="D770" s="1">
        <v>20000</v>
      </c>
      <c r="E770" s="1"/>
      <c r="F770" s="1">
        <v>223.06</v>
      </c>
      <c r="G770" s="1">
        <v>20000</v>
      </c>
      <c r="H770" s="5">
        <f t="shared" si="15"/>
        <v>0</v>
      </c>
      <c r="I770" s="1"/>
      <c r="J770" s="1"/>
    </row>
    <row r="771" spans="2:10" x14ac:dyDescent="0.2">
      <c r="B771" s="1" t="s">
        <v>132</v>
      </c>
      <c r="C771" s="32">
        <v>4311</v>
      </c>
      <c r="D771" s="1">
        <v>25000</v>
      </c>
      <c r="E771" s="1"/>
      <c r="F771" s="1">
        <v>278.83</v>
      </c>
      <c r="G771" s="1">
        <v>25000</v>
      </c>
      <c r="H771" s="5">
        <f t="shared" si="15"/>
        <v>0</v>
      </c>
      <c r="I771" s="1"/>
      <c r="J771" s="1"/>
    </row>
    <row r="772" spans="2:10" x14ac:dyDescent="0.2">
      <c r="B772" s="1" t="s">
        <v>132</v>
      </c>
      <c r="C772" s="32">
        <v>8545</v>
      </c>
      <c r="D772" s="1">
        <v>25000</v>
      </c>
      <c r="E772" s="1"/>
      <c r="F772" s="1">
        <v>278.83</v>
      </c>
      <c r="G772" s="1">
        <v>25000</v>
      </c>
      <c r="H772" s="5">
        <f t="shared" si="15"/>
        <v>0</v>
      </c>
      <c r="I772" s="1"/>
      <c r="J772" s="1"/>
    </row>
    <row r="773" spans="2:10" x14ac:dyDescent="0.2">
      <c r="B773" s="1" t="s">
        <v>132</v>
      </c>
      <c r="C773" s="32">
        <v>8993</v>
      </c>
      <c r="D773" s="1">
        <v>25000</v>
      </c>
      <c r="E773" s="1"/>
      <c r="F773" s="1">
        <v>246.68</v>
      </c>
      <c r="G773" s="1">
        <v>25000</v>
      </c>
      <c r="H773" s="5">
        <f t="shared" si="15"/>
        <v>0</v>
      </c>
      <c r="I773" s="1"/>
      <c r="J773" s="1"/>
    </row>
    <row r="774" spans="2:10" x14ac:dyDescent="0.2">
      <c r="B774" s="1" t="s">
        <v>132</v>
      </c>
      <c r="C774" s="32">
        <v>1343</v>
      </c>
      <c r="D774" s="1">
        <v>5000</v>
      </c>
      <c r="E774" s="1"/>
      <c r="F774" s="1">
        <v>55.77</v>
      </c>
      <c r="G774" s="1">
        <v>5000</v>
      </c>
      <c r="H774" s="5">
        <f t="shared" si="15"/>
        <v>0</v>
      </c>
      <c r="I774" s="1"/>
      <c r="J774" s="1"/>
    </row>
    <row r="775" spans="2:10" x14ac:dyDescent="0.2">
      <c r="B775" s="1" t="s">
        <v>132</v>
      </c>
      <c r="C775" s="32">
        <v>5655</v>
      </c>
      <c r="D775" s="1">
        <v>5000</v>
      </c>
      <c r="E775" s="1"/>
      <c r="F775" s="1">
        <v>55.77</v>
      </c>
      <c r="G775" s="1">
        <v>5000</v>
      </c>
      <c r="H775" s="5">
        <f t="shared" si="15"/>
        <v>0</v>
      </c>
      <c r="I775" s="1"/>
      <c r="J775" s="1"/>
    </row>
    <row r="776" spans="2:10" x14ac:dyDescent="0.2">
      <c r="B776" s="1" t="s">
        <v>132</v>
      </c>
      <c r="C776" s="32">
        <v>756</v>
      </c>
      <c r="D776" s="1">
        <v>24000</v>
      </c>
      <c r="E776" s="1"/>
      <c r="F776" s="1">
        <v>267.68</v>
      </c>
      <c r="G776" s="1">
        <v>24000</v>
      </c>
      <c r="H776" s="5">
        <f t="shared" si="15"/>
        <v>0</v>
      </c>
      <c r="I776" s="1"/>
      <c r="J776" s="1"/>
    </row>
    <row r="777" spans="2:10" x14ac:dyDescent="0.2">
      <c r="B777" s="1" t="s">
        <v>132</v>
      </c>
      <c r="C777" s="32">
        <v>7090</v>
      </c>
      <c r="D777" s="1">
        <v>12000</v>
      </c>
      <c r="E777" s="1"/>
      <c r="F777" s="1">
        <v>133.84</v>
      </c>
      <c r="G777" s="1">
        <v>12000</v>
      </c>
      <c r="H777" s="5">
        <f t="shared" si="15"/>
        <v>0</v>
      </c>
      <c r="I777" s="1"/>
      <c r="J777" s="1"/>
    </row>
    <row r="778" spans="2:10" x14ac:dyDescent="0.2">
      <c r="B778" s="1" t="s">
        <v>132</v>
      </c>
      <c r="C778" s="32">
        <v>9898</v>
      </c>
      <c r="D778" s="1">
        <v>15000</v>
      </c>
      <c r="E778" s="1"/>
      <c r="F778" s="1">
        <v>167.3</v>
      </c>
      <c r="G778" s="1">
        <v>15000</v>
      </c>
      <c r="H778" s="5">
        <f t="shared" si="15"/>
        <v>0</v>
      </c>
      <c r="I778" s="1"/>
      <c r="J778" s="1"/>
    </row>
    <row r="779" spans="2:10" x14ac:dyDescent="0.2">
      <c r="B779" s="1" t="s">
        <v>132</v>
      </c>
      <c r="C779" s="32">
        <v>8508</v>
      </c>
      <c r="D779" s="1">
        <v>9000</v>
      </c>
      <c r="E779" s="1"/>
      <c r="F779" s="1">
        <v>167.3</v>
      </c>
      <c r="G779" s="1">
        <v>9000</v>
      </c>
      <c r="H779" s="5">
        <f t="shared" si="15"/>
        <v>0</v>
      </c>
      <c r="I779" s="1"/>
      <c r="J779" s="1"/>
    </row>
    <row r="780" spans="2:10" x14ac:dyDescent="0.2">
      <c r="B780" s="1" t="s">
        <v>132</v>
      </c>
      <c r="C780" s="32">
        <v>3677</v>
      </c>
      <c r="D780" s="1">
        <v>25000</v>
      </c>
      <c r="E780" s="1"/>
      <c r="F780" s="1">
        <v>298.83</v>
      </c>
      <c r="G780" s="1">
        <v>25000</v>
      </c>
      <c r="H780" s="5">
        <f t="shared" si="15"/>
        <v>0</v>
      </c>
      <c r="I780" s="1"/>
      <c r="J780" s="1"/>
    </row>
    <row r="781" spans="2:10" x14ac:dyDescent="0.2">
      <c r="B781" s="1" t="s">
        <v>132</v>
      </c>
      <c r="C781" s="32">
        <v>6454</v>
      </c>
      <c r="D781" s="1">
        <v>24000</v>
      </c>
      <c r="E781" s="1"/>
      <c r="F781" s="1">
        <v>251.83</v>
      </c>
      <c r="G781" s="1">
        <v>24000</v>
      </c>
      <c r="H781" s="5">
        <f t="shared" si="15"/>
        <v>0</v>
      </c>
      <c r="I781" s="1"/>
      <c r="J781" s="1"/>
    </row>
    <row r="782" spans="2:10" x14ac:dyDescent="0.2">
      <c r="B782" s="1" t="s">
        <v>132</v>
      </c>
      <c r="C782" s="32">
        <v>4204</v>
      </c>
      <c r="D782" s="1">
        <v>14000</v>
      </c>
      <c r="E782" s="1"/>
      <c r="F782" s="1">
        <v>156.15</v>
      </c>
      <c r="G782" s="1">
        <v>14000</v>
      </c>
      <c r="H782" s="5">
        <f t="shared" si="15"/>
        <v>0</v>
      </c>
      <c r="I782" s="1"/>
      <c r="J782" s="1"/>
    </row>
    <row r="783" spans="2:10" x14ac:dyDescent="0.2">
      <c r="B783" s="1" t="s">
        <v>132</v>
      </c>
      <c r="C783" s="32">
        <v>1518</v>
      </c>
      <c r="D783" s="1">
        <v>14000</v>
      </c>
      <c r="E783" s="1"/>
      <c r="F783" s="1">
        <v>156.15</v>
      </c>
      <c r="G783" s="1">
        <v>14000</v>
      </c>
      <c r="H783" s="5">
        <f t="shared" si="15"/>
        <v>0</v>
      </c>
      <c r="I783" s="1"/>
      <c r="J783" s="1"/>
    </row>
    <row r="784" spans="2:10" x14ac:dyDescent="0.2">
      <c r="B784" s="1" t="s">
        <v>132</v>
      </c>
      <c r="C784" s="32">
        <v>795</v>
      </c>
      <c r="D784" s="1">
        <v>25000</v>
      </c>
      <c r="E784" s="1"/>
      <c r="F784" s="1">
        <v>278.83</v>
      </c>
      <c r="G784" s="1">
        <v>25000</v>
      </c>
      <c r="H784" s="5">
        <f t="shared" si="15"/>
        <v>0</v>
      </c>
      <c r="I784" s="1"/>
      <c r="J784" s="1"/>
    </row>
    <row r="785" spans="2:10" x14ac:dyDescent="0.2">
      <c r="B785" s="1" t="s">
        <v>135</v>
      </c>
      <c r="C785" s="32">
        <v>2808</v>
      </c>
      <c r="D785" s="1">
        <v>25000</v>
      </c>
      <c r="E785" s="1"/>
      <c r="F785" s="1">
        <v>278.83</v>
      </c>
      <c r="G785" s="1">
        <v>25000</v>
      </c>
      <c r="H785" s="5">
        <f t="shared" si="15"/>
        <v>0</v>
      </c>
      <c r="I785" s="1"/>
      <c r="J785" s="1"/>
    </row>
    <row r="786" spans="2:10" x14ac:dyDescent="0.2">
      <c r="B786" s="1" t="s">
        <v>135</v>
      </c>
      <c r="C786" s="32">
        <v>6993</v>
      </c>
      <c r="D786" s="1">
        <v>15000</v>
      </c>
      <c r="E786" s="1"/>
      <c r="F786" s="1">
        <v>167.3</v>
      </c>
      <c r="G786" s="1">
        <v>15000</v>
      </c>
      <c r="H786" s="5">
        <f t="shared" si="15"/>
        <v>0</v>
      </c>
      <c r="I786" s="1"/>
      <c r="J786" s="1"/>
    </row>
    <row r="787" spans="2:10" x14ac:dyDescent="0.2">
      <c r="B787" s="1" t="s">
        <v>135</v>
      </c>
      <c r="C787" s="32">
        <v>293</v>
      </c>
      <c r="D787" s="1">
        <v>15000</v>
      </c>
      <c r="E787" s="1"/>
      <c r="F787" s="1">
        <v>167.3</v>
      </c>
      <c r="G787" s="1">
        <v>15000</v>
      </c>
      <c r="H787" s="5">
        <f t="shared" si="15"/>
        <v>0</v>
      </c>
      <c r="I787" s="1"/>
      <c r="J787" s="1"/>
    </row>
    <row r="788" spans="2:10" x14ac:dyDescent="0.2">
      <c r="B788" s="1" t="s">
        <v>135</v>
      </c>
      <c r="C788" s="32">
        <v>35</v>
      </c>
      <c r="D788" s="1">
        <v>15000</v>
      </c>
      <c r="E788" s="1"/>
      <c r="F788" s="1">
        <v>167.3</v>
      </c>
      <c r="G788" s="1">
        <v>15000</v>
      </c>
      <c r="H788" s="5">
        <f t="shared" si="15"/>
        <v>0</v>
      </c>
      <c r="I788" s="1"/>
      <c r="J788" s="1"/>
    </row>
    <row r="789" spans="2:10" x14ac:dyDescent="0.2">
      <c r="B789" s="1" t="s">
        <v>135</v>
      </c>
      <c r="C789" s="32">
        <v>9925</v>
      </c>
      <c r="D789" s="1">
        <v>15000</v>
      </c>
      <c r="E789" s="1"/>
      <c r="F789" s="1">
        <v>167.3</v>
      </c>
      <c r="G789" s="1">
        <v>15000</v>
      </c>
      <c r="H789" s="5">
        <f t="shared" si="15"/>
        <v>0</v>
      </c>
      <c r="I789" s="1"/>
      <c r="J789" s="1"/>
    </row>
    <row r="790" spans="2:10" x14ac:dyDescent="0.2">
      <c r="B790" s="1" t="s">
        <v>135</v>
      </c>
      <c r="C790" s="32">
        <v>4936</v>
      </c>
      <c r="D790" s="1">
        <v>15000</v>
      </c>
      <c r="E790" s="1"/>
      <c r="F790" s="1">
        <v>167.3</v>
      </c>
      <c r="G790" s="1">
        <v>15000</v>
      </c>
      <c r="H790" s="5">
        <f t="shared" si="15"/>
        <v>0</v>
      </c>
      <c r="I790" s="1"/>
      <c r="J790" s="1"/>
    </row>
    <row r="791" spans="2:10" x14ac:dyDescent="0.2">
      <c r="B791" s="1" t="s">
        <v>135</v>
      </c>
      <c r="C791" s="32" t="s">
        <v>63</v>
      </c>
      <c r="D791" s="1">
        <v>3500</v>
      </c>
      <c r="E791" s="1"/>
      <c r="F791" s="1">
        <v>39.04</v>
      </c>
      <c r="G791" s="1">
        <v>3500</v>
      </c>
      <c r="H791" s="5">
        <f t="shared" si="15"/>
        <v>0</v>
      </c>
      <c r="I791" s="1"/>
      <c r="J791" s="1"/>
    </row>
    <row r="792" spans="2:10" x14ac:dyDescent="0.2">
      <c r="B792" s="1" t="s">
        <v>135</v>
      </c>
      <c r="C792" s="32">
        <v>4349</v>
      </c>
      <c r="D792" s="1">
        <v>20000</v>
      </c>
      <c r="E792" s="1"/>
      <c r="F792" s="1">
        <v>223.06</v>
      </c>
      <c r="G792" s="1">
        <v>20000</v>
      </c>
      <c r="H792" s="5">
        <f t="shared" si="15"/>
        <v>0</v>
      </c>
      <c r="I792" s="1"/>
      <c r="J792" s="1"/>
    </row>
    <row r="793" spans="2:10" x14ac:dyDescent="0.2">
      <c r="B793" s="1" t="s">
        <v>135</v>
      </c>
      <c r="C793" s="32">
        <v>7766</v>
      </c>
      <c r="D793" s="1">
        <v>16000</v>
      </c>
      <c r="E793" s="1"/>
      <c r="F793" s="1">
        <v>174.62</v>
      </c>
      <c r="G793" s="1">
        <v>16000</v>
      </c>
      <c r="H793" s="5">
        <f t="shared" si="15"/>
        <v>0</v>
      </c>
      <c r="I793" s="1"/>
      <c r="J793" s="1"/>
    </row>
    <row r="794" spans="2:10" x14ac:dyDescent="0.2">
      <c r="B794" s="1" t="s">
        <v>135</v>
      </c>
      <c r="C794" s="32">
        <v>756</v>
      </c>
      <c r="D794" s="1">
        <v>23000</v>
      </c>
      <c r="E794" s="1"/>
      <c r="F794" s="1">
        <v>256.52</v>
      </c>
      <c r="G794" s="1">
        <v>23000</v>
      </c>
      <c r="H794" s="5">
        <f t="shared" si="15"/>
        <v>0</v>
      </c>
      <c r="I794" s="1"/>
      <c r="J794" s="1"/>
    </row>
    <row r="795" spans="2:10" x14ac:dyDescent="0.2">
      <c r="B795" s="1" t="s">
        <v>135</v>
      </c>
      <c r="C795" s="32">
        <v>291</v>
      </c>
      <c r="D795" s="1">
        <v>15000</v>
      </c>
      <c r="E795" s="1"/>
      <c r="F795" s="1">
        <v>167.3</v>
      </c>
      <c r="G795" s="1">
        <v>15000</v>
      </c>
      <c r="H795" s="5">
        <f t="shared" si="15"/>
        <v>0</v>
      </c>
      <c r="I795" s="1"/>
      <c r="J795" s="1"/>
    </row>
    <row r="796" spans="2:10" x14ac:dyDescent="0.2">
      <c r="B796" s="1" t="s">
        <v>135</v>
      </c>
      <c r="C796" s="32">
        <v>3600</v>
      </c>
      <c r="D796" s="1">
        <v>18000</v>
      </c>
      <c r="E796" s="1"/>
      <c r="F796" s="1">
        <v>200.76</v>
      </c>
      <c r="G796" s="1">
        <v>18000</v>
      </c>
      <c r="H796" s="5">
        <f t="shared" si="15"/>
        <v>0</v>
      </c>
      <c r="I796" s="1"/>
      <c r="J796" s="1"/>
    </row>
    <row r="797" spans="2:10" x14ac:dyDescent="0.2">
      <c r="B797" s="1" t="s">
        <v>135</v>
      </c>
      <c r="C797" s="32">
        <v>6284</v>
      </c>
      <c r="D797" s="1">
        <v>15000</v>
      </c>
      <c r="E797" s="1"/>
      <c r="F797" s="1">
        <v>167.5</v>
      </c>
      <c r="G797" s="1">
        <v>15000</v>
      </c>
      <c r="H797" s="5">
        <f t="shared" si="15"/>
        <v>0</v>
      </c>
      <c r="I797" s="1"/>
      <c r="J797" s="1"/>
    </row>
    <row r="798" spans="2:10" x14ac:dyDescent="0.2">
      <c r="B798" s="1" t="s">
        <v>135</v>
      </c>
      <c r="C798" s="32">
        <v>7491</v>
      </c>
      <c r="D798" s="1">
        <v>32000</v>
      </c>
      <c r="E798" s="1"/>
      <c r="F798" s="1">
        <v>329.02</v>
      </c>
      <c r="G798" s="1">
        <v>32000</v>
      </c>
      <c r="H798" s="5">
        <f t="shared" si="15"/>
        <v>0</v>
      </c>
      <c r="I798" s="1"/>
      <c r="J798" s="1"/>
    </row>
    <row r="799" spans="2:10" x14ac:dyDescent="0.2">
      <c r="B799" s="1" t="s">
        <v>135</v>
      </c>
      <c r="C799" s="32">
        <v>2131</v>
      </c>
      <c r="D799" s="1">
        <v>25000</v>
      </c>
      <c r="E799" s="1"/>
      <c r="F799" s="1">
        <v>240.29</v>
      </c>
      <c r="G799" s="1">
        <v>25000</v>
      </c>
      <c r="H799" s="5">
        <f t="shared" si="15"/>
        <v>0</v>
      </c>
      <c r="I799" s="1"/>
      <c r="J799" s="1"/>
    </row>
    <row r="800" spans="2:10" x14ac:dyDescent="0.2">
      <c r="B800" s="1" t="s">
        <v>135</v>
      </c>
      <c r="C800" s="32">
        <v>7461</v>
      </c>
      <c r="D800" s="1">
        <v>24000</v>
      </c>
      <c r="E800" s="1"/>
      <c r="F800" s="1">
        <v>267.67</v>
      </c>
      <c r="G800" s="1">
        <v>24000</v>
      </c>
      <c r="H800" s="5">
        <f t="shared" si="15"/>
        <v>0</v>
      </c>
      <c r="I800" s="1"/>
      <c r="J800" s="1"/>
    </row>
    <row r="801" spans="2:10" x14ac:dyDescent="0.2">
      <c r="B801" s="1" t="s">
        <v>135</v>
      </c>
      <c r="C801" s="32">
        <v>3947</v>
      </c>
      <c r="D801" s="1">
        <v>20000</v>
      </c>
      <c r="E801" s="1"/>
      <c r="F801" s="1">
        <v>223.06</v>
      </c>
      <c r="G801" s="1">
        <v>20000</v>
      </c>
      <c r="H801" s="5">
        <f t="shared" si="15"/>
        <v>0</v>
      </c>
      <c r="I801" s="1"/>
      <c r="J801" s="1"/>
    </row>
    <row r="802" spans="2:10" x14ac:dyDescent="0.2">
      <c r="B802" s="1" t="s">
        <v>135</v>
      </c>
      <c r="C802" s="32">
        <v>8574</v>
      </c>
      <c r="D802" s="1">
        <v>24000</v>
      </c>
      <c r="E802" s="1"/>
      <c r="F802" s="1">
        <v>267.67</v>
      </c>
      <c r="G802" s="1">
        <v>24000</v>
      </c>
      <c r="H802" s="5">
        <f t="shared" si="15"/>
        <v>0</v>
      </c>
      <c r="I802" s="1"/>
      <c r="J802" s="1"/>
    </row>
    <row r="803" spans="2:10" x14ac:dyDescent="0.2">
      <c r="B803" s="1" t="s">
        <v>134</v>
      </c>
      <c r="C803" s="32">
        <v>5384</v>
      </c>
      <c r="D803" s="1">
        <v>25000</v>
      </c>
      <c r="E803" s="1"/>
      <c r="F803" s="1">
        <v>226.41</v>
      </c>
      <c r="G803" s="1">
        <v>25000</v>
      </c>
      <c r="H803" s="5">
        <f t="shared" si="15"/>
        <v>0</v>
      </c>
      <c r="I803" s="1"/>
      <c r="J803" s="1"/>
    </row>
    <row r="804" spans="2:10" ht="15" x14ac:dyDescent="0.25">
      <c r="B804" s="1" t="s">
        <v>134</v>
      </c>
      <c r="C804" s="32">
        <v>3297</v>
      </c>
      <c r="D804" s="1">
        <v>7000</v>
      </c>
      <c r="E804" s="1"/>
      <c r="F804" s="1">
        <v>50.19</v>
      </c>
      <c r="G804" s="1">
        <v>7000</v>
      </c>
      <c r="H804" s="5">
        <f t="shared" si="15"/>
        <v>0</v>
      </c>
      <c r="I804" s="24"/>
      <c r="J804" s="1"/>
    </row>
    <row r="805" spans="2:10" ht="15" x14ac:dyDescent="0.25">
      <c r="B805" s="1" t="s">
        <v>134</v>
      </c>
      <c r="C805" s="32" t="s">
        <v>61</v>
      </c>
      <c r="D805" s="1">
        <v>4500</v>
      </c>
      <c r="E805" s="1"/>
      <c r="F805" s="1">
        <v>50.19</v>
      </c>
      <c r="G805" s="1">
        <v>4500</v>
      </c>
      <c r="H805" s="5">
        <f t="shared" si="15"/>
        <v>0</v>
      </c>
      <c r="I805" s="25"/>
      <c r="J805" s="1"/>
    </row>
    <row r="806" spans="2:10" x14ac:dyDescent="0.2">
      <c r="B806" s="1" t="s">
        <v>134</v>
      </c>
      <c r="C806" s="32">
        <v>2740</v>
      </c>
      <c r="D806" s="1">
        <v>25000</v>
      </c>
      <c r="E806" s="1"/>
      <c r="F806" s="1">
        <v>234.22</v>
      </c>
      <c r="G806" s="1">
        <v>25000</v>
      </c>
      <c r="H806" s="5">
        <f t="shared" si="15"/>
        <v>0</v>
      </c>
      <c r="I806" s="1"/>
      <c r="J806" s="1"/>
    </row>
    <row r="807" spans="2:10" x14ac:dyDescent="0.2">
      <c r="B807" s="1" t="s">
        <v>134</v>
      </c>
      <c r="C807" s="32">
        <v>292</v>
      </c>
      <c r="D807" s="1">
        <v>15000</v>
      </c>
      <c r="E807" s="1"/>
      <c r="F807" s="1">
        <v>167.3</v>
      </c>
      <c r="G807" s="1">
        <v>15000</v>
      </c>
      <c r="H807" s="5">
        <f t="shared" si="15"/>
        <v>0</v>
      </c>
      <c r="I807" s="1"/>
      <c r="J807" s="1"/>
    </row>
    <row r="808" spans="2:10" x14ac:dyDescent="0.2">
      <c r="B808" s="1" t="s">
        <v>134</v>
      </c>
      <c r="C808" s="32">
        <v>611</v>
      </c>
      <c r="D808" s="1">
        <v>20000</v>
      </c>
      <c r="E808" s="1"/>
      <c r="F808" s="1">
        <v>223.06</v>
      </c>
      <c r="G808" s="1">
        <v>20000</v>
      </c>
      <c r="H808" s="5">
        <f t="shared" si="15"/>
        <v>0</v>
      </c>
      <c r="I808" s="1"/>
      <c r="J808" s="1"/>
    </row>
    <row r="809" spans="2:10" x14ac:dyDescent="0.2">
      <c r="B809" s="1" t="s">
        <v>134</v>
      </c>
      <c r="C809" s="32">
        <v>1386</v>
      </c>
      <c r="D809" s="1">
        <v>13100</v>
      </c>
      <c r="E809" s="1"/>
      <c r="F809" s="1">
        <v>146.11000000000001</v>
      </c>
      <c r="G809" s="1">
        <v>13100</v>
      </c>
      <c r="H809" s="5">
        <f t="shared" si="15"/>
        <v>0</v>
      </c>
      <c r="I809" s="1"/>
      <c r="J809" s="1"/>
    </row>
    <row r="810" spans="2:10" x14ac:dyDescent="0.2">
      <c r="B810" s="1" t="s">
        <v>134</v>
      </c>
      <c r="C810" s="32">
        <v>127</v>
      </c>
      <c r="D810" s="1">
        <v>15000</v>
      </c>
      <c r="E810" s="1"/>
      <c r="F810" s="1">
        <v>167.3</v>
      </c>
      <c r="G810" s="1">
        <v>15000</v>
      </c>
      <c r="H810" s="5">
        <f t="shared" si="15"/>
        <v>0</v>
      </c>
      <c r="I810" s="1"/>
      <c r="J810" s="1"/>
    </row>
    <row r="811" spans="2:10" x14ac:dyDescent="0.2">
      <c r="B811" s="1" t="s">
        <v>134</v>
      </c>
      <c r="C811" s="32">
        <v>121</v>
      </c>
      <c r="D811" s="1">
        <v>16000</v>
      </c>
      <c r="E811" s="1"/>
      <c r="F811" s="1">
        <v>178.45</v>
      </c>
      <c r="G811" s="1">
        <v>16000</v>
      </c>
      <c r="H811" s="5">
        <f t="shared" si="15"/>
        <v>0</v>
      </c>
      <c r="I811" s="1"/>
      <c r="J811" s="1"/>
    </row>
    <row r="812" spans="2:10" x14ac:dyDescent="0.2">
      <c r="B812" s="1" t="s">
        <v>134</v>
      </c>
      <c r="C812" s="32">
        <v>119</v>
      </c>
      <c r="D812" s="1">
        <v>16000</v>
      </c>
      <c r="E812" s="1"/>
      <c r="F812" s="1">
        <v>178.45</v>
      </c>
      <c r="G812" s="1">
        <v>16000</v>
      </c>
      <c r="H812" s="5">
        <f t="shared" si="15"/>
        <v>0</v>
      </c>
      <c r="I812" s="1"/>
      <c r="J812" s="1"/>
    </row>
    <row r="813" spans="2:10" x14ac:dyDescent="0.2">
      <c r="B813" s="1" t="s">
        <v>134</v>
      </c>
      <c r="C813" s="32">
        <v>9510</v>
      </c>
      <c r="D813" s="1">
        <v>10000</v>
      </c>
      <c r="E813" s="1"/>
      <c r="F813" s="1">
        <v>111.53</v>
      </c>
      <c r="G813" s="1">
        <v>10000</v>
      </c>
      <c r="H813" s="5">
        <f t="shared" si="15"/>
        <v>0</v>
      </c>
      <c r="I813" s="1"/>
      <c r="J813" s="1"/>
    </row>
    <row r="814" spans="2:10" x14ac:dyDescent="0.2">
      <c r="B814" s="1" t="s">
        <v>134</v>
      </c>
      <c r="C814" s="32">
        <v>9219</v>
      </c>
      <c r="D814" s="1">
        <v>30000</v>
      </c>
      <c r="E814" s="1"/>
      <c r="F814" s="1">
        <v>334.6</v>
      </c>
      <c r="G814" s="1">
        <v>30000</v>
      </c>
      <c r="H814" s="5">
        <f t="shared" si="15"/>
        <v>0</v>
      </c>
      <c r="I814" s="1"/>
      <c r="J814" s="1"/>
    </row>
    <row r="815" spans="2:10" x14ac:dyDescent="0.2">
      <c r="B815" s="1" t="s">
        <v>134</v>
      </c>
      <c r="C815" s="32" t="s">
        <v>66</v>
      </c>
      <c r="D815" s="1">
        <v>400</v>
      </c>
      <c r="E815" s="1"/>
      <c r="F815" s="1">
        <v>4.46</v>
      </c>
      <c r="G815" s="1">
        <v>400</v>
      </c>
      <c r="H815" s="5">
        <f t="shared" si="15"/>
        <v>0</v>
      </c>
      <c r="I815" s="1"/>
      <c r="J815" s="1"/>
    </row>
    <row r="816" spans="2:10" x14ac:dyDescent="0.2">
      <c r="B816" s="1" t="s">
        <v>134</v>
      </c>
      <c r="C816" s="32">
        <v>2979</v>
      </c>
      <c r="D816" s="1">
        <v>27000</v>
      </c>
      <c r="E816" s="1"/>
      <c r="F816" s="1">
        <v>272.14</v>
      </c>
      <c r="G816" s="1">
        <v>27000</v>
      </c>
      <c r="H816" s="5">
        <f t="shared" si="15"/>
        <v>0</v>
      </c>
      <c r="I816" s="1"/>
      <c r="J816" s="1"/>
    </row>
    <row r="817" spans="2:10" x14ac:dyDescent="0.2">
      <c r="B817" s="1" t="s">
        <v>136</v>
      </c>
      <c r="C817" s="32">
        <v>9708</v>
      </c>
      <c r="D817" s="1">
        <v>20000</v>
      </c>
      <c r="E817" s="1"/>
      <c r="F817" s="1">
        <v>218.05</v>
      </c>
      <c r="G817" s="1">
        <v>20000</v>
      </c>
      <c r="H817" s="5">
        <f t="shared" si="15"/>
        <v>0</v>
      </c>
      <c r="I817" s="1"/>
      <c r="J817" s="1"/>
    </row>
    <row r="818" spans="2:10" x14ac:dyDescent="0.2">
      <c r="B818" s="1" t="s">
        <v>136</v>
      </c>
      <c r="C818" s="32">
        <v>1725</v>
      </c>
      <c r="D818" s="1">
        <v>22000</v>
      </c>
      <c r="E818" s="1"/>
      <c r="F818" s="1">
        <v>213.02</v>
      </c>
      <c r="G818" s="1">
        <v>22000</v>
      </c>
      <c r="H818" s="5">
        <f t="shared" si="15"/>
        <v>0</v>
      </c>
      <c r="I818" s="1"/>
      <c r="J818" s="1"/>
    </row>
    <row r="819" spans="2:10" x14ac:dyDescent="0.2">
      <c r="B819" s="1" t="s">
        <v>136</v>
      </c>
      <c r="C819" s="32">
        <v>4015</v>
      </c>
      <c r="D819" s="1">
        <v>28000</v>
      </c>
      <c r="E819" s="1"/>
      <c r="F819" s="1">
        <v>298.92</v>
      </c>
      <c r="G819" s="1">
        <v>28000</v>
      </c>
      <c r="H819" s="5">
        <f t="shared" si="15"/>
        <v>0</v>
      </c>
      <c r="I819" s="1"/>
      <c r="J819" s="1"/>
    </row>
    <row r="820" spans="2:10" x14ac:dyDescent="0.2">
      <c r="B820" s="1" t="s">
        <v>136</v>
      </c>
      <c r="C820" s="32" t="s">
        <v>61</v>
      </c>
      <c r="D820" s="1">
        <v>5000</v>
      </c>
      <c r="E820" s="1"/>
      <c r="F820" s="1">
        <v>55.76</v>
      </c>
      <c r="G820" s="1">
        <v>5000</v>
      </c>
      <c r="H820" s="5">
        <f t="shared" si="15"/>
        <v>0</v>
      </c>
      <c r="I820" s="1"/>
      <c r="J820" s="1"/>
    </row>
    <row r="821" spans="2:10" x14ac:dyDescent="0.2">
      <c r="B821" s="1" t="s">
        <v>136</v>
      </c>
      <c r="C821" s="32">
        <v>7119</v>
      </c>
      <c r="D821" s="1">
        <v>23000</v>
      </c>
      <c r="E821" s="1"/>
      <c r="F821" s="1">
        <v>256.52</v>
      </c>
      <c r="G821" s="1">
        <v>23000</v>
      </c>
      <c r="H821" s="5">
        <f t="shared" si="15"/>
        <v>0</v>
      </c>
      <c r="I821" s="1"/>
      <c r="J821" s="1"/>
    </row>
    <row r="822" spans="2:10" x14ac:dyDescent="0.2">
      <c r="B822" s="1" t="s">
        <v>136</v>
      </c>
      <c r="C822" s="32">
        <v>3030</v>
      </c>
      <c r="D822" s="1">
        <v>30000</v>
      </c>
      <c r="E822" s="1"/>
      <c r="F822" s="1">
        <v>317.87</v>
      </c>
      <c r="G822" s="1">
        <v>30000</v>
      </c>
      <c r="H822" s="5">
        <f t="shared" ref="H822:H885" si="16">D822-G822</f>
        <v>0</v>
      </c>
      <c r="I822" s="1"/>
      <c r="J822" s="1"/>
    </row>
    <row r="823" spans="2:10" x14ac:dyDescent="0.2">
      <c r="B823" s="1" t="s">
        <v>136</v>
      </c>
      <c r="C823" s="32">
        <v>3505</v>
      </c>
      <c r="D823" s="1">
        <v>28000</v>
      </c>
      <c r="E823" s="1"/>
      <c r="F823" s="1">
        <v>312.29000000000002</v>
      </c>
      <c r="G823" s="1">
        <v>28000</v>
      </c>
      <c r="H823" s="5">
        <f t="shared" si="16"/>
        <v>0</v>
      </c>
      <c r="I823" s="1"/>
      <c r="J823" s="1"/>
    </row>
    <row r="824" spans="2:10" x14ac:dyDescent="0.2">
      <c r="B824" s="1" t="s">
        <v>136</v>
      </c>
      <c r="C824" s="32">
        <v>5079</v>
      </c>
      <c r="D824" s="1">
        <v>30000</v>
      </c>
      <c r="E824" s="1"/>
      <c r="F824" s="1">
        <v>334.6</v>
      </c>
      <c r="G824" s="1">
        <v>30000</v>
      </c>
      <c r="H824" s="5">
        <f t="shared" si="16"/>
        <v>0</v>
      </c>
      <c r="I824" s="1"/>
      <c r="J824" s="1"/>
    </row>
    <row r="825" spans="2:10" x14ac:dyDescent="0.2">
      <c r="B825" s="1" t="s">
        <v>136</v>
      </c>
      <c r="C825" s="32">
        <v>2883</v>
      </c>
      <c r="D825" s="1">
        <v>23000</v>
      </c>
      <c r="E825" s="1"/>
      <c r="F825" s="1">
        <v>256.52</v>
      </c>
      <c r="G825" s="1">
        <v>23000</v>
      </c>
      <c r="H825" s="5">
        <f t="shared" si="16"/>
        <v>0</v>
      </c>
      <c r="I825" s="1"/>
      <c r="J825" s="1"/>
    </row>
    <row r="826" spans="2:10" x14ac:dyDescent="0.2">
      <c r="B826" s="1" t="s">
        <v>136</v>
      </c>
      <c r="C826" s="32">
        <v>6405</v>
      </c>
      <c r="D826" s="1">
        <v>15000</v>
      </c>
      <c r="E826" s="1"/>
      <c r="F826" s="1">
        <v>167.3</v>
      </c>
      <c r="G826" s="1">
        <v>15000</v>
      </c>
      <c r="H826" s="5">
        <f t="shared" si="16"/>
        <v>0</v>
      </c>
      <c r="I826" s="1"/>
      <c r="J826" s="1"/>
    </row>
    <row r="827" spans="2:10" x14ac:dyDescent="0.2">
      <c r="B827" s="1" t="s">
        <v>136</v>
      </c>
      <c r="C827" s="32" t="s">
        <v>61</v>
      </c>
      <c r="D827" s="1">
        <v>3500</v>
      </c>
      <c r="E827" s="1"/>
      <c r="F827" s="1">
        <v>39.4</v>
      </c>
      <c r="G827" s="1">
        <v>3500</v>
      </c>
      <c r="H827" s="5">
        <f t="shared" si="16"/>
        <v>0</v>
      </c>
      <c r="I827" s="1"/>
      <c r="J827" s="1"/>
    </row>
    <row r="828" spans="2:10" x14ac:dyDescent="0.2">
      <c r="B828" s="1" t="s">
        <v>137</v>
      </c>
      <c r="C828" s="32" t="s">
        <v>66</v>
      </c>
      <c r="D828" s="1">
        <v>100</v>
      </c>
      <c r="E828" s="1"/>
      <c r="F828" s="1">
        <v>1.05</v>
      </c>
      <c r="G828" s="1">
        <v>100</v>
      </c>
      <c r="H828" s="5">
        <f t="shared" si="16"/>
        <v>0</v>
      </c>
      <c r="I828" s="1"/>
      <c r="J828" s="1"/>
    </row>
    <row r="829" spans="2:10" x14ac:dyDescent="0.2">
      <c r="B829" s="1" t="s">
        <v>137</v>
      </c>
      <c r="C829" s="32">
        <v>245</v>
      </c>
      <c r="D829" s="1">
        <v>25000</v>
      </c>
      <c r="E829" s="1"/>
      <c r="F829" s="1">
        <v>278.83</v>
      </c>
      <c r="G829" s="1">
        <v>25000</v>
      </c>
      <c r="H829" s="5">
        <f t="shared" si="16"/>
        <v>0</v>
      </c>
      <c r="I829" s="1"/>
      <c r="J829" s="1"/>
    </row>
    <row r="830" spans="2:10" x14ac:dyDescent="0.2">
      <c r="B830" s="1" t="s">
        <v>137</v>
      </c>
      <c r="C830" s="32">
        <v>2972</v>
      </c>
      <c r="D830" s="1">
        <v>15000</v>
      </c>
      <c r="E830" s="1"/>
      <c r="F830" s="1">
        <v>167.3</v>
      </c>
      <c r="G830" s="1">
        <v>15000</v>
      </c>
      <c r="H830" s="5">
        <f t="shared" si="16"/>
        <v>0</v>
      </c>
      <c r="I830" s="1"/>
      <c r="J830" s="1"/>
    </row>
    <row r="831" spans="2:10" x14ac:dyDescent="0.2">
      <c r="B831" s="1" t="s">
        <v>137</v>
      </c>
      <c r="C831" s="32">
        <v>7959</v>
      </c>
      <c r="D831" s="1">
        <v>15000</v>
      </c>
      <c r="E831" s="1"/>
      <c r="F831" s="1">
        <v>167.3</v>
      </c>
      <c r="G831" s="1">
        <v>15000</v>
      </c>
      <c r="H831" s="5">
        <f t="shared" si="16"/>
        <v>0</v>
      </c>
      <c r="I831" s="1"/>
      <c r="J831" s="1"/>
    </row>
    <row r="832" spans="2:10" x14ac:dyDescent="0.2">
      <c r="B832" s="1" t="s">
        <v>137</v>
      </c>
      <c r="C832" s="32">
        <v>2852</v>
      </c>
      <c r="D832" s="1">
        <v>22000</v>
      </c>
      <c r="E832" s="1"/>
      <c r="F832" s="1">
        <v>245.37</v>
      </c>
      <c r="G832" s="1">
        <v>22000</v>
      </c>
      <c r="H832" s="5">
        <f t="shared" si="16"/>
        <v>0</v>
      </c>
      <c r="I832" s="1"/>
      <c r="J832" s="1"/>
    </row>
    <row r="833" spans="2:10" x14ac:dyDescent="0.2">
      <c r="B833" s="1" t="s">
        <v>137</v>
      </c>
      <c r="C833" s="32">
        <v>7469</v>
      </c>
      <c r="D833" s="1">
        <v>22000</v>
      </c>
      <c r="E833" s="1"/>
      <c r="F833" s="1">
        <v>245.37</v>
      </c>
      <c r="G833" s="1">
        <v>22000</v>
      </c>
      <c r="H833" s="5">
        <f t="shared" si="16"/>
        <v>0</v>
      </c>
      <c r="I833" s="1"/>
      <c r="J833" s="1"/>
    </row>
    <row r="834" spans="2:10" x14ac:dyDescent="0.2">
      <c r="B834" s="1" t="s">
        <v>137</v>
      </c>
      <c r="C834" s="32">
        <v>7996</v>
      </c>
      <c r="D834" s="1">
        <v>8000</v>
      </c>
      <c r="E834" s="1"/>
      <c r="F834" s="1">
        <v>89.23</v>
      </c>
      <c r="G834" s="1">
        <v>8000</v>
      </c>
      <c r="H834" s="5">
        <f t="shared" si="16"/>
        <v>0</v>
      </c>
      <c r="I834" s="1"/>
      <c r="J834" s="1"/>
    </row>
    <row r="835" spans="2:10" x14ac:dyDescent="0.2">
      <c r="B835" s="1" t="s">
        <v>137</v>
      </c>
      <c r="C835" s="32">
        <v>2795</v>
      </c>
      <c r="D835" s="1">
        <v>8000</v>
      </c>
      <c r="E835" s="1"/>
      <c r="F835" s="1">
        <v>89.23</v>
      </c>
      <c r="G835" s="1">
        <v>8000</v>
      </c>
      <c r="H835" s="5">
        <f t="shared" si="16"/>
        <v>0</v>
      </c>
      <c r="I835" s="1"/>
      <c r="J835" s="1"/>
    </row>
    <row r="836" spans="2:10" x14ac:dyDescent="0.2">
      <c r="B836" s="1" t="s">
        <v>139</v>
      </c>
      <c r="C836" s="32" t="s">
        <v>61</v>
      </c>
      <c r="D836" s="1">
        <v>4500</v>
      </c>
      <c r="E836" s="1"/>
      <c r="F836" s="1">
        <v>50.19</v>
      </c>
      <c r="G836" s="1">
        <v>4500</v>
      </c>
      <c r="H836" s="5">
        <f t="shared" si="16"/>
        <v>0</v>
      </c>
      <c r="I836" s="1"/>
      <c r="J836" s="1"/>
    </row>
    <row r="837" spans="2:10" x14ac:dyDescent="0.2">
      <c r="B837" s="1" t="s">
        <v>139</v>
      </c>
      <c r="C837" s="32">
        <v>6333</v>
      </c>
      <c r="D837" s="1">
        <v>25000</v>
      </c>
      <c r="E837" s="1"/>
      <c r="F837" s="1">
        <v>253.17</v>
      </c>
      <c r="G837" s="1">
        <v>25000</v>
      </c>
      <c r="H837" s="5">
        <f t="shared" si="16"/>
        <v>0</v>
      </c>
      <c r="I837" s="1"/>
      <c r="J837" s="1"/>
    </row>
    <row r="838" spans="2:10" x14ac:dyDescent="0.2">
      <c r="B838" s="1" t="s">
        <v>139</v>
      </c>
      <c r="C838" s="32">
        <v>9138</v>
      </c>
      <c r="D838" s="1">
        <v>15000</v>
      </c>
      <c r="E838" s="1"/>
      <c r="F838" s="1">
        <v>167.3</v>
      </c>
      <c r="G838" s="1">
        <v>15000</v>
      </c>
      <c r="H838" s="5">
        <f t="shared" si="16"/>
        <v>0</v>
      </c>
      <c r="I838" s="1"/>
      <c r="J838" s="1"/>
    </row>
    <row r="839" spans="2:10" x14ac:dyDescent="0.2">
      <c r="B839" s="1" t="s">
        <v>139</v>
      </c>
      <c r="C839" s="32">
        <v>4450</v>
      </c>
      <c r="D839" s="1">
        <v>15000</v>
      </c>
      <c r="E839" s="1"/>
      <c r="F839" s="1">
        <v>167.3</v>
      </c>
      <c r="G839" s="1">
        <v>15000</v>
      </c>
      <c r="H839" s="5">
        <f t="shared" si="16"/>
        <v>0</v>
      </c>
      <c r="I839" s="1"/>
      <c r="J839" s="1"/>
    </row>
    <row r="840" spans="2:10" x14ac:dyDescent="0.2">
      <c r="B840" s="1" t="s">
        <v>139</v>
      </c>
      <c r="C840" s="32">
        <v>7877</v>
      </c>
      <c r="D840" s="1">
        <v>10000</v>
      </c>
      <c r="E840" s="1"/>
      <c r="F840" s="1">
        <v>111.53</v>
      </c>
      <c r="G840" s="1">
        <v>10000</v>
      </c>
      <c r="H840" s="5">
        <f t="shared" si="16"/>
        <v>0</v>
      </c>
      <c r="I840" s="1"/>
      <c r="J840" s="1"/>
    </row>
    <row r="841" spans="2:10" x14ac:dyDescent="0.2">
      <c r="B841" s="1" t="s">
        <v>139</v>
      </c>
      <c r="C841" s="32">
        <v>3005</v>
      </c>
      <c r="D841" s="1">
        <v>12000</v>
      </c>
      <c r="E841" s="1"/>
      <c r="F841" s="1">
        <v>133.84</v>
      </c>
      <c r="G841" s="1">
        <v>12000</v>
      </c>
      <c r="H841" s="5">
        <f t="shared" si="16"/>
        <v>0</v>
      </c>
      <c r="I841" s="1"/>
      <c r="J841" s="1"/>
    </row>
    <row r="842" spans="2:10" x14ac:dyDescent="0.2">
      <c r="B842" s="1" t="s">
        <v>139</v>
      </c>
      <c r="C842" s="32">
        <v>5357</v>
      </c>
      <c r="D842" s="1">
        <v>20000</v>
      </c>
      <c r="E842" s="1"/>
      <c r="F842" s="1">
        <v>223.06</v>
      </c>
      <c r="G842" s="1">
        <v>20000</v>
      </c>
      <c r="H842" s="5">
        <f t="shared" si="16"/>
        <v>0</v>
      </c>
      <c r="I842" s="1"/>
      <c r="J842" s="1"/>
    </row>
    <row r="843" spans="2:10" x14ac:dyDescent="0.2">
      <c r="B843" s="1" t="s">
        <v>139</v>
      </c>
      <c r="C843" s="32">
        <v>5872</v>
      </c>
      <c r="D843" s="1">
        <v>16000</v>
      </c>
      <c r="E843" s="1"/>
      <c r="F843" s="1">
        <v>178.45</v>
      </c>
      <c r="G843" s="1">
        <v>16000</v>
      </c>
      <c r="H843" s="5">
        <f t="shared" si="16"/>
        <v>0</v>
      </c>
      <c r="I843" s="1"/>
      <c r="J843" s="1"/>
    </row>
    <row r="844" spans="2:10" x14ac:dyDescent="0.2">
      <c r="B844" s="1" t="s">
        <v>139</v>
      </c>
      <c r="C844" s="32" t="s">
        <v>66</v>
      </c>
      <c r="D844" s="1">
        <v>100</v>
      </c>
      <c r="E844" s="1"/>
      <c r="F844" s="1">
        <v>1.05</v>
      </c>
      <c r="G844" s="1">
        <v>100</v>
      </c>
      <c r="H844" s="5">
        <f t="shared" si="16"/>
        <v>0</v>
      </c>
      <c r="I844" s="1"/>
      <c r="J844" s="1"/>
    </row>
    <row r="845" spans="2:10" x14ac:dyDescent="0.2">
      <c r="B845" s="1" t="s">
        <v>140</v>
      </c>
      <c r="C845" s="32">
        <v>4135</v>
      </c>
      <c r="D845" s="1">
        <v>23000</v>
      </c>
      <c r="E845" s="1"/>
      <c r="F845" s="1">
        <v>256.52</v>
      </c>
      <c r="G845" s="1">
        <v>23000</v>
      </c>
      <c r="H845" s="5">
        <f t="shared" si="16"/>
        <v>0</v>
      </c>
      <c r="I845" s="1"/>
      <c r="J845" s="1"/>
    </row>
    <row r="846" spans="2:10" x14ac:dyDescent="0.2">
      <c r="B846" s="1" t="s">
        <v>140</v>
      </c>
      <c r="C846" s="32" t="s">
        <v>61</v>
      </c>
      <c r="D846" s="1">
        <v>3500</v>
      </c>
      <c r="E846" s="1"/>
      <c r="F846" s="1">
        <v>39.04</v>
      </c>
      <c r="G846" s="1">
        <v>3500</v>
      </c>
      <c r="H846" s="5">
        <f t="shared" si="16"/>
        <v>0</v>
      </c>
      <c r="I846" s="1"/>
      <c r="J846" s="1"/>
    </row>
    <row r="847" spans="2:10" x14ac:dyDescent="0.2">
      <c r="B847" s="1" t="s">
        <v>140</v>
      </c>
      <c r="C847" s="32">
        <v>2021</v>
      </c>
      <c r="D847" s="1">
        <v>10000</v>
      </c>
      <c r="E847" s="1"/>
      <c r="F847" s="1">
        <v>111.53</v>
      </c>
      <c r="G847" s="1">
        <v>10000</v>
      </c>
      <c r="H847" s="5">
        <f t="shared" si="16"/>
        <v>0</v>
      </c>
      <c r="I847" s="1"/>
      <c r="J847" s="1"/>
    </row>
    <row r="848" spans="2:10" x14ac:dyDescent="0.2">
      <c r="B848" s="1" t="s">
        <v>140</v>
      </c>
      <c r="C848" s="32">
        <v>2597</v>
      </c>
      <c r="D848" s="1">
        <v>10000</v>
      </c>
      <c r="E848" s="1"/>
      <c r="F848" s="1">
        <v>111.53</v>
      </c>
      <c r="G848" s="1">
        <v>10000</v>
      </c>
      <c r="H848" s="5">
        <f t="shared" si="16"/>
        <v>0</v>
      </c>
      <c r="I848" s="1"/>
      <c r="J848" s="1"/>
    </row>
    <row r="849" spans="2:10" x14ac:dyDescent="0.2">
      <c r="B849" s="1" t="s">
        <v>140</v>
      </c>
      <c r="C849" s="32">
        <v>3877</v>
      </c>
      <c r="D849" s="1">
        <v>20000</v>
      </c>
      <c r="E849" s="1"/>
      <c r="F849" s="1">
        <v>223.06</v>
      </c>
      <c r="G849" s="1">
        <v>20000</v>
      </c>
      <c r="H849" s="5">
        <f t="shared" si="16"/>
        <v>0</v>
      </c>
      <c r="I849" s="1"/>
      <c r="J849" s="1"/>
    </row>
    <row r="850" spans="2:10" x14ac:dyDescent="0.2">
      <c r="B850" s="1" t="s">
        <v>140</v>
      </c>
      <c r="C850" s="32">
        <v>21</v>
      </c>
      <c r="D850" s="1">
        <v>26000</v>
      </c>
      <c r="E850" s="1"/>
      <c r="F850" s="1">
        <v>250.95</v>
      </c>
      <c r="G850" s="1">
        <v>26000</v>
      </c>
      <c r="H850" s="5">
        <f t="shared" si="16"/>
        <v>0</v>
      </c>
      <c r="I850" s="1"/>
      <c r="J850" s="1"/>
    </row>
    <row r="851" spans="2:10" x14ac:dyDescent="0.2">
      <c r="B851" s="1" t="s">
        <v>140</v>
      </c>
      <c r="C851" s="32">
        <v>1121</v>
      </c>
      <c r="D851" s="1">
        <v>30000</v>
      </c>
      <c r="E851" s="1"/>
      <c r="F851" s="1">
        <v>326.79000000000002</v>
      </c>
      <c r="G851" s="1">
        <v>30000</v>
      </c>
      <c r="H851" s="5">
        <f t="shared" si="16"/>
        <v>0</v>
      </c>
      <c r="I851" s="1"/>
      <c r="J851" s="1"/>
    </row>
    <row r="852" spans="2:10" x14ac:dyDescent="0.2">
      <c r="B852" s="1" t="s">
        <v>140</v>
      </c>
      <c r="C852" s="32">
        <v>6457</v>
      </c>
      <c r="D852" s="1">
        <v>30000</v>
      </c>
      <c r="E852" s="1"/>
      <c r="F852" s="1">
        <v>326.79000000000002</v>
      </c>
      <c r="G852" s="1">
        <v>30000</v>
      </c>
      <c r="H852" s="5">
        <f t="shared" si="16"/>
        <v>0</v>
      </c>
      <c r="I852" s="1"/>
      <c r="J852" s="1"/>
    </row>
    <row r="853" spans="2:10" x14ac:dyDescent="0.2">
      <c r="B853" s="1" t="s">
        <v>140</v>
      </c>
      <c r="C853" s="32">
        <v>9539</v>
      </c>
      <c r="D853" s="1">
        <v>5000</v>
      </c>
      <c r="E853" s="1"/>
      <c r="F853" s="1">
        <v>55.77</v>
      </c>
      <c r="G853" s="1">
        <v>5000</v>
      </c>
      <c r="H853" s="5">
        <f t="shared" si="16"/>
        <v>0</v>
      </c>
      <c r="I853" s="1"/>
      <c r="J853" s="1"/>
    </row>
    <row r="854" spans="2:10" x14ac:dyDescent="0.2">
      <c r="B854" s="1" t="s">
        <v>151</v>
      </c>
      <c r="C854" s="32">
        <v>2445</v>
      </c>
      <c r="D854" s="1">
        <v>25000</v>
      </c>
      <c r="E854" s="1"/>
      <c r="F854" s="1">
        <v>278.83</v>
      </c>
      <c r="G854" s="1">
        <v>25000</v>
      </c>
      <c r="H854" s="5">
        <f t="shared" si="16"/>
        <v>0</v>
      </c>
      <c r="I854" s="1"/>
      <c r="J854" s="1"/>
    </row>
    <row r="855" spans="2:10" x14ac:dyDescent="0.2">
      <c r="B855" s="1" t="s">
        <v>151</v>
      </c>
      <c r="C855" s="32">
        <v>7179</v>
      </c>
      <c r="D855" s="1">
        <v>20000</v>
      </c>
      <c r="E855" s="1"/>
      <c r="F855" s="1">
        <v>224.29</v>
      </c>
      <c r="G855" s="1">
        <v>20000</v>
      </c>
      <c r="H855" s="5">
        <f t="shared" si="16"/>
        <v>0</v>
      </c>
      <c r="I855" s="1"/>
      <c r="J855" s="1"/>
    </row>
    <row r="856" spans="2:10" x14ac:dyDescent="0.2">
      <c r="B856" s="1" t="s">
        <v>151</v>
      </c>
      <c r="C856" s="32">
        <v>5600</v>
      </c>
      <c r="D856" s="1">
        <v>29000</v>
      </c>
      <c r="E856" s="1"/>
      <c r="F856" s="1">
        <v>323.48</v>
      </c>
      <c r="G856" s="1">
        <v>29000</v>
      </c>
      <c r="H856" s="5">
        <f t="shared" si="16"/>
        <v>0</v>
      </c>
      <c r="I856" s="1"/>
      <c r="J856" s="1"/>
    </row>
    <row r="857" spans="2:10" x14ac:dyDescent="0.2">
      <c r="B857" s="1" t="s">
        <v>153</v>
      </c>
      <c r="C857" s="32" t="s">
        <v>66</v>
      </c>
      <c r="D857" s="1">
        <v>100</v>
      </c>
      <c r="E857" s="1"/>
      <c r="F857" s="1">
        <v>1.0409999999999999</v>
      </c>
      <c r="G857" s="1">
        <v>100</v>
      </c>
      <c r="H857" s="5">
        <f t="shared" si="16"/>
        <v>0</v>
      </c>
      <c r="I857" s="1"/>
      <c r="J857" s="1"/>
    </row>
    <row r="858" spans="2:10" x14ac:dyDescent="0.2">
      <c r="B858" s="1" t="s">
        <v>153</v>
      </c>
      <c r="C858" s="32">
        <v>3561</v>
      </c>
      <c r="D858" s="1">
        <v>25000</v>
      </c>
      <c r="E858" s="1"/>
      <c r="F858" s="1">
        <v>278</v>
      </c>
      <c r="G858" s="1">
        <v>25000</v>
      </c>
      <c r="H858" s="5">
        <f t="shared" si="16"/>
        <v>0</v>
      </c>
      <c r="I858" s="1"/>
      <c r="J858" s="1"/>
    </row>
    <row r="859" spans="2:10" x14ac:dyDescent="0.2">
      <c r="B859" s="1" t="s">
        <v>153</v>
      </c>
      <c r="C859" s="32" t="s">
        <v>61</v>
      </c>
      <c r="D859" s="1">
        <v>4500</v>
      </c>
      <c r="E859" s="1"/>
      <c r="F859" s="1">
        <v>50</v>
      </c>
      <c r="G859" s="1">
        <v>4500</v>
      </c>
      <c r="H859" s="5">
        <f t="shared" si="16"/>
        <v>0</v>
      </c>
      <c r="I859" s="1"/>
      <c r="J859" s="1"/>
    </row>
    <row r="860" spans="2:10" x14ac:dyDescent="0.2">
      <c r="B860" s="1" t="s">
        <v>153</v>
      </c>
      <c r="C860" s="32" t="s">
        <v>63</v>
      </c>
      <c r="D860" s="1">
        <v>3500</v>
      </c>
      <c r="E860" s="1"/>
      <c r="F860" s="1">
        <v>34.03</v>
      </c>
      <c r="G860" s="1">
        <v>3500</v>
      </c>
      <c r="H860" s="5">
        <f t="shared" si="16"/>
        <v>0</v>
      </c>
      <c r="I860" s="1"/>
      <c r="J860" s="1"/>
    </row>
    <row r="861" spans="2:10" x14ac:dyDescent="0.2">
      <c r="B861" s="1" t="s">
        <v>153</v>
      </c>
      <c r="C861" s="32">
        <v>3606</v>
      </c>
      <c r="D861" s="1">
        <v>20000</v>
      </c>
      <c r="E861" s="1"/>
      <c r="F861" s="1">
        <v>223</v>
      </c>
      <c r="G861" s="1">
        <v>20000</v>
      </c>
      <c r="H861" s="5">
        <f t="shared" si="16"/>
        <v>0</v>
      </c>
      <c r="I861" s="1"/>
      <c r="J861" s="1"/>
    </row>
    <row r="862" spans="2:10" x14ac:dyDescent="0.2">
      <c r="B862" s="1" t="s">
        <v>153</v>
      </c>
      <c r="C862" s="32">
        <v>9311</v>
      </c>
      <c r="D862" s="1">
        <v>25000</v>
      </c>
      <c r="E862" s="1"/>
      <c r="F862" s="1">
        <v>278</v>
      </c>
      <c r="G862" s="1">
        <v>25000</v>
      </c>
      <c r="H862" s="5">
        <f t="shared" si="16"/>
        <v>0</v>
      </c>
      <c r="I862" s="1"/>
      <c r="J862" s="1"/>
    </row>
    <row r="863" spans="2:10" x14ac:dyDescent="0.2">
      <c r="B863" s="1" t="s">
        <v>153</v>
      </c>
      <c r="C863" s="32">
        <v>7846</v>
      </c>
      <c r="D863" s="1">
        <v>24000</v>
      </c>
      <c r="E863" s="1"/>
      <c r="F863" s="1">
        <v>267.67</v>
      </c>
      <c r="G863" s="1">
        <v>24000</v>
      </c>
      <c r="H863" s="5">
        <f t="shared" si="16"/>
        <v>0</v>
      </c>
      <c r="I863" s="1"/>
      <c r="J863" s="1"/>
    </row>
    <row r="864" spans="2:10" x14ac:dyDescent="0.2">
      <c r="B864" s="1" t="s">
        <v>154</v>
      </c>
      <c r="C864" s="32">
        <v>8370</v>
      </c>
      <c r="D864" s="1">
        <v>16000</v>
      </c>
      <c r="E864" s="1"/>
      <c r="F864" s="1">
        <v>178.45</v>
      </c>
      <c r="G864" s="1">
        <v>16000</v>
      </c>
      <c r="H864" s="5">
        <f t="shared" si="16"/>
        <v>0</v>
      </c>
      <c r="I864" s="1"/>
      <c r="J864" s="1"/>
    </row>
    <row r="865" spans="2:10" x14ac:dyDescent="0.2">
      <c r="B865" s="1" t="s">
        <v>154</v>
      </c>
      <c r="C865" s="32">
        <v>8470</v>
      </c>
      <c r="D865" s="1">
        <v>16000</v>
      </c>
      <c r="E865" s="1"/>
      <c r="F865" s="1">
        <v>178.45</v>
      </c>
      <c r="G865" s="1">
        <v>16000</v>
      </c>
      <c r="H865" s="5">
        <f t="shared" si="16"/>
        <v>0</v>
      </c>
      <c r="I865" s="1"/>
      <c r="J865" s="1"/>
    </row>
    <row r="866" spans="2:10" x14ac:dyDescent="0.2">
      <c r="B866" s="1" t="s">
        <v>154</v>
      </c>
      <c r="C866" s="32">
        <v>1382</v>
      </c>
      <c r="D866" s="1">
        <v>15000</v>
      </c>
      <c r="E866" s="1"/>
      <c r="F866" s="1">
        <v>167.24</v>
      </c>
      <c r="G866" s="1">
        <v>15000</v>
      </c>
      <c r="H866" s="5">
        <f t="shared" si="16"/>
        <v>0</v>
      </c>
      <c r="I866" s="1"/>
      <c r="J866" s="1"/>
    </row>
    <row r="867" spans="2:10" x14ac:dyDescent="0.2">
      <c r="B867" s="1" t="s">
        <v>154</v>
      </c>
      <c r="C867" s="32">
        <v>8404</v>
      </c>
      <c r="D867" s="1">
        <v>26000</v>
      </c>
      <c r="E867" s="1"/>
      <c r="F867" s="1">
        <v>286.60000000000002</v>
      </c>
      <c r="G867" s="1">
        <v>26000</v>
      </c>
      <c r="H867" s="5">
        <f t="shared" si="16"/>
        <v>0</v>
      </c>
      <c r="I867" s="1"/>
      <c r="J867" s="1"/>
    </row>
    <row r="868" spans="2:10" x14ac:dyDescent="0.2">
      <c r="B868" s="1" t="s">
        <v>154</v>
      </c>
      <c r="C868" s="32">
        <v>8696</v>
      </c>
      <c r="D868" s="1">
        <v>30000</v>
      </c>
      <c r="E868" s="1"/>
      <c r="F868" s="1">
        <v>282.74</v>
      </c>
      <c r="G868" s="1">
        <v>30000</v>
      </c>
      <c r="H868" s="5">
        <f t="shared" si="16"/>
        <v>0</v>
      </c>
      <c r="I868" s="1"/>
      <c r="J868" s="1"/>
    </row>
    <row r="869" spans="2:10" x14ac:dyDescent="0.2">
      <c r="B869" s="1" t="s">
        <v>154</v>
      </c>
      <c r="C869" s="32">
        <v>1651</v>
      </c>
      <c r="D869" s="1">
        <v>30000</v>
      </c>
      <c r="E869" s="1"/>
      <c r="F869" s="1">
        <v>323.44</v>
      </c>
      <c r="G869" s="1">
        <v>30000</v>
      </c>
      <c r="H869" s="5">
        <f t="shared" si="16"/>
        <v>0</v>
      </c>
      <c r="I869" s="1"/>
      <c r="J869" s="1"/>
    </row>
    <row r="870" spans="2:10" x14ac:dyDescent="0.2">
      <c r="B870" s="1" t="s">
        <v>155</v>
      </c>
      <c r="C870" s="32">
        <v>2868</v>
      </c>
      <c r="D870" s="1">
        <v>26000</v>
      </c>
      <c r="E870" s="1"/>
      <c r="F870" s="1">
        <v>273.76</v>
      </c>
      <c r="G870" s="1">
        <v>26000</v>
      </c>
      <c r="H870" s="5">
        <f t="shared" si="16"/>
        <v>0</v>
      </c>
      <c r="I870" s="1"/>
      <c r="J870" s="1"/>
    </row>
    <row r="871" spans="2:10" x14ac:dyDescent="0.2">
      <c r="B871" s="1" t="s">
        <v>155</v>
      </c>
      <c r="C871" s="32" t="s">
        <v>63</v>
      </c>
      <c r="D871" s="1">
        <v>3500</v>
      </c>
      <c r="E871" s="1"/>
      <c r="F871" s="1">
        <v>39.04</v>
      </c>
      <c r="G871" s="1">
        <v>3500</v>
      </c>
      <c r="H871" s="5">
        <f t="shared" si="16"/>
        <v>0</v>
      </c>
      <c r="I871" s="1"/>
      <c r="J871" s="1"/>
    </row>
    <row r="872" spans="2:10" x14ac:dyDescent="0.2">
      <c r="B872" s="1" t="s">
        <v>155</v>
      </c>
      <c r="C872" s="32">
        <v>1948</v>
      </c>
      <c r="D872" s="1">
        <v>20000</v>
      </c>
      <c r="E872" s="1"/>
      <c r="F872" s="1">
        <v>223.06</v>
      </c>
      <c r="G872" s="1">
        <v>20000</v>
      </c>
      <c r="H872" s="5">
        <f t="shared" si="16"/>
        <v>0</v>
      </c>
      <c r="I872" s="1"/>
      <c r="J872" s="1"/>
    </row>
    <row r="873" spans="2:10" x14ac:dyDescent="0.2">
      <c r="B873" s="1" t="s">
        <v>155</v>
      </c>
      <c r="C873" s="32" t="s">
        <v>61</v>
      </c>
      <c r="D873" s="1">
        <v>4500</v>
      </c>
      <c r="E873" s="1"/>
      <c r="F873" s="1">
        <v>50.19</v>
      </c>
      <c r="G873" s="1">
        <v>4500</v>
      </c>
      <c r="H873" s="5">
        <f t="shared" si="16"/>
        <v>0</v>
      </c>
      <c r="I873" s="1"/>
      <c r="J873" s="1"/>
    </row>
    <row r="874" spans="2:10" x14ac:dyDescent="0.2">
      <c r="B874" s="1" t="s">
        <v>155</v>
      </c>
      <c r="C874" s="32">
        <v>7125</v>
      </c>
      <c r="D874" s="1">
        <v>35000</v>
      </c>
      <c r="E874" s="1"/>
      <c r="F874" s="1">
        <v>390.36</v>
      </c>
      <c r="G874" s="1">
        <v>35000</v>
      </c>
      <c r="H874" s="5">
        <f t="shared" si="16"/>
        <v>0</v>
      </c>
      <c r="I874" s="1"/>
      <c r="J874" s="1"/>
    </row>
    <row r="875" spans="2:10" x14ac:dyDescent="0.2">
      <c r="B875" s="1" t="s">
        <v>155</v>
      </c>
      <c r="C875" s="32">
        <v>1726</v>
      </c>
      <c r="D875" s="1">
        <v>12000</v>
      </c>
      <c r="E875" s="1"/>
      <c r="F875" s="1">
        <v>130.83000000000001</v>
      </c>
      <c r="G875" s="1">
        <v>12000</v>
      </c>
      <c r="H875" s="5">
        <f t="shared" si="16"/>
        <v>0</v>
      </c>
      <c r="I875" s="1"/>
      <c r="J875" s="1"/>
    </row>
    <row r="876" spans="2:10" x14ac:dyDescent="0.2">
      <c r="B876" s="1" t="s">
        <v>156</v>
      </c>
      <c r="C876" s="32">
        <v>6021</v>
      </c>
      <c r="D876" s="1">
        <v>19000</v>
      </c>
      <c r="E876" s="1"/>
      <c r="F876" s="1">
        <v>211.91</v>
      </c>
      <c r="G876" s="1">
        <v>19000</v>
      </c>
      <c r="H876" s="5">
        <f t="shared" si="16"/>
        <v>0</v>
      </c>
      <c r="I876" s="1"/>
      <c r="J876" s="1"/>
    </row>
    <row r="877" spans="2:10" x14ac:dyDescent="0.2">
      <c r="B877" s="1" t="s">
        <v>156</v>
      </c>
      <c r="C877" s="32">
        <v>35</v>
      </c>
      <c r="D877" s="1">
        <v>16000</v>
      </c>
      <c r="E877" s="1"/>
      <c r="F877" s="1">
        <v>178.45</v>
      </c>
      <c r="G877" s="1">
        <v>16000</v>
      </c>
      <c r="H877" s="5">
        <f t="shared" si="16"/>
        <v>0</v>
      </c>
      <c r="I877" s="1"/>
      <c r="J877" s="1"/>
    </row>
    <row r="878" spans="2:10" x14ac:dyDescent="0.2">
      <c r="B878" s="1" t="s">
        <v>156</v>
      </c>
      <c r="C878" s="32">
        <v>6711</v>
      </c>
      <c r="D878" s="1">
        <v>12000</v>
      </c>
      <c r="E878" s="1"/>
      <c r="F878" s="1">
        <v>133.84</v>
      </c>
      <c r="G878" s="1">
        <v>12000</v>
      </c>
      <c r="H878" s="5">
        <f t="shared" si="16"/>
        <v>0</v>
      </c>
      <c r="I878" s="1"/>
      <c r="J878" s="1"/>
    </row>
    <row r="879" spans="2:10" x14ac:dyDescent="0.2">
      <c r="B879" s="1" t="s">
        <v>156</v>
      </c>
      <c r="C879" s="32">
        <v>9925</v>
      </c>
      <c r="D879" s="1">
        <v>15000</v>
      </c>
      <c r="E879" s="1"/>
      <c r="F879" s="1">
        <v>167.3</v>
      </c>
      <c r="G879" s="1">
        <v>15000</v>
      </c>
      <c r="H879" s="5">
        <f t="shared" si="16"/>
        <v>0</v>
      </c>
      <c r="I879" s="1"/>
      <c r="J879" s="1"/>
    </row>
    <row r="880" spans="2:10" x14ac:dyDescent="0.2">
      <c r="B880" s="1" t="s">
        <v>156</v>
      </c>
      <c r="C880" s="32">
        <v>6284</v>
      </c>
      <c r="D880" s="1">
        <v>15000</v>
      </c>
      <c r="E880" s="1"/>
      <c r="F880" s="1">
        <v>167.3</v>
      </c>
      <c r="G880" s="1">
        <v>15000</v>
      </c>
      <c r="H880" s="5">
        <f t="shared" si="16"/>
        <v>0</v>
      </c>
      <c r="I880" s="1"/>
      <c r="J880" s="1"/>
    </row>
    <row r="881" spans="2:10" x14ac:dyDescent="0.2">
      <c r="B881" s="1" t="s">
        <v>156</v>
      </c>
      <c r="C881" s="32">
        <v>1220</v>
      </c>
      <c r="D881" s="1">
        <v>13000</v>
      </c>
      <c r="E881" s="1"/>
      <c r="F881" s="1">
        <v>144.99</v>
      </c>
      <c r="G881" s="1">
        <v>13000</v>
      </c>
      <c r="H881" s="5">
        <f t="shared" si="16"/>
        <v>0</v>
      </c>
      <c r="I881" s="1"/>
      <c r="J881" s="1"/>
    </row>
    <row r="882" spans="2:10" x14ac:dyDescent="0.2">
      <c r="B882" s="1" t="s">
        <v>156</v>
      </c>
      <c r="C882" s="32">
        <v>3450</v>
      </c>
      <c r="D882" s="1">
        <v>13000</v>
      </c>
      <c r="E882" s="1"/>
      <c r="F882" s="1">
        <v>144.99</v>
      </c>
      <c r="G882" s="1">
        <v>13000</v>
      </c>
      <c r="H882" s="5">
        <f t="shared" si="16"/>
        <v>0</v>
      </c>
      <c r="I882" s="1"/>
      <c r="J882" s="1"/>
    </row>
    <row r="883" spans="2:10" x14ac:dyDescent="0.2">
      <c r="B883" s="1" t="s">
        <v>156</v>
      </c>
      <c r="C883" s="32">
        <v>8975</v>
      </c>
      <c r="D883" s="1">
        <v>22000</v>
      </c>
      <c r="E883" s="1"/>
      <c r="F883" s="1">
        <v>245.37</v>
      </c>
      <c r="G883" s="1">
        <v>22000</v>
      </c>
      <c r="H883" s="5">
        <f t="shared" si="16"/>
        <v>0</v>
      </c>
      <c r="I883" s="1"/>
      <c r="J883" s="1"/>
    </row>
    <row r="884" spans="2:10" x14ac:dyDescent="0.2">
      <c r="B884" s="1" t="s">
        <v>156</v>
      </c>
      <c r="C884" s="32">
        <v>1901</v>
      </c>
      <c r="D884" s="1">
        <v>23000</v>
      </c>
      <c r="E884" s="1"/>
      <c r="F884" s="1">
        <v>248.72</v>
      </c>
      <c r="G884" s="1">
        <v>23000</v>
      </c>
      <c r="H884" s="5">
        <f t="shared" si="16"/>
        <v>0</v>
      </c>
      <c r="I884" s="1"/>
      <c r="J884" s="1"/>
    </row>
    <row r="885" spans="2:10" x14ac:dyDescent="0.2">
      <c r="B885" s="1" t="s">
        <v>156</v>
      </c>
      <c r="C885" s="32">
        <v>5046</v>
      </c>
      <c r="D885" s="1">
        <v>20000</v>
      </c>
      <c r="E885" s="1"/>
      <c r="F885" s="1">
        <v>223.06</v>
      </c>
      <c r="G885" s="1">
        <v>20000</v>
      </c>
      <c r="H885" s="5">
        <f t="shared" si="16"/>
        <v>0</v>
      </c>
      <c r="I885" s="1"/>
      <c r="J885" s="1"/>
    </row>
    <row r="886" spans="2:10" x14ac:dyDescent="0.2">
      <c r="B886" s="1" t="s">
        <v>156</v>
      </c>
      <c r="C886" s="32">
        <v>735</v>
      </c>
      <c r="D886" s="1">
        <v>8000</v>
      </c>
      <c r="E886" s="1"/>
      <c r="F886" s="1">
        <v>89.23</v>
      </c>
      <c r="G886" s="1">
        <v>8000</v>
      </c>
      <c r="H886" s="5">
        <f t="shared" ref="H886:H949" si="17">D886-G886</f>
        <v>0</v>
      </c>
      <c r="I886" s="1"/>
      <c r="J886" s="1"/>
    </row>
    <row r="887" spans="2:10" x14ac:dyDescent="0.2">
      <c r="B887" s="1" t="s">
        <v>156</v>
      </c>
      <c r="C887" s="32">
        <v>7971</v>
      </c>
      <c r="D887" s="1">
        <v>20000</v>
      </c>
      <c r="E887" s="1"/>
      <c r="F887" s="1">
        <v>185.3</v>
      </c>
      <c r="G887" s="1">
        <v>20000</v>
      </c>
      <c r="H887" s="5">
        <f t="shared" si="17"/>
        <v>0</v>
      </c>
      <c r="I887" s="1"/>
      <c r="J887" s="1"/>
    </row>
    <row r="888" spans="2:10" x14ac:dyDescent="0.2">
      <c r="B888" s="1" t="s">
        <v>156</v>
      </c>
      <c r="C888" s="32">
        <v>2246</v>
      </c>
      <c r="D888" s="1">
        <v>14000</v>
      </c>
      <c r="E888" s="1"/>
      <c r="F888" s="1">
        <v>156.15</v>
      </c>
      <c r="G888" s="1">
        <v>14000</v>
      </c>
      <c r="H888" s="5">
        <f t="shared" si="17"/>
        <v>0</v>
      </c>
      <c r="I888" s="1"/>
      <c r="J888" s="1"/>
    </row>
    <row r="889" spans="2:10" x14ac:dyDescent="0.2">
      <c r="B889" s="1" t="s">
        <v>156</v>
      </c>
      <c r="C889" s="32">
        <v>5943</v>
      </c>
      <c r="D889" s="1">
        <v>33000</v>
      </c>
      <c r="E889" s="1"/>
      <c r="F889" s="1">
        <v>356.91</v>
      </c>
      <c r="G889" s="1">
        <v>33000</v>
      </c>
      <c r="H889" s="5">
        <f t="shared" si="17"/>
        <v>0</v>
      </c>
      <c r="I889" s="1"/>
      <c r="J889" s="1"/>
    </row>
    <row r="890" spans="2:10" x14ac:dyDescent="0.2">
      <c r="B890" s="1" t="s">
        <v>157</v>
      </c>
      <c r="C890" s="32">
        <v>323</v>
      </c>
      <c r="D890" s="1">
        <v>1500</v>
      </c>
      <c r="E890" s="1"/>
      <c r="F890" s="1">
        <v>167.3</v>
      </c>
      <c r="G890" s="1">
        <v>1500</v>
      </c>
      <c r="H890" s="5">
        <f t="shared" si="17"/>
        <v>0</v>
      </c>
      <c r="I890" s="1"/>
      <c r="J890" s="1"/>
    </row>
    <row r="891" spans="2:10" x14ac:dyDescent="0.2">
      <c r="B891" s="1" t="s">
        <v>157</v>
      </c>
      <c r="C891" s="32">
        <v>7272</v>
      </c>
      <c r="D891" s="1">
        <v>13000</v>
      </c>
      <c r="E891" s="1"/>
      <c r="F891" s="1">
        <v>144.99</v>
      </c>
      <c r="G891" s="1">
        <v>13000</v>
      </c>
      <c r="H891" s="5">
        <f t="shared" si="17"/>
        <v>0</v>
      </c>
      <c r="I891" s="1"/>
      <c r="J891" s="1"/>
    </row>
    <row r="892" spans="2:10" x14ac:dyDescent="0.2">
      <c r="B892" s="1" t="s">
        <v>157</v>
      </c>
      <c r="C892" s="32">
        <v>5280</v>
      </c>
      <c r="D892" s="1">
        <v>13000</v>
      </c>
      <c r="E892" s="1"/>
      <c r="F892" s="1">
        <v>144.99</v>
      </c>
      <c r="G892" s="1">
        <v>13000</v>
      </c>
      <c r="H892" s="5">
        <f t="shared" si="17"/>
        <v>0</v>
      </c>
      <c r="I892" s="1"/>
      <c r="J892" s="1"/>
    </row>
    <row r="893" spans="2:10" x14ac:dyDescent="0.2">
      <c r="B893" s="1" t="s">
        <v>157</v>
      </c>
      <c r="C893" s="32">
        <v>5952</v>
      </c>
      <c r="D893" s="1">
        <v>13000</v>
      </c>
      <c r="E893" s="1"/>
      <c r="F893" s="1">
        <v>144.99</v>
      </c>
      <c r="G893" s="1">
        <v>13000</v>
      </c>
      <c r="H893" s="5">
        <f t="shared" si="17"/>
        <v>0</v>
      </c>
      <c r="I893" s="1"/>
      <c r="J893" s="1"/>
    </row>
    <row r="894" spans="2:10" x14ac:dyDescent="0.2">
      <c r="B894" s="1" t="s">
        <v>157</v>
      </c>
      <c r="C894" s="32" t="s">
        <v>61</v>
      </c>
      <c r="D894" s="1">
        <v>5000</v>
      </c>
      <c r="E894" s="1"/>
      <c r="F894" s="1">
        <v>55.77</v>
      </c>
      <c r="G894" s="1">
        <v>5000</v>
      </c>
      <c r="H894" s="5">
        <f t="shared" si="17"/>
        <v>0</v>
      </c>
      <c r="I894" s="1"/>
      <c r="J894" s="1"/>
    </row>
    <row r="895" spans="2:10" x14ac:dyDescent="0.2">
      <c r="B895" s="1" t="s">
        <v>157</v>
      </c>
      <c r="C895" s="32">
        <v>4791</v>
      </c>
      <c r="D895" s="1">
        <v>13000</v>
      </c>
      <c r="E895" s="1"/>
      <c r="F895" s="1">
        <v>144.99</v>
      </c>
      <c r="G895" s="1">
        <v>13000</v>
      </c>
      <c r="H895" s="5">
        <f t="shared" si="17"/>
        <v>0</v>
      </c>
      <c r="I895" s="1"/>
      <c r="J895" s="1"/>
    </row>
    <row r="896" spans="2:10" x14ac:dyDescent="0.2">
      <c r="B896" s="1" t="s">
        <v>157</v>
      </c>
      <c r="C896" s="32" t="s">
        <v>66</v>
      </c>
      <c r="D896" s="1">
        <v>200</v>
      </c>
      <c r="E896" s="1"/>
      <c r="F896" s="1">
        <v>2.08</v>
      </c>
      <c r="G896" s="1">
        <v>200</v>
      </c>
      <c r="H896" s="5">
        <f t="shared" si="17"/>
        <v>0</v>
      </c>
      <c r="I896" s="1"/>
      <c r="J896" s="1"/>
    </row>
    <row r="897" spans="2:10" x14ac:dyDescent="0.2">
      <c r="B897" s="1" t="s">
        <v>157</v>
      </c>
      <c r="C897" s="32">
        <v>1884</v>
      </c>
      <c r="D897" s="1">
        <v>19000</v>
      </c>
      <c r="E897" s="1"/>
      <c r="F897" s="1">
        <v>211.91</v>
      </c>
      <c r="G897" s="1">
        <v>19000</v>
      </c>
      <c r="H897" s="5">
        <f t="shared" si="17"/>
        <v>0</v>
      </c>
      <c r="I897" s="1"/>
      <c r="J897" s="1"/>
    </row>
    <row r="898" spans="2:10" x14ac:dyDescent="0.2">
      <c r="B898" s="1" t="s">
        <v>157</v>
      </c>
      <c r="C898" s="32">
        <v>1162</v>
      </c>
      <c r="D898" s="1">
        <v>14000</v>
      </c>
      <c r="E898" s="1"/>
      <c r="F898" s="1">
        <v>156.15</v>
      </c>
      <c r="G898" s="1">
        <v>14000</v>
      </c>
      <c r="H898" s="5">
        <f t="shared" si="17"/>
        <v>0</v>
      </c>
      <c r="I898" s="1"/>
      <c r="J898" s="1"/>
    </row>
    <row r="899" spans="2:10" x14ac:dyDescent="0.2">
      <c r="B899" s="1" t="s">
        <v>157</v>
      </c>
      <c r="C899" s="32">
        <v>7073</v>
      </c>
      <c r="D899" s="1">
        <v>12000</v>
      </c>
      <c r="E899" s="1"/>
      <c r="F899" s="1">
        <v>133.84</v>
      </c>
      <c r="G899" s="1">
        <v>12000</v>
      </c>
      <c r="H899" s="5">
        <f t="shared" si="17"/>
        <v>0</v>
      </c>
      <c r="I899" s="1"/>
      <c r="J899" s="1"/>
    </row>
    <row r="900" spans="2:10" x14ac:dyDescent="0.2">
      <c r="B900" s="1" t="s">
        <v>157</v>
      </c>
      <c r="C900" s="32">
        <v>5324</v>
      </c>
      <c r="D900" s="1">
        <v>10000</v>
      </c>
      <c r="E900" s="1"/>
      <c r="F900" s="1">
        <v>111.53</v>
      </c>
      <c r="G900" s="1">
        <v>10000</v>
      </c>
      <c r="H900" s="5">
        <f t="shared" si="17"/>
        <v>0</v>
      </c>
      <c r="I900" s="1"/>
      <c r="J900" s="1"/>
    </row>
    <row r="901" spans="2:10" x14ac:dyDescent="0.2">
      <c r="B901" s="1" t="s">
        <v>157</v>
      </c>
      <c r="C901" s="32">
        <v>2056</v>
      </c>
      <c r="D901" s="1">
        <v>18000</v>
      </c>
      <c r="E901" s="1"/>
      <c r="F901" s="1">
        <v>200.76</v>
      </c>
      <c r="G901" s="1">
        <v>18000</v>
      </c>
      <c r="H901" s="5">
        <f t="shared" si="17"/>
        <v>0</v>
      </c>
      <c r="I901" s="1"/>
      <c r="J901" s="1"/>
    </row>
    <row r="902" spans="2:10" x14ac:dyDescent="0.2">
      <c r="B902" s="1" t="s">
        <v>157</v>
      </c>
      <c r="C902" s="32">
        <v>3983</v>
      </c>
      <c r="D902" s="1">
        <v>13000</v>
      </c>
      <c r="E902" s="1"/>
      <c r="F902" s="1">
        <v>144.09</v>
      </c>
      <c r="G902" s="1">
        <v>13000</v>
      </c>
      <c r="H902" s="5">
        <f t="shared" si="17"/>
        <v>0</v>
      </c>
      <c r="I902" s="1"/>
      <c r="J902" s="1"/>
    </row>
    <row r="903" spans="2:10" x14ac:dyDescent="0.2">
      <c r="B903" s="1" t="s">
        <v>157</v>
      </c>
      <c r="C903" s="32">
        <v>209</v>
      </c>
      <c r="D903" s="1">
        <v>13600</v>
      </c>
      <c r="E903" s="1"/>
      <c r="F903" s="1">
        <v>157.63</v>
      </c>
      <c r="G903" s="1">
        <v>13600</v>
      </c>
      <c r="H903" s="5">
        <f t="shared" si="17"/>
        <v>0</v>
      </c>
      <c r="I903" s="1"/>
      <c r="J903" s="1"/>
    </row>
    <row r="904" spans="2:10" x14ac:dyDescent="0.2">
      <c r="B904" s="1" t="s">
        <v>157</v>
      </c>
      <c r="C904" s="32">
        <v>7347</v>
      </c>
      <c r="D904" s="1">
        <v>20000</v>
      </c>
      <c r="E904" s="1"/>
      <c r="F904" s="1">
        <v>196.31</v>
      </c>
      <c r="G904" s="1">
        <v>20000</v>
      </c>
      <c r="H904" s="5">
        <f t="shared" si="17"/>
        <v>0</v>
      </c>
      <c r="I904" s="1"/>
      <c r="J904" s="1"/>
    </row>
    <row r="905" spans="2:10" x14ac:dyDescent="0.2">
      <c r="B905" s="1" t="s">
        <v>157</v>
      </c>
      <c r="C905" s="32">
        <v>6805</v>
      </c>
      <c r="D905" s="1">
        <v>35000</v>
      </c>
      <c r="E905" s="1"/>
      <c r="F905" s="1">
        <v>352.46</v>
      </c>
      <c r="G905" s="1">
        <v>35000</v>
      </c>
      <c r="H905" s="5">
        <f t="shared" si="17"/>
        <v>0</v>
      </c>
      <c r="I905" s="1"/>
      <c r="J905" s="1"/>
    </row>
    <row r="906" spans="2:10" x14ac:dyDescent="0.2">
      <c r="B906" s="1" t="s">
        <v>157</v>
      </c>
      <c r="C906" s="32">
        <v>6205</v>
      </c>
      <c r="D906" s="1">
        <v>35000</v>
      </c>
      <c r="E906" s="1"/>
      <c r="F906" s="1">
        <v>352.46</v>
      </c>
      <c r="G906" s="1">
        <v>35000</v>
      </c>
      <c r="H906" s="5">
        <f t="shared" si="17"/>
        <v>0</v>
      </c>
      <c r="I906" s="1"/>
      <c r="J906" s="1"/>
    </row>
    <row r="907" spans="2:10" x14ac:dyDescent="0.2">
      <c r="B907" s="1" t="s">
        <v>157</v>
      </c>
      <c r="C907" s="32">
        <v>4655</v>
      </c>
      <c r="D907" s="1">
        <v>25000</v>
      </c>
      <c r="E907" s="1"/>
      <c r="F907" s="1">
        <v>253.17</v>
      </c>
      <c r="G907" s="1">
        <v>25000</v>
      </c>
      <c r="H907" s="5">
        <f t="shared" si="17"/>
        <v>0</v>
      </c>
      <c r="I907" s="1"/>
      <c r="J907" s="1"/>
    </row>
    <row r="908" spans="2:10" x14ac:dyDescent="0.2">
      <c r="B908" s="1" t="s">
        <v>157</v>
      </c>
      <c r="C908" s="32">
        <v>3775</v>
      </c>
      <c r="D908" s="1">
        <v>30000</v>
      </c>
      <c r="E908" s="1"/>
      <c r="F908" s="1">
        <v>280.62</v>
      </c>
      <c r="G908" s="1">
        <v>30000</v>
      </c>
      <c r="H908" s="5">
        <f t="shared" si="17"/>
        <v>0</v>
      </c>
      <c r="I908" s="1"/>
      <c r="J908" s="1"/>
    </row>
    <row r="909" spans="2:10" x14ac:dyDescent="0.2">
      <c r="B909" s="1" t="s">
        <v>157</v>
      </c>
      <c r="C909" s="32">
        <v>2447</v>
      </c>
      <c r="D909" s="1">
        <v>28000</v>
      </c>
      <c r="E909" s="1"/>
      <c r="F909" s="1">
        <v>312.29000000000002</v>
      </c>
      <c r="G909" s="1">
        <v>28000</v>
      </c>
      <c r="H909" s="5">
        <f t="shared" si="17"/>
        <v>0</v>
      </c>
      <c r="I909" s="1"/>
      <c r="J909" s="1"/>
    </row>
    <row r="910" spans="2:10" x14ac:dyDescent="0.2">
      <c r="B910" s="1" t="s">
        <v>157</v>
      </c>
      <c r="C910" s="32">
        <v>8671</v>
      </c>
      <c r="D910" s="1">
        <v>25000</v>
      </c>
      <c r="E910" s="1"/>
      <c r="F910" s="1">
        <v>253.17</v>
      </c>
      <c r="G910" s="1">
        <v>25000</v>
      </c>
      <c r="H910" s="5">
        <f t="shared" si="17"/>
        <v>0</v>
      </c>
      <c r="I910" s="1"/>
      <c r="J910" s="1"/>
    </row>
    <row r="911" spans="2:10" x14ac:dyDescent="0.2">
      <c r="B911" s="1" t="s">
        <v>157</v>
      </c>
      <c r="C911" s="32">
        <v>5281</v>
      </c>
      <c r="D911" s="1">
        <v>13000</v>
      </c>
      <c r="E911" s="1"/>
      <c r="F911" s="1">
        <v>144.09</v>
      </c>
      <c r="G911" s="1">
        <v>13000</v>
      </c>
      <c r="H911" s="5">
        <f t="shared" si="17"/>
        <v>0</v>
      </c>
      <c r="I911" s="1"/>
      <c r="J911" s="1"/>
    </row>
    <row r="912" spans="2:10" x14ac:dyDescent="0.2">
      <c r="B912" s="1" t="s">
        <v>159</v>
      </c>
      <c r="C912" s="32">
        <v>511</v>
      </c>
      <c r="D912" s="1">
        <v>30000</v>
      </c>
      <c r="E912" s="1"/>
      <c r="F912" s="1">
        <v>280.62</v>
      </c>
      <c r="G912" s="1">
        <v>30000</v>
      </c>
      <c r="H912" s="5">
        <f t="shared" si="17"/>
        <v>0</v>
      </c>
      <c r="I912" s="1"/>
      <c r="J912" s="1"/>
    </row>
    <row r="913" spans="2:10" x14ac:dyDescent="0.2">
      <c r="B913" s="1" t="s">
        <v>159</v>
      </c>
      <c r="C913" s="32" t="s">
        <v>30</v>
      </c>
      <c r="D913" s="1">
        <v>3500</v>
      </c>
      <c r="E913" s="1"/>
      <c r="F913" s="1">
        <v>39.24</v>
      </c>
      <c r="G913" s="1">
        <v>3500</v>
      </c>
      <c r="H913" s="5">
        <f t="shared" si="17"/>
        <v>0</v>
      </c>
      <c r="I913" s="1"/>
      <c r="J913" s="1"/>
    </row>
    <row r="914" spans="2:10" x14ac:dyDescent="0.2">
      <c r="B914" s="1" t="s">
        <v>159</v>
      </c>
      <c r="C914" s="32">
        <v>4326</v>
      </c>
      <c r="D914" s="1">
        <v>15000</v>
      </c>
      <c r="E914" s="1"/>
      <c r="F914" s="1">
        <v>167.3</v>
      </c>
      <c r="G914" s="1">
        <v>15000</v>
      </c>
      <c r="H914" s="5">
        <f t="shared" si="17"/>
        <v>0</v>
      </c>
      <c r="I914" s="1"/>
      <c r="J914" s="1"/>
    </row>
    <row r="915" spans="2:10" x14ac:dyDescent="0.2">
      <c r="B915" s="1" t="s">
        <v>159</v>
      </c>
      <c r="C915" s="32">
        <v>2526</v>
      </c>
      <c r="D915" s="1">
        <v>16000</v>
      </c>
      <c r="E915" s="1"/>
      <c r="F915" s="1">
        <v>178</v>
      </c>
      <c r="G915" s="1">
        <v>16000</v>
      </c>
      <c r="H915" s="5">
        <f t="shared" si="17"/>
        <v>0</v>
      </c>
      <c r="I915" s="1"/>
      <c r="J915" s="1"/>
    </row>
    <row r="916" spans="2:10" x14ac:dyDescent="0.2">
      <c r="B916" s="1" t="s">
        <v>159</v>
      </c>
      <c r="C916" s="32">
        <v>9050</v>
      </c>
      <c r="D916" s="1">
        <v>13000</v>
      </c>
      <c r="E916" s="1"/>
      <c r="F916" s="1">
        <v>144.99</v>
      </c>
      <c r="G916" s="1">
        <v>13000</v>
      </c>
      <c r="H916" s="5">
        <f t="shared" si="17"/>
        <v>0</v>
      </c>
      <c r="I916" s="1"/>
      <c r="J916" s="1"/>
    </row>
    <row r="917" spans="2:10" x14ac:dyDescent="0.2">
      <c r="B917" s="1" t="s">
        <v>159</v>
      </c>
      <c r="C917" s="32">
        <v>7385</v>
      </c>
      <c r="D917" s="1">
        <v>15000</v>
      </c>
      <c r="E917" s="1"/>
      <c r="F917" s="1">
        <v>167.3</v>
      </c>
      <c r="G917" s="1">
        <v>15000</v>
      </c>
      <c r="H917" s="5">
        <f t="shared" si="17"/>
        <v>0</v>
      </c>
      <c r="I917" s="1"/>
      <c r="J917" s="1"/>
    </row>
    <row r="918" spans="2:10" x14ac:dyDescent="0.2">
      <c r="B918" s="1" t="s">
        <v>159</v>
      </c>
      <c r="C918" s="32">
        <v>5065</v>
      </c>
      <c r="D918" s="1">
        <v>5000</v>
      </c>
      <c r="E918" s="1"/>
      <c r="F918" s="1">
        <v>55.77</v>
      </c>
      <c r="G918" s="1">
        <v>5000</v>
      </c>
      <c r="H918" s="5">
        <f t="shared" si="17"/>
        <v>0</v>
      </c>
      <c r="I918" s="1"/>
      <c r="J918" s="1"/>
    </row>
    <row r="919" spans="2:10" x14ac:dyDescent="0.2">
      <c r="B919" s="1" t="s">
        <v>159</v>
      </c>
      <c r="C919" s="32">
        <v>1352</v>
      </c>
      <c r="D919" s="1">
        <v>13000</v>
      </c>
      <c r="E919" s="1"/>
      <c r="F919" s="1">
        <v>144.99</v>
      </c>
      <c r="G919" s="1">
        <v>13000</v>
      </c>
      <c r="H919" s="5">
        <f t="shared" si="17"/>
        <v>0</v>
      </c>
      <c r="I919" s="1"/>
      <c r="J919" s="1"/>
    </row>
    <row r="920" spans="2:10" x14ac:dyDescent="0.2">
      <c r="B920" s="1" t="s">
        <v>159</v>
      </c>
      <c r="C920" s="32">
        <v>1097</v>
      </c>
      <c r="D920" s="1">
        <v>15000</v>
      </c>
      <c r="E920" s="1"/>
      <c r="F920" s="1">
        <v>167.3</v>
      </c>
      <c r="G920" s="1">
        <v>15000</v>
      </c>
      <c r="H920" s="5">
        <f t="shared" si="17"/>
        <v>0</v>
      </c>
      <c r="I920" s="1"/>
      <c r="J920" s="1"/>
    </row>
    <row r="921" spans="2:10" x14ac:dyDescent="0.2">
      <c r="B921" s="1" t="s">
        <v>159</v>
      </c>
      <c r="C921" s="32" t="s">
        <v>61</v>
      </c>
      <c r="D921" s="1">
        <v>4500</v>
      </c>
      <c r="E921" s="1"/>
      <c r="F921" s="1">
        <v>50.19</v>
      </c>
      <c r="G921" s="1">
        <v>4500</v>
      </c>
      <c r="H921" s="5">
        <f t="shared" si="17"/>
        <v>0</v>
      </c>
      <c r="I921" s="1"/>
      <c r="J921" s="1"/>
    </row>
    <row r="922" spans="2:10" x14ac:dyDescent="0.2">
      <c r="B922" s="1" t="s">
        <v>159</v>
      </c>
      <c r="C922" s="32">
        <v>8526</v>
      </c>
      <c r="D922" s="1">
        <v>13000</v>
      </c>
      <c r="E922" s="1"/>
      <c r="F922" s="1">
        <v>144.99</v>
      </c>
      <c r="G922" s="1">
        <v>13000</v>
      </c>
      <c r="H922" s="5">
        <f t="shared" si="17"/>
        <v>0</v>
      </c>
      <c r="I922" s="1"/>
      <c r="J922" s="1"/>
    </row>
    <row r="923" spans="2:10" x14ac:dyDescent="0.2">
      <c r="B923" s="1" t="s">
        <v>159</v>
      </c>
      <c r="C923" s="32">
        <v>3005</v>
      </c>
      <c r="D923" s="1">
        <v>12000</v>
      </c>
      <c r="E923" s="1"/>
      <c r="F923" s="1">
        <v>133.84</v>
      </c>
      <c r="G923" s="1">
        <v>12000</v>
      </c>
      <c r="H923" s="5">
        <f t="shared" si="17"/>
        <v>0</v>
      </c>
      <c r="I923" s="1"/>
      <c r="J923" s="1"/>
    </row>
    <row r="924" spans="2:10" x14ac:dyDescent="0.2">
      <c r="B924" s="1" t="s">
        <v>159</v>
      </c>
      <c r="C924" s="32">
        <v>9363</v>
      </c>
      <c r="D924" s="1">
        <v>30000</v>
      </c>
      <c r="E924" s="1"/>
      <c r="F924" s="1">
        <v>289.98</v>
      </c>
      <c r="G924" s="1">
        <v>30000</v>
      </c>
      <c r="H924" s="5">
        <f t="shared" si="17"/>
        <v>0</v>
      </c>
      <c r="I924" s="1"/>
      <c r="J924" s="1"/>
    </row>
    <row r="925" spans="2:10" x14ac:dyDescent="0.2">
      <c r="B925" s="1" t="s">
        <v>159</v>
      </c>
      <c r="C925" s="32">
        <v>2703</v>
      </c>
      <c r="D925" s="1">
        <v>23000</v>
      </c>
      <c r="E925" s="1"/>
      <c r="F925" s="1">
        <v>249.78</v>
      </c>
      <c r="G925" s="1">
        <v>23000</v>
      </c>
      <c r="H925" s="5">
        <f t="shared" si="17"/>
        <v>0</v>
      </c>
      <c r="I925" s="1"/>
      <c r="J925" s="1"/>
    </row>
    <row r="926" spans="2:10" x14ac:dyDescent="0.2">
      <c r="B926" s="1" t="s">
        <v>159</v>
      </c>
      <c r="C926" s="32">
        <v>1051</v>
      </c>
      <c r="D926" s="1">
        <v>25000</v>
      </c>
      <c r="E926" s="1"/>
      <c r="F926" s="1">
        <v>252.06</v>
      </c>
      <c r="G926" s="1">
        <v>25000</v>
      </c>
      <c r="H926" s="5">
        <f t="shared" si="17"/>
        <v>0</v>
      </c>
      <c r="I926" s="1"/>
      <c r="J926" s="1"/>
    </row>
    <row r="927" spans="2:10" x14ac:dyDescent="0.2">
      <c r="B927" s="1" t="s">
        <v>159</v>
      </c>
      <c r="C927" s="32">
        <v>9436</v>
      </c>
      <c r="D927" s="1">
        <v>20000</v>
      </c>
      <c r="E927" s="1"/>
      <c r="F927" s="1">
        <v>223.06</v>
      </c>
      <c r="G927" s="1">
        <v>20000</v>
      </c>
      <c r="H927" s="5">
        <f t="shared" si="17"/>
        <v>0</v>
      </c>
      <c r="I927" s="1"/>
      <c r="J927" s="1"/>
    </row>
    <row r="928" spans="2:10" x14ac:dyDescent="0.2">
      <c r="B928" s="1" t="s">
        <v>159</v>
      </c>
      <c r="C928" s="32">
        <v>5714</v>
      </c>
      <c r="D928" s="1">
        <v>22000</v>
      </c>
      <c r="E928" s="1"/>
      <c r="F928" s="1">
        <v>245.37</v>
      </c>
      <c r="G928" s="1">
        <v>22000</v>
      </c>
      <c r="H928" s="5">
        <f t="shared" si="17"/>
        <v>0</v>
      </c>
      <c r="I928" s="1"/>
      <c r="J928" s="1"/>
    </row>
    <row r="929" spans="2:10" x14ac:dyDescent="0.2">
      <c r="B929" s="1" t="s">
        <v>159</v>
      </c>
      <c r="C929" s="32">
        <v>5080</v>
      </c>
      <c r="D929" s="1">
        <v>25000</v>
      </c>
      <c r="E929" s="1"/>
      <c r="F929" s="1">
        <v>273.26</v>
      </c>
      <c r="G929" s="1">
        <v>25000</v>
      </c>
      <c r="H929" s="5">
        <f t="shared" si="17"/>
        <v>0</v>
      </c>
      <c r="I929" s="1"/>
      <c r="J929" s="1"/>
    </row>
    <row r="930" spans="2:10" x14ac:dyDescent="0.2">
      <c r="B930" s="1" t="s">
        <v>159</v>
      </c>
      <c r="C930" s="32">
        <v>2685</v>
      </c>
      <c r="D930" s="1">
        <v>20000</v>
      </c>
      <c r="E930" s="1"/>
      <c r="F930" s="1">
        <v>223.06</v>
      </c>
      <c r="G930" s="1">
        <v>20000</v>
      </c>
      <c r="H930" s="5">
        <f t="shared" si="17"/>
        <v>0</v>
      </c>
      <c r="I930" s="1"/>
      <c r="J930" s="1"/>
    </row>
    <row r="931" spans="2:10" x14ac:dyDescent="0.2">
      <c r="B931" s="1" t="s">
        <v>158</v>
      </c>
      <c r="C931" s="32">
        <v>7349</v>
      </c>
      <c r="D931" s="1">
        <v>14000</v>
      </c>
      <c r="E931" s="1"/>
      <c r="F931" s="1">
        <v>167.39</v>
      </c>
      <c r="G931" s="1">
        <v>14000</v>
      </c>
      <c r="H931" s="5">
        <f t="shared" si="17"/>
        <v>0</v>
      </c>
      <c r="I931" s="1"/>
      <c r="J931" s="1"/>
    </row>
    <row r="932" spans="2:10" x14ac:dyDescent="0.2">
      <c r="B932" s="1" t="s">
        <v>158</v>
      </c>
      <c r="C932" s="32">
        <v>2972</v>
      </c>
      <c r="D932" s="1">
        <v>15000</v>
      </c>
      <c r="E932" s="1"/>
      <c r="F932" s="1">
        <v>167.39</v>
      </c>
      <c r="G932" s="1">
        <v>15000</v>
      </c>
      <c r="H932" s="5">
        <f t="shared" si="17"/>
        <v>0</v>
      </c>
      <c r="I932" s="1"/>
      <c r="J932" s="1"/>
    </row>
    <row r="933" spans="2:10" x14ac:dyDescent="0.2">
      <c r="B933" s="1" t="s">
        <v>158</v>
      </c>
      <c r="C933" s="32">
        <v>4204</v>
      </c>
      <c r="D933" s="1">
        <v>15000</v>
      </c>
      <c r="E933" s="1"/>
      <c r="F933" s="1">
        <v>167.39</v>
      </c>
      <c r="G933" s="1">
        <v>15000</v>
      </c>
      <c r="H933" s="5">
        <f t="shared" si="17"/>
        <v>0</v>
      </c>
      <c r="I933" s="1"/>
      <c r="J933" s="1"/>
    </row>
    <row r="934" spans="2:10" x14ac:dyDescent="0.2">
      <c r="B934" s="1" t="s">
        <v>158</v>
      </c>
      <c r="C934" s="32">
        <v>9300</v>
      </c>
      <c r="D934" s="1">
        <v>10000</v>
      </c>
      <c r="E934" s="1"/>
      <c r="F934" s="1">
        <v>111.53</v>
      </c>
      <c r="G934" s="1">
        <v>10000</v>
      </c>
      <c r="H934" s="5">
        <f t="shared" si="17"/>
        <v>0</v>
      </c>
      <c r="I934" s="1"/>
      <c r="J934" s="1"/>
    </row>
    <row r="935" spans="2:10" x14ac:dyDescent="0.2">
      <c r="B935" s="1" t="s">
        <v>158</v>
      </c>
      <c r="C935" s="32">
        <v>1996</v>
      </c>
      <c r="D935" s="1">
        <v>25000</v>
      </c>
      <c r="E935" s="1"/>
      <c r="F935" s="1">
        <v>225.3</v>
      </c>
      <c r="G935" s="1">
        <v>25000</v>
      </c>
      <c r="H935" s="5">
        <f t="shared" si="17"/>
        <v>0</v>
      </c>
      <c r="I935" s="1"/>
      <c r="J935" s="1"/>
    </row>
    <row r="936" spans="2:10" x14ac:dyDescent="0.2">
      <c r="B936" s="1" t="s">
        <v>158</v>
      </c>
      <c r="C936" s="32" t="s">
        <v>61</v>
      </c>
      <c r="D936" s="1">
        <v>4500</v>
      </c>
      <c r="E936" s="1"/>
      <c r="F936" s="1">
        <v>50.19</v>
      </c>
      <c r="G936" s="1">
        <v>4500</v>
      </c>
      <c r="H936" s="5">
        <f t="shared" si="17"/>
        <v>0</v>
      </c>
      <c r="I936" s="1"/>
      <c r="J936" s="1"/>
    </row>
    <row r="937" spans="2:10" x14ac:dyDescent="0.2">
      <c r="B937" s="1" t="s">
        <v>158</v>
      </c>
      <c r="C937" s="32">
        <v>1193</v>
      </c>
      <c r="D937" s="1">
        <v>15000</v>
      </c>
      <c r="E937" s="1"/>
      <c r="F937" s="1">
        <v>167.3</v>
      </c>
      <c r="G937" s="1">
        <v>15000</v>
      </c>
      <c r="H937" s="5">
        <f t="shared" si="17"/>
        <v>0</v>
      </c>
      <c r="I937" s="1"/>
      <c r="J937" s="1"/>
    </row>
    <row r="938" spans="2:10" x14ac:dyDescent="0.2">
      <c r="B938" s="1" t="s">
        <v>158</v>
      </c>
      <c r="C938" s="32">
        <v>5839</v>
      </c>
      <c r="D938" s="1">
        <v>22000</v>
      </c>
      <c r="E938" s="1"/>
      <c r="F938" s="1">
        <v>245.37</v>
      </c>
      <c r="G938" s="1">
        <v>22000</v>
      </c>
      <c r="H938" s="5">
        <f t="shared" si="17"/>
        <v>0</v>
      </c>
      <c r="I938" s="1"/>
      <c r="J938" s="1"/>
    </row>
    <row r="939" spans="2:10" x14ac:dyDescent="0.2">
      <c r="B939" s="1" t="s">
        <v>158</v>
      </c>
      <c r="C939" s="32">
        <v>1893</v>
      </c>
      <c r="D939" s="1">
        <v>13000</v>
      </c>
      <c r="E939" s="1"/>
      <c r="F939" s="1">
        <v>144.99</v>
      </c>
      <c r="G939" s="1">
        <v>13000</v>
      </c>
      <c r="H939" s="5">
        <f t="shared" si="17"/>
        <v>0</v>
      </c>
      <c r="I939" s="1"/>
      <c r="J939" s="1"/>
    </row>
    <row r="940" spans="2:10" x14ac:dyDescent="0.2">
      <c r="B940" s="1" t="s">
        <v>158</v>
      </c>
      <c r="C940" s="32">
        <v>1220</v>
      </c>
      <c r="D940" s="1">
        <v>13000</v>
      </c>
      <c r="E940" s="1"/>
      <c r="F940" s="1">
        <v>144.99</v>
      </c>
      <c r="G940" s="1">
        <v>13000</v>
      </c>
      <c r="H940" s="5">
        <f t="shared" si="17"/>
        <v>0</v>
      </c>
      <c r="I940" s="1"/>
      <c r="J940" s="1"/>
    </row>
    <row r="941" spans="2:10" x14ac:dyDescent="0.2">
      <c r="B941" s="1" t="s">
        <v>158</v>
      </c>
      <c r="C941" s="32">
        <v>386</v>
      </c>
      <c r="D941" s="1">
        <v>18000</v>
      </c>
      <c r="E941" s="1"/>
      <c r="F941" s="1">
        <v>200.76</v>
      </c>
      <c r="G941" s="1">
        <v>18000</v>
      </c>
      <c r="H941" s="5">
        <f t="shared" si="17"/>
        <v>0</v>
      </c>
      <c r="I941" s="1"/>
      <c r="J941" s="1"/>
    </row>
    <row r="942" spans="2:10" x14ac:dyDescent="0.2">
      <c r="B942" s="1" t="s">
        <v>158</v>
      </c>
      <c r="C942" s="32">
        <v>6711</v>
      </c>
      <c r="D942" s="1">
        <v>13000</v>
      </c>
      <c r="E942" s="1"/>
      <c r="F942" s="1">
        <v>144.99</v>
      </c>
      <c r="G942" s="1">
        <v>13000</v>
      </c>
      <c r="H942" s="5">
        <f t="shared" si="17"/>
        <v>0</v>
      </c>
      <c r="I942" s="1"/>
      <c r="J942" s="1"/>
    </row>
    <row r="943" spans="2:10" x14ac:dyDescent="0.2">
      <c r="B943" s="1" t="s">
        <v>158</v>
      </c>
      <c r="C943" s="32">
        <v>1290</v>
      </c>
      <c r="D943" s="1">
        <v>30000</v>
      </c>
      <c r="E943" s="1"/>
      <c r="F943" s="1">
        <v>289.98</v>
      </c>
      <c r="G943" s="1">
        <v>30000</v>
      </c>
      <c r="H943" s="5">
        <f t="shared" si="17"/>
        <v>0</v>
      </c>
      <c r="I943" s="1"/>
      <c r="J943" s="1"/>
    </row>
    <row r="944" spans="2:10" x14ac:dyDescent="0.2">
      <c r="B944" s="1" t="s">
        <v>158</v>
      </c>
      <c r="C944" s="32">
        <v>9539</v>
      </c>
      <c r="D944" s="1">
        <v>3000</v>
      </c>
      <c r="E944" s="1"/>
      <c r="F944" s="1">
        <v>33.46</v>
      </c>
      <c r="G944" s="1">
        <v>3000</v>
      </c>
      <c r="H944" s="5">
        <f t="shared" si="17"/>
        <v>0</v>
      </c>
      <c r="I944" s="1"/>
      <c r="J944" s="1"/>
    </row>
    <row r="945" spans="2:10" x14ac:dyDescent="0.2">
      <c r="B945" s="1" t="s">
        <v>158</v>
      </c>
      <c r="C945" s="32">
        <v>3150</v>
      </c>
      <c r="D945" s="1">
        <v>10000</v>
      </c>
      <c r="E945" s="1"/>
      <c r="F945" s="1">
        <v>111.53</v>
      </c>
      <c r="G945" s="1">
        <v>10000</v>
      </c>
      <c r="H945" s="5">
        <f t="shared" si="17"/>
        <v>0</v>
      </c>
      <c r="I945" s="1"/>
      <c r="J945" s="1"/>
    </row>
    <row r="946" spans="2:10" x14ac:dyDescent="0.2">
      <c r="B946" s="1" t="s">
        <v>158</v>
      </c>
      <c r="C946" s="32">
        <v>8443</v>
      </c>
      <c r="D946" s="1">
        <v>28000</v>
      </c>
      <c r="E946" s="1"/>
      <c r="F946" s="1">
        <v>312.29000000000002</v>
      </c>
      <c r="G946" s="1">
        <v>28000</v>
      </c>
      <c r="H946" s="5">
        <f t="shared" si="17"/>
        <v>0</v>
      </c>
      <c r="I946" s="1"/>
      <c r="J946" s="1"/>
    </row>
    <row r="947" spans="2:10" x14ac:dyDescent="0.2">
      <c r="B947" s="1" t="s">
        <v>158</v>
      </c>
      <c r="C947" s="32">
        <v>3446</v>
      </c>
      <c r="D947" s="1">
        <v>25000</v>
      </c>
      <c r="E947" s="1"/>
      <c r="F947" s="1">
        <v>245.37</v>
      </c>
      <c r="G947" s="1">
        <v>25000</v>
      </c>
      <c r="H947" s="5">
        <f t="shared" si="17"/>
        <v>0</v>
      </c>
      <c r="I947" s="1"/>
      <c r="J947" s="1"/>
    </row>
    <row r="948" spans="2:10" x14ac:dyDescent="0.2">
      <c r="B948" s="1" t="s">
        <v>158</v>
      </c>
      <c r="C948" s="32">
        <v>6021</v>
      </c>
      <c r="D948" s="1">
        <v>5000</v>
      </c>
      <c r="E948" s="1"/>
      <c r="F948" s="1">
        <v>55.37</v>
      </c>
      <c r="G948" s="1">
        <v>5000</v>
      </c>
      <c r="H948" s="5">
        <f t="shared" si="17"/>
        <v>0</v>
      </c>
      <c r="I948" s="1"/>
      <c r="J948" s="1"/>
    </row>
    <row r="949" spans="2:10" x14ac:dyDescent="0.2">
      <c r="B949" s="1" t="s">
        <v>158</v>
      </c>
      <c r="C949" s="32">
        <v>4693</v>
      </c>
      <c r="D949" s="1">
        <v>15000</v>
      </c>
      <c r="E949" s="1"/>
      <c r="F949" s="1">
        <v>167.3</v>
      </c>
      <c r="G949" s="1">
        <v>15000</v>
      </c>
      <c r="H949" s="5">
        <f t="shared" si="17"/>
        <v>0</v>
      </c>
      <c r="I949" s="1"/>
      <c r="J949" s="1"/>
    </row>
    <row r="950" spans="2:10" x14ac:dyDescent="0.2">
      <c r="B950" s="1" t="s">
        <v>158</v>
      </c>
      <c r="C950" s="32">
        <v>3850</v>
      </c>
      <c r="D950" s="1">
        <v>28000</v>
      </c>
      <c r="E950" s="1"/>
      <c r="F950" s="1">
        <v>278.83</v>
      </c>
      <c r="G950" s="1">
        <v>28000</v>
      </c>
      <c r="H950" s="5">
        <f t="shared" ref="H950:H1013" si="18">D950-G950</f>
        <v>0</v>
      </c>
      <c r="I950" s="1"/>
      <c r="J950" s="1"/>
    </row>
    <row r="951" spans="2:10" x14ac:dyDescent="0.2">
      <c r="B951" s="1" t="s">
        <v>158</v>
      </c>
      <c r="C951" s="32">
        <v>5988</v>
      </c>
      <c r="D951" s="1">
        <v>22000</v>
      </c>
      <c r="E951" s="1"/>
      <c r="F951" s="1">
        <v>227.59</v>
      </c>
      <c r="G951" s="1">
        <v>22000</v>
      </c>
      <c r="H951" s="5">
        <f t="shared" si="18"/>
        <v>0</v>
      </c>
      <c r="I951" s="1"/>
      <c r="J951" s="1"/>
    </row>
    <row r="952" spans="2:10" x14ac:dyDescent="0.2">
      <c r="B952" s="1" t="s">
        <v>158</v>
      </c>
      <c r="C952" s="32">
        <v>4603</v>
      </c>
      <c r="D952" s="1">
        <v>15000</v>
      </c>
      <c r="E952" s="1"/>
      <c r="F952" s="1">
        <v>167.3</v>
      </c>
      <c r="G952" s="1">
        <v>15000</v>
      </c>
      <c r="H952" s="5">
        <f t="shared" si="18"/>
        <v>0</v>
      </c>
      <c r="I952" s="1"/>
      <c r="J952" s="1"/>
    </row>
    <row r="953" spans="2:10" x14ac:dyDescent="0.2">
      <c r="B953" s="1" t="s">
        <v>160</v>
      </c>
      <c r="C953" s="32" t="s">
        <v>66</v>
      </c>
      <c r="D953" s="1">
        <v>100</v>
      </c>
      <c r="E953" s="1"/>
      <c r="F953" s="1"/>
      <c r="G953" s="1">
        <v>100</v>
      </c>
      <c r="H953" s="5">
        <f t="shared" si="18"/>
        <v>0</v>
      </c>
      <c r="I953" s="1"/>
      <c r="J953" s="1"/>
    </row>
    <row r="954" spans="2:10" x14ac:dyDescent="0.2">
      <c r="B954" s="1" t="s">
        <v>160</v>
      </c>
      <c r="C954" s="32" t="s">
        <v>63</v>
      </c>
      <c r="D954" s="1">
        <v>3500</v>
      </c>
      <c r="E954" s="1"/>
      <c r="F954" s="1">
        <v>39.04</v>
      </c>
      <c r="G954" s="1">
        <v>3500</v>
      </c>
      <c r="H954" s="5">
        <f t="shared" si="18"/>
        <v>0</v>
      </c>
      <c r="I954" s="1"/>
      <c r="J954" s="1"/>
    </row>
    <row r="955" spans="2:10" x14ac:dyDescent="0.2">
      <c r="B955" s="1" t="s">
        <v>160</v>
      </c>
      <c r="C955" s="32">
        <v>1741</v>
      </c>
      <c r="D955" s="1">
        <v>20000</v>
      </c>
      <c r="E955" s="1"/>
      <c r="F955" s="1">
        <v>221.33</v>
      </c>
      <c r="G955" s="1">
        <v>20000</v>
      </c>
      <c r="H955" s="5">
        <f t="shared" si="18"/>
        <v>0</v>
      </c>
      <c r="I955" s="1"/>
      <c r="J955" s="1"/>
    </row>
    <row r="956" spans="2:10" x14ac:dyDescent="0.2">
      <c r="B956" s="1" t="s">
        <v>160</v>
      </c>
      <c r="C956" s="32">
        <v>4137</v>
      </c>
      <c r="D956" s="1">
        <v>20000</v>
      </c>
      <c r="E956" s="1"/>
      <c r="F956" s="1">
        <v>221.33</v>
      </c>
      <c r="G956" s="1">
        <v>20000</v>
      </c>
      <c r="H956" s="5">
        <f t="shared" si="18"/>
        <v>0</v>
      </c>
      <c r="I956" s="1"/>
      <c r="J956" s="1"/>
    </row>
    <row r="957" spans="2:10" x14ac:dyDescent="0.2">
      <c r="B957" s="1" t="s">
        <v>160</v>
      </c>
      <c r="C957" s="32">
        <v>5952</v>
      </c>
      <c r="D957" s="1">
        <v>13000</v>
      </c>
      <c r="E957" s="1"/>
      <c r="F957" s="1">
        <v>144.94</v>
      </c>
      <c r="G957" s="1">
        <v>13000</v>
      </c>
      <c r="H957" s="5">
        <f t="shared" si="18"/>
        <v>0</v>
      </c>
      <c r="I957" s="1"/>
      <c r="J957" s="1"/>
    </row>
    <row r="958" spans="2:10" x14ac:dyDescent="0.2">
      <c r="B958" s="1" t="s">
        <v>160</v>
      </c>
      <c r="C958" s="32">
        <v>4791</v>
      </c>
      <c r="D958" s="1">
        <v>13000</v>
      </c>
      <c r="E958" s="1"/>
      <c r="F958" s="1">
        <v>144.94</v>
      </c>
      <c r="G958" s="1">
        <v>13000</v>
      </c>
      <c r="H958" s="5">
        <f t="shared" si="18"/>
        <v>0</v>
      </c>
      <c r="I958" s="1"/>
      <c r="J958" s="1"/>
    </row>
    <row r="959" spans="2:10" x14ac:dyDescent="0.2">
      <c r="B959" s="1" t="s">
        <v>160</v>
      </c>
      <c r="C959" s="32">
        <v>5280</v>
      </c>
      <c r="D959" s="1">
        <v>13000</v>
      </c>
      <c r="E959" s="1"/>
      <c r="F959" s="1">
        <v>137.74</v>
      </c>
      <c r="G959" s="1">
        <v>13000</v>
      </c>
      <c r="H959" s="5">
        <f t="shared" si="18"/>
        <v>0</v>
      </c>
      <c r="I959" s="1"/>
      <c r="J959" s="1"/>
    </row>
    <row r="960" spans="2:10" x14ac:dyDescent="0.2">
      <c r="B960" s="1" t="s">
        <v>160</v>
      </c>
      <c r="C960" s="32">
        <v>3450</v>
      </c>
      <c r="D960" s="1">
        <v>12500</v>
      </c>
      <c r="E960" s="1"/>
      <c r="F960" s="1">
        <v>132.41</v>
      </c>
      <c r="G960" s="1">
        <v>12500</v>
      </c>
      <c r="H960" s="5">
        <f t="shared" si="18"/>
        <v>0</v>
      </c>
      <c r="I960" s="1"/>
      <c r="J960" s="1"/>
    </row>
    <row r="961" spans="2:10" x14ac:dyDescent="0.2">
      <c r="B961" s="1" t="s">
        <v>160</v>
      </c>
      <c r="C961" s="32">
        <v>5281</v>
      </c>
      <c r="D961" s="1">
        <v>13000</v>
      </c>
      <c r="E961" s="1"/>
      <c r="F961" s="1">
        <v>144.94</v>
      </c>
      <c r="G961" s="1">
        <v>13000</v>
      </c>
      <c r="H961" s="5">
        <f t="shared" si="18"/>
        <v>0</v>
      </c>
      <c r="I961" s="1"/>
      <c r="J961" s="1"/>
    </row>
    <row r="962" spans="2:10" x14ac:dyDescent="0.2">
      <c r="B962" s="1" t="s">
        <v>160</v>
      </c>
      <c r="C962" s="32">
        <v>2415</v>
      </c>
      <c r="D962" s="1">
        <v>12500</v>
      </c>
      <c r="E962" s="1"/>
      <c r="F962" s="1">
        <v>132.41</v>
      </c>
      <c r="G962" s="1">
        <v>12500</v>
      </c>
      <c r="H962" s="5">
        <f t="shared" si="18"/>
        <v>0</v>
      </c>
      <c r="I962" s="1"/>
      <c r="J962" s="1"/>
    </row>
    <row r="963" spans="2:10" x14ac:dyDescent="0.2">
      <c r="B963" s="1" t="s">
        <v>160</v>
      </c>
      <c r="C963" s="32">
        <v>6939</v>
      </c>
      <c r="D963" s="1">
        <v>10000</v>
      </c>
      <c r="E963" s="1"/>
      <c r="F963" s="1">
        <v>111.59</v>
      </c>
      <c r="G963" s="1">
        <v>10000</v>
      </c>
      <c r="H963" s="5">
        <f t="shared" si="18"/>
        <v>0</v>
      </c>
      <c r="I963" s="1"/>
      <c r="J963" s="1"/>
    </row>
    <row r="964" spans="2:10" x14ac:dyDescent="0.2">
      <c r="B964" s="1" t="s">
        <v>160</v>
      </c>
      <c r="C964" s="32">
        <v>2229</v>
      </c>
      <c r="D964" s="1">
        <v>13000</v>
      </c>
      <c r="E964" s="1"/>
      <c r="F964" s="1">
        <v>144.99</v>
      </c>
      <c r="G964" s="1">
        <v>13000</v>
      </c>
      <c r="H964" s="5">
        <f t="shared" si="18"/>
        <v>0</v>
      </c>
      <c r="I964" s="1"/>
      <c r="J964" s="1"/>
    </row>
    <row r="965" spans="2:10" x14ac:dyDescent="0.2">
      <c r="B965" s="1" t="s">
        <v>160</v>
      </c>
      <c r="C965" s="32">
        <v>9346</v>
      </c>
      <c r="D965" s="1">
        <v>18000</v>
      </c>
      <c r="E965" s="1"/>
      <c r="F965" s="1">
        <v>200.76</v>
      </c>
      <c r="G965" s="1">
        <v>18000</v>
      </c>
      <c r="H965" s="5">
        <f t="shared" si="18"/>
        <v>0</v>
      </c>
      <c r="I965" s="1"/>
      <c r="J965" s="1"/>
    </row>
    <row r="966" spans="2:10" x14ac:dyDescent="0.2">
      <c r="B966" s="1" t="s">
        <v>160</v>
      </c>
      <c r="C966" s="32">
        <v>2973</v>
      </c>
      <c r="D966" s="1">
        <v>15000</v>
      </c>
      <c r="E966" s="1"/>
      <c r="F966" s="1">
        <v>167.3</v>
      </c>
      <c r="G966" s="1">
        <v>15000</v>
      </c>
      <c r="H966" s="5">
        <f t="shared" si="18"/>
        <v>0</v>
      </c>
      <c r="I966" s="1"/>
      <c r="J966" s="1"/>
    </row>
    <row r="967" spans="2:10" x14ac:dyDescent="0.2">
      <c r="B967" s="1" t="s">
        <v>160</v>
      </c>
      <c r="C967" s="32">
        <v>8682</v>
      </c>
      <c r="D967" s="1">
        <v>17000</v>
      </c>
      <c r="E967" s="1"/>
      <c r="F967" s="1">
        <v>189.6</v>
      </c>
      <c r="G967" s="1">
        <v>17000</v>
      </c>
      <c r="H967" s="5">
        <f t="shared" si="18"/>
        <v>0</v>
      </c>
      <c r="I967" s="1"/>
      <c r="J967" s="1"/>
    </row>
    <row r="968" spans="2:10" x14ac:dyDescent="0.2">
      <c r="B968" s="1" t="s">
        <v>160</v>
      </c>
      <c r="C968" s="32">
        <v>2577</v>
      </c>
      <c r="D968" s="1">
        <v>23000</v>
      </c>
      <c r="E968" s="1"/>
      <c r="F968" s="1">
        <v>256.22000000000003</v>
      </c>
      <c r="G968" s="1">
        <v>23000</v>
      </c>
      <c r="H968" s="5">
        <f t="shared" si="18"/>
        <v>0</v>
      </c>
      <c r="I968" s="1"/>
      <c r="J968" s="1"/>
    </row>
    <row r="969" spans="2:10" x14ac:dyDescent="0.2">
      <c r="B969" s="1" t="s">
        <v>160</v>
      </c>
      <c r="C969" s="32" t="s">
        <v>61</v>
      </c>
      <c r="D969" s="1">
        <v>5000</v>
      </c>
      <c r="E969" s="1"/>
      <c r="F969" s="1">
        <v>55.77</v>
      </c>
      <c r="G969" s="1">
        <v>5000</v>
      </c>
      <c r="H969" s="5">
        <f t="shared" si="18"/>
        <v>0</v>
      </c>
      <c r="I969" s="1"/>
      <c r="J969" s="1"/>
    </row>
    <row r="970" spans="2:10" x14ac:dyDescent="0.2">
      <c r="B970" s="1" t="s">
        <v>160</v>
      </c>
      <c r="C970" s="32">
        <v>2804</v>
      </c>
      <c r="D970" s="1">
        <v>16000</v>
      </c>
      <c r="E970" s="1"/>
      <c r="F970" s="1">
        <v>178.45</v>
      </c>
      <c r="G970" s="1">
        <v>16000</v>
      </c>
      <c r="H970" s="5">
        <f t="shared" si="18"/>
        <v>0</v>
      </c>
      <c r="I970" s="1"/>
      <c r="J970" s="1"/>
    </row>
    <row r="971" spans="2:10" x14ac:dyDescent="0.2">
      <c r="B971" s="1" t="s">
        <v>160</v>
      </c>
      <c r="C971" s="32">
        <v>3222</v>
      </c>
      <c r="D971" s="1">
        <v>32000</v>
      </c>
      <c r="E971" s="1"/>
      <c r="F971" s="1">
        <v>356.4</v>
      </c>
      <c r="G971" s="1">
        <v>32000</v>
      </c>
      <c r="H971" s="5">
        <f t="shared" si="18"/>
        <v>0</v>
      </c>
      <c r="I971" s="1"/>
      <c r="J971" s="1"/>
    </row>
    <row r="972" spans="2:10" x14ac:dyDescent="0.2">
      <c r="B972" s="1" t="s">
        <v>160</v>
      </c>
      <c r="C972" s="32">
        <v>3765</v>
      </c>
      <c r="D972" s="1">
        <v>15000</v>
      </c>
      <c r="E972" s="1"/>
      <c r="F972" s="1">
        <v>167.3</v>
      </c>
      <c r="G972" s="1">
        <v>15000</v>
      </c>
      <c r="H972" s="5">
        <f t="shared" si="18"/>
        <v>0</v>
      </c>
      <c r="I972" s="1"/>
      <c r="J972" s="1"/>
    </row>
    <row r="973" spans="2:10" x14ac:dyDescent="0.2">
      <c r="B973" s="1" t="s">
        <v>160</v>
      </c>
      <c r="C973" s="32">
        <v>4279</v>
      </c>
      <c r="D973" s="1">
        <v>22000</v>
      </c>
      <c r="E973" s="1"/>
      <c r="F973" s="1">
        <v>245.37</v>
      </c>
      <c r="G973" s="1">
        <v>22000</v>
      </c>
      <c r="H973" s="5">
        <f t="shared" si="18"/>
        <v>0</v>
      </c>
      <c r="I973" s="1"/>
      <c r="J973" s="1"/>
    </row>
    <row r="974" spans="2:10" x14ac:dyDescent="0.2">
      <c r="B974" s="1" t="s">
        <v>160</v>
      </c>
      <c r="C974" s="32">
        <v>8751</v>
      </c>
      <c r="D974" s="1">
        <v>25000</v>
      </c>
      <c r="E974" s="1"/>
      <c r="F974" s="1">
        <v>278.83</v>
      </c>
      <c r="G974" s="1">
        <v>25000</v>
      </c>
      <c r="H974" s="5">
        <f t="shared" si="18"/>
        <v>0</v>
      </c>
      <c r="I974" s="1"/>
      <c r="J974" s="1"/>
    </row>
    <row r="975" spans="2:10" x14ac:dyDescent="0.2">
      <c r="B975" s="1" t="s">
        <v>160</v>
      </c>
      <c r="C975" s="32">
        <v>2328</v>
      </c>
      <c r="D975" s="1">
        <v>15000</v>
      </c>
      <c r="E975" s="1"/>
      <c r="F975" s="1">
        <v>167.3</v>
      </c>
      <c r="G975" s="1">
        <v>15000</v>
      </c>
      <c r="H975" s="5">
        <f t="shared" si="18"/>
        <v>0</v>
      </c>
      <c r="I975" s="1"/>
      <c r="J975" s="1"/>
    </row>
    <row r="976" spans="2:10" x14ac:dyDescent="0.2">
      <c r="B976" s="1" t="s">
        <v>160</v>
      </c>
      <c r="C976" s="32">
        <v>844</v>
      </c>
      <c r="D976" s="1">
        <v>15000</v>
      </c>
      <c r="E976" s="1"/>
      <c r="F976" s="1">
        <v>329.02</v>
      </c>
      <c r="G976" s="1">
        <v>15000</v>
      </c>
      <c r="H976" s="5">
        <f t="shared" si="18"/>
        <v>0</v>
      </c>
      <c r="I976" s="1"/>
      <c r="J976" s="1"/>
    </row>
    <row r="977" spans="2:10" x14ac:dyDescent="0.2">
      <c r="B977" s="1" t="s">
        <v>161</v>
      </c>
      <c r="C977" s="32">
        <v>4135</v>
      </c>
      <c r="D977" s="1">
        <v>24000</v>
      </c>
      <c r="E977" s="1"/>
      <c r="F977" s="1">
        <v>267.67</v>
      </c>
      <c r="G977" s="1">
        <v>24000</v>
      </c>
      <c r="H977" s="5">
        <f t="shared" si="18"/>
        <v>0</v>
      </c>
      <c r="I977" s="1"/>
      <c r="J977" s="1"/>
    </row>
    <row r="978" spans="2:10" x14ac:dyDescent="0.2">
      <c r="B978" s="1" t="s">
        <v>161</v>
      </c>
      <c r="C978" s="32">
        <v>9337</v>
      </c>
      <c r="D978" s="1">
        <v>27000</v>
      </c>
      <c r="E978" s="1"/>
      <c r="F978" s="1">
        <v>278.83</v>
      </c>
      <c r="G978" s="1">
        <v>27000</v>
      </c>
      <c r="H978" s="5">
        <f t="shared" si="18"/>
        <v>0</v>
      </c>
      <c r="I978" s="1"/>
      <c r="J978" s="1"/>
    </row>
    <row r="979" spans="2:10" x14ac:dyDescent="0.2">
      <c r="B979" s="1" t="s">
        <v>161</v>
      </c>
      <c r="C979" s="32">
        <v>7864</v>
      </c>
      <c r="D979" s="1">
        <v>10000</v>
      </c>
      <c r="E979" s="1"/>
      <c r="F979" s="1">
        <v>111.53</v>
      </c>
      <c r="G979" s="1">
        <v>10000</v>
      </c>
      <c r="H979" s="5">
        <f t="shared" si="18"/>
        <v>0</v>
      </c>
      <c r="I979" s="1"/>
      <c r="J979" s="1"/>
    </row>
    <row r="980" spans="2:10" x14ac:dyDescent="0.2">
      <c r="B980" s="1" t="s">
        <v>161</v>
      </c>
      <c r="C980" s="32">
        <v>1220</v>
      </c>
      <c r="D980" s="1">
        <v>12500</v>
      </c>
      <c r="E980" s="1"/>
      <c r="F980" s="1">
        <v>139.41999999999999</v>
      </c>
      <c r="G980" s="1">
        <v>12500</v>
      </c>
      <c r="H980" s="5">
        <f t="shared" si="18"/>
        <v>0</v>
      </c>
      <c r="I980" s="1"/>
      <c r="J980" s="1"/>
    </row>
    <row r="981" spans="2:10" x14ac:dyDescent="0.2">
      <c r="B981" s="1" t="s">
        <v>161</v>
      </c>
      <c r="C981" s="32">
        <v>2057</v>
      </c>
      <c r="D981" s="1">
        <v>25000</v>
      </c>
      <c r="E981" s="1"/>
      <c r="F981" s="1">
        <v>278.83</v>
      </c>
      <c r="G981" s="1">
        <v>25000</v>
      </c>
      <c r="H981" s="5">
        <f t="shared" si="18"/>
        <v>0</v>
      </c>
      <c r="I981" s="1"/>
      <c r="J981" s="1"/>
    </row>
    <row r="982" spans="2:10" x14ac:dyDescent="0.2">
      <c r="B982" s="1" t="s">
        <v>161</v>
      </c>
      <c r="C982" s="32">
        <v>1352</v>
      </c>
      <c r="D982" s="1">
        <v>13000</v>
      </c>
      <c r="E982" s="1"/>
      <c r="F982" s="1">
        <v>144.94</v>
      </c>
      <c r="G982" s="1">
        <v>13000</v>
      </c>
      <c r="H982" s="5">
        <f t="shared" si="18"/>
        <v>0</v>
      </c>
      <c r="I982" s="1"/>
      <c r="J982" s="1"/>
    </row>
    <row r="983" spans="2:10" x14ac:dyDescent="0.2">
      <c r="B983" s="1" t="s">
        <v>161</v>
      </c>
      <c r="C983" s="32" t="s">
        <v>61</v>
      </c>
      <c r="D983" s="1">
        <v>4500</v>
      </c>
      <c r="E983" s="1"/>
      <c r="F983" s="1">
        <v>50.14</v>
      </c>
      <c r="G983" s="1">
        <v>4500</v>
      </c>
      <c r="H983" s="5">
        <f t="shared" si="18"/>
        <v>0</v>
      </c>
      <c r="I983" s="1"/>
      <c r="J983" s="1"/>
    </row>
    <row r="984" spans="2:10" x14ac:dyDescent="0.2">
      <c r="B984" s="1" t="s">
        <v>161</v>
      </c>
      <c r="C984" s="32">
        <v>9752</v>
      </c>
      <c r="D984" s="1">
        <v>25000</v>
      </c>
      <c r="E984" s="1"/>
      <c r="F984" s="1">
        <v>278.83</v>
      </c>
      <c r="G984" s="1">
        <v>25000</v>
      </c>
      <c r="H984" s="5">
        <f t="shared" si="18"/>
        <v>0</v>
      </c>
      <c r="I984" s="1"/>
      <c r="J984" s="1"/>
    </row>
    <row r="985" spans="2:10" x14ac:dyDescent="0.2">
      <c r="B985" s="1" t="s">
        <v>161</v>
      </c>
      <c r="C985" s="32">
        <v>2379</v>
      </c>
      <c r="D985" s="1">
        <v>25000</v>
      </c>
      <c r="E985" s="1"/>
      <c r="F985" s="1">
        <v>278.83</v>
      </c>
      <c r="G985" s="1">
        <v>25000</v>
      </c>
      <c r="H985" s="5">
        <f t="shared" si="18"/>
        <v>0</v>
      </c>
      <c r="I985" s="1"/>
      <c r="J985" s="1"/>
    </row>
    <row r="986" spans="2:10" x14ac:dyDescent="0.2">
      <c r="B986" s="1" t="s">
        <v>161</v>
      </c>
      <c r="C986" s="32">
        <v>5575</v>
      </c>
      <c r="D986" s="1">
        <v>13000</v>
      </c>
      <c r="E986" s="1"/>
      <c r="F986" s="1">
        <v>144.94</v>
      </c>
      <c r="G986" s="1">
        <v>13000</v>
      </c>
      <c r="H986" s="5">
        <f t="shared" si="18"/>
        <v>0</v>
      </c>
      <c r="I986" s="1"/>
      <c r="J986" s="1"/>
    </row>
    <row r="987" spans="2:10" x14ac:dyDescent="0.2">
      <c r="B987" s="1" t="s">
        <v>161</v>
      </c>
      <c r="C987" s="32" t="s">
        <v>63</v>
      </c>
      <c r="D987" s="1">
        <v>3500</v>
      </c>
      <c r="E987" s="1"/>
      <c r="F987" s="1">
        <v>39.15</v>
      </c>
      <c r="G987" s="1">
        <v>3500</v>
      </c>
      <c r="H987" s="5">
        <f t="shared" si="18"/>
        <v>0</v>
      </c>
      <c r="I987" s="1"/>
      <c r="J987" s="1"/>
    </row>
    <row r="988" spans="2:10" x14ac:dyDescent="0.2">
      <c r="B988" s="1" t="s">
        <v>161</v>
      </c>
      <c r="C988" s="32">
        <v>3107</v>
      </c>
      <c r="D988" s="1">
        <v>10000</v>
      </c>
      <c r="E988" s="1"/>
      <c r="F988" s="1">
        <v>111.53</v>
      </c>
      <c r="G988" s="1">
        <v>10000</v>
      </c>
      <c r="H988" s="5">
        <f t="shared" si="18"/>
        <v>0</v>
      </c>
      <c r="I988" s="1"/>
      <c r="J988" s="1"/>
    </row>
    <row r="989" spans="2:10" x14ac:dyDescent="0.2">
      <c r="B989" s="1" t="s">
        <v>161</v>
      </c>
      <c r="C989" s="32" t="s">
        <v>66</v>
      </c>
      <c r="D989" s="1">
        <v>200</v>
      </c>
      <c r="E989" s="1"/>
      <c r="F989" s="1">
        <v>2.0499999999999998</v>
      </c>
      <c r="G989" s="1">
        <v>200</v>
      </c>
      <c r="H989" s="5">
        <f t="shared" si="18"/>
        <v>0</v>
      </c>
      <c r="I989" s="1"/>
      <c r="J989" s="1"/>
    </row>
    <row r="990" spans="2:10" x14ac:dyDescent="0.2">
      <c r="B990" s="1" t="s">
        <v>161</v>
      </c>
      <c r="C990" s="32">
        <v>5488</v>
      </c>
      <c r="D990" s="1">
        <v>33000</v>
      </c>
      <c r="E990" s="1"/>
      <c r="F990" s="1">
        <v>291.45</v>
      </c>
      <c r="G990" s="1">
        <v>33000</v>
      </c>
      <c r="H990" s="5">
        <f t="shared" si="18"/>
        <v>0</v>
      </c>
      <c r="I990" s="1"/>
      <c r="J990" s="1"/>
    </row>
    <row r="991" spans="2:10" x14ac:dyDescent="0.2">
      <c r="B991" s="1" t="s">
        <v>161</v>
      </c>
      <c r="C991" s="32">
        <v>5656</v>
      </c>
      <c r="D991" s="1">
        <v>19000</v>
      </c>
      <c r="E991" s="1"/>
      <c r="F991" s="1">
        <v>211.91</v>
      </c>
      <c r="G991" s="1">
        <v>19000</v>
      </c>
      <c r="H991" s="5">
        <f t="shared" si="18"/>
        <v>0</v>
      </c>
      <c r="I991" s="1"/>
      <c r="J991" s="1"/>
    </row>
    <row r="992" spans="2:10" x14ac:dyDescent="0.2">
      <c r="B992" s="1" t="s">
        <v>161</v>
      </c>
      <c r="C992" s="32">
        <v>3504</v>
      </c>
      <c r="D992" s="1">
        <v>25000</v>
      </c>
      <c r="E992" s="1"/>
      <c r="F992" s="1">
        <v>278.83</v>
      </c>
      <c r="G992" s="1">
        <v>25000</v>
      </c>
      <c r="H992" s="5">
        <f t="shared" si="18"/>
        <v>0</v>
      </c>
      <c r="I992" s="1"/>
      <c r="J992" s="1"/>
    </row>
    <row r="993" spans="2:10" x14ac:dyDescent="0.2">
      <c r="B993" s="1" t="s">
        <v>161</v>
      </c>
      <c r="C993" s="32">
        <v>5172</v>
      </c>
      <c r="D993" s="1">
        <v>20000</v>
      </c>
      <c r="E993" s="1"/>
      <c r="F993" s="1">
        <v>223.06</v>
      </c>
      <c r="G993" s="1">
        <v>20000</v>
      </c>
      <c r="H993" s="5">
        <f t="shared" si="18"/>
        <v>0</v>
      </c>
      <c r="I993" s="1"/>
      <c r="J993" s="1"/>
    </row>
    <row r="994" spans="2:10" x14ac:dyDescent="0.2">
      <c r="B994" s="1" t="s">
        <v>161</v>
      </c>
      <c r="C994" s="32">
        <v>1901</v>
      </c>
      <c r="D994" s="1">
        <v>23000</v>
      </c>
      <c r="E994" s="1"/>
      <c r="F994" s="1">
        <v>256.52</v>
      </c>
      <c r="G994" s="1">
        <v>23000</v>
      </c>
      <c r="H994" s="5">
        <f t="shared" si="18"/>
        <v>0</v>
      </c>
      <c r="I994" s="1"/>
      <c r="J994" s="1"/>
    </row>
    <row r="995" spans="2:10" x14ac:dyDescent="0.2">
      <c r="B995" s="1" t="s">
        <v>161</v>
      </c>
      <c r="C995" s="32">
        <v>5981</v>
      </c>
      <c r="D995" s="1">
        <v>20000</v>
      </c>
      <c r="E995" s="1"/>
      <c r="F995" s="1">
        <v>223.06</v>
      </c>
      <c r="G995" s="1">
        <v>20000</v>
      </c>
      <c r="H995" s="5">
        <f t="shared" si="18"/>
        <v>0</v>
      </c>
      <c r="I995" s="1"/>
      <c r="J995" s="1"/>
    </row>
    <row r="996" spans="2:10" x14ac:dyDescent="0.2">
      <c r="B996" s="1" t="s">
        <v>161</v>
      </c>
      <c r="C996" s="32">
        <v>5046</v>
      </c>
      <c r="D996" s="1">
        <v>25000</v>
      </c>
      <c r="E996" s="1"/>
      <c r="F996" s="1">
        <v>278.83</v>
      </c>
      <c r="G996" s="1">
        <v>25000</v>
      </c>
      <c r="H996" s="5">
        <f t="shared" si="18"/>
        <v>0</v>
      </c>
      <c r="I996" s="1"/>
      <c r="J996" s="1"/>
    </row>
    <row r="997" spans="2:10" x14ac:dyDescent="0.2">
      <c r="B997" s="1" t="s">
        <v>161</v>
      </c>
      <c r="C997" s="32">
        <v>3963</v>
      </c>
      <c r="D997" s="1">
        <v>20000</v>
      </c>
      <c r="E997" s="1"/>
      <c r="F997" s="1">
        <v>223.06</v>
      </c>
      <c r="G997" s="1">
        <v>20000</v>
      </c>
      <c r="H997" s="5">
        <f t="shared" si="18"/>
        <v>0</v>
      </c>
      <c r="I997" s="1"/>
      <c r="J997" s="1"/>
    </row>
    <row r="998" spans="2:10" x14ac:dyDescent="0.2">
      <c r="B998" s="1" t="s">
        <v>161</v>
      </c>
      <c r="C998" s="32">
        <v>2121</v>
      </c>
      <c r="D998" s="1">
        <v>15000</v>
      </c>
      <c r="E998" s="1"/>
      <c r="F998" s="1">
        <v>161.72</v>
      </c>
      <c r="G998" s="1">
        <v>15000</v>
      </c>
      <c r="H998" s="5">
        <f t="shared" si="18"/>
        <v>0</v>
      </c>
      <c r="I998" s="1"/>
      <c r="J998" s="1"/>
    </row>
    <row r="999" spans="2:10" x14ac:dyDescent="0.2">
      <c r="B999" s="1" t="s">
        <v>162</v>
      </c>
      <c r="C999" s="32">
        <v>8975</v>
      </c>
      <c r="D999" s="1">
        <v>23000</v>
      </c>
      <c r="E999" s="1"/>
      <c r="F999" s="1">
        <v>256.52</v>
      </c>
      <c r="G999" s="1">
        <v>23000</v>
      </c>
      <c r="H999" s="5">
        <f t="shared" si="18"/>
        <v>0</v>
      </c>
      <c r="I999" s="1"/>
      <c r="J999" s="1"/>
    </row>
    <row r="1000" spans="2:10" x14ac:dyDescent="0.2">
      <c r="B1000" s="1" t="s">
        <v>162</v>
      </c>
      <c r="C1000" s="32">
        <v>35</v>
      </c>
      <c r="D1000" s="1">
        <v>15000</v>
      </c>
      <c r="E1000" s="1"/>
      <c r="F1000" s="1">
        <v>167.3</v>
      </c>
      <c r="G1000" s="1">
        <v>15000</v>
      </c>
      <c r="H1000" s="5">
        <f t="shared" si="18"/>
        <v>0</v>
      </c>
      <c r="I1000" s="1"/>
      <c r="J1000" s="1"/>
    </row>
    <row r="1001" spans="2:10" x14ac:dyDescent="0.2">
      <c r="B1001" s="1" t="s">
        <v>162</v>
      </c>
      <c r="C1001" s="32">
        <v>926</v>
      </c>
      <c r="D1001" s="1">
        <v>32000</v>
      </c>
      <c r="E1001" s="1"/>
      <c r="F1001" s="1">
        <v>354.68</v>
      </c>
      <c r="G1001" s="1">
        <v>32000</v>
      </c>
      <c r="H1001" s="5">
        <f t="shared" si="18"/>
        <v>0</v>
      </c>
      <c r="I1001" s="1"/>
      <c r="J1001" s="1"/>
    </row>
    <row r="1002" spans="2:10" x14ac:dyDescent="0.2">
      <c r="B1002" s="1" t="s">
        <v>162</v>
      </c>
      <c r="C1002" s="32">
        <v>1884</v>
      </c>
      <c r="D1002" s="1">
        <v>19000</v>
      </c>
      <c r="E1002" s="1"/>
      <c r="F1002" s="1">
        <v>211.91</v>
      </c>
      <c r="G1002" s="1">
        <v>19000</v>
      </c>
      <c r="H1002" s="5">
        <f t="shared" si="18"/>
        <v>0</v>
      </c>
      <c r="I1002" s="1"/>
      <c r="J1002" s="1"/>
    </row>
    <row r="1003" spans="2:10" x14ac:dyDescent="0.2">
      <c r="B1003" s="1" t="s">
        <v>162</v>
      </c>
      <c r="C1003" s="32">
        <v>6021</v>
      </c>
      <c r="D1003" s="1">
        <v>13000</v>
      </c>
      <c r="E1003" s="1"/>
      <c r="F1003" s="1">
        <v>142.99</v>
      </c>
      <c r="G1003" s="1">
        <v>13000</v>
      </c>
      <c r="H1003" s="5">
        <f t="shared" si="18"/>
        <v>0</v>
      </c>
      <c r="I1003" s="1"/>
      <c r="J1003" s="1"/>
    </row>
    <row r="1004" spans="2:10" x14ac:dyDescent="0.2">
      <c r="B1004" s="1" t="s">
        <v>162</v>
      </c>
      <c r="C1004" s="32">
        <v>6768</v>
      </c>
      <c r="D1004" s="1">
        <v>18000</v>
      </c>
      <c r="E1004" s="1"/>
      <c r="F1004" s="1">
        <v>200.76</v>
      </c>
      <c r="G1004" s="1">
        <v>18000</v>
      </c>
      <c r="H1004" s="5">
        <f t="shared" si="18"/>
        <v>0</v>
      </c>
      <c r="I1004" s="1"/>
      <c r="J1004" s="1"/>
    </row>
    <row r="1005" spans="2:10" x14ac:dyDescent="0.2">
      <c r="B1005" s="1" t="s">
        <v>162</v>
      </c>
      <c r="C1005" s="32">
        <v>9127</v>
      </c>
      <c r="D1005" s="1">
        <v>10100</v>
      </c>
      <c r="E1005" s="1"/>
      <c r="F1005" s="1">
        <v>112.65</v>
      </c>
      <c r="G1005" s="1">
        <v>10100</v>
      </c>
      <c r="H1005" s="5">
        <f t="shared" si="18"/>
        <v>0</v>
      </c>
      <c r="I1005" s="1"/>
      <c r="J1005" s="1"/>
    </row>
    <row r="1006" spans="2:10" x14ac:dyDescent="0.2">
      <c r="B1006" s="1" t="s">
        <v>162</v>
      </c>
      <c r="C1006" s="32">
        <v>2122</v>
      </c>
      <c r="D1006" s="1">
        <v>30000</v>
      </c>
      <c r="E1006" s="1"/>
      <c r="F1006" s="1">
        <v>325.68</v>
      </c>
      <c r="G1006" s="1">
        <v>30000</v>
      </c>
      <c r="H1006" s="5">
        <f t="shared" si="18"/>
        <v>0</v>
      </c>
      <c r="I1006" s="1"/>
      <c r="J1006" s="1"/>
    </row>
    <row r="1007" spans="2:10" x14ac:dyDescent="0.2">
      <c r="B1007" s="1" t="s">
        <v>162</v>
      </c>
      <c r="C1007" s="32">
        <v>5477</v>
      </c>
      <c r="D1007" s="1">
        <v>10000</v>
      </c>
      <c r="E1007" s="1"/>
      <c r="F1007" s="1">
        <v>111.53</v>
      </c>
      <c r="G1007" s="1">
        <v>10000</v>
      </c>
      <c r="H1007" s="5">
        <f t="shared" si="18"/>
        <v>0</v>
      </c>
      <c r="I1007" s="1"/>
      <c r="J1007" s="1"/>
    </row>
    <row r="1008" spans="2:10" x14ac:dyDescent="0.2">
      <c r="B1008" s="1" t="s">
        <v>162</v>
      </c>
      <c r="C1008" s="32">
        <v>5044</v>
      </c>
      <c r="D1008" s="1">
        <v>25000</v>
      </c>
      <c r="E1008" s="1"/>
      <c r="F1008" s="1">
        <v>295.55</v>
      </c>
      <c r="G1008" s="1">
        <v>25000</v>
      </c>
      <c r="H1008" s="5">
        <f t="shared" si="18"/>
        <v>0</v>
      </c>
      <c r="I1008" s="1"/>
      <c r="J1008" s="1"/>
    </row>
    <row r="1009" spans="2:10" x14ac:dyDescent="0.2">
      <c r="B1009" s="1" t="s">
        <v>162</v>
      </c>
      <c r="C1009" s="32" t="s">
        <v>63</v>
      </c>
      <c r="D1009" s="1">
        <v>3500</v>
      </c>
      <c r="E1009" s="1"/>
      <c r="F1009" s="1">
        <v>39.04</v>
      </c>
      <c r="G1009" s="1">
        <v>3500</v>
      </c>
      <c r="H1009" s="5">
        <f t="shared" si="18"/>
        <v>0</v>
      </c>
      <c r="I1009" s="1"/>
      <c r="J1009" s="1"/>
    </row>
    <row r="1010" spans="2:10" x14ac:dyDescent="0.2">
      <c r="B1010" s="1" t="s">
        <v>162</v>
      </c>
      <c r="C1010" s="32" t="s">
        <v>66</v>
      </c>
      <c r="D1010" s="1">
        <v>100</v>
      </c>
      <c r="E1010" s="1"/>
      <c r="F1010" s="1"/>
      <c r="G1010" s="1">
        <v>100</v>
      </c>
      <c r="H1010" s="5">
        <f t="shared" si="18"/>
        <v>0</v>
      </c>
      <c r="I1010" s="1"/>
      <c r="J1010" s="1"/>
    </row>
    <row r="1011" spans="2:10" x14ac:dyDescent="0.2">
      <c r="B1011" s="1" t="s">
        <v>162</v>
      </c>
      <c r="C1011" s="32">
        <v>1121</v>
      </c>
      <c r="D1011" s="1">
        <v>30000</v>
      </c>
      <c r="E1011" s="1"/>
      <c r="F1011" s="1">
        <v>334.6</v>
      </c>
      <c r="G1011" s="1">
        <v>30000</v>
      </c>
      <c r="H1011" s="5">
        <f t="shared" si="18"/>
        <v>0</v>
      </c>
      <c r="I1011" s="1"/>
      <c r="J1011" s="1"/>
    </row>
    <row r="1012" spans="2:10" x14ac:dyDescent="0.2">
      <c r="B1012" s="1" t="s">
        <v>163</v>
      </c>
      <c r="C1012" s="85">
        <v>6969</v>
      </c>
      <c r="D1012" s="1">
        <v>5000</v>
      </c>
      <c r="E1012" s="1"/>
      <c r="F1012" s="1">
        <v>55.77</v>
      </c>
      <c r="G1012" s="1">
        <v>5000</v>
      </c>
      <c r="H1012" s="5">
        <f t="shared" si="18"/>
        <v>0</v>
      </c>
      <c r="I1012" s="1"/>
      <c r="J1012" s="1"/>
    </row>
    <row r="1013" spans="2:10" x14ac:dyDescent="0.2">
      <c r="B1013" s="1" t="s">
        <v>163</v>
      </c>
      <c r="C1013" s="85">
        <v>1552</v>
      </c>
      <c r="D1013" s="1">
        <v>15000</v>
      </c>
      <c r="E1013" s="1"/>
      <c r="F1013" s="1">
        <v>167.3</v>
      </c>
      <c r="G1013" s="1">
        <v>15000</v>
      </c>
      <c r="H1013" s="5">
        <f t="shared" si="18"/>
        <v>0</v>
      </c>
      <c r="I1013" s="1"/>
      <c r="J1013" s="1"/>
    </row>
    <row r="1014" spans="2:10" x14ac:dyDescent="0.2">
      <c r="B1014" s="1" t="s">
        <v>163</v>
      </c>
      <c r="C1014" s="85">
        <v>8771</v>
      </c>
      <c r="D1014" s="1">
        <v>15000</v>
      </c>
      <c r="E1014" s="1"/>
      <c r="F1014" s="1">
        <v>167.3</v>
      </c>
      <c r="G1014" s="1">
        <v>15000</v>
      </c>
      <c r="H1014" s="5">
        <f t="shared" ref="H1014:H1077" si="19">D1014-G1014</f>
        <v>0</v>
      </c>
      <c r="I1014" s="1"/>
      <c r="J1014" s="1"/>
    </row>
    <row r="1015" spans="2:10" x14ac:dyDescent="0.2">
      <c r="B1015" s="1" t="s">
        <v>163</v>
      </c>
      <c r="C1015" s="85">
        <v>889</v>
      </c>
      <c r="D1015" s="1">
        <v>13000</v>
      </c>
      <c r="E1015" s="1"/>
      <c r="F1015" s="1">
        <v>144.99</v>
      </c>
      <c r="G1015" s="1">
        <v>13000</v>
      </c>
      <c r="H1015" s="5">
        <f t="shared" si="19"/>
        <v>0</v>
      </c>
      <c r="I1015" s="1"/>
      <c r="J1015" s="1"/>
    </row>
    <row r="1016" spans="2:10" x14ac:dyDescent="0.2">
      <c r="B1016" s="1" t="s">
        <v>163</v>
      </c>
      <c r="C1016" s="85" t="s">
        <v>66</v>
      </c>
      <c r="D1016" s="1">
        <v>100</v>
      </c>
      <c r="E1016" s="1"/>
      <c r="F1016" s="1">
        <v>1.115</v>
      </c>
      <c r="G1016" s="1">
        <v>100</v>
      </c>
      <c r="H1016" s="5">
        <f t="shared" si="19"/>
        <v>0</v>
      </c>
      <c r="I1016" s="1"/>
      <c r="J1016" s="1"/>
    </row>
    <row r="1017" spans="2:10" x14ac:dyDescent="0.2">
      <c r="B1017" s="1" t="s">
        <v>163</v>
      </c>
      <c r="C1017" s="85" t="s">
        <v>61</v>
      </c>
      <c r="D1017" s="1">
        <v>4500</v>
      </c>
      <c r="E1017" s="1"/>
      <c r="F1017" s="1">
        <v>50.19</v>
      </c>
      <c r="G1017" s="1">
        <v>4500</v>
      </c>
      <c r="H1017" s="5">
        <f t="shared" si="19"/>
        <v>0</v>
      </c>
      <c r="I1017" s="1"/>
      <c r="J1017" s="1"/>
    </row>
    <row r="1018" spans="2:10" x14ac:dyDescent="0.2">
      <c r="B1018" s="1" t="s">
        <v>163</v>
      </c>
      <c r="C1018" s="85">
        <v>1332</v>
      </c>
      <c r="D1018" s="1">
        <v>13500</v>
      </c>
      <c r="E1018" s="1"/>
      <c r="F1018" s="1">
        <v>150.57</v>
      </c>
      <c r="G1018" s="1">
        <v>13500</v>
      </c>
      <c r="H1018" s="5">
        <f t="shared" si="19"/>
        <v>0</v>
      </c>
      <c r="I1018" s="1"/>
      <c r="J1018" s="1"/>
    </row>
    <row r="1019" spans="2:10" x14ac:dyDescent="0.2">
      <c r="B1019" s="1" t="s">
        <v>163</v>
      </c>
      <c r="C1019" s="85">
        <v>3158</v>
      </c>
      <c r="D1019" s="1">
        <v>30000</v>
      </c>
      <c r="E1019" s="1"/>
      <c r="F1019" s="1">
        <v>324.55</v>
      </c>
      <c r="G1019" s="1">
        <v>30000</v>
      </c>
      <c r="H1019" s="5">
        <f t="shared" si="19"/>
        <v>0</v>
      </c>
      <c r="I1019" s="1"/>
      <c r="J1019" s="1"/>
    </row>
    <row r="1020" spans="2:10" x14ac:dyDescent="0.2">
      <c r="B1020" s="1" t="s">
        <v>163</v>
      </c>
      <c r="C1020" s="85">
        <v>2943</v>
      </c>
      <c r="D1020" s="1">
        <v>30000</v>
      </c>
      <c r="E1020" s="1"/>
      <c r="F1020" s="1">
        <v>324.55</v>
      </c>
      <c r="G1020" s="1">
        <v>30000</v>
      </c>
      <c r="H1020" s="5">
        <f t="shared" si="19"/>
        <v>0</v>
      </c>
      <c r="I1020" s="1"/>
      <c r="J1020" s="1"/>
    </row>
    <row r="1021" spans="2:10" x14ac:dyDescent="0.2">
      <c r="B1021" s="1" t="s">
        <v>163</v>
      </c>
      <c r="C1021" s="85" t="s">
        <v>61</v>
      </c>
      <c r="D1021" s="1">
        <v>7000</v>
      </c>
      <c r="E1021" s="1"/>
      <c r="F1021" s="1">
        <v>78.069999999999993</v>
      </c>
      <c r="G1021" s="1">
        <v>7000</v>
      </c>
      <c r="H1021" s="5">
        <f t="shared" si="19"/>
        <v>0</v>
      </c>
      <c r="I1021" s="1"/>
      <c r="J1021" s="1"/>
    </row>
    <row r="1022" spans="2:10" x14ac:dyDescent="0.2">
      <c r="B1022" s="1" t="s">
        <v>163</v>
      </c>
      <c r="C1022" s="85">
        <v>9831</v>
      </c>
      <c r="D1022" s="1">
        <v>20000</v>
      </c>
      <c r="E1022" s="1"/>
      <c r="F1022" s="1">
        <v>223.06</v>
      </c>
      <c r="G1022" s="1">
        <v>20000</v>
      </c>
      <c r="H1022" s="5">
        <f t="shared" si="19"/>
        <v>0</v>
      </c>
      <c r="I1022" s="1"/>
      <c r="J1022" s="1"/>
    </row>
    <row r="1023" spans="2:10" x14ac:dyDescent="0.2">
      <c r="B1023" s="1" t="s">
        <v>163</v>
      </c>
      <c r="C1023" s="85">
        <v>1009</v>
      </c>
      <c r="D1023" s="1">
        <v>20000</v>
      </c>
      <c r="E1023" s="1"/>
      <c r="F1023" s="1">
        <v>223.06</v>
      </c>
      <c r="G1023" s="1">
        <v>20000</v>
      </c>
      <c r="H1023" s="5">
        <f t="shared" si="19"/>
        <v>0</v>
      </c>
      <c r="I1023" s="1"/>
      <c r="J1023" s="1"/>
    </row>
    <row r="1024" spans="2:10" x14ac:dyDescent="0.2">
      <c r="B1024" s="1" t="s">
        <v>163</v>
      </c>
      <c r="C1024" s="85">
        <v>111</v>
      </c>
      <c r="D1024" s="1">
        <v>20000</v>
      </c>
      <c r="E1024" s="1"/>
      <c r="F1024" s="1">
        <v>223.06</v>
      </c>
      <c r="G1024" s="1">
        <v>20000</v>
      </c>
      <c r="H1024" s="5">
        <f t="shared" si="19"/>
        <v>0</v>
      </c>
      <c r="I1024" s="1"/>
      <c r="J1024" s="1"/>
    </row>
    <row r="1025" spans="2:10" x14ac:dyDescent="0.2">
      <c r="B1025" s="1" t="s">
        <v>163</v>
      </c>
      <c r="C1025" s="85">
        <v>6751</v>
      </c>
      <c r="D1025" s="1">
        <v>25000</v>
      </c>
      <c r="E1025" s="1"/>
      <c r="F1025" s="1">
        <v>278.83</v>
      </c>
      <c r="G1025" s="1">
        <v>25000</v>
      </c>
      <c r="H1025" s="5">
        <f t="shared" si="19"/>
        <v>0</v>
      </c>
      <c r="I1025" s="1"/>
      <c r="J1025" s="1"/>
    </row>
    <row r="1026" spans="2:10" x14ac:dyDescent="0.2">
      <c r="B1026" s="1" t="s">
        <v>163</v>
      </c>
      <c r="C1026" s="85">
        <v>6267</v>
      </c>
      <c r="D1026" s="1">
        <v>22000</v>
      </c>
      <c r="E1026" s="1"/>
      <c r="F1026" s="1">
        <v>245.37</v>
      </c>
      <c r="G1026" s="1">
        <v>22000</v>
      </c>
      <c r="H1026" s="5">
        <f t="shared" si="19"/>
        <v>0</v>
      </c>
      <c r="I1026" s="1"/>
      <c r="J1026" s="1"/>
    </row>
    <row r="1027" spans="2:10" x14ac:dyDescent="0.2">
      <c r="B1027" s="1" t="s">
        <v>163</v>
      </c>
      <c r="C1027" s="85">
        <v>4702</v>
      </c>
      <c r="D1027" s="1">
        <v>17000</v>
      </c>
      <c r="E1027" s="1"/>
      <c r="F1027" s="1">
        <v>163.44999999999999</v>
      </c>
      <c r="G1027" s="1">
        <v>17000</v>
      </c>
      <c r="H1027" s="5">
        <f t="shared" si="19"/>
        <v>0</v>
      </c>
      <c r="I1027" s="1"/>
      <c r="J1027" s="1"/>
    </row>
    <row r="1028" spans="2:10" x14ac:dyDescent="0.2">
      <c r="B1028" s="1" t="s">
        <v>163</v>
      </c>
      <c r="C1028" s="85">
        <v>202</v>
      </c>
      <c r="D1028" s="1">
        <v>30000</v>
      </c>
      <c r="E1028" s="1"/>
      <c r="F1028" s="1">
        <v>324.55</v>
      </c>
      <c r="G1028" s="1">
        <v>30000</v>
      </c>
      <c r="H1028" s="5">
        <f t="shared" si="19"/>
        <v>0</v>
      </c>
      <c r="I1028" s="1"/>
      <c r="J1028" s="1"/>
    </row>
    <row r="1029" spans="2:10" x14ac:dyDescent="0.2">
      <c r="B1029" s="1" t="s">
        <v>163</v>
      </c>
      <c r="C1029" s="85">
        <v>7491</v>
      </c>
      <c r="D1029" s="1">
        <v>30000</v>
      </c>
      <c r="E1029" s="1"/>
      <c r="F1029" s="1">
        <v>324.55</v>
      </c>
      <c r="G1029" s="1">
        <v>30000</v>
      </c>
      <c r="H1029" s="5">
        <f t="shared" si="19"/>
        <v>0</v>
      </c>
      <c r="I1029" s="1"/>
      <c r="J1029" s="1"/>
    </row>
    <row r="1030" spans="2:10" x14ac:dyDescent="0.2">
      <c r="B1030" s="1" t="s">
        <v>163</v>
      </c>
      <c r="C1030" s="85">
        <v>8039</v>
      </c>
      <c r="D1030" s="1">
        <v>30000</v>
      </c>
      <c r="E1030" s="1"/>
      <c r="F1030" s="1">
        <v>324.55</v>
      </c>
      <c r="G1030" s="1">
        <v>30000</v>
      </c>
      <c r="H1030" s="5">
        <f t="shared" si="19"/>
        <v>0</v>
      </c>
      <c r="I1030" s="1"/>
      <c r="J1030" s="1"/>
    </row>
    <row r="1031" spans="2:10" x14ac:dyDescent="0.2">
      <c r="B1031" s="1" t="s">
        <v>163</v>
      </c>
      <c r="C1031" s="85">
        <v>8254</v>
      </c>
      <c r="D1031" s="1">
        <v>25000</v>
      </c>
      <c r="E1031" s="1"/>
      <c r="F1031" s="1">
        <v>278.83</v>
      </c>
      <c r="G1031" s="1">
        <v>25000</v>
      </c>
      <c r="H1031" s="5">
        <f t="shared" si="19"/>
        <v>0</v>
      </c>
      <c r="I1031" s="1"/>
      <c r="J1031" s="1"/>
    </row>
    <row r="1032" spans="2:10" x14ac:dyDescent="0.2">
      <c r="B1032" s="1" t="s">
        <v>164</v>
      </c>
      <c r="C1032" s="85" t="s">
        <v>61</v>
      </c>
      <c r="D1032" s="1">
        <v>4500</v>
      </c>
      <c r="E1032" s="1"/>
      <c r="F1032" s="1">
        <v>50.19</v>
      </c>
      <c r="G1032" s="1">
        <v>4500</v>
      </c>
      <c r="H1032" s="5">
        <f t="shared" si="19"/>
        <v>0</v>
      </c>
      <c r="I1032" s="1"/>
      <c r="J1032" s="1"/>
    </row>
    <row r="1033" spans="2:10" x14ac:dyDescent="0.2">
      <c r="B1033" s="1" t="s">
        <v>164</v>
      </c>
      <c r="C1033" s="85">
        <v>1550</v>
      </c>
      <c r="D1033" s="1">
        <v>12000</v>
      </c>
      <c r="E1033" s="1"/>
      <c r="F1033" s="1">
        <v>133.83000000000001</v>
      </c>
      <c r="G1033" s="1">
        <v>12000</v>
      </c>
      <c r="H1033" s="5">
        <f t="shared" si="19"/>
        <v>0</v>
      </c>
      <c r="I1033" s="1"/>
      <c r="J1033" s="1"/>
    </row>
    <row r="1034" spans="2:10" x14ac:dyDescent="0.2">
      <c r="B1034" s="1" t="s">
        <v>164</v>
      </c>
      <c r="C1034" s="85">
        <v>4156</v>
      </c>
      <c r="D1034" s="1">
        <v>30000</v>
      </c>
      <c r="E1034" s="1"/>
      <c r="F1034" s="1">
        <v>324.55</v>
      </c>
      <c r="G1034" s="1">
        <v>30000</v>
      </c>
      <c r="H1034" s="5">
        <f t="shared" si="19"/>
        <v>0</v>
      </c>
      <c r="I1034" s="1"/>
      <c r="J1034" s="1"/>
    </row>
    <row r="1035" spans="2:10" x14ac:dyDescent="0.2">
      <c r="B1035" s="1" t="s">
        <v>164</v>
      </c>
      <c r="C1035" s="85">
        <v>6206</v>
      </c>
      <c r="D1035" s="1">
        <v>22000</v>
      </c>
      <c r="E1035" s="1"/>
      <c r="F1035" s="1">
        <v>245.37</v>
      </c>
      <c r="G1035" s="1">
        <v>22000</v>
      </c>
      <c r="H1035" s="5">
        <f t="shared" si="19"/>
        <v>0</v>
      </c>
      <c r="I1035" s="1"/>
      <c r="J1035" s="1"/>
    </row>
    <row r="1036" spans="2:10" x14ac:dyDescent="0.2">
      <c r="B1036" s="1" t="s">
        <v>164</v>
      </c>
      <c r="C1036" s="32">
        <v>8113</v>
      </c>
      <c r="D1036" s="1">
        <v>18000</v>
      </c>
      <c r="E1036" s="1"/>
      <c r="F1036" s="1">
        <v>200.76</v>
      </c>
      <c r="G1036" s="1">
        <v>18000</v>
      </c>
      <c r="H1036" s="5">
        <f t="shared" si="19"/>
        <v>0</v>
      </c>
      <c r="I1036" s="1"/>
      <c r="J1036" s="1"/>
    </row>
    <row r="1037" spans="2:10" x14ac:dyDescent="0.2">
      <c r="B1037" s="1" t="s">
        <v>164</v>
      </c>
      <c r="C1037" s="32">
        <v>2829</v>
      </c>
      <c r="D1037" s="1">
        <v>18000</v>
      </c>
      <c r="E1037" s="1"/>
      <c r="F1037" s="1">
        <v>200.76</v>
      </c>
      <c r="G1037" s="1">
        <v>18000</v>
      </c>
      <c r="H1037" s="5">
        <f t="shared" si="19"/>
        <v>0</v>
      </c>
      <c r="I1037" s="1"/>
      <c r="J1037" s="1"/>
    </row>
    <row r="1038" spans="2:10" x14ac:dyDescent="0.2">
      <c r="B1038" s="1" t="s">
        <v>164</v>
      </c>
      <c r="C1038" s="32">
        <v>7940</v>
      </c>
      <c r="D1038" s="1">
        <v>18000</v>
      </c>
      <c r="E1038" s="1"/>
      <c r="F1038" s="1">
        <v>200.76</v>
      </c>
      <c r="G1038" s="1">
        <v>18000</v>
      </c>
      <c r="H1038" s="5">
        <f t="shared" si="19"/>
        <v>0</v>
      </c>
      <c r="I1038" s="1"/>
      <c r="J1038" s="1"/>
    </row>
    <row r="1039" spans="2:10" x14ac:dyDescent="0.2">
      <c r="B1039" s="1" t="s">
        <v>164</v>
      </c>
      <c r="C1039" s="32">
        <v>5566</v>
      </c>
      <c r="D1039" s="1">
        <v>22000</v>
      </c>
      <c r="E1039" s="1"/>
      <c r="F1039" s="1">
        <v>245.37</v>
      </c>
      <c r="G1039" s="1">
        <v>22000</v>
      </c>
      <c r="H1039" s="5">
        <f t="shared" si="19"/>
        <v>0</v>
      </c>
      <c r="I1039" s="1"/>
      <c r="J1039" s="1"/>
    </row>
    <row r="1040" spans="2:10" x14ac:dyDescent="0.2">
      <c r="B1040" s="1" t="s">
        <v>164</v>
      </c>
      <c r="C1040" s="32">
        <v>389</v>
      </c>
      <c r="D1040" s="1">
        <v>22000</v>
      </c>
      <c r="E1040" s="1"/>
      <c r="F1040" s="1">
        <v>245.37</v>
      </c>
      <c r="G1040" s="1">
        <v>22000</v>
      </c>
      <c r="H1040" s="5">
        <f t="shared" si="19"/>
        <v>0</v>
      </c>
      <c r="I1040" s="1"/>
      <c r="J1040" s="1"/>
    </row>
    <row r="1041" spans="2:10" x14ac:dyDescent="0.2">
      <c r="B1041" s="1" t="s">
        <v>164</v>
      </c>
      <c r="C1041" s="32">
        <v>4093</v>
      </c>
      <c r="D1041" s="1">
        <v>10000</v>
      </c>
      <c r="E1041" s="1"/>
      <c r="F1041" s="1">
        <v>111.53</v>
      </c>
      <c r="G1041" s="1">
        <v>10000</v>
      </c>
      <c r="H1041" s="5">
        <f t="shared" si="19"/>
        <v>0</v>
      </c>
      <c r="I1041" s="1"/>
      <c r="J1041" s="1"/>
    </row>
    <row r="1042" spans="2:10" x14ac:dyDescent="0.2">
      <c r="B1042" s="1" t="s">
        <v>164</v>
      </c>
      <c r="C1042" s="32">
        <v>7071</v>
      </c>
      <c r="D1042" s="1">
        <v>26000</v>
      </c>
      <c r="E1042" s="1"/>
      <c r="F1042" s="1">
        <v>289</v>
      </c>
      <c r="G1042" s="1">
        <v>26000</v>
      </c>
      <c r="H1042" s="5">
        <f t="shared" si="19"/>
        <v>0</v>
      </c>
      <c r="I1042" s="1"/>
      <c r="J1042" s="1"/>
    </row>
    <row r="1043" spans="2:10" x14ac:dyDescent="0.2">
      <c r="B1043" s="1" t="s">
        <v>164</v>
      </c>
      <c r="C1043" s="32">
        <v>8705</v>
      </c>
      <c r="D1043" s="1">
        <v>25000</v>
      </c>
      <c r="E1043" s="1"/>
      <c r="F1043" s="1">
        <v>278.83</v>
      </c>
      <c r="G1043" s="1">
        <v>25000</v>
      </c>
      <c r="H1043" s="5">
        <f t="shared" si="19"/>
        <v>0</v>
      </c>
      <c r="I1043" s="1"/>
      <c r="J1043" s="1"/>
    </row>
    <row r="1044" spans="2:10" x14ac:dyDescent="0.2">
      <c r="B1044" s="1" t="s">
        <v>164</v>
      </c>
      <c r="C1044" s="32">
        <v>1476</v>
      </c>
      <c r="D1044" s="1">
        <v>30000</v>
      </c>
      <c r="E1044" s="1"/>
      <c r="F1044" s="1">
        <v>334.6</v>
      </c>
      <c r="G1044" s="1">
        <v>30000</v>
      </c>
      <c r="H1044" s="5">
        <f t="shared" si="19"/>
        <v>0</v>
      </c>
      <c r="I1044" s="1"/>
      <c r="J1044" s="1"/>
    </row>
    <row r="1045" spans="2:10" x14ac:dyDescent="0.2">
      <c r="B1045" s="1" t="s">
        <v>164</v>
      </c>
      <c r="C1045" s="32">
        <v>4729</v>
      </c>
      <c r="D1045" s="1">
        <v>30000</v>
      </c>
      <c r="E1045" s="1"/>
      <c r="F1045" s="1">
        <v>334.6</v>
      </c>
      <c r="G1045" s="1">
        <v>30000</v>
      </c>
      <c r="H1045" s="5">
        <f t="shared" si="19"/>
        <v>0</v>
      </c>
      <c r="I1045" s="1"/>
      <c r="J1045" s="1"/>
    </row>
    <row r="1046" spans="2:10" x14ac:dyDescent="0.2">
      <c r="B1046" s="1" t="s">
        <v>165</v>
      </c>
      <c r="C1046" s="32">
        <v>4204</v>
      </c>
      <c r="D1046" s="1">
        <v>14000</v>
      </c>
      <c r="E1046" s="1"/>
      <c r="F1046" s="1">
        <v>156.15</v>
      </c>
      <c r="G1046" s="1">
        <v>14000</v>
      </c>
      <c r="H1046" s="5">
        <f t="shared" si="19"/>
        <v>0</v>
      </c>
      <c r="I1046" s="1"/>
      <c r="J1046" s="1"/>
    </row>
    <row r="1047" spans="2:10" x14ac:dyDescent="0.2">
      <c r="B1047" s="1" t="s">
        <v>165</v>
      </c>
      <c r="C1047" s="32">
        <v>209</v>
      </c>
      <c r="D1047" s="1">
        <v>20000</v>
      </c>
      <c r="E1047" s="1"/>
      <c r="F1047" s="1">
        <v>223.06</v>
      </c>
      <c r="G1047" s="1">
        <v>20000</v>
      </c>
      <c r="H1047" s="5">
        <f t="shared" si="19"/>
        <v>0</v>
      </c>
      <c r="I1047" s="1"/>
      <c r="J1047" s="1"/>
    </row>
    <row r="1048" spans="2:10" x14ac:dyDescent="0.2">
      <c r="B1048" s="1" t="s">
        <v>165</v>
      </c>
      <c r="C1048" s="32">
        <v>4608</v>
      </c>
      <c r="D1048" s="1">
        <v>22000</v>
      </c>
      <c r="E1048" s="1"/>
      <c r="F1048" s="1">
        <v>245.37</v>
      </c>
      <c r="G1048" s="1">
        <v>22000</v>
      </c>
      <c r="H1048" s="5">
        <f t="shared" si="19"/>
        <v>0</v>
      </c>
      <c r="I1048" s="1"/>
      <c r="J1048" s="1"/>
    </row>
    <row r="1049" spans="2:10" x14ac:dyDescent="0.2">
      <c r="B1049" s="1" t="s">
        <v>165</v>
      </c>
      <c r="C1049" s="32">
        <v>7347</v>
      </c>
      <c r="D1049" s="1">
        <v>20000</v>
      </c>
      <c r="E1049" s="1"/>
      <c r="F1049" s="1">
        <v>223.06</v>
      </c>
      <c r="G1049" s="1">
        <v>20000</v>
      </c>
      <c r="H1049" s="5">
        <f t="shared" si="19"/>
        <v>0</v>
      </c>
      <c r="I1049" s="1"/>
      <c r="J1049" s="1"/>
    </row>
    <row r="1050" spans="2:10" x14ac:dyDescent="0.2">
      <c r="B1050" s="1" t="s">
        <v>165</v>
      </c>
      <c r="C1050" s="32">
        <v>9409</v>
      </c>
      <c r="D1050" s="1">
        <v>18000</v>
      </c>
      <c r="E1050" s="1"/>
      <c r="F1050" s="1">
        <v>191</v>
      </c>
      <c r="G1050" s="1">
        <v>18000</v>
      </c>
      <c r="H1050" s="5">
        <f t="shared" si="19"/>
        <v>0</v>
      </c>
      <c r="I1050" s="1"/>
      <c r="J1050" s="1"/>
    </row>
    <row r="1051" spans="2:10" x14ac:dyDescent="0.2">
      <c r="B1051" s="1" t="s">
        <v>165</v>
      </c>
      <c r="C1051" s="32">
        <v>65</v>
      </c>
      <c r="D1051" s="1">
        <v>5000</v>
      </c>
      <c r="E1051" s="1"/>
      <c r="F1051" s="1">
        <v>55.76</v>
      </c>
      <c r="G1051" s="1">
        <v>5000</v>
      </c>
      <c r="H1051" s="5">
        <f t="shared" si="19"/>
        <v>0</v>
      </c>
      <c r="I1051" s="1"/>
      <c r="J1051" s="1"/>
    </row>
    <row r="1052" spans="2:10" x14ac:dyDescent="0.2">
      <c r="B1052" s="1" t="s">
        <v>165</v>
      </c>
      <c r="C1052" s="32">
        <v>6461</v>
      </c>
      <c r="D1052" s="1">
        <v>30000</v>
      </c>
      <c r="E1052" s="1"/>
      <c r="F1052" s="1">
        <v>324.55</v>
      </c>
      <c r="G1052" s="1">
        <v>30000</v>
      </c>
      <c r="H1052" s="5">
        <f t="shared" si="19"/>
        <v>0</v>
      </c>
      <c r="I1052" s="1"/>
      <c r="J1052" s="1"/>
    </row>
    <row r="1053" spans="2:10" x14ac:dyDescent="0.2">
      <c r="B1053" s="1" t="s">
        <v>165</v>
      </c>
      <c r="C1053" s="32" t="s">
        <v>61</v>
      </c>
      <c r="D1053" s="1">
        <v>4500</v>
      </c>
      <c r="E1053" s="1"/>
      <c r="F1053" s="1">
        <v>50.14</v>
      </c>
      <c r="G1053" s="1">
        <v>4500</v>
      </c>
      <c r="H1053" s="5">
        <f t="shared" si="19"/>
        <v>0</v>
      </c>
      <c r="I1053" s="1"/>
      <c r="J1053" s="1"/>
    </row>
    <row r="1054" spans="2:10" x14ac:dyDescent="0.2">
      <c r="B1054" s="1" t="s">
        <v>165</v>
      </c>
      <c r="C1054" s="32">
        <v>1313</v>
      </c>
      <c r="D1054" s="1">
        <v>29000</v>
      </c>
      <c r="E1054" s="1"/>
      <c r="F1054" s="1">
        <v>312</v>
      </c>
      <c r="G1054" s="1">
        <v>29000</v>
      </c>
      <c r="H1054" s="5">
        <f t="shared" si="19"/>
        <v>0</v>
      </c>
      <c r="I1054" s="1"/>
      <c r="J1054" s="1"/>
    </row>
    <row r="1055" spans="2:10" x14ac:dyDescent="0.2">
      <c r="B1055" s="1" t="s">
        <v>165</v>
      </c>
      <c r="C1055" s="32">
        <v>4359</v>
      </c>
      <c r="D1055" s="1">
        <v>18000</v>
      </c>
      <c r="E1055" s="5"/>
      <c r="F1055" s="1">
        <v>165</v>
      </c>
      <c r="G1055" s="1">
        <v>18000</v>
      </c>
      <c r="H1055" s="5">
        <f t="shared" si="19"/>
        <v>0</v>
      </c>
      <c r="I1055" s="1"/>
      <c r="J1055" s="1"/>
    </row>
    <row r="1056" spans="2:10" x14ac:dyDescent="0.2">
      <c r="B1056" s="1" t="s">
        <v>168</v>
      </c>
      <c r="C1056" s="32" t="s">
        <v>66</v>
      </c>
      <c r="D1056" s="1">
        <v>200</v>
      </c>
      <c r="E1056" s="1"/>
      <c r="F1056" s="1"/>
      <c r="G1056" s="1">
        <v>200</v>
      </c>
      <c r="H1056" s="5">
        <f t="shared" si="19"/>
        <v>0</v>
      </c>
      <c r="I1056" s="1"/>
      <c r="J1056" s="1"/>
    </row>
    <row r="1057" spans="2:10" x14ac:dyDescent="0.2">
      <c r="B1057" s="1" t="s">
        <v>168</v>
      </c>
      <c r="C1057" s="32">
        <v>6581</v>
      </c>
      <c r="D1057" s="1">
        <v>14000</v>
      </c>
      <c r="E1057" s="1"/>
      <c r="F1057" s="1">
        <v>156.15</v>
      </c>
      <c r="G1057" s="1">
        <v>14000</v>
      </c>
      <c r="H1057" s="5">
        <f t="shared" si="19"/>
        <v>0</v>
      </c>
      <c r="I1057" s="1"/>
      <c r="J1057" s="1"/>
    </row>
    <row r="1058" spans="2:10" x14ac:dyDescent="0.2">
      <c r="B1058" s="1" t="s">
        <v>168</v>
      </c>
      <c r="C1058" s="32">
        <v>2328</v>
      </c>
      <c r="D1058" s="1">
        <v>20000</v>
      </c>
      <c r="E1058" s="1"/>
      <c r="F1058" s="1">
        <v>223.06</v>
      </c>
      <c r="G1058" s="1">
        <v>20000</v>
      </c>
      <c r="H1058" s="5">
        <f t="shared" si="19"/>
        <v>0</v>
      </c>
      <c r="I1058" s="1"/>
      <c r="J1058" s="1"/>
    </row>
    <row r="1059" spans="2:10" x14ac:dyDescent="0.2">
      <c r="B1059" s="1" t="s">
        <v>168</v>
      </c>
      <c r="C1059" s="32">
        <v>1767</v>
      </c>
      <c r="D1059" s="1">
        <v>30000</v>
      </c>
      <c r="E1059" s="1"/>
      <c r="F1059" s="1">
        <v>334.6</v>
      </c>
      <c r="G1059" s="1">
        <v>30000</v>
      </c>
      <c r="H1059" s="5">
        <f t="shared" si="19"/>
        <v>0</v>
      </c>
      <c r="I1059" s="1"/>
      <c r="J1059" s="1"/>
    </row>
    <row r="1060" spans="2:10" x14ac:dyDescent="0.2">
      <c r="B1060" s="1" t="s">
        <v>168</v>
      </c>
      <c r="C1060" s="32">
        <v>5028</v>
      </c>
      <c r="D1060" s="1">
        <v>30000</v>
      </c>
      <c r="E1060" s="1"/>
      <c r="F1060" s="1">
        <v>298.58999999999997</v>
      </c>
      <c r="G1060" s="1">
        <v>30000</v>
      </c>
      <c r="H1060" s="5">
        <f t="shared" si="19"/>
        <v>0</v>
      </c>
      <c r="I1060" s="1"/>
      <c r="J1060" s="1"/>
    </row>
    <row r="1061" spans="2:10" x14ac:dyDescent="0.2">
      <c r="B1061" s="1" t="s">
        <v>168</v>
      </c>
      <c r="C1061" s="32">
        <v>5601</v>
      </c>
      <c r="D1061" s="1">
        <v>24000</v>
      </c>
      <c r="E1061" s="1"/>
      <c r="F1061" s="1">
        <v>237</v>
      </c>
      <c r="G1061" s="1">
        <v>24000</v>
      </c>
      <c r="H1061" s="5">
        <f t="shared" si="19"/>
        <v>0</v>
      </c>
      <c r="I1061" s="1"/>
      <c r="J1061" s="1"/>
    </row>
    <row r="1062" spans="2:10" x14ac:dyDescent="0.2">
      <c r="B1062" s="1" t="s">
        <v>168</v>
      </c>
      <c r="C1062" s="32">
        <v>5821</v>
      </c>
      <c r="D1062" s="1">
        <v>18000</v>
      </c>
      <c r="E1062" s="1"/>
      <c r="F1062" s="1">
        <v>220.75</v>
      </c>
      <c r="G1062" s="1">
        <v>18000</v>
      </c>
      <c r="H1062" s="5">
        <f t="shared" si="19"/>
        <v>0</v>
      </c>
      <c r="I1062" s="1"/>
      <c r="J1062" s="1"/>
    </row>
    <row r="1063" spans="2:10" x14ac:dyDescent="0.2">
      <c r="B1063" s="1" t="s">
        <v>169</v>
      </c>
      <c r="C1063" s="32" t="s">
        <v>61</v>
      </c>
      <c r="D1063" s="1">
        <v>4500</v>
      </c>
      <c r="E1063" s="1"/>
      <c r="F1063" s="1">
        <v>50.19</v>
      </c>
      <c r="G1063" s="1">
        <v>4500</v>
      </c>
      <c r="H1063" s="5">
        <f t="shared" si="19"/>
        <v>0</v>
      </c>
      <c r="I1063" s="1"/>
      <c r="J1063" s="1"/>
    </row>
    <row r="1064" spans="2:10" x14ac:dyDescent="0.2">
      <c r="B1064" s="1" t="s">
        <v>169</v>
      </c>
      <c r="C1064" s="32" t="s">
        <v>61</v>
      </c>
      <c r="D1064" s="1">
        <v>5000</v>
      </c>
      <c r="E1064" s="1"/>
      <c r="F1064" s="1">
        <v>55.77</v>
      </c>
      <c r="G1064" s="1">
        <v>5000</v>
      </c>
      <c r="H1064" s="5">
        <f t="shared" si="19"/>
        <v>0</v>
      </c>
      <c r="I1064" s="1"/>
      <c r="J1064" s="1"/>
    </row>
    <row r="1065" spans="2:10" x14ac:dyDescent="0.2">
      <c r="B1065" s="1" t="s">
        <v>169</v>
      </c>
      <c r="C1065" s="32">
        <v>5172</v>
      </c>
      <c r="D1065" s="1">
        <v>30000</v>
      </c>
      <c r="E1065" s="1"/>
      <c r="F1065" s="1">
        <v>310.06</v>
      </c>
      <c r="G1065" s="1">
        <v>30000</v>
      </c>
      <c r="H1065" s="5">
        <f t="shared" si="19"/>
        <v>0</v>
      </c>
      <c r="I1065" s="1"/>
      <c r="J1065" s="1"/>
    </row>
    <row r="1066" spans="2:10" x14ac:dyDescent="0.2">
      <c r="B1066" s="1" t="s">
        <v>169</v>
      </c>
      <c r="C1066" s="32">
        <v>5490</v>
      </c>
      <c r="D1066" s="1">
        <v>25000</v>
      </c>
      <c r="E1066" s="1"/>
      <c r="F1066" s="1">
        <v>278.83</v>
      </c>
      <c r="G1066" s="1">
        <v>25000</v>
      </c>
      <c r="H1066" s="5">
        <f t="shared" si="19"/>
        <v>0</v>
      </c>
      <c r="I1066" s="1"/>
      <c r="J1066" s="1"/>
    </row>
    <row r="1067" spans="2:10" x14ac:dyDescent="0.2">
      <c r="B1067" s="1" t="s">
        <v>169</v>
      </c>
      <c r="C1067" s="32">
        <v>8989</v>
      </c>
      <c r="D1067" s="1">
        <v>25000</v>
      </c>
      <c r="E1067" s="1"/>
      <c r="F1067" s="1">
        <v>278.83</v>
      </c>
      <c r="G1067" s="1">
        <v>25000</v>
      </c>
      <c r="H1067" s="5">
        <f t="shared" si="19"/>
        <v>0</v>
      </c>
      <c r="I1067" s="1"/>
      <c r="J1067" s="1"/>
    </row>
    <row r="1068" spans="2:10" x14ac:dyDescent="0.2">
      <c r="B1068" s="1" t="s">
        <v>169</v>
      </c>
      <c r="C1068" s="32">
        <v>7351</v>
      </c>
      <c r="D1068" s="1">
        <v>24000</v>
      </c>
      <c r="E1068" s="1"/>
      <c r="F1068" s="1">
        <v>267.68</v>
      </c>
      <c r="G1068" s="1">
        <v>24000</v>
      </c>
      <c r="H1068" s="5">
        <f t="shared" si="19"/>
        <v>0</v>
      </c>
      <c r="I1068" s="1"/>
      <c r="J1068" s="1"/>
    </row>
    <row r="1069" spans="2:10" x14ac:dyDescent="0.2">
      <c r="B1069" s="1" t="s">
        <v>169</v>
      </c>
      <c r="C1069" s="32">
        <v>3828</v>
      </c>
      <c r="D1069" s="1">
        <v>20000</v>
      </c>
      <c r="E1069" s="1"/>
      <c r="F1069" s="1">
        <v>223.06</v>
      </c>
      <c r="G1069" s="1">
        <v>20000</v>
      </c>
      <c r="H1069" s="5">
        <f t="shared" si="19"/>
        <v>0</v>
      </c>
      <c r="I1069" s="1"/>
      <c r="J1069" s="1"/>
    </row>
    <row r="1070" spans="2:10" x14ac:dyDescent="0.2">
      <c r="B1070" s="1" t="s">
        <v>169</v>
      </c>
      <c r="C1070" s="32">
        <v>9155</v>
      </c>
      <c r="D1070" s="1">
        <v>12000</v>
      </c>
      <c r="E1070" s="1"/>
      <c r="F1070" s="1">
        <v>150.57</v>
      </c>
      <c r="G1070" s="1">
        <v>12000</v>
      </c>
      <c r="H1070" s="5">
        <f t="shared" si="19"/>
        <v>0</v>
      </c>
      <c r="I1070" s="1"/>
      <c r="J1070" s="1"/>
    </row>
    <row r="1071" spans="2:10" x14ac:dyDescent="0.2">
      <c r="B1071" s="1" t="s">
        <v>169</v>
      </c>
      <c r="C1071" s="32">
        <v>9539</v>
      </c>
      <c r="D1071" s="1">
        <v>3000</v>
      </c>
      <c r="E1071" s="1"/>
      <c r="F1071" s="1">
        <v>33.46</v>
      </c>
      <c r="G1071" s="1">
        <v>3000</v>
      </c>
      <c r="H1071" s="5">
        <f t="shared" si="19"/>
        <v>0</v>
      </c>
      <c r="I1071" s="1"/>
      <c r="J1071" s="1"/>
    </row>
    <row r="1072" spans="2:10" x14ac:dyDescent="0.2">
      <c r="B1072" s="1" t="s">
        <v>170</v>
      </c>
      <c r="C1072" s="32">
        <v>2216</v>
      </c>
      <c r="D1072" s="1">
        <v>30000</v>
      </c>
      <c r="E1072" s="1"/>
      <c r="F1072" s="1">
        <v>334.6</v>
      </c>
      <c r="G1072" s="1">
        <v>30000</v>
      </c>
      <c r="H1072" s="5">
        <f t="shared" si="19"/>
        <v>0</v>
      </c>
      <c r="I1072" s="1"/>
      <c r="J1072" s="1"/>
    </row>
    <row r="1073" spans="2:10" x14ac:dyDescent="0.2">
      <c r="B1073" s="1" t="s">
        <v>170</v>
      </c>
      <c r="C1073" s="32">
        <v>5993</v>
      </c>
      <c r="D1073" s="1">
        <v>35000</v>
      </c>
      <c r="E1073" s="1"/>
      <c r="F1073" s="1">
        <v>390.36</v>
      </c>
      <c r="G1073" s="1">
        <v>35000</v>
      </c>
      <c r="H1073" s="5">
        <f t="shared" si="19"/>
        <v>0</v>
      </c>
      <c r="I1073" s="1"/>
      <c r="J1073" s="1"/>
    </row>
    <row r="1074" spans="2:10" x14ac:dyDescent="0.2">
      <c r="B1074" s="1" t="s">
        <v>170</v>
      </c>
      <c r="C1074" s="32" t="s">
        <v>61</v>
      </c>
      <c r="D1074" s="1">
        <v>4500</v>
      </c>
      <c r="E1074" s="1"/>
      <c r="F1074" s="1">
        <v>50.14</v>
      </c>
      <c r="G1074" s="1">
        <v>4500</v>
      </c>
      <c r="H1074" s="5">
        <f t="shared" si="19"/>
        <v>0</v>
      </c>
      <c r="I1074" s="1"/>
      <c r="J1074" s="1"/>
    </row>
    <row r="1075" spans="2:10" x14ac:dyDescent="0.2">
      <c r="B1075" s="1" t="s">
        <v>171</v>
      </c>
      <c r="C1075" s="32">
        <v>6533</v>
      </c>
      <c r="D1075" s="1">
        <v>10000</v>
      </c>
      <c r="E1075" s="1"/>
      <c r="F1075" s="1">
        <v>111.53</v>
      </c>
      <c r="G1075" s="1">
        <v>10000</v>
      </c>
      <c r="H1075" s="5">
        <f t="shared" si="19"/>
        <v>0</v>
      </c>
      <c r="I1075" s="1"/>
      <c r="J1075" s="1"/>
    </row>
    <row r="1076" spans="2:10" x14ac:dyDescent="0.2">
      <c r="B1076" s="1" t="s">
        <v>171</v>
      </c>
      <c r="C1076" s="32">
        <v>7451</v>
      </c>
      <c r="D1076" s="1">
        <v>10000</v>
      </c>
      <c r="E1076" s="1"/>
      <c r="F1076" s="1">
        <v>111.53</v>
      </c>
      <c r="G1076" s="1">
        <v>10000</v>
      </c>
      <c r="H1076" s="5">
        <f t="shared" si="19"/>
        <v>0</v>
      </c>
      <c r="I1076" s="1"/>
      <c r="J1076" s="1"/>
    </row>
    <row r="1077" spans="2:10" x14ac:dyDescent="0.2">
      <c r="B1077" s="1" t="s">
        <v>171</v>
      </c>
      <c r="C1077" s="32" t="s">
        <v>66</v>
      </c>
      <c r="D1077" s="1">
        <v>300</v>
      </c>
      <c r="E1077" s="1"/>
      <c r="F1077" s="1"/>
      <c r="G1077" s="1">
        <v>300</v>
      </c>
      <c r="H1077" s="5">
        <f t="shared" si="19"/>
        <v>0</v>
      </c>
      <c r="I1077" s="1"/>
      <c r="J1077" s="1"/>
    </row>
    <row r="1078" spans="2:10" x14ac:dyDescent="0.2">
      <c r="B1078" s="1" t="s">
        <v>171</v>
      </c>
      <c r="C1078" s="32">
        <v>4936</v>
      </c>
      <c r="D1078" s="1">
        <v>15000</v>
      </c>
      <c r="E1078" s="1"/>
      <c r="F1078" s="1">
        <v>167.3</v>
      </c>
      <c r="G1078" s="1">
        <v>15000</v>
      </c>
      <c r="H1078" s="5">
        <f t="shared" ref="H1078:H1141" si="20">D1078-G1078</f>
        <v>0</v>
      </c>
      <c r="I1078" s="1"/>
      <c r="J1078" s="1"/>
    </row>
    <row r="1079" spans="2:10" x14ac:dyDescent="0.2">
      <c r="B1079" s="1" t="s">
        <v>171</v>
      </c>
      <c r="C1079" s="32">
        <v>3124</v>
      </c>
      <c r="D1079" s="1">
        <v>25000</v>
      </c>
      <c r="E1079" s="1"/>
      <c r="F1079" s="1">
        <v>278.87</v>
      </c>
      <c r="G1079" s="1">
        <v>25000</v>
      </c>
      <c r="H1079" s="5">
        <f t="shared" si="20"/>
        <v>0</v>
      </c>
      <c r="I1079" s="1"/>
      <c r="J1079" s="1"/>
    </row>
    <row r="1080" spans="2:10" x14ac:dyDescent="0.2">
      <c r="B1080" s="1" t="s">
        <v>171</v>
      </c>
      <c r="C1080" s="32">
        <v>65</v>
      </c>
      <c r="D1080" s="1">
        <v>5000</v>
      </c>
      <c r="E1080" s="1"/>
      <c r="F1080" s="1">
        <v>55.77</v>
      </c>
      <c r="G1080" s="1">
        <v>5000</v>
      </c>
      <c r="H1080" s="5">
        <f t="shared" si="20"/>
        <v>0</v>
      </c>
      <c r="I1080" s="1"/>
      <c r="J1080" s="1"/>
    </row>
    <row r="1081" spans="2:10" x14ac:dyDescent="0.2">
      <c r="B1081" s="1" t="s">
        <v>171</v>
      </c>
      <c r="C1081" s="32" t="s">
        <v>61</v>
      </c>
      <c r="D1081" s="1">
        <v>5000</v>
      </c>
      <c r="E1081" s="1"/>
      <c r="F1081" s="1">
        <v>55.77</v>
      </c>
      <c r="G1081" s="1">
        <v>5000</v>
      </c>
      <c r="H1081" s="5">
        <f t="shared" si="20"/>
        <v>0</v>
      </c>
      <c r="I1081" s="1"/>
      <c r="J1081" s="1"/>
    </row>
    <row r="1082" spans="2:10" x14ac:dyDescent="0.2">
      <c r="B1082" s="1" t="s">
        <v>171</v>
      </c>
      <c r="C1082" s="32" t="s">
        <v>61</v>
      </c>
      <c r="D1082" s="1">
        <v>4500</v>
      </c>
      <c r="E1082" s="1"/>
      <c r="F1082" s="1">
        <v>50.14</v>
      </c>
      <c r="G1082" s="1">
        <v>4500</v>
      </c>
      <c r="H1082" s="5">
        <f t="shared" si="20"/>
        <v>0</v>
      </c>
      <c r="I1082" s="1"/>
      <c r="J1082" s="1"/>
    </row>
    <row r="1083" spans="2:10" x14ac:dyDescent="0.2">
      <c r="B1083" s="1" t="s">
        <v>171</v>
      </c>
      <c r="C1083" s="32">
        <v>4311</v>
      </c>
      <c r="D1083" s="1">
        <v>20000</v>
      </c>
      <c r="E1083" s="1"/>
      <c r="F1083" s="1">
        <v>223.06</v>
      </c>
      <c r="G1083" s="1">
        <v>20000</v>
      </c>
      <c r="H1083" s="5">
        <f t="shared" si="20"/>
        <v>0</v>
      </c>
      <c r="I1083" s="1"/>
      <c r="J1083" s="1"/>
    </row>
    <row r="1084" spans="2:10" x14ac:dyDescent="0.2">
      <c r="B1084" s="1" t="s">
        <v>171</v>
      </c>
      <c r="C1084" s="32">
        <v>2085</v>
      </c>
      <c r="D1084" s="1">
        <v>27000</v>
      </c>
      <c r="E1084" s="1"/>
      <c r="F1084" s="1">
        <v>274</v>
      </c>
      <c r="G1084" s="1">
        <v>27000</v>
      </c>
      <c r="H1084" s="5">
        <f t="shared" si="20"/>
        <v>0</v>
      </c>
      <c r="I1084" s="1"/>
      <c r="J1084" s="1"/>
    </row>
    <row r="1085" spans="2:10" x14ac:dyDescent="0.2">
      <c r="B1085" s="1" t="s">
        <v>171</v>
      </c>
      <c r="C1085" s="32">
        <v>8562</v>
      </c>
      <c r="D1085" s="1">
        <v>26000</v>
      </c>
      <c r="E1085" s="1"/>
      <c r="F1085" s="1">
        <v>285.27999999999997</v>
      </c>
      <c r="G1085" s="1">
        <v>26000</v>
      </c>
      <c r="H1085" s="5">
        <f t="shared" si="20"/>
        <v>0</v>
      </c>
      <c r="I1085" s="1"/>
      <c r="J1085" s="1"/>
    </row>
    <row r="1086" spans="2:10" x14ac:dyDescent="0.2">
      <c r="B1086" s="1" t="s">
        <v>171</v>
      </c>
      <c r="C1086" s="32">
        <v>3366</v>
      </c>
      <c r="D1086" s="1">
        <v>16467</v>
      </c>
      <c r="E1086" s="1"/>
      <c r="F1086" s="1">
        <v>183.67</v>
      </c>
      <c r="G1086" s="1">
        <v>16467</v>
      </c>
      <c r="H1086" s="5">
        <f t="shared" si="20"/>
        <v>0</v>
      </c>
      <c r="I1086" s="1"/>
      <c r="J1086" s="1"/>
    </row>
    <row r="1087" spans="2:10" x14ac:dyDescent="0.2">
      <c r="B1087" s="1" t="s">
        <v>174</v>
      </c>
      <c r="C1087" s="32" t="s">
        <v>63</v>
      </c>
      <c r="D1087" s="1">
        <v>3500</v>
      </c>
      <c r="E1087" s="1"/>
      <c r="F1087" s="1">
        <v>39.04</v>
      </c>
      <c r="G1087" s="1">
        <v>3500</v>
      </c>
      <c r="H1087" s="5">
        <f t="shared" si="20"/>
        <v>0</v>
      </c>
      <c r="I1087" s="1"/>
      <c r="J1087" s="1"/>
    </row>
    <row r="1088" spans="2:10" x14ac:dyDescent="0.2">
      <c r="B1088" s="1" t="s">
        <v>174</v>
      </c>
      <c r="C1088" s="32">
        <v>2445</v>
      </c>
      <c r="D1088" s="1">
        <v>48865</v>
      </c>
      <c r="E1088" s="1"/>
      <c r="F1088" s="1">
        <v>545.01</v>
      </c>
      <c r="G1088" s="1">
        <v>48865</v>
      </c>
      <c r="H1088" s="5">
        <f t="shared" si="20"/>
        <v>0</v>
      </c>
      <c r="I1088" s="1"/>
      <c r="J1088" s="1"/>
    </row>
    <row r="1089" spans="2:10" x14ac:dyDescent="0.2">
      <c r="B1089" s="1" t="s">
        <v>174</v>
      </c>
      <c r="C1089" s="32">
        <v>6878</v>
      </c>
      <c r="D1089" s="1">
        <v>20000</v>
      </c>
      <c r="E1089" s="1"/>
      <c r="F1089" s="1">
        <v>223.06</v>
      </c>
      <c r="G1089" s="1">
        <v>20000</v>
      </c>
      <c r="H1089" s="5">
        <f t="shared" si="20"/>
        <v>0</v>
      </c>
      <c r="I1089" s="1"/>
      <c r="J1089" s="1"/>
    </row>
    <row r="1090" spans="2:10" x14ac:dyDescent="0.2">
      <c r="B1090" s="1" t="s">
        <v>174</v>
      </c>
      <c r="C1090" s="32">
        <v>7247</v>
      </c>
      <c r="D1090" s="1">
        <v>22000</v>
      </c>
      <c r="E1090" s="1"/>
      <c r="F1090" s="1">
        <v>239.8</v>
      </c>
      <c r="G1090" s="1">
        <v>22000</v>
      </c>
      <c r="H1090" s="5">
        <f t="shared" si="20"/>
        <v>0</v>
      </c>
      <c r="I1090" s="1"/>
      <c r="J1090" s="1"/>
    </row>
    <row r="1091" spans="2:10" x14ac:dyDescent="0.2">
      <c r="B1091" s="1" t="s">
        <v>174</v>
      </c>
      <c r="C1091" s="32">
        <v>3501</v>
      </c>
      <c r="D1091" s="1">
        <v>24000</v>
      </c>
      <c r="E1091" s="1"/>
      <c r="F1091" s="1">
        <v>267.68</v>
      </c>
      <c r="G1091" s="1">
        <v>24000</v>
      </c>
      <c r="H1091" s="5">
        <f t="shared" si="20"/>
        <v>0</v>
      </c>
      <c r="I1091" s="1"/>
      <c r="J1091" s="1"/>
    </row>
    <row r="1092" spans="2:10" x14ac:dyDescent="0.2">
      <c r="B1092" s="1" t="s">
        <v>174</v>
      </c>
      <c r="C1092" s="32">
        <v>9905</v>
      </c>
      <c r="D1092" s="1">
        <v>18000</v>
      </c>
      <c r="E1092" s="1"/>
      <c r="F1092" s="1">
        <v>200.76</v>
      </c>
      <c r="G1092" s="1">
        <v>18000</v>
      </c>
      <c r="H1092" s="5">
        <f t="shared" si="20"/>
        <v>0</v>
      </c>
      <c r="I1092" s="1"/>
      <c r="J1092" s="1"/>
    </row>
    <row r="1093" spans="2:10" x14ac:dyDescent="0.2">
      <c r="B1093" s="1" t="s">
        <v>174</v>
      </c>
      <c r="C1093" s="32">
        <v>6556</v>
      </c>
      <c r="D1093" s="1">
        <v>20000</v>
      </c>
      <c r="E1093" s="1"/>
      <c r="F1093" s="1">
        <v>223.06</v>
      </c>
      <c r="G1093" s="1">
        <v>20000</v>
      </c>
      <c r="H1093" s="5">
        <f t="shared" si="20"/>
        <v>0</v>
      </c>
      <c r="I1093" s="1"/>
      <c r="J1093" s="1"/>
    </row>
    <row r="1094" spans="2:10" x14ac:dyDescent="0.2">
      <c r="B1094" s="1" t="s">
        <v>194</v>
      </c>
      <c r="C1094" s="32">
        <v>3107</v>
      </c>
      <c r="D1094" s="1">
        <v>15000</v>
      </c>
      <c r="E1094" s="1"/>
      <c r="F1094" s="1">
        <v>167.3</v>
      </c>
      <c r="G1094" s="1">
        <v>15000</v>
      </c>
      <c r="H1094" s="5">
        <f t="shared" si="20"/>
        <v>0</v>
      </c>
      <c r="I1094" s="1"/>
      <c r="J1094" s="1"/>
    </row>
    <row r="1095" spans="2:10" x14ac:dyDescent="0.2">
      <c r="B1095" s="1" t="s">
        <v>194</v>
      </c>
      <c r="C1095" s="32">
        <v>3603</v>
      </c>
      <c r="D1095" s="1">
        <v>30000</v>
      </c>
      <c r="E1095" s="1"/>
      <c r="F1095" s="1">
        <v>324.56</v>
      </c>
      <c r="G1095" s="1">
        <v>30000</v>
      </c>
      <c r="H1095" s="5">
        <f t="shared" si="20"/>
        <v>0</v>
      </c>
      <c r="I1095" s="1"/>
      <c r="J1095" s="1"/>
    </row>
    <row r="1096" spans="2:10" x14ac:dyDescent="0.2">
      <c r="B1096" s="1" t="s">
        <v>194</v>
      </c>
      <c r="C1096" s="32">
        <v>8434</v>
      </c>
      <c r="D1096" s="1">
        <v>27000</v>
      </c>
      <c r="E1096" s="1"/>
      <c r="F1096" s="1">
        <v>267.68</v>
      </c>
      <c r="G1096" s="1">
        <v>27000</v>
      </c>
      <c r="H1096" s="5">
        <f t="shared" si="20"/>
        <v>0</v>
      </c>
      <c r="I1096" s="1"/>
      <c r="J1096" s="1"/>
    </row>
    <row r="1097" spans="2:10" x14ac:dyDescent="0.2">
      <c r="B1097" s="1" t="s">
        <v>194</v>
      </c>
      <c r="C1097" s="32">
        <v>2117</v>
      </c>
      <c r="D1097" s="1">
        <v>17000</v>
      </c>
      <c r="E1097" s="1"/>
      <c r="F1097" s="1">
        <v>188.19</v>
      </c>
      <c r="G1097" s="1">
        <v>17000</v>
      </c>
      <c r="H1097" s="5">
        <f t="shared" si="20"/>
        <v>0</v>
      </c>
      <c r="I1097" s="1"/>
      <c r="J1097" s="1"/>
    </row>
    <row r="1098" spans="2:10" x14ac:dyDescent="0.2">
      <c r="B1098" s="1" t="s">
        <v>195</v>
      </c>
      <c r="C1098" s="32">
        <v>7669</v>
      </c>
      <c r="D1098" s="1">
        <v>27000</v>
      </c>
      <c r="E1098" s="1"/>
      <c r="F1098" s="1">
        <v>267.68</v>
      </c>
      <c r="G1098" s="1">
        <v>27000</v>
      </c>
      <c r="H1098" s="5">
        <f t="shared" si="20"/>
        <v>0</v>
      </c>
      <c r="I1098" s="1"/>
      <c r="J1098" s="1"/>
    </row>
    <row r="1099" spans="2:10" x14ac:dyDescent="0.2">
      <c r="B1099" s="1" t="s">
        <v>195</v>
      </c>
      <c r="C1099" s="32" t="s">
        <v>61</v>
      </c>
      <c r="D1099" s="1">
        <v>3500</v>
      </c>
      <c r="E1099" s="1"/>
      <c r="F1099" s="1">
        <v>39.04</v>
      </c>
      <c r="G1099" s="1">
        <v>3500</v>
      </c>
      <c r="H1099" s="5">
        <f t="shared" si="20"/>
        <v>0</v>
      </c>
      <c r="I1099" s="1"/>
      <c r="J1099" s="1"/>
    </row>
    <row r="1100" spans="2:10" x14ac:dyDescent="0.2">
      <c r="B1100" s="1" t="s">
        <v>195</v>
      </c>
      <c r="C1100" s="32" t="s">
        <v>61</v>
      </c>
      <c r="D1100" s="1">
        <v>4500</v>
      </c>
      <c r="E1100" s="1"/>
      <c r="F1100" s="1">
        <v>50.14</v>
      </c>
      <c r="G1100" s="1">
        <v>4500</v>
      </c>
      <c r="H1100" s="5">
        <f t="shared" si="20"/>
        <v>0</v>
      </c>
      <c r="I1100" s="1"/>
      <c r="J1100" s="1"/>
    </row>
    <row r="1101" spans="2:10" x14ac:dyDescent="0.2">
      <c r="B1101" s="1" t="s">
        <v>195</v>
      </c>
      <c r="C1101" s="32">
        <v>1416</v>
      </c>
      <c r="D1101" s="1">
        <v>20000</v>
      </c>
      <c r="E1101" s="1"/>
      <c r="F1101" s="1">
        <v>188.19</v>
      </c>
      <c r="G1101" s="1">
        <v>20000</v>
      </c>
      <c r="H1101" s="5">
        <f t="shared" si="20"/>
        <v>0</v>
      </c>
      <c r="I1101" s="1"/>
      <c r="J1101" s="1"/>
    </row>
    <row r="1102" spans="2:10" x14ac:dyDescent="0.2">
      <c r="B1102" s="1" t="s">
        <v>195</v>
      </c>
      <c r="C1102" s="32">
        <v>8030</v>
      </c>
      <c r="D1102" s="1">
        <v>27000</v>
      </c>
      <c r="E1102" s="1"/>
      <c r="F1102" s="1">
        <v>301.14</v>
      </c>
      <c r="G1102" s="1">
        <v>27000</v>
      </c>
      <c r="H1102" s="5">
        <f t="shared" si="20"/>
        <v>0</v>
      </c>
      <c r="I1102" s="1"/>
      <c r="J1102" s="1"/>
    </row>
    <row r="1103" spans="2:10" x14ac:dyDescent="0.2">
      <c r="B1103" s="1" t="s">
        <v>195</v>
      </c>
      <c r="C1103" s="32">
        <v>8112</v>
      </c>
      <c r="D1103" s="1">
        <v>27000</v>
      </c>
      <c r="E1103" s="1"/>
      <c r="F1103" s="1">
        <v>301.14</v>
      </c>
      <c r="G1103" s="1">
        <v>27000</v>
      </c>
      <c r="H1103" s="5">
        <f t="shared" si="20"/>
        <v>0</v>
      </c>
      <c r="I1103" s="1"/>
      <c r="J1103" s="1"/>
    </row>
    <row r="1104" spans="2:10" x14ac:dyDescent="0.2">
      <c r="B1104" s="1" t="s">
        <v>195</v>
      </c>
      <c r="C1104" s="32">
        <v>2756</v>
      </c>
      <c r="D1104" s="1">
        <v>15000</v>
      </c>
      <c r="E1104" s="1"/>
      <c r="F1104" s="1">
        <v>181.27</v>
      </c>
      <c r="G1104" s="1">
        <v>15000</v>
      </c>
      <c r="H1104" s="5">
        <f t="shared" si="20"/>
        <v>0</v>
      </c>
      <c r="I1104" s="1"/>
      <c r="J1104" s="1"/>
    </row>
    <row r="1105" spans="2:10" x14ac:dyDescent="0.2">
      <c r="B1105" s="1" t="s">
        <v>195</v>
      </c>
      <c r="C1105" s="32">
        <v>7307</v>
      </c>
      <c r="D1105" s="1">
        <v>22000</v>
      </c>
      <c r="E1105" s="1"/>
      <c r="F1105" s="1">
        <v>245.37</v>
      </c>
      <c r="G1105" s="1">
        <v>22000</v>
      </c>
      <c r="H1105" s="5">
        <f t="shared" si="20"/>
        <v>0</v>
      </c>
      <c r="I1105" s="1"/>
      <c r="J1105" s="1"/>
    </row>
    <row r="1106" spans="2:10" x14ac:dyDescent="0.2">
      <c r="B1106" s="1" t="s">
        <v>195</v>
      </c>
      <c r="C1106" s="32">
        <v>8760</v>
      </c>
      <c r="D1106" s="1">
        <v>23000</v>
      </c>
      <c r="E1106" s="1"/>
      <c r="F1106" s="1">
        <v>256.52</v>
      </c>
      <c r="G1106" s="1">
        <v>23000</v>
      </c>
      <c r="H1106" s="5">
        <f t="shared" si="20"/>
        <v>0</v>
      </c>
      <c r="I1106" s="1"/>
      <c r="J1106" s="1"/>
    </row>
    <row r="1107" spans="2:10" x14ac:dyDescent="0.2">
      <c r="B1107" s="1" t="s">
        <v>195</v>
      </c>
      <c r="C1107" s="32">
        <v>9954</v>
      </c>
      <c r="D1107" s="1">
        <v>34000</v>
      </c>
      <c r="E1107" s="1"/>
      <c r="F1107" s="1">
        <v>361.93</v>
      </c>
      <c r="G1107" s="1">
        <v>34000</v>
      </c>
      <c r="H1107" s="5">
        <f t="shared" si="20"/>
        <v>0</v>
      </c>
      <c r="I1107" s="1"/>
      <c r="J1107" s="1"/>
    </row>
    <row r="1108" spans="2:10" x14ac:dyDescent="0.2">
      <c r="B1108" s="1" t="s">
        <v>195</v>
      </c>
      <c r="C1108" s="32">
        <v>3738</v>
      </c>
      <c r="D1108" s="1">
        <v>28000</v>
      </c>
      <c r="E1108" s="1"/>
      <c r="F1108" s="1">
        <v>319.93</v>
      </c>
      <c r="G1108" s="1">
        <v>28000</v>
      </c>
      <c r="H1108" s="5">
        <f t="shared" si="20"/>
        <v>0</v>
      </c>
      <c r="I1108" s="1"/>
      <c r="J1108" s="1"/>
    </row>
    <row r="1109" spans="2:10" x14ac:dyDescent="0.2">
      <c r="B1109" s="1" t="s">
        <v>195</v>
      </c>
      <c r="C1109" s="32">
        <v>8250</v>
      </c>
      <c r="D1109" s="1">
        <v>13000</v>
      </c>
      <c r="E1109" s="1"/>
      <c r="F1109" s="1">
        <v>156</v>
      </c>
      <c r="G1109" s="1">
        <v>13000</v>
      </c>
      <c r="H1109" s="5">
        <f t="shared" si="20"/>
        <v>0</v>
      </c>
      <c r="I1109" s="1"/>
      <c r="J1109" s="1"/>
    </row>
    <row r="1110" spans="2:10" x14ac:dyDescent="0.2">
      <c r="B1110" s="1" t="s">
        <v>196</v>
      </c>
      <c r="C1110" s="32">
        <v>7109</v>
      </c>
      <c r="D1110" s="1">
        <v>4731</v>
      </c>
      <c r="E1110" s="1"/>
      <c r="F1110" s="1">
        <v>52.77</v>
      </c>
      <c r="G1110" s="1">
        <v>4731</v>
      </c>
      <c r="H1110" s="5">
        <f t="shared" si="20"/>
        <v>0</v>
      </c>
      <c r="I1110" s="1"/>
      <c r="J1110" s="1"/>
    </row>
    <row r="1111" spans="2:10" x14ac:dyDescent="0.2">
      <c r="B1111" s="1" t="s">
        <v>196</v>
      </c>
      <c r="C1111" s="32" t="s">
        <v>61</v>
      </c>
      <c r="D1111" s="1">
        <v>5000</v>
      </c>
      <c r="E1111" s="1"/>
      <c r="F1111" s="1">
        <v>55.77</v>
      </c>
      <c r="G1111" s="1">
        <v>5000</v>
      </c>
      <c r="H1111" s="5">
        <f t="shared" si="20"/>
        <v>0</v>
      </c>
      <c r="I1111" s="1"/>
      <c r="J1111" s="1"/>
    </row>
    <row r="1112" spans="2:10" x14ac:dyDescent="0.2">
      <c r="B1112" s="1" t="s">
        <v>196</v>
      </c>
      <c r="C1112" s="32">
        <v>65</v>
      </c>
      <c r="D1112" s="1">
        <v>5000</v>
      </c>
      <c r="E1112" s="1"/>
      <c r="F1112" s="1">
        <v>55.77</v>
      </c>
      <c r="G1112" s="1">
        <v>5000</v>
      </c>
      <c r="H1112" s="5">
        <f t="shared" si="20"/>
        <v>0</v>
      </c>
      <c r="I1112" s="1"/>
      <c r="J1112" s="1"/>
    </row>
    <row r="1113" spans="2:10" x14ac:dyDescent="0.2">
      <c r="B1113" s="1" t="s">
        <v>196</v>
      </c>
      <c r="C1113" s="32">
        <v>2523</v>
      </c>
      <c r="D1113" s="1">
        <v>12000</v>
      </c>
      <c r="E1113" s="1"/>
      <c r="F1113" s="1">
        <v>133.84</v>
      </c>
      <c r="G1113" s="1">
        <v>12000</v>
      </c>
      <c r="H1113" s="5">
        <f t="shared" si="20"/>
        <v>0</v>
      </c>
      <c r="I1113" s="1"/>
      <c r="J1113" s="1"/>
    </row>
    <row r="1114" spans="2:10" x14ac:dyDescent="0.2">
      <c r="B1114" s="1" t="s">
        <v>196</v>
      </c>
      <c r="C1114" s="32">
        <v>8813</v>
      </c>
      <c r="D1114" s="1">
        <v>26000</v>
      </c>
      <c r="E1114" s="1"/>
      <c r="F1114" s="1">
        <v>245.37</v>
      </c>
      <c r="G1114" s="1">
        <v>26000</v>
      </c>
      <c r="H1114" s="5">
        <f t="shared" si="20"/>
        <v>0</v>
      </c>
      <c r="I1114" s="1"/>
      <c r="J1114" s="1"/>
    </row>
    <row r="1115" spans="2:10" x14ac:dyDescent="0.2">
      <c r="B1115" s="1" t="s">
        <v>196</v>
      </c>
      <c r="C1115" s="32">
        <v>9998</v>
      </c>
      <c r="D1115" s="1">
        <v>18000</v>
      </c>
      <c r="E1115" s="1"/>
      <c r="F1115" s="1">
        <v>179</v>
      </c>
      <c r="G1115" s="1">
        <v>18000</v>
      </c>
      <c r="H1115" s="5">
        <f t="shared" si="20"/>
        <v>0</v>
      </c>
      <c r="I1115" s="1"/>
      <c r="J1115" s="1"/>
    </row>
    <row r="1116" spans="2:10" x14ac:dyDescent="0.2">
      <c r="B1116" s="1" t="s">
        <v>197</v>
      </c>
      <c r="C1116" s="32" t="s">
        <v>61</v>
      </c>
      <c r="D1116" s="1">
        <v>4500</v>
      </c>
      <c r="E1116" s="1"/>
      <c r="F1116" s="1">
        <v>50.19</v>
      </c>
      <c r="G1116" s="1">
        <v>4500</v>
      </c>
      <c r="H1116" s="5">
        <f t="shared" si="20"/>
        <v>0</v>
      </c>
      <c r="I1116" s="1"/>
      <c r="J1116" s="1"/>
    </row>
    <row r="1117" spans="2:10" x14ac:dyDescent="0.2">
      <c r="B1117" s="1" t="s">
        <v>197</v>
      </c>
      <c r="C1117" s="32">
        <v>5686</v>
      </c>
      <c r="D1117" s="1">
        <v>19000</v>
      </c>
      <c r="E1117" s="1"/>
      <c r="F1117" s="1">
        <v>209.13</v>
      </c>
      <c r="G1117" s="1">
        <v>19000</v>
      </c>
      <c r="H1117" s="5">
        <f t="shared" si="20"/>
        <v>0</v>
      </c>
      <c r="I1117" s="1"/>
      <c r="J1117" s="1"/>
    </row>
    <row r="1118" spans="2:10" x14ac:dyDescent="0.2">
      <c r="B1118" s="1" t="s">
        <v>197</v>
      </c>
      <c r="C1118" s="32">
        <v>3042</v>
      </c>
      <c r="D1118" s="1">
        <v>15000</v>
      </c>
      <c r="E1118" s="1"/>
      <c r="F1118" s="1">
        <v>167.3</v>
      </c>
      <c r="G1118" s="1">
        <v>15000</v>
      </c>
      <c r="H1118" s="5">
        <f t="shared" si="20"/>
        <v>0</v>
      </c>
      <c r="I1118" s="1"/>
      <c r="J1118" s="1"/>
    </row>
    <row r="1119" spans="2:10" x14ac:dyDescent="0.2">
      <c r="B1119" s="1" t="s">
        <v>197</v>
      </c>
      <c r="C1119" s="32">
        <v>2542</v>
      </c>
      <c r="D1119" s="1">
        <v>30000</v>
      </c>
      <c r="E1119" s="1"/>
      <c r="F1119" s="1">
        <v>341.39</v>
      </c>
      <c r="G1119" s="1">
        <v>30000</v>
      </c>
      <c r="H1119" s="5">
        <f t="shared" si="20"/>
        <v>0</v>
      </c>
      <c r="I1119" s="1"/>
      <c r="J1119" s="1"/>
    </row>
    <row r="1120" spans="2:10" x14ac:dyDescent="0.2">
      <c r="B1120" s="1" t="s">
        <v>197</v>
      </c>
      <c r="C1120" s="32">
        <v>2545</v>
      </c>
      <c r="D1120" s="1">
        <v>15000</v>
      </c>
      <c r="E1120" s="1"/>
      <c r="F1120" s="1">
        <v>133.83000000000001</v>
      </c>
      <c r="G1120" s="1">
        <v>15000</v>
      </c>
      <c r="H1120" s="5">
        <f t="shared" si="20"/>
        <v>0</v>
      </c>
      <c r="I1120" s="1"/>
      <c r="J1120" s="1"/>
    </row>
    <row r="1121" spans="2:10" x14ac:dyDescent="0.2">
      <c r="B1121" s="1" t="s">
        <v>197</v>
      </c>
      <c r="C1121" s="32">
        <v>6552</v>
      </c>
      <c r="D1121" s="1">
        <v>25000</v>
      </c>
      <c r="E1121" s="1"/>
      <c r="F1121" s="1">
        <v>278.83</v>
      </c>
      <c r="G1121" s="1">
        <v>25000</v>
      </c>
      <c r="H1121" s="5">
        <f t="shared" si="20"/>
        <v>0</v>
      </c>
      <c r="I1121" s="1"/>
      <c r="J1121" s="1"/>
    </row>
    <row r="1122" spans="2:10" x14ac:dyDescent="0.2">
      <c r="B1122" s="1" t="s">
        <v>197</v>
      </c>
      <c r="C1122" s="32">
        <v>1121</v>
      </c>
      <c r="D1122" s="1">
        <v>30000</v>
      </c>
      <c r="E1122" s="1"/>
      <c r="F1122" s="1">
        <v>334.1</v>
      </c>
      <c r="G1122" s="1">
        <v>30000</v>
      </c>
      <c r="H1122" s="5">
        <f t="shared" si="20"/>
        <v>0</v>
      </c>
      <c r="I1122" s="1"/>
      <c r="J1122" s="1"/>
    </row>
    <row r="1123" spans="2:10" x14ac:dyDescent="0.2">
      <c r="B1123" s="1" t="s">
        <v>197</v>
      </c>
      <c r="C1123" s="32">
        <v>9783</v>
      </c>
      <c r="D1123" s="1">
        <v>25000</v>
      </c>
      <c r="E1123" s="1"/>
      <c r="F1123" s="1">
        <v>278.83</v>
      </c>
      <c r="G1123" s="1">
        <v>25000</v>
      </c>
      <c r="H1123" s="5">
        <f t="shared" si="20"/>
        <v>0</v>
      </c>
      <c r="I1123" s="1"/>
      <c r="J1123" s="1"/>
    </row>
    <row r="1124" spans="2:10" x14ac:dyDescent="0.2">
      <c r="B1124" s="1" t="s">
        <v>197</v>
      </c>
      <c r="C1124" s="32">
        <v>6126</v>
      </c>
      <c r="D1124" s="1">
        <v>28000</v>
      </c>
      <c r="E1124" s="1"/>
      <c r="F1124" s="1">
        <v>331.28</v>
      </c>
      <c r="G1124" s="1">
        <v>28000</v>
      </c>
      <c r="H1124" s="5">
        <f t="shared" si="20"/>
        <v>0</v>
      </c>
      <c r="I1124" s="1"/>
      <c r="J1124" s="1"/>
    </row>
    <row r="1125" spans="2:10" x14ac:dyDescent="0.2">
      <c r="B1125" s="1" t="s">
        <v>198</v>
      </c>
      <c r="C1125" s="32">
        <v>7686</v>
      </c>
      <c r="D1125" s="1">
        <v>20000</v>
      </c>
      <c r="E1125" s="1"/>
      <c r="F1125" s="1">
        <v>223.06</v>
      </c>
      <c r="G1125" s="1">
        <v>20000</v>
      </c>
      <c r="H1125" s="5">
        <f t="shared" si="20"/>
        <v>0</v>
      </c>
      <c r="I1125" s="1"/>
      <c r="J1125" s="1"/>
    </row>
    <row r="1126" spans="2:10" x14ac:dyDescent="0.2">
      <c r="B1126" s="1" t="s">
        <v>198</v>
      </c>
      <c r="C1126" s="32" t="s">
        <v>61</v>
      </c>
      <c r="D1126" s="1">
        <v>5000</v>
      </c>
      <c r="E1126" s="1"/>
      <c r="F1126" s="1">
        <v>55.77</v>
      </c>
      <c r="G1126" s="1">
        <v>5000</v>
      </c>
      <c r="H1126" s="5">
        <f t="shared" si="20"/>
        <v>0</v>
      </c>
      <c r="I1126" s="1"/>
      <c r="J1126" s="1"/>
    </row>
    <row r="1127" spans="2:10" x14ac:dyDescent="0.2">
      <c r="B1127" s="1" t="s">
        <v>198</v>
      </c>
      <c r="C1127" s="32">
        <v>7247</v>
      </c>
      <c r="D1127" s="1">
        <v>21000</v>
      </c>
      <c r="E1127" s="1"/>
      <c r="F1127" s="1">
        <v>221.39</v>
      </c>
      <c r="G1127" s="1">
        <v>21000</v>
      </c>
      <c r="H1127" s="5">
        <f t="shared" si="20"/>
        <v>0</v>
      </c>
      <c r="I1127" s="1"/>
      <c r="J1127" s="1"/>
    </row>
    <row r="1128" spans="2:10" x14ac:dyDescent="0.2">
      <c r="B1128" s="1" t="s">
        <v>198</v>
      </c>
      <c r="C1128" s="32">
        <v>128</v>
      </c>
      <c r="D1128" s="1">
        <v>27000</v>
      </c>
      <c r="E1128" s="1"/>
      <c r="F1128" s="1">
        <v>303.25</v>
      </c>
      <c r="G1128" s="1">
        <v>27000</v>
      </c>
      <c r="H1128" s="5">
        <f t="shared" si="20"/>
        <v>0</v>
      </c>
      <c r="I1128" s="1"/>
      <c r="J1128" s="1"/>
    </row>
    <row r="1129" spans="2:10" x14ac:dyDescent="0.2">
      <c r="B1129" s="1" t="s">
        <v>198</v>
      </c>
      <c r="C1129" s="32">
        <v>5209</v>
      </c>
      <c r="D1129" s="1">
        <v>33000</v>
      </c>
      <c r="E1129" s="1"/>
      <c r="F1129" s="1">
        <v>366</v>
      </c>
      <c r="G1129" s="1">
        <v>33000</v>
      </c>
      <c r="H1129" s="5">
        <f t="shared" si="20"/>
        <v>0</v>
      </c>
      <c r="I1129" s="1"/>
      <c r="J1129" s="1"/>
    </row>
    <row r="1130" spans="2:10" x14ac:dyDescent="0.2">
      <c r="B1130" s="1" t="s">
        <v>198</v>
      </c>
      <c r="C1130" s="32">
        <v>4996</v>
      </c>
      <c r="D1130" s="1">
        <v>25000</v>
      </c>
      <c r="E1130" s="1"/>
      <c r="F1130" s="1">
        <v>278.83</v>
      </c>
      <c r="G1130" s="1">
        <v>25000</v>
      </c>
      <c r="H1130" s="5">
        <f t="shared" si="20"/>
        <v>0</v>
      </c>
      <c r="I1130" s="1"/>
      <c r="J1130" s="1"/>
    </row>
    <row r="1131" spans="2:10" x14ac:dyDescent="0.2">
      <c r="B1131" s="1" t="s">
        <v>199</v>
      </c>
      <c r="C1131" s="32" t="s">
        <v>61</v>
      </c>
      <c r="D1131" s="1">
        <v>4500</v>
      </c>
      <c r="E1131" s="1"/>
      <c r="F1131" s="1">
        <v>50.14</v>
      </c>
      <c r="G1131" s="1">
        <v>4500</v>
      </c>
      <c r="H1131" s="5">
        <f t="shared" si="20"/>
        <v>0</v>
      </c>
      <c r="I1131" s="1"/>
      <c r="J1131" s="1"/>
    </row>
    <row r="1132" spans="2:10" x14ac:dyDescent="0.2">
      <c r="B1132" s="1" t="s">
        <v>199</v>
      </c>
      <c r="C1132" s="32" t="s">
        <v>66</v>
      </c>
      <c r="D1132" s="1">
        <v>200</v>
      </c>
      <c r="E1132" s="1"/>
      <c r="F1132" s="1"/>
      <c r="G1132" s="1">
        <v>200</v>
      </c>
      <c r="H1132" s="5">
        <f t="shared" si="20"/>
        <v>0</v>
      </c>
      <c r="I1132" s="1"/>
      <c r="J1132" s="1"/>
    </row>
    <row r="1133" spans="2:10" x14ac:dyDescent="0.2">
      <c r="B1133" s="1" t="s">
        <v>199</v>
      </c>
      <c r="C1133" s="32">
        <v>4926</v>
      </c>
      <c r="D1133" s="1">
        <v>22000</v>
      </c>
      <c r="E1133" s="1"/>
      <c r="F1133" s="1">
        <v>275.29000000000002</v>
      </c>
      <c r="G1133" s="1">
        <v>22000</v>
      </c>
      <c r="H1133" s="5">
        <f t="shared" si="20"/>
        <v>0</v>
      </c>
      <c r="I1133" s="1"/>
      <c r="J1133" s="1"/>
    </row>
    <row r="1134" spans="2:10" x14ac:dyDescent="0.2">
      <c r="B1134" s="1" t="s">
        <v>199</v>
      </c>
      <c r="C1134" s="32">
        <v>3763</v>
      </c>
      <c r="D1134" s="1">
        <v>28000</v>
      </c>
      <c r="E1134" s="1"/>
      <c r="F1134" s="1">
        <v>306.72000000000003</v>
      </c>
      <c r="G1134" s="1">
        <v>28000</v>
      </c>
      <c r="H1134" s="5">
        <f t="shared" si="20"/>
        <v>0</v>
      </c>
      <c r="I1134" s="1"/>
      <c r="J1134" s="1"/>
    </row>
    <row r="1135" spans="2:10" x14ac:dyDescent="0.2">
      <c r="B1135" s="1" t="s">
        <v>199</v>
      </c>
      <c r="C1135" s="32" t="s">
        <v>63</v>
      </c>
      <c r="D1135" s="1">
        <v>3500</v>
      </c>
      <c r="E1135" s="1"/>
      <c r="F1135" s="1">
        <v>39.04</v>
      </c>
      <c r="G1135" s="1">
        <v>3500</v>
      </c>
      <c r="H1135" s="5">
        <f t="shared" si="20"/>
        <v>0</v>
      </c>
      <c r="I1135" s="1"/>
      <c r="J1135" s="1"/>
    </row>
    <row r="1136" spans="2:10" x14ac:dyDescent="0.2">
      <c r="B1136" s="1" t="s">
        <v>199</v>
      </c>
      <c r="C1136" s="32">
        <v>491</v>
      </c>
      <c r="D1136" s="1">
        <v>15000</v>
      </c>
      <c r="E1136" s="1"/>
      <c r="F1136" s="1">
        <v>167.3</v>
      </c>
      <c r="G1136" s="1">
        <v>15000</v>
      </c>
      <c r="H1136" s="5">
        <f t="shared" si="20"/>
        <v>0</v>
      </c>
      <c r="I1136" s="1"/>
      <c r="J1136" s="1"/>
    </row>
    <row r="1137" spans="2:10" x14ac:dyDescent="0.2">
      <c r="B1137" s="1" t="s">
        <v>201</v>
      </c>
      <c r="C1137" s="32">
        <v>65</v>
      </c>
      <c r="D1137" s="1">
        <v>5000</v>
      </c>
      <c r="E1137" s="1"/>
      <c r="F1137" s="1">
        <v>55.76</v>
      </c>
      <c r="G1137" s="1">
        <v>5000</v>
      </c>
      <c r="H1137" s="5">
        <f t="shared" si="20"/>
        <v>0</v>
      </c>
      <c r="I1137" s="1"/>
      <c r="J1137" s="1"/>
    </row>
    <row r="1138" spans="2:10" x14ac:dyDescent="0.2">
      <c r="B1138" s="1" t="s">
        <v>201</v>
      </c>
      <c r="C1138" s="32">
        <v>4755</v>
      </c>
      <c r="D1138" s="1">
        <v>25000</v>
      </c>
      <c r="E1138" s="1"/>
      <c r="F1138" s="1">
        <v>278.83</v>
      </c>
      <c r="G1138" s="1">
        <v>25000</v>
      </c>
      <c r="H1138" s="5">
        <f t="shared" si="20"/>
        <v>0</v>
      </c>
      <c r="I1138" s="1"/>
      <c r="J1138" s="1"/>
    </row>
    <row r="1139" spans="2:10" x14ac:dyDescent="0.2">
      <c r="B1139" s="1" t="s">
        <v>202</v>
      </c>
      <c r="C1139" s="32">
        <v>4826</v>
      </c>
      <c r="D1139" s="1">
        <v>15000</v>
      </c>
      <c r="E1139" s="1"/>
      <c r="F1139" s="1">
        <v>167.3</v>
      </c>
      <c r="G1139" s="1">
        <v>15000</v>
      </c>
      <c r="H1139" s="5">
        <f t="shared" si="20"/>
        <v>0</v>
      </c>
      <c r="I1139" s="1"/>
      <c r="J1139" s="1"/>
    </row>
    <row r="1140" spans="2:10" x14ac:dyDescent="0.2">
      <c r="B1140" s="1" t="s">
        <v>202</v>
      </c>
      <c r="C1140" s="32">
        <v>3809</v>
      </c>
      <c r="D1140" s="1">
        <v>15000</v>
      </c>
      <c r="E1140" s="1"/>
      <c r="F1140" s="1">
        <v>167.3</v>
      </c>
      <c r="G1140" s="1">
        <v>15000</v>
      </c>
      <c r="H1140" s="5">
        <f t="shared" si="20"/>
        <v>0</v>
      </c>
      <c r="I1140" s="1"/>
      <c r="J1140" s="1"/>
    </row>
    <row r="1141" spans="2:10" x14ac:dyDescent="0.2">
      <c r="B1141" s="1" t="s">
        <v>203</v>
      </c>
      <c r="C1141" s="32">
        <v>205</v>
      </c>
      <c r="D1141" s="1">
        <v>14000</v>
      </c>
      <c r="E1141" s="1"/>
      <c r="F1141" s="1">
        <v>156.15</v>
      </c>
      <c r="G1141" s="1">
        <v>14000</v>
      </c>
      <c r="H1141" s="5">
        <f t="shared" si="20"/>
        <v>0</v>
      </c>
      <c r="I1141" s="1"/>
      <c r="J1141" s="1"/>
    </row>
    <row r="1142" spans="2:10" x14ac:dyDescent="0.2">
      <c r="B1142" s="1" t="s">
        <v>203</v>
      </c>
      <c r="C1142" s="32" t="s">
        <v>61</v>
      </c>
      <c r="D1142" s="1">
        <v>4500</v>
      </c>
      <c r="E1142" s="1"/>
      <c r="F1142" s="1">
        <v>50.19</v>
      </c>
      <c r="G1142" s="1">
        <v>4500</v>
      </c>
      <c r="H1142" s="5">
        <f t="shared" ref="H1142:H1205" si="21">D1142-G1142</f>
        <v>0</v>
      </c>
      <c r="I1142" s="1"/>
      <c r="J1142" s="1"/>
    </row>
    <row r="1143" spans="2:10" x14ac:dyDescent="0.2">
      <c r="B1143" s="1" t="s">
        <v>203</v>
      </c>
      <c r="C1143" s="32">
        <v>4551</v>
      </c>
      <c r="D1143" s="1">
        <v>30000</v>
      </c>
      <c r="E1143" s="1"/>
      <c r="F1143" s="1">
        <v>289.64999999999998</v>
      </c>
      <c r="G1143" s="1">
        <v>30000</v>
      </c>
      <c r="H1143" s="5">
        <f t="shared" si="21"/>
        <v>0</v>
      </c>
      <c r="I1143" s="1"/>
      <c r="J1143" s="1"/>
    </row>
    <row r="1144" spans="2:10" x14ac:dyDescent="0.2">
      <c r="B1144" s="1" t="s">
        <v>203</v>
      </c>
      <c r="C1144" s="32">
        <v>339</v>
      </c>
      <c r="D1144" s="1">
        <v>20000</v>
      </c>
      <c r="E1144" s="1"/>
      <c r="F1144" s="1">
        <v>223.06</v>
      </c>
      <c r="G1144" s="1">
        <v>20000</v>
      </c>
      <c r="H1144" s="5">
        <f t="shared" si="21"/>
        <v>0</v>
      </c>
      <c r="I1144" s="1"/>
      <c r="J1144" s="1"/>
    </row>
    <row r="1145" spans="2:10" x14ac:dyDescent="0.2">
      <c r="B1145" s="1" t="s">
        <v>203</v>
      </c>
      <c r="C1145" s="32">
        <v>3939</v>
      </c>
      <c r="D1145" s="1">
        <v>15000</v>
      </c>
      <c r="E1145" s="1"/>
      <c r="F1145" s="1">
        <v>167.3</v>
      </c>
      <c r="G1145" s="1">
        <v>15000</v>
      </c>
      <c r="H1145" s="5">
        <f t="shared" si="21"/>
        <v>0</v>
      </c>
      <c r="I1145" s="1"/>
      <c r="J1145" s="1"/>
    </row>
    <row r="1146" spans="2:10" x14ac:dyDescent="0.2">
      <c r="B1146" s="1" t="s">
        <v>203</v>
      </c>
      <c r="C1146" s="32">
        <v>3359</v>
      </c>
      <c r="D1146" s="1">
        <v>20000</v>
      </c>
      <c r="E1146" s="1"/>
      <c r="F1146" s="1">
        <v>223.06</v>
      </c>
      <c r="G1146" s="1">
        <v>20000</v>
      </c>
      <c r="H1146" s="5">
        <f t="shared" si="21"/>
        <v>0</v>
      </c>
      <c r="I1146" s="1"/>
      <c r="J1146" s="1"/>
    </row>
    <row r="1147" spans="2:10" x14ac:dyDescent="0.2">
      <c r="B1147" s="1" t="s">
        <v>203</v>
      </c>
      <c r="C1147" s="32">
        <v>2102</v>
      </c>
      <c r="D1147" s="1">
        <v>15000</v>
      </c>
      <c r="E1147" s="1"/>
      <c r="F1147" s="1">
        <v>167.3</v>
      </c>
      <c r="G1147" s="1">
        <v>15000</v>
      </c>
      <c r="H1147" s="5">
        <f t="shared" si="21"/>
        <v>0</v>
      </c>
      <c r="I1147" s="1"/>
      <c r="J1147" s="1"/>
    </row>
    <row r="1148" spans="2:10" x14ac:dyDescent="0.2">
      <c r="B1148" s="1" t="s">
        <v>203</v>
      </c>
      <c r="C1148" s="32">
        <v>3756</v>
      </c>
      <c r="D1148" s="1">
        <v>30000</v>
      </c>
      <c r="E1148" s="1"/>
      <c r="F1148" s="1">
        <v>322.3</v>
      </c>
      <c r="G1148" s="1">
        <v>30000</v>
      </c>
      <c r="H1148" s="5">
        <f t="shared" si="21"/>
        <v>0</v>
      </c>
      <c r="I1148" s="1"/>
      <c r="J1148" s="1"/>
    </row>
    <row r="1149" spans="2:10" x14ac:dyDescent="0.2">
      <c r="B1149" s="1" t="s">
        <v>203</v>
      </c>
      <c r="C1149" s="32">
        <v>3374</v>
      </c>
      <c r="D1149" s="1">
        <v>30000</v>
      </c>
      <c r="E1149" s="1"/>
      <c r="F1149" s="1">
        <v>322.3</v>
      </c>
      <c r="G1149" s="1">
        <v>30000</v>
      </c>
      <c r="H1149" s="5">
        <f t="shared" si="21"/>
        <v>0</v>
      </c>
      <c r="I1149" s="1"/>
      <c r="J1149" s="1"/>
    </row>
    <row r="1150" spans="2:10" x14ac:dyDescent="0.2">
      <c r="B1150" s="1" t="s">
        <v>203</v>
      </c>
      <c r="C1150" s="32">
        <v>3259</v>
      </c>
      <c r="D1150" s="1">
        <v>20000</v>
      </c>
      <c r="E1150" s="1"/>
      <c r="F1150" s="1">
        <v>223.06</v>
      </c>
      <c r="G1150" s="1">
        <v>20000</v>
      </c>
      <c r="H1150" s="5">
        <f t="shared" si="21"/>
        <v>0</v>
      </c>
      <c r="I1150" s="1"/>
      <c r="J1150" s="1"/>
    </row>
    <row r="1151" spans="2:10" x14ac:dyDescent="0.2">
      <c r="B1151" s="1" t="s">
        <v>208</v>
      </c>
      <c r="C1151" s="32" t="s">
        <v>66</v>
      </c>
      <c r="D1151" s="1">
        <v>200</v>
      </c>
      <c r="E1151" s="1"/>
      <c r="F1151" s="1"/>
      <c r="G1151" s="1">
        <v>200</v>
      </c>
      <c r="H1151" s="5">
        <f t="shared" si="21"/>
        <v>0</v>
      </c>
      <c r="I1151" s="1"/>
      <c r="J1151" s="1"/>
    </row>
    <row r="1152" spans="2:10" x14ac:dyDescent="0.2">
      <c r="B1152" s="1" t="s">
        <v>208</v>
      </c>
      <c r="C1152" s="32">
        <v>9454</v>
      </c>
      <c r="D1152" s="1">
        <v>34000</v>
      </c>
      <c r="E1152" s="1"/>
      <c r="F1152" s="1">
        <v>245.37</v>
      </c>
      <c r="G1152" s="1">
        <v>34000</v>
      </c>
      <c r="H1152" s="5">
        <f t="shared" si="21"/>
        <v>0</v>
      </c>
      <c r="I1152" s="1"/>
      <c r="J1152" s="1"/>
    </row>
    <row r="1153" spans="2:10" x14ac:dyDescent="0.2">
      <c r="B1153" s="1" t="s">
        <v>208</v>
      </c>
      <c r="C1153" s="32">
        <v>3652</v>
      </c>
      <c r="D1153" s="1">
        <v>28000</v>
      </c>
      <c r="E1153" s="1"/>
      <c r="F1153" s="1">
        <v>377.43</v>
      </c>
      <c r="G1153" s="1">
        <v>28000</v>
      </c>
      <c r="H1153" s="5">
        <f t="shared" si="21"/>
        <v>0</v>
      </c>
      <c r="I1153" s="1"/>
      <c r="J1153" s="1"/>
    </row>
    <row r="1154" spans="2:10" x14ac:dyDescent="0.2">
      <c r="B1154" s="1" t="s">
        <v>208</v>
      </c>
      <c r="C1154" s="32">
        <v>3374</v>
      </c>
      <c r="D1154" s="1">
        <v>40000</v>
      </c>
      <c r="E1154" s="1"/>
      <c r="F1154" s="1">
        <v>312.29000000000002</v>
      </c>
      <c r="G1154" s="1">
        <v>40000</v>
      </c>
      <c r="H1154" s="5">
        <f t="shared" si="21"/>
        <v>0</v>
      </c>
      <c r="I1154" s="1"/>
      <c r="J1154" s="1"/>
    </row>
    <row r="1155" spans="2:10" x14ac:dyDescent="0.2">
      <c r="B1155" s="1" t="s">
        <v>208</v>
      </c>
      <c r="C1155" s="32">
        <v>5898</v>
      </c>
      <c r="D1155" s="1">
        <v>20000</v>
      </c>
      <c r="E1155" s="1"/>
      <c r="F1155" s="1">
        <v>223.06</v>
      </c>
      <c r="G1155" s="1">
        <v>20000</v>
      </c>
      <c r="H1155" s="5">
        <f t="shared" si="21"/>
        <v>0</v>
      </c>
      <c r="I1155" s="1"/>
      <c r="J1155" s="1"/>
    </row>
    <row r="1156" spans="2:10" x14ac:dyDescent="0.2">
      <c r="B1156" s="1" t="s">
        <v>209</v>
      </c>
      <c r="C1156" s="32">
        <v>3341</v>
      </c>
      <c r="D1156" s="1">
        <v>20000</v>
      </c>
      <c r="E1156" s="1"/>
      <c r="F1156" s="1">
        <v>223.06</v>
      </c>
      <c r="G1156" s="1">
        <v>20000</v>
      </c>
      <c r="H1156" s="5">
        <f t="shared" si="21"/>
        <v>0</v>
      </c>
      <c r="I1156" s="1"/>
      <c r="J1156" s="1"/>
    </row>
    <row r="1157" spans="2:10" x14ac:dyDescent="0.2">
      <c r="B1157" s="1" t="s">
        <v>209</v>
      </c>
      <c r="C1157" s="32" t="s">
        <v>61</v>
      </c>
      <c r="D1157" s="1">
        <v>5000</v>
      </c>
      <c r="E1157" s="1"/>
      <c r="F1157" s="1">
        <v>55.77</v>
      </c>
      <c r="G1157" s="1">
        <v>5000</v>
      </c>
      <c r="H1157" s="5">
        <f t="shared" si="21"/>
        <v>0</v>
      </c>
      <c r="I1157" s="1"/>
      <c r="J1157" s="1"/>
    </row>
    <row r="1158" spans="2:10" x14ac:dyDescent="0.2">
      <c r="B1158" s="1" t="s">
        <v>209</v>
      </c>
      <c r="C1158" s="32">
        <v>4713</v>
      </c>
      <c r="D1158" s="1">
        <v>15000</v>
      </c>
      <c r="E1158" s="1"/>
      <c r="F1158" s="1">
        <v>167.3</v>
      </c>
      <c r="G1158" s="1">
        <v>15000</v>
      </c>
      <c r="H1158" s="5">
        <f t="shared" si="21"/>
        <v>0</v>
      </c>
      <c r="I1158" s="1"/>
      <c r="J1158" s="1"/>
    </row>
    <row r="1159" spans="2:10" x14ac:dyDescent="0.2">
      <c r="B1159" s="1" t="s">
        <v>209</v>
      </c>
      <c r="C1159" s="32" t="s">
        <v>63</v>
      </c>
      <c r="D1159" s="1">
        <v>3500</v>
      </c>
      <c r="E1159" s="1"/>
      <c r="F1159" s="1">
        <v>39.03</v>
      </c>
      <c r="G1159" s="1">
        <v>3500</v>
      </c>
      <c r="H1159" s="5">
        <f t="shared" si="21"/>
        <v>0</v>
      </c>
      <c r="I1159" s="1"/>
      <c r="J1159" s="1"/>
    </row>
    <row r="1160" spans="2:10" x14ac:dyDescent="0.2">
      <c r="B1160" s="1" t="s">
        <v>209</v>
      </c>
      <c r="C1160" s="32">
        <v>8751</v>
      </c>
      <c r="D1160" s="1">
        <v>10000</v>
      </c>
      <c r="E1160" s="1"/>
      <c r="F1160" s="1">
        <v>111.53</v>
      </c>
      <c r="G1160" s="1">
        <v>10000</v>
      </c>
      <c r="H1160" s="5">
        <f t="shared" si="21"/>
        <v>0</v>
      </c>
      <c r="I1160" s="1"/>
      <c r="J1160" s="1"/>
    </row>
    <row r="1161" spans="2:10" x14ac:dyDescent="0.2">
      <c r="B1161" s="1" t="s">
        <v>209</v>
      </c>
      <c r="C1161" s="32">
        <v>7371</v>
      </c>
      <c r="D1161" s="1">
        <v>23000</v>
      </c>
      <c r="E1161" s="1"/>
      <c r="F1161" s="1">
        <v>234.25</v>
      </c>
      <c r="G1161" s="1">
        <v>23000</v>
      </c>
      <c r="H1161" s="5">
        <f t="shared" si="21"/>
        <v>0</v>
      </c>
      <c r="I1161" s="1"/>
      <c r="J1161" s="1"/>
    </row>
    <row r="1162" spans="2:10" x14ac:dyDescent="0.2">
      <c r="B1162" s="1" t="s">
        <v>211</v>
      </c>
      <c r="C1162" s="32" t="s">
        <v>61</v>
      </c>
      <c r="D1162" s="1">
        <v>4500</v>
      </c>
      <c r="E1162" s="1"/>
      <c r="F1162" s="1">
        <v>50.14</v>
      </c>
      <c r="G1162" s="1">
        <v>4500</v>
      </c>
      <c r="H1162" s="5">
        <f t="shared" si="21"/>
        <v>0</v>
      </c>
      <c r="I1162" s="1"/>
      <c r="J1162" s="1"/>
    </row>
    <row r="1163" spans="2:10" x14ac:dyDescent="0.2">
      <c r="B1163" s="1" t="s">
        <v>211</v>
      </c>
      <c r="C1163" s="32">
        <v>9998</v>
      </c>
      <c r="D1163" s="1">
        <v>17000</v>
      </c>
      <c r="E1163" s="1"/>
      <c r="F1163" s="1">
        <v>189.61</v>
      </c>
      <c r="G1163" s="1">
        <v>17000</v>
      </c>
      <c r="H1163" s="5">
        <f t="shared" si="21"/>
        <v>0</v>
      </c>
      <c r="I1163" s="1"/>
      <c r="J1163" s="1"/>
    </row>
    <row r="1164" spans="2:10" x14ac:dyDescent="0.2">
      <c r="B1164" s="1" t="s">
        <v>211</v>
      </c>
      <c r="C1164" s="32">
        <v>3773</v>
      </c>
      <c r="D1164" s="1">
        <v>28000</v>
      </c>
      <c r="E1164" s="1"/>
      <c r="F1164" s="1">
        <v>312</v>
      </c>
      <c r="G1164" s="1">
        <v>28000</v>
      </c>
      <c r="H1164" s="5">
        <f t="shared" si="21"/>
        <v>0</v>
      </c>
      <c r="I1164" s="1"/>
      <c r="J1164" s="1"/>
    </row>
    <row r="1165" spans="2:10" x14ac:dyDescent="0.2">
      <c r="B1165" s="1" t="s">
        <v>211</v>
      </c>
      <c r="C1165" s="32">
        <v>1912</v>
      </c>
      <c r="D1165" s="1">
        <v>32000</v>
      </c>
      <c r="E1165" s="1"/>
      <c r="F1165" s="1">
        <v>356.2</v>
      </c>
      <c r="G1165" s="1">
        <v>32000</v>
      </c>
      <c r="H1165" s="5">
        <f t="shared" si="21"/>
        <v>0</v>
      </c>
      <c r="I1165" s="1"/>
      <c r="J1165" s="1"/>
    </row>
    <row r="1166" spans="2:10" x14ac:dyDescent="0.2">
      <c r="B1166" s="1" t="s">
        <v>211</v>
      </c>
      <c r="C1166" s="32">
        <v>808</v>
      </c>
      <c r="D1166" s="1">
        <v>15000</v>
      </c>
      <c r="E1166" s="1"/>
      <c r="F1166" s="1">
        <v>167.9</v>
      </c>
      <c r="G1166" s="1">
        <v>15000</v>
      </c>
      <c r="H1166" s="5">
        <f t="shared" si="21"/>
        <v>0</v>
      </c>
      <c r="I1166" s="1"/>
      <c r="J1166" s="1"/>
    </row>
    <row r="1167" spans="2:10" x14ac:dyDescent="0.2">
      <c r="B1167" s="1" t="s">
        <v>211</v>
      </c>
      <c r="C1167" s="32">
        <v>8436</v>
      </c>
      <c r="D1167" s="1">
        <v>29000</v>
      </c>
      <c r="E1167" s="1"/>
      <c r="F1167" s="1">
        <v>323.44</v>
      </c>
      <c r="G1167" s="1">
        <v>29000</v>
      </c>
      <c r="H1167" s="5">
        <f t="shared" si="21"/>
        <v>0</v>
      </c>
      <c r="I1167" s="1"/>
      <c r="J1167" s="1"/>
    </row>
    <row r="1168" spans="2:10" x14ac:dyDescent="0.2">
      <c r="B1168" s="1" t="s">
        <v>212</v>
      </c>
      <c r="C1168" s="32" t="s">
        <v>63</v>
      </c>
      <c r="D1168" s="1">
        <v>3500</v>
      </c>
      <c r="E1168" s="1"/>
      <c r="F1168" s="1">
        <v>39.03</v>
      </c>
      <c r="G1168" s="1">
        <v>3500</v>
      </c>
      <c r="H1168" s="5">
        <f t="shared" si="21"/>
        <v>0</v>
      </c>
      <c r="I1168" s="1"/>
      <c r="J1168" s="1"/>
    </row>
    <row r="1169" spans="2:10" x14ac:dyDescent="0.2">
      <c r="B1169" s="1" t="s">
        <v>212</v>
      </c>
      <c r="C1169" s="32" t="s">
        <v>66</v>
      </c>
      <c r="D1169" s="1">
        <v>200</v>
      </c>
      <c r="E1169" s="1"/>
      <c r="F1169" s="1"/>
      <c r="G1169" s="1">
        <v>200</v>
      </c>
      <c r="H1169" s="5">
        <f t="shared" si="21"/>
        <v>0</v>
      </c>
      <c r="I1169" s="1"/>
      <c r="J1169" s="1"/>
    </row>
    <row r="1170" spans="2:10" x14ac:dyDescent="0.2">
      <c r="B1170" s="1" t="s">
        <v>212</v>
      </c>
      <c r="C1170" s="32">
        <v>9735</v>
      </c>
      <c r="D1170" s="1">
        <v>23000</v>
      </c>
      <c r="E1170" s="1"/>
      <c r="F1170" s="1">
        <v>236.76</v>
      </c>
      <c r="G1170" s="1">
        <v>23000</v>
      </c>
      <c r="H1170" s="5">
        <f t="shared" si="21"/>
        <v>0</v>
      </c>
      <c r="I1170" s="1"/>
      <c r="J1170" s="1"/>
    </row>
    <row r="1171" spans="2:10" x14ac:dyDescent="0.2">
      <c r="B1171" s="1" t="s">
        <v>213</v>
      </c>
      <c r="C1171" s="32">
        <v>9795</v>
      </c>
      <c r="D1171" s="1">
        <v>24000</v>
      </c>
      <c r="E1171" s="1"/>
      <c r="F1171" s="1">
        <v>267.68</v>
      </c>
      <c r="G1171" s="1">
        <v>24000</v>
      </c>
      <c r="H1171" s="5">
        <f t="shared" si="21"/>
        <v>0</v>
      </c>
      <c r="I1171" s="1"/>
      <c r="J1171" s="1"/>
    </row>
    <row r="1172" spans="2:10" x14ac:dyDescent="0.2">
      <c r="B1172" s="1" t="s">
        <v>213</v>
      </c>
      <c r="C1172" s="32">
        <v>3597</v>
      </c>
      <c r="D1172" s="1">
        <v>16000</v>
      </c>
      <c r="E1172" s="1"/>
      <c r="F1172" s="1">
        <v>178.45</v>
      </c>
      <c r="G1172" s="1">
        <v>16000</v>
      </c>
      <c r="H1172" s="5">
        <f t="shared" si="21"/>
        <v>0</v>
      </c>
      <c r="I1172" s="1"/>
      <c r="J1172" s="1"/>
    </row>
    <row r="1173" spans="2:10" x14ac:dyDescent="0.2">
      <c r="B1173" s="1" t="s">
        <v>213</v>
      </c>
      <c r="C1173" s="32">
        <v>65</v>
      </c>
      <c r="D1173" s="1">
        <v>5000</v>
      </c>
      <c r="E1173" s="1"/>
      <c r="F1173" s="1">
        <v>55.77</v>
      </c>
      <c r="G1173" s="1">
        <v>5000</v>
      </c>
      <c r="H1173" s="5">
        <f t="shared" si="21"/>
        <v>0</v>
      </c>
      <c r="I1173" s="1"/>
      <c r="J1173" s="1"/>
    </row>
    <row r="1174" spans="2:10" x14ac:dyDescent="0.2">
      <c r="B1174" s="1" t="s">
        <v>213</v>
      </c>
      <c r="C1174" s="32">
        <v>2979</v>
      </c>
      <c r="D1174" s="1">
        <v>28000</v>
      </c>
      <c r="E1174" s="1"/>
      <c r="F1174" s="1">
        <v>296.08999999999997</v>
      </c>
      <c r="G1174" s="1">
        <v>28000</v>
      </c>
      <c r="H1174" s="5">
        <f t="shared" si="21"/>
        <v>0</v>
      </c>
      <c r="I1174" s="1"/>
      <c r="J1174" s="1"/>
    </row>
    <row r="1175" spans="2:10" x14ac:dyDescent="0.2">
      <c r="B1175" s="1" t="s">
        <v>213</v>
      </c>
      <c r="C1175" s="32">
        <v>7538</v>
      </c>
      <c r="D1175" s="1">
        <v>15000</v>
      </c>
      <c r="E1175" s="1"/>
      <c r="F1175" s="1">
        <v>167.3</v>
      </c>
      <c r="G1175" s="1">
        <v>15000</v>
      </c>
      <c r="H1175" s="5">
        <f t="shared" si="21"/>
        <v>0</v>
      </c>
      <c r="I1175" s="1"/>
      <c r="J1175" s="1"/>
    </row>
    <row r="1176" spans="2:10" x14ac:dyDescent="0.2">
      <c r="B1176" s="1" t="s">
        <v>213</v>
      </c>
      <c r="C1176" s="32">
        <v>9931</v>
      </c>
      <c r="D1176" s="1">
        <v>15000</v>
      </c>
      <c r="E1176" s="1"/>
      <c r="F1176" s="1">
        <v>207.46</v>
      </c>
      <c r="G1176" s="1">
        <v>15000</v>
      </c>
      <c r="H1176" s="5">
        <f t="shared" si="21"/>
        <v>0</v>
      </c>
      <c r="I1176" s="1"/>
      <c r="J1176" s="1"/>
    </row>
    <row r="1177" spans="2:10" x14ac:dyDescent="0.2">
      <c r="B1177" s="1" t="s">
        <v>213</v>
      </c>
      <c r="C1177" s="32">
        <v>5450</v>
      </c>
      <c r="D1177" s="1">
        <v>23000</v>
      </c>
      <c r="E1177" s="1"/>
      <c r="F1177" s="1">
        <v>223.06</v>
      </c>
      <c r="G1177" s="1">
        <v>23000</v>
      </c>
      <c r="H1177" s="5">
        <f t="shared" si="21"/>
        <v>0</v>
      </c>
      <c r="I1177" s="1"/>
      <c r="J1177" s="1"/>
    </row>
    <row r="1178" spans="2:10" x14ac:dyDescent="0.2">
      <c r="B1178" s="1" t="s">
        <v>214</v>
      </c>
      <c r="C1178" s="32" t="s">
        <v>30</v>
      </c>
      <c r="D1178" s="1">
        <v>5000</v>
      </c>
      <c r="E1178" s="1"/>
      <c r="F1178" s="1">
        <v>55.77</v>
      </c>
      <c r="G1178" s="1">
        <v>5000</v>
      </c>
      <c r="H1178" s="5">
        <f t="shared" si="21"/>
        <v>0</v>
      </c>
      <c r="I1178" s="1"/>
      <c r="J1178" s="1"/>
    </row>
    <row r="1179" spans="2:10" x14ac:dyDescent="0.2">
      <c r="B1179" s="1" t="s">
        <v>214</v>
      </c>
      <c r="C1179" s="32">
        <v>3682</v>
      </c>
      <c r="D1179" s="1">
        <v>28000</v>
      </c>
      <c r="E1179" s="1"/>
      <c r="F1179" s="1">
        <v>312.29000000000002</v>
      </c>
      <c r="G1179" s="1">
        <v>28000</v>
      </c>
      <c r="H1179" s="5">
        <f t="shared" si="21"/>
        <v>0</v>
      </c>
      <c r="I1179" s="1"/>
      <c r="J1179" s="1"/>
    </row>
    <row r="1180" spans="2:10" x14ac:dyDescent="0.2">
      <c r="B1180" s="1" t="s">
        <v>214</v>
      </c>
      <c r="C1180" s="32">
        <v>7984</v>
      </c>
      <c r="D1180" s="1">
        <v>15000</v>
      </c>
      <c r="E1180" s="1"/>
      <c r="F1180" s="1">
        <v>190.73</v>
      </c>
      <c r="G1180" s="1">
        <v>15000</v>
      </c>
      <c r="H1180" s="5">
        <f t="shared" si="21"/>
        <v>0</v>
      </c>
      <c r="I1180" s="1"/>
      <c r="J1180" s="1"/>
    </row>
    <row r="1181" spans="2:10" x14ac:dyDescent="0.2">
      <c r="B1181" s="1" t="s">
        <v>214</v>
      </c>
      <c r="C1181" s="32">
        <v>1268</v>
      </c>
      <c r="D1181" s="1">
        <v>32000</v>
      </c>
      <c r="E1181" s="1"/>
      <c r="F1181" s="1">
        <v>349.1</v>
      </c>
      <c r="G1181" s="1">
        <v>32000</v>
      </c>
      <c r="H1181" s="5">
        <f t="shared" si="21"/>
        <v>0</v>
      </c>
      <c r="I1181" s="1"/>
      <c r="J1181" s="1"/>
    </row>
    <row r="1182" spans="2:10" x14ac:dyDescent="0.2">
      <c r="B1182" s="1" t="s">
        <v>215</v>
      </c>
      <c r="C1182" s="32" t="s">
        <v>30</v>
      </c>
      <c r="D1182" s="1">
        <v>3500</v>
      </c>
      <c r="E1182" s="1"/>
      <c r="F1182" s="1">
        <v>39.03</v>
      </c>
      <c r="G1182" s="1">
        <v>3500</v>
      </c>
      <c r="H1182" s="5">
        <f t="shared" si="21"/>
        <v>0</v>
      </c>
      <c r="I1182" s="1"/>
      <c r="J1182" s="1"/>
    </row>
    <row r="1183" spans="2:10" x14ac:dyDescent="0.2">
      <c r="B1183" s="1" t="s">
        <v>215</v>
      </c>
      <c r="C1183" s="32">
        <v>189</v>
      </c>
      <c r="D1183" s="1">
        <v>20000</v>
      </c>
      <c r="E1183" s="1"/>
      <c r="F1183" s="1">
        <v>223.06</v>
      </c>
      <c r="G1183" s="1">
        <v>20000</v>
      </c>
      <c r="H1183" s="5">
        <f t="shared" si="21"/>
        <v>0</v>
      </c>
      <c r="I1183" s="1"/>
      <c r="J1183" s="1"/>
    </row>
    <row r="1184" spans="2:10" x14ac:dyDescent="0.2">
      <c r="B1184" s="1" t="s">
        <v>215</v>
      </c>
      <c r="C1184" s="32">
        <v>8581</v>
      </c>
      <c r="D1184" s="1">
        <v>20000</v>
      </c>
      <c r="E1184" s="1"/>
      <c r="F1184" s="1">
        <v>223.06</v>
      </c>
      <c r="G1184" s="1">
        <v>20000</v>
      </c>
      <c r="H1184" s="5">
        <f t="shared" si="21"/>
        <v>0</v>
      </c>
      <c r="I1184" s="1"/>
      <c r="J1184" s="1"/>
    </row>
    <row r="1185" spans="2:10" x14ac:dyDescent="0.2">
      <c r="B1185" s="1" t="s">
        <v>215</v>
      </c>
      <c r="C1185" s="32" t="s">
        <v>66</v>
      </c>
      <c r="D1185" s="1">
        <v>200</v>
      </c>
      <c r="E1185" s="1"/>
      <c r="F1185" s="1"/>
      <c r="G1185" s="1">
        <v>200</v>
      </c>
      <c r="H1185" s="5">
        <f t="shared" si="21"/>
        <v>0</v>
      </c>
      <c r="I1185" s="1"/>
      <c r="J1185" s="1"/>
    </row>
    <row r="1186" spans="2:10" x14ac:dyDescent="0.2">
      <c r="B1186" s="1" t="s">
        <v>215</v>
      </c>
      <c r="C1186" s="32">
        <v>2230</v>
      </c>
      <c r="D1186" s="1">
        <v>20000</v>
      </c>
      <c r="E1186" s="1"/>
      <c r="F1186" s="1">
        <v>223.06</v>
      </c>
      <c r="G1186" s="1">
        <v>20000</v>
      </c>
      <c r="H1186" s="5">
        <f t="shared" si="21"/>
        <v>0</v>
      </c>
      <c r="I1186" s="1"/>
      <c r="J1186" s="1"/>
    </row>
    <row r="1187" spans="2:10" x14ac:dyDescent="0.2">
      <c r="B1187" s="1" t="s">
        <v>216</v>
      </c>
      <c r="C1187" s="32">
        <v>6878</v>
      </c>
      <c r="D1187" s="1">
        <v>20000</v>
      </c>
      <c r="E1187" s="1"/>
      <c r="F1187" s="1">
        <v>223.06</v>
      </c>
      <c r="G1187" s="1">
        <v>20000</v>
      </c>
      <c r="H1187" s="5">
        <f t="shared" si="21"/>
        <v>0</v>
      </c>
      <c r="I1187" s="1"/>
      <c r="J1187" s="1"/>
    </row>
    <row r="1188" spans="2:10" x14ac:dyDescent="0.2">
      <c r="B1188" s="1" t="s">
        <v>216</v>
      </c>
      <c r="C1188" s="32">
        <v>5100</v>
      </c>
      <c r="D1188" s="1">
        <v>18000</v>
      </c>
      <c r="E1188" s="1"/>
      <c r="F1188" s="1">
        <v>189</v>
      </c>
      <c r="G1188" s="1">
        <v>18000</v>
      </c>
      <c r="H1188" s="5">
        <f t="shared" si="21"/>
        <v>0</v>
      </c>
      <c r="I1188" s="1"/>
      <c r="J1188" s="1"/>
    </row>
    <row r="1189" spans="2:10" x14ac:dyDescent="0.2">
      <c r="B1189" s="1" t="s">
        <v>216</v>
      </c>
      <c r="C1189" s="32">
        <v>3474</v>
      </c>
      <c r="D1189" s="1">
        <v>20000</v>
      </c>
      <c r="E1189" s="1"/>
      <c r="F1189" s="1">
        <v>223.06</v>
      </c>
      <c r="G1189" s="1">
        <v>20000</v>
      </c>
      <c r="H1189" s="5">
        <f t="shared" si="21"/>
        <v>0</v>
      </c>
      <c r="I1189" s="1"/>
      <c r="J1189" s="1"/>
    </row>
    <row r="1190" spans="2:10" x14ac:dyDescent="0.2">
      <c r="B1190" s="1" t="s">
        <v>216</v>
      </c>
      <c r="C1190" s="32" t="s">
        <v>61</v>
      </c>
      <c r="D1190" s="1">
        <v>4500</v>
      </c>
      <c r="E1190" s="1"/>
      <c r="F1190" s="1">
        <v>50.18</v>
      </c>
      <c r="G1190" s="1">
        <v>4500</v>
      </c>
      <c r="H1190" s="5">
        <f t="shared" si="21"/>
        <v>0</v>
      </c>
      <c r="I1190" s="1"/>
      <c r="J1190" s="1"/>
    </row>
    <row r="1191" spans="2:10" x14ac:dyDescent="0.2">
      <c r="B1191" s="1" t="s">
        <v>216</v>
      </c>
      <c r="C1191" s="32">
        <v>3127</v>
      </c>
      <c r="D1191" s="1">
        <v>20000</v>
      </c>
      <c r="E1191" s="1"/>
      <c r="F1191" s="1">
        <v>223.06</v>
      </c>
      <c r="G1191" s="1">
        <v>20000</v>
      </c>
      <c r="H1191" s="5">
        <f t="shared" si="21"/>
        <v>0</v>
      </c>
      <c r="I1191" s="1"/>
      <c r="J1191" s="1"/>
    </row>
    <row r="1192" spans="2:10" x14ac:dyDescent="0.2">
      <c r="B1192" s="1" t="s">
        <v>216</v>
      </c>
      <c r="C1192" s="32">
        <v>5603</v>
      </c>
      <c r="D1192" s="1">
        <v>5000</v>
      </c>
      <c r="E1192" s="1"/>
      <c r="F1192" s="1">
        <v>55.77</v>
      </c>
      <c r="G1192" s="1">
        <v>5000</v>
      </c>
      <c r="H1192" s="5">
        <f t="shared" si="21"/>
        <v>0</v>
      </c>
      <c r="I1192" s="1"/>
      <c r="J1192" s="1"/>
    </row>
    <row r="1193" spans="2:10" x14ac:dyDescent="0.2">
      <c r="B1193" s="1" t="s">
        <v>217</v>
      </c>
      <c r="C1193" s="32" t="s">
        <v>30</v>
      </c>
      <c r="D1193" s="1">
        <v>5000</v>
      </c>
      <c r="E1193" s="1"/>
      <c r="F1193" s="1">
        <v>55.77</v>
      </c>
      <c r="G1193" s="1">
        <v>5000</v>
      </c>
      <c r="H1193" s="5">
        <f t="shared" si="21"/>
        <v>0</v>
      </c>
      <c r="I1193" s="1"/>
      <c r="J1193" s="1"/>
    </row>
    <row r="1194" spans="2:10" x14ac:dyDescent="0.2">
      <c r="B1194" s="1" t="s">
        <v>217</v>
      </c>
      <c r="C1194" s="32">
        <v>8696</v>
      </c>
      <c r="D1194" s="1">
        <v>27000</v>
      </c>
      <c r="E1194" s="1"/>
      <c r="F1194" s="1">
        <v>235</v>
      </c>
      <c r="G1194" s="1">
        <v>27000</v>
      </c>
      <c r="H1194" s="5">
        <f t="shared" si="21"/>
        <v>0</v>
      </c>
      <c r="I1194" s="1"/>
      <c r="J1194" s="1"/>
    </row>
    <row r="1195" spans="2:10" x14ac:dyDescent="0.2">
      <c r="B1195" s="1" t="s">
        <v>217</v>
      </c>
      <c r="C1195" s="32">
        <v>3939</v>
      </c>
      <c r="D1195" s="1">
        <v>15000</v>
      </c>
      <c r="E1195" s="1"/>
      <c r="F1195" s="1">
        <v>167.3</v>
      </c>
      <c r="G1195" s="1">
        <v>15000</v>
      </c>
      <c r="H1195" s="5">
        <f t="shared" si="21"/>
        <v>0</v>
      </c>
      <c r="I1195" s="1"/>
      <c r="J1195" s="1"/>
    </row>
    <row r="1196" spans="2:10" x14ac:dyDescent="0.2">
      <c r="B1196" s="1" t="s">
        <v>217</v>
      </c>
      <c r="C1196" s="32" t="s">
        <v>66</v>
      </c>
      <c r="D1196" s="1">
        <v>200</v>
      </c>
      <c r="E1196" s="1"/>
      <c r="F1196" s="1"/>
      <c r="G1196" s="1">
        <v>200</v>
      </c>
      <c r="H1196" s="5">
        <f t="shared" si="21"/>
        <v>0</v>
      </c>
      <c r="I1196" s="1"/>
      <c r="J1196" s="1"/>
    </row>
    <row r="1197" spans="2:10" x14ac:dyDescent="0.2">
      <c r="B1197" s="1" t="s">
        <v>218</v>
      </c>
      <c r="C1197" s="32">
        <v>8674</v>
      </c>
      <c r="D1197" s="1">
        <v>18000</v>
      </c>
      <c r="E1197" s="1"/>
      <c r="F1197" s="1">
        <v>200.76</v>
      </c>
      <c r="G1197" s="1">
        <v>18000</v>
      </c>
      <c r="H1197" s="5">
        <f t="shared" si="21"/>
        <v>0</v>
      </c>
      <c r="I1197" s="1"/>
      <c r="J1197" s="1"/>
    </row>
    <row r="1198" spans="2:10" x14ac:dyDescent="0.2">
      <c r="B1198" s="1" t="s">
        <v>218</v>
      </c>
      <c r="C1198" s="32">
        <v>8438</v>
      </c>
      <c r="D1198" s="1">
        <v>25000</v>
      </c>
      <c r="E1198" s="1"/>
      <c r="F1198" s="1">
        <v>278.83</v>
      </c>
      <c r="G1198" s="1">
        <v>25000</v>
      </c>
      <c r="H1198" s="5">
        <f t="shared" si="21"/>
        <v>0</v>
      </c>
      <c r="I1198" s="1"/>
      <c r="J1198" s="1"/>
    </row>
    <row r="1199" spans="2:10" x14ac:dyDescent="0.2">
      <c r="B1199" s="1" t="s">
        <v>219</v>
      </c>
      <c r="C1199" s="32" t="s">
        <v>61</v>
      </c>
      <c r="D1199" s="1">
        <v>3500</v>
      </c>
      <c r="E1199" s="1"/>
      <c r="F1199" s="1">
        <v>39.04</v>
      </c>
      <c r="G1199" s="1">
        <v>3500</v>
      </c>
      <c r="H1199" s="5">
        <f t="shared" si="21"/>
        <v>0</v>
      </c>
      <c r="I1199" s="1"/>
      <c r="J1199" s="1"/>
    </row>
    <row r="1200" spans="2:10" x14ac:dyDescent="0.2">
      <c r="B1200" s="1" t="s">
        <v>219</v>
      </c>
      <c r="C1200" s="32">
        <v>1121</v>
      </c>
      <c r="D1200" s="1">
        <v>25000</v>
      </c>
      <c r="E1200" s="1"/>
      <c r="F1200" s="1">
        <v>278.83</v>
      </c>
      <c r="G1200" s="1">
        <v>25000</v>
      </c>
      <c r="H1200" s="5">
        <f t="shared" si="21"/>
        <v>0</v>
      </c>
      <c r="I1200" s="1"/>
      <c r="J1200" s="1"/>
    </row>
    <row r="1201" spans="2:10" x14ac:dyDescent="0.2">
      <c r="B1201" s="1" t="s">
        <v>219</v>
      </c>
      <c r="C1201" s="32">
        <v>2795</v>
      </c>
      <c r="D1201" s="1">
        <v>20000</v>
      </c>
      <c r="E1201" s="1"/>
      <c r="F1201" s="1">
        <v>223.06</v>
      </c>
      <c r="G1201" s="1">
        <v>20000</v>
      </c>
      <c r="H1201" s="5">
        <f t="shared" si="21"/>
        <v>0</v>
      </c>
      <c r="I1201" s="1"/>
      <c r="J1201" s="1"/>
    </row>
    <row r="1202" spans="2:10" x14ac:dyDescent="0.2">
      <c r="B1202" s="1" t="s">
        <v>219</v>
      </c>
      <c r="C1202" s="32">
        <v>9283</v>
      </c>
      <c r="D1202" s="1">
        <v>33000</v>
      </c>
      <c r="E1202" s="1"/>
      <c r="F1202" s="1">
        <v>368.05</v>
      </c>
      <c r="G1202" s="1">
        <v>33000</v>
      </c>
      <c r="H1202" s="5">
        <f t="shared" si="21"/>
        <v>0</v>
      </c>
      <c r="I1202" s="1"/>
      <c r="J1202" s="1"/>
    </row>
    <row r="1203" spans="2:10" x14ac:dyDescent="0.2">
      <c r="B1203" s="1" t="s">
        <v>219</v>
      </c>
      <c r="C1203" s="32">
        <v>5007</v>
      </c>
      <c r="D1203" s="1">
        <v>18000</v>
      </c>
      <c r="E1203" s="1"/>
      <c r="F1203" s="1">
        <v>200.76</v>
      </c>
      <c r="G1203" s="1">
        <v>18000</v>
      </c>
      <c r="H1203" s="5">
        <f t="shared" si="21"/>
        <v>0</v>
      </c>
      <c r="I1203" s="1"/>
      <c r="J1203" s="1"/>
    </row>
    <row r="1204" spans="2:10" x14ac:dyDescent="0.2">
      <c r="B1204" s="1" t="s">
        <v>219</v>
      </c>
      <c r="C1204" s="32" t="s">
        <v>66</v>
      </c>
      <c r="D1204" s="1">
        <v>200</v>
      </c>
      <c r="E1204" s="1"/>
      <c r="F1204" s="1"/>
      <c r="G1204" s="1">
        <v>200</v>
      </c>
      <c r="H1204" s="5">
        <f t="shared" si="21"/>
        <v>0</v>
      </c>
      <c r="I1204" s="1"/>
      <c r="J1204" s="1"/>
    </row>
    <row r="1205" spans="2:10" x14ac:dyDescent="0.2">
      <c r="B1205" s="1" t="s">
        <v>219</v>
      </c>
      <c r="C1205" s="32">
        <v>8513</v>
      </c>
      <c r="D1205" s="1">
        <v>25000</v>
      </c>
      <c r="E1205" s="1"/>
      <c r="F1205" s="1">
        <v>278.83</v>
      </c>
      <c r="G1205" s="1">
        <v>25000</v>
      </c>
      <c r="H1205" s="5">
        <f t="shared" si="21"/>
        <v>0</v>
      </c>
      <c r="I1205" s="1"/>
      <c r="J1205" s="1"/>
    </row>
    <row r="1206" spans="2:10" x14ac:dyDescent="0.2">
      <c r="B1206" s="1" t="s">
        <v>220</v>
      </c>
      <c r="C1206" s="32" t="s">
        <v>66</v>
      </c>
      <c r="D1206" s="1">
        <v>200</v>
      </c>
      <c r="E1206" s="1"/>
      <c r="F1206" s="1"/>
      <c r="G1206" s="1">
        <v>200</v>
      </c>
      <c r="H1206" s="5">
        <f t="shared" ref="H1206:H1270" si="22">D1206-G1206</f>
        <v>0</v>
      </c>
      <c r="I1206" s="1"/>
      <c r="J1206" s="1"/>
    </row>
    <row r="1207" spans="2:10" x14ac:dyDescent="0.2">
      <c r="B1207" s="1" t="s">
        <v>220</v>
      </c>
      <c r="C1207" s="32" t="s">
        <v>61</v>
      </c>
      <c r="D1207" s="1">
        <v>4500</v>
      </c>
      <c r="E1207" s="1"/>
      <c r="F1207" s="1">
        <v>50.19</v>
      </c>
      <c r="G1207" s="1">
        <v>4500</v>
      </c>
      <c r="H1207" s="5">
        <f t="shared" si="22"/>
        <v>0</v>
      </c>
      <c r="I1207" s="1"/>
      <c r="J1207" s="1"/>
    </row>
    <row r="1208" spans="2:10" x14ac:dyDescent="0.2">
      <c r="B1208" s="1" t="s">
        <v>220</v>
      </c>
      <c r="C1208" s="32">
        <v>5219</v>
      </c>
      <c r="D1208" s="1">
        <v>30000</v>
      </c>
      <c r="E1208" s="1"/>
      <c r="F1208" s="1">
        <v>334.59</v>
      </c>
      <c r="G1208" s="1">
        <v>30000</v>
      </c>
      <c r="H1208" s="5">
        <f t="shared" si="22"/>
        <v>0</v>
      </c>
      <c r="I1208" s="1"/>
      <c r="J1208" s="1"/>
    </row>
    <row r="1209" spans="2:10" x14ac:dyDescent="0.2">
      <c r="B1209" s="1" t="s">
        <v>220</v>
      </c>
      <c r="C1209" s="32">
        <v>9259</v>
      </c>
      <c r="D1209" s="1">
        <v>17000</v>
      </c>
      <c r="E1209" s="1"/>
      <c r="F1209" s="1">
        <v>189.6</v>
      </c>
      <c r="G1209" s="1">
        <v>17000</v>
      </c>
      <c r="H1209" s="5">
        <f t="shared" si="22"/>
        <v>0</v>
      </c>
      <c r="I1209" s="1"/>
      <c r="J1209" s="1"/>
    </row>
    <row r="1210" spans="2:10" x14ac:dyDescent="0.2">
      <c r="B1210" s="1" t="s">
        <v>220</v>
      </c>
      <c r="C1210" s="32">
        <v>321</v>
      </c>
      <c r="D1210" s="1">
        <v>18000</v>
      </c>
      <c r="E1210" s="1"/>
      <c r="F1210" s="1">
        <v>200.76</v>
      </c>
      <c r="G1210" s="1">
        <v>18000</v>
      </c>
      <c r="H1210" s="5">
        <f t="shared" si="22"/>
        <v>0</v>
      </c>
      <c r="I1210" s="1"/>
      <c r="J1210" s="1"/>
    </row>
    <row r="1211" spans="2:10" x14ac:dyDescent="0.2">
      <c r="B1211" s="1" t="s">
        <v>221</v>
      </c>
      <c r="C1211" s="32">
        <v>5300</v>
      </c>
      <c r="D1211" s="1">
        <v>8000</v>
      </c>
      <c r="E1211" s="1"/>
      <c r="F1211" s="1">
        <v>73.61</v>
      </c>
      <c r="G1211" s="1">
        <v>8000</v>
      </c>
      <c r="H1211" s="5">
        <f t="shared" si="22"/>
        <v>0</v>
      </c>
      <c r="I1211" s="1"/>
      <c r="J1211" s="1"/>
    </row>
    <row r="1212" spans="2:10" x14ac:dyDescent="0.2">
      <c r="B1212" s="1" t="s">
        <v>221</v>
      </c>
      <c r="C1212" s="32">
        <v>6910</v>
      </c>
      <c r="D1212" s="1">
        <v>26000</v>
      </c>
      <c r="E1212" s="1"/>
      <c r="F1212" s="1">
        <v>284.95999999999998</v>
      </c>
      <c r="G1212" s="1">
        <v>26000</v>
      </c>
      <c r="H1212" s="5">
        <f t="shared" si="22"/>
        <v>0</v>
      </c>
      <c r="I1212" s="1"/>
      <c r="J1212" s="1"/>
    </row>
    <row r="1213" spans="2:10" x14ac:dyDescent="0.2">
      <c r="B1213" s="1" t="s">
        <v>221</v>
      </c>
      <c r="C1213" s="32">
        <v>7520</v>
      </c>
      <c r="D1213" s="1">
        <v>14000</v>
      </c>
      <c r="E1213" s="1"/>
      <c r="F1213" s="1">
        <v>151.47999999999999</v>
      </c>
      <c r="G1213" s="1">
        <v>14000</v>
      </c>
      <c r="H1213" s="5">
        <f t="shared" si="22"/>
        <v>0</v>
      </c>
      <c r="I1213" s="1"/>
      <c r="J1213" s="1"/>
    </row>
    <row r="1214" spans="2:10" x14ac:dyDescent="0.2">
      <c r="B1214" s="1" t="s">
        <v>221</v>
      </c>
      <c r="C1214" s="32">
        <v>9385</v>
      </c>
      <c r="D1214" s="1">
        <v>25000</v>
      </c>
      <c r="E1214" s="1"/>
      <c r="F1214" s="1">
        <v>277.20999999999998</v>
      </c>
      <c r="G1214" s="1">
        <v>25000</v>
      </c>
      <c r="H1214" s="5">
        <f t="shared" si="22"/>
        <v>0</v>
      </c>
      <c r="I1214" s="1"/>
      <c r="J1214" s="1"/>
    </row>
    <row r="1215" spans="2:10" x14ac:dyDescent="0.2">
      <c r="B1215" s="1" t="s">
        <v>222</v>
      </c>
      <c r="C1215" s="32" t="s">
        <v>63</v>
      </c>
      <c r="D1215" s="1">
        <v>3500</v>
      </c>
      <c r="E1215" s="1"/>
      <c r="F1215" s="1">
        <v>39.04</v>
      </c>
      <c r="G1215" s="1">
        <v>3500</v>
      </c>
      <c r="H1215" s="5">
        <f t="shared" si="22"/>
        <v>0</v>
      </c>
      <c r="I1215" s="1"/>
      <c r="J1215" s="1"/>
    </row>
    <row r="1216" spans="2:10" x14ac:dyDescent="0.2">
      <c r="B1216" s="1" t="s">
        <v>222</v>
      </c>
      <c r="C1216" s="32">
        <v>9998</v>
      </c>
      <c r="D1216" s="1">
        <v>18000</v>
      </c>
      <c r="E1216" s="1"/>
      <c r="F1216" s="1">
        <v>199.08</v>
      </c>
      <c r="G1216" s="1">
        <v>18000</v>
      </c>
      <c r="H1216" s="5">
        <f t="shared" si="22"/>
        <v>0</v>
      </c>
      <c r="I1216" s="1"/>
      <c r="J1216" s="1"/>
    </row>
    <row r="1217" spans="2:10" x14ac:dyDescent="0.2">
      <c r="B1217" s="1" t="s">
        <v>222</v>
      </c>
      <c r="C1217" s="32">
        <v>2670</v>
      </c>
      <c r="D1217" s="1">
        <v>15000</v>
      </c>
      <c r="E1217" s="1"/>
      <c r="F1217" s="1">
        <v>167.3</v>
      </c>
      <c r="G1217" s="1">
        <v>15000</v>
      </c>
      <c r="H1217" s="5">
        <f t="shared" si="22"/>
        <v>0</v>
      </c>
      <c r="I1217" s="1"/>
      <c r="J1217" s="1"/>
    </row>
    <row r="1218" spans="2:10" x14ac:dyDescent="0.2">
      <c r="B1218" s="1" t="s">
        <v>222</v>
      </c>
      <c r="C1218" s="32">
        <v>2210</v>
      </c>
      <c r="D1218" s="1">
        <v>17000</v>
      </c>
      <c r="E1218" s="1"/>
      <c r="F1218" s="1">
        <v>189.6</v>
      </c>
      <c r="G1218" s="1">
        <v>17000</v>
      </c>
      <c r="H1218" s="5">
        <f t="shared" si="22"/>
        <v>0</v>
      </c>
      <c r="I1218" s="1"/>
      <c r="J1218" s="1"/>
    </row>
    <row r="1219" spans="2:10" x14ac:dyDescent="0.2">
      <c r="B1219" s="1" t="s">
        <v>222</v>
      </c>
      <c r="C1219" s="32">
        <v>3678</v>
      </c>
      <c r="D1219" s="1">
        <v>19000</v>
      </c>
      <c r="E1219" s="1"/>
      <c r="F1219" s="1">
        <v>211.19</v>
      </c>
      <c r="G1219" s="1">
        <v>19000</v>
      </c>
      <c r="H1219" s="5">
        <f t="shared" si="22"/>
        <v>0</v>
      </c>
      <c r="I1219" s="1"/>
      <c r="J1219" s="1"/>
    </row>
    <row r="1220" spans="2:10" x14ac:dyDescent="0.2">
      <c r="B1220" s="1" t="s">
        <v>223</v>
      </c>
      <c r="C1220" s="32" t="s">
        <v>66</v>
      </c>
      <c r="D1220" s="1">
        <v>210</v>
      </c>
      <c r="E1220" s="1"/>
      <c r="F1220" s="1">
        <v>175</v>
      </c>
      <c r="G1220" s="1">
        <v>210</v>
      </c>
      <c r="H1220" s="5">
        <f t="shared" si="22"/>
        <v>0</v>
      </c>
      <c r="I1220" s="1"/>
      <c r="J1220" s="1"/>
    </row>
    <row r="1221" spans="2:10" x14ac:dyDescent="0.2">
      <c r="B1221" s="1" t="s">
        <v>223</v>
      </c>
      <c r="C1221" s="32" t="s">
        <v>61</v>
      </c>
      <c r="D1221" s="1">
        <v>4500</v>
      </c>
      <c r="E1221" s="1"/>
      <c r="F1221" s="1">
        <v>44.75</v>
      </c>
      <c r="G1221" s="1">
        <v>4500</v>
      </c>
      <c r="H1221" s="5">
        <f t="shared" si="22"/>
        <v>0</v>
      </c>
      <c r="I1221" s="1"/>
      <c r="J1221" s="1"/>
    </row>
    <row r="1222" spans="2:10" x14ac:dyDescent="0.2">
      <c r="B1222" s="1" t="s">
        <v>223</v>
      </c>
      <c r="C1222" s="32">
        <v>4996</v>
      </c>
      <c r="D1222" s="1">
        <v>25000</v>
      </c>
      <c r="E1222" s="1"/>
      <c r="F1222" s="1">
        <v>278.38</v>
      </c>
      <c r="G1222" s="1">
        <v>25000</v>
      </c>
      <c r="H1222" s="5">
        <f t="shared" si="22"/>
        <v>0</v>
      </c>
      <c r="I1222" s="1"/>
      <c r="J1222" s="1"/>
    </row>
    <row r="1223" spans="2:10" x14ac:dyDescent="0.2">
      <c r="B1223" s="1" t="s">
        <v>223</v>
      </c>
      <c r="C1223" s="32">
        <v>4766</v>
      </c>
      <c r="D1223" s="1">
        <v>25000</v>
      </c>
      <c r="E1223" s="1"/>
      <c r="F1223" s="1">
        <v>278.38</v>
      </c>
      <c r="G1223" s="1">
        <v>25000</v>
      </c>
      <c r="H1223" s="5">
        <f t="shared" si="22"/>
        <v>0</v>
      </c>
      <c r="I1223" s="1"/>
      <c r="J1223" s="1"/>
    </row>
    <row r="1224" spans="2:10" x14ac:dyDescent="0.2">
      <c r="B1224" s="1" t="s">
        <v>223</v>
      </c>
      <c r="C1224" s="32">
        <v>9543</v>
      </c>
      <c r="D1224" s="1">
        <v>7000</v>
      </c>
      <c r="E1224" s="1"/>
      <c r="F1224" s="1">
        <v>78.069999999999993</v>
      </c>
      <c r="G1224" s="1">
        <v>7000</v>
      </c>
      <c r="H1224" s="5">
        <f t="shared" si="22"/>
        <v>0</v>
      </c>
      <c r="I1224" s="1"/>
      <c r="J1224" s="1"/>
    </row>
    <row r="1225" spans="2:10" x14ac:dyDescent="0.2">
      <c r="B1225" s="1" t="s">
        <v>223</v>
      </c>
      <c r="C1225" s="32">
        <v>7892</v>
      </c>
      <c r="D1225" s="1">
        <v>12000</v>
      </c>
      <c r="E1225" s="1"/>
      <c r="F1225" s="1">
        <v>133.84</v>
      </c>
      <c r="G1225" s="1">
        <v>12000</v>
      </c>
      <c r="H1225" s="5">
        <f t="shared" si="22"/>
        <v>0</v>
      </c>
      <c r="I1225" s="1"/>
      <c r="J1225" s="1"/>
    </row>
    <row r="1226" spans="2:10" x14ac:dyDescent="0.2">
      <c r="B1226" s="1" t="s">
        <v>224</v>
      </c>
      <c r="C1226" s="32">
        <v>3877</v>
      </c>
      <c r="D1226" s="1">
        <v>15000</v>
      </c>
      <c r="E1226" s="1"/>
      <c r="F1226" s="1">
        <v>167.3</v>
      </c>
      <c r="G1226" s="1">
        <v>15000</v>
      </c>
      <c r="H1226" s="5">
        <f t="shared" si="22"/>
        <v>0</v>
      </c>
      <c r="I1226" s="1"/>
      <c r="J1226" s="1"/>
    </row>
    <row r="1227" spans="2:10" x14ac:dyDescent="0.2">
      <c r="B1227" s="1" t="s">
        <v>224</v>
      </c>
      <c r="C1227" s="32">
        <v>6187</v>
      </c>
      <c r="D1227" s="1">
        <v>20000</v>
      </c>
      <c r="E1227" s="1"/>
      <c r="F1227" s="1">
        <v>315.64</v>
      </c>
      <c r="G1227" s="1">
        <v>20000</v>
      </c>
      <c r="H1227" s="5">
        <f t="shared" si="22"/>
        <v>0</v>
      </c>
      <c r="I1227" s="1"/>
      <c r="J1227" s="1"/>
    </row>
    <row r="1228" spans="2:10" x14ac:dyDescent="0.2">
      <c r="B1228" s="1" t="s">
        <v>224</v>
      </c>
      <c r="C1228" s="32">
        <v>1826</v>
      </c>
      <c r="D1228" s="1">
        <v>20000</v>
      </c>
      <c r="E1228" s="1"/>
      <c r="F1228" s="1">
        <v>223.06</v>
      </c>
      <c r="G1228" s="1">
        <v>20000</v>
      </c>
      <c r="H1228" s="5">
        <f t="shared" si="22"/>
        <v>0</v>
      </c>
      <c r="I1228" s="1"/>
      <c r="J1228" s="1"/>
    </row>
    <row r="1229" spans="2:10" x14ac:dyDescent="0.2">
      <c r="B1229" s="1" t="s">
        <v>224</v>
      </c>
      <c r="C1229" s="32">
        <v>1723</v>
      </c>
      <c r="D1229" s="1">
        <v>11000</v>
      </c>
      <c r="E1229" s="1"/>
      <c r="F1229" s="1">
        <v>122.69</v>
      </c>
      <c r="G1229" s="1">
        <v>11000</v>
      </c>
      <c r="H1229" s="5">
        <f t="shared" si="22"/>
        <v>0</v>
      </c>
      <c r="I1229" s="1"/>
      <c r="J1229" s="1"/>
    </row>
    <row r="1230" spans="2:10" x14ac:dyDescent="0.2">
      <c r="B1230" s="1" t="s">
        <v>226</v>
      </c>
      <c r="C1230" s="32" t="s">
        <v>30</v>
      </c>
      <c r="D1230" s="1">
        <v>3500</v>
      </c>
      <c r="E1230" s="1"/>
      <c r="F1230" s="1">
        <v>39.03</v>
      </c>
      <c r="G1230" s="1">
        <v>3500</v>
      </c>
      <c r="H1230" s="5">
        <f t="shared" si="22"/>
        <v>0</v>
      </c>
      <c r="I1230" s="1"/>
      <c r="J1230" s="1"/>
    </row>
    <row r="1231" spans="2:10" x14ac:dyDescent="0.2">
      <c r="B1231" s="1" t="s">
        <v>226</v>
      </c>
      <c r="C1231" s="32">
        <v>8507</v>
      </c>
      <c r="D1231" s="1">
        <v>16000</v>
      </c>
      <c r="E1231" s="1"/>
      <c r="F1231" s="1">
        <v>178.45</v>
      </c>
      <c r="G1231" s="1">
        <v>16000</v>
      </c>
      <c r="H1231" s="5">
        <f t="shared" si="22"/>
        <v>0</v>
      </c>
      <c r="I1231" s="1"/>
      <c r="J1231" s="1"/>
    </row>
    <row r="1232" spans="2:10" x14ac:dyDescent="0.2">
      <c r="B1232" s="1" t="s">
        <v>226</v>
      </c>
      <c r="C1232" s="58" t="s">
        <v>61</v>
      </c>
      <c r="D1232" s="1">
        <v>5000</v>
      </c>
      <c r="E1232" s="1"/>
      <c r="F1232" s="1">
        <v>55.77</v>
      </c>
      <c r="G1232" s="1">
        <v>5000</v>
      </c>
      <c r="H1232" s="5">
        <f t="shared" si="22"/>
        <v>0</v>
      </c>
      <c r="I1232" s="1"/>
      <c r="J1232" s="1"/>
    </row>
    <row r="1233" spans="2:10" x14ac:dyDescent="0.2">
      <c r="B1233" s="1" t="s">
        <v>226</v>
      </c>
      <c r="C1233" s="32">
        <v>1172</v>
      </c>
      <c r="D1233" s="1">
        <v>20000</v>
      </c>
      <c r="E1233" s="1"/>
      <c r="F1233" s="1">
        <v>223.06</v>
      </c>
      <c r="G1233" s="1">
        <v>20000</v>
      </c>
      <c r="H1233" s="5">
        <f t="shared" si="22"/>
        <v>0</v>
      </c>
      <c r="I1233" s="1"/>
      <c r="J1233" s="1"/>
    </row>
    <row r="1234" spans="2:10" x14ac:dyDescent="0.2">
      <c r="B1234" s="1" t="s">
        <v>226</v>
      </c>
      <c r="C1234" s="32">
        <v>3462</v>
      </c>
      <c r="D1234" s="1">
        <v>20000</v>
      </c>
      <c r="E1234" s="1"/>
      <c r="F1234" s="1">
        <v>223.06</v>
      </c>
      <c r="G1234" s="1">
        <v>20000</v>
      </c>
      <c r="H1234" s="5">
        <f t="shared" si="22"/>
        <v>0</v>
      </c>
      <c r="I1234" s="1"/>
      <c r="J1234" s="1"/>
    </row>
    <row r="1235" spans="2:10" x14ac:dyDescent="0.2">
      <c r="B1235" s="1" t="s">
        <v>226</v>
      </c>
      <c r="C1235" s="32">
        <v>249</v>
      </c>
      <c r="D1235" s="1">
        <v>20000</v>
      </c>
      <c r="E1235" s="1"/>
      <c r="F1235" s="1">
        <v>223.06</v>
      </c>
      <c r="G1235" s="1">
        <v>20000</v>
      </c>
      <c r="H1235" s="5">
        <f t="shared" si="22"/>
        <v>0</v>
      </c>
      <c r="I1235" s="1"/>
      <c r="J1235" s="1"/>
    </row>
    <row r="1236" spans="2:10" x14ac:dyDescent="0.2">
      <c r="B1236" s="1" t="s">
        <v>226</v>
      </c>
      <c r="C1236" s="32">
        <v>7833</v>
      </c>
      <c r="D1236" s="1">
        <v>20000</v>
      </c>
      <c r="E1236" s="1"/>
      <c r="F1236" s="1">
        <v>223.06</v>
      </c>
      <c r="G1236" s="1">
        <v>20000</v>
      </c>
      <c r="H1236" s="5">
        <f t="shared" si="22"/>
        <v>0</v>
      </c>
      <c r="I1236" s="1"/>
      <c r="J1236" s="1"/>
    </row>
    <row r="1237" spans="2:10" x14ac:dyDescent="0.2">
      <c r="B1237" s="1" t="s">
        <v>226</v>
      </c>
      <c r="C1237" s="32">
        <v>7512</v>
      </c>
      <c r="D1237" s="1">
        <v>25000</v>
      </c>
      <c r="E1237" s="1"/>
      <c r="F1237" s="1">
        <v>278</v>
      </c>
      <c r="G1237" s="1">
        <v>25000</v>
      </c>
      <c r="H1237" s="5">
        <f t="shared" si="22"/>
        <v>0</v>
      </c>
      <c r="I1237" s="1"/>
      <c r="J1237" s="1"/>
    </row>
    <row r="1238" spans="2:10" x14ac:dyDescent="0.2">
      <c r="B1238" s="1" t="s">
        <v>226</v>
      </c>
      <c r="C1238" s="32">
        <v>9347</v>
      </c>
      <c r="D1238" s="1">
        <v>22000</v>
      </c>
      <c r="E1238" s="1"/>
      <c r="F1238" s="1">
        <v>245.34</v>
      </c>
      <c r="G1238" s="1">
        <v>22000</v>
      </c>
      <c r="H1238" s="5">
        <f t="shared" si="22"/>
        <v>0</v>
      </c>
      <c r="I1238" s="1"/>
      <c r="J1238" s="1"/>
    </row>
    <row r="1239" spans="2:10" x14ac:dyDescent="0.2">
      <c r="B1239" s="1" t="s">
        <v>226</v>
      </c>
      <c r="C1239" s="32">
        <v>19</v>
      </c>
      <c r="D1239" s="1">
        <v>22000</v>
      </c>
      <c r="E1239" s="1"/>
      <c r="F1239" s="1">
        <v>245.34</v>
      </c>
      <c r="G1239" s="1">
        <v>22000</v>
      </c>
      <c r="H1239" s="5">
        <f t="shared" si="22"/>
        <v>0</v>
      </c>
      <c r="I1239" s="1"/>
      <c r="J1239" s="1"/>
    </row>
    <row r="1240" spans="2:10" x14ac:dyDescent="0.2">
      <c r="B1240" s="1" t="s">
        <v>226</v>
      </c>
      <c r="C1240" s="32">
        <v>3071</v>
      </c>
      <c r="D1240" s="1">
        <v>21000</v>
      </c>
      <c r="E1240" s="1"/>
      <c r="F1240" s="1">
        <v>234.22</v>
      </c>
      <c r="G1240" s="1">
        <v>21000</v>
      </c>
      <c r="H1240" s="5">
        <f t="shared" si="22"/>
        <v>0</v>
      </c>
      <c r="I1240" s="1"/>
      <c r="J1240" s="1"/>
    </row>
    <row r="1241" spans="2:10" x14ac:dyDescent="0.2">
      <c r="B1241" s="1" t="s">
        <v>226</v>
      </c>
      <c r="C1241" s="32">
        <v>8579</v>
      </c>
      <c r="D1241" s="1">
        <v>20000</v>
      </c>
      <c r="E1241" s="1"/>
      <c r="F1241" s="1">
        <v>223.06</v>
      </c>
      <c r="G1241" s="1">
        <v>20000</v>
      </c>
      <c r="H1241" s="5">
        <f t="shared" si="22"/>
        <v>0</v>
      </c>
      <c r="I1241" s="1"/>
      <c r="J1241" s="1"/>
    </row>
    <row r="1242" spans="2:10" x14ac:dyDescent="0.2">
      <c r="B1242" s="1" t="s">
        <v>226</v>
      </c>
      <c r="C1242" s="32">
        <v>5812</v>
      </c>
      <c r="D1242" s="1">
        <v>22000</v>
      </c>
      <c r="E1242" s="1"/>
      <c r="F1242" s="1">
        <v>245.35</v>
      </c>
      <c r="G1242" s="1">
        <v>22000</v>
      </c>
      <c r="H1242" s="5">
        <f t="shared" si="22"/>
        <v>0</v>
      </c>
      <c r="I1242" s="1"/>
      <c r="J1242" s="1"/>
    </row>
    <row r="1243" spans="2:10" x14ac:dyDescent="0.2">
      <c r="B1243" s="1" t="s">
        <v>226</v>
      </c>
      <c r="C1243" s="32">
        <v>4776</v>
      </c>
      <c r="D1243" s="1">
        <v>27000</v>
      </c>
      <c r="E1243" s="1"/>
      <c r="F1243" s="1">
        <v>301.14</v>
      </c>
      <c r="G1243" s="1">
        <v>27000</v>
      </c>
      <c r="H1243" s="5">
        <f t="shared" si="22"/>
        <v>0</v>
      </c>
      <c r="I1243" s="1"/>
      <c r="J1243" s="1"/>
    </row>
    <row r="1244" spans="2:10" x14ac:dyDescent="0.2">
      <c r="B1244" s="1" t="s">
        <v>226</v>
      </c>
      <c r="C1244" s="32">
        <v>5808</v>
      </c>
      <c r="D1244" s="1">
        <v>5000</v>
      </c>
      <c r="E1244" s="1"/>
      <c r="F1244" s="1">
        <v>55.77</v>
      </c>
      <c r="G1244" s="1">
        <v>5000</v>
      </c>
      <c r="H1244" s="5">
        <f t="shared" si="22"/>
        <v>0</v>
      </c>
      <c r="I1244" s="1"/>
      <c r="J1244" s="1"/>
    </row>
    <row r="1245" spans="2:10" x14ac:dyDescent="0.2">
      <c r="B1245" s="1" t="s">
        <v>226</v>
      </c>
      <c r="C1245" s="32">
        <v>7217</v>
      </c>
      <c r="D1245" s="1">
        <v>25000</v>
      </c>
      <c r="E1245" s="1"/>
      <c r="F1245" s="1">
        <v>278</v>
      </c>
      <c r="G1245" s="1">
        <v>25000</v>
      </c>
      <c r="H1245" s="5">
        <f t="shared" si="22"/>
        <v>0</v>
      </c>
      <c r="I1245" s="1"/>
      <c r="J1245" s="1"/>
    </row>
    <row r="1246" spans="2:10" x14ac:dyDescent="0.2">
      <c r="B1246" s="1" t="s">
        <v>226</v>
      </c>
      <c r="C1246" s="32">
        <v>7905</v>
      </c>
      <c r="D1246" s="1">
        <v>22000</v>
      </c>
      <c r="E1246" s="1"/>
      <c r="F1246" s="1">
        <v>245.35</v>
      </c>
      <c r="G1246" s="1">
        <v>22000</v>
      </c>
      <c r="H1246" s="5">
        <f t="shared" si="22"/>
        <v>0</v>
      </c>
      <c r="I1246" s="1"/>
      <c r="J1246" s="1"/>
    </row>
    <row r="1247" spans="2:10" x14ac:dyDescent="0.2">
      <c r="B1247" s="1" t="s">
        <v>226</v>
      </c>
      <c r="C1247" s="32">
        <v>5133</v>
      </c>
      <c r="D1247" s="1">
        <v>15000</v>
      </c>
      <c r="E1247" s="1"/>
      <c r="F1247" s="1">
        <v>167.3</v>
      </c>
      <c r="G1247" s="1">
        <v>15000</v>
      </c>
      <c r="H1247" s="5">
        <f t="shared" si="22"/>
        <v>0</v>
      </c>
      <c r="I1247" s="1"/>
      <c r="J1247" s="1"/>
    </row>
    <row r="1248" spans="2:10" x14ac:dyDescent="0.2">
      <c r="B1248" s="1" t="s">
        <v>226</v>
      </c>
      <c r="C1248" s="32">
        <v>4162</v>
      </c>
      <c r="D1248" s="1">
        <v>29000</v>
      </c>
      <c r="E1248" s="1"/>
      <c r="F1248" s="1">
        <v>323.44</v>
      </c>
      <c r="G1248" s="1">
        <v>29000</v>
      </c>
      <c r="H1248" s="5">
        <f t="shared" si="22"/>
        <v>0</v>
      </c>
      <c r="I1248" s="1"/>
      <c r="J1248" s="1"/>
    </row>
    <row r="1249" spans="2:10" x14ac:dyDescent="0.2">
      <c r="B1249" s="1" t="s">
        <v>226</v>
      </c>
      <c r="C1249" s="32">
        <v>5645</v>
      </c>
      <c r="D1249" s="1">
        <v>29000</v>
      </c>
      <c r="E1249" s="1"/>
      <c r="F1249" s="1">
        <v>323.44</v>
      </c>
      <c r="G1249" s="1">
        <v>29000</v>
      </c>
      <c r="H1249" s="5">
        <f t="shared" si="22"/>
        <v>0</v>
      </c>
      <c r="I1249" s="1"/>
      <c r="J1249" s="1"/>
    </row>
    <row r="1250" spans="2:10" x14ac:dyDescent="0.2">
      <c r="B1250" s="1" t="s">
        <v>226</v>
      </c>
      <c r="C1250" s="32">
        <v>3315</v>
      </c>
      <c r="D1250" s="1">
        <v>15000</v>
      </c>
      <c r="E1250" s="1"/>
      <c r="F1250" s="1">
        <v>167.3</v>
      </c>
      <c r="G1250" s="1">
        <v>15000</v>
      </c>
      <c r="H1250" s="5">
        <f t="shared" si="22"/>
        <v>0</v>
      </c>
      <c r="I1250" s="1"/>
      <c r="J1250" s="1"/>
    </row>
    <row r="1251" spans="2:10" x14ac:dyDescent="0.2">
      <c r="B1251" s="1" t="s">
        <v>226</v>
      </c>
      <c r="C1251" s="32">
        <v>5521</v>
      </c>
      <c r="D1251" s="1">
        <v>8000</v>
      </c>
      <c r="E1251" s="1"/>
      <c r="F1251" s="1">
        <v>88.23</v>
      </c>
      <c r="G1251" s="1">
        <v>8000</v>
      </c>
      <c r="H1251" s="5">
        <f t="shared" si="22"/>
        <v>0</v>
      </c>
      <c r="I1251" s="1"/>
      <c r="J1251" s="1"/>
    </row>
    <row r="1252" spans="2:10" x14ac:dyDescent="0.2">
      <c r="B1252" s="1" t="s">
        <v>226</v>
      </c>
      <c r="C1252" s="32">
        <v>8973</v>
      </c>
      <c r="D1252" s="1">
        <v>19214</v>
      </c>
      <c r="E1252" s="1"/>
      <c r="F1252" s="1">
        <v>218.6</v>
      </c>
      <c r="G1252" s="1">
        <v>19214</v>
      </c>
      <c r="H1252" s="5">
        <f t="shared" si="22"/>
        <v>0</v>
      </c>
      <c r="I1252" s="1"/>
      <c r="J1252" s="1"/>
    </row>
    <row r="1253" spans="2:10" x14ac:dyDescent="0.2">
      <c r="B1253" s="1" t="s">
        <v>227</v>
      </c>
      <c r="C1253" s="32" t="s">
        <v>66</v>
      </c>
      <c r="D1253" s="1">
        <v>200</v>
      </c>
      <c r="E1253" s="1"/>
      <c r="F1253" s="1"/>
      <c r="G1253" s="1">
        <v>200</v>
      </c>
      <c r="H1253" s="5">
        <f t="shared" si="22"/>
        <v>0</v>
      </c>
      <c r="I1253" s="1"/>
      <c r="J1253" s="1"/>
    </row>
    <row r="1254" spans="2:10" x14ac:dyDescent="0.2">
      <c r="B1254" s="1" t="s">
        <v>227</v>
      </c>
      <c r="C1254" s="32">
        <v>298</v>
      </c>
      <c r="D1254" s="1">
        <v>15000</v>
      </c>
      <c r="E1254" s="1"/>
      <c r="F1254" s="1">
        <v>167.3</v>
      </c>
      <c r="G1254" s="1">
        <v>15000</v>
      </c>
      <c r="H1254" s="5">
        <f t="shared" si="22"/>
        <v>0</v>
      </c>
      <c r="I1254" s="1"/>
      <c r="J1254" s="1"/>
    </row>
    <row r="1255" spans="2:10" x14ac:dyDescent="0.2">
      <c r="B1255" s="1" t="s">
        <v>227</v>
      </c>
      <c r="C1255" s="32" t="s">
        <v>30</v>
      </c>
      <c r="D1255" s="1">
        <v>4500</v>
      </c>
      <c r="E1255" s="1"/>
      <c r="F1255" s="1">
        <v>50.19</v>
      </c>
      <c r="G1255" s="1">
        <v>4500</v>
      </c>
      <c r="H1255" s="5">
        <f t="shared" si="22"/>
        <v>0</v>
      </c>
      <c r="I1255" s="1"/>
      <c r="J1255" s="1"/>
    </row>
    <row r="1256" spans="2:10" x14ac:dyDescent="0.2">
      <c r="B1256" s="1" t="s">
        <v>227</v>
      </c>
      <c r="C1256" s="32">
        <v>5339</v>
      </c>
      <c r="D1256" s="1">
        <v>31000</v>
      </c>
      <c r="E1256" s="1"/>
      <c r="F1256" s="1">
        <v>335.71</v>
      </c>
      <c r="G1256" s="1">
        <v>31000</v>
      </c>
      <c r="H1256" s="5">
        <f t="shared" si="22"/>
        <v>0</v>
      </c>
      <c r="I1256" s="1"/>
      <c r="J1256" s="1"/>
    </row>
    <row r="1257" spans="2:10" x14ac:dyDescent="0.2">
      <c r="B1257" s="1" t="s">
        <v>227</v>
      </c>
      <c r="C1257" s="32">
        <v>1727</v>
      </c>
      <c r="D1257" s="1">
        <v>31000</v>
      </c>
      <c r="E1257" s="1"/>
      <c r="F1257" s="1">
        <v>335.71</v>
      </c>
      <c r="G1257" s="1">
        <v>31000</v>
      </c>
      <c r="H1257" s="5">
        <f t="shared" si="22"/>
        <v>0</v>
      </c>
      <c r="I1257" s="1"/>
      <c r="J1257" s="1"/>
    </row>
    <row r="1258" spans="2:10" x14ac:dyDescent="0.2">
      <c r="B1258" s="1" t="s">
        <v>227</v>
      </c>
      <c r="C1258" s="32">
        <v>693</v>
      </c>
      <c r="D1258" s="1">
        <v>32000</v>
      </c>
      <c r="E1258" s="1"/>
      <c r="F1258" s="1">
        <v>356</v>
      </c>
      <c r="G1258" s="1">
        <v>32000</v>
      </c>
      <c r="H1258" s="5">
        <f t="shared" si="22"/>
        <v>0</v>
      </c>
      <c r="I1258" s="1"/>
      <c r="J1258" s="1"/>
    </row>
    <row r="1259" spans="2:10" x14ac:dyDescent="0.2">
      <c r="B1259" s="1" t="s">
        <v>227</v>
      </c>
      <c r="C1259" s="32">
        <v>3470</v>
      </c>
      <c r="D1259" s="1">
        <v>24000</v>
      </c>
      <c r="E1259" s="1"/>
      <c r="F1259" s="1">
        <v>267.68</v>
      </c>
      <c r="G1259" s="1">
        <v>24000</v>
      </c>
      <c r="H1259" s="5">
        <f t="shared" si="22"/>
        <v>0</v>
      </c>
      <c r="I1259" s="1"/>
      <c r="J1259" s="1"/>
    </row>
    <row r="1260" spans="2:10" x14ac:dyDescent="0.2">
      <c r="B1260" s="1" t="s">
        <v>227</v>
      </c>
      <c r="C1260" s="32">
        <v>9025</v>
      </c>
      <c r="D1260" s="1">
        <v>20000</v>
      </c>
      <c r="E1260" s="1"/>
      <c r="F1260" s="1">
        <v>223.06</v>
      </c>
      <c r="G1260" s="1">
        <v>20000</v>
      </c>
      <c r="H1260" s="5">
        <f t="shared" si="22"/>
        <v>0</v>
      </c>
      <c r="I1260" s="1"/>
      <c r="J1260" s="1"/>
    </row>
    <row r="1261" spans="2:10" x14ac:dyDescent="0.2">
      <c r="B1261" s="1" t="s">
        <v>227</v>
      </c>
      <c r="C1261" s="32">
        <v>2151</v>
      </c>
      <c r="D1261" s="1">
        <v>18000</v>
      </c>
      <c r="E1261" s="1"/>
      <c r="F1261" s="1">
        <v>200.76</v>
      </c>
      <c r="G1261" s="1">
        <v>18000</v>
      </c>
      <c r="H1261" s="5">
        <f t="shared" si="22"/>
        <v>0</v>
      </c>
      <c r="I1261" s="1"/>
      <c r="J1261" s="1"/>
    </row>
    <row r="1262" spans="2:10" x14ac:dyDescent="0.2">
      <c r="B1262" s="1" t="s">
        <v>227</v>
      </c>
      <c r="C1262" s="32">
        <v>3156</v>
      </c>
      <c r="D1262" s="1">
        <v>15000</v>
      </c>
      <c r="E1262" s="1"/>
      <c r="F1262" s="1">
        <v>167.3</v>
      </c>
      <c r="G1262" s="1">
        <v>15000</v>
      </c>
      <c r="H1262" s="5">
        <f t="shared" si="22"/>
        <v>0</v>
      </c>
      <c r="I1262" s="1"/>
      <c r="J1262" s="1"/>
    </row>
    <row r="1263" spans="2:10" x14ac:dyDescent="0.2">
      <c r="B1263" s="1" t="s">
        <v>227</v>
      </c>
      <c r="C1263" s="32">
        <v>3580</v>
      </c>
      <c r="D1263" s="1">
        <v>15000</v>
      </c>
      <c r="E1263" s="1"/>
      <c r="F1263" s="1">
        <v>167.3</v>
      </c>
      <c r="G1263" s="1">
        <v>15000</v>
      </c>
      <c r="H1263" s="5">
        <f t="shared" si="22"/>
        <v>0</v>
      </c>
      <c r="I1263" s="1"/>
      <c r="J1263" s="1"/>
    </row>
    <row r="1264" spans="2:10" x14ac:dyDescent="0.2">
      <c r="B1264" s="1" t="s">
        <v>227</v>
      </c>
      <c r="C1264" s="32">
        <v>1406</v>
      </c>
      <c r="D1264" s="1">
        <v>24000</v>
      </c>
      <c r="E1264" s="1"/>
      <c r="F1264" s="1">
        <v>267.18</v>
      </c>
      <c r="G1264" s="1">
        <v>24000</v>
      </c>
      <c r="H1264" s="5">
        <f t="shared" si="22"/>
        <v>0</v>
      </c>
      <c r="I1264" s="1"/>
      <c r="J1264" s="1"/>
    </row>
    <row r="1265" spans="2:10" x14ac:dyDescent="0.2">
      <c r="B1265" s="1" t="s">
        <v>227</v>
      </c>
      <c r="C1265" s="32">
        <v>1718</v>
      </c>
      <c r="D1265" s="1">
        <v>7000</v>
      </c>
      <c r="E1265" s="1"/>
      <c r="F1265" s="1">
        <v>78.069999999999993</v>
      </c>
      <c r="G1265" s="1">
        <v>7000</v>
      </c>
      <c r="H1265" s="5">
        <f t="shared" si="22"/>
        <v>0</v>
      </c>
      <c r="I1265" s="1"/>
      <c r="J1265" s="1"/>
    </row>
    <row r="1266" spans="2:10" x14ac:dyDescent="0.2">
      <c r="B1266" s="1" t="s">
        <v>227</v>
      </c>
      <c r="C1266" s="32">
        <v>2068</v>
      </c>
      <c r="D1266" s="1">
        <v>20000</v>
      </c>
      <c r="E1266" s="1"/>
      <c r="F1266" s="1">
        <v>218.6</v>
      </c>
      <c r="G1266" s="1">
        <v>20000</v>
      </c>
      <c r="H1266" s="5">
        <f t="shared" si="22"/>
        <v>0</v>
      </c>
      <c r="I1266" s="1"/>
      <c r="J1266" s="1"/>
    </row>
    <row r="1267" spans="2:10" x14ac:dyDescent="0.2">
      <c r="B1267" s="1" t="s">
        <v>227</v>
      </c>
      <c r="C1267" s="32">
        <v>7761</v>
      </c>
      <c r="D1267" s="1">
        <v>22000</v>
      </c>
      <c r="E1267" s="1"/>
      <c r="F1267" s="1">
        <v>246.49</v>
      </c>
      <c r="G1267" s="1">
        <v>22000</v>
      </c>
      <c r="H1267" s="5">
        <f t="shared" si="22"/>
        <v>0</v>
      </c>
      <c r="I1267" s="1"/>
      <c r="J1267" s="1"/>
    </row>
    <row r="1268" spans="2:10" x14ac:dyDescent="0.2">
      <c r="B1268" s="1" t="s">
        <v>227</v>
      </c>
      <c r="C1268" s="32">
        <v>8033</v>
      </c>
      <c r="D1268" s="1">
        <v>21000</v>
      </c>
      <c r="E1268" s="1"/>
      <c r="F1268" s="1">
        <v>234.22</v>
      </c>
      <c r="G1268" s="1">
        <v>21000</v>
      </c>
      <c r="H1268" s="5">
        <f t="shared" si="22"/>
        <v>0</v>
      </c>
      <c r="I1268" s="1"/>
      <c r="J1268" s="1"/>
    </row>
    <row r="1269" spans="2:10" x14ac:dyDescent="0.2">
      <c r="B1269" s="1" t="s">
        <v>227</v>
      </c>
      <c r="C1269" s="32">
        <v>4811</v>
      </c>
      <c r="D1269" s="1">
        <v>5000</v>
      </c>
      <c r="E1269" s="1"/>
      <c r="F1269" s="1">
        <v>55.77</v>
      </c>
      <c r="G1269" s="1">
        <v>5000</v>
      </c>
      <c r="H1269" s="5">
        <f t="shared" si="22"/>
        <v>0</v>
      </c>
      <c r="I1269" s="1"/>
      <c r="J1269" s="1"/>
    </row>
    <row r="1270" spans="2:10" x14ac:dyDescent="0.2">
      <c r="B1270" s="1" t="s">
        <v>228</v>
      </c>
      <c r="C1270" s="32">
        <v>4542</v>
      </c>
      <c r="D1270" s="1">
        <v>25000</v>
      </c>
      <c r="E1270" s="1"/>
      <c r="F1270" s="1">
        <v>278.83</v>
      </c>
      <c r="G1270" s="1">
        <v>25000</v>
      </c>
      <c r="H1270" s="5">
        <f t="shared" si="22"/>
        <v>0</v>
      </c>
      <c r="I1270" s="1"/>
      <c r="J1270" s="1"/>
    </row>
    <row r="1271" spans="2:10" x14ac:dyDescent="0.2">
      <c r="B1271" s="1" t="s">
        <v>228</v>
      </c>
      <c r="C1271" s="32">
        <v>145</v>
      </c>
      <c r="D1271" s="1">
        <v>24000</v>
      </c>
      <c r="E1271" s="1"/>
      <c r="F1271" s="1">
        <v>256.52999999999997</v>
      </c>
      <c r="G1271" s="1">
        <v>24000</v>
      </c>
      <c r="H1271" s="5">
        <f t="shared" ref="H1271:H1347" si="23">D1271-G1271</f>
        <v>0</v>
      </c>
      <c r="I1271" s="1"/>
      <c r="J1271" s="1"/>
    </row>
    <row r="1272" spans="2:10" x14ac:dyDescent="0.2">
      <c r="B1272" s="1" t="s">
        <v>228</v>
      </c>
      <c r="C1272" s="32">
        <v>9952</v>
      </c>
      <c r="D1272" s="1">
        <v>20000</v>
      </c>
      <c r="E1272" s="1"/>
      <c r="F1272" s="1">
        <v>223.06</v>
      </c>
      <c r="G1272" s="1">
        <v>20000</v>
      </c>
      <c r="H1272" s="5">
        <f t="shared" si="23"/>
        <v>0</v>
      </c>
      <c r="I1272" s="1"/>
      <c r="J1272" s="1"/>
    </row>
    <row r="1273" spans="2:10" x14ac:dyDescent="0.2">
      <c r="B1273" s="1" t="s">
        <v>228</v>
      </c>
      <c r="C1273" s="32">
        <v>4591</v>
      </c>
      <c r="D1273" s="1">
        <v>27000</v>
      </c>
      <c r="E1273" s="1"/>
      <c r="F1273" s="1">
        <v>301.14</v>
      </c>
      <c r="G1273" s="1">
        <v>27000</v>
      </c>
      <c r="H1273" s="5">
        <f t="shared" si="23"/>
        <v>0</v>
      </c>
      <c r="I1273" s="1"/>
      <c r="J1273" s="1"/>
    </row>
    <row r="1274" spans="2:10" x14ac:dyDescent="0.2">
      <c r="B1274" s="1" t="s">
        <v>228</v>
      </c>
      <c r="C1274" s="32">
        <v>2339</v>
      </c>
      <c r="D1274" s="1">
        <v>30000</v>
      </c>
      <c r="E1274" s="1"/>
      <c r="F1274" s="1">
        <v>344.6</v>
      </c>
      <c r="G1274" s="1">
        <v>30000</v>
      </c>
      <c r="H1274" s="5">
        <f t="shared" si="23"/>
        <v>0</v>
      </c>
      <c r="I1274" s="1"/>
      <c r="J1274" s="1"/>
    </row>
    <row r="1275" spans="2:10" x14ac:dyDescent="0.2">
      <c r="B1275" s="1" t="s">
        <v>228</v>
      </c>
      <c r="C1275" s="32">
        <v>3152</v>
      </c>
      <c r="D1275" s="1">
        <v>22000</v>
      </c>
      <c r="E1275" s="1"/>
      <c r="F1275" s="1">
        <v>244.52</v>
      </c>
      <c r="G1275" s="1">
        <v>22000</v>
      </c>
      <c r="H1275" s="5">
        <f t="shared" si="23"/>
        <v>0</v>
      </c>
      <c r="I1275" s="1"/>
      <c r="J1275" s="1"/>
    </row>
    <row r="1276" spans="2:10" x14ac:dyDescent="0.2">
      <c r="B1276" s="1" t="s">
        <v>228</v>
      </c>
      <c r="C1276" s="32">
        <v>9741</v>
      </c>
      <c r="D1276" s="1">
        <v>5000</v>
      </c>
      <c r="E1276" s="1"/>
      <c r="F1276" s="1">
        <v>55.77</v>
      </c>
      <c r="G1276" s="1">
        <v>5000</v>
      </c>
      <c r="H1276" s="5">
        <f t="shared" si="23"/>
        <v>0</v>
      </c>
      <c r="I1276" s="1"/>
      <c r="J1276" s="1"/>
    </row>
    <row r="1277" spans="2:10" x14ac:dyDescent="0.2">
      <c r="B1277" s="1" t="s">
        <v>228</v>
      </c>
      <c r="C1277" s="32">
        <v>8651</v>
      </c>
      <c r="D1277" s="1">
        <v>12000</v>
      </c>
      <c r="E1277" s="1"/>
      <c r="F1277" s="1">
        <v>133.84</v>
      </c>
      <c r="G1277" s="1">
        <v>12000</v>
      </c>
      <c r="H1277" s="5">
        <f t="shared" si="23"/>
        <v>0</v>
      </c>
      <c r="I1277" s="1"/>
      <c r="J1277" s="1"/>
    </row>
    <row r="1278" spans="2:10" x14ac:dyDescent="0.2">
      <c r="B1278" s="1" t="s">
        <v>228</v>
      </c>
      <c r="C1278" s="32">
        <v>9751</v>
      </c>
      <c r="D1278" s="1">
        <v>12000</v>
      </c>
      <c r="E1278" s="1"/>
      <c r="F1278" s="1">
        <v>133.84</v>
      </c>
      <c r="G1278" s="1">
        <v>12000</v>
      </c>
      <c r="H1278" s="5">
        <f t="shared" si="23"/>
        <v>0</v>
      </c>
      <c r="I1278" s="1"/>
      <c r="J1278" s="1"/>
    </row>
    <row r="1279" spans="2:10" x14ac:dyDescent="0.2">
      <c r="B1279" s="1" t="s">
        <v>228</v>
      </c>
      <c r="C1279" s="32">
        <v>779</v>
      </c>
      <c r="D1279" s="1">
        <v>22000</v>
      </c>
      <c r="E1279" s="1"/>
      <c r="F1279" s="1">
        <v>245.37</v>
      </c>
      <c r="G1279" s="1">
        <v>22000</v>
      </c>
      <c r="H1279" s="5">
        <f t="shared" si="23"/>
        <v>0</v>
      </c>
      <c r="I1279" s="1"/>
      <c r="J1279" s="1"/>
    </row>
    <row r="1280" spans="2:10" x14ac:dyDescent="0.2">
      <c r="B1280" s="1" t="s">
        <v>228</v>
      </c>
      <c r="C1280" s="32">
        <v>3886</v>
      </c>
      <c r="D1280" s="1">
        <v>15000</v>
      </c>
      <c r="E1280" s="1"/>
      <c r="F1280" s="1">
        <v>167.3</v>
      </c>
      <c r="G1280" s="1">
        <v>15000</v>
      </c>
      <c r="H1280" s="5">
        <f t="shared" si="23"/>
        <v>0</v>
      </c>
      <c r="I1280" s="1"/>
      <c r="J1280" s="1"/>
    </row>
    <row r="1281" spans="2:10" x14ac:dyDescent="0.2">
      <c r="B1281" s="1" t="s">
        <v>228</v>
      </c>
      <c r="C1281" s="32">
        <v>9916</v>
      </c>
      <c r="D1281" s="1">
        <v>10000</v>
      </c>
      <c r="E1281" s="1"/>
      <c r="F1281" s="1">
        <v>111.53</v>
      </c>
      <c r="G1281" s="1">
        <v>10000</v>
      </c>
      <c r="H1281" s="5">
        <f t="shared" si="23"/>
        <v>0</v>
      </c>
      <c r="I1281" s="1"/>
      <c r="J1281" s="1"/>
    </row>
    <row r="1282" spans="2:10" x14ac:dyDescent="0.2">
      <c r="B1282" s="1" t="s">
        <v>228</v>
      </c>
      <c r="C1282" s="32">
        <v>4290</v>
      </c>
      <c r="D1282" s="1">
        <v>10000</v>
      </c>
      <c r="E1282" s="1"/>
      <c r="F1282" s="1">
        <v>111.53</v>
      </c>
      <c r="G1282" s="1">
        <v>10000</v>
      </c>
      <c r="H1282" s="5">
        <f t="shared" si="23"/>
        <v>0</v>
      </c>
      <c r="I1282" s="1"/>
      <c r="J1282" s="1"/>
    </row>
    <row r="1283" spans="2:10" x14ac:dyDescent="0.2">
      <c r="B1283" s="1" t="s">
        <v>228</v>
      </c>
      <c r="C1283" s="32">
        <v>8348</v>
      </c>
      <c r="D1283" s="1">
        <v>20000</v>
      </c>
      <c r="E1283" s="1"/>
      <c r="F1283" s="1">
        <v>223.06</v>
      </c>
      <c r="G1283" s="1">
        <v>20000</v>
      </c>
      <c r="H1283" s="5">
        <f t="shared" si="23"/>
        <v>0</v>
      </c>
      <c r="I1283" s="1"/>
      <c r="J1283" s="1"/>
    </row>
    <row r="1284" spans="2:10" x14ac:dyDescent="0.2">
      <c r="B1284" s="1" t="s">
        <v>228</v>
      </c>
      <c r="C1284" s="32">
        <v>3531</v>
      </c>
      <c r="D1284" s="1">
        <v>21000</v>
      </c>
      <c r="E1284" s="1"/>
      <c r="F1284" s="1">
        <v>234.22</v>
      </c>
      <c r="G1284" s="1">
        <v>21000</v>
      </c>
      <c r="H1284" s="5">
        <f t="shared" si="23"/>
        <v>0</v>
      </c>
      <c r="I1284" s="1"/>
      <c r="J1284" s="1"/>
    </row>
    <row r="1285" spans="2:10" x14ac:dyDescent="0.2">
      <c r="B1285" s="1" t="s">
        <v>228</v>
      </c>
      <c r="C1285" s="32">
        <v>5100</v>
      </c>
      <c r="D1285" s="1">
        <v>20000</v>
      </c>
      <c r="E1285" s="1"/>
      <c r="F1285" s="1">
        <v>223.06</v>
      </c>
      <c r="G1285" s="1">
        <v>20000</v>
      </c>
      <c r="H1285" s="5">
        <f t="shared" si="23"/>
        <v>0</v>
      </c>
      <c r="I1285" s="1"/>
      <c r="J1285" s="1"/>
    </row>
    <row r="1286" spans="2:10" x14ac:dyDescent="0.2">
      <c r="B1286" s="1" t="s">
        <v>228</v>
      </c>
      <c r="C1286" s="32">
        <v>2781</v>
      </c>
      <c r="D1286" s="1">
        <v>30000</v>
      </c>
      <c r="E1286" s="1"/>
      <c r="F1286" s="1">
        <v>334.59</v>
      </c>
      <c r="G1286" s="1">
        <v>30000</v>
      </c>
      <c r="H1286" s="5">
        <f t="shared" si="23"/>
        <v>0</v>
      </c>
      <c r="I1286" s="1"/>
      <c r="J1286" s="1"/>
    </row>
    <row r="1287" spans="2:10" x14ac:dyDescent="0.2">
      <c r="B1287" s="1" t="s">
        <v>228</v>
      </c>
      <c r="C1287" s="32">
        <v>9686</v>
      </c>
      <c r="D1287" s="1">
        <v>30000</v>
      </c>
      <c r="E1287" s="1"/>
      <c r="F1287" s="1">
        <v>334.59</v>
      </c>
      <c r="G1287" s="1">
        <v>30000</v>
      </c>
      <c r="H1287" s="5">
        <f t="shared" si="23"/>
        <v>0</v>
      </c>
      <c r="I1287" s="1"/>
      <c r="J1287" s="1"/>
    </row>
    <row r="1288" spans="2:10" x14ac:dyDescent="0.2">
      <c r="B1288" s="1" t="s">
        <v>228</v>
      </c>
      <c r="C1288" s="32">
        <v>7311</v>
      </c>
      <c r="D1288" s="1">
        <v>20000</v>
      </c>
      <c r="E1288" s="1"/>
      <c r="F1288" s="1">
        <v>194.07</v>
      </c>
      <c r="G1288" s="1">
        <v>20000</v>
      </c>
      <c r="H1288" s="5">
        <f t="shared" si="23"/>
        <v>0</v>
      </c>
      <c r="I1288" s="1"/>
      <c r="J1288" s="1"/>
    </row>
    <row r="1289" spans="2:10" x14ac:dyDescent="0.2">
      <c r="B1289" s="1" t="s">
        <v>228</v>
      </c>
      <c r="C1289" s="32">
        <v>4786</v>
      </c>
      <c r="D1289" s="1">
        <v>30000</v>
      </c>
      <c r="E1289" s="1"/>
      <c r="F1289" s="1">
        <v>329.02</v>
      </c>
      <c r="G1289" s="1">
        <v>30000</v>
      </c>
      <c r="H1289" s="5">
        <f t="shared" si="23"/>
        <v>0</v>
      </c>
      <c r="I1289" s="1"/>
      <c r="J1289" s="1"/>
    </row>
    <row r="1290" spans="2:10" x14ac:dyDescent="0.2">
      <c r="B1290" s="6" t="s">
        <v>228</v>
      </c>
      <c r="C1290" s="58">
        <v>5851</v>
      </c>
      <c r="D1290" s="6">
        <v>30000</v>
      </c>
      <c r="E1290" s="1"/>
      <c r="F1290" s="1">
        <v>329.02</v>
      </c>
      <c r="G1290" s="1">
        <v>30000</v>
      </c>
      <c r="H1290" s="5">
        <f t="shared" si="23"/>
        <v>0</v>
      </c>
      <c r="I1290" s="1"/>
      <c r="J1290" s="1"/>
    </row>
    <row r="1291" spans="2:10" x14ac:dyDescent="0.2">
      <c r="B1291" s="1" t="s">
        <v>230</v>
      </c>
      <c r="C1291" s="32" t="s">
        <v>63</v>
      </c>
      <c r="D1291" s="1">
        <v>3500</v>
      </c>
      <c r="E1291" s="1"/>
      <c r="F1291" s="1">
        <v>39.04</v>
      </c>
      <c r="G1291" s="1">
        <v>3500</v>
      </c>
      <c r="H1291" s="5">
        <f t="shared" si="23"/>
        <v>0</v>
      </c>
      <c r="I1291" s="1"/>
      <c r="J1291" s="1"/>
    </row>
    <row r="1292" spans="2:10" x14ac:dyDescent="0.2">
      <c r="B1292" s="1" t="s">
        <v>230</v>
      </c>
      <c r="C1292" s="32" t="s">
        <v>30</v>
      </c>
      <c r="D1292" s="1">
        <v>4500</v>
      </c>
      <c r="E1292" s="1"/>
      <c r="F1292" s="1">
        <v>50.19</v>
      </c>
      <c r="G1292" s="1">
        <v>4500</v>
      </c>
      <c r="H1292" s="5">
        <f t="shared" si="23"/>
        <v>0</v>
      </c>
      <c r="I1292" s="1"/>
      <c r="J1292" s="1"/>
    </row>
    <row r="1293" spans="2:10" x14ac:dyDescent="0.2">
      <c r="B1293" s="1" t="s">
        <v>230</v>
      </c>
      <c r="C1293" s="32">
        <v>1468</v>
      </c>
      <c r="D1293" s="1">
        <v>26000</v>
      </c>
      <c r="E1293" s="1"/>
      <c r="F1293" s="1">
        <v>289.98</v>
      </c>
      <c r="G1293" s="1">
        <v>26000</v>
      </c>
      <c r="H1293" s="5">
        <f t="shared" si="23"/>
        <v>0</v>
      </c>
      <c r="I1293" s="1"/>
      <c r="J1293" s="1"/>
    </row>
    <row r="1294" spans="2:10" x14ac:dyDescent="0.2">
      <c r="B1294" s="1" t="s">
        <v>230</v>
      </c>
      <c r="C1294" s="32">
        <v>5817</v>
      </c>
      <c r="D1294" s="1">
        <v>26000</v>
      </c>
      <c r="E1294" s="1"/>
      <c r="F1294" s="1">
        <v>289.98</v>
      </c>
      <c r="G1294" s="1">
        <v>26000</v>
      </c>
      <c r="H1294" s="5">
        <f t="shared" si="23"/>
        <v>0</v>
      </c>
      <c r="I1294" s="1"/>
      <c r="J1294" s="1"/>
    </row>
    <row r="1295" spans="2:10" x14ac:dyDescent="0.2">
      <c r="B1295" s="1" t="s">
        <v>230</v>
      </c>
      <c r="C1295" s="32">
        <v>5386</v>
      </c>
      <c r="D1295" s="1">
        <v>27000</v>
      </c>
      <c r="E1295" s="1"/>
      <c r="F1295" s="1">
        <v>301.14</v>
      </c>
      <c r="G1295" s="1">
        <v>27000</v>
      </c>
      <c r="H1295" s="5">
        <f t="shared" si="23"/>
        <v>0</v>
      </c>
      <c r="I1295" s="1"/>
      <c r="J1295" s="1"/>
    </row>
    <row r="1296" spans="2:10" x14ac:dyDescent="0.2">
      <c r="B1296" s="1" t="s">
        <v>230</v>
      </c>
      <c r="C1296" s="32">
        <v>405</v>
      </c>
      <c r="D1296" s="1">
        <v>27000</v>
      </c>
      <c r="E1296" s="1"/>
      <c r="F1296" s="1">
        <v>301.14</v>
      </c>
      <c r="G1296" s="1">
        <v>27000</v>
      </c>
      <c r="H1296" s="5">
        <f t="shared" si="23"/>
        <v>0</v>
      </c>
      <c r="I1296" s="1"/>
      <c r="J1296" s="1"/>
    </row>
    <row r="1297" spans="2:10" x14ac:dyDescent="0.2">
      <c r="B1297" s="1" t="s">
        <v>230</v>
      </c>
      <c r="C1297" s="32">
        <v>7269</v>
      </c>
      <c r="D1297" s="1">
        <v>25000</v>
      </c>
      <c r="E1297" s="1"/>
      <c r="F1297" s="1">
        <v>278.04000000000002</v>
      </c>
      <c r="G1297" s="1">
        <v>25000</v>
      </c>
      <c r="H1297" s="5">
        <f t="shared" si="23"/>
        <v>0</v>
      </c>
      <c r="I1297" s="1"/>
      <c r="J1297" s="1"/>
    </row>
    <row r="1298" spans="2:10" x14ac:dyDescent="0.2">
      <c r="B1298" s="1" t="s">
        <v>230</v>
      </c>
      <c r="C1298" s="32">
        <v>6457</v>
      </c>
      <c r="D1298" s="1">
        <v>30000</v>
      </c>
      <c r="E1298" s="1"/>
      <c r="F1298" s="1">
        <v>334.59</v>
      </c>
      <c r="G1298" s="1">
        <v>30000</v>
      </c>
      <c r="H1298" s="5">
        <f t="shared" si="23"/>
        <v>0</v>
      </c>
      <c r="I1298" s="1"/>
      <c r="J1298" s="1"/>
    </row>
    <row r="1299" spans="2:10" x14ac:dyDescent="0.2">
      <c r="B1299" s="1" t="s">
        <v>230</v>
      </c>
      <c r="C1299" s="32">
        <v>8735</v>
      </c>
      <c r="D1299" s="1">
        <v>21000</v>
      </c>
      <c r="E1299" s="1"/>
      <c r="F1299" s="1">
        <v>235.3</v>
      </c>
      <c r="G1299" s="1">
        <v>21000</v>
      </c>
      <c r="H1299" s="5">
        <f t="shared" si="23"/>
        <v>0</v>
      </c>
      <c r="I1299" s="1"/>
      <c r="J1299" s="1"/>
    </row>
    <row r="1300" spans="2:10" x14ac:dyDescent="0.2">
      <c r="B1300" s="1" t="s">
        <v>230</v>
      </c>
      <c r="C1300" s="32">
        <v>3918</v>
      </c>
      <c r="D1300" s="1">
        <v>20000</v>
      </c>
      <c r="E1300" s="1"/>
      <c r="F1300" s="1">
        <v>234.89</v>
      </c>
      <c r="G1300" s="1">
        <v>20000</v>
      </c>
      <c r="H1300" s="5">
        <f t="shared" si="23"/>
        <v>0</v>
      </c>
      <c r="I1300" s="1"/>
      <c r="J1300" s="1"/>
    </row>
    <row r="1301" spans="2:10" x14ac:dyDescent="0.2">
      <c r="B1301" s="1" t="s">
        <v>230</v>
      </c>
      <c r="C1301" s="32">
        <v>4786</v>
      </c>
      <c r="D1301" s="1">
        <v>18000</v>
      </c>
      <c r="E1301" s="1"/>
      <c r="F1301" s="1">
        <v>192.29</v>
      </c>
      <c r="G1301" s="1">
        <v>18000</v>
      </c>
      <c r="H1301" s="5">
        <f t="shared" si="23"/>
        <v>0</v>
      </c>
      <c r="I1301" s="1"/>
      <c r="J1301" s="1"/>
    </row>
    <row r="1302" spans="2:10" x14ac:dyDescent="0.2">
      <c r="B1302" s="1" t="s">
        <v>230</v>
      </c>
      <c r="C1302" s="32">
        <v>7452</v>
      </c>
      <c r="D1302" s="1">
        <v>12000</v>
      </c>
      <c r="E1302" s="1"/>
      <c r="F1302" s="1">
        <v>133.84</v>
      </c>
      <c r="G1302" s="1">
        <v>12000</v>
      </c>
      <c r="H1302" s="5">
        <f t="shared" si="23"/>
        <v>0</v>
      </c>
      <c r="I1302" s="1"/>
      <c r="J1302" s="1"/>
    </row>
    <row r="1303" spans="2:10" x14ac:dyDescent="0.2">
      <c r="B1303" s="1" t="s">
        <v>231</v>
      </c>
      <c r="C1303" s="32">
        <v>6904</v>
      </c>
      <c r="D1303" s="1">
        <v>24000</v>
      </c>
      <c r="E1303" s="1"/>
      <c r="F1303" s="1">
        <v>244.83</v>
      </c>
      <c r="G1303" s="1">
        <v>24000</v>
      </c>
      <c r="H1303" s="5">
        <f t="shared" si="23"/>
        <v>0</v>
      </c>
      <c r="I1303" s="1"/>
      <c r="J1303" s="1"/>
    </row>
    <row r="1304" spans="2:10" x14ac:dyDescent="0.2">
      <c r="B1304" s="1" t="s">
        <v>231</v>
      </c>
      <c r="C1304" s="32">
        <v>3891</v>
      </c>
      <c r="D1304" s="1">
        <v>30000</v>
      </c>
      <c r="E1304" s="1"/>
      <c r="F1304" s="1">
        <v>334.6</v>
      </c>
      <c r="G1304" s="1">
        <v>30000</v>
      </c>
      <c r="H1304" s="5">
        <f t="shared" si="23"/>
        <v>0</v>
      </c>
      <c r="I1304" s="1"/>
      <c r="J1304" s="1"/>
    </row>
    <row r="1305" spans="2:10" x14ac:dyDescent="0.2">
      <c r="B1305" s="1" t="s">
        <v>231</v>
      </c>
      <c r="C1305" s="32">
        <v>2601</v>
      </c>
      <c r="D1305" s="1">
        <v>16000</v>
      </c>
      <c r="E1305" s="1"/>
      <c r="F1305" s="1">
        <v>178.45</v>
      </c>
      <c r="G1305" s="1">
        <v>16000</v>
      </c>
      <c r="H1305" s="5">
        <f t="shared" si="23"/>
        <v>0</v>
      </c>
      <c r="I1305" s="1"/>
      <c r="J1305" s="1"/>
    </row>
    <row r="1306" spans="2:10" x14ac:dyDescent="0.2">
      <c r="B1306" s="1" t="s">
        <v>231</v>
      </c>
      <c r="C1306" s="32">
        <v>3947</v>
      </c>
      <c r="D1306" s="1">
        <v>25000</v>
      </c>
      <c r="E1306" s="1"/>
      <c r="F1306" s="1">
        <v>278.04000000000002</v>
      </c>
      <c r="G1306" s="1">
        <v>25000</v>
      </c>
      <c r="H1306" s="5">
        <f t="shared" si="23"/>
        <v>0</v>
      </c>
      <c r="I1306" s="1"/>
      <c r="J1306" s="1"/>
    </row>
    <row r="1307" spans="2:10" x14ac:dyDescent="0.2">
      <c r="B1307" s="1" t="s">
        <v>231</v>
      </c>
      <c r="C1307" s="32">
        <v>6759</v>
      </c>
      <c r="D1307" s="1">
        <v>25000</v>
      </c>
      <c r="E1307" s="1"/>
      <c r="F1307" s="1">
        <v>278.04000000000002</v>
      </c>
      <c r="G1307" s="1">
        <v>25000</v>
      </c>
      <c r="H1307" s="5">
        <f t="shared" si="23"/>
        <v>0</v>
      </c>
      <c r="I1307" s="1"/>
      <c r="J1307" s="1"/>
    </row>
    <row r="1308" spans="2:10" x14ac:dyDescent="0.2">
      <c r="B1308" s="1" t="s">
        <v>232</v>
      </c>
      <c r="C1308" s="32" t="s">
        <v>66</v>
      </c>
      <c r="D1308" s="1">
        <v>210</v>
      </c>
      <c r="E1308" s="1"/>
      <c r="F1308" s="1">
        <v>2.1800000000000002</v>
      </c>
      <c r="G1308" s="1">
        <v>210</v>
      </c>
      <c r="H1308" s="5">
        <f t="shared" si="23"/>
        <v>0</v>
      </c>
      <c r="I1308" s="1"/>
      <c r="J1308" s="1"/>
    </row>
    <row r="1309" spans="2:10" x14ac:dyDescent="0.2">
      <c r="B1309" s="1" t="s">
        <v>232</v>
      </c>
      <c r="C1309" s="32">
        <v>1288</v>
      </c>
      <c r="D1309" s="1">
        <v>10000</v>
      </c>
      <c r="E1309" s="1"/>
      <c r="F1309" s="1">
        <v>111.53</v>
      </c>
      <c r="G1309" s="1">
        <v>10000</v>
      </c>
      <c r="H1309" s="5">
        <f t="shared" si="23"/>
        <v>0</v>
      </c>
      <c r="I1309" s="1"/>
      <c r="J1309" s="1"/>
    </row>
    <row r="1310" spans="2:10" x14ac:dyDescent="0.2">
      <c r="B1310" s="1" t="s">
        <v>236</v>
      </c>
      <c r="C1310" s="32" t="s">
        <v>30</v>
      </c>
      <c r="D1310" s="1">
        <v>3500</v>
      </c>
      <c r="E1310" s="1"/>
      <c r="F1310" s="1">
        <v>39.04</v>
      </c>
      <c r="G1310" s="1">
        <v>3500</v>
      </c>
      <c r="H1310" s="5">
        <f t="shared" si="23"/>
        <v>0</v>
      </c>
      <c r="I1310" s="1"/>
      <c r="J1310" s="1"/>
    </row>
    <row r="1311" spans="2:10" x14ac:dyDescent="0.2">
      <c r="B1311" s="1" t="s">
        <v>236</v>
      </c>
      <c r="C1311" s="32">
        <v>3886</v>
      </c>
      <c r="D1311" s="1">
        <v>21500</v>
      </c>
      <c r="E1311" s="1"/>
      <c r="F1311" s="1">
        <v>239.73</v>
      </c>
      <c r="G1311" s="1">
        <v>21500</v>
      </c>
      <c r="H1311" s="5">
        <f t="shared" si="23"/>
        <v>0</v>
      </c>
      <c r="I1311" s="1"/>
      <c r="J1311" s="1"/>
    </row>
    <row r="1312" spans="2:10" x14ac:dyDescent="0.2">
      <c r="B1312" s="1" t="s">
        <v>236</v>
      </c>
      <c r="C1312" s="32">
        <v>2258</v>
      </c>
      <c r="D1312" s="1">
        <v>22000</v>
      </c>
      <c r="E1312" s="1"/>
      <c r="F1312" s="1">
        <v>245.37</v>
      </c>
      <c r="G1312" s="1">
        <v>22000</v>
      </c>
      <c r="H1312" s="5">
        <f t="shared" si="23"/>
        <v>0</v>
      </c>
      <c r="I1312" s="1"/>
      <c r="J1312" s="1"/>
    </row>
    <row r="1313" spans="2:10" x14ac:dyDescent="0.2">
      <c r="B1313" s="1" t="s">
        <v>236</v>
      </c>
      <c r="C1313" s="32">
        <v>225</v>
      </c>
      <c r="D1313" s="1">
        <v>22000</v>
      </c>
      <c r="E1313" s="1"/>
      <c r="F1313" s="1">
        <v>245.37</v>
      </c>
      <c r="G1313" s="1">
        <v>22000</v>
      </c>
      <c r="H1313" s="5">
        <f t="shared" si="23"/>
        <v>0</v>
      </c>
      <c r="I1313" s="1"/>
      <c r="J1313" s="1"/>
    </row>
    <row r="1314" spans="2:10" x14ac:dyDescent="0.2">
      <c r="B1314" s="1" t="s">
        <v>236</v>
      </c>
      <c r="C1314" s="32">
        <v>3124</v>
      </c>
      <c r="D1314" s="1">
        <v>29000</v>
      </c>
      <c r="E1314" s="1"/>
      <c r="F1314" s="1">
        <v>323.44</v>
      </c>
      <c r="G1314" s="1">
        <v>29000</v>
      </c>
      <c r="H1314" s="5">
        <f t="shared" si="23"/>
        <v>0</v>
      </c>
      <c r="I1314" s="1"/>
      <c r="J1314" s="1"/>
    </row>
    <row r="1315" spans="2:10" x14ac:dyDescent="0.2">
      <c r="B1315" s="1" t="s">
        <v>236</v>
      </c>
      <c r="C1315" s="32">
        <v>9998</v>
      </c>
      <c r="D1315" s="1">
        <v>18000</v>
      </c>
      <c r="E1315" s="1"/>
      <c r="F1315" s="1">
        <v>200.76</v>
      </c>
      <c r="G1315" s="1">
        <v>18000</v>
      </c>
      <c r="H1315" s="5">
        <f t="shared" si="23"/>
        <v>0</v>
      </c>
      <c r="I1315" s="1"/>
      <c r="J1315" s="1"/>
    </row>
    <row r="1316" spans="2:10" x14ac:dyDescent="0.2">
      <c r="B1316" s="1" t="s">
        <v>236</v>
      </c>
      <c r="C1316" s="32">
        <v>9347</v>
      </c>
      <c r="D1316" s="1">
        <v>21000</v>
      </c>
      <c r="E1316" s="1"/>
      <c r="F1316" s="1">
        <v>234.22</v>
      </c>
      <c r="G1316" s="1">
        <v>21000</v>
      </c>
      <c r="H1316" s="5">
        <f t="shared" si="23"/>
        <v>0</v>
      </c>
      <c r="I1316" s="1"/>
      <c r="J1316" s="1"/>
    </row>
    <row r="1317" spans="2:10" x14ac:dyDescent="0.2">
      <c r="B1317" s="1" t="s">
        <v>236</v>
      </c>
      <c r="C1317" s="32">
        <v>9307</v>
      </c>
      <c r="D1317" s="1">
        <v>17000</v>
      </c>
      <c r="E1317" s="1"/>
      <c r="F1317" s="1">
        <v>189.72</v>
      </c>
      <c r="G1317" s="1">
        <v>17000</v>
      </c>
      <c r="H1317" s="5">
        <f t="shared" si="23"/>
        <v>0</v>
      </c>
      <c r="I1317" s="1"/>
      <c r="J1317" s="1"/>
    </row>
    <row r="1318" spans="2:10" x14ac:dyDescent="0.2">
      <c r="B1318" s="1" t="s">
        <v>236</v>
      </c>
      <c r="C1318" s="32">
        <v>4556</v>
      </c>
      <c r="D1318" s="1">
        <v>15000</v>
      </c>
      <c r="E1318" s="1"/>
      <c r="F1318" s="1">
        <v>167.3</v>
      </c>
      <c r="G1318" s="1">
        <v>15000</v>
      </c>
      <c r="H1318" s="5">
        <f t="shared" si="23"/>
        <v>0</v>
      </c>
      <c r="I1318" s="1"/>
      <c r="J1318" s="1"/>
    </row>
    <row r="1319" spans="2:10" x14ac:dyDescent="0.2">
      <c r="B1319" s="1" t="s">
        <v>236</v>
      </c>
      <c r="C1319" s="32" t="s">
        <v>30</v>
      </c>
      <c r="D1319" s="1">
        <v>4500</v>
      </c>
      <c r="E1319" s="1"/>
      <c r="F1319" s="1">
        <v>50.19</v>
      </c>
      <c r="G1319" s="1">
        <v>4500</v>
      </c>
      <c r="H1319" s="5">
        <f t="shared" si="23"/>
        <v>0</v>
      </c>
      <c r="I1319" s="1"/>
      <c r="J1319" s="1"/>
    </row>
    <row r="1320" spans="2:10" x14ac:dyDescent="0.2">
      <c r="B1320" s="1" t="s">
        <v>236</v>
      </c>
      <c r="C1320" s="32">
        <v>2506</v>
      </c>
      <c r="D1320" s="1">
        <v>17000</v>
      </c>
      <c r="E1320" s="1"/>
      <c r="F1320" s="1">
        <v>162.30000000000001</v>
      </c>
      <c r="G1320" s="1">
        <v>17000</v>
      </c>
      <c r="H1320" s="5">
        <f t="shared" si="23"/>
        <v>0</v>
      </c>
      <c r="I1320" s="1"/>
      <c r="J1320" s="1"/>
    </row>
    <row r="1321" spans="2:10" x14ac:dyDescent="0.2">
      <c r="B1321" s="1" t="s">
        <v>236</v>
      </c>
      <c r="C1321" s="32">
        <v>6019</v>
      </c>
      <c r="D1321" s="1">
        <v>15000</v>
      </c>
      <c r="E1321" s="1"/>
      <c r="F1321" s="1">
        <v>167.3</v>
      </c>
      <c r="G1321" s="1">
        <v>15000</v>
      </c>
      <c r="H1321" s="5">
        <f t="shared" si="23"/>
        <v>0</v>
      </c>
      <c r="I1321" s="1"/>
      <c r="J1321" s="1"/>
    </row>
    <row r="1322" spans="2:10" x14ac:dyDescent="0.2">
      <c r="B1322" s="1" t="s">
        <v>236</v>
      </c>
      <c r="C1322" s="32">
        <v>2187</v>
      </c>
      <c r="D1322" s="1">
        <v>25000</v>
      </c>
      <c r="E1322" s="1"/>
      <c r="F1322" s="1">
        <v>278.83</v>
      </c>
      <c r="G1322" s="1">
        <v>25000</v>
      </c>
      <c r="H1322" s="5">
        <f t="shared" si="23"/>
        <v>0</v>
      </c>
      <c r="I1322" s="1"/>
      <c r="J1322" s="1"/>
    </row>
    <row r="1323" spans="2:10" x14ac:dyDescent="0.2">
      <c r="B1323" s="1" t="s">
        <v>236</v>
      </c>
      <c r="C1323" s="32">
        <v>8017</v>
      </c>
      <c r="D1323" s="1">
        <v>17000</v>
      </c>
      <c r="E1323" s="1"/>
      <c r="F1323" s="1">
        <v>137.63</v>
      </c>
      <c r="G1323" s="1">
        <v>17000</v>
      </c>
      <c r="H1323" s="5">
        <f t="shared" si="23"/>
        <v>0</v>
      </c>
      <c r="I1323" s="1"/>
      <c r="J1323" s="1"/>
    </row>
    <row r="1324" spans="2:10" x14ac:dyDescent="0.2">
      <c r="B1324" s="1" t="s">
        <v>236</v>
      </c>
      <c r="C1324" s="32">
        <v>7359</v>
      </c>
      <c r="D1324" s="1">
        <v>25000</v>
      </c>
      <c r="E1324" s="1"/>
      <c r="F1324" s="1">
        <v>278.83</v>
      </c>
      <c r="G1324" s="1">
        <v>25000</v>
      </c>
      <c r="H1324" s="5">
        <f t="shared" si="23"/>
        <v>0</v>
      </c>
      <c r="I1324" s="1"/>
      <c r="J1324" s="1"/>
    </row>
    <row r="1325" spans="2:10" x14ac:dyDescent="0.2">
      <c r="B1325" s="1" t="s">
        <v>236</v>
      </c>
      <c r="C1325" s="32">
        <v>3462</v>
      </c>
      <c r="D1325" s="1">
        <v>25000</v>
      </c>
      <c r="E1325" s="1"/>
      <c r="F1325" s="1">
        <v>278.83</v>
      </c>
      <c r="G1325" s="1">
        <v>25000</v>
      </c>
      <c r="H1325" s="5">
        <f t="shared" si="23"/>
        <v>0</v>
      </c>
      <c r="I1325" s="1"/>
      <c r="J1325" s="1"/>
    </row>
    <row r="1326" spans="2:10" x14ac:dyDescent="0.2">
      <c r="B1326" s="1" t="s">
        <v>236</v>
      </c>
      <c r="C1326" s="32">
        <v>2651</v>
      </c>
      <c r="D1326" s="1">
        <v>25000</v>
      </c>
      <c r="E1326" s="1"/>
      <c r="F1326" s="1">
        <v>278.83</v>
      </c>
      <c r="G1326" s="1">
        <v>25000</v>
      </c>
      <c r="H1326" s="5">
        <f t="shared" si="23"/>
        <v>0</v>
      </c>
      <c r="I1326" s="1"/>
      <c r="J1326" s="1"/>
    </row>
    <row r="1327" spans="2:10" x14ac:dyDescent="0.2">
      <c r="B1327" s="1" t="s">
        <v>236</v>
      </c>
      <c r="C1327" s="32">
        <v>4249</v>
      </c>
      <c r="D1327" s="1">
        <v>26000</v>
      </c>
      <c r="E1327" s="1"/>
      <c r="F1327" s="1">
        <v>289.98</v>
      </c>
      <c r="G1327" s="1">
        <v>26000</v>
      </c>
      <c r="H1327" s="5">
        <f t="shared" si="23"/>
        <v>0</v>
      </c>
      <c r="I1327" s="1"/>
      <c r="J1327" s="1"/>
    </row>
    <row r="1328" spans="2:10" x14ac:dyDescent="0.2">
      <c r="B1328" s="1" t="s">
        <v>236</v>
      </c>
      <c r="C1328" s="32">
        <v>5812</v>
      </c>
      <c r="D1328" s="1">
        <v>24000</v>
      </c>
      <c r="E1328" s="1"/>
      <c r="F1328" s="1">
        <v>267.68</v>
      </c>
      <c r="G1328" s="1">
        <v>24000</v>
      </c>
      <c r="H1328" s="5">
        <f t="shared" si="23"/>
        <v>0</v>
      </c>
      <c r="I1328" s="1"/>
      <c r="J1328" s="1"/>
    </row>
    <row r="1329" spans="2:10" x14ac:dyDescent="0.2">
      <c r="B1329" s="1" t="s">
        <v>236</v>
      </c>
      <c r="C1329" s="32">
        <v>3686</v>
      </c>
      <c r="D1329" s="1">
        <v>24000</v>
      </c>
      <c r="E1329" s="1"/>
      <c r="F1329" s="1">
        <v>268.68</v>
      </c>
      <c r="G1329" s="1">
        <v>24000</v>
      </c>
      <c r="H1329" s="5">
        <f t="shared" si="23"/>
        <v>0</v>
      </c>
      <c r="I1329" s="1"/>
      <c r="J1329" s="1"/>
    </row>
    <row r="1330" spans="2:10" x14ac:dyDescent="0.2">
      <c r="B1330" s="1" t="s">
        <v>236</v>
      </c>
      <c r="C1330" s="32">
        <v>249</v>
      </c>
      <c r="D1330" s="1">
        <v>25000</v>
      </c>
      <c r="E1330" s="1"/>
      <c r="F1330" s="1">
        <v>278.83</v>
      </c>
      <c r="G1330" s="1">
        <v>25000</v>
      </c>
      <c r="H1330" s="5">
        <f t="shared" si="23"/>
        <v>0</v>
      </c>
      <c r="I1330" s="1"/>
      <c r="J1330" s="1"/>
    </row>
    <row r="1331" spans="2:10" x14ac:dyDescent="0.2">
      <c r="B1331" s="1" t="s">
        <v>236</v>
      </c>
      <c r="C1331" s="32">
        <v>7007</v>
      </c>
      <c r="D1331" s="1">
        <v>25000</v>
      </c>
      <c r="E1331" s="1"/>
      <c r="F1331" s="1">
        <v>278.83</v>
      </c>
      <c r="G1331" s="1">
        <v>25000</v>
      </c>
      <c r="H1331" s="5">
        <f t="shared" si="23"/>
        <v>0</v>
      </c>
      <c r="I1331" s="1"/>
      <c r="J1331" s="1"/>
    </row>
    <row r="1332" spans="2:10" x14ac:dyDescent="0.2">
      <c r="B1332" s="1" t="s">
        <v>236</v>
      </c>
      <c r="C1332" s="32">
        <v>3893</v>
      </c>
      <c r="D1332" s="1">
        <v>15000</v>
      </c>
      <c r="E1332" s="1"/>
      <c r="F1332" s="1">
        <v>167.3</v>
      </c>
      <c r="G1332" s="1">
        <v>15000</v>
      </c>
      <c r="H1332" s="5">
        <f t="shared" si="23"/>
        <v>0</v>
      </c>
      <c r="I1332" s="1"/>
      <c r="J1332" s="1"/>
    </row>
    <row r="1333" spans="2:10" x14ac:dyDescent="0.2">
      <c r="B1333" s="1" t="s">
        <v>236</v>
      </c>
      <c r="C1333" s="32">
        <v>717</v>
      </c>
      <c r="D1333" s="1">
        <v>20000</v>
      </c>
      <c r="E1333" s="1"/>
      <c r="F1333" s="1">
        <v>223.06</v>
      </c>
      <c r="G1333" s="1">
        <v>20000</v>
      </c>
      <c r="H1333" s="5">
        <f t="shared" si="23"/>
        <v>0</v>
      </c>
      <c r="I1333" s="1"/>
      <c r="J1333" s="1"/>
    </row>
    <row r="1334" spans="2:10" x14ac:dyDescent="0.2">
      <c r="B1334" s="1" t="s">
        <v>237</v>
      </c>
      <c r="C1334" s="32">
        <v>5946</v>
      </c>
      <c r="D1334" s="1">
        <v>5000</v>
      </c>
      <c r="E1334" s="1"/>
      <c r="F1334" s="1">
        <v>55.76</v>
      </c>
      <c r="G1334" s="1">
        <v>5000</v>
      </c>
      <c r="H1334" s="5">
        <f t="shared" si="23"/>
        <v>0</v>
      </c>
      <c r="I1334" s="1"/>
      <c r="J1334" s="1"/>
    </row>
    <row r="1335" spans="2:10" x14ac:dyDescent="0.2">
      <c r="B1335" s="1" t="s">
        <v>237</v>
      </c>
      <c r="C1335" s="32">
        <v>4595</v>
      </c>
      <c r="D1335" s="1">
        <v>22000</v>
      </c>
      <c r="E1335" s="1"/>
      <c r="F1335" s="1">
        <v>245.37</v>
      </c>
      <c r="G1335" s="1">
        <v>22000</v>
      </c>
      <c r="H1335" s="5">
        <f t="shared" si="23"/>
        <v>0</v>
      </c>
      <c r="I1335" s="1"/>
      <c r="J1335" s="1"/>
    </row>
    <row r="1336" spans="2:10" x14ac:dyDescent="0.2">
      <c r="B1336" s="1" t="s">
        <v>237</v>
      </c>
      <c r="C1336" s="32" t="s">
        <v>66</v>
      </c>
      <c r="D1336" s="1">
        <v>210</v>
      </c>
      <c r="E1336" s="1"/>
      <c r="F1336" s="1"/>
      <c r="G1336" s="1">
        <v>210</v>
      </c>
      <c r="H1336" s="5">
        <f t="shared" si="23"/>
        <v>0</v>
      </c>
      <c r="I1336" s="1"/>
      <c r="J1336" s="1"/>
    </row>
    <row r="1337" spans="2:10" x14ac:dyDescent="0.2">
      <c r="B1337" s="1" t="s">
        <v>237</v>
      </c>
      <c r="C1337" s="32">
        <v>4665</v>
      </c>
      <c r="D1337" s="1">
        <v>22000</v>
      </c>
      <c r="E1337" s="1"/>
      <c r="F1337" s="1">
        <v>245.37</v>
      </c>
      <c r="G1337" s="1">
        <v>22000</v>
      </c>
      <c r="H1337" s="5">
        <f t="shared" si="23"/>
        <v>0</v>
      </c>
      <c r="I1337" s="1"/>
      <c r="J1337" s="1"/>
    </row>
    <row r="1338" spans="2:10" x14ac:dyDescent="0.2">
      <c r="B1338" s="1" t="s">
        <v>237</v>
      </c>
      <c r="C1338" s="32">
        <v>9751</v>
      </c>
      <c r="D1338" s="1">
        <v>12000</v>
      </c>
      <c r="E1338" s="1"/>
      <c r="F1338" s="1">
        <v>133.84</v>
      </c>
      <c r="G1338" s="1">
        <v>12000</v>
      </c>
      <c r="H1338" s="5">
        <f t="shared" si="23"/>
        <v>0</v>
      </c>
      <c r="I1338" s="1"/>
      <c r="J1338" s="1"/>
    </row>
    <row r="1339" spans="2:10" x14ac:dyDescent="0.2">
      <c r="B1339" s="1" t="s">
        <v>237</v>
      </c>
      <c r="C1339" s="32">
        <v>1562</v>
      </c>
      <c r="D1339" s="1">
        <v>22000</v>
      </c>
      <c r="E1339" s="1"/>
      <c r="F1339" s="1">
        <v>245.37</v>
      </c>
      <c r="G1339" s="1">
        <v>22000</v>
      </c>
      <c r="H1339" s="5">
        <f t="shared" si="23"/>
        <v>0</v>
      </c>
      <c r="I1339" s="1"/>
      <c r="J1339" s="1"/>
    </row>
    <row r="1340" spans="2:10" x14ac:dyDescent="0.2">
      <c r="B1340" s="1" t="s">
        <v>237</v>
      </c>
      <c r="C1340" s="32">
        <v>4030</v>
      </c>
      <c r="D1340" s="1">
        <v>18000</v>
      </c>
      <c r="E1340" s="1"/>
      <c r="F1340" s="1">
        <v>216</v>
      </c>
      <c r="G1340" s="1">
        <v>18000</v>
      </c>
      <c r="H1340" s="5">
        <f t="shared" si="23"/>
        <v>0</v>
      </c>
      <c r="I1340" s="1"/>
      <c r="J1340" s="1"/>
    </row>
    <row r="1341" spans="2:10" x14ac:dyDescent="0.2">
      <c r="B1341" s="1" t="s">
        <v>237</v>
      </c>
      <c r="C1341" s="32">
        <v>6104</v>
      </c>
      <c r="D1341" s="1">
        <v>28000</v>
      </c>
      <c r="E1341" s="1"/>
      <c r="F1341" s="1">
        <v>305</v>
      </c>
      <c r="G1341" s="1">
        <v>28000</v>
      </c>
      <c r="H1341" s="5">
        <f t="shared" si="23"/>
        <v>0</v>
      </c>
      <c r="I1341" s="1"/>
      <c r="J1341" s="1"/>
    </row>
    <row r="1342" spans="2:10" x14ac:dyDescent="0.2">
      <c r="B1342" s="1" t="s">
        <v>237</v>
      </c>
      <c r="C1342" s="32">
        <v>5430</v>
      </c>
      <c r="D1342" s="1">
        <v>25000</v>
      </c>
      <c r="E1342" s="1"/>
      <c r="F1342" s="1">
        <v>278.83</v>
      </c>
      <c r="G1342" s="1">
        <v>25000</v>
      </c>
      <c r="H1342" s="5">
        <f t="shared" si="23"/>
        <v>0</v>
      </c>
      <c r="I1342" s="1"/>
      <c r="J1342" s="1"/>
    </row>
    <row r="1343" spans="2:10" x14ac:dyDescent="0.2">
      <c r="B1343" s="1" t="s">
        <v>237</v>
      </c>
      <c r="C1343" s="32">
        <v>7183</v>
      </c>
      <c r="D1343" s="1">
        <v>25000</v>
      </c>
      <c r="E1343" s="1"/>
      <c r="F1343" s="1">
        <v>278.83</v>
      </c>
      <c r="G1343" s="1">
        <v>25000</v>
      </c>
      <c r="H1343" s="5">
        <f t="shared" si="23"/>
        <v>0</v>
      </c>
      <c r="I1343" s="1"/>
      <c r="J1343" s="1"/>
    </row>
    <row r="1344" spans="2:10" x14ac:dyDescent="0.2">
      <c r="B1344" s="1" t="s">
        <v>237</v>
      </c>
      <c r="C1344" s="32">
        <v>8869</v>
      </c>
      <c r="D1344" s="1">
        <v>23000</v>
      </c>
      <c r="E1344" s="1"/>
      <c r="F1344" s="1">
        <v>256.52</v>
      </c>
      <c r="G1344" s="1">
        <v>23000</v>
      </c>
      <c r="H1344" s="5">
        <f t="shared" si="23"/>
        <v>0</v>
      </c>
      <c r="I1344" s="1"/>
      <c r="J1344" s="1"/>
    </row>
    <row r="1345" spans="2:10" x14ac:dyDescent="0.2">
      <c r="B1345" s="1" t="s">
        <v>237</v>
      </c>
      <c r="C1345" s="32">
        <v>5563</v>
      </c>
      <c r="D1345" s="1">
        <v>23000</v>
      </c>
      <c r="E1345" s="1"/>
      <c r="F1345" s="1">
        <v>256.52</v>
      </c>
      <c r="G1345" s="1">
        <v>23000</v>
      </c>
      <c r="H1345" s="5">
        <f t="shared" si="23"/>
        <v>0</v>
      </c>
      <c r="I1345" s="1"/>
      <c r="J1345" s="1"/>
    </row>
    <row r="1346" spans="2:10" x14ac:dyDescent="0.2">
      <c r="B1346" s="1" t="s">
        <v>237</v>
      </c>
      <c r="C1346" s="32">
        <v>3121</v>
      </c>
      <c r="D1346" s="1">
        <v>30000</v>
      </c>
      <c r="E1346" s="1"/>
      <c r="F1346" s="1">
        <v>334.6</v>
      </c>
      <c r="G1346" s="1">
        <v>30000</v>
      </c>
      <c r="H1346" s="5">
        <f t="shared" si="23"/>
        <v>0</v>
      </c>
      <c r="I1346" s="1"/>
      <c r="J1346" s="1"/>
    </row>
    <row r="1347" spans="2:10" x14ac:dyDescent="0.2">
      <c r="B1347" s="1" t="s">
        <v>237</v>
      </c>
      <c r="C1347" s="32">
        <v>1121</v>
      </c>
      <c r="D1347" s="1">
        <v>30000</v>
      </c>
      <c r="E1347" s="1"/>
      <c r="F1347" s="1">
        <v>334.6</v>
      </c>
      <c r="G1347" s="1">
        <v>30000</v>
      </c>
      <c r="H1347" s="5">
        <f t="shared" si="23"/>
        <v>0</v>
      </c>
      <c r="I1347" s="1"/>
      <c r="J1347" s="1"/>
    </row>
    <row r="1348" spans="2:10" x14ac:dyDescent="0.2">
      <c r="B1348" s="1" t="s">
        <v>237</v>
      </c>
      <c r="C1348" s="32">
        <v>8466</v>
      </c>
      <c r="D1348" s="1">
        <v>30000</v>
      </c>
      <c r="E1348" s="1"/>
      <c r="F1348" s="1">
        <v>334.6</v>
      </c>
      <c r="G1348" s="1">
        <v>30000</v>
      </c>
      <c r="H1348" s="5">
        <f t="shared" ref="H1348:H1411" si="24">D1348-G1348</f>
        <v>0</v>
      </c>
      <c r="I1348" s="1"/>
      <c r="J1348" s="1"/>
    </row>
    <row r="1349" spans="2:10" x14ac:dyDescent="0.2">
      <c r="B1349" s="1" t="s">
        <v>238</v>
      </c>
      <c r="C1349" s="32">
        <v>2633</v>
      </c>
      <c r="D1349" s="1">
        <v>18000</v>
      </c>
      <c r="E1349" s="1"/>
      <c r="F1349" s="1">
        <v>200.75</v>
      </c>
      <c r="G1349" s="1">
        <v>18000</v>
      </c>
      <c r="H1349" s="5">
        <f t="shared" si="24"/>
        <v>0</v>
      </c>
      <c r="I1349" s="1"/>
      <c r="J1349" s="1"/>
    </row>
    <row r="1350" spans="2:10" x14ac:dyDescent="0.2">
      <c r="B1350" s="1" t="s">
        <v>238</v>
      </c>
      <c r="C1350" s="32">
        <v>7833</v>
      </c>
      <c r="D1350" s="1">
        <v>22000</v>
      </c>
      <c r="E1350" s="1"/>
      <c r="F1350" s="1">
        <v>245.37</v>
      </c>
      <c r="G1350" s="1">
        <v>22000</v>
      </c>
      <c r="H1350" s="5">
        <f t="shared" si="24"/>
        <v>0</v>
      </c>
      <c r="I1350" s="1"/>
      <c r="J1350" s="1"/>
    </row>
    <row r="1351" spans="2:10" x14ac:dyDescent="0.2">
      <c r="B1351" s="1" t="s">
        <v>238</v>
      </c>
      <c r="C1351" s="32">
        <v>1172</v>
      </c>
      <c r="D1351" s="1">
        <v>24000</v>
      </c>
      <c r="E1351" s="1"/>
      <c r="F1351" s="1">
        <v>273.26</v>
      </c>
      <c r="G1351" s="1">
        <v>24000</v>
      </c>
      <c r="H1351" s="5">
        <f t="shared" si="24"/>
        <v>0</v>
      </c>
      <c r="I1351" s="1"/>
      <c r="J1351" s="1"/>
    </row>
    <row r="1352" spans="2:10" x14ac:dyDescent="0.2">
      <c r="B1352" s="1" t="s">
        <v>238</v>
      </c>
      <c r="C1352" s="32">
        <v>1889</v>
      </c>
      <c r="D1352" s="1">
        <v>26000</v>
      </c>
      <c r="E1352" s="1"/>
      <c r="F1352" s="1">
        <v>289.87</v>
      </c>
      <c r="G1352" s="1">
        <v>26000</v>
      </c>
      <c r="H1352" s="5">
        <f t="shared" si="24"/>
        <v>0</v>
      </c>
      <c r="I1352" s="1"/>
      <c r="J1352" s="1"/>
    </row>
    <row r="1353" spans="2:10" x14ac:dyDescent="0.2">
      <c r="B1353" s="1" t="s">
        <v>238</v>
      </c>
      <c r="C1353" s="32">
        <v>6930</v>
      </c>
      <c r="D1353" s="1">
        <v>22000</v>
      </c>
      <c r="E1353" s="1"/>
      <c r="F1353" s="1">
        <v>245.3</v>
      </c>
      <c r="G1353" s="1">
        <v>22000</v>
      </c>
      <c r="H1353" s="5">
        <f t="shared" si="24"/>
        <v>0</v>
      </c>
      <c r="I1353" s="1"/>
      <c r="J1353" s="1"/>
    </row>
    <row r="1354" spans="2:10" x14ac:dyDescent="0.2">
      <c r="B1354" s="1" t="s">
        <v>238</v>
      </c>
      <c r="C1354" s="32" t="s">
        <v>30</v>
      </c>
      <c r="D1354" s="1">
        <v>4500</v>
      </c>
      <c r="E1354" s="1"/>
      <c r="F1354" s="1">
        <v>50.19</v>
      </c>
      <c r="G1354" s="1">
        <v>4500</v>
      </c>
      <c r="H1354" s="5">
        <f t="shared" si="24"/>
        <v>0</v>
      </c>
      <c r="I1354" s="1"/>
      <c r="J1354" s="1"/>
    </row>
    <row r="1355" spans="2:10" x14ac:dyDescent="0.2">
      <c r="B1355" s="1" t="s">
        <v>238</v>
      </c>
      <c r="C1355" s="32" t="s">
        <v>30</v>
      </c>
      <c r="D1355" s="1">
        <v>3500</v>
      </c>
      <c r="E1355" s="1"/>
      <c r="F1355" s="1">
        <v>39.03</v>
      </c>
      <c r="G1355" s="1">
        <v>3500</v>
      </c>
      <c r="H1355" s="5">
        <f t="shared" si="24"/>
        <v>0</v>
      </c>
      <c r="I1355" s="1"/>
      <c r="J1355" s="1"/>
    </row>
    <row r="1356" spans="2:10" x14ac:dyDescent="0.2">
      <c r="B1356" s="1" t="s">
        <v>238</v>
      </c>
      <c r="C1356" s="32">
        <v>2316</v>
      </c>
      <c r="D1356" s="1">
        <v>29000</v>
      </c>
      <c r="E1356" s="1"/>
      <c r="F1356" s="1">
        <v>333</v>
      </c>
      <c r="G1356" s="1">
        <v>29000</v>
      </c>
      <c r="H1356" s="5">
        <f t="shared" si="24"/>
        <v>0</v>
      </c>
      <c r="I1356" s="1"/>
      <c r="J1356" s="1"/>
    </row>
    <row r="1357" spans="2:10" x14ac:dyDescent="0.2">
      <c r="B1357" s="1" t="s">
        <v>238</v>
      </c>
      <c r="C1357" s="32">
        <v>8154</v>
      </c>
      <c r="D1357" s="1">
        <v>24000</v>
      </c>
      <c r="E1357" s="1"/>
      <c r="F1357" s="1">
        <v>267.27999999999997</v>
      </c>
      <c r="G1357" s="1">
        <v>24000</v>
      </c>
      <c r="H1357" s="5">
        <f t="shared" si="24"/>
        <v>0</v>
      </c>
      <c r="I1357" s="1"/>
      <c r="J1357" s="1"/>
    </row>
    <row r="1358" spans="2:10" x14ac:dyDescent="0.2">
      <c r="B1358" s="1" t="s">
        <v>238</v>
      </c>
      <c r="C1358" s="32">
        <v>7678</v>
      </c>
      <c r="D1358" s="1">
        <v>33000</v>
      </c>
      <c r="E1358" s="1"/>
      <c r="F1358" s="1">
        <v>368</v>
      </c>
      <c r="G1358" s="1">
        <v>33000</v>
      </c>
      <c r="H1358" s="5">
        <f t="shared" si="24"/>
        <v>0</v>
      </c>
      <c r="I1358" s="1"/>
      <c r="J1358" s="1"/>
    </row>
    <row r="1359" spans="2:10" x14ac:dyDescent="0.2">
      <c r="B1359" s="1" t="s">
        <v>238</v>
      </c>
      <c r="C1359" s="32">
        <v>9772</v>
      </c>
      <c r="D1359" s="1">
        <v>33000</v>
      </c>
      <c r="E1359" s="1"/>
      <c r="F1359" s="1">
        <v>368</v>
      </c>
      <c r="G1359" s="1">
        <v>33000</v>
      </c>
      <c r="H1359" s="5">
        <f t="shared" si="24"/>
        <v>0</v>
      </c>
      <c r="I1359" s="1"/>
      <c r="J1359" s="1"/>
    </row>
    <row r="1360" spans="2:10" x14ac:dyDescent="0.2">
      <c r="B1360" s="1" t="s">
        <v>238</v>
      </c>
      <c r="C1360" s="32">
        <v>3998</v>
      </c>
      <c r="D1360" s="1">
        <v>25000</v>
      </c>
      <c r="E1360" s="1"/>
      <c r="F1360" s="1">
        <v>242.8</v>
      </c>
      <c r="G1360" s="1">
        <v>25000</v>
      </c>
      <c r="H1360" s="5">
        <f t="shared" si="24"/>
        <v>0</v>
      </c>
      <c r="I1360" s="1"/>
      <c r="J1360" s="1"/>
    </row>
    <row r="1361" spans="2:10" x14ac:dyDescent="0.2">
      <c r="B1361" s="1" t="s">
        <v>238</v>
      </c>
      <c r="C1361" s="32">
        <v>3206</v>
      </c>
      <c r="D1361" s="1">
        <v>17000</v>
      </c>
      <c r="E1361" s="1"/>
      <c r="F1361" s="1">
        <v>189.61</v>
      </c>
      <c r="G1361" s="1">
        <v>17000</v>
      </c>
      <c r="H1361" s="5">
        <f t="shared" si="24"/>
        <v>0</v>
      </c>
      <c r="I1361" s="1"/>
      <c r="J1361" s="1"/>
    </row>
    <row r="1362" spans="2:10" x14ac:dyDescent="0.2">
      <c r="B1362" s="1" t="s">
        <v>238</v>
      </c>
      <c r="C1362" s="32">
        <v>6670</v>
      </c>
      <c r="D1362" s="1">
        <v>18000</v>
      </c>
      <c r="E1362" s="1"/>
      <c r="F1362" s="1">
        <v>187.71</v>
      </c>
      <c r="G1362" s="1">
        <v>18000</v>
      </c>
      <c r="H1362" s="5">
        <f t="shared" si="24"/>
        <v>0</v>
      </c>
      <c r="I1362" s="1"/>
      <c r="J1362" s="1"/>
    </row>
    <row r="1363" spans="2:10" x14ac:dyDescent="0.2">
      <c r="B1363" s="1" t="s">
        <v>239</v>
      </c>
      <c r="C1363" s="32" t="s">
        <v>66</v>
      </c>
      <c r="D1363" s="1">
        <v>200</v>
      </c>
      <c r="E1363" s="1"/>
      <c r="F1363" s="1">
        <v>2.08</v>
      </c>
      <c r="G1363" s="1">
        <v>200</v>
      </c>
      <c r="H1363" s="5">
        <f t="shared" si="24"/>
        <v>0</v>
      </c>
      <c r="I1363" s="1"/>
      <c r="J1363" s="1"/>
    </row>
    <row r="1364" spans="2:10" x14ac:dyDescent="0.2">
      <c r="B1364" s="1" t="s">
        <v>239</v>
      </c>
      <c r="C1364" s="32">
        <v>2855</v>
      </c>
      <c r="D1364" s="1">
        <v>20000</v>
      </c>
      <c r="E1364" s="1"/>
      <c r="F1364" s="1">
        <v>223.06</v>
      </c>
      <c r="G1364" s="1">
        <v>20000</v>
      </c>
      <c r="H1364" s="5">
        <f t="shared" si="24"/>
        <v>0</v>
      </c>
      <c r="I1364" s="1"/>
      <c r="J1364" s="1"/>
    </row>
    <row r="1365" spans="2:10" x14ac:dyDescent="0.2">
      <c r="B1365" s="1" t="s">
        <v>239</v>
      </c>
      <c r="C1365" s="32">
        <v>8696</v>
      </c>
      <c r="D1365" s="1">
        <v>24000</v>
      </c>
      <c r="E1365" s="1"/>
      <c r="F1365" s="1">
        <v>267.68</v>
      </c>
      <c r="G1365" s="1">
        <v>24000</v>
      </c>
      <c r="H1365" s="5">
        <f t="shared" si="24"/>
        <v>0</v>
      </c>
      <c r="I1365" s="1"/>
      <c r="J1365" s="1"/>
    </row>
    <row r="1366" spans="2:10" x14ac:dyDescent="0.2">
      <c r="B1366" s="1" t="s">
        <v>239</v>
      </c>
      <c r="C1366" s="32">
        <v>1861</v>
      </c>
      <c r="D1366" s="1">
        <v>25000</v>
      </c>
      <c r="E1366" s="1"/>
      <c r="F1366" s="1">
        <v>278.43</v>
      </c>
      <c r="G1366" s="1">
        <v>25000</v>
      </c>
      <c r="H1366" s="5">
        <f t="shared" si="24"/>
        <v>0</v>
      </c>
      <c r="I1366" s="1"/>
      <c r="J1366" s="1"/>
    </row>
    <row r="1367" spans="2:10" x14ac:dyDescent="0.2">
      <c r="B1367" s="1" t="s">
        <v>239</v>
      </c>
      <c r="C1367" s="32">
        <v>6211</v>
      </c>
      <c r="D1367" s="1">
        <v>30000</v>
      </c>
      <c r="E1367" s="1"/>
      <c r="F1367" s="1">
        <v>334.6</v>
      </c>
      <c r="G1367" s="1">
        <v>30000</v>
      </c>
      <c r="H1367" s="5">
        <f t="shared" si="24"/>
        <v>0</v>
      </c>
      <c r="I1367" s="1"/>
      <c r="J1367" s="1"/>
    </row>
    <row r="1368" spans="2:10" x14ac:dyDescent="0.2">
      <c r="B1368" s="1" t="s">
        <v>239</v>
      </c>
      <c r="C1368" s="32">
        <v>2528</v>
      </c>
      <c r="D1368" s="1">
        <v>30000</v>
      </c>
      <c r="E1368" s="1"/>
      <c r="F1368" s="1">
        <v>334.6</v>
      </c>
      <c r="G1368" s="1">
        <v>30000</v>
      </c>
      <c r="H1368" s="5">
        <f t="shared" si="24"/>
        <v>0</v>
      </c>
      <c r="I1368" s="1"/>
      <c r="J1368" s="1"/>
    </row>
    <row r="1369" spans="2:10" x14ac:dyDescent="0.2">
      <c r="B1369" s="1" t="s">
        <v>240</v>
      </c>
      <c r="C1369" s="32" t="s">
        <v>66</v>
      </c>
      <c r="D1369" s="1">
        <v>100</v>
      </c>
      <c r="E1369" s="1"/>
      <c r="F1369" s="1">
        <v>1.04</v>
      </c>
      <c r="G1369" s="1">
        <v>100</v>
      </c>
      <c r="H1369" s="5">
        <f t="shared" si="24"/>
        <v>0</v>
      </c>
      <c r="I1369" s="1"/>
      <c r="J1369" s="1"/>
    </row>
    <row r="1370" spans="2:10" x14ac:dyDescent="0.2">
      <c r="B1370" s="1" t="s">
        <v>241</v>
      </c>
      <c r="C1370" s="32" t="s">
        <v>63</v>
      </c>
      <c r="D1370" s="1">
        <v>3500</v>
      </c>
      <c r="E1370" s="1"/>
      <c r="F1370" s="1">
        <v>38.99</v>
      </c>
      <c r="G1370" s="1">
        <v>3500</v>
      </c>
      <c r="H1370" s="5">
        <f t="shared" si="24"/>
        <v>0</v>
      </c>
      <c r="I1370" s="1"/>
      <c r="J1370" s="1"/>
    </row>
    <row r="1371" spans="2:10" x14ac:dyDescent="0.2">
      <c r="B1371" s="1" t="s">
        <v>241</v>
      </c>
      <c r="C1371" s="32" t="s">
        <v>30</v>
      </c>
      <c r="D1371" s="1">
        <v>4500</v>
      </c>
      <c r="E1371" s="1"/>
      <c r="F1371" s="1">
        <v>50.13</v>
      </c>
      <c r="G1371" s="1">
        <v>4500</v>
      </c>
      <c r="H1371" s="5">
        <f t="shared" si="24"/>
        <v>0</v>
      </c>
      <c r="I1371" s="1"/>
      <c r="J1371" s="1"/>
    </row>
    <row r="1372" spans="2:10" x14ac:dyDescent="0.2">
      <c r="B1372" s="1" t="s">
        <v>241</v>
      </c>
      <c r="C1372" s="32">
        <v>8760</v>
      </c>
      <c r="D1372" s="1">
        <v>25000</v>
      </c>
      <c r="E1372" s="1"/>
      <c r="F1372" s="1">
        <v>278.52</v>
      </c>
      <c r="G1372" s="1">
        <v>25000</v>
      </c>
      <c r="H1372" s="5">
        <f t="shared" si="24"/>
        <v>0</v>
      </c>
      <c r="I1372" s="1"/>
      <c r="J1372" s="1"/>
    </row>
    <row r="1373" spans="2:10" x14ac:dyDescent="0.2">
      <c r="B1373" s="1" t="s">
        <v>241</v>
      </c>
      <c r="C1373" s="32">
        <v>8756</v>
      </c>
      <c r="D1373" s="1">
        <v>25000</v>
      </c>
      <c r="E1373" s="1"/>
      <c r="F1373" s="1">
        <v>278.52</v>
      </c>
      <c r="G1373" s="1">
        <v>25000</v>
      </c>
      <c r="H1373" s="5">
        <f t="shared" si="24"/>
        <v>0</v>
      </c>
      <c r="I1373" s="1"/>
      <c r="J1373" s="1"/>
    </row>
    <row r="1374" spans="2:10" x14ac:dyDescent="0.2">
      <c r="B1374" s="1" t="s">
        <v>241</v>
      </c>
      <c r="C1374" s="32">
        <v>8758</v>
      </c>
      <c r="D1374" s="1">
        <v>25000</v>
      </c>
      <c r="E1374" s="1"/>
      <c r="F1374" s="1">
        <v>278.52</v>
      </c>
      <c r="G1374" s="1">
        <v>25000</v>
      </c>
      <c r="H1374" s="5">
        <f t="shared" si="24"/>
        <v>0</v>
      </c>
      <c r="I1374" s="1"/>
      <c r="J1374" s="1"/>
    </row>
    <row r="1375" spans="2:10" x14ac:dyDescent="0.2">
      <c r="B1375" s="1" t="s">
        <v>241</v>
      </c>
      <c r="C1375" s="32">
        <v>8815</v>
      </c>
      <c r="D1375" s="1">
        <v>25000</v>
      </c>
      <c r="E1375" s="1"/>
      <c r="F1375" s="1">
        <v>278.52</v>
      </c>
      <c r="G1375" s="1">
        <v>25000</v>
      </c>
      <c r="H1375" s="5">
        <f t="shared" si="24"/>
        <v>0</v>
      </c>
      <c r="I1375" s="1"/>
      <c r="J1375" s="1"/>
    </row>
    <row r="1376" spans="2:10" x14ac:dyDescent="0.2">
      <c r="B1376" s="1" t="s">
        <v>241</v>
      </c>
      <c r="C1376" s="32">
        <v>8585</v>
      </c>
      <c r="D1376" s="1">
        <v>24000</v>
      </c>
      <c r="E1376" s="1"/>
      <c r="F1376" s="1">
        <v>267.38</v>
      </c>
      <c r="G1376" s="1">
        <v>24000</v>
      </c>
      <c r="H1376" s="5">
        <f t="shared" si="24"/>
        <v>0</v>
      </c>
      <c r="I1376" s="1"/>
      <c r="J1376" s="1"/>
    </row>
    <row r="1377" spans="2:10" x14ac:dyDescent="0.2">
      <c r="B1377" s="1" t="s">
        <v>241</v>
      </c>
      <c r="C1377" s="32">
        <v>4373</v>
      </c>
      <c r="D1377" s="1">
        <v>24000</v>
      </c>
      <c r="E1377" s="1"/>
      <c r="F1377" s="1">
        <v>267.38</v>
      </c>
      <c r="G1377" s="1">
        <v>24000</v>
      </c>
      <c r="H1377" s="5">
        <f t="shared" si="24"/>
        <v>0</v>
      </c>
      <c r="I1377" s="1"/>
      <c r="J1377" s="1"/>
    </row>
    <row r="1378" spans="2:10" x14ac:dyDescent="0.2">
      <c r="B1378" s="1" t="s">
        <v>241</v>
      </c>
      <c r="C1378" s="32">
        <v>5435</v>
      </c>
      <c r="D1378" s="1">
        <v>30000</v>
      </c>
      <c r="E1378" s="1"/>
      <c r="F1378" s="1">
        <v>334.6</v>
      </c>
      <c r="G1378" s="1">
        <v>30000</v>
      </c>
      <c r="H1378" s="5">
        <f t="shared" si="24"/>
        <v>0</v>
      </c>
      <c r="I1378" s="1"/>
      <c r="J1378" s="1"/>
    </row>
    <row r="1379" spans="2:10" x14ac:dyDescent="0.2">
      <c r="B1379" s="1" t="s">
        <v>242</v>
      </c>
      <c r="C1379" s="32">
        <v>6276</v>
      </c>
      <c r="D1379" s="1">
        <v>20000</v>
      </c>
      <c r="E1379" s="1"/>
      <c r="F1379" s="1">
        <v>223.06</v>
      </c>
      <c r="G1379" s="1">
        <v>20000</v>
      </c>
      <c r="H1379" s="5">
        <f t="shared" si="24"/>
        <v>0</v>
      </c>
      <c r="I1379" s="1"/>
      <c r="J1379" s="1"/>
    </row>
    <row r="1380" spans="2:10" x14ac:dyDescent="0.2">
      <c r="B1380" s="1" t="s">
        <v>242</v>
      </c>
      <c r="C1380" s="32">
        <v>1121</v>
      </c>
      <c r="D1380" s="1">
        <v>25000</v>
      </c>
      <c r="E1380" s="1"/>
      <c r="F1380" s="1">
        <v>278.52</v>
      </c>
      <c r="G1380" s="1">
        <v>25000</v>
      </c>
      <c r="H1380" s="5">
        <f t="shared" si="24"/>
        <v>0</v>
      </c>
      <c r="I1380" s="1"/>
      <c r="J1380" s="1"/>
    </row>
    <row r="1381" spans="2:10" x14ac:dyDescent="0.2">
      <c r="B1381" s="1" t="s">
        <v>242</v>
      </c>
      <c r="C1381" s="32">
        <v>1613</v>
      </c>
      <c r="D1381" s="1">
        <v>20000</v>
      </c>
      <c r="E1381" s="1"/>
      <c r="F1381" s="1">
        <v>223.06</v>
      </c>
      <c r="G1381" s="1">
        <v>20000</v>
      </c>
      <c r="H1381" s="5">
        <f t="shared" si="24"/>
        <v>0</v>
      </c>
      <c r="I1381" s="1"/>
      <c r="J1381" s="1"/>
    </row>
    <row r="1382" spans="2:10" x14ac:dyDescent="0.2">
      <c r="B1382" s="1" t="s">
        <v>242</v>
      </c>
      <c r="C1382" s="32">
        <v>437</v>
      </c>
      <c r="D1382" s="1">
        <v>25000</v>
      </c>
      <c r="E1382" s="1"/>
      <c r="F1382" s="1">
        <v>278.52</v>
      </c>
      <c r="G1382" s="1">
        <v>25000</v>
      </c>
      <c r="H1382" s="5">
        <f t="shared" si="24"/>
        <v>0</v>
      </c>
      <c r="I1382" s="1"/>
      <c r="J1382" s="1"/>
    </row>
    <row r="1383" spans="2:10" x14ac:dyDescent="0.2">
      <c r="B1383" s="1" t="s">
        <v>242</v>
      </c>
      <c r="C1383" s="32">
        <v>4782</v>
      </c>
      <c r="D1383" s="1">
        <v>25000</v>
      </c>
      <c r="E1383" s="1"/>
      <c r="F1383" s="1">
        <v>278.52</v>
      </c>
      <c r="G1383" s="1">
        <v>25000</v>
      </c>
      <c r="H1383" s="5">
        <f t="shared" si="24"/>
        <v>0</v>
      </c>
      <c r="I1383" s="1"/>
      <c r="J1383" s="1"/>
    </row>
    <row r="1384" spans="2:10" x14ac:dyDescent="0.2">
      <c r="B1384" s="1" t="s">
        <v>242</v>
      </c>
      <c r="C1384" s="32">
        <v>7695</v>
      </c>
      <c r="D1384" s="1">
        <v>25000</v>
      </c>
      <c r="E1384" s="1"/>
      <c r="F1384" s="1">
        <v>278.52</v>
      </c>
      <c r="G1384" s="1">
        <v>25000</v>
      </c>
      <c r="H1384" s="5">
        <f t="shared" si="24"/>
        <v>0</v>
      </c>
      <c r="I1384" s="1"/>
      <c r="J1384" s="1"/>
    </row>
    <row r="1385" spans="2:10" x14ac:dyDescent="0.2">
      <c r="B1385" s="1" t="s">
        <v>243</v>
      </c>
      <c r="C1385" s="32" t="s">
        <v>66</v>
      </c>
      <c r="D1385" s="1">
        <v>200</v>
      </c>
      <c r="E1385" s="1"/>
      <c r="F1385" s="1">
        <v>2.08</v>
      </c>
      <c r="G1385" s="1">
        <v>200</v>
      </c>
      <c r="H1385" s="5">
        <f t="shared" si="24"/>
        <v>0</v>
      </c>
      <c r="I1385" s="1"/>
      <c r="J1385" s="1"/>
    </row>
    <row r="1386" spans="2:10" x14ac:dyDescent="0.2">
      <c r="B1386" s="1" t="s">
        <v>243</v>
      </c>
      <c r="C1386" s="32">
        <v>3886</v>
      </c>
      <c r="D1386" s="1">
        <v>22000</v>
      </c>
      <c r="E1386" s="1"/>
      <c r="F1386" s="1">
        <v>245</v>
      </c>
      <c r="G1386" s="1">
        <v>22000</v>
      </c>
      <c r="H1386" s="5">
        <f t="shared" si="24"/>
        <v>0</v>
      </c>
      <c r="I1386" s="1"/>
      <c r="J1386" s="1"/>
    </row>
    <row r="1387" spans="2:10" x14ac:dyDescent="0.2">
      <c r="B1387" s="1" t="s">
        <v>243</v>
      </c>
      <c r="C1387" s="32">
        <v>4685</v>
      </c>
      <c r="D1387" s="1">
        <v>30000</v>
      </c>
      <c r="E1387" s="1"/>
      <c r="F1387" s="1">
        <v>334.6</v>
      </c>
      <c r="G1387" s="1">
        <v>30000</v>
      </c>
      <c r="H1387" s="5">
        <f t="shared" si="24"/>
        <v>0</v>
      </c>
      <c r="I1387" s="1"/>
      <c r="J1387" s="1"/>
    </row>
    <row r="1388" spans="2:10" x14ac:dyDescent="0.2">
      <c r="B1388" s="1" t="s">
        <v>243</v>
      </c>
      <c r="C1388" s="32">
        <v>5406</v>
      </c>
      <c r="D1388" s="1">
        <v>20000</v>
      </c>
      <c r="E1388" s="1"/>
      <c r="F1388" s="1">
        <v>223.06</v>
      </c>
      <c r="G1388" s="1">
        <v>20000</v>
      </c>
      <c r="H1388" s="5">
        <f t="shared" si="24"/>
        <v>0</v>
      </c>
      <c r="I1388" s="1"/>
      <c r="J1388" s="1"/>
    </row>
    <row r="1389" spans="2:10" x14ac:dyDescent="0.2">
      <c r="B1389" s="1" t="s">
        <v>243</v>
      </c>
      <c r="C1389" s="32">
        <v>7225</v>
      </c>
      <c r="D1389" s="1">
        <v>22000</v>
      </c>
      <c r="E1389" s="1"/>
      <c r="F1389" s="1">
        <v>245.1</v>
      </c>
      <c r="G1389" s="1">
        <v>22000</v>
      </c>
      <c r="H1389" s="5">
        <f t="shared" si="24"/>
        <v>0</v>
      </c>
      <c r="I1389" s="1"/>
      <c r="J1389" s="1"/>
    </row>
    <row r="1390" spans="2:10" x14ac:dyDescent="0.2">
      <c r="B1390" s="1" t="s">
        <v>243</v>
      </c>
      <c r="C1390" s="32">
        <v>6821</v>
      </c>
      <c r="D1390" s="1">
        <v>32000</v>
      </c>
      <c r="E1390" s="1"/>
      <c r="F1390" s="1">
        <v>342.58</v>
      </c>
      <c r="G1390" s="1">
        <v>32000</v>
      </c>
      <c r="H1390" s="5">
        <f t="shared" si="24"/>
        <v>0</v>
      </c>
      <c r="I1390" s="1"/>
      <c r="J1390" s="1"/>
    </row>
    <row r="1391" spans="2:10" x14ac:dyDescent="0.2">
      <c r="B1391" s="1" t="s">
        <v>244</v>
      </c>
      <c r="C1391" s="32">
        <v>9998</v>
      </c>
      <c r="D1391" s="1">
        <v>18000</v>
      </c>
      <c r="E1391" s="1"/>
      <c r="F1391" s="1">
        <v>200.53</v>
      </c>
      <c r="G1391" s="1">
        <v>18000</v>
      </c>
      <c r="H1391" s="5">
        <f t="shared" si="24"/>
        <v>0</v>
      </c>
      <c r="I1391" s="1"/>
      <c r="J1391" s="1"/>
    </row>
    <row r="1392" spans="2:10" x14ac:dyDescent="0.2">
      <c r="B1392" s="1" t="s">
        <v>244</v>
      </c>
      <c r="C1392" s="32" t="s">
        <v>63</v>
      </c>
      <c r="D1392" s="1">
        <v>3500</v>
      </c>
      <c r="E1392" s="1"/>
      <c r="F1392" s="1">
        <v>39.01</v>
      </c>
      <c r="G1392" s="1">
        <v>3500</v>
      </c>
      <c r="H1392" s="5">
        <f t="shared" si="24"/>
        <v>0</v>
      </c>
      <c r="I1392" s="1"/>
      <c r="J1392" s="1"/>
    </row>
    <row r="1393" spans="2:10" x14ac:dyDescent="0.2">
      <c r="B1393" s="1" t="s">
        <v>244</v>
      </c>
      <c r="C1393" s="32" t="s">
        <v>30</v>
      </c>
      <c r="D1393" s="1">
        <v>4500</v>
      </c>
      <c r="E1393" s="1"/>
      <c r="F1393" s="1">
        <v>50.13</v>
      </c>
      <c r="G1393" s="1">
        <v>4500</v>
      </c>
      <c r="H1393" s="5">
        <f t="shared" si="24"/>
        <v>0</v>
      </c>
      <c r="I1393" s="1"/>
      <c r="J1393" s="1"/>
    </row>
    <row r="1394" spans="2:10" x14ac:dyDescent="0.2">
      <c r="B1394" s="1" t="s">
        <v>244</v>
      </c>
      <c r="C1394" s="32" t="s">
        <v>66</v>
      </c>
      <c r="D1394" s="1">
        <v>120</v>
      </c>
      <c r="E1394" s="1"/>
      <c r="F1394" s="1">
        <v>1.25</v>
      </c>
      <c r="G1394" s="1">
        <v>120</v>
      </c>
      <c r="H1394" s="5">
        <f t="shared" si="24"/>
        <v>0</v>
      </c>
      <c r="I1394" s="1"/>
      <c r="J1394" s="1"/>
    </row>
    <row r="1395" spans="2:10" x14ac:dyDescent="0.2">
      <c r="B1395" s="1" t="s">
        <v>244</v>
      </c>
      <c r="C1395" s="32">
        <v>5445</v>
      </c>
      <c r="D1395" s="1">
        <v>32000</v>
      </c>
      <c r="E1395" s="1"/>
      <c r="F1395" s="1">
        <v>356</v>
      </c>
      <c r="G1395" s="1">
        <v>32000</v>
      </c>
      <c r="H1395" s="5">
        <f t="shared" si="24"/>
        <v>0</v>
      </c>
      <c r="I1395" s="1"/>
      <c r="J1395" s="1"/>
    </row>
    <row r="1396" spans="2:10" x14ac:dyDescent="0.2">
      <c r="B1396" s="1" t="s">
        <v>244</v>
      </c>
      <c r="C1396" s="32">
        <v>9960</v>
      </c>
      <c r="D1396" s="1">
        <v>32000</v>
      </c>
      <c r="E1396" s="1"/>
      <c r="F1396" s="1">
        <v>356</v>
      </c>
      <c r="G1396" s="1">
        <v>32000</v>
      </c>
      <c r="H1396" s="5">
        <f t="shared" si="24"/>
        <v>0</v>
      </c>
      <c r="I1396" s="1"/>
      <c r="J1396" s="1"/>
    </row>
    <row r="1397" spans="2:10" x14ac:dyDescent="0.2">
      <c r="B1397" s="1" t="s">
        <v>244</v>
      </c>
      <c r="C1397" s="32">
        <v>8626</v>
      </c>
      <c r="D1397" s="1">
        <v>10000</v>
      </c>
      <c r="E1397" s="1"/>
      <c r="F1397" s="1">
        <v>111.41</v>
      </c>
      <c r="G1397" s="1">
        <v>10000</v>
      </c>
      <c r="H1397" s="5">
        <f t="shared" si="24"/>
        <v>0</v>
      </c>
      <c r="I1397" s="1"/>
      <c r="J1397" s="1"/>
    </row>
    <row r="1398" spans="2:10" x14ac:dyDescent="0.2">
      <c r="B1398" s="1" t="s">
        <v>244</v>
      </c>
      <c r="C1398" s="32">
        <v>7615</v>
      </c>
      <c r="D1398" s="1">
        <v>25000</v>
      </c>
      <c r="E1398" s="1"/>
      <c r="F1398" s="1">
        <v>278.52</v>
      </c>
      <c r="G1398" s="1">
        <v>25000</v>
      </c>
      <c r="H1398" s="5">
        <f t="shared" si="24"/>
        <v>0</v>
      </c>
      <c r="I1398" s="1"/>
      <c r="J1398" s="1"/>
    </row>
    <row r="1399" spans="2:10" x14ac:dyDescent="0.2">
      <c r="B1399" s="1" t="s">
        <v>244</v>
      </c>
      <c r="C1399" s="32">
        <v>4730</v>
      </c>
      <c r="D1399" s="1">
        <v>25000</v>
      </c>
      <c r="E1399" s="1"/>
      <c r="F1399" s="1">
        <v>278.52</v>
      </c>
      <c r="G1399" s="1">
        <v>25000</v>
      </c>
      <c r="H1399" s="5">
        <f t="shared" si="24"/>
        <v>0</v>
      </c>
      <c r="I1399" s="1"/>
      <c r="J1399" s="1"/>
    </row>
    <row r="1400" spans="2:10" x14ac:dyDescent="0.2">
      <c r="B1400" s="1" t="s">
        <v>245</v>
      </c>
      <c r="C1400" s="32">
        <v>299</v>
      </c>
      <c r="D1400" s="1">
        <v>20000</v>
      </c>
      <c r="E1400" s="1"/>
      <c r="F1400" s="1">
        <v>223.06</v>
      </c>
      <c r="G1400" s="1">
        <v>20000</v>
      </c>
      <c r="H1400" s="5">
        <f t="shared" si="24"/>
        <v>0</v>
      </c>
      <c r="I1400" s="1"/>
      <c r="J1400" s="1"/>
    </row>
    <row r="1401" spans="2:10" x14ac:dyDescent="0.2">
      <c r="B1401" s="1" t="s">
        <v>245</v>
      </c>
      <c r="C1401" s="32" t="s">
        <v>30</v>
      </c>
      <c r="D1401" s="1">
        <v>2000</v>
      </c>
      <c r="E1401" s="1"/>
      <c r="F1401" s="1">
        <v>22.58</v>
      </c>
      <c r="G1401" s="1">
        <v>2000</v>
      </c>
      <c r="H1401" s="5">
        <f t="shared" si="24"/>
        <v>0</v>
      </c>
      <c r="I1401" s="1"/>
      <c r="J1401" s="1"/>
    </row>
    <row r="1402" spans="2:10" x14ac:dyDescent="0.2">
      <c r="B1402" s="1" t="s">
        <v>245</v>
      </c>
      <c r="C1402" s="32">
        <v>9134</v>
      </c>
      <c r="D1402" s="1">
        <v>20000</v>
      </c>
      <c r="E1402" s="1"/>
      <c r="F1402" s="1">
        <v>223.06</v>
      </c>
      <c r="G1402" s="1">
        <v>20000</v>
      </c>
      <c r="H1402" s="5">
        <f t="shared" si="24"/>
        <v>0</v>
      </c>
      <c r="I1402" s="1"/>
      <c r="J1402" s="1"/>
    </row>
    <row r="1403" spans="2:10" x14ac:dyDescent="0.2">
      <c r="B1403" s="1" t="s">
        <v>245</v>
      </c>
      <c r="C1403" s="32" t="s">
        <v>66</v>
      </c>
      <c r="D1403" s="1">
        <v>200</v>
      </c>
      <c r="E1403" s="1"/>
      <c r="F1403" s="1">
        <v>2.08</v>
      </c>
      <c r="G1403" s="1">
        <v>200</v>
      </c>
      <c r="H1403" s="5">
        <f t="shared" si="24"/>
        <v>0</v>
      </c>
      <c r="I1403" s="1"/>
      <c r="J1403" s="1"/>
    </row>
    <row r="1404" spans="2:10" x14ac:dyDescent="0.2">
      <c r="B1404" s="1" t="s">
        <v>245</v>
      </c>
      <c r="C1404" s="32">
        <v>7109</v>
      </c>
      <c r="D1404" s="1">
        <v>4500</v>
      </c>
      <c r="E1404" s="1"/>
      <c r="F1404" s="1">
        <v>50.13</v>
      </c>
      <c r="G1404" s="1">
        <v>4500</v>
      </c>
      <c r="H1404" s="5">
        <f t="shared" si="24"/>
        <v>0</v>
      </c>
      <c r="I1404" s="1"/>
      <c r="J1404" s="1"/>
    </row>
    <row r="1405" spans="2:10" x14ac:dyDescent="0.2">
      <c r="B1405" s="1" t="s">
        <v>245</v>
      </c>
      <c r="C1405" s="32">
        <v>1631</v>
      </c>
      <c r="D1405" s="1">
        <v>30000</v>
      </c>
      <c r="E1405" s="1"/>
      <c r="F1405" s="1">
        <v>334.22</v>
      </c>
      <c r="G1405" s="1">
        <v>30000</v>
      </c>
      <c r="H1405" s="5">
        <f t="shared" si="24"/>
        <v>0</v>
      </c>
      <c r="I1405" s="1"/>
      <c r="J1405" s="1"/>
    </row>
    <row r="1406" spans="2:10" x14ac:dyDescent="0.2">
      <c r="B1406" s="1" t="s">
        <v>245</v>
      </c>
      <c r="C1406" s="32">
        <v>5342</v>
      </c>
      <c r="D1406" s="1">
        <v>20000</v>
      </c>
      <c r="E1406" s="1"/>
      <c r="F1406" s="1">
        <v>223.06</v>
      </c>
      <c r="G1406" s="1">
        <v>20000</v>
      </c>
      <c r="H1406" s="5">
        <f t="shared" si="24"/>
        <v>0</v>
      </c>
      <c r="I1406" s="1"/>
      <c r="J1406" s="1"/>
    </row>
    <row r="1407" spans="2:10" x14ac:dyDescent="0.2">
      <c r="B1407" s="1" t="s">
        <v>245</v>
      </c>
      <c r="C1407" s="32">
        <v>1905</v>
      </c>
      <c r="D1407" s="1">
        <v>26000</v>
      </c>
      <c r="E1407" s="1"/>
      <c r="F1407" s="1">
        <v>254</v>
      </c>
      <c r="G1407" s="1">
        <v>26000</v>
      </c>
      <c r="H1407" s="5">
        <f t="shared" si="24"/>
        <v>0</v>
      </c>
      <c r="I1407" s="1"/>
      <c r="J1407" s="1"/>
    </row>
    <row r="1408" spans="2:10" x14ac:dyDescent="0.2">
      <c r="B1408" s="1" t="s">
        <v>245</v>
      </c>
      <c r="C1408" s="32">
        <v>1278</v>
      </c>
      <c r="D1408" s="1">
        <v>18000</v>
      </c>
      <c r="E1408" s="1"/>
      <c r="F1408" s="1">
        <v>200.53</v>
      </c>
      <c r="G1408" s="1">
        <v>18000</v>
      </c>
      <c r="H1408" s="5">
        <f t="shared" si="24"/>
        <v>0</v>
      </c>
      <c r="I1408" s="1"/>
      <c r="J1408" s="1"/>
    </row>
    <row r="1409" spans="2:10" x14ac:dyDescent="0.2">
      <c r="B1409" s="1" t="s">
        <v>245</v>
      </c>
      <c r="C1409" s="32">
        <v>5835</v>
      </c>
      <c r="D1409" s="1">
        <v>26000</v>
      </c>
      <c r="E1409" s="1"/>
      <c r="F1409" s="1">
        <v>261.25</v>
      </c>
      <c r="G1409" s="1">
        <v>26000</v>
      </c>
      <c r="H1409" s="5">
        <f t="shared" si="24"/>
        <v>0</v>
      </c>
      <c r="I1409" s="1"/>
      <c r="J1409" s="1"/>
    </row>
    <row r="1410" spans="2:10" x14ac:dyDescent="0.2">
      <c r="B1410" s="1" t="s">
        <v>245</v>
      </c>
      <c r="C1410" s="32">
        <v>7874</v>
      </c>
      <c r="D1410" s="1">
        <v>20000</v>
      </c>
      <c r="E1410" s="1"/>
      <c r="F1410" s="1">
        <v>223.06</v>
      </c>
      <c r="G1410" s="1">
        <v>20000</v>
      </c>
      <c r="H1410" s="5">
        <f t="shared" si="24"/>
        <v>0</v>
      </c>
      <c r="I1410" s="1"/>
      <c r="J1410" s="1"/>
    </row>
    <row r="1411" spans="2:10" x14ac:dyDescent="0.2">
      <c r="B1411" s="1" t="s">
        <v>248</v>
      </c>
      <c r="C1411" s="32" t="s">
        <v>66</v>
      </c>
      <c r="D1411" s="1">
        <v>100</v>
      </c>
      <c r="E1411" s="1"/>
      <c r="F1411" s="1">
        <v>94.06</v>
      </c>
      <c r="G1411" s="1">
        <v>100</v>
      </c>
      <c r="H1411" s="5">
        <f t="shared" si="24"/>
        <v>0</v>
      </c>
      <c r="I1411" s="1"/>
      <c r="J1411" s="1"/>
    </row>
    <row r="1412" spans="2:10" x14ac:dyDescent="0.2">
      <c r="B1412" s="1" t="s">
        <v>248</v>
      </c>
      <c r="C1412" s="32" t="s">
        <v>30</v>
      </c>
      <c r="D1412" s="1">
        <v>4500</v>
      </c>
      <c r="E1412" s="1"/>
      <c r="F1412" s="1">
        <v>50.13</v>
      </c>
      <c r="G1412" s="1">
        <v>4500</v>
      </c>
      <c r="H1412" s="5">
        <f t="shared" ref="H1412:H1475" si="25">D1412-G1412</f>
        <v>0</v>
      </c>
      <c r="I1412" s="1"/>
      <c r="J1412" s="1"/>
    </row>
    <row r="1413" spans="2:10" x14ac:dyDescent="0.2">
      <c r="B1413" s="1" t="s">
        <v>248</v>
      </c>
      <c r="C1413" s="32" t="s">
        <v>63</v>
      </c>
      <c r="D1413" s="1">
        <v>3500</v>
      </c>
      <c r="E1413" s="1"/>
      <c r="F1413" s="1">
        <v>38.99</v>
      </c>
      <c r="G1413" s="1">
        <v>3500</v>
      </c>
      <c r="H1413" s="5">
        <f t="shared" si="25"/>
        <v>0</v>
      </c>
      <c r="I1413" s="1"/>
      <c r="J1413" s="1"/>
    </row>
    <row r="1414" spans="2:10" x14ac:dyDescent="0.2">
      <c r="B1414" s="1" t="s">
        <v>248</v>
      </c>
      <c r="C1414" s="32" t="s">
        <v>66</v>
      </c>
      <c r="D1414" s="1">
        <v>200</v>
      </c>
      <c r="E1414" s="1"/>
      <c r="F1414" s="1">
        <v>2.08</v>
      </c>
      <c r="G1414" s="1">
        <v>200</v>
      </c>
      <c r="H1414" s="5">
        <f t="shared" si="25"/>
        <v>0</v>
      </c>
      <c r="I1414" s="1"/>
      <c r="J1414" s="1"/>
    </row>
    <row r="1415" spans="2:10" x14ac:dyDescent="0.2">
      <c r="B1415" s="1" t="s">
        <v>248</v>
      </c>
      <c r="C1415" s="32">
        <v>7773</v>
      </c>
      <c r="D1415" s="1">
        <v>22000</v>
      </c>
      <c r="E1415" s="1"/>
      <c r="F1415" s="1">
        <v>245.7</v>
      </c>
      <c r="G1415" s="1">
        <v>22000</v>
      </c>
      <c r="H1415" s="5">
        <f t="shared" si="25"/>
        <v>0</v>
      </c>
      <c r="I1415" s="1"/>
      <c r="J1415" s="1"/>
    </row>
    <row r="1416" spans="2:10" x14ac:dyDescent="0.2">
      <c r="B1416" s="1" t="s">
        <v>248</v>
      </c>
      <c r="C1416" s="32">
        <v>8373</v>
      </c>
      <c r="D1416" s="1">
        <v>20000</v>
      </c>
      <c r="E1416" s="1"/>
      <c r="F1416" s="1">
        <v>222.82</v>
      </c>
      <c r="G1416" s="1">
        <v>20000</v>
      </c>
      <c r="H1416" s="5">
        <f t="shared" si="25"/>
        <v>0</v>
      </c>
      <c r="I1416" s="1"/>
      <c r="J1416" s="1"/>
    </row>
    <row r="1417" spans="2:10" x14ac:dyDescent="0.2">
      <c r="B1417" s="1" t="s">
        <v>248</v>
      </c>
      <c r="C1417" s="32">
        <v>4928</v>
      </c>
      <c r="D1417" s="1">
        <v>20000</v>
      </c>
      <c r="E1417" s="1"/>
      <c r="F1417" s="1">
        <v>222.82</v>
      </c>
      <c r="G1417" s="1">
        <v>20000</v>
      </c>
      <c r="H1417" s="5">
        <f t="shared" si="25"/>
        <v>0</v>
      </c>
      <c r="I1417" s="1"/>
      <c r="J1417" s="1"/>
    </row>
    <row r="1418" spans="2:10" x14ac:dyDescent="0.2">
      <c r="B1418" s="1" t="s">
        <v>248</v>
      </c>
      <c r="C1418" s="32">
        <v>1910</v>
      </c>
      <c r="D1418" s="1">
        <v>25000</v>
      </c>
      <c r="E1418" s="1"/>
      <c r="F1418" s="1">
        <v>286.19</v>
      </c>
      <c r="G1418" s="1">
        <v>25000</v>
      </c>
      <c r="H1418" s="5">
        <f t="shared" si="25"/>
        <v>0</v>
      </c>
      <c r="I1418" s="1"/>
      <c r="J1418" s="1"/>
    </row>
    <row r="1419" spans="2:10" x14ac:dyDescent="0.2">
      <c r="B1419" s="1" t="s">
        <v>248</v>
      </c>
      <c r="C1419" s="32">
        <v>633</v>
      </c>
      <c r="D1419" s="1">
        <v>10000</v>
      </c>
      <c r="E1419" s="1"/>
      <c r="F1419" s="1">
        <v>155.41999999999999</v>
      </c>
      <c r="G1419" s="1">
        <v>10000</v>
      </c>
      <c r="H1419" s="5">
        <f t="shared" si="25"/>
        <v>0</v>
      </c>
      <c r="I1419" s="1"/>
      <c r="J1419" s="1"/>
    </row>
    <row r="1420" spans="2:10" x14ac:dyDescent="0.2">
      <c r="B1420" s="1" t="s">
        <v>249</v>
      </c>
      <c r="C1420" s="32">
        <v>9962</v>
      </c>
      <c r="D1420" s="1">
        <v>24000</v>
      </c>
      <c r="E1420" s="1"/>
      <c r="F1420" s="1">
        <v>267.27999999999997</v>
      </c>
      <c r="G1420" s="1">
        <v>24000</v>
      </c>
      <c r="H1420" s="5">
        <f t="shared" si="25"/>
        <v>0</v>
      </c>
      <c r="I1420" s="1"/>
      <c r="J1420" s="1"/>
    </row>
    <row r="1421" spans="2:10" x14ac:dyDescent="0.2">
      <c r="B1421" s="1" t="s">
        <v>249</v>
      </c>
      <c r="C1421" s="32">
        <v>9577</v>
      </c>
      <c r="D1421" s="1">
        <v>19000</v>
      </c>
      <c r="E1421" s="1"/>
      <c r="F1421" s="1">
        <v>211.68</v>
      </c>
      <c r="G1421" s="1">
        <v>19000</v>
      </c>
      <c r="H1421" s="5">
        <f t="shared" si="25"/>
        <v>0</v>
      </c>
      <c r="I1421" s="1"/>
      <c r="J1421" s="1"/>
    </row>
    <row r="1422" spans="2:10" x14ac:dyDescent="0.2">
      <c r="B1422" s="1" t="s">
        <v>249</v>
      </c>
      <c r="C1422" s="32">
        <v>5079</v>
      </c>
      <c r="D1422" s="1">
        <v>30000</v>
      </c>
      <c r="E1422" s="1"/>
      <c r="F1422" s="1">
        <v>334.22</v>
      </c>
      <c r="G1422" s="1">
        <v>30000</v>
      </c>
      <c r="H1422" s="5">
        <f t="shared" si="25"/>
        <v>0</v>
      </c>
      <c r="I1422" s="1"/>
      <c r="J1422" s="1"/>
    </row>
    <row r="1423" spans="2:10" x14ac:dyDescent="0.2">
      <c r="B1423" s="1" t="s">
        <v>249</v>
      </c>
      <c r="C1423" s="32">
        <v>388</v>
      </c>
      <c r="D1423" s="1">
        <v>15000</v>
      </c>
      <c r="E1423" s="1"/>
      <c r="F1423" s="1">
        <v>262.37</v>
      </c>
      <c r="G1423" s="1">
        <v>15000</v>
      </c>
      <c r="H1423" s="5">
        <f t="shared" si="25"/>
        <v>0</v>
      </c>
      <c r="I1423" s="1"/>
      <c r="J1423" s="1"/>
    </row>
    <row r="1424" spans="2:10" x14ac:dyDescent="0.2">
      <c r="B1424" s="1" t="s">
        <v>250</v>
      </c>
      <c r="C1424" s="32" t="s">
        <v>63</v>
      </c>
      <c r="D1424" s="1">
        <v>3500</v>
      </c>
      <c r="E1424" s="1"/>
      <c r="F1424" s="1">
        <v>38.99</v>
      </c>
      <c r="G1424" s="1">
        <v>3500</v>
      </c>
      <c r="H1424" s="5">
        <f t="shared" si="25"/>
        <v>0</v>
      </c>
      <c r="I1424" s="1"/>
      <c r="J1424" s="1"/>
    </row>
    <row r="1425" spans="2:10" x14ac:dyDescent="0.2">
      <c r="B1425" s="1" t="s">
        <v>250</v>
      </c>
      <c r="C1425" s="32" t="s">
        <v>66</v>
      </c>
      <c r="D1425" s="1">
        <v>200</v>
      </c>
      <c r="E1425" s="1"/>
      <c r="F1425" s="1">
        <v>2.08</v>
      </c>
      <c r="G1425" s="1">
        <v>200</v>
      </c>
      <c r="H1425" s="5">
        <f t="shared" si="25"/>
        <v>0</v>
      </c>
      <c r="I1425" s="1"/>
      <c r="J1425" s="1"/>
    </row>
    <row r="1426" spans="2:10" x14ac:dyDescent="0.2">
      <c r="B1426" s="1" t="s">
        <v>250</v>
      </c>
      <c r="C1426" s="32">
        <v>7972</v>
      </c>
      <c r="D1426" s="1">
        <v>20000</v>
      </c>
      <c r="E1426" s="1"/>
      <c r="F1426" s="1">
        <v>309.72000000000003</v>
      </c>
      <c r="G1426" s="1">
        <v>20000</v>
      </c>
      <c r="H1426" s="5">
        <f t="shared" si="25"/>
        <v>0</v>
      </c>
      <c r="I1426" s="1"/>
      <c r="J1426" s="1"/>
    </row>
    <row r="1427" spans="2:10" x14ac:dyDescent="0.2">
      <c r="B1427" s="1" t="s">
        <v>250</v>
      </c>
      <c r="C1427" s="32">
        <v>4692</v>
      </c>
      <c r="D1427" s="1">
        <v>29000</v>
      </c>
      <c r="E1427" s="1"/>
      <c r="F1427" s="1">
        <v>306.38</v>
      </c>
      <c r="G1427" s="1">
        <v>29000</v>
      </c>
      <c r="H1427" s="5">
        <f t="shared" si="25"/>
        <v>0</v>
      </c>
      <c r="I1427" s="1"/>
      <c r="J1427" s="1"/>
    </row>
    <row r="1428" spans="2:10" x14ac:dyDescent="0.2">
      <c r="B1428" s="1" t="s">
        <v>250</v>
      </c>
      <c r="C1428" s="32">
        <v>3992</v>
      </c>
      <c r="D1428" s="1">
        <v>29000</v>
      </c>
      <c r="E1428" s="1"/>
      <c r="F1428" s="1">
        <v>292.44</v>
      </c>
      <c r="G1428" s="1">
        <v>29000</v>
      </c>
      <c r="H1428" s="5">
        <f t="shared" si="25"/>
        <v>0</v>
      </c>
      <c r="I1428" s="1"/>
      <c r="J1428" s="1"/>
    </row>
    <row r="1429" spans="2:10" x14ac:dyDescent="0.2">
      <c r="B1429" s="1" t="s">
        <v>250</v>
      </c>
      <c r="C1429" s="32">
        <v>3598</v>
      </c>
      <c r="D1429" s="1">
        <v>20000</v>
      </c>
      <c r="E1429" s="1"/>
      <c r="F1429" s="1">
        <v>222.82</v>
      </c>
      <c r="G1429" s="1">
        <v>20000</v>
      </c>
      <c r="H1429" s="5">
        <f t="shared" si="25"/>
        <v>0</v>
      </c>
      <c r="I1429" s="1"/>
      <c r="J1429" s="1"/>
    </row>
    <row r="1430" spans="2:10" x14ac:dyDescent="0.2">
      <c r="B1430" s="1" t="s">
        <v>251</v>
      </c>
      <c r="C1430" s="32">
        <v>2148</v>
      </c>
      <c r="D1430" s="1">
        <v>20000</v>
      </c>
      <c r="E1430" s="1"/>
      <c r="F1430" s="1">
        <v>222.82</v>
      </c>
      <c r="G1430" s="1">
        <v>20000</v>
      </c>
      <c r="H1430" s="5">
        <f t="shared" si="25"/>
        <v>0</v>
      </c>
      <c r="I1430" s="1"/>
      <c r="J1430" s="1"/>
    </row>
    <row r="1431" spans="2:10" x14ac:dyDescent="0.2">
      <c r="B1431" s="1" t="s">
        <v>251</v>
      </c>
      <c r="C1431" s="32" t="s">
        <v>30</v>
      </c>
      <c r="D1431" s="1">
        <v>4500</v>
      </c>
      <c r="E1431" s="1"/>
      <c r="F1431" s="1">
        <v>50.13</v>
      </c>
      <c r="G1431" s="1">
        <v>4500</v>
      </c>
      <c r="H1431" s="5">
        <f t="shared" si="25"/>
        <v>0</v>
      </c>
      <c r="I1431" s="1"/>
      <c r="J1431" s="1"/>
    </row>
    <row r="1432" spans="2:10" x14ac:dyDescent="0.2">
      <c r="B1432" s="1" t="s">
        <v>251</v>
      </c>
      <c r="C1432" s="32">
        <v>9998</v>
      </c>
      <c r="D1432" s="1">
        <v>17000</v>
      </c>
      <c r="E1432" s="1"/>
      <c r="F1432" s="1">
        <v>189.39</v>
      </c>
      <c r="G1432" s="1">
        <v>17000</v>
      </c>
      <c r="H1432" s="5">
        <f t="shared" si="25"/>
        <v>0</v>
      </c>
      <c r="I1432" s="1"/>
      <c r="J1432" s="1"/>
    </row>
    <row r="1433" spans="2:10" x14ac:dyDescent="0.2">
      <c r="B1433" s="1" t="s">
        <v>251</v>
      </c>
      <c r="C1433" s="32">
        <v>8585</v>
      </c>
      <c r="D1433" s="1">
        <v>25000</v>
      </c>
      <c r="E1433" s="1"/>
      <c r="F1433" s="1">
        <v>278.52</v>
      </c>
      <c r="G1433" s="1">
        <v>25000</v>
      </c>
      <c r="H1433" s="5">
        <f t="shared" si="25"/>
        <v>0</v>
      </c>
      <c r="I1433" s="1"/>
      <c r="J1433" s="1"/>
    </row>
    <row r="1434" spans="2:10" x14ac:dyDescent="0.2">
      <c r="B1434" s="1" t="s">
        <v>251</v>
      </c>
      <c r="C1434" s="32">
        <v>6695</v>
      </c>
      <c r="D1434" s="1">
        <v>25000</v>
      </c>
      <c r="E1434" s="1"/>
      <c r="F1434" s="1">
        <v>278.52</v>
      </c>
      <c r="G1434" s="1">
        <v>25000</v>
      </c>
      <c r="H1434" s="5">
        <f t="shared" si="25"/>
        <v>0</v>
      </c>
      <c r="I1434" s="1"/>
      <c r="J1434" s="1"/>
    </row>
    <row r="1435" spans="2:10" x14ac:dyDescent="0.2">
      <c r="B1435" s="1" t="s">
        <v>251</v>
      </c>
      <c r="C1435" s="32">
        <v>4928</v>
      </c>
      <c r="D1435" s="1">
        <v>25000</v>
      </c>
      <c r="E1435" s="1"/>
      <c r="F1435" s="1">
        <v>278.52</v>
      </c>
      <c r="G1435" s="1">
        <v>25000</v>
      </c>
      <c r="H1435" s="5">
        <f t="shared" si="25"/>
        <v>0</v>
      </c>
      <c r="I1435" s="1"/>
      <c r="J1435" s="1"/>
    </row>
    <row r="1436" spans="2:10" x14ac:dyDescent="0.2">
      <c r="B1436" s="1" t="s">
        <v>251</v>
      </c>
      <c r="C1436" s="32">
        <v>2409</v>
      </c>
      <c r="D1436" s="1">
        <v>18000</v>
      </c>
      <c r="E1436" s="1"/>
      <c r="F1436" s="1">
        <v>200.53</v>
      </c>
      <c r="G1436" s="1">
        <v>18000</v>
      </c>
      <c r="H1436" s="5">
        <f t="shared" si="25"/>
        <v>0</v>
      </c>
      <c r="I1436" s="1"/>
      <c r="J1436" s="1"/>
    </row>
    <row r="1437" spans="2:10" x14ac:dyDescent="0.2">
      <c r="B1437" s="1" t="s">
        <v>252</v>
      </c>
      <c r="C1437" s="32">
        <v>1161</v>
      </c>
      <c r="D1437" s="1">
        <v>20000</v>
      </c>
      <c r="E1437" s="1"/>
      <c r="F1437" s="1">
        <v>222.82</v>
      </c>
      <c r="G1437" s="1">
        <v>20000</v>
      </c>
      <c r="H1437" s="5">
        <f t="shared" si="25"/>
        <v>0</v>
      </c>
      <c r="I1437" s="1"/>
      <c r="J1437" s="1"/>
    </row>
    <row r="1438" spans="2:10" x14ac:dyDescent="0.2">
      <c r="B1438" s="1" t="s">
        <v>252</v>
      </c>
      <c r="C1438" s="32" t="s">
        <v>63</v>
      </c>
      <c r="D1438" s="1">
        <v>3500</v>
      </c>
      <c r="E1438" s="1"/>
      <c r="F1438" s="1">
        <v>38.99</v>
      </c>
      <c r="G1438" s="1">
        <v>3500</v>
      </c>
      <c r="H1438" s="5">
        <f t="shared" si="25"/>
        <v>0</v>
      </c>
      <c r="I1438" s="1"/>
      <c r="J1438" s="1"/>
    </row>
    <row r="1439" spans="2:10" x14ac:dyDescent="0.2">
      <c r="B1439" s="1" t="s">
        <v>252</v>
      </c>
      <c r="C1439" s="32">
        <v>1726</v>
      </c>
      <c r="D1439" s="1">
        <v>10000</v>
      </c>
      <c r="E1439" s="1"/>
      <c r="F1439" s="1">
        <v>102.83</v>
      </c>
      <c r="G1439" s="1">
        <v>10000</v>
      </c>
      <c r="H1439" s="5">
        <f t="shared" si="25"/>
        <v>0</v>
      </c>
      <c r="I1439" s="1"/>
      <c r="J1439" s="1"/>
    </row>
    <row r="1440" spans="2:10" x14ac:dyDescent="0.2">
      <c r="B1440" s="1" t="s">
        <v>252</v>
      </c>
      <c r="C1440" s="32">
        <v>2481</v>
      </c>
      <c r="D1440" s="1">
        <v>10000</v>
      </c>
      <c r="E1440" s="1"/>
      <c r="F1440" s="1">
        <v>102.83</v>
      </c>
      <c r="G1440" s="1">
        <v>10000</v>
      </c>
      <c r="H1440" s="5">
        <f t="shared" si="25"/>
        <v>0</v>
      </c>
      <c r="I1440" s="1"/>
      <c r="J1440" s="1"/>
    </row>
    <row r="1441" spans="2:10" x14ac:dyDescent="0.2">
      <c r="B1441" s="1" t="s">
        <v>253</v>
      </c>
      <c r="C1441" s="32">
        <v>4028</v>
      </c>
      <c r="D1441" s="1">
        <v>20000</v>
      </c>
      <c r="E1441" s="1"/>
      <c r="F1441" s="1">
        <v>222.82</v>
      </c>
      <c r="G1441" s="1">
        <v>20000</v>
      </c>
      <c r="H1441" s="5">
        <f t="shared" si="25"/>
        <v>0</v>
      </c>
      <c r="I1441" s="1"/>
      <c r="J1441" s="1"/>
    </row>
    <row r="1442" spans="2:10" x14ac:dyDescent="0.2">
      <c r="B1442" s="1" t="s">
        <v>253</v>
      </c>
      <c r="C1442" s="32" t="s">
        <v>30</v>
      </c>
      <c r="D1442" s="1">
        <v>4500</v>
      </c>
      <c r="E1442" s="1"/>
      <c r="F1442" s="1">
        <v>50.2</v>
      </c>
      <c r="G1442" s="1">
        <v>4500</v>
      </c>
      <c r="H1442" s="5">
        <f t="shared" si="25"/>
        <v>0</v>
      </c>
      <c r="I1442" s="1"/>
      <c r="J1442" s="1"/>
    </row>
    <row r="1443" spans="2:10" x14ac:dyDescent="0.2">
      <c r="B1443" s="1" t="s">
        <v>253</v>
      </c>
      <c r="C1443" s="32" t="s">
        <v>66</v>
      </c>
      <c r="D1443" s="1">
        <v>200</v>
      </c>
      <c r="E1443" s="1"/>
      <c r="F1443" s="1">
        <v>2.08</v>
      </c>
      <c r="G1443" s="1">
        <v>200</v>
      </c>
      <c r="H1443" s="5">
        <f t="shared" si="25"/>
        <v>0</v>
      </c>
      <c r="I1443" s="1"/>
      <c r="J1443" s="1"/>
    </row>
    <row r="1444" spans="2:10" x14ac:dyDescent="0.2">
      <c r="B1444" s="1" t="s">
        <v>253</v>
      </c>
      <c r="C1444" s="32">
        <v>7176</v>
      </c>
      <c r="D1444" s="1">
        <v>20000</v>
      </c>
      <c r="E1444" s="1"/>
      <c r="F1444" s="1">
        <v>222.82</v>
      </c>
      <c r="G1444" s="1">
        <v>20000</v>
      </c>
      <c r="H1444" s="5">
        <f t="shared" si="25"/>
        <v>0</v>
      </c>
      <c r="I1444" s="1"/>
      <c r="J1444" s="1"/>
    </row>
    <row r="1445" spans="2:10" x14ac:dyDescent="0.2">
      <c r="B1445" s="1" t="s">
        <v>253</v>
      </c>
      <c r="C1445" s="32">
        <v>8279</v>
      </c>
      <c r="D1445" s="1">
        <v>20000</v>
      </c>
      <c r="E1445" s="1"/>
      <c r="F1445" s="1">
        <v>222.82</v>
      </c>
      <c r="G1445" s="1">
        <v>20000</v>
      </c>
      <c r="H1445" s="5">
        <f t="shared" si="25"/>
        <v>0</v>
      </c>
      <c r="I1445" s="1"/>
      <c r="J1445" s="1"/>
    </row>
    <row r="1446" spans="2:10" x14ac:dyDescent="0.2">
      <c r="B1446" s="1" t="s">
        <v>253</v>
      </c>
      <c r="C1446" s="32">
        <v>5183</v>
      </c>
      <c r="D1446" s="1">
        <v>25000</v>
      </c>
      <c r="E1446" s="1"/>
      <c r="F1446" s="1">
        <v>278.52</v>
      </c>
      <c r="G1446" s="1">
        <v>25000</v>
      </c>
      <c r="H1446" s="5">
        <f t="shared" si="25"/>
        <v>0</v>
      </c>
      <c r="I1446" s="1"/>
      <c r="J1446" s="1"/>
    </row>
    <row r="1447" spans="2:10" x14ac:dyDescent="0.2">
      <c r="B1447" s="1" t="s">
        <v>253</v>
      </c>
      <c r="C1447" s="32">
        <v>4849</v>
      </c>
      <c r="D1447" s="1">
        <v>23000</v>
      </c>
      <c r="E1447" s="1"/>
      <c r="F1447" s="1">
        <v>256.24</v>
      </c>
      <c r="G1447" s="1">
        <v>23000</v>
      </c>
      <c r="H1447" s="5">
        <f t="shared" si="25"/>
        <v>0</v>
      </c>
      <c r="I1447" s="1"/>
      <c r="J1447" s="1"/>
    </row>
    <row r="1448" spans="2:10" x14ac:dyDescent="0.2">
      <c r="B1448" s="1" t="s">
        <v>256</v>
      </c>
      <c r="C1448" s="32" t="s">
        <v>63</v>
      </c>
      <c r="D1448" s="1">
        <v>3500</v>
      </c>
      <c r="E1448" s="1"/>
      <c r="F1448" s="1">
        <v>38.99</v>
      </c>
      <c r="G1448" s="1">
        <v>3500</v>
      </c>
      <c r="H1448" s="5">
        <f t="shared" si="25"/>
        <v>0</v>
      </c>
      <c r="I1448" s="1"/>
      <c r="J1448" s="1"/>
    </row>
    <row r="1449" spans="2:10" x14ac:dyDescent="0.2">
      <c r="B1449" s="1" t="s">
        <v>256</v>
      </c>
      <c r="C1449" s="32">
        <v>8931</v>
      </c>
      <c r="D1449" s="1">
        <v>20000</v>
      </c>
      <c r="E1449" s="1"/>
      <c r="F1449" s="1">
        <v>222.82</v>
      </c>
      <c r="G1449" s="1">
        <v>20000</v>
      </c>
      <c r="H1449" s="5">
        <f t="shared" si="25"/>
        <v>0</v>
      </c>
      <c r="I1449" s="1"/>
      <c r="J1449" s="1"/>
    </row>
    <row r="1450" spans="2:10" x14ac:dyDescent="0.2">
      <c r="B1450" s="1" t="s">
        <v>256</v>
      </c>
      <c r="C1450" s="32">
        <v>2094</v>
      </c>
      <c r="D1450" s="1">
        <v>20000</v>
      </c>
      <c r="E1450" s="1"/>
      <c r="F1450" s="1">
        <v>222.82</v>
      </c>
      <c r="G1450" s="1">
        <v>20000</v>
      </c>
      <c r="H1450" s="5">
        <f t="shared" si="25"/>
        <v>0</v>
      </c>
      <c r="I1450" s="1"/>
      <c r="J1450" s="1"/>
    </row>
    <row r="1451" spans="2:10" x14ac:dyDescent="0.2">
      <c r="B1451" s="1" t="s">
        <v>257</v>
      </c>
      <c r="C1451" s="32" t="s">
        <v>30</v>
      </c>
      <c r="D1451" s="1">
        <v>4500</v>
      </c>
      <c r="E1451" s="1"/>
      <c r="F1451" s="1">
        <v>50.13</v>
      </c>
      <c r="G1451" s="1">
        <v>4500</v>
      </c>
      <c r="H1451" s="5">
        <f t="shared" si="25"/>
        <v>0</v>
      </c>
      <c r="I1451" s="1"/>
      <c r="J1451" s="1"/>
    </row>
    <row r="1452" spans="2:10" x14ac:dyDescent="0.2">
      <c r="B1452" s="1" t="s">
        <v>257</v>
      </c>
      <c r="C1452" s="32">
        <v>7570</v>
      </c>
      <c r="D1452" s="1">
        <v>18000</v>
      </c>
      <c r="E1452" s="1"/>
      <c r="F1452" s="1">
        <v>200.53</v>
      </c>
      <c r="G1452" s="1">
        <v>18000</v>
      </c>
      <c r="H1452" s="5">
        <f t="shared" si="25"/>
        <v>0</v>
      </c>
      <c r="I1452" s="1"/>
      <c r="J1452" s="1"/>
    </row>
    <row r="1453" spans="2:10" x14ac:dyDescent="0.2">
      <c r="B1453" s="1" t="s">
        <v>257</v>
      </c>
      <c r="C1453" s="32">
        <v>7514</v>
      </c>
      <c r="D1453" s="1">
        <v>20000</v>
      </c>
      <c r="E1453" s="1"/>
      <c r="F1453" s="1">
        <v>200.82</v>
      </c>
      <c r="G1453" s="1">
        <v>20000</v>
      </c>
      <c r="H1453" s="5">
        <f t="shared" si="25"/>
        <v>0</v>
      </c>
      <c r="I1453" s="1"/>
      <c r="J1453" s="1"/>
    </row>
    <row r="1454" spans="2:10" x14ac:dyDescent="0.2">
      <c r="B1454" s="1" t="s">
        <v>257</v>
      </c>
      <c r="C1454" s="32">
        <v>8444</v>
      </c>
      <c r="D1454" s="1">
        <v>20000</v>
      </c>
      <c r="E1454" s="1"/>
      <c r="F1454" s="1">
        <v>200.82</v>
      </c>
      <c r="G1454" s="1">
        <v>20000</v>
      </c>
      <c r="H1454" s="5">
        <f t="shared" si="25"/>
        <v>0</v>
      </c>
      <c r="I1454" s="1"/>
      <c r="J1454" s="1"/>
    </row>
    <row r="1455" spans="2:10" x14ac:dyDescent="0.2">
      <c r="B1455" s="1" t="s">
        <v>258</v>
      </c>
      <c r="C1455" s="32" t="s">
        <v>30</v>
      </c>
      <c r="D1455" s="1">
        <v>3500</v>
      </c>
      <c r="E1455" s="1"/>
      <c r="F1455" s="1">
        <v>39.03</v>
      </c>
      <c r="G1455" s="1">
        <v>3500</v>
      </c>
      <c r="H1455" s="5">
        <f t="shared" si="25"/>
        <v>0</v>
      </c>
      <c r="I1455" s="1"/>
      <c r="J1455" s="1"/>
    </row>
    <row r="1456" spans="2:10" x14ac:dyDescent="0.2">
      <c r="B1456" s="1" t="s">
        <v>258</v>
      </c>
      <c r="C1456" s="32">
        <v>262</v>
      </c>
      <c r="D1456" s="1">
        <v>20000</v>
      </c>
      <c r="E1456" s="1"/>
      <c r="F1456" s="1">
        <v>200.82</v>
      </c>
      <c r="G1456" s="1">
        <v>20000</v>
      </c>
      <c r="H1456" s="5">
        <f t="shared" si="25"/>
        <v>0</v>
      </c>
      <c r="I1456" s="1"/>
      <c r="J1456" s="1"/>
    </row>
    <row r="1457" spans="2:10" x14ac:dyDescent="0.2">
      <c r="B1457" s="1" t="s">
        <v>258</v>
      </c>
      <c r="C1457" s="32">
        <v>8571</v>
      </c>
      <c r="D1457" s="1">
        <v>20000</v>
      </c>
      <c r="E1457" s="1"/>
      <c r="F1457" s="1">
        <v>200.82</v>
      </c>
      <c r="G1457" s="1">
        <v>20000</v>
      </c>
      <c r="H1457" s="5">
        <f t="shared" si="25"/>
        <v>0</v>
      </c>
      <c r="I1457" s="1"/>
      <c r="J1457" s="1"/>
    </row>
    <row r="1458" spans="2:10" x14ac:dyDescent="0.2">
      <c r="B1458" s="1" t="s">
        <v>258</v>
      </c>
      <c r="C1458" s="32">
        <v>1528</v>
      </c>
      <c r="D1458" s="1">
        <v>20000</v>
      </c>
      <c r="E1458" s="1"/>
      <c r="F1458" s="1">
        <v>200.82</v>
      </c>
      <c r="G1458" s="1">
        <v>20000</v>
      </c>
      <c r="H1458" s="5">
        <f t="shared" si="25"/>
        <v>0</v>
      </c>
      <c r="I1458" s="1"/>
      <c r="J1458" s="1"/>
    </row>
    <row r="1459" spans="2:10" x14ac:dyDescent="0.2">
      <c r="B1459" s="1" t="s">
        <v>258</v>
      </c>
      <c r="C1459" s="32">
        <v>7815</v>
      </c>
      <c r="D1459" s="1">
        <v>11000</v>
      </c>
      <c r="E1459" s="1"/>
      <c r="F1459" s="1">
        <v>122.53</v>
      </c>
      <c r="G1459" s="1">
        <v>11000</v>
      </c>
      <c r="H1459" s="5">
        <f t="shared" si="25"/>
        <v>0</v>
      </c>
      <c r="I1459" s="1"/>
      <c r="J1459" s="1"/>
    </row>
    <row r="1460" spans="2:10" x14ac:dyDescent="0.2">
      <c r="B1460" s="1" t="s">
        <v>258</v>
      </c>
      <c r="C1460" s="32">
        <v>7776</v>
      </c>
      <c r="D1460" s="1">
        <v>11000</v>
      </c>
      <c r="E1460" s="1"/>
      <c r="F1460" s="1">
        <v>122.53</v>
      </c>
      <c r="G1460" s="1">
        <v>11000</v>
      </c>
      <c r="H1460" s="5">
        <f t="shared" si="25"/>
        <v>0</v>
      </c>
      <c r="I1460" s="1"/>
      <c r="J1460" s="1"/>
    </row>
    <row r="1461" spans="2:10" x14ac:dyDescent="0.2">
      <c r="B1461" s="1" t="s">
        <v>258</v>
      </c>
      <c r="C1461" s="32">
        <v>4207</v>
      </c>
      <c r="D1461" s="1">
        <v>25000</v>
      </c>
      <c r="E1461" s="1"/>
      <c r="F1461" s="1">
        <v>278.52</v>
      </c>
      <c r="G1461" s="1">
        <v>25000</v>
      </c>
      <c r="H1461" s="5">
        <f t="shared" si="25"/>
        <v>0</v>
      </c>
      <c r="I1461" s="1"/>
      <c r="J1461" s="1"/>
    </row>
    <row r="1462" spans="2:10" x14ac:dyDescent="0.2">
      <c r="B1462" s="1" t="s">
        <v>258</v>
      </c>
      <c r="C1462" s="32">
        <v>5833</v>
      </c>
      <c r="D1462" s="1">
        <v>22000</v>
      </c>
      <c r="E1462" s="1"/>
      <c r="F1462" s="1">
        <v>233</v>
      </c>
      <c r="G1462" s="1">
        <v>22000</v>
      </c>
      <c r="H1462" s="5">
        <f t="shared" si="25"/>
        <v>0</v>
      </c>
      <c r="I1462" s="1"/>
      <c r="J1462" s="1"/>
    </row>
    <row r="1463" spans="2:10" x14ac:dyDescent="0.2">
      <c r="B1463" s="1" t="s">
        <v>259</v>
      </c>
      <c r="C1463" s="32" t="s">
        <v>30</v>
      </c>
      <c r="D1463" s="1">
        <v>5000</v>
      </c>
      <c r="E1463" s="1"/>
      <c r="F1463" s="1">
        <v>55.7</v>
      </c>
      <c r="G1463" s="1">
        <v>5000</v>
      </c>
      <c r="H1463" s="5">
        <f t="shared" si="25"/>
        <v>0</v>
      </c>
      <c r="I1463" s="1"/>
      <c r="J1463" s="1"/>
    </row>
    <row r="1464" spans="2:10" x14ac:dyDescent="0.2">
      <c r="B1464" s="1" t="s">
        <v>259</v>
      </c>
      <c r="C1464" s="32">
        <v>2228</v>
      </c>
      <c r="D1464" s="1">
        <v>28000</v>
      </c>
      <c r="E1464" s="1"/>
      <c r="F1464" s="1">
        <v>311.94</v>
      </c>
      <c r="G1464" s="1">
        <v>28000</v>
      </c>
      <c r="H1464" s="5">
        <f t="shared" si="25"/>
        <v>0</v>
      </c>
      <c r="I1464" s="1"/>
      <c r="J1464" s="1"/>
    </row>
    <row r="1465" spans="2:10" x14ac:dyDescent="0.2">
      <c r="B1465" s="1" t="s">
        <v>259</v>
      </c>
      <c r="C1465" s="32">
        <v>4702</v>
      </c>
      <c r="D1465" s="1">
        <v>10000</v>
      </c>
      <c r="E1465" s="1"/>
      <c r="F1465" s="1">
        <v>85.12</v>
      </c>
      <c r="G1465" s="1">
        <v>10000</v>
      </c>
      <c r="H1465" s="5">
        <f t="shared" si="25"/>
        <v>0</v>
      </c>
      <c r="I1465" s="1"/>
      <c r="J1465" s="1"/>
    </row>
    <row r="1466" spans="2:10" x14ac:dyDescent="0.2">
      <c r="B1466" s="1" t="s">
        <v>259</v>
      </c>
      <c r="C1466" s="32">
        <v>9346</v>
      </c>
      <c r="D1466" s="1">
        <v>25000</v>
      </c>
      <c r="E1466" s="1"/>
      <c r="F1466" s="1">
        <v>278.52</v>
      </c>
      <c r="G1466" s="1">
        <v>25000</v>
      </c>
      <c r="H1466" s="5">
        <f t="shared" si="25"/>
        <v>0</v>
      </c>
      <c r="I1466" s="1"/>
      <c r="J1466" s="1"/>
    </row>
    <row r="1467" spans="2:10" x14ac:dyDescent="0.2">
      <c r="B1467" s="1" t="s">
        <v>259</v>
      </c>
      <c r="C1467" s="32">
        <v>1256</v>
      </c>
      <c r="D1467" s="1">
        <v>25000</v>
      </c>
      <c r="E1467" s="1"/>
      <c r="F1467" s="1">
        <v>278.52</v>
      </c>
      <c r="G1467" s="1">
        <v>25000</v>
      </c>
      <c r="H1467" s="5">
        <f t="shared" si="25"/>
        <v>0</v>
      </c>
      <c r="I1467" s="1"/>
      <c r="J1467" s="1"/>
    </row>
    <row r="1468" spans="2:10" x14ac:dyDescent="0.2">
      <c r="B1468" s="1" t="s">
        <v>259</v>
      </c>
      <c r="C1468" s="32">
        <v>4481</v>
      </c>
      <c r="D1468" s="1">
        <v>21000</v>
      </c>
      <c r="E1468" s="1"/>
      <c r="F1468" s="1">
        <v>233.91</v>
      </c>
      <c r="G1468" s="1">
        <v>21000</v>
      </c>
      <c r="H1468" s="5">
        <f t="shared" si="25"/>
        <v>0</v>
      </c>
      <c r="I1468" s="1"/>
      <c r="J1468" s="1"/>
    </row>
    <row r="1469" spans="2:10" x14ac:dyDescent="0.2">
      <c r="B1469" s="1" t="s">
        <v>260</v>
      </c>
      <c r="C1469" s="32">
        <v>9998</v>
      </c>
      <c r="D1469" s="1">
        <v>17000</v>
      </c>
      <c r="E1469" s="1"/>
      <c r="F1469" s="1">
        <v>183.82</v>
      </c>
      <c r="G1469" s="1">
        <v>17000</v>
      </c>
      <c r="H1469" s="5">
        <f t="shared" si="25"/>
        <v>0</v>
      </c>
      <c r="I1469" s="1"/>
      <c r="J1469" s="1"/>
    </row>
    <row r="1470" spans="2:10" x14ac:dyDescent="0.2">
      <c r="B1470" s="1" t="s">
        <v>260</v>
      </c>
      <c r="C1470" s="32" t="s">
        <v>63</v>
      </c>
      <c r="D1470" s="1">
        <v>3500</v>
      </c>
      <c r="E1470" s="1"/>
      <c r="F1470" s="1">
        <v>39.03</v>
      </c>
      <c r="G1470" s="1">
        <v>3500</v>
      </c>
      <c r="H1470" s="5">
        <f t="shared" si="25"/>
        <v>0</v>
      </c>
      <c r="I1470" s="1"/>
      <c r="J1470" s="1"/>
    </row>
    <row r="1471" spans="2:10" x14ac:dyDescent="0.2">
      <c r="B1471" s="1" t="s">
        <v>260</v>
      </c>
      <c r="C1471" s="32" t="s">
        <v>30</v>
      </c>
      <c r="D1471" s="1">
        <v>4500</v>
      </c>
      <c r="E1471" s="1"/>
      <c r="F1471" s="1">
        <v>50.13</v>
      </c>
      <c r="G1471" s="1">
        <v>4500</v>
      </c>
      <c r="H1471" s="5">
        <f t="shared" si="25"/>
        <v>0</v>
      </c>
      <c r="I1471" s="1"/>
      <c r="J1471" s="1"/>
    </row>
    <row r="1472" spans="2:10" x14ac:dyDescent="0.2">
      <c r="B1472" s="1" t="s">
        <v>260</v>
      </c>
      <c r="C1472" s="32">
        <v>1206</v>
      </c>
      <c r="D1472" s="1">
        <v>20000</v>
      </c>
      <c r="E1472" s="1"/>
      <c r="F1472" s="1">
        <v>222</v>
      </c>
      <c r="G1472" s="1">
        <v>20000</v>
      </c>
      <c r="H1472" s="5">
        <f t="shared" si="25"/>
        <v>0</v>
      </c>
      <c r="I1472" s="1"/>
      <c r="J1472" s="1"/>
    </row>
    <row r="1473" spans="2:10" x14ac:dyDescent="0.2">
      <c r="B1473" s="1" t="s">
        <v>260</v>
      </c>
      <c r="C1473" s="32">
        <v>3468</v>
      </c>
      <c r="D1473" s="1">
        <v>15000</v>
      </c>
      <c r="E1473" s="1"/>
      <c r="F1473" s="1">
        <v>167.3</v>
      </c>
      <c r="G1473" s="1">
        <v>15000</v>
      </c>
      <c r="H1473" s="5">
        <f t="shared" si="25"/>
        <v>0</v>
      </c>
      <c r="I1473" s="1"/>
      <c r="J1473" s="1"/>
    </row>
    <row r="1474" spans="2:10" x14ac:dyDescent="0.2">
      <c r="B1474" s="1" t="s">
        <v>260</v>
      </c>
      <c r="C1474" s="32">
        <v>4337</v>
      </c>
      <c r="D1474" s="1">
        <v>10000</v>
      </c>
      <c r="E1474" s="1"/>
      <c r="F1474" s="1">
        <v>111.41</v>
      </c>
      <c r="G1474" s="1">
        <v>10000</v>
      </c>
      <c r="H1474" s="5">
        <f t="shared" si="25"/>
        <v>0</v>
      </c>
      <c r="I1474" s="1"/>
      <c r="J1474" s="1"/>
    </row>
    <row r="1475" spans="2:10" x14ac:dyDescent="0.2">
      <c r="B1475" s="1" t="s">
        <v>261</v>
      </c>
      <c r="C1475" s="32">
        <v>2528</v>
      </c>
      <c r="D1475" s="1">
        <v>19200</v>
      </c>
      <c r="E1475" s="1"/>
      <c r="F1475" s="1">
        <v>213</v>
      </c>
      <c r="G1475" s="1">
        <v>19200</v>
      </c>
      <c r="H1475" s="5">
        <f t="shared" si="25"/>
        <v>0</v>
      </c>
      <c r="I1475" s="1"/>
      <c r="J1475" s="1"/>
    </row>
    <row r="1476" spans="2:10" x14ac:dyDescent="0.2">
      <c r="B1476" s="1" t="s">
        <v>261</v>
      </c>
      <c r="C1476" s="32">
        <v>472</v>
      </c>
      <c r="D1476" s="1">
        <v>20000</v>
      </c>
      <c r="E1476" s="1"/>
      <c r="F1476" s="1">
        <v>278</v>
      </c>
      <c r="G1476" s="1">
        <v>20000</v>
      </c>
      <c r="H1476" s="5">
        <f t="shared" ref="H1476:H1539" si="26">D1476-G1476</f>
        <v>0</v>
      </c>
      <c r="I1476" s="1"/>
      <c r="J1476" s="1"/>
    </row>
    <row r="1477" spans="2:10" x14ac:dyDescent="0.2">
      <c r="B1477" s="1" t="s">
        <v>261</v>
      </c>
      <c r="C1477" s="32">
        <v>6125</v>
      </c>
      <c r="D1477" s="1">
        <v>10000</v>
      </c>
      <c r="E1477" s="1"/>
      <c r="F1477" s="1">
        <v>111.41</v>
      </c>
      <c r="G1477" s="1">
        <v>10000</v>
      </c>
      <c r="H1477" s="5">
        <f t="shared" si="26"/>
        <v>0</v>
      </c>
      <c r="I1477" s="1"/>
      <c r="J1477" s="1"/>
    </row>
    <row r="1478" spans="2:10" x14ac:dyDescent="0.2">
      <c r="B1478" s="1" t="s">
        <v>261</v>
      </c>
      <c r="C1478" s="32">
        <v>476</v>
      </c>
      <c r="D1478" s="1">
        <v>28000</v>
      </c>
      <c r="E1478" s="1"/>
      <c r="F1478" s="1">
        <v>311.94</v>
      </c>
      <c r="G1478" s="1">
        <v>28000</v>
      </c>
      <c r="H1478" s="5">
        <f t="shared" si="26"/>
        <v>0</v>
      </c>
      <c r="I1478" s="1"/>
      <c r="J1478" s="1"/>
    </row>
    <row r="1479" spans="2:10" x14ac:dyDescent="0.2">
      <c r="B1479" s="1" t="s">
        <v>262</v>
      </c>
      <c r="C1479" s="32" t="s">
        <v>66</v>
      </c>
      <c r="D1479" s="1">
        <v>200</v>
      </c>
      <c r="E1479" s="1"/>
      <c r="F1479" s="1">
        <v>2.08</v>
      </c>
      <c r="G1479" s="1">
        <v>200</v>
      </c>
      <c r="H1479" s="5">
        <f t="shared" si="26"/>
        <v>0</v>
      </c>
      <c r="I1479" s="1"/>
      <c r="J1479" s="1"/>
    </row>
    <row r="1480" spans="2:10" x14ac:dyDescent="0.2">
      <c r="B1480" s="1" t="s">
        <v>262</v>
      </c>
      <c r="C1480" s="32" t="s">
        <v>66</v>
      </c>
      <c r="D1480" s="1">
        <v>100</v>
      </c>
      <c r="E1480" s="1"/>
      <c r="F1480" s="1">
        <v>96.04</v>
      </c>
      <c r="G1480" s="1">
        <v>100</v>
      </c>
      <c r="H1480" s="5">
        <f t="shared" si="26"/>
        <v>0</v>
      </c>
      <c r="I1480" s="1"/>
      <c r="J1480" s="1"/>
    </row>
    <row r="1481" spans="2:10" x14ac:dyDescent="0.2">
      <c r="B1481" s="1" t="s">
        <v>263</v>
      </c>
      <c r="C1481" s="32" t="s">
        <v>66</v>
      </c>
      <c r="D1481" s="1">
        <v>200</v>
      </c>
      <c r="E1481" s="1"/>
      <c r="F1481" s="1">
        <v>2.08</v>
      </c>
      <c r="G1481" s="1">
        <v>200</v>
      </c>
      <c r="H1481" s="5">
        <f t="shared" si="26"/>
        <v>0</v>
      </c>
      <c r="I1481" s="1"/>
      <c r="J1481" s="1"/>
    </row>
    <row r="1482" spans="2:10" x14ac:dyDescent="0.2">
      <c r="B1482" s="1" t="s">
        <v>264</v>
      </c>
      <c r="C1482" s="32" t="s">
        <v>30</v>
      </c>
      <c r="D1482" s="1">
        <v>4500</v>
      </c>
      <c r="E1482" s="1"/>
      <c r="F1482" s="1">
        <v>50.13</v>
      </c>
      <c r="G1482" s="1">
        <v>4500</v>
      </c>
      <c r="H1482" s="5">
        <f t="shared" si="26"/>
        <v>0</v>
      </c>
      <c r="I1482" s="1"/>
      <c r="J1482" s="1"/>
    </row>
    <row r="1483" spans="2:10" x14ac:dyDescent="0.2">
      <c r="B1483" s="1" t="s">
        <v>264</v>
      </c>
      <c r="C1483" s="32">
        <v>1467</v>
      </c>
      <c r="D1483" s="1">
        <v>14000</v>
      </c>
      <c r="E1483" s="1"/>
      <c r="F1483" s="1">
        <v>155.77000000000001</v>
      </c>
      <c r="G1483" s="1">
        <v>14000</v>
      </c>
      <c r="H1483" s="5">
        <f t="shared" si="26"/>
        <v>0</v>
      </c>
      <c r="I1483" s="1"/>
      <c r="J1483" s="1"/>
    </row>
    <row r="1484" spans="2:10" x14ac:dyDescent="0.2">
      <c r="B1484" s="1" t="s">
        <v>267</v>
      </c>
      <c r="C1484" s="32">
        <v>8294</v>
      </c>
      <c r="D1484" s="1">
        <v>14000</v>
      </c>
      <c r="E1484" s="1"/>
      <c r="F1484" s="1">
        <v>155.77000000000001</v>
      </c>
      <c r="G1484" s="1">
        <v>14000</v>
      </c>
      <c r="H1484" s="5">
        <f t="shared" si="26"/>
        <v>0</v>
      </c>
      <c r="I1484" s="1"/>
      <c r="J1484" s="1"/>
    </row>
    <row r="1485" spans="2:10" x14ac:dyDescent="0.2">
      <c r="B1485" s="1" t="s">
        <v>267</v>
      </c>
      <c r="C1485" s="32">
        <v>3662</v>
      </c>
      <c r="D1485" s="1">
        <v>20000</v>
      </c>
      <c r="E1485" s="1"/>
      <c r="F1485" s="1">
        <v>222.82</v>
      </c>
      <c r="G1485" s="1">
        <v>20000</v>
      </c>
      <c r="H1485" s="5">
        <f t="shared" si="26"/>
        <v>0</v>
      </c>
      <c r="I1485" s="1"/>
      <c r="J1485" s="1"/>
    </row>
    <row r="1486" spans="2:10" x14ac:dyDescent="0.2">
      <c r="B1486" s="1" t="s">
        <v>267</v>
      </c>
      <c r="C1486" s="32" t="s">
        <v>63</v>
      </c>
      <c r="D1486" s="1">
        <v>3500</v>
      </c>
      <c r="E1486" s="1"/>
      <c r="F1486" s="1">
        <v>38.229999999999997</v>
      </c>
      <c r="G1486" s="1">
        <v>3500</v>
      </c>
      <c r="H1486" s="5">
        <f t="shared" si="26"/>
        <v>0</v>
      </c>
      <c r="I1486" s="1"/>
      <c r="J1486" s="1"/>
    </row>
    <row r="1487" spans="2:10" x14ac:dyDescent="0.2">
      <c r="B1487" s="1" t="s">
        <v>267</v>
      </c>
      <c r="C1487" s="32">
        <v>9998</v>
      </c>
      <c r="D1487" s="1">
        <v>17000</v>
      </c>
      <c r="E1487" s="1"/>
      <c r="F1487" s="1">
        <v>189.39</v>
      </c>
      <c r="G1487" s="1">
        <v>17000</v>
      </c>
      <c r="H1487" s="5">
        <f t="shared" si="26"/>
        <v>0</v>
      </c>
      <c r="I1487" s="1"/>
      <c r="J1487" s="1"/>
    </row>
    <row r="1488" spans="2:10" x14ac:dyDescent="0.2">
      <c r="B1488" s="1" t="s">
        <v>267</v>
      </c>
      <c r="C1488" s="32">
        <v>5796</v>
      </c>
      <c r="D1488" s="1">
        <v>10000</v>
      </c>
      <c r="E1488" s="1"/>
      <c r="F1488" s="1">
        <v>154.25</v>
      </c>
      <c r="G1488" s="1">
        <v>10000</v>
      </c>
      <c r="H1488" s="5">
        <f t="shared" si="26"/>
        <v>0</v>
      </c>
      <c r="I1488" s="1"/>
      <c r="J1488" s="1"/>
    </row>
    <row r="1489" spans="2:10" x14ac:dyDescent="0.2">
      <c r="B1489" s="1" t="s">
        <v>268</v>
      </c>
      <c r="C1489" s="32">
        <v>8868</v>
      </c>
      <c r="D1489" s="1">
        <v>20000</v>
      </c>
      <c r="E1489" s="1"/>
      <c r="F1489" s="1">
        <v>222.82</v>
      </c>
      <c r="G1489" s="1">
        <v>20000</v>
      </c>
      <c r="H1489" s="5">
        <f t="shared" si="26"/>
        <v>0</v>
      </c>
      <c r="I1489" s="1"/>
      <c r="J1489" s="1"/>
    </row>
    <row r="1490" spans="2:10" x14ac:dyDescent="0.2">
      <c r="B1490" s="1" t="s">
        <v>268</v>
      </c>
      <c r="C1490" s="32">
        <v>1842</v>
      </c>
      <c r="D1490" s="1">
        <v>15000</v>
      </c>
      <c r="E1490" s="1"/>
      <c r="F1490" s="1">
        <v>167.32</v>
      </c>
      <c r="G1490" s="1">
        <v>15000</v>
      </c>
      <c r="H1490" s="5">
        <f t="shared" si="26"/>
        <v>0</v>
      </c>
      <c r="I1490" s="1"/>
      <c r="J1490" s="1"/>
    </row>
    <row r="1491" spans="2:10" x14ac:dyDescent="0.2">
      <c r="B1491" s="1" t="s">
        <v>268</v>
      </c>
      <c r="C1491" s="32" t="s">
        <v>66</v>
      </c>
      <c r="D1491" s="1">
        <v>200</v>
      </c>
      <c r="E1491" s="1"/>
      <c r="F1491" s="1">
        <v>2.08</v>
      </c>
      <c r="G1491" s="1">
        <v>200</v>
      </c>
      <c r="H1491" s="5">
        <f t="shared" si="26"/>
        <v>0</v>
      </c>
      <c r="I1491" s="1"/>
      <c r="J1491" s="1"/>
    </row>
    <row r="1492" spans="2:10" x14ac:dyDescent="0.2">
      <c r="B1492" s="1" t="s">
        <v>268</v>
      </c>
      <c r="C1492" s="32">
        <v>2016</v>
      </c>
      <c r="D1492" s="1">
        <v>22000</v>
      </c>
      <c r="E1492" s="1"/>
      <c r="F1492" s="1">
        <v>245</v>
      </c>
      <c r="G1492" s="1">
        <v>22000</v>
      </c>
      <c r="H1492" s="5">
        <f t="shared" si="26"/>
        <v>0</v>
      </c>
      <c r="I1492" s="1"/>
      <c r="J1492" s="1"/>
    </row>
    <row r="1493" spans="2:10" x14ac:dyDescent="0.2">
      <c r="B1493" s="1" t="s">
        <v>269</v>
      </c>
      <c r="C1493" s="32">
        <v>8981</v>
      </c>
      <c r="D1493" s="1">
        <v>27000</v>
      </c>
      <c r="E1493" s="1"/>
      <c r="F1493" s="1">
        <v>256</v>
      </c>
      <c r="G1493" s="1">
        <v>27000</v>
      </c>
      <c r="H1493" s="5">
        <f t="shared" si="26"/>
        <v>0</v>
      </c>
      <c r="I1493" s="1"/>
      <c r="J1493" s="1"/>
    </row>
    <row r="1494" spans="2:10" x14ac:dyDescent="0.2">
      <c r="B1494" s="1" t="s">
        <v>269</v>
      </c>
      <c r="C1494" s="32">
        <v>6353</v>
      </c>
      <c r="D1494" s="1">
        <v>14000</v>
      </c>
      <c r="E1494" s="1"/>
      <c r="F1494" s="1">
        <v>155.97</v>
      </c>
      <c r="G1494" s="1">
        <v>14000</v>
      </c>
      <c r="H1494" s="5">
        <f t="shared" si="26"/>
        <v>0</v>
      </c>
      <c r="I1494" s="1"/>
      <c r="J1494" s="1"/>
    </row>
    <row r="1495" spans="2:10" x14ac:dyDescent="0.2">
      <c r="B1495" s="1" t="s">
        <v>269</v>
      </c>
      <c r="C1495" s="32" t="s">
        <v>30</v>
      </c>
      <c r="D1495" s="1">
        <v>4500</v>
      </c>
      <c r="E1495" s="1"/>
      <c r="F1495" s="1">
        <v>50.13</v>
      </c>
      <c r="G1495" s="1">
        <v>4500</v>
      </c>
      <c r="H1495" s="5">
        <f t="shared" si="26"/>
        <v>0</v>
      </c>
      <c r="I1495" s="1"/>
      <c r="J1495" s="1"/>
    </row>
    <row r="1496" spans="2:10" x14ac:dyDescent="0.2">
      <c r="B1496" s="1" t="s">
        <v>269</v>
      </c>
      <c r="C1496" s="32">
        <v>5079</v>
      </c>
      <c r="D1496" s="1">
        <v>25000</v>
      </c>
      <c r="E1496" s="1"/>
      <c r="F1496" s="1">
        <v>278.52</v>
      </c>
      <c r="G1496" s="1">
        <v>25000</v>
      </c>
      <c r="H1496" s="5">
        <f t="shared" si="26"/>
        <v>0</v>
      </c>
      <c r="I1496" s="1"/>
      <c r="J1496" s="1"/>
    </row>
    <row r="1497" spans="2:10" x14ac:dyDescent="0.2">
      <c r="B1497" s="1" t="s">
        <v>269</v>
      </c>
      <c r="C1497" s="32">
        <v>7445</v>
      </c>
      <c r="D1497" s="1">
        <v>26000</v>
      </c>
      <c r="E1497" s="1"/>
      <c r="F1497" s="1">
        <v>289.66000000000003</v>
      </c>
      <c r="G1497" s="1">
        <v>26000</v>
      </c>
      <c r="H1497" s="5">
        <f t="shared" si="26"/>
        <v>0</v>
      </c>
      <c r="I1497" s="1"/>
      <c r="J1497" s="1"/>
    </row>
    <row r="1498" spans="2:10" x14ac:dyDescent="0.2">
      <c r="B1498" s="1" t="s">
        <v>269</v>
      </c>
      <c r="C1498" s="32">
        <v>3828</v>
      </c>
      <c r="D1498" s="1">
        <v>22000</v>
      </c>
      <c r="E1498" s="1"/>
      <c r="F1498" s="1">
        <v>245.1</v>
      </c>
      <c r="G1498" s="1">
        <v>22000</v>
      </c>
      <c r="H1498" s="5">
        <f t="shared" si="26"/>
        <v>0</v>
      </c>
      <c r="I1498" s="1"/>
      <c r="J1498" s="1"/>
    </row>
    <row r="1499" spans="2:10" x14ac:dyDescent="0.2">
      <c r="B1499" s="1" t="s">
        <v>269</v>
      </c>
      <c r="C1499" s="32">
        <v>472</v>
      </c>
      <c r="D1499" s="1">
        <v>20000</v>
      </c>
      <c r="E1499" s="1"/>
      <c r="F1499" s="1">
        <v>278.52</v>
      </c>
      <c r="G1499" s="1">
        <v>20000</v>
      </c>
      <c r="H1499" s="5">
        <f t="shared" si="26"/>
        <v>0</v>
      </c>
      <c r="I1499" s="1"/>
      <c r="J1499" s="1"/>
    </row>
    <row r="1500" spans="2:10" x14ac:dyDescent="0.2">
      <c r="B1500" s="1" t="s">
        <v>269</v>
      </c>
      <c r="C1500" s="32">
        <v>1998</v>
      </c>
      <c r="D1500" s="1">
        <v>15000</v>
      </c>
      <c r="E1500" s="1"/>
      <c r="F1500" s="1">
        <v>167.11</v>
      </c>
      <c r="G1500" s="1">
        <v>15000</v>
      </c>
      <c r="H1500" s="5">
        <f t="shared" si="26"/>
        <v>0</v>
      </c>
      <c r="I1500" s="1"/>
      <c r="J1500" s="1"/>
    </row>
    <row r="1501" spans="2:10" x14ac:dyDescent="0.2">
      <c r="B1501" s="1" t="s">
        <v>269</v>
      </c>
      <c r="C1501" s="32">
        <v>1543</v>
      </c>
      <c r="D1501" s="1">
        <v>15000</v>
      </c>
      <c r="E1501" s="1"/>
      <c r="F1501" s="1">
        <v>167.11</v>
      </c>
      <c r="G1501" s="1">
        <v>15000</v>
      </c>
      <c r="H1501" s="5">
        <f t="shared" si="26"/>
        <v>0</v>
      </c>
      <c r="I1501" s="1"/>
      <c r="J1501" s="1"/>
    </row>
    <row r="1502" spans="2:10" x14ac:dyDescent="0.2">
      <c r="B1502" s="1" t="s">
        <v>270</v>
      </c>
      <c r="C1502" s="32">
        <v>2774</v>
      </c>
      <c r="D1502" s="1">
        <v>15000</v>
      </c>
      <c r="E1502" s="1"/>
      <c r="F1502" s="1">
        <v>167.11</v>
      </c>
      <c r="G1502" s="1">
        <v>15000</v>
      </c>
      <c r="H1502" s="5">
        <f t="shared" si="26"/>
        <v>0</v>
      </c>
      <c r="I1502" s="1"/>
      <c r="J1502" s="1"/>
    </row>
    <row r="1503" spans="2:10" x14ac:dyDescent="0.2">
      <c r="B1503" s="1" t="s">
        <v>270</v>
      </c>
      <c r="C1503" s="32" t="s">
        <v>66</v>
      </c>
      <c r="D1503" s="1">
        <v>200</v>
      </c>
      <c r="E1503" s="1"/>
      <c r="F1503" s="1">
        <v>2.08</v>
      </c>
      <c r="G1503" s="1">
        <v>200</v>
      </c>
      <c r="H1503" s="5">
        <f t="shared" si="26"/>
        <v>0</v>
      </c>
      <c r="I1503" s="1"/>
      <c r="J1503" s="1"/>
    </row>
    <row r="1504" spans="2:10" x14ac:dyDescent="0.2">
      <c r="B1504" s="1" t="s">
        <v>270</v>
      </c>
      <c r="C1504" s="32">
        <v>4337</v>
      </c>
      <c r="D1504" s="1">
        <v>12000</v>
      </c>
      <c r="E1504" s="1"/>
      <c r="F1504" s="1">
        <v>133.69</v>
      </c>
      <c r="G1504" s="1">
        <v>12000</v>
      </c>
      <c r="H1504" s="5">
        <f t="shared" si="26"/>
        <v>0</v>
      </c>
      <c r="I1504" s="1"/>
      <c r="J1504" s="1"/>
    </row>
    <row r="1505" spans="2:10" x14ac:dyDescent="0.2">
      <c r="B1505" s="1" t="s">
        <v>271</v>
      </c>
      <c r="C1505" s="32" t="s">
        <v>30</v>
      </c>
      <c r="D1505" s="1">
        <v>5000</v>
      </c>
      <c r="E1505" s="1"/>
      <c r="F1505" s="1">
        <v>55.7</v>
      </c>
      <c r="G1505" s="1">
        <v>5000</v>
      </c>
      <c r="H1505" s="5">
        <f t="shared" si="26"/>
        <v>0</v>
      </c>
      <c r="I1505" s="1"/>
      <c r="J1505" s="1"/>
    </row>
    <row r="1506" spans="2:10" x14ac:dyDescent="0.2">
      <c r="B1506" s="1" t="s">
        <v>271</v>
      </c>
      <c r="C1506" s="32" t="s">
        <v>63</v>
      </c>
      <c r="D1506" s="1">
        <v>3500</v>
      </c>
      <c r="E1506" s="1"/>
      <c r="F1506" s="1">
        <v>38.99</v>
      </c>
      <c r="G1506" s="1">
        <v>3500</v>
      </c>
      <c r="H1506" s="5">
        <f t="shared" si="26"/>
        <v>0</v>
      </c>
      <c r="I1506" s="1"/>
      <c r="J1506" s="1"/>
    </row>
    <row r="1507" spans="2:10" x14ac:dyDescent="0.2">
      <c r="B1507" s="1" t="s">
        <v>271</v>
      </c>
      <c r="C1507" s="32">
        <v>6391</v>
      </c>
      <c r="D1507" s="1">
        <v>11000</v>
      </c>
      <c r="E1507" s="1"/>
      <c r="F1507" s="1">
        <v>155.97</v>
      </c>
      <c r="G1507" s="1">
        <v>11000</v>
      </c>
      <c r="H1507" s="5">
        <f t="shared" si="26"/>
        <v>0</v>
      </c>
      <c r="I1507" s="1"/>
      <c r="J1507" s="1"/>
    </row>
    <row r="1508" spans="2:10" x14ac:dyDescent="0.2">
      <c r="B1508" s="1" t="s">
        <v>271</v>
      </c>
      <c r="C1508" s="32">
        <v>9903</v>
      </c>
      <c r="D1508" s="1">
        <v>15000</v>
      </c>
      <c r="E1508" s="1"/>
      <c r="F1508" s="1">
        <v>167.11</v>
      </c>
      <c r="G1508" s="1">
        <v>15000</v>
      </c>
      <c r="H1508" s="5">
        <f t="shared" si="26"/>
        <v>0</v>
      </c>
      <c r="I1508" s="1"/>
      <c r="J1508" s="1"/>
    </row>
    <row r="1509" spans="2:10" x14ac:dyDescent="0.2">
      <c r="B1509" s="1" t="s">
        <v>271</v>
      </c>
      <c r="C1509" s="32">
        <v>4928</v>
      </c>
      <c r="D1509" s="1">
        <v>20000</v>
      </c>
      <c r="E1509" s="1"/>
      <c r="F1509" s="1">
        <v>204.88</v>
      </c>
      <c r="G1509" s="1">
        <v>20000</v>
      </c>
      <c r="H1509" s="5">
        <f t="shared" si="26"/>
        <v>0</v>
      </c>
      <c r="I1509" s="1"/>
      <c r="J1509" s="1"/>
    </row>
    <row r="1510" spans="2:10" x14ac:dyDescent="0.2">
      <c r="B1510" s="1" t="s">
        <v>271</v>
      </c>
      <c r="C1510" s="32">
        <v>6295</v>
      </c>
      <c r="D1510" s="1">
        <v>25000</v>
      </c>
      <c r="E1510" s="1"/>
      <c r="F1510" s="1">
        <v>278.52</v>
      </c>
      <c r="G1510" s="1">
        <v>25000</v>
      </c>
      <c r="H1510" s="5">
        <f t="shared" si="26"/>
        <v>0</v>
      </c>
      <c r="I1510" s="1"/>
      <c r="J1510" s="1"/>
    </row>
    <row r="1511" spans="2:10" x14ac:dyDescent="0.2">
      <c r="B1511" s="1" t="s">
        <v>272</v>
      </c>
      <c r="C1511" s="32">
        <v>7109</v>
      </c>
      <c r="D1511" s="1">
        <v>2500</v>
      </c>
      <c r="E1511" s="1"/>
      <c r="F1511" s="1">
        <v>27.86</v>
      </c>
      <c r="G1511" s="1">
        <v>2500</v>
      </c>
      <c r="H1511" s="5">
        <f t="shared" si="26"/>
        <v>0</v>
      </c>
      <c r="I1511" s="1"/>
      <c r="J1511" s="1"/>
    </row>
    <row r="1512" spans="2:10" x14ac:dyDescent="0.2">
      <c r="B1512" s="1" t="s">
        <v>272</v>
      </c>
      <c r="C1512" s="32">
        <v>9975</v>
      </c>
      <c r="D1512" s="1">
        <v>30000</v>
      </c>
      <c r="E1512" s="1"/>
      <c r="F1512" s="1">
        <v>334.22</v>
      </c>
      <c r="G1512" s="1">
        <v>30000</v>
      </c>
      <c r="H1512" s="5">
        <f t="shared" si="26"/>
        <v>0</v>
      </c>
      <c r="I1512" s="1"/>
      <c r="J1512" s="1"/>
    </row>
    <row r="1513" spans="2:10" x14ac:dyDescent="0.2">
      <c r="B1513" s="1" t="s">
        <v>272</v>
      </c>
      <c r="C1513" s="32">
        <v>2216</v>
      </c>
      <c r="D1513" s="1">
        <v>20000</v>
      </c>
      <c r="E1513" s="1"/>
      <c r="F1513" s="1">
        <v>278.52</v>
      </c>
      <c r="G1513" s="1">
        <v>20000</v>
      </c>
      <c r="H1513" s="5">
        <f t="shared" si="26"/>
        <v>0</v>
      </c>
      <c r="I1513" s="1"/>
      <c r="J1513" s="1"/>
    </row>
    <row r="1514" spans="2:10" x14ac:dyDescent="0.2">
      <c r="B1514" s="1" t="s">
        <v>273</v>
      </c>
      <c r="C1514" s="32" t="s">
        <v>30</v>
      </c>
      <c r="D1514" s="1">
        <v>4500</v>
      </c>
      <c r="E1514" s="1"/>
      <c r="F1514" s="1">
        <v>50.13</v>
      </c>
      <c r="G1514" s="1">
        <v>4500</v>
      </c>
      <c r="H1514" s="5">
        <f t="shared" si="26"/>
        <v>0</v>
      </c>
      <c r="I1514" s="1"/>
      <c r="J1514" s="1"/>
    </row>
    <row r="1515" spans="2:10" x14ac:dyDescent="0.2">
      <c r="B1515" s="1" t="s">
        <v>273</v>
      </c>
      <c r="C1515" s="32">
        <v>3776</v>
      </c>
      <c r="D1515" s="1">
        <v>15000</v>
      </c>
      <c r="E1515" s="1"/>
      <c r="F1515" s="1">
        <v>167.11</v>
      </c>
      <c r="G1515" s="1">
        <v>15000</v>
      </c>
      <c r="H1515" s="5">
        <f t="shared" si="26"/>
        <v>0</v>
      </c>
      <c r="I1515" s="1"/>
      <c r="J1515" s="1"/>
    </row>
    <row r="1516" spans="2:10" x14ac:dyDescent="0.2">
      <c r="B1516" s="1" t="s">
        <v>273</v>
      </c>
      <c r="C1516" s="32" t="s">
        <v>66</v>
      </c>
      <c r="D1516" s="1">
        <v>200</v>
      </c>
      <c r="E1516" s="1"/>
      <c r="F1516" s="1">
        <v>2.08</v>
      </c>
      <c r="G1516" s="1">
        <v>200</v>
      </c>
      <c r="H1516" s="5">
        <f t="shared" si="26"/>
        <v>0</v>
      </c>
      <c r="I1516" s="1"/>
      <c r="J1516" s="1"/>
    </row>
    <row r="1517" spans="2:10" x14ac:dyDescent="0.2">
      <c r="B1517" s="1" t="s">
        <v>273</v>
      </c>
      <c r="C1517" s="32">
        <v>3662</v>
      </c>
      <c r="D1517" s="1">
        <v>18000</v>
      </c>
      <c r="E1517" s="1"/>
      <c r="F1517" s="1">
        <v>200.57</v>
      </c>
      <c r="G1517" s="1">
        <v>18000</v>
      </c>
      <c r="H1517" s="5">
        <f t="shared" si="26"/>
        <v>0</v>
      </c>
      <c r="I1517" s="1"/>
      <c r="J1517" s="1"/>
    </row>
    <row r="1518" spans="2:10" x14ac:dyDescent="0.2">
      <c r="B1518" s="1" t="s">
        <v>273</v>
      </c>
      <c r="C1518" s="32">
        <v>4612</v>
      </c>
      <c r="D1518" s="1">
        <v>17000</v>
      </c>
      <c r="E1518" s="1"/>
      <c r="F1518" s="1">
        <v>189.39</v>
      </c>
      <c r="G1518" s="1">
        <v>17000</v>
      </c>
      <c r="H1518" s="5">
        <f t="shared" si="26"/>
        <v>0</v>
      </c>
      <c r="I1518" s="1"/>
      <c r="J1518" s="1"/>
    </row>
    <row r="1519" spans="2:10" x14ac:dyDescent="0.2">
      <c r="B1519" s="1" t="s">
        <v>273</v>
      </c>
      <c r="C1519" s="32">
        <v>3158</v>
      </c>
      <c r="D1519" s="1">
        <v>25000</v>
      </c>
      <c r="E1519" s="1"/>
      <c r="F1519" s="1">
        <v>278.52</v>
      </c>
      <c r="G1519" s="1">
        <v>25000</v>
      </c>
      <c r="H1519" s="5">
        <f t="shared" si="26"/>
        <v>0</v>
      </c>
      <c r="I1519" s="1"/>
      <c r="J1519" s="1"/>
    </row>
    <row r="1520" spans="2:10" x14ac:dyDescent="0.2">
      <c r="B1520" s="1" t="s">
        <v>273</v>
      </c>
      <c r="C1520" s="32">
        <v>3871</v>
      </c>
      <c r="D1520" s="1">
        <v>15000</v>
      </c>
      <c r="E1520" s="1"/>
      <c r="F1520" s="1">
        <v>167.11</v>
      </c>
      <c r="G1520" s="1">
        <v>15000</v>
      </c>
      <c r="H1520" s="5">
        <f t="shared" si="26"/>
        <v>0</v>
      </c>
      <c r="I1520" s="1"/>
      <c r="J1520" s="1"/>
    </row>
    <row r="1521" spans="2:10" x14ac:dyDescent="0.2">
      <c r="B1521" s="1" t="s">
        <v>273</v>
      </c>
      <c r="C1521" s="32">
        <v>876</v>
      </c>
      <c r="D1521" s="1">
        <v>17000</v>
      </c>
      <c r="E1521" s="1"/>
      <c r="F1521" s="1">
        <v>189.41</v>
      </c>
      <c r="G1521" s="1">
        <v>17000</v>
      </c>
      <c r="H1521" s="5">
        <f t="shared" si="26"/>
        <v>0</v>
      </c>
      <c r="I1521" s="1"/>
      <c r="J1521" s="1"/>
    </row>
    <row r="1522" spans="2:10" x14ac:dyDescent="0.2">
      <c r="B1522" s="1" t="s">
        <v>273</v>
      </c>
      <c r="C1522" s="32">
        <v>5250</v>
      </c>
      <c r="D1522" s="1">
        <v>23000</v>
      </c>
      <c r="E1522" s="1"/>
      <c r="F1522" s="1">
        <v>235.07</v>
      </c>
      <c r="G1522" s="1">
        <v>23000</v>
      </c>
      <c r="H1522" s="5">
        <f t="shared" si="26"/>
        <v>0</v>
      </c>
      <c r="I1522" s="1"/>
      <c r="J1522" s="1"/>
    </row>
    <row r="1523" spans="2:10" x14ac:dyDescent="0.2">
      <c r="B1523" s="1" t="s">
        <v>273</v>
      </c>
      <c r="C1523" s="32">
        <v>4702</v>
      </c>
      <c r="D1523" s="1">
        <v>18000</v>
      </c>
      <c r="E1523" s="1"/>
      <c r="F1523" s="1">
        <v>161.54</v>
      </c>
      <c r="G1523" s="1">
        <v>18000</v>
      </c>
      <c r="H1523" s="5">
        <f t="shared" si="26"/>
        <v>0</v>
      </c>
      <c r="I1523" s="1"/>
      <c r="J1523" s="1"/>
    </row>
    <row r="1524" spans="2:10" x14ac:dyDescent="0.2">
      <c r="B1524" s="1" t="s">
        <v>275</v>
      </c>
      <c r="C1524" s="32">
        <v>1352</v>
      </c>
      <c r="D1524" s="1">
        <v>13000</v>
      </c>
      <c r="E1524" s="1"/>
      <c r="F1524" s="1">
        <v>144.83000000000001</v>
      </c>
      <c r="G1524" s="1">
        <v>13000</v>
      </c>
      <c r="H1524" s="5">
        <f t="shared" si="26"/>
        <v>0</v>
      </c>
      <c r="I1524" s="1"/>
      <c r="J1524" s="1"/>
    </row>
    <row r="1525" spans="2:10" x14ac:dyDescent="0.2">
      <c r="B1525" s="1" t="s">
        <v>275</v>
      </c>
      <c r="C1525" s="32" t="s">
        <v>63</v>
      </c>
      <c r="D1525" s="1">
        <v>3500</v>
      </c>
      <c r="E1525" s="1"/>
      <c r="F1525" s="1">
        <v>38.99</v>
      </c>
      <c r="G1525" s="1">
        <v>3500</v>
      </c>
      <c r="H1525" s="5">
        <f t="shared" si="26"/>
        <v>0</v>
      </c>
      <c r="I1525" s="1"/>
      <c r="J1525" s="1"/>
    </row>
    <row r="1526" spans="2:10" x14ac:dyDescent="0.2">
      <c r="B1526" s="1" t="s">
        <v>275</v>
      </c>
      <c r="C1526" s="32">
        <v>8105</v>
      </c>
      <c r="D1526" s="1">
        <v>13000</v>
      </c>
      <c r="E1526" s="1"/>
      <c r="F1526" s="1">
        <v>144.83000000000001</v>
      </c>
      <c r="G1526" s="1">
        <v>13000</v>
      </c>
      <c r="H1526" s="5">
        <f t="shared" si="26"/>
        <v>0</v>
      </c>
      <c r="I1526" s="1"/>
      <c r="J1526" s="1"/>
    </row>
    <row r="1527" spans="2:10" x14ac:dyDescent="0.2">
      <c r="B1527" s="1" t="s">
        <v>275</v>
      </c>
      <c r="C1527" s="32">
        <v>6048</v>
      </c>
      <c r="D1527" s="1">
        <v>12000</v>
      </c>
      <c r="E1527" s="1"/>
      <c r="F1527" s="1">
        <v>133.69</v>
      </c>
      <c r="G1527" s="1">
        <v>12000</v>
      </c>
      <c r="H1527" s="5">
        <f t="shared" si="26"/>
        <v>0</v>
      </c>
      <c r="I1527" s="1"/>
      <c r="J1527" s="1"/>
    </row>
    <row r="1528" spans="2:10" x14ac:dyDescent="0.2">
      <c r="B1528" s="1" t="s">
        <v>275</v>
      </c>
      <c r="C1528" s="32">
        <v>1369</v>
      </c>
      <c r="D1528" s="1">
        <v>19000</v>
      </c>
      <c r="E1528" s="1"/>
      <c r="F1528" s="1">
        <v>211.68</v>
      </c>
      <c r="G1528" s="1">
        <v>19000</v>
      </c>
      <c r="H1528" s="5">
        <f t="shared" si="26"/>
        <v>0</v>
      </c>
      <c r="I1528" s="1"/>
      <c r="J1528" s="1"/>
    </row>
    <row r="1529" spans="2:10" x14ac:dyDescent="0.2">
      <c r="B1529" s="1" t="s">
        <v>275</v>
      </c>
      <c r="C1529" s="32">
        <v>2033</v>
      </c>
      <c r="D1529" s="1">
        <v>13000</v>
      </c>
      <c r="E1529" s="1"/>
      <c r="F1529" s="1">
        <v>144.83000000000001</v>
      </c>
      <c r="G1529" s="1">
        <v>13000</v>
      </c>
      <c r="H1529" s="5">
        <f t="shared" si="26"/>
        <v>0</v>
      </c>
      <c r="I1529" s="1"/>
      <c r="J1529" s="1"/>
    </row>
    <row r="1530" spans="2:10" x14ac:dyDescent="0.2">
      <c r="B1530" s="1" t="s">
        <v>275</v>
      </c>
      <c r="C1530" s="32">
        <v>579</v>
      </c>
      <c r="D1530" s="1">
        <v>25000</v>
      </c>
      <c r="E1530" s="1"/>
      <c r="F1530" s="1">
        <v>278.52</v>
      </c>
      <c r="G1530" s="1">
        <v>25000</v>
      </c>
      <c r="H1530" s="5">
        <f t="shared" si="26"/>
        <v>0</v>
      </c>
      <c r="I1530" s="1"/>
      <c r="J1530" s="1"/>
    </row>
    <row r="1531" spans="2:10" x14ac:dyDescent="0.2">
      <c r="B1531" s="1" t="s">
        <v>275</v>
      </c>
      <c r="C1531" s="32">
        <v>7327</v>
      </c>
      <c r="D1531" s="1">
        <v>12000</v>
      </c>
      <c r="E1531" s="1"/>
      <c r="F1531" s="1">
        <v>133.69</v>
      </c>
      <c r="G1531" s="1">
        <v>12000</v>
      </c>
      <c r="H1531" s="5">
        <f t="shared" si="26"/>
        <v>0</v>
      </c>
      <c r="I1531" s="1"/>
      <c r="J1531" s="1"/>
    </row>
    <row r="1532" spans="2:10" x14ac:dyDescent="0.2">
      <c r="B1532" s="1" t="s">
        <v>277</v>
      </c>
      <c r="C1532" s="32">
        <v>9998</v>
      </c>
      <c r="D1532" s="1">
        <v>17000</v>
      </c>
      <c r="E1532" s="1"/>
      <c r="F1532" s="1">
        <v>189.41</v>
      </c>
      <c r="G1532" s="1">
        <v>17000</v>
      </c>
      <c r="H1532" s="5">
        <f t="shared" si="26"/>
        <v>0</v>
      </c>
      <c r="I1532" s="1"/>
      <c r="J1532" s="1"/>
    </row>
    <row r="1533" spans="2:10" x14ac:dyDescent="0.2">
      <c r="B1533" s="1" t="s">
        <v>277</v>
      </c>
      <c r="C1533" s="32">
        <v>8595</v>
      </c>
      <c r="D1533" s="1">
        <v>13000</v>
      </c>
      <c r="E1533" s="1"/>
      <c r="F1533" s="1">
        <v>144.83000000000001</v>
      </c>
      <c r="G1533" s="1">
        <v>13000</v>
      </c>
      <c r="H1533" s="5">
        <f t="shared" si="26"/>
        <v>0</v>
      </c>
      <c r="I1533" s="1"/>
      <c r="J1533" s="1"/>
    </row>
    <row r="1534" spans="2:10" x14ac:dyDescent="0.2">
      <c r="B1534" s="1" t="s">
        <v>277</v>
      </c>
      <c r="C1534" s="32" t="s">
        <v>30</v>
      </c>
      <c r="D1534" s="1">
        <v>5000</v>
      </c>
      <c r="E1534" s="1"/>
      <c r="F1534" s="1">
        <v>55.7</v>
      </c>
      <c r="G1534" s="1">
        <v>5000</v>
      </c>
      <c r="H1534" s="5">
        <f t="shared" si="26"/>
        <v>0</v>
      </c>
      <c r="I1534" s="1"/>
      <c r="J1534" s="1"/>
    </row>
    <row r="1535" spans="2:10" x14ac:dyDescent="0.2">
      <c r="B1535" s="1" t="s">
        <v>277</v>
      </c>
      <c r="C1535" s="32">
        <v>4911</v>
      </c>
      <c r="D1535" s="1">
        <v>11000</v>
      </c>
      <c r="E1535" s="1"/>
      <c r="F1535" s="1">
        <v>117</v>
      </c>
      <c r="G1535" s="1">
        <v>11000</v>
      </c>
      <c r="H1535" s="5">
        <f t="shared" si="26"/>
        <v>0</v>
      </c>
      <c r="I1535" s="1"/>
      <c r="J1535" s="1"/>
    </row>
    <row r="1536" spans="2:10" x14ac:dyDescent="0.2">
      <c r="B1536" s="1" t="s">
        <v>277</v>
      </c>
      <c r="C1536" s="32">
        <v>6779</v>
      </c>
      <c r="D1536" s="1">
        <v>11000</v>
      </c>
      <c r="E1536" s="1"/>
      <c r="F1536" s="1">
        <v>117</v>
      </c>
      <c r="G1536" s="1">
        <v>11000</v>
      </c>
      <c r="H1536" s="5">
        <f t="shared" si="26"/>
        <v>0</v>
      </c>
      <c r="I1536" s="1"/>
      <c r="J1536" s="1"/>
    </row>
    <row r="1537" spans="2:10" x14ac:dyDescent="0.2">
      <c r="B1537" s="1" t="s">
        <v>278</v>
      </c>
      <c r="C1537" s="32">
        <v>5225</v>
      </c>
      <c r="D1537" s="1">
        <v>13000</v>
      </c>
      <c r="E1537" s="1"/>
      <c r="F1537" s="1">
        <v>144.83000000000001</v>
      </c>
      <c r="G1537" s="1">
        <v>13000</v>
      </c>
      <c r="H1537" s="5">
        <f t="shared" si="26"/>
        <v>0</v>
      </c>
      <c r="I1537" s="1"/>
      <c r="J1537" s="1"/>
    </row>
    <row r="1538" spans="2:10" x14ac:dyDescent="0.2">
      <c r="B1538" s="1" t="s">
        <v>278</v>
      </c>
      <c r="C1538" s="32">
        <v>496</v>
      </c>
      <c r="D1538" s="1">
        <v>17000</v>
      </c>
      <c r="E1538" s="1"/>
      <c r="F1538" s="1">
        <v>189.41</v>
      </c>
      <c r="G1538" s="1">
        <v>17000</v>
      </c>
      <c r="H1538" s="5">
        <f t="shared" si="26"/>
        <v>0</v>
      </c>
      <c r="I1538" s="1"/>
      <c r="J1538" s="1"/>
    </row>
    <row r="1539" spans="2:10" x14ac:dyDescent="0.2">
      <c r="B1539" s="1" t="s">
        <v>278</v>
      </c>
      <c r="C1539" s="32" t="s">
        <v>30</v>
      </c>
      <c r="D1539" s="1">
        <v>4500</v>
      </c>
      <c r="E1539" s="1"/>
      <c r="F1539" s="1">
        <v>50.13</v>
      </c>
      <c r="G1539" s="1">
        <v>4500</v>
      </c>
      <c r="H1539" s="5">
        <f t="shared" si="26"/>
        <v>0</v>
      </c>
      <c r="I1539" s="1"/>
      <c r="J1539" s="1"/>
    </row>
    <row r="1540" spans="2:10" x14ac:dyDescent="0.2">
      <c r="B1540" s="1" t="s">
        <v>278</v>
      </c>
      <c r="C1540" s="32">
        <v>2345</v>
      </c>
      <c r="D1540" s="1">
        <v>23000</v>
      </c>
      <c r="E1540" s="1"/>
      <c r="F1540" s="1">
        <v>256.22000000000003</v>
      </c>
      <c r="G1540" s="1">
        <v>23000</v>
      </c>
      <c r="H1540" s="5">
        <f t="shared" ref="H1540:H1606" si="27">D1540-G1540</f>
        <v>0</v>
      </c>
      <c r="I1540" s="1"/>
      <c r="J1540" s="1"/>
    </row>
    <row r="1541" spans="2:10" x14ac:dyDescent="0.2">
      <c r="B1541" s="1" t="s">
        <v>278</v>
      </c>
      <c r="C1541" s="32">
        <v>1143</v>
      </c>
      <c r="D1541" s="1">
        <v>14000</v>
      </c>
      <c r="E1541" s="1"/>
      <c r="F1541" s="1">
        <v>155.97</v>
      </c>
      <c r="G1541" s="1">
        <v>14000</v>
      </c>
      <c r="H1541" s="5">
        <f t="shared" si="27"/>
        <v>0</v>
      </c>
      <c r="I1541" s="1"/>
      <c r="J1541" s="1"/>
    </row>
    <row r="1542" spans="2:10" x14ac:dyDescent="0.2">
      <c r="B1542" s="1" t="s">
        <v>280</v>
      </c>
      <c r="C1542" s="32">
        <v>5331</v>
      </c>
      <c r="D1542" s="1">
        <v>15000</v>
      </c>
      <c r="E1542" s="1"/>
      <c r="F1542" s="1">
        <v>167.11</v>
      </c>
      <c r="G1542" s="1">
        <v>15000</v>
      </c>
      <c r="H1542" s="5">
        <f t="shared" si="27"/>
        <v>0</v>
      </c>
      <c r="I1542" s="1"/>
      <c r="J1542" s="1"/>
    </row>
    <row r="1543" spans="2:10" x14ac:dyDescent="0.2">
      <c r="B1543" s="1" t="s">
        <v>280</v>
      </c>
      <c r="C1543" s="32">
        <v>7109</v>
      </c>
      <c r="D1543" s="1">
        <v>4400</v>
      </c>
      <c r="E1543" s="1"/>
      <c r="F1543" s="1">
        <v>49.02</v>
      </c>
      <c r="G1543" s="1">
        <v>4400</v>
      </c>
      <c r="H1543" s="5">
        <f t="shared" si="27"/>
        <v>0</v>
      </c>
      <c r="I1543" s="1"/>
      <c r="J1543" s="1"/>
    </row>
    <row r="1544" spans="2:10" x14ac:dyDescent="0.2">
      <c r="B1544" s="1" t="s">
        <v>280</v>
      </c>
      <c r="C1544" s="32">
        <v>445</v>
      </c>
      <c r="D1544" s="1">
        <v>10000</v>
      </c>
      <c r="E1544" s="1"/>
      <c r="F1544" s="1">
        <v>111.41</v>
      </c>
      <c r="G1544" s="1">
        <v>10000</v>
      </c>
      <c r="H1544" s="5">
        <f t="shared" si="27"/>
        <v>0</v>
      </c>
      <c r="I1544" s="1"/>
      <c r="J1544" s="1"/>
    </row>
    <row r="1545" spans="2:10" x14ac:dyDescent="0.2">
      <c r="B1545" s="1" t="s">
        <v>280</v>
      </c>
      <c r="C1545" s="32" t="s">
        <v>63</v>
      </c>
      <c r="D1545" s="1">
        <v>3500</v>
      </c>
      <c r="E1545" s="1"/>
      <c r="F1545" s="1">
        <v>38.99</v>
      </c>
      <c r="G1545" s="1">
        <v>3500</v>
      </c>
      <c r="H1545" s="5">
        <f t="shared" si="27"/>
        <v>0</v>
      </c>
      <c r="I1545" s="1"/>
      <c r="J1545" s="1"/>
    </row>
    <row r="1546" spans="2:10" x14ac:dyDescent="0.2">
      <c r="B1546" s="1" t="s">
        <v>280</v>
      </c>
      <c r="C1546" s="32">
        <v>5258</v>
      </c>
      <c r="D1546" s="1">
        <v>20000</v>
      </c>
      <c r="E1546" s="1"/>
      <c r="F1546" s="1">
        <v>222.82</v>
      </c>
      <c r="G1546" s="1">
        <v>20000</v>
      </c>
      <c r="H1546" s="5">
        <f t="shared" si="27"/>
        <v>0</v>
      </c>
      <c r="I1546" s="1"/>
      <c r="J1546" s="1"/>
    </row>
    <row r="1547" spans="2:10" x14ac:dyDescent="0.2">
      <c r="B1547" s="1" t="s">
        <v>280</v>
      </c>
      <c r="C1547" s="32">
        <v>9253</v>
      </c>
      <c r="D1547" s="1">
        <v>30000</v>
      </c>
      <c r="E1547" s="1"/>
      <c r="F1547" s="1">
        <v>334.42</v>
      </c>
      <c r="G1547" s="1">
        <v>30000</v>
      </c>
      <c r="H1547" s="5">
        <f t="shared" si="27"/>
        <v>0</v>
      </c>
      <c r="I1547" s="1"/>
      <c r="J1547" s="1"/>
    </row>
    <row r="1548" spans="2:10" x14ac:dyDescent="0.2">
      <c r="B1548" s="1" t="s">
        <v>280</v>
      </c>
      <c r="C1548" s="32">
        <v>7509</v>
      </c>
      <c r="D1548" s="1">
        <v>12000</v>
      </c>
      <c r="E1548" s="1"/>
      <c r="F1548" s="1">
        <v>133.68</v>
      </c>
      <c r="G1548" s="1">
        <v>12000</v>
      </c>
      <c r="H1548" s="5">
        <f t="shared" si="27"/>
        <v>0</v>
      </c>
      <c r="I1548" s="1"/>
      <c r="J1548" s="1"/>
    </row>
    <row r="1549" spans="2:10" x14ac:dyDescent="0.2">
      <c r="B1549" s="1" t="s">
        <v>280</v>
      </c>
      <c r="C1549" s="32">
        <v>4692</v>
      </c>
      <c r="D1549" s="1">
        <v>22000</v>
      </c>
      <c r="E1549" s="1"/>
      <c r="F1549" s="1">
        <v>245.1</v>
      </c>
      <c r="G1549" s="1">
        <v>22000</v>
      </c>
      <c r="H1549" s="5">
        <f t="shared" si="27"/>
        <v>0</v>
      </c>
      <c r="I1549" s="1"/>
      <c r="J1549" s="1"/>
    </row>
    <row r="1550" spans="2:10" x14ac:dyDescent="0.2">
      <c r="B1550" s="1" t="s">
        <v>280</v>
      </c>
      <c r="C1550" s="32">
        <v>4492</v>
      </c>
      <c r="D1550" s="1">
        <v>22000</v>
      </c>
      <c r="E1550" s="1"/>
      <c r="F1550" s="1">
        <v>245.1</v>
      </c>
      <c r="G1550" s="1">
        <v>22000</v>
      </c>
      <c r="H1550" s="5">
        <f t="shared" si="27"/>
        <v>0</v>
      </c>
      <c r="I1550" s="1"/>
      <c r="J1550" s="1"/>
    </row>
    <row r="1551" spans="2:10" x14ac:dyDescent="0.2">
      <c r="B1551" s="1" t="s">
        <v>280</v>
      </c>
      <c r="C1551" s="32">
        <v>6650</v>
      </c>
      <c r="D1551" s="1">
        <v>10000</v>
      </c>
      <c r="E1551" s="1"/>
      <c r="F1551" s="1">
        <v>111.41</v>
      </c>
      <c r="G1551" s="1">
        <v>10000</v>
      </c>
      <c r="H1551" s="5">
        <f t="shared" si="27"/>
        <v>0</v>
      </c>
      <c r="I1551" s="1"/>
      <c r="J1551" s="1"/>
    </row>
    <row r="1552" spans="2:10" x14ac:dyDescent="0.2">
      <c r="B1552" s="1" t="s">
        <v>280</v>
      </c>
      <c r="C1552" s="32">
        <v>9762</v>
      </c>
      <c r="D1552" s="1">
        <v>13000</v>
      </c>
      <c r="E1552" s="1"/>
      <c r="F1552" s="1">
        <v>144.83000000000001</v>
      </c>
      <c r="G1552" s="1">
        <v>13000</v>
      </c>
      <c r="H1552" s="5">
        <f t="shared" si="27"/>
        <v>0</v>
      </c>
      <c r="I1552" s="1"/>
      <c r="J1552" s="1"/>
    </row>
    <row r="1553" spans="2:10" x14ac:dyDescent="0.2">
      <c r="B1553" s="1" t="s">
        <v>280</v>
      </c>
      <c r="C1553" s="32">
        <v>3594</v>
      </c>
      <c r="D1553" s="1">
        <v>6000</v>
      </c>
      <c r="E1553" s="1"/>
      <c r="F1553" s="1">
        <v>100.27</v>
      </c>
      <c r="G1553" s="1">
        <v>6000</v>
      </c>
      <c r="H1553" s="5">
        <f t="shared" si="27"/>
        <v>0</v>
      </c>
      <c r="I1553" s="1"/>
      <c r="J1553" s="1"/>
    </row>
    <row r="1554" spans="2:10" x14ac:dyDescent="0.2">
      <c r="B1554" s="1" t="s">
        <v>281</v>
      </c>
      <c r="C1554" s="32">
        <v>6615</v>
      </c>
      <c r="D1554" s="1">
        <v>26000</v>
      </c>
      <c r="E1554" s="1"/>
      <c r="F1554" s="1">
        <v>289.66000000000003</v>
      </c>
      <c r="G1554" s="1">
        <v>26000</v>
      </c>
      <c r="H1554" s="5">
        <f t="shared" si="27"/>
        <v>0</v>
      </c>
      <c r="I1554" s="1"/>
      <c r="J1554" s="1"/>
    </row>
    <row r="1555" spans="2:10" x14ac:dyDescent="0.2">
      <c r="B1555" s="1" t="s">
        <v>281</v>
      </c>
      <c r="C1555" s="32">
        <v>6393</v>
      </c>
      <c r="D1555" s="1">
        <v>15000</v>
      </c>
      <c r="E1555" s="1"/>
      <c r="F1555" s="1">
        <v>167.11</v>
      </c>
      <c r="G1555" s="1">
        <v>15000</v>
      </c>
      <c r="H1555" s="5">
        <f t="shared" si="27"/>
        <v>0</v>
      </c>
      <c r="I1555" s="1"/>
      <c r="J1555" s="1"/>
    </row>
    <row r="1556" spans="2:10" x14ac:dyDescent="0.2">
      <c r="B1556" s="1" t="s">
        <v>281</v>
      </c>
      <c r="C1556" s="32">
        <v>8565</v>
      </c>
      <c r="D1556" s="1">
        <v>13000</v>
      </c>
      <c r="E1556" s="1"/>
      <c r="F1556" s="1">
        <v>144.83000000000001</v>
      </c>
      <c r="G1556" s="1">
        <v>13000</v>
      </c>
      <c r="H1556" s="5">
        <f t="shared" si="27"/>
        <v>0</v>
      </c>
      <c r="I1556" s="1"/>
      <c r="J1556" s="1"/>
    </row>
    <row r="1557" spans="2:10" x14ac:dyDescent="0.2">
      <c r="B1557" s="1" t="s">
        <v>281</v>
      </c>
      <c r="C1557" s="32">
        <v>2152</v>
      </c>
      <c r="D1557" s="1">
        <v>15000</v>
      </c>
      <c r="E1557" s="1"/>
      <c r="F1557" s="1">
        <v>167.11</v>
      </c>
      <c r="G1557" s="1">
        <v>15000</v>
      </c>
      <c r="H1557" s="5">
        <f t="shared" si="27"/>
        <v>0</v>
      </c>
      <c r="I1557" s="1"/>
      <c r="J1557" s="1"/>
    </row>
    <row r="1558" spans="2:10" x14ac:dyDescent="0.2">
      <c r="B1558" s="1" t="s">
        <v>281</v>
      </c>
      <c r="C1558" s="32" t="s">
        <v>30</v>
      </c>
      <c r="D1558" s="1">
        <v>4500</v>
      </c>
      <c r="E1558" s="1"/>
      <c r="F1558" s="1">
        <v>50.13</v>
      </c>
      <c r="G1558" s="1">
        <v>4500</v>
      </c>
      <c r="H1558" s="5">
        <f t="shared" si="27"/>
        <v>0</v>
      </c>
      <c r="I1558" s="1"/>
      <c r="J1558" s="1"/>
    </row>
    <row r="1559" spans="2:10" x14ac:dyDescent="0.2">
      <c r="B1559" s="1" t="s">
        <v>281</v>
      </c>
      <c r="C1559" s="32">
        <v>266</v>
      </c>
      <c r="D1559" s="1">
        <v>20000</v>
      </c>
      <c r="E1559" s="1"/>
      <c r="F1559" s="1">
        <v>222.82</v>
      </c>
      <c r="G1559" s="1">
        <v>20000</v>
      </c>
      <c r="H1559" s="5">
        <f t="shared" si="27"/>
        <v>0</v>
      </c>
      <c r="I1559" s="1"/>
      <c r="J1559" s="1"/>
    </row>
    <row r="1560" spans="2:10" x14ac:dyDescent="0.2">
      <c r="B1560" s="1" t="s">
        <v>281</v>
      </c>
      <c r="C1560" s="32">
        <v>6744</v>
      </c>
      <c r="D1560" s="1">
        <v>20000</v>
      </c>
      <c r="E1560" s="1"/>
      <c r="F1560" s="1">
        <v>222.82</v>
      </c>
      <c r="G1560" s="1">
        <v>20000</v>
      </c>
      <c r="H1560" s="5">
        <f t="shared" si="27"/>
        <v>0</v>
      </c>
      <c r="I1560" s="1"/>
      <c r="J1560" s="1"/>
    </row>
    <row r="1561" spans="2:10" x14ac:dyDescent="0.2">
      <c r="B1561" s="1" t="s">
        <v>281</v>
      </c>
      <c r="C1561" s="32">
        <v>5266</v>
      </c>
      <c r="D1561" s="1">
        <v>20000</v>
      </c>
      <c r="E1561" s="1"/>
      <c r="F1561" s="1">
        <v>222.82</v>
      </c>
      <c r="G1561" s="1">
        <v>20000</v>
      </c>
      <c r="H1561" s="5">
        <f t="shared" si="27"/>
        <v>0</v>
      </c>
      <c r="I1561" s="1"/>
      <c r="J1561" s="1"/>
    </row>
    <row r="1562" spans="2:10" x14ac:dyDescent="0.2">
      <c r="B1562" s="1" t="s">
        <v>281</v>
      </c>
      <c r="C1562" s="32">
        <v>3992</v>
      </c>
      <c r="D1562" s="1">
        <v>20000</v>
      </c>
      <c r="E1562" s="1"/>
      <c r="F1562" s="1">
        <v>222.82</v>
      </c>
      <c r="G1562" s="1">
        <v>20000</v>
      </c>
      <c r="H1562" s="5">
        <f t="shared" si="27"/>
        <v>0</v>
      </c>
      <c r="I1562" s="1"/>
      <c r="J1562" s="1"/>
    </row>
    <row r="1563" spans="2:10" x14ac:dyDescent="0.2">
      <c r="B1563" s="1" t="s">
        <v>282</v>
      </c>
      <c r="C1563" s="32" t="s">
        <v>63</v>
      </c>
      <c r="D1563" s="1">
        <v>3500</v>
      </c>
      <c r="E1563" s="1"/>
      <c r="F1563" s="1">
        <v>38.99</v>
      </c>
      <c r="G1563" s="1">
        <v>3500</v>
      </c>
      <c r="H1563" s="5">
        <f t="shared" si="27"/>
        <v>0</v>
      </c>
      <c r="I1563" s="1"/>
      <c r="J1563" s="1"/>
    </row>
    <row r="1564" spans="2:10" x14ac:dyDescent="0.2">
      <c r="B1564" s="1" t="s">
        <v>282</v>
      </c>
      <c r="C1564" s="32" t="s">
        <v>66</v>
      </c>
      <c r="D1564" s="1">
        <v>200</v>
      </c>
      <c r="E1564" s="1"/>
      <c r="F1564" s="1">
        <v>2.08</v>
      </c>
      <c r="G1564" s="1">
        <v>200</v>
      </c>
      <c r="H1564" s="5">
        <f t="shared" si="27"/>
        <v>0</v>
      </c>
      <c r="I1564" s="1"/>
      <c r="J1564" s="1"/>
    </row>
    <row r="1565" spans="2:10" x14ac:dyDescent="0.2">
      <c r="B1565" s="1" t="s">
        <v>282</v>
      </c>
      <c r="C1565" s="32">
        <v>4832</v>
      </c>
      <c r="D1565" s="1">
        <v>10000</v>
      </c>
      <c r="E1565" s="1"/>
      <c r="F1565" s="1">
        <v>111.41</v>
      </c>
      <c r="G1565" s="1">
        <v>10000</v>
      </c>
      <c r="H1565" s="5">
        <f t="shared" si="27"/>
        <v>0</v>
      </c>
      <c r="I1565" s="1"/>
      <c r="J1565" s="1"/>
    </row>
    <row r="1566" spans="2:10" x14ac:dyDescent="0.2">
      <c r="B1566" s="1" t="s">
        <v>282</v>
      </c>
      <c r="C1566" s="32">
        <v>5260</v>
      </c>
      <c r="D1566" s="1">
        <v>23000</v>
      </c>
      <c r="E1566" s="1"/>
      <c r="F1566" s="1">
        <v>256.24</v>
      </c>
      <c r="G1566" s="1">
        <v>23000</v>
      </c>
      <c r="H1566" s="5">
        <f t="shared" si="27"/>
        <v>0</v>
      </c>
      <c r="I1566" s="1"/>
      <c r="J1566" s="1"/>
    </row>
    <row r="1567" spans="2:10" x14ac:dyDescent="0.2">
      <c r="B1567" s="1" t="s">
        <v>282</v>
      </c>
      <c r="C1567" s="32">
        <v>777</v>
      </c>
      <c r="D1567" s="1">
        <v>23000</v>
      </c>
      <c r="E1567" s="1"/>
      <c r="F1567" s="1">
        <v>256.24</v>
      </c>
      <c r="G1567" s="1">
        <v>23000</v>
      </c>
      <c r="H1567" s="5">
        <f t="shared" si="27"/>
        <v>0</v>
      </c>
      <c r="I1567" s="1"/>
      <c r="J1567" s="1"/>
    </row>
    <row r="1568" spans="2:10" x14ac:dyDescent="0.2">
      <c r="B1568" s="1" t="s">
        <v>283</v>
      </c>
      <c r="C1568" s="32" t="s">
        <v>30</v>
      </c>
      <c r="D1568" s="1">
        <v>3000</v>
      </c>
      <c r="E1568" s="1"/>
      <c r="F1568" s="1">
        <v>33.42</v>
      </c>
      <c r="G1568" s="1">
        <v>3000</v>
      </c>
      <c r="H1568" s="5">
        <f t="shared" si="27"/>
        <v>0</v>
      </c>
      <c r="I1568" s="1"/>
      <c r="J1568" s="1"/>
    </row>
    <row r="1569" spans="2:10" x14ac:dyDescent="0.2">
      <c r="B1569" s="1" t="s">
        <v>283</v>
      </c>
      <c r="C1569" s="32">
        <v>941</v>
      </c>
      <c r="D1569" s="1">
        <v>22000</v>
      </c>
      <c r="E1569" s="1"/>
      <c r="F1569" s="1">
        <v>245.1</v>
      </c>
      <c r="G1569" s="1">
        <v>22000</v>
      </c>
      <c r="H1569" s="5">
        <f t="shared" si="27"/>
        <v>0</v>
      </c>
      <c r="I1569" s="1"/>
      <c r="J1569" s="1"/>
    </row>
    <row r="1570" spans="2:10" x14ac:dyDescent="0.2">
      <c r="B1570" s="1" t="s">
        <v>284</v>
      </c>
      <c r="C1570" s="32">
        <v>9971</v>
      </c>
      <c r="D1570" s="1">
        <v>9000</v>
      </c>
      <c r="E1570" s="1"/>
      <c r="F1570" s="1">
        <v>100.27</v>
      </c>
      <c r="G1570" s="1">
        <v>9000</v>
      </c>
      <c r="H1570" s="5">
        <f t="shared" si="27"/>
        <v>0</v>
      </c>
      <c r="I1570" s="1"/>
      <c r="J1570" s="1"/>
    </row>
    <row r="1571" spans="2:10" x14ac:dyDescent="0.2">
      <c r="B1571" s="1" t="s">
        <v>284</v>
      </c>
      <c r="C1571" s="32">
        <v>4565</v>
      </c>
      <c r="D1571" s="1">
        <v>13000</v>
      </c>
      <c r="E1571" s="1"/>
      <c r="F1571" s="1">
        <v>144.83000000000001</v>
      </c>
      <c r="G1571" s="1">
        <v>13000</v>
      </c>
      <c r="H1571" s="5">
        <f t="shared" si="27"/>
        <v>0</v>
      </c>
      <c r="I1571" s="1"/>
      <c r="J1571" s="1"/>
    </row>
    <row r="1572" spans="2:10" x14ac:dyDescent="0.2">
      <c r="B1572" s="1" t="s">
        <v>284</v>
      </c>
      <c r="C1572" s="32" t="s">
        <v>30</v>
      </c>
      <c r="D1572" s="1">
        <v>4500</v>
      </c>
      <c r="E1572" s="1"/>
      <c r="F1572" s="1">
        <v>50.13</v>
      </c>
      <c r="G1572" s="1">
        <v>4500</v>
      </c>
      <c r="H1572" s="5">
        <f t="shared" si="27"/>
        <v>0</v>
      </c>
      <c r="I1572" s="1"/>
      <c r="J1572" s="1"/>
    </row>
    <row r="1573" spans="2:10" x14ac:dyDescent="0.2">
      <c r="B1573" s="1" t="s">
        <v>284</v>
      </c>
      <c r="C1573" s="32">
        <v>7311</v>
      </c>
      <c r="D1573" s="1">
        <v>20000</v>
      </c>
      <c r="E1573" s="1"/>
      <c r="F1573" s="1">
        <v>222.19</v>
      </c>
      <c r="G1573" s="1">
        <v>20000</v>
      </c>
      <c r="H1573" s="5">
        <f t="shared" si="27"/>
        <v>0</v>
      </c>
      <c r="I1573" s="1"/>
      <c r="J1573" s="1"/>
    </row>
    <row r="1574" spans="2:10" x14ac:dyDescent="0.2">
      <c r="B1574" s="1" t="s">
        <v>284</v>
      </c>
      <c r="C1574" s="32">
        <v>7637</v>
      </c>
      <c r="D1574" s="1">
        <v>20000</v>
      </c>
      <c r="E1574" s="1"/>
      <c r="F1574" s="1">
        <v>222.19</v>
      </c>
      <c r="G1574" s="1">
        <v>20000</v>
      </c>
      <c r="H1574" s="5">
        <f t="shared" si="27"/>
        <v>0</v>
      </c>
      <c r="I1574" s="1"/>
      <c r="J1574" s="1"/>
    </row>
    <row r="1575" spans="2:10" x14ac:dyDescent="0.2">
      <c r="B1575" s="1" t="s">
        <v>284</v>
      </c>
      <c r="C1575" s="32">
        <v>3176</v>
      </c>
      <c r="D1575" s="1">
        <v>15000</v>
      </c>
      <c r="E1575" s="1"/>
      <c r="F1575" s="1">
        <v>167.11</v>
      </c>
      <c r="G1575" s="1">
        <v>15000</v>
      </c>
      <c r="H1575" s="5">
        <f t="shared" si="27"/>
        <v>0</v>
      </c>
      <c r="I1575" s="1"/>
      <c r="J1575" s="1"/>
    </row>
    <row r="1576" spans="2:10" x14ac:dyDescent="0.2">
      <c r="B1576" s="1" t="s">
        <v>284</v>
      </c>
      <c r="C1576" s="32">
        <v>4724</v>
      </c>
      <c r="D1576" s="1">
        <v>10000</v>
      </c>
      <c r="E1576" s="1"/>
      <c r="F1576" s="1">
        <v>111.41</v>
      </c>
      <c r="G1576" s="1">
        <v>10000</v>
      </c>
      <c r="H1576" s="5">
        <f t="shared" si="27"/>
        <v>0</v>
      </c>
      <c r="I1576" s="1"/>
      <c r="J1576" s="1"/>
    </row>
    <row r="1577" spans="2:10" x14ac:dyDescent="0.2">
      <c r="B1577" s="1" t="s">
        <v>284</v>
      </c>
      <c r="C1577" s="32">
        <v>2802</v>
      </c>
      <c r="D1577" s="1">
        <v>11000</v>
      </c>
      <c r="E1577" s="1"/>
      <c r="F1577" s="1">
        <v>122</v>
      </c>
      <c r="G1577" s="1">
        <v>11000</v>
      </c>
      <c r="H1577" s="5">
        <f t="shared" si="27"/>
        <v>0</v>
      </c>
      <c r="I1577" s="1"/>
      <c r="J1577" s="1"/>
    </row>
    <row r="1578" spans="2:10" x14ac:dyDescent="0.2">
      <c r="B1578" s="1" t="s">
        <v>284</v>
      </c>
      <c r="C1578" s="32">
        <v>5611</v>
      </c>
      <c r="D1578" s="1">
        <v>20000</v>
      </c>
      <c r="E1578" s="1"/>
      <c r="F1578" s="1">
        <v>222.82</v>
      </c>
      <c r="G1578" s="1">
        <v>20000</v>
      </c>
      <c r="H1578" s="5">
        <f t="shared" si="27"/>
        <v>0</v>
      </c>
      <c r="I1578" s="1"/>
      <c r="J1578" s="1"/>
    </row>
    <row r="1579" spans="2:10" x14ac:dyDescent="0.2">
      <c r="B1579" s="1" t="s">
        <v>284</v>
      </c>
      <c r="C1579" s="32">
        <v>4849</v>
      </c>
      <c r="D1579" s="1">
        <v>23000</v>
      </c>
      <c r="E1579" s="1"/>
      <c r="F1579" s="1">
        <v>256.24</v>
      </c>
      <c r="G1579" s="1">
        <v>23000</v>
      </c>
      <c r="H1579" s="5">
        <f t="shared" si="27"/>
        <v>0</v>
      </c>
      <c r="I1579" s="1"/>
      <c r="J1579" s="1"/>
    </row>
    <row r="1580" spans="2:10" x14ac:dyDescent="0.2">
      <c r="B1580" s="1" t="s">
        <v>284</v>
      </c>
      <c r="C1580" s="32">
        <v>6144</v>
      </c>
      <c r="D1580" s="1">
        <v>23000</v>
      </c>
      <c r="E1580" s="1"/>
      <c r="F1580" s="1">
        <v>256.24</v>
      </c>
      <c r="G1580" s="1">
        <v>23000</v>
      </c>
      <c r="H1580" s="5">
        <f t="shared" si="27"/>
        <v>0</v>
      </c>
      <c r="I1580" s="1"/>
      <c r="J1580" s="1"/>
    </row>
    <row r="1581" spans="2:10" x14ac:dyDescent="0.2">
      <c r="B1581" s="1" t="s">
        <v>285</v>
      </c>
      <c r="C1581" s="32" t="s">
        <v>30</v>
      </c>
      <c r="D1581" s="1">
        <v>5000</v>
      </c>
      <c r="E1581" s="1"/>
      <c r="F1581" s="1">
        <v>55.7</v>
      </c>
      <c r="G1581" s="1">
        <v>5000</v>
      </c>
      <c r="H1581" s="5">
        <f t="shared" si="27"/>
        <v>0</v>
      </c>
      <c r="I1581" s="1"/>
      <c r="J1581" s="1"/>
    </row>
    <row r="1582" spans="2:10" x14ac:dyDescent="0.2">
      <c r="B1582" s="1" t="s">
        <v>285</v>
      </c>
      <c r="C1582" s="32">
        <v>6012</v>
      </c>
      <c r="D1582" s="1">
        <v>12000</v>
      </c>
      <c r="E1582" s="1"/>
      <c r="F1582" s="1">
        <v>133.69</v>
      </c>
      <c r="G1582" s="1">
        <v>12000</v>
      </c>
      <c r="H1582" s="5">
        <f t="shared" si="27"/>
        <v>0</v>
      </c>
      <c r="I1582" s="1"/>
      <c r="J1582" s="1"/>
    </row>
    <row r="1583" spans="2:10" x14ac:dyDescent="0.2">
      <c r="B1583" s="1" t="s">
        <v>285</v>
      </c>
      <c r="C1583" s="32" t="s">
        <v>63</v>
      </c>
      <c r="D1583" s="1">
        <v>3500</v>
      </c>
      <c r="E1583" s="1"/>
      <c r="F1583" s="1">
        <v>38.99</v>
      </c>
      <c r="G1583" s="1">
        <v>3500</v>
      </c>
      <c r="H1583" s="5">
        <f t="shared" si="27"/>
        <v>0</v>
      </c>
      <c r="I1583" s="1"/>
      <c r="J1583" s="1"/>
    </row>
    <row r="1584" spans="2:10" x14ac:dyDescent="0.2">
      <c r="B1584" s="1" t="s">
        <v>285</v>
      </c>
      <c r="C1584" s="32" t="s">
        <v>66</v>
      </c>
      <c r="D1584" s="1">
        <v>200</v>
      </c>
      <c r="E1584" s="1"/>
      <c r="F1584" s="1">
        <v>2.08</v>
      </c>
      <c r="G1584" s="1">
        <v>200</v>
      </c>
      <c r="H1584" s="5">
        <f t="shared" si="27"/>
        <v>0</v>
      </c>
      <c r="I1584" s="1"/>
      <c r="J1584" s="1"/>
    </row>
    <row r="1585" spans="2:10" x14ac:dyDescent="0.2">
      <c r="B1585" s="1" t="s">
        <v>285</v>
      </c>
      <c r="C1585" s="32">
        <v>4823</v>
      </c>
      <c r="D1585" s="1">
        <v>18750</v>
      </c>
      <c r="E1585" s="1"/>
      <c r="F1585" s="1">
        <v>208.7</v>
      </c>
      <c r="G1585" s="1">
        <v>18750</v>
      </c>
      <c r="H1585" s="5">
        <f t="shared" si="27"/>
        <v>0</v>
      </c>
      <c r="I1585" s="1"/>
      <c r="J1585" s="1"/>
    </row>
    <row r="1586" spans="2:10" x14ac:dyDescent="0.2">
      <c r="B1586" s="1" t="s">
        <v>285</v>
      </c>
      <c r="C1586" s="32">
        <v>4156</v>
      </c>
      <c r="D1586" s="1">
        <v>24000</v>
      </c>
      <c r="E1586" s="1"/>
      <c r="F1586" s="1">
        <v>252</v>
      </c>
      <c r="G1586" s="1">
        <v>24000</v>
      </c>
      <c r="H1586" s="5">
        <f t="shared" si="27"/>
        <v>0</v>
      </c>
      <c r="I1586" s="1"/>
      <c r="J1586" s="1"/>
    </row>
    <row r="1587" spans="2:10" x14ac:dyDescent="0.2">
      <c r="B1587" s="1" t="s">
        <v>285</v>
      </c>
      <c r="C1587" s="32">
        <v>1842</v>
      </c>
      <c r="D1587" s="1">
        <v>15000</v>
      </c>
      <c r="E1587" s="1"/>
      <c r="F1587" s="1">
        <v>167.11</v>
      </c>
      <c r="G1587" s="1">
        <v>15000</v>
      </c>
      <c r="H1587" s="5">
        <f t="shared" si="27"/>
        <v>0</v>
      </c>
      <c r="I1587" s="1"/>
      <c r="J1587" s="1"/>
    </row>
    <row r="1588" spans="2:10" x14ac:dyDescent="0.2">
      <c r="B1588" s="1" t="s">
        <v>285</v>
      </c>
      <c r="C1588" s="32">
        <v>1162</v>
      </c>
      <c r="D1588" s="1">
        <v>14000</v>
      </c>
      <c r="E1588" s="1"/>
      <c r="F1588" s="1">
        <v>155.97</v>
      </c>
      <c r="G1588" s="1">
        <v>14000</v>
      </c>
      <c r="H1588" s="5">
        <f t="shared" si="27"/>
        <v>0</v>
      </c>
      <c r="I1588" s="1"/>
      <c r="J1588" s="1"/>
    </row>
    <row r="1589" spans="2:10" x14ac:dyDescent="0.2">
      <c r="B1589" s="1" t="s">
        <v>285</v>
      </c>
      <c r="C1589" s="32">
        <v>4135</v>
      </c>
      <c r="D1589" s="1">
        <v>22000</v>
      </c>
      <c r="E1589" s="1"/>
      <c r="F1589" s="1">
        <v>245.1</v>
      </c>
      <c r="G1589" s="1">
        <v>22000</v>
      </c>
      <c r="H1589" s="5">
        <f t="shared" si="27"/>
        <v>0</v>
      </c>
      <c r="I1589" s="1"/>
      <c r="J1589" s="1"/>
    </row>
    <row r="1590" spans="2:10" x14ac:dyDescent="0.2">
      <c r="B1590" s="1" t="s">
        <v>285</v>
      </c>
      <c r="C1590" s="32">
        <v>9903</v>
      </c>
      <c r="D1590" s="1">
        <v>15000</v>
      </c>
      <c r="E1590" s="1"/>
      <c r="F1590" s="1">
        <v>167.11</v>
      </c>
      <c r="G1590" s="1">
        <v>15000</v>
      </c>
      <c r="H1590" s="5">
        <f t="shared" si="27"/>
        <v>0</v>
      </c>
      <c r="I1590" s="1"/>
      <c r="J1590" s="1"/>
    </row>
    <row r="1591" spans="2:10" x14ac:dyDescent="0.2">
      <c r="B1591" s="1" t="s">
        <v>286</v>
      </c>
      <c r="C1591" s="32" t="s">
        <v>30</v>
      </c>
      <c r="D1591" s="1">
        <v>4500</v>
      </c>
      <c r="E1591" s="1"/>
      <c r="F1591" s="1">
        <v>50.14</v>
      </c>
      <c r="G1591" s="1">
        <v>4500</v>
      </c>
      <c r="H1591" s="5">
        <f t="shared" si="27"/>
        <v>0</v>
      </c>
      <c r="I1591" s="1"/>
      <c r="J1591" s="1"/>
    </row>
    <row r="1592" spans="2:10" x14ac:dyDescent="0.2">
      <c r="B1592" s="1" t="s">
        <v>286</v>
      </c>
      <c r="C1592" s="32">
        <v>645</v>
      </c>
      <c r="D1592" s="1">
        <v>10000</v>
      </c>
      <c r="E1592" s="1"/>
      <c r="F1592" s="1">
        <v>111.41</v>
      </c>
      <c r="G1592" s="1">
        <v>10000</v>
      </c>
      <c r="H1592" s="5">
        <f t="shared" si="27"/>
        <v>0</v>
      </c>
      <c r="I1592" s="1"/>
      <c r="J1592" s="1"/>
    </row>
    <row r="1593" spans="2:10" x14ac:dyDescent="0.2">
      <c r="B1593" s="1" t="s">
        <v>286</v>
      </c>
      <c r="C1593" s="32">
        <v>1552</v>
      </c>
      <c r="D1593" s="1">
        <v>15000</v>
      </c>
      <c r="E1593" s="1"/>
      <c r="F1593" s="1">
        <v>167.11</v>
      </c>
      <c r="G1593" s="1">
        <v>15000</v>
      </c>
      <c r="H1593" s="5">
        <f t="shared" si="27"/>
        <v>0</v>
      </c>
      <c r="I1593" s="1"/>
      <c r="J1593" s="1"/>
    </row>
    <row r="1594" spans="2:10" x14ac:dyDescent="0.2">
      <c r="B1594" s="1" t="s">
        <v>286</v>
      </c>
      <c r="C1594" s="32">
        <v>9668</v>
      </c>
      <c r="D1594" s="1">
        <v>13000</v>
      </c>
      <c r="E1594" s="1"/>
      <c r="F1594" s="1">
        <v>144</v>
      </c>
      <c r="G1594" s="1">
        <v>13000</v>
      </c>
      <c r="H1594" s="5">
        <f t="shared" si="27"/>
        <v>0</v>
      </c>
      <c r="I1594" s="1"/>
      <c r="J1594" s="1"/>
    </row>
    <row r="1595" spans="2:10" x14ac:dyDescent="0.2">
      <c r="B1595" s="1" t="s">
        <v>286</v>
      </c>
      <c r="C1595" s="32">
        <v>2660</v>
      </c>
      <c r="D1595" s="1">
        <v>15000</v>
      </c>
      <c r="E1595" s="1"/>
      <c r="F1595" s="1">
        <v>167.11</v>
      </c>
      <c r="G1595" s="1">
        <v>15000</v>
      </c>
      <c r="H1595" s="5">
        <f t="shared" si="27"/>
        <v>0</v>
      </c>
      <c r="I1595" s="1"/>
      <c r="J1595" s="1"/>
    </row>
    <row r="1596" spans="2:10" x14ac:dyDescent="0.2">
      <c r="B1596" s="1" t="s">
        <v>286</v>
      </c>
      <c r="C1596" s="32">
        <v>4553</v>
      </c>
      <c r="D1596" s="1">
        <v>15000</v>
      </c>
      <c r="E1596" s="1"/>
      <c r="F1596" s="1">
        <v>167.11</v>
      </c>
      <c r="G1596" s="1">
        <v>15000</v>
      </c>
      <c r="H1596" s="5">
        <f t="shared" si="27"/>
        <v>0</v>
      </c>
      <c r="I1596" s="1"/>
      <c r="J1596" s="1"/>
    </row>
    <row r="1597" spans="2:10" x14ac:dyDescent="0.2">
      <c r="B1597" s="1" t="s">
        <v>286</v>
      </c>
      <c r="C1597" s="32">
        <v>5744</v>
      </c>
      <c r="D1597" s="1">
        <v>18000</v>
      </c>
      <c r="E1597" s="1"/>
      <c r="F1597" s="1">
        <v>200.53</v>
      </c>
      <c r="G1597" s="1">
        <v>18000</v>
      </c>
      <c r="H1597" s="5">
        <f t="shared" si="27"/>
        <v>0</v>
      </c>
      <c r="I1597" s="1"/>
      <c r="J1597" s="1"/>
    </row>
    <row r="1598" spans="2:10" x14ac:dyDescent="0.2">
      <c r="B1598" s="1" t="s">
        <v>286</v>
      </c>
      <c r="C1598" s="32">
        <v>3164</v>
      </c>
      <c r="D1598" s="1">
        <v>20000</v>
      </c>
      <c r="E1598" s="1"/>
      <c r="F1598" s="1">
        <v>222.82</v>
      </c>
      <c r="G1598" s="1">
        <v>20000</v>
      </c>
      <c r="H1598" s="5">
        <f t="shared" si="27"/>
        <v>0</v>
      </c>
      <c r="I1598" s="1"/>
      <c r="J1598" s="1"/>
    </row>
    <row r="1599" spans="2:10" x14ac:dyDescent="0.2">
      <c r="B1599" s="1" t="s">
        <v>286</v>
      </c>
      <c r="C1599" s="32">
        <v>5079</v>
      </c>
      <c r="D1599" s="1">
        <v>24000</v>
      </c>
      <c r="E1599" s="1"/>
      <c r="F1599" s="1">
        <v>267.38</v>
      </c>
      <c r="G1599" s="1">
        <v>24000</v>
      </c>
      <c r="H1599" s="5">
        <f t="shared" si="27"/>
        <v>0</v>
      </c>
      <c r="I1599" s="1"/>
      <c r="J1599" s="1"/>
    </row>
    <row r="1600" spans="2:10" x14ac:dyDescent="0.2">
      <c r="B1600" s="1" t="s">
        <v>286</v>
      </c>
      <c r="C1600" s="32">
        <v>767</v>
      </c>
      <c r="D1600" s="1">
        <v>25000</v>
      </c>
      <c r="E1600" s="1"/>
      <c r="F1600" s="1">
        <v>278.52</v>
      </c>
      <c r="G1600" s="1">
        <v>25000</v>
      </c>
      <c r="H1600" s="5">
        <f t="shared" si="27"/>
        <v>0</v>
      </c>
      <c r="I1600" s="1"/>
      <c r="J1600" s="1"/>
    </row>
    <row r="1601" spans="2:10" x14ac:dyDescent="0.2">
      <c r="B1601" s="1" t="s">
        <v>286</v>
      </c>
      <c r="C1601" s="32">
        <v>1386</v>
      </c>
      <c r="D1601" s="1">
        <v>25000</v>
      </c>
      <c r="E1601" s="1"/>
      <c r="F1601" s="1">
        <v>278.52</v>
      </c>
      <c r="G1601" s="1">
        <v>25000</v>
      </c>
      <c r="H1601" s="5">
        <f t="shared" si="27"/>
        <v>0</v>
      </c>
      <c r="I1601" s="1"/>
      <c r="J1601" s="1"/>
    </row>
    <row r="1602" spans="2:10" x14ac:dyDescent="0.2">
      <c r="B1602" s="1" t="s">
        <v>287</v>
      </c>
      <c r="C1602" s="32">
        <v>9666</v>
      </c>
      <c r="D1602" s="1">
        <v>13000</v>
      </c>
      <c r="E1602" s="1"/>
      <c r="F1602" s="1">
        <v>144</v>
      </c>
      <c r="G1602" s="1">
        <v>13000</v>
      </c>
      <c r="H1602" s="5">
        <f t="shared" si="27"/>
        <v>0</v>
      </c>
      <c r="I1602" s="1"/>
      <c r="J1602" s="1"/>
    </row>
    <row r="1603" spans="2:10" x14ac:dyDescent="0.2">
      <c r="B1603" s="1" t="s">
        <v>287</v>
      </c>
      <c r="C1603" s="32">
        <v>7995</v>
      </c>
      <c r="D1603" s="1">
        <v>25000</v>
      </c>
      <c r="E1603" s="1"/>
      <c r="F1603" s="1">
        <v>278.52</v>
      </c>
      <c r="G1603" s="1">
        <v>25000</v>
      </c>
      <c r="H1603" s="5">
        <f t="shared" si="27"/>
        <v>0</v>
      </c>
      <c r="I1603" s="1"/>
      <c r="J1603" s="1"/>
    </row>
    <row r="1604" spans="2:10" x14ac:dyDescent="0.2">
      <c r="B1604" s="1" t="s">
        <v>287</v>
      </c>
      <c r="C1604" s="32" t="s">
        <v>63</v>
      </c>
      <c r="D1604" s="1">
        <v>3500</v>
      </c>
      <c r="E1604" s="1"/>
      <c r="F1604" s="1">
        <v>39.94</v>
      </c>
      <c r="G1604" s="1">
        <v>3500</v>
      </c>
      <c r="H1604" s="5">
        <f t="shared" si="27"/>
        <v>0</v>
      </c>
      <c r="I1604" s="1"/>
      <c r="J1604" s="1"/>
    </row>
    <row r="1605" spans="2:10" x14ac:dyDescent="0.2">
      <c r="B1605" s="1" t="s">
        <v>287</v>
      </c>
      <c r="C1605" s="32">
        <v>1945</v>
      </c>
      <c r="D1605" s="1">
        <v>20000</v>
      </c>
      <c r="E1605" s="1"/>
      <c r="F1605" s="1">
        <v>222.82</v>
      </c>
      <c r="G1605" s="1">
        <v>20000</v>
      </c>
      <c r="H1605" s="5">
        <f t="shared" si="27"/>
        <v>0</v>
      </c>
      <c r="I1605" s="1"/>
      <c r="J1605" s="1"/>
    </row>
    <row r="1606" spans="2:10" x14ac:dyDescent="0.2">
      <c r="B1606" s="1" t="s">
        <v>287</v>
      </c>
      <c r="C1606" s="32">
        <v>9998</v>
      </c>
      <c r="D1606" s="1">
        <v>17000</v>
      </c>
      <c r="E1606" s="1"/>
      <c r="F1606" s="1">
        <v>189</v>
      </c>
      <c r="G1606" s="1">
        <v>17000</v>
      </c>
      <c r="H1606" s="5">
        <f t="shared" si="27"/>
        <v>0</v>
      </c>
      <c r="I1606" s="1"/>
      <c r="J1606" s="1"/>
    </row>
    <row r="1607" spans="2:10" x14ac:dyDescent="0.2">
      <c r="B1607" s="1" t="s">
        <v>287</v>
      </c>
      <c r="C1607" s="32">
        <v>472</v>
      </c>
      <c r="D1607" s="1">
        <v>20000</v>
      </c>
      <c r="E1607" s="1"/>
      <c r="F1607" s="1">
        <v>222.82</v>
      </c>
      <c r="G1607" s="1">
        <v>20000</v>
      </c>
      <c r="H1607" s="5">
        <f t="shared" ref="H1607:H1670" si="28">D1607-G1607</f>
        <v>0</v>
      </c>
      <c r="I1607" s="1"/>
      <c r="J1607" s="1"/>
    </row>
    <row r="1608" spans="2:10" x14ac:dyDescent="0.2">
      <c r="B1608" s="1" t="s">
        <v>287</v>
      </c>
      <c r="C1608" s="32">
        <v>9979</v>
      </c>
      <c r="D1608" s="1">
        <v>13000</v>
      </c>
      <c r="E1608" s="1"/>
      <c r="F1608" s="1">
        <v>144</v>
      </c>
      <c r="G1608" s="1">
        <v>13000</v>
      </c>
      <c r="H1608" s="5">
        <f t="shared" si="28"/>
        <v>0</v>
      </c>
      <c r="I1608" s="1"/>
      <c r="J1608" s="1"/>
    </row>
    <row r="1609" spans="2:10" x14ac:dyDescent="0.2">
      <c r="B1609" s="1" t="s">
        <v>287</v>
      </c>
      <c r="C1609" s="32">
        <v>104</v>
      </c>
      <c r="D1609" s="1">
        <v>19000</v>
      </c>
      <c r="E1609" s="1"/>
      <c r="F1609" s="1">
        <v>211</v>
      </c>
      <c r="G1609" s="1">
        <v>19000</v>
      </c>
      <c r="H1609" s="5">
        <f t="shared" si="28"/>
        <v>0</v>
      </c>
      <c r="I1609" s="1"/>
      <c r="J1609" s="1"/>
    </row>
    <row r="1610" spans="2:10" x14ac:dyDescent="0.2">
      <c r="B1610" s="1" t="s">
        <v>287</v>
      </c>
      <c r="C1610" s="32">
        <v>5548</v>
      </c>
      <c r="D1610" s="1">
        <v>20000</v>
      </c>
      <c r="E1610" s="1"/>
      <c r="F1610" s="1">
        <v>222.82</v>
      </c>
      <c r="G1610" s="1">
        <v>20000</v>
      </c>
      <c r="H1610" s="5">
        <f t="shared" si="28"/>
        <v>0</v>
      </c>
      <c r="I1610" s="1"/>
      <c r="J1610" s="1"/>
    </row>
    <row r="1611" spans="2:10" x14ac:dyDescent="0.2">
      <c r="B1611" s="1" t="s">
        <v>287</v>
      </c>
      <c r="C1611" s="32">
        <v>4032</v>
      </c>
      <c r="D1611" s="1">
        <v>20000</v>
      </c>
      <c r="E1611" s="1"/>
      <c r="F1611" s="1">
        <v>222.82</v>
      </c>
      <c r="G1611" s="1">
        <v>20000</v>
      </c>
      <c r="H1611" s="5">
        <f t="shared" si="28"/>
        <v>0</v>
      </c>
      <c r="I1611" s="1"/>
      <c r="J1611" s="1"/>
    </row>
    <row r="1612" spans="2:10" x14ac:dyDescent="0.2">
      <c r="B1612" s="1" t="s">
        <v>287</v>
      </c>
      <c r="C1612" s="32">
        <v>5613</v>
      </c>
      <c r="D1612" s="1">
        <v>20000</v>
      </c>
      <c r="E1612" s="1"/>
      <c r="F1612" s="1">
        <v>222.82</v>
      </c>
      <c r="G1612" s="1">
        <v>20000</v>
      </c>
      <c r="H1612" s="5">
        <f t="shared" si="28"/>
        <v>0</v>
      </c>
      <c r="I1612" s="1"/>
      <c r="J1612" s="1"/>
    </row>
    <row r="1613" spans="2:10" x14ac:dyDescent="0.2">
      <c r="B1613" s="1" t="s">
        <v>287</v>
      </c>
      <c r="C1613" s="32">
        <v>5674</v>
      </c>
      <c r="D1613" s="1">
        <v>18000</v>
      </c>
      <c r="E1613" s="1"/>
      <c r="F1613" s="1">
        <v>200</v>
      </c>
      <c r="G1613" s="1">
        <v>18000</v>
      </c>
      <c r="H1613" s="5">
        <f t="shared" si="28"/>
        <v>0</v>
      </c>
      <c r="I1613" s="1"/>
      <c r="J1613" s="1"/>
    </row>
    <row r="1614" spans="2:10" x14ac:dyDescent="0.2">
      <c r="B1614" s="1" t="s">
        <v>287</v>
      </c>
      <c r="C1614" s="32">
        <v>604</v>
      </c>
      <c r="D1614" s="1">
        <v>8000</v>
      </c>
      <c r="E1614" s="1"/>
      <c r="F1614" s="1">
        <v>89</v>
      </c>
      <c r="G1614" s="1">
        <v>8000</v>
      </c>
      <c r="H1614" s="5">
        <f t="shared" si="28"/>
        <v>0</v>
      </c>
      <c r="I1614" s="1"/>
      <c r="J1614" s="1"/>
    </row>
    <row r="1615" spans="2:10" x14ac:dyDescent="0.2">
      <c r="B1615" s="1" t="s">
        <v>287</v>
      </c>
      <c r="C1615" s="32">
        <v>2574</v>
      </c>
      <c r="D1615" s="1">
        <v>15000</v>
      </c>
      <c r="E1615" s="1"/>
      <c r="F1615" s="1">
        <v>167.11</v>
      </c>
      <c r="G1615" s="1">
        <v>15000</v>
      </c>
      <c r="H1615" s="5">
        <f t="shared" si="28"/>
        <v>0</v>
      </c>
      <c r="I1615" s="1"/>
      <c r="J1615" s="1"/>
    </row>
    <row r="1616" spans="2:10" x14ac:dyDescent="0.2">
      <c r="B1616" s="1" t="s">
        <v>287</v>
      </c>
      <c r="C1616" s="32">
        <v>6577</v>
      </c>
      <c r="D1616" s="1">
        <v>15000</v>
      </c>
      <c r="E1616" s="1"/>
      <c r="F1616" s="1">
        <v>167.11</v>
      </c>
      <c r="G1616" s="1">
        <v>15000</v>
      </c>
      <c r="H1616" s="5">
        <f t="shared" si="28"/>
        <v>0</v>
      </c>
      <c r="I1616" s="1"/>
      <c r="J1616" s="1"/>
    </row>
    <row r="1617" spans="2:10" x14ac:dyDescent="0.2">
      <c r="B1617" s="1" t="s">
        <v>287</v>
      </c>
      <c r="C1617" s="32">
        <v>5137</v>
      </c>
      <c r="D1617" s="1">
        <v>18000</v>
      </c>
      <c r="E1617" s="1"/>
      <c r="F1617" s="1">
        <v>200.53</v>
      </c>
      <c r="G1617" s="1">
        <v>18000</v>
      </c>
      <c r="H1617" s="5">
        <f t="shared" si="28"/>
        <v>0</v>
      </c>
      <c r="I1617" s="1"/>
      <c r="J1617" s="1"/>
    </row>
    <row r="1618" spans="2:10" x14ac:dyDescent="0.2">
      <c r="B1618" s="1" t="s">
        <v>287</v>
      </c>
      <c r="C1618" s="32">
        <v>2345</v>
      </c>
      <c r="D1618" s="1">
        <v>22000</v>
      </c>
      <c r="E1618" s="1"/>
      <c r="F1618" s="1">
        <v>245.05</v>
      </c>
      <c r="G1618" s="1">
        <v>22000</v>
      </c>
      <c r="H1618" s="5">
        <f t="shared" si="28"/>
        <v>0</v>
      </c>
      <c r="I1618" s="1"/>
      <c r="J1618" s="1"/>
    </row>
    <row r="1619" spans="2:10" x14ac:dyDescent="0.2">
      <c r="B1619" s="1" t="s">
        <v>287</v>
      </c>
      <c r="C1619" s="32">
        <v>4304</v>
      </c>
      <c r="D1619" s="1">
        <v>22234</v>
      </c>
      <c r="E1619" s="1"/>
      <c r="F1619" s="1">
        <v>247</v>
      </c>
      <c r="G1619" s="1">
        <v>22234</v>
      </c>
      <c r="H1619" s="5">
        <f t="shared" si="28"/>
        <v>0</v>
      </c>
      <c r="I1619" s="1"/>
      <c r="J1619" s="1"/>
    </row>
    <row r="1620" spans="2:10" x14ac:dyDescent="0.2">
      <c r="B1620" s="1" t="s">
        <v>287</v>
      </c>
      <c r="C1620" s="32">
        <v>5772</v>
      </c>
      <c r="D1620" s="1">
        <v>25000</v>
      </c>
      <c r="E1620" s="1"/>
      <c r="F1620" s="1">
        <v>278.52</v>
      </c>
      <c r="G1620" s="1">
        <v>25000</v>
      </c>
      <c r="H1620" s="5">
        <f t="shared" si="28"/>
        <v>0</v>
      </c>
      <c r="I1620" s="1"/>
      <c r="J1620" s="1"/>
    </row>
    <row r="1621" spans="2:10" x14ac:dyDescent="0.2">
      <c r="B1621" s="1" t="s">
        <v>287</v>
      </c>
      <c r="C1621" s="32">
        <v>4750</v>
      </c>
      <c r="D1621" s="1">
        <v>25000</v>
      </c>
      <c r="E1621" s="1"/>
      <c r="F1621" s="1">
        <v>278.52</v>
      </c>
      <c r="G1621" s="1">
        <v>25000</v>
      </c>
      <c r="H1621" s="5">
        <f t="shared" si="28"/>
        <v>0</v>
      </c>
      <c r="I1621" s="1"/>
      <c r="J1621" s="1"/>
    </row>
    <row r="1622" spans="2:10" x14ac:dyDescent="0.2">
      <c r="B1622" s="1" t="s">
        <v>287</v>
      </c>
      <c r="C1622" s="32">
        <v>4976</v>
      </c>
      <c r="D1622" s="1">
        <v>40000</v>
      </c>
      <c r="E1622" s="1"/>
      <c r="F1622" s="1">
        <v>445.64</v>
      </c>
      <c r="G1622" s="1">
        <v>40000</v>
      </c>
      <c r="H1622" s="5">
        <f t="shared" si="28"/>
        <v>0</v>
      </c>
      <c r="I1622" s="1"/>
      <c r="J1622" s="1"/>
    </row>
    <row r="1623" spans="2:10" x14ac:dyDescent="0.2">
      <c r="B1623" s="1" t="s">
        <v>288</v>
      </c>
      <c r="C1623" s="32" t="s">
        <v>63</v>
      </c>
      <c r="D1623" s="1">
        <v>3500</v>
      </c>
      <c r="E1623" s="1"/>
      <c r="F1623" s="1">
        <v>39.94</v>
      </c>
      <c r="G1623" s="1">
        <v>3500</v>
      </c>
      <c r="H1623" s="5">
        <f t="shared" si="28"/>
        <v>0</v>
      </c>
      <c r="I1623" s="1"/>
      <c r="J1623" s="1"/>
    </row>
    <row r="1624" spans="2:10" x14ac:dyDescent="0.2">
      <c r="B1624" s="1" t="s">
        <v>288</v>
      </c>
      <c r="C1624" s="32" t="s">
        <v>30</v>
      </c>
      <c r="D1624" s="1">
        <v>4500</v>
      </c>
      <c r="E1624" s="1"/>
      <c r="F1624" s="1">
        <v>50.13</v>
      </c>
      <c r="G1624" s="1">
        <v>4500</v>
      </c>
      <c r="H1624" s="5">
        <f t="shared" si="28"/>
        <v>0</v>
      </c>
      <c r="I1624" s="1"/>
      <c r="J1624" s="1"/>
    </row>
    <row r="1625" spans="2:10" x14ac:dyDescent="0.2">
      <c r="B1625" s="1" t="s">
        <v>288</v>
      </c>
      <c r="C1625" s="32" t="s">
        <v>30</v>
      </c>
      <c r="D1625" s="1">
        <v>5000</v>
      </c>
      <c r="E1625" s="1"/>
      <c r="F1625" s="1">
        <v>55.7</v>
      </c>
      <c r="G1625" s="1">
        <v>5000</v>
      </c>
      <c r="H1625" s="5">
        <f t="shared" si="28"/>
        <v>0</v>
      </c>
      <c r="I1625" s="1"/>
      <c r="J1625" s="1"/>
    </row>
    <row r="1626" spans="2:10" x14ac:dyDescent="0.2">
      <c r="B1626" s="1" t="s">
        <v>288</v>
      </c>
      <c r="C1626" s="32">
        <v>9665</v>
      </c>
      <c r="D1626" s="1">
        <v>13000</v>
      </c>
      <c r="E1626" s="1"/>
      <c r="F1626" s="1">
        <v>144</v>
      </c>
      <c r="G1626" s="1">
        <v>13000</v>
      </c>
      <c r="H1626" s="5">
        <f t="shared" si="28"/>
        <v>0</v>
      </c>
      <c r="I1626" s="1"/>
      <c r="J1626" s="1"/>
    </row>
    <row r="1627" spans="2:10" x14ac:dyDescent="0.2">
      <c r="B1627" s="1" t="s">
        <v>288</v>
      </c>
      <c r="C1627" s="32">
        <v>4754</v>
      </c>
      <c r="D1627" s="1">
        <v>16000</v>
      </c>
      <c r="E1627" s="1"/>
      <c r="F1627" s="1">
        <v>178</v>
      </c>
      <c r="G1627" s="1">
        <v>16000</v>
      </c>
      <c r="H1627" s="5">
        <f t="shared" si="28"/>
        <v>0</v>
      </c>
      <c r="I1627" s="1"/>
      <c r="J1627" s="1"/>
    </row>
    <row r="1628" spans="2:10" x14ac:dyDescent="0.2">
      <c r="B1628" s="1" t="s">
        <v>288</v>
      </c>
      <c r="C1628" s="32">
        <v>5808</v>
      </c>
      <c r="D1628" s="1">
        <v>22000</v>
      </c>
      <c r="E1628" s="1"/>
      <c r="F1628" s="1">
        <v>245.05</v>
      </c>
      <c r="G1628" s="1">
        <v>22000</v>
      </c>
      <c r="H1628" s="5">
        <f t="shared" si="28"/>
        <v>0</v>
      </c>
      <c r="I1628" s="1"/>
      <c r="J1628" s="1"/>
    </row>
    <row r="1629" spans="2:10" x14ac:dyDescent="0.2">
      <c r="B1629" s="1" t="s">
        <v>288</v>
      </c>
      <c r="C1629" s="32">
        <v>1843</v>
      </c>
      <c r="D1629" s="1">
        <v>13000</v>
      </c>
      <c r="E1629" s="1"/>
      <c r="F1629" s="1">
        <v>144</v>
      </c>
      <c r="G1629" s="1">
        <v>13000</v>
      </c>
      <c r="H1629" s="5">
        <f t="shared" si="28"/>
        <v>0</v>
      </c>
      <c r="I1629" s="1"/>
      <c r="J1629" s="1"/>
    </row>
    <row r="1630" spans="2:10" x14ac:dyDescent="0.2">
      <c r="B1630" s="1" t="s">
        <v>288</v>
      </c>
      <c r="C1630" s="32">
        <v>4935</v>
      </c>
      <c r="D1630" s="1">
        <v>13000</v>
      </c>
      <c r="E1630" s="1"/>
      <c r="F1630" s="1">
        <v>144</v>
      </c>
      <c r="G1630" s="1">
        <v>13000</v>
      </c>
      <c r="H1630" s="5">
        <f t="shared" si="28"/>
        <v>0</v>
      </c>
      <c r="I1630" s="1"/>
      <c r="J1630" s="1"/>
    </row>
    <row r="1631" spans="2:10" x14ac:dyDescent="0.2">
      <c r="B1631" s="1" t="s">
        <v>288</v>
      </c>
      <c r="C1631" s="32">
        <v>5835</v>
      </c>
      <c r="D1631" s="1">
        <v>13000</v>
      </c>
      <c r="E1631" s="1"/>
      <c r="F1631" s="1">
        <v>144</v>
      </c>
      <c r="G1631" s="1">
        <v>13000</v>
      </c>
      <c r="H1631" s="5">
        <f t="shared" si="28"/>
        <v>0</v>
      </c>
      <c r="I1631" s="1"/>
      <c r="J1631" s="1"/>
    </row>
    <row r="1632" spans="2:10" x14ac:dyDescent="0.2">
      <c r="B1632" s="1" t="s">
        <v>288</v>
      </c>
      <c r="C1632" s="32">
        <v>9669</v>
      </c>
      <c r="D1632" s="1">
        <v>13000</v>
      </c>
      <c r="E1632" s="1"/>
      <c r="F1632" s="1">
        <v>144</v>
      </c>
      <c r="G1632" s="1">
        <v>13000</v>
      </c>
      <c r="H1632" s="5">
        <f t="shared" si="28"/>
        <v>0</v>
      </c>
      <c r="I1632" s="1"/>
      <c r="J1632" s="1"/>
    </row>
    <row r="1633" spans="2:10" x14ac:dyDescent="0.2">
      <c r="B1633" s="1" t="s">
        <v>288</v>
      </c>
      <c r="C1633" s="32">
        <v>6012</v>
      </c>
      <c r="D1633" s="1">
        <v>14000</v>
      </c>
      <c r="E1633" s="1"/>
      <c r="F1633" s="1">
        <v>155</v>
      </c>
      <c r="G1633" s="1">
        <v>14000</v>
      </c>
      <c r="H1633" s="5">
        <f t="shared" si="28"/>
        <v>0</v>
      </c>
      <c r="I1633" s="1"/>
      <c r="J1633" s="1"/>
    </row>
    <row r="1634" spans="2:10" x14ac:dyDescent="0.2">
      <c r="B1634" s="1" t="s">
        <v>288</v>
      </c>
      <c r="C1634" s="32">
        <v>5920</v>
      </c>
      <c r="D1634" s="1">
        <v>13000</v>
      </c>
      <c r="E1634" s="1"/>
      <c r="F1634" s="1">
        <v>144</v>
      </c>
      <c r="G1634" s="1">
        <v>13000</v>
      </c>
      <c r="H1634" s="5">
        <f t="shared" si="28"/>
        <v>0</v>
      </c>
      <c r="I1634" s="1"/>
      <c r="J1634" s="1"/>
    </row>
    <row r="1635" spans="2:10" x14ac:dyDescent="0.2">
      <c r="B1635" s="1" t="s">
        <v>288</v>
      </c>
      <c r="C1635" s="32">
        <v>4740</v>
      </c>
      <c r="D1635" s="1">
        <v>16000</v>
      </c>
      <c r="E1635" s="1"/>
      <c r="F1635" s="1">
        <v>178</v>
      </c>
      <c r="G1635" s="1">
        <v>16000</v>
      </c>
      <c r="H1635" s="5">
        <f t="shared" si="28"/>
        <v>0</v>
      </c>
      <c r="I1635" s="1"/>
      <c r="J1635" s="1"/>
    </row>
    <row r="1636" spans="2:10" x14ac:dyDescent="0.2">
      <c r="B1636" s="1" t="s">
        <v>288</v>
      </c>
      <c r="C1636" s="32" t="s">
        <v>66</v>
      </c>
      <c r="D1636" s="1">
        <v>200</v>
      </c>
      <c r="E1636" s="1"/>
      <c r="F1636" s="1">
        <v>2.08</v>
      </c>
      <c r="G1636" s="1">
        <v>200</v>
      </c>
      <c r="H1636" s="5">
        <f t="shared" si="28"/>
        <v>0</v>
      </c>
      <c r="I1636" s="1"/>
      <c r="J1636" s="1"/>
    </row>
    <row r="1637" spans="2:10" x14ac:dyDescent="0.2">
      <c r="B1637" s="1" t="s">
        <v>288</v>
      </c>
      <c r="C1637" s="32">
        <v>9869</v>
      </c>
      <c r="D1637" s="1">
        <v>15000</v>
      </c>
      <c r="E1637" s="1"/>
      <c r="F1637" s="1">
        <v>167</v>
      </c>
      <c r="G1637" s="1">
        <v>15000</v>
      </c>
      <c r="H1637" s="5">
        <f t="shared" si="28"/>
        <v>0</v>
      </c>
      <c r="I1637" s="1"/>
      <c r="J1637" s="1"/>
    </row>
    <row r="1638" spans="2:10" x14ac:dyDescent="0.2">
      <c r="B1638" s="1" t="s">
        <v>288</v>
      </c>
      <c r="C1638" s="32">
        <v>876</v>
      </c>
      <c r="D1638" s="1">
        <v>16000</v>
      </c>
      <c r="E1638" s="1"/>
      <c r="F1638" s="1">
        <v>178</v>
      </c>
      <c r="G1638" s="1">
        <v>16000</v>
      </c>
      <c r="H1638" s="5">
        <f t="shared" si="28"/>
        <v>0</v>
      </c>
      <c r="I1638" s="1"/>
      <c r="J1638" s="1"/>
    </row>
    <row r="1639" spans="2:10" x14ac:dyDescent="0.2">
      <c r="B1639" s="1" t="s">
        <v>288</v>
      </c>
      <c r="C1639" s="32">
        <v>6529</v>
      </c>
      <c r="D1639" s="1">
        <v>18000</v>
      </c>
      <c r="E1639" s="1"/>
      <c r="F1639" s="1">
        <v>200.53</v>
      </c>
      <c r="G1639" s="1">
        <v>18000</v>
      </c>
      <c r="H1639" s="5">
        <f t="shared" si="28"/>
        <v>0</v>
      </c>
      <c r="I1639" s="1"/>
      <c r="J1639" s="1"/>
    </row>
    <row r="1640" spans="2:10" x14ac:dyDescent="0.2">
      <c r="B1640" s="1" t="s">
        <v>288</v>
      </c>
      <c r="C1640" s="32">
        <v>319</v>
      </c>
      <c r="D1640" s="1">
        <v>20000</v>
      </c>
      <c r="E1640" s="1"/>
      <c r="F1640" s="1">
        <v>222.82</v>
      </c>
      <c r="G1640" s="1">
        <v>20000</v>
      </c>
      <c r="H1640" s="5">
        <f t="shared" si="28"/>
        <v>0</v>
      </c>
      <c r="I1640" s="1"/>
      <c r="J1640" s="1"/>
    </row>
    <row r="1641" spans="2:10" x14ac:dyDescent="0.2">
      <c r="B1641" s="1" t="s">
        <v>288</v>
      </c>
      <c r="C1641" s="32">
        <v>6356</v>
      </c>
      <c r="D1641" s="1">
        <v>24000</v>
      </c>
      <c r="E1641" s="1"/>
      <c r="F1641" s="1">
        <v>260</v>
      </c>
      <c r="G1641" s="1">
        <v>24000</v>
      </c>
      <c r="H1641" s="5">
        <f t="shared" si="28"/>
        <v>0</v>
      </c>
      <c r="I1641" s="1"/>
      <c r="J1641" s="1"/>
    </row>
    <row r="1642" spans="2:10" x14ac:dyDescent="0.2">
      <c r="B1642" s="1" t="s">
        <v>288</v>
      </c>
      <c r="C1642" s="32">
        <v>7482</v>
      </c>
      <c r="D1642" s="1">
        <v>26000</v>
      </c>
      <c r="E1642" s="1"/>
      <c r="F1642" s="1">
        <v>289</v>
      </c>
      <c r="G1642" s="1">
        <v>26000</v>
      </c>
      <c r="H1642" s="5">
        <f t="shared" si="28"/>
        <v>0</v>
      </c>
      <c r="I1642" s="1"/>
      <c r="J1642" s="1"/>
    </row>
    <row r="1643" spans="2:10" x14ac:dyDescent="0.2">
      <c r="B1643" s="1" t="s">
        <v>288</v>
      </c>
      <c r="C1643" s="32">
        <v>6165</v>
      </c>
      <c r="D1643" s="1">
        <v>30000</v>
      </c>
      <c r="E1643" s="1"/>
      <c r="F1643" s="1">
        <v>334.82</v>
      </c>
      <c r="G1643" s="1">
        <v>30000</v>
      </c>
      <c r="H1643" s="5">
        <f t="shared" si="28"/>
        <v>0</v>
      </c>
      <c r="I1643" s="1"/>
      <c r="J1643" s="1"/>
    </row>
    <row r="1644" spans="2:10" x14ac:dyDescent="0.2">
      <c r="B1644" s="1" t="s">
        <v>288</v>
      </c>
      <c r="C1644" s="32" t="s">
        <v>66</v>
      </c>
      <c r="D1644" s="1">
        <v>200</v>
      </c>
      <c r="E1644" s="1"/>
      <c r="F1644" s="1">
        <v>2.08</v>
      </c>
      <c r="G1644" s="1">
        <v>200</v>
      </c>
      <c r="H1644" s="5">
        <f t="shared" si="28"/>
        <v>0</v>
      </c>
      <c r="I1644" s="1"/>
      <c r="J1644" s="1"/>
    </row>
    <row r="1645" spans="2:10" x14ac:dyDescent="0.2">
      <c r="B1645" s="1" t="s">
        <v>289</v>
      </c>
      <c r="C1645" s="32">
        <v>4626</v>
      </c>
      <c r="D1645" s="1">
        <v>13000</v>
      </c>
      <c r="E1645" s="1"/>
      <c r="F1645" s="1">
        <v>144</v>
      </c>
      <c r="G1645" s="1">
        <v>13000</v>
      </c>
      <c r="H1645" s="5">
        <f t="shared" si="28"/>
        <v>0</v>
      </c>
      <c r="I1645" s="1"/>
      <c r="J1645" s="1"/>
    </row>
    <row r="1646" spans="2:10" x14ac:dyDescent="0.2">
      <c r="B1646" s="1" t="s">
        <v>289</v>
      </c>
      <c r="C1646" s="32">
        <v>645</v>
      </c>
      <c r="D1646" s="1">
        <v>5000</v>
      </c>
      <c r="E1646" s="1"/>
      <c r="F1646" s="1">
        <v>55.7</v>
      </c>
      <c r="G1646" s="1">
        <v>5000</v>
      </c>
      <c r="H1646" s="5">
        <f t="shared" si="28"/>
        <v>0</v>
      </c>
      <c r="I1646" s="1"/>
      <c r="J1646" s="1"/>
    </row>
    <row r="1647" spans="2:10" x14ac:dyDescent="0.2">
      <c r="B1647" s="1" t="s">
        <v>289</v>
      </c>
      <c r="C1647" s="32" t="s">
        <v>30</v>
      </c>
      <c r="D1647" s="1">
        <v>4500</v>
      </c>
      <c r="E1647" s="1"/>
      <c r="F1647" s="1">
        <v>50.13</v>
      </c>
      <c r="G1647" s="1">
        <v>4500</v>
      </c>
      <c r="H1647" s="5">
        <f t="shared" si="28"/>
        <v>0</v>
      </c>
      <c r="I1647" s="1"/>
      <c r="J1647" s="1"/>
    </row>
    <row r="1648" spans="2:10" x14ac:dyDescent="0.2">
      <c r="B1648" s="1" t="s">
        <v>289</v>
      </c>
      <c r="C1648" s="32">
        <v>934</v>
      </c>
      <c r="D1648" s="1">
        <v>15000</v>
      </c>
      <c r="E1648" s="1"/>
      <c r="F1648" s="1">
        <v>167</v>
      </c>
      <c r="G1648" s="1">
        <v>15000</v>
      </c>
      <c r="H1648" s="5">
        <f t="shared" si="28"/>
        <v>0</v>
      </c>
      <c r="I1648" s="1"/>
      <c r="J1648" s="1"/>
    </row>
    <row r="1649" spans="2:10" x14ac:dyDescent="0.2">
      <c r="B1649" s="1" t="s">
        <v>289</v>
      </c>
      <c r="C1649" s="32">
        <v>7785</v>
      </c>
      <c r="D1649" s="1">
        <v>20000</v>
      </c>
      <c r="E1649" s="1"/>
      <c r="F1649" s="1">
        <v>222</v>
      </c>
      <c r="G1649" s="1">
        <v>20000</v>
      </c>
      <c r="H1649" s="5">
        <f t="shared" si="28"/>
        <v>0</v>
      </c>
      <c r="I1649" s="1"/>
      <c r="J1649" s="1"/>
    </row>
    <row r="1650" spans="2:10" x14ac:dyDescent="0.2">
      <c r="B1650" s="1" t="s">
        <v>289</v>
      </c>
      <c r="C1650" s="32">
        <v>9607</v>
      </c>
      <c r="D1650" s="1">
        <v>30000</v>
      </c>
      <c r="E1650" s="1"/>
      <c r="F1650" s="1">
        <v>333</v>
      </c>
      <c r="G1650" s="1">
        <v>30000</v>
      </c>
      <c r="H1650" s="5">
        <f t="shared" si="28"/>
        <v>0</v>
      </c>
      <c r="I1650" s="1"/>
      <c r="J1650" s="1"/>
    </row>
    <row r="1651" spans="2:10" x14ac:dyDescent="0.2">
      <c r="B1651" s="1" t="s">
        <v>289</v>
      </c>
      <c r="C1651" s="32">
        <v>1735</v>
      </c>
      <c r="D1651" s="1">
        <v>20000</v>
      </c>
      <c r="E1651" s="1"/>
      <c r="F1651" s="1">
        <v>222</v>
      </c>
      <c r="G1651" s="1">
        <v>20000</v>
      </c>
      <c r="H1651" s="5">
        <f t="shared" si="28"/>
        <v>0</v>
      </c>
      <c r="I1651" s="1"/>
      <c r="J1651" s="1"/>
    </row>
    <row r="1652" spans="2:10" x14ac:dyDescent="0.2">
      <c r="B1652" s="1" t="s">
        <v>289</v>
      </c>
      <c r="C1652" s="32">
        <v>4826</v>
      </c>
      <c r="D1652" s="1">
        <v>20000</v>
      </c>
      <c r="E1652" s="1"/>
      <c r="F1652" s="1">
        <v>222</v>
      </c>
      <c r="G1652" s="1">
        <v>20000</v>
      </c>
      <c r="H1652" s="5">
        <f t="shared" si="28"/>
        <v>0</v>
      </c>
      <c r="I1652" s="1"/>
      <c r="J1652" s="1"/>
    </row>
    <row r="1653" spans="2:10" x14ac:dyDescent="0.2">
      <c r="B1653" s="1" t="s">
        <v>289</v>
      </c>
      <c r="C1653" s="32">
        <v>1131</v>
      </c>
      <c r="D1653" s="1">
        <v>22000</v>
      </c>
      <c r="E1653" s="1"/>
      <c r="F1653" s="1">
        <v>245</v>
      </c>
      <c r="G1653" s="1">
        <v>22000</v>
      </c>
      <c r="H1653" s="5">
        <f t="shared" si="28"/>
        <v>0</v>
      </c>
      <c r="I1653" s="1"/>
      <c r="J1653" s="1"/>
    </row>
    <row r="1654" spans="2:10" x14ac:dyDescent="0.2">
      <c r="B1654" s="1" t="s">
        <v>289</v>
      </c>
      <c r="C1654" s="32">
        <v>1000</v>
      </c>
      <c r="D1654" s="1">
        <v>25000</v>
      </c>
      <c r="E1654" s="1"/>
      <c r="F1654" s="1">
        <v>278</v>
      </c>
      <c r="G1654" s="1">
        <v>25000</v>
      </c>
      <c r="H1654" s="5">
        <f t="shared" si="28"/>
        <v>0</v>
      </c>
      <c r="I1654" s="1"/>
      <c r="J1654" s="1"/>
    </row>
    <row r="1655" spans="2:10" x14ac:dyDescent="0.2">
      <c r="B1655" s="1" t="s">
        <v>289</v>
      </c>
      <c r="C1655" s="32">
        <v>975</v>
      </c>
      <c r="D1655" s="1">
        <v>25000</v>
      </c>
      <c r="E1655" s="1"/>
      <c r="F1655" s="1">
        <v>278</v>
      </c>
      <c r="G1655" s="1">
        <v>25000</v>
      </c>
      <c r="H1655" s="5">
        <f t="shared" si="28"/>
        <v>0</v>
      </c>
      <c r="I1655" s="1"/>
      <c r="J1655" s="1"/>
    </row>
    <row r="1656" spans="2:10" x14ac:dyDescent="0.2">
      <c r="B1656" s="1" t="s">
        <v>289</v>
      </c>
      <c r="C1656" s="32">
        <v>5132</v>
      </c>
      <c r="D1656" s="1">
        <v>15000</v>
      </c>
      <c r="E1656" s="1"/>
      <c r="F1656" s="1">
        <v>167.11</v>
      </c>
      <c r="G1656" s="1">
        <v>15000</v>
      </c>
      <c r="H1656" s="5">
        <f t="shared" si="28"/>
        <v>0</v>
      </c>
      <c r="I1656" s="1"/>
      <c r="J1656" s="1"/>
    </row>
    <row r="1657" spans="2:10" x14ac:dyDescent="0.2">
      <c r="B1657" s="1" t="s">
        <v>289</v>
      </c>
      <c r="C1657" s="32">
        <v>647</v>
      </c>
      <c r="D1657" s="1">
        <v>13000</v>
      </c>
      <c r="E1657" s="1"/>
      <c r="F1657" s="1">
        <v>144</v>
      </c>
      <c r="G1657" s="1">
        <v>13000</v>
      </c>
      <c r="H1657" s="5">
        <f t="shared" si="28"/>
        <v>0</v>
      </c>
      <c r="I1657" s="1"/>
      <c r="J1657" s="1"/>
    </row>
    <row r="1658" spans="2:10" x14ac:dyDescent="0.2">
      <c r="B1658" s="1" t="s">
        <v>289</v>
      </c>
      <c r="C1658" s="32">
        <v>3131</v>
      </c>
      <c r="D1658" s="1">
        <v>15000</v>
      </c>
      <c r="E1658" s="1"/>
      <c r="F1658" s="1">
        <v>167</v>
      </c>
      <c r="G1658" s="1">
        <v>15000</v>
      </c>
      <c r="H1658" s="5">
        <f t="shared" si="28"/>
        <v>0</v>
      </c>
      <c r="I1658" s="1"/>
      <c r="J1658" s="1"/>
    </row>
    <row r="1659" spans="2:10" x14ac:dyDescent="0.2">
      <c r="B1659" s="1" t="s">
        <v>289</v>
      </c>
      <c r="C1659" s="32">
        <v>3971</v>
      </c>
      <c r="D1659" s="1">
        <v>20000</v>
      </c>
      <c r="E1659" s="1"/>
      <c r="F1659" s="1">
        <v>222</v>
      </c>
      <c r="G1659" s="1">
        <v>20000</v>
      </c>
      <c r="H1659" s="5">
        <f t="shared" si="28"/>
        <v>0</v>
      </c>
      <c r="I1659" s="1"/>
      <c r="J1659" s="1"/>
    </row>
    <row r="1660" spans="2:10" x14ac:dyDescent="0.2">
      <c r="B1660" s="1" t="s">
        <v>289</v>
      </c>
      <c r="C1660" s="32">
        <v>4155</v>
      </c>
      <c r="D1660" s="1">
        <v>17000</v>
      </c>
      <c r="E1660" s="1"/>
      <c r="F1660" s="1">
        <v>189</v>
      </c>
      <c r="G1660" s="1">
        <v>17000</v>
      </c>
      <c r="H1660" s="5">
        <f t="shared" si="28"/>
        <v>0</v>
      </c>
      <c r="I1660" s="1"/>
      <c r="J1660" s="1"/>
    </row>
    <row r="1661" spans="2:10" x14ac:dyDescent="0.2">
      <c r="B1661" s="1" t="s">
        <v>290</v>
      </c>
      <c r="C1661" s="32">
        <v>5798</v>
      </c>
      <c r="D1661" s="1">
        <v>25000</v>
      </c>
      <c r="E1661" s="1"/>
      <c r="F1661" s="1">
        <v>278</v>
      </c>
      <c r="G1661" s="1">
        <v>25000</v>
      </c>
      <c r="H1661" s="5">
        <f t="shared" si="28"/>
        <v>0</v>
      </c>
      <c r="I1661" s="1"/>
      <c r="J1661" s="1"/>
    </row>
    <row r="1662" spans="2:10" x14ac:dyDescent="0.2">
      <c r="B1662" s="1" t="s">
        <v>290</v>
      </c>
      <c r="C1662" s="32" t="s">
        <v>63</v>
      </c>
      <c r="D1662" s="1">
        <v>3500</v>
      </c>
      <c r="E1662" s="1"/>
      <c r="F1662" s="1">
        <v>38.99</v>
      </c>
      <c r="G1662" s="1">
        <v>3500</v>
      </c>
      <c r="H1662" s="5">
        <f t="shared" si="28"/>
        <v>0</v>
      </c>
      <c r="I1662" s="1"/>
      <c r="J1662" s="1"/>
    </row>
    <row r="1663" spans="2:10" x14ac:dyDescent="0.2">
      <c r="B1663" s="1" t="s">
        <v>290</v>
      </c>
      <c r="C1663" s="32">
        <v>889</v>
      </c>
      <c r="D1663" s="1">
        <v>13000</v>
      </c>
      <c r="E1663" s="1"/>
      <c r="F1663" s="1">
        <v>144</v>
      </c>
      <c r="G1663" s="1">
        <v>13000</v>
      </c>
      <c r="H1663" s="5">
        <f t="shared" si="28"/>
        <v>0</v>
      </c>
      <c r="I1663" s="1"/>
      <c r="J1663" s="1"/>
    </row>
    <row r="1664" spans="2:10" x14ac:dyDescent="0.2">
      <c r="B1664" s="1" t="s">
        <v>290</v>
      </c>
      <c r="C1664" s="32" t="s">
        <v>30</v>
      </c>
      <c r="D1664" s="1">
        <v>5000</v>
      </c>
      <c r="E1664" s="1"/>
      <c r="F1664" s="1">
        <v>55</v>
      </c>
      <c r="G1664" s="1">
        <v>5000</v>
      </c>
      <c r="H1664" s="5">
        <f t="shared" si="28"/>
        <v>0</v>
      </c>
      <c r="I1664" s="1"/>
      <c r="J1664" s="1"/>
    </row>
    <row r="1665" spans="2:10" x14ac:dyDescent="0.2">
      <c r="B1665" s="1" t="s">
        <v>290</v>
      </c>
      <c r="C1665" s="32">
        <v>7020</v>
      </c>
      <c r="D1665" s="1">
        <v>18000</v>
      </c>
      <c r="E1665" s="1"/>
      <c r="F1665" s="1">
        <v>200</v>
      </c>
      <c r="G1665" s="1">
        <v>18000</v>
      </c>
      <c r="H1665" s="5">
        <f t="shared" si="28"/>
        <v>0</v>
      </c>
      <c r="I1665" s="1"/>
      <c r="J1665" s="1"/>
    </row>
    <row r="1666" spans="2:10" x14ac:dyDescent="0.2">
      <c r="B1666" s="1" t="s">
        <v>290</v>
      </c>
      <c r="C1666" s="32">
        <v>5688</v>
      </c>
      <c r="D1666" s="1">
        <v>6000</v>
      </c>
      <c r="E1666" s="1"/>
      <c r="F1666" s="1">
        <v>66.84</v>
      </c>
      <c r="G1666" s="1">
        <v>6000</v>
      </c>
      <c r="H1666" s="5">
        <f t="shared" si="28"/>
        <v>0</v>
      </c>
      <c r="I1666" s="1"/>
      <c r="J1666" s="1"/>
    </row>
    <row r="1667" spans="2:10" x14ac:dyDescent="0.2">
      <c r="B1667" s="1" t="s">
        <v>290</v>
      </c>
      <c r="C1667" s="32">
        <v>9713</v>
      </c>
      <c r="D1667" s="1">
        <v>10000</v>
      </c>
      <c r="E1667" s="1"/>
      <c r="F1667" s="1">
        <v>111.41</v>
      </c>
      <c r="G1667" s="1">
        <v>10000</v>
      </c>
      <c r="H1667" s="5">
        <f t="shared" si="28"/>
        <v>0</v>
      </c>
      <c r="I1667" s="1"/>
      <c r="J1667" s="1"/>
    </row>
    <row r="1668" spans="2:10" x14ac:dyDescent="0.2">
      <c r="B1668" s="1" t="s">
        <v>290</v>
      </c>
      <c r="C1668" s="32">
        <v>6333</v>
      </c>
      <c r="D1668" s="1">
        <v>18000</v>
      </c>
      <c r="E1668" s="1"/>
      <c r="F1668" s="1">
        <v>200.53</v>
      </c>
      <c r="G1668" s="1">
        <v>18000</v>
      </c>
      <c r="H1668" s="5">
        <f t="shared" si="28"/>
        <v>0</v>
      </c>
      <c r="I1668" s="1"/>
      <c r="J1668" s="1"/>
    </row>
    <row r="1669" spans="2:10" x14ac:dyDescent="0.2">
      <c r="B1669" s="1" t="s">
        <v>290</v>
      </c>
      <c r="C1669" s="32">
        <v>8442</v>
      </c>
      <c r="D1669" s="1">
        <v>18000</v>
      </c>
      <c r="E1669" s="1"/>
      <c r="F1669" s="1">
        <v>200.53</v>
      </c>
      <c r="G1669" s="1">
        <v>18000</v>
      </c>
      <c r="H1669" s="5">
        <f t="shared" si="28"/>
        <v>0</v>
      </c>
      <c r="I1669" s="1"/>
      <c r="J1669" s="1"/>
    </row>
    <row r="1670" spans="2:10" x14ac:dyDescent="0.2">
      <c r="B1670" s="1" t="s">
        <v>290</v>
      </c>
      <c r="C1670" s="32">
        <v>8531</v>
      </c>
      <c r="D1670" s="1">
        <v>20000</v>
      </c>
      <c r="E1670" s="1"/>
      <c r="F1670" s="1">
        <v>222.82</v>
      </c>
      <c r="G1670" s="1">
        <v>20000</v>
      </c>
      <c r="H1670" s="5">
        <f t="shared" si="28"/>
        <v>0</v>
      </c>
      <c r="I1670" s="1"/>
      <c r="J1670" s="1"/>
    </row>
    <row r="1671" spans="2:10" x14ac:dyDescent="0.2">
      <c r="B1671" s="1" t="s">
        <v>290</v>
      </c>
      <c r="C1671" s="32">
        <v>1844</v>
      </c>
      <c r="D1671" s="1">
        <v>20000</v>
      </c>
      <c r="E1671" s="1"/>
      <c r="F1671" s="1">
        <v>222.82</v>
      </c>
      <c r="G1671" s="1">
        <v>20000</v>
      </c>
      <c r="H1671" s="5">
        <f t="shared" ref="H1671:H1734" si="29">D1671-G1671</f>
        <v>0</v>
      </c>
      <c r="I1671" s="1"/>
      <c r="J1671" s="1"/>
    </row>
    <row r="1672" spans="2:10" x14ac:dyDescent="0.2">
      <c r="B1672" s="1" t="s">
        <v>290</v>
      </c>
      <c r="C1672" s="32">
        <v>5100</v>
      </c>
      <c r="D1672" s="1">
        <v>20000</v>
      </c>
      <c r="E1672" s="1"/>
      <c r="F1672" s="1">
        <v>222.82</v>
      </c>
      <c r="G1672" s="1">
        <v>20000</v>
      </c>
      <c r="H1672" s="5">
        <f t="shared" si="29"/>
        <v>0</v>
      </c>
      <c r="I1672" s="1"/>
      <c r="J1672" s="1"/>
    </row>
    <row r="1673" spans="2:10" x14ac:dyDescent="0.2">
      <c r="B1673" s="1" t="s">
        <v>290</v>
      </c>
      <c r="C1673" s="32">
        <v>3923</v>
      </c>
      <c r="D1673" s="1">
        <v>20000</v>
      </c>
      <c r="E1673" s="1"/>
      <c r="F1673" s="1">
        <v>222.82</v>
      </c>
      <c r="G1673" s="1">
        <v>20000</v>
      </c>
      <c r="H1673" s="5">
        <f t="shared" si="29"/>
        <v>0</v>
      </c>
      <c r="I1673" s="1"/>
      <c r="J1673" s="1"/>
    </row>
    <row r="1674" spans="2:10" x14ac:dyDescent="0.2">
      <c r="B1674" s="1" t="s">
        <v>291</v>
      </c>
      <c r="C1674" s="32" t="s">
        <v>66</v>
      </c>
      <c r="D1674" s="1">
        <v>200</v>
      </c>
      <c r="E1674" s="1"/>
      <c r="F1674" s="1">
        <v>2.08</v>
      </c>
      <c r="G1674" s="1">
        <v>200</v>
      </c>
      <c r="H1674" s="5">
        <f t="shared" si="29"/>
        <v>0</v>
      </c>
      <c r="I1674" s="1"/>
      <c r="J1674" s="1"/>
    </row>
    <row r="1675" spans="2:10" x14ac:dyDescent="0.2">
      <c r="B1675" s="1" t="s">
        <v>291</v>
      </c>
      <c r="C1675" s="32">
        <v>3935</v>
      </c>
      <c r="D1675" s="1">
        <v>20000</v>
      </c>
      <c r="E1675" s="1"/>
      <c r="F1675" s="1">
        <v>222.82</v>
      </c>
      <c r="G1675" s="1">
        <v>20000</v>
      </c>
      <c r="H1675" s="5">
        <f t="shared" si="29"/>
        <v>0</v>
      </c>
      <c r="I1675" s="1"/>
      <c r="J1675" s="1"/>
    </row>
    <row r="1676" spans="2:10" x14ac:dyDescent="0.2">
      <c r="B1676" s="1" t="s">
        <v>291</v>
      </c>
      <c r="C1676" s="32">
        <v>4028</v>
      </c>
      <c r="D1676" s="1">
        <v>20000</v>
      </c>
      <c r="E1676" s="1"/>
      <c r="F1676" s="1">
        <v>222.82</v>
      </c>
      <c r="G1676" s="1">
        <v>20000</v>
      </c>
      <c r="H1676" s="5">
        <f t="shared" si="29"/>
        <v>0</v>
      </c>
      <c r="I1676" s="1"/>
      <c r="J1676" s="1"/>
    </row>
    <row r="1677" spans="2:10" x14ac:dyDescent="0.2">
      <c r="B1677" s="1" t="s">
        <v>291</v>
      </c>
      <c r="C1677" s="32">
        <v>8655</v>
      </c>
      <c r="D1677" s="1">
        <v>20000</v>
      </c>
      <c r="E1677" s="1"/>
      <c r="F1677" s="1">
        <v>222.82</v>
      </c>
      <c r="G1677" s="1">
        <v>20000</v>
      </c>
      <c r="H1677" s="5">
        <f t="shared" si="29"/>
        <v>0</v>
      </c>
      <c r="I1677" s="1"/>
      <c r="J1677" s="1"/>
    </row>
    <row r="1678" spans="2:10" x14ac:dyDescent="0.2">
      <c r="B1678" s="1" t="s">
        <v>291</v>
      </c>
      <c r="C1678" s="32">
        <v>1121</v>
      </c>
      <c r="D1678" s="1">
        <v>20000</v>
      </c>
      <c r="E1678" s="1"/>
      <c r="F1678" s="1">
        <v>222.82</v>
      </c>
      <c r="G1678" s="1">
        <v>20000</v>
      </c>
      <c r="H1678" s="5">
        <f t="shared" si="29"/>
        <v>0</v>
      </c>
      <c r="I1678" s="1"/>
      <c r="J1678" s="1"/>
    </row>
    <row r="1679" spans="2:10" x14ac:dyDescent="0.2">
      <c r="B1679" s="1" t="s">
        <v>291</v>
      </c>
      <c r="C1679" s="32">
        <v>1068</v>
      </c>
      <c r="D1679" s="1">
        <v>30000</v>
      </c>
      <c r="E1679" s="1"/>
      <c r="F1679" s="1">
        <v>334.22</v>
      </c>
      <c r="G1679" s="1">
        <v>30000</v>
      </c>
      <c r="H1679" s="5">
        <f t="shared" si="29"/>
        <v>0</v>
      </c>
      <c r="I1679" s="1"/>
      <c r="J1679" s="1"/>
    </row>
    <row r="1680" spans="2:10" x14ac:dyDescent="0.2">
      <c r="B1680" s="1" t="s">
        <v>291</v>
      </c>
      <c r="C1680" s="32">
        <v>302</v>
      </c>
      <c r="D1680" s="1">
        <v>25000</v>
      </c>
      <c r="E1680" s="1"/>
      <c r="F1680" s="1">
        <v>278.52</v>
      </c>
      <c r="G1680" s="1">
        <v>25000</v>
      </c>
      <c r="H1680" s="5">
        <f t="shared" si="29"/>
        <v>0</v>
      </c>
      <c r="I1680" s="1"/>
      <c r="J1680" s="1"/>
    </row>
    <row r="1681" spans="2:10" x14ac:dyDescent="0.2">
      <c r="B1681" s="1" t="s">
        <v>291</v>
      </c>
      <c r="C1681" s="32">
        <v>7121</v>
      </c>
      <c r="D1681" s="1">
        <v>16000</v>
      </c>
      <c r="E1681" s="1"/>
      <c r="F1681" s="1">
        <v>178</v>
      </c>
      <c r="G1681" s="1">
        <v>16000</v>
      </c>
      <c r="H1681" s="5">
        <f t="shared" si="29"/>
        <v>0</v>
      </c>
      <c r="I1681" s="1"/>
      <c r="J1681" s="1"/>
    </row>
    <row r="1682" spans="2:10" x14ac:dyDescent="0.2">
      <c r="B1682" s="1" t="s">
        <v>291</v>
      </c>
      <c r="C1682" s="32">
        <v>2952</v>
      </c>
      <c r="D1682" s="1">
        <v>12000</v>
      </c>
      <c r="E1682" s="1"/>
      <c r="F1682" s="1">
        <v>133</v>
      </c>
      <c r="G1682" s="1">
        <v>12000</v>
      </c>
      <c r="H1682" s="5">
        <f t="shared" si="29"/>
        <v>0</v>
      </c>
      <c r="I1682" s="1"/>
      <c r="J1682" s="1"/>
    </row>
    <row r="1683" spans="2:10" x14ac:dyDescent="0.2">
      <c r="B1683" s="1" t="s">
        <v>292</v>
      </c>
      <c r="C1683" s="85">
        <v>9398</v>
      </c>
      <c r="D1683" s="1">
        <v>16600</v>
      </c>
      <c r="E1683" s="1"/>
      <c r="F1683" s="1">
        <v>184</v>
      </c>
      <c r="G1683" s="1">
        <v>16600</v>
      </c>
      <c r="H1683" s="5">
        <f t="shared" si="29"/>
        <v>0</v>
      </c>
      <c r="I1683" s="1"/>
      <c r="J1683" s="1"/>
    </row>
    <row r="1684" spans="2:10" x14ac:dyDescent="0.2">
      <c r="B1684" s="1" t="s">
        <v>292</v>
      </c>
      <c r="C1684" s="32">
        <v>9250</v>
      </c>
      <c r="D1684" s="1">
        <v>26800</v>
      </c>
      <c r="E1684" s="1"/>
      <c r="F1684" s="1">
        <v>298</v>
      </c>
      <c r="G1684" s="1">
        <v>26800</v>
      </c>
      <c r="H1684" s="5">
        <f t="shared" si="29"/>
        <v>0</v>
      </c>
      <c r="I1684" s="1"/>
      <c r="J1684" s="1"/>
    </row>
    <row r="1685" spans="2:10" x14ac:dyDescent="0.2">
      <c r="B1685" s="1" t="s">
        <v>292</v>
      </c>
      <c r="C1685" s="32">
        <v>4625</v>
      </c>
      <c r="D1685" s="1">
        <v>13000</v>
      </c>
      <c r="E1685" s="1"/>
      <c r="F1685" s="1">
        <v>144</v>
      </c>
      <c r="G1685" s="1">
        <v>13000</v>
      </c>
      <c r="H1685" s="5">
        <f t="shared" si="29"/>
        <v>0</v>
      </c>
      <c r="I1685" s="1"/>
      <c r="J1685" s="1"/>
    </row>
    <row r="1686" spans="2:10" x14ac:dyDescent="0.2">
      <c r="B1686" s="1" t="s">
        <v>292</v>
      </c>
      <c r="C1686" s="32" t="s">
        <v>63</v>
      </c>
      <c r="D1686" s="1">
        <v>3010</v>
      </c>
      <c r="E1686" s="1"/>
      <c r="F1686" s="1">
        <v>33.340000000000003</v>
      </c>
      <c r="G1686" s="1">
        <v>3010</v>
      </c>
      <c r="H1686" s="5">
        <f t="shared" si="29"/>
        <v>0</v>
      </c>
      <c r="I1686" s="1"/>
      <c r="J1686" s="1"/>
    </row>
    <row r="1687" spans="2:10" x14ac:dyDescent="0.2">
      <c r="B1687" s="1" t="s">
        <v>292</v>
      </c>
      <c r="C1687" s="32">
        <v>563</v>
      </c>
      <c r="D1687" s="1">
        <v>14000</v>
      </c>
      <c r="E1687" s="1"/>
      <c r="F1687" s="1">
        <v>155</v>
      </c>
      <c r="G1687" s="1">
        <v>14000</v>
      </c>
      <c r="H1687" s="5">
        <f t="shared" si="29"/>
        <v>0</v>
      </c>
      <c r="I1687" s="1"/>
      <c r="J1687" s="1"/>
    </row>
    <row r="1688" spans="2:10" x14ac:dyDescent="0.2">
      <c r="B1688" s="1" t="s">
        <v>292</v>
      </c>
      <c r="C1688" s="32">
        <v>1216</v>
      </c>
      <c r="D1688" s="1">
        <v>18000</v>
      </c>
      <c r="E1688" s="1"/>
      <c r="F1688" s="1">
        <v>200.83</v>
      </c>
      <c r="G1688" s="1">
        <v>18000</v>
      </c>
      <c r="H1688" s="5">
        <f t="shared" si="29"/>
        <v>0</v>
      </c>
      <c r="I1688" s="1"/>
      <c r="J1688" s="1"/>
    </row>
    <row r="1689" spans="2:10" x14ac:dyDescent="0.2">
      <c r="B1689" s="1" t="s">
        <v>292</v>
      </c>
      <c r="C1689" s="32" t="s">
        <v>30</v>
      </c>
      <c r="D1689" s="1">
        <v>4500</v>
      </c>
      <c r="E1689" s="1"/>
      <c r="F1689" s="1">
        <v>50.13</v>
      </c>
      <c r="G1689" s="1">
        <v>4500</v>
      </c>
      <c r="H1689" s="5">
        <f t="shared" si="29"/>
        <v>0</v>
      </c>
      <c r="I1689" s="1"/>
      <c r="J1689" s="1"/>
    </row>
    <row r="1690" spans="2:10" x14ac:dyDescent="0.2">
      <c r="B1690" s="1" t="s">
        <v>292</v>
      </c>
      <c r="C1690" s="32">
        <v>4627</v>
      </c>
      <c r="D1690" s="1">
        <v>13000</v>
      </c>
      <c r="E1690" s="1"/>
      <c r="F1690" s="1">
        <v>144</v>
      </c>
      <c r="G1690" s="1">
        <v>13000</v>
      </c>
      <c r="H1690" s="5">
        <f t="shared" si="29"/>
        <v>0</v>
      </c>
      <c r="I1690" s="1"/>
      <c r="J1690" s="1"/>
    </row>
    <row r="1691" spans="2:10" x14ac:dyDescent="0.2">
      <c r="B1691" s="1" t="s">
        <v>292</v>
      </c>
      <c r="C1691" s="32">
        <v>5906</v>
      </c>
      <c r="D1691" s="1">
        <v>13500</v>
      </c>
      <c r="E1691" s="1"/>
      <c r="F1691" s="1">
        <v>150</v>
      </c>
      <c r="G1691" s="1">
        <v>13500</v>
      </c>
      <c r="H1691" s="5">
        <f t="shared" si="29"/>
        <v>0</v>
      </c>
      <c r="I1691" s="1"/>
      <c r="J1691" s="1"/>
    </row>
    <row r="1692" spans="2:10" x14ac:dyDescent="0.2">
      <c r="B1692" s="1" t="s">
        <v>292</v>
      </c>
      <c r="C1692" s="32">
        <v>2995</v>
      </c>
      <c r="D1692" s="1">
        <v>18000</v>
      </c>
      <c r="E1692" s="1"/>
      <c r="F1692" s="1">
        <v>200.53</v>
      </c>
      <c r="G1692" s="1">
        <v>18000</v>
      </c>
      <c r="H1692" s="5">
        <f t="shared" si="29"/>
        <v>0</v>
      </c>
      <c r="I1692" s="1"/>
      <c r="J1692" s="1"/>
    </row>
    <row r="1693" spans="2:10" x14ac:dyDescent="0.2">
      <c r="B1693" s="1" t="s">
        <v>292</v>
      </c>
      <c r="C1693" s="32">
        <v>1352</v>
      </c>
      <c r="D1693" s="1">
        <v>13000</v>
      </c>
      <c r="E1693" s="1"/>
      <c r="F1693" s="1">
        <v>144</v>
      </c>
      <c r="G1693" s="1">
        <v>13000</v>
      </c>
      <c r="H1693" s="5">
        <f t="shared" si="29"/>
        <v>0</v>
      </c>
      <c r="I1693" s="1"/>
      <c r="J1693" s="1"/>
    </row>
    <row r="1694" spans="2:10" x14ac:dyDescent="0.2">
      <c r="B1694" s="1" t="s">
        <v>292</v>
      </c>
      <c r="C1694" s="32">
        <v>9291</v>
      </c>
      <c r="D1694" s="1">
        <v>20000</v>
      </c>
      <c r="E1694" s="1"/>
      <c r="F1694" s="1">
        <v>222.82</v>
      </c>
      <c r="G1694" s="1">
        <v>20000</v>
      </c>
      <c r="H1694" s="5">
        <f t="shared" si="29"/>
        <v>0</v>
      </c>
      <c r="I1694" s="1"/>
      <c r="J1694" s="1"/>
    </row>
    <row r="1695" spans="2:10" x14ac:dyDescent="0.2">
      <c r="B1695" s="1" t="s">
        <v>292</v>
      </c>
      <c r="C1695" s="32">
        <v>3518</v>
      </c>
      <c r="D1695" s="1">
        <v>20000</v>
      </c>
      <c r="E1695" s="1"/>
      <c r="F1695" s="1">
        <v>222.82</v>
      </c>
      <c r="G1695" s="1">
        <v>20000</v>
      </c>
      <c r="H1695" s="5">
        <f t="shared" si="29"/>
        <v>0</v>
      </c>
      <c r="I1695" s="1"/>
      <c r="J1695" s="1"/>
    </row>
    <row r="1696" spans="2:10" x14ac:dyDescent="0.2">
      <c r="B1696" s="1" t="s">
        <v>292</v>
      </c>
      <c r="C1696" s="32">
        <v>2623</v>
      </c>
      <c r="D1696" s="1">
        <v>20000</v>
      </c>
      <c r="E1696" s="1"/>
      <c r="F1696" s="1">
        <v>222.82</v>
      </c>
      <c r="G1696" s="1">
        <v>20000</v>
      </c>
      <c r="H1696" s="5">
        <f t="shared" si="29"/>
        <v>0</v>
      </c>
      <c r="I1696" s="1"/>
      <c r="J1696" s="1"/>
    </row>
    <row r="1697" spans="2:10" x14ac:dyDescent="0.2">
      <c r="B1697" s="1" t="s">
        <v>292</v>
      </c>
      <c r="C1697" s="32">
        <v>4374</v>
      </c>
      <c r="D1697" s="1">
        <v>20000</v>
      </c>
      <c r="E1697" s="1"/>
      <c r="F1697" s="1">
        <v>222.82</v>
      </c>
      <c r="G1697" s="1">
        <v>20000</v>
      </c>
      <c r="H1697" s="5">
        <f t="shared" si="29"/>
        <v>0</v>
      </c>
      <c r="I1697" s="1"/>
      <c r="J1697" s="1"/>
    </row>
    <row r="1698" spans="2:10" x14ac:dyDescent="0.2">
      <c r="B1698" s="1" t="s">
        <v>292</v>
      </c>
      <c r="C1698" s="32">
        <v>3604</v>
      </c>
      <c r="D1698" s="1">
        <v>15000</v>
      </c>
      <c r="E1698" s="1"/>
      <c r="F1698" s="1">
        <v>167.11</v>
      </c>
      <c r="G1698" s="1">
        <v>15000</v>
      </c>
      <c r="H1698" s="5">
        <f t="shared" si="29"/>
        <v>0</v>
      </c>
      <c r="I1698" s="1"/>
      <c r="J1698" s="1"/>
    </row>
    <row r="1699" spans="2:10" x14ac:dyDescent="0.2">
      <c r="B1699" s="1" t="s">
        <v>292</v>
      </c>
      <c r="C1699" s="32">
        <v>8674</v>
      </c>
      <c r="D1699" s="1">
        <v>19000</v>
      </c>
      <c r="E1699" s="1"/>
      <c r="F1699" s="1">
        <v>211.68</v>
      </c>
      <c r="G1699" s="1">
        <v>19000</v>
      </c>
      <c r="H1699" s="5">
        <f t="shared" si="29"/>
        <v>0</v>
      </c>
      <c r="I1699" s="1"/>
      <c r="J1699" s="1"/>
    </row>
    <row r="1700" spans="2:10" x14ac:dyDescent="0.2">
      <c r="B1700" s="1" t="s">
        <v>292</v>
      </c>
      <c r="C1700" s="32">
        <v>3085</v>
      </c>
      <c r="D1700" s="1">
        <v>25000</v>
      </c>
      <c r="E1700" s="1"/>
      <c r="F1700" s="1">
        <v>278.52</v>
      </c>
      <c r="G1700" s="1">
        <v>25000</v>
      </c>
      <c r="H1700" s="5">
        <f t="shared" si="29"/>
        <v>0</v>
      </c>
      <c r="I1700" s="1"/>
      <c r="J1700" s="1"/>
    </row>
    <row r="1701" spans="2:10" x14ac:dyDescent="0.2">
      <c r="B1701" s="1" t="s">
        <v>293</v>
      </c>
      <c r="C1701" s="32">
        <v>447</v>
      </c>
      <c r="D1701" s="1">
        <v>23000</v>
      </c>
      <c r="E1701" s="1"/>
      <c r="F1701" s="1">
        <v>213</v>
      </c>
      <c r="G1701" s="1">
        <v>23000</v>
      </c>
      <c r="H1701" s="5">
        <f t="shared" si="29"/>
        <v>0</v>
      </c>
      <c r="I1701" s="1"/>
      <c r="J1701" s="1"/>
    </row>
    <row r="1702" spans="2:10" x14ac:dyDescent="0.2">
      <c r="B1702" s="1" t="s">
        <v>293</v>
      </c>
      <c r="C1702" s="32">
        <v>1299</v>
      </c>
      <c r="D1702" s="1">
        <v>19000</v>
      </c>
      <c r="E1702" s="1"/>
      <c r="F1702" s="1">
        <v>211</v>
      </c>
      <c r="G1702" s="1">
        <v>19000</v>
      </c>
      <c r="H1702" s="5">
        <f t="shared" si="29"/>
        <v>0</v>
      </c>
      <c r="I1702" s="1"/>
      <c r="J1702" s="1"/>
    </row>
    <row r="1703" spans="2:10" x14ac:dyDescent="0.2">
      <c r="B1703" s="1" t="s">
        <v>293</v>
      </c>
      <c r="C1703" s="32" t="s">
        <v>66</v>
      </c>
      <c r="D1703" s="1">
        <v>200</v>
      </c>
      <c r="E1703" s="1"/>
      <c r="F1703" s="1">
        <v>2.08</v>
      </c>
      <c r="G1703" s="1">
        <v>200</v>
      </c>
      <c r="H1703" s="5">
        <f t="shared" si="29"/>
        <v>0</v>
      </c>
      <c r="I1703" s="1"/>
      <c r="J1703" s="1"/>
    </row>
    <row r="1704" spans="2:10" x14ac:dyDescent="0.2">
      <c r="B1704" s="1" t="s">
        <v>293</v>
      </c>
      <c r="C1704" s="32">
        <v>6511</v>
      </c>
      <c r="D1704" s="1">
        <v>28000</v>
      </c>
      <c r="E1704" s="1"/>
      <c r="F1704" s="1">
        <v>213</v>
      </c>
      <c r="G1704" s="1">
        <v>28000</v>
      </c>
      <c r="H1704" s="5">
        <f t="shared" si="29"/>
        <v>0</v>
      </c>
      <c r="I1704" s="1"/>
      <c r="J1704" s="1"/>
    </row>
    <row r="1705" spans="2:10" x14ac:dyDescent="0.2">
      <c r="B1705" s="1" t="s">
        <v>293</v>
      </c>
      <c r="C1705" s="32">
        <v>1590</v>
      </c>
      <c r="D1705" s="1">
        <v>15000</v>
      </c>
      <c r="E1705" s="1"/>
      <c r="F1705" s="1">
        <v>167</v>
      </c>
      <c r="G1705" s="1">
        <v>15000</v>
      </c>
      <c r="H1705" s="5">
        <f t="shared" si="29"/>
        <v>0</v>
      </c>
      <c r="I1705" s="1"/>
      <c r="J1705" s="1"/>
    </row>
    <row r="1706" spans="2:10" x14ac:dyDescent="0.2">
      <c r="B1706" s="1" t="s">
        <v>293</v>
      </c>
      <c r="C1706" s="32">
        <v>4081</v>
      </c>
      <c r="D1706" s="1">
        <v>20000</v>
      </c>
      <c r="E1706" s="1"/>
      <c r="F1706" s="1">
        <v>222.82</v>
      </c>
      <c r="G1706" s="1">
        <v>20000</v>
      </c>
      <c r="H1706" s="5">
        <f t="shared" si="29"/>
        <v>0</v>
      </c>
      <c r="I1706" s="1"/>
      <c r="J1706" s="1"/>
    </row>
    <row r="1707" spans="2:10" x14ac:dyDescent="0.2">
      <c r="B1707" s="1" t="s">
        <v>293</v>
      </c>
      <c r="C1707" s="32" t="s">
        <v>30</v>
      </c>
      <c r="D1707" s="1">
        <v>5000</v>
      </c>
      <c r="E1707" s="1"/>
      <c r="F1707" s="1">
        <v>55.7</v>
      </c>
      <c r="G1707" s="1">
        <v>5000</v>
      </c>
      <c r="H1707" s="5">
        <f t="shared" si="29"/>
        <v>0</v>
      </c>
      <c r="I1707" s="1"/>
      <c r="J1707" s="1"/>
    </row>
    <row r="1708" spans="2:10" x14ac:dyDescent="0.2">
      <c r="B1708" s="1" t="s">
        <v>293</v>
      </c>
      <c r="C1708" s="32">
        <v>9572</v>
      </c>
      <c r="D1708" s="1">
        <v>19000</v>
      </c>
      <c r="E1708" s="1"/>
      <c r="F1708" s="1">
        <v>211.68</v>
      </c>
      <c r="G1708" s="1">
        <v>19000</v>
      </c>
      <c r="H1708" s="5">
        <f t="shared" si="29"/>
        <v>0</v>
      </c>
      <c r="I1708" s="1"/>
      <c r="J1708" s="1"/>
    </row>
    <row r="1709" spans="2:10" x14ac:dyDescent="0.2">
      <c r="B1709" s="1" t="s">
        <v>293</v>
      </c>
      <c r="C1709" s="32">
        <v>5886</v>
      </c>
      <c r="D1709" s="1">
        <v>15000</v>
      </c>
      <c r="E1709" s="1"/>
      <c r="F1709" s="1">
        <v>167.11</v>
      </c>
      <c r="G1709" s="1">
        <v>15000</v>
      </c>
      <c r="H1709" s="5">
        <f t="shared" si="29"/>
        <v>0</v>
      </c>
      <c r="I1709" s="1"/>
      <c r="J1709" s="1"/>
    </row>
    <row r="1710" spans="2:10" x14ac:dyDescent="0.2">
      <c r="B1710" s="1" t="s">
        <v>293</v>
      </c>
      <c r="C1710" s="32">
        <v>1103</v>
      </c>
      <c r="D1710" s="1">
        <v>15000</v>
      </c>
      <c r="E1710" s="1"/>
      <c r="F1710" s="1">
        <v>167.11</v>
      </c>
      <c r="G1710" s="1">
        <v>15000</v>
      </c>
      <c r="H1710" s="5">
        <f t="shared" si="29"/>
        <v>0</v>
      </c>
      <c r="I1710" s="1"/>
      <c r="J1710" s="1"/>
    </row>
    <row r="1711" spans="2:10" x14ac:dyDescent="0.2">
      <c r="B1711" s="1" t="s">
        <v>293</v>
      </c>
      <c r="C1711" s="32">
        <v>4624</v>
      </c>
      <c r="D1711" s="1">
        <v>13000</v>
      </c>
      <c r="E1711" s="1"/>
      <c r="F1711" s="1">
        <v>144</v>
      </c>
      <c r="G1711" s="1">
        <v>13000</v>
      </c>
      <c r="H1711" s="5">
        <f t="shared" si="29"/>
        <v>0</v>
      </c>
      <c r="I1711" s="1"/>
      <c r="J1711" s="1"/>
    </row>
    <row r="1712" spans="2:10" x14ac:dyDescent="0.2">
      <c r="B1712" s="1" t="s">
        <v>293</v>
      </c>
      <c r="C1712" s="32">
        <v>4127</v>
      </c>
      <c r="D1712" s="1">
        <v>20000</v>
      </c>
      <c r="E1712" s="1"/>
      <c r="F1712" s="1">
        <v>222.82</v>
      </c>
      <c r="G1712" s="1">
        <v>20000</v>
      </c>
      <c r="H1712" s="5">
        <f t="shared" si="29"/>
        <v>0</v>
      </c>
      <c r="I1712" s="1"/>
      <c r="J1712" s="1"/>
    </row>
    <row r="1713" spans="2:10" x14ac:dyDescent="0.2">
      <c r="B1713" s="1" t="s">
        <v>293</v>
      </c>
      <c r="C1713" s="32">
        <v>4114</v>
      </c>
      <c r="D1713" s="1">
        <v>20000</v>
      </c>
      <c r="E1713" s="1"/>
      <c r="F1713" s="1">
        <v>222.82</v>
      </c>
      <c r="G1713" s="1">
        <v>20000</v>
      </c>
      <c r="H1713" s="5">
        <f t="shared" si="29"/>
        <v>0</v>
      </c>
      <c r="I1713" s="1"/>
      <c r="J1713" s="1"/>
    </row>
    <row r="1714" spans="2:10" x14ac:dyDescent="0.2">
      <c r="B1714" s="1" t="s">
        <v>293</v>
      </c>
      <c r="C1714" s="32">
        <v>4224</v>
      </c>
      <c r="D1714" s="1">
        <v>20000</v>
      </c>
      <c r="E1714" s="1"/>
      <c r="F1714" s="1">
        <v>222.82</v>
      </c>
      <c r="G1714" s="1">
        <v>20000</v>
      </c>
      <c r="H1714" s="5">
        <f t="shared" si="29"/>
        <v>0</v>
      </c>
      <c r="I1714" s="1"/>
      <c r="J1714" s="1"/>
    </row>
    <row r="1715" spans="2:10" x14ac:dyDescent="0.2">
      <c r="B1715" s="1" t="s">
        <v>293</v>
      </c>
      <c r="C1715" s="32">
        <v>7428</v>
      </c>
      <c r="D1715" s="1">
        <v>20000</v>
      </c>
      <c r="E1715" s="1"/>
      <c r="F1715" s="1">
        <v>222.82</v>
      </c>
      <c r="G1715" s="1">
        <v>20000</v>
      </c>
      <c r="H1715" s="5">
        <f t="shared" si="29"/>
        <v>0</v>
      </c>
      <c r="I1715" s="1"/>
      <c r="J1715" s="1"/>
    </row>
    <row r="1716" spans="2:10" x14ac:dyDescent="0.2">
      <c r="B1716" s="1" t="s">
        <v>293</v>
      </c>
      <c r="C1716" s="32">
        <v>1215</v>
      </c>
      <c r="D1716" s="1">
        <v>20000</v>
      </c>
      <c r="E1716" s="1"/>
      <c r="F1716" s="1">
        <v>222.82</v>
      </c>
      <c r="G1716" s="1">
        <v>20000</v>
      </c>
      <c r="H1716" s="5">
        <f t="shared" si="29"/>
        <v>0</v>
      </c>
      <c r="I1716" s="1"/>
      <c r="J1716" s="1"/>
    </row>
    <row r="1717" spans="2:10" x14ac:dyDescent="0.2">
      <c r="B1717" s="1" t="s">
        <v>293</v>
      </c>
      <c r="C1717" s="32">
        <v>4618</v>
      </c>
      <c r="D1717" s="1">
        <v>20000</v>
      </c>
      <c r="E1717" s="1"/>
      <c r="F1717" s="1">
        <v>222.82</v>
      </c>
      <c r="G1717" s="1">
        <v>20000</v>
      </c>
      <c r="H1717" s="5">
        <f t="shared" si="29"/>
        <v>0</v>
      </c>
      <c r="I1717" s="1"/>
      <c r="J1717" s="1"/>
    </row>
    <row r="1718" spans="2:10" x14ac:dyDescent="0.2">
      <c r="B1718" s="1" t="s">
        <v>293</v>
      </c>
      <c r="C1718" s="32">
        <v>3446</v>
      </c>
      <c r="D1718" s="1">
        <v>20000</v>
      </c>
      <c r="E1718" s="1"/>
      <c r="F1718" s="1">
        <v>222.82</v>
      </c>
      <c r="G1718" s="1">
        <v>20000</v>
      </c>
      <c r="H1718" s="5">
        <f t="shared" si="29"/>
        <v>0</v>
      </c>
      <c r="I1718" s="1"/>
      <c r="J1718" s="1"/>
    </row>
    <row r="1719" spans="2:10" x14ac:dyDescent="0.2">
      <c r="B1719" s="1" t="s">
        <v>294</v>
      </c>
      <c r="C1719" s="32" t="s">
        <v>30</v>
      </c>
      <c r="D1719" s="1">
        <v>4500</v>
      </c>
      <c r="E1719" s="1"/>
      <c r="F1719" s="1">
        <v>50.13</v>
      </c>
      <c r="G1719" s="1">
        <v>4500</v>
      </c>
      <c r="H1719" s="5">
        <f t="shared" si="29"/>
        <v>0</v>
      </c>
      <c r="I1719" s="1"/>
      <c r="J1719" s="1"/>
    </row>
    <row r="1720" spans="2:10" x14ac:dyDescent="0.2">
      <c r="B1720" s="1" t="s">
        <v>294</v>
      </c>
      <c r="C1720" s="32">
        <v>3676</v>
      </c>
      <c r="D1720" s="1">
        <v>20000</v>
      </c>
      <c r="E1720" s="1"/>
      <c r="F1720" s="1">
        <v>222.82</v>
      </c>
      <c r="G1720" s="1">
        <v>20000</v>
      </c>
      <c r="H1720" s="5">
        <f t="shared" si="29"/>
        <v>0</v>
      </c>
      <c r="I1720" s="1"/>
      <c r="J1720" s="1"/>
    </row>
    <row r="1721" spans="2:10" x14ac:dyDescent="0.2">
      <c r="B1721" s="1" t="s">
        <v>294</v>
      </c>
      <c r="C1721" s="32" t="s">
        <v>63</v>
      </c>
      <c r="D1721" s="1">
        <v>3500</v>
      </c>
      <c r="E1721" s="1"/>
      <c r="F1721" s="1">
        <v>38.93</v>
      </c>
      <c r="G1721" s="1">
        <v>3500</v>
      </c>
      <c r="H1721" s="5">
        <f t="shared" si="29"/>
        <v>0</v>
      </c>
      <c r="I1721" s="1"/>
      <c r="J1721" s="1"/>
    </row>
    <row r="1722" spans="2:10" x14ac:dyDescent="0.2">
      <c r="B1722" s="1" t="s">
        <v>294</v>
      </c>
      <c r="C1722" s="32">
        <v>6012</v>
      </c>
      <c r="D1722" s="1">
        <v>14000</v>
      </c>
      <c r="E1722" s="1"/>
      <c r="F1722" s="1">
        <v>155</v>
      </c>
      <c r="G1722" s="1">
        <v>14000</v>
      </c>
      <c r="H1722" s="5">
        <f t="shared" si="29"/>
        <v>0</v>
      </c>
      <c r="I1722" s="1"/>
      <c r="J1722" s="1"/>
    </row>
    <row r="1723" spans="2:10" x14ac:dyDescent="0.2">
      <c r="B1723" s="1" t="s">
        <v>294</v>
      </c>
      <c r="C1723" s="32">
        <v>1252</v>
      </c>
      <c r="D1723" s="1">
        <v>10000</v>
      </c>
      <c r="E1723" s="1"/>
      <c r="F1723" s="1">
        <v>111</v>
      </c>
      <c r="G1723" s="1">
        <v>10000</v>
      </c>
      <c r="H1723" s="5">
        <f t="shared" si="29"/>
        <v>0</v>
      </c>
      <c r="I1723" s="1"/>
      <c r="J1723" s="1"/>
    </row>
    <row r="1724" spans="2:10" x14ac:dyDescent="0.2">
      <c r="B1724" s="1" t="s">
        <v>294</v>
      </c>
      <c r="C1724" s="32">
        <v>8094</v>
      </c>
      <c r="D1724" s="1">
        <v>24000</v>
      </c>
      <c r="E1724" s="1"/>
      <c r="F1724" s="1">
        <v>267</v>
      </c>
      <c r="G1724" s="1">
        <v>24000</v>
      </c>
      <c r="H1724" s="5">
        <f t="shared" si="29"/>
        <v>0</v>
      </c>
      <c r="I1724" s="1"/>
      <c r="J1724" s="1"/>
    </row>
    <row r="1725" spans="2:10" x14ac:dyDescent="0.2">
      <c r="B1725" s="1" t="s">
        <v>294</v>
      </c>
      <c r="C1725" s="32">
        <v>579</v>
      </c>
      <c r="D1725" s="1">
        <v>25000</v>
      </c>
      <c r="E1725" s="1"/>
      <c r="F1725" s="1">
        <v>278</v>
      </c>
      <c r="G1725" s="1">
        <v>25000</v>
      </c>
      <c r="H1725" s="5">
        <f t="shared" si="29"/>
        <v>0</v>
      </c>
      <c r="I1725" s="1"/>
      <c r="J1725" s="1"/>
    </row>
    <row r="1726" spans="2:10" x14ac:dyDescent="0.2">
      <c r="B1726" s="1" t="s">
        <v>294</v>
      </c>
      <c r="C1726" s="32">
        <v>4506</v>
      </c>
      <c r="D1726" s="1">
        <v>15000</v>
      </c>
      <c r="E1726" s="1"/>
      <c r="F1726" s="1">
        <v>167.11</v>
      </c>
      <c r="G1726" s="1">
        <v>15000</v>
      </c>
      <c r="H1726" s="5">
        <f t="shared" si="29"/>
        <v>0</v>
      </c>
      <c r="I1726" s="1"/>
      <c r="J1726" s="1"/>
    </row>
    <row r="1727" spans="2:10" x14ac:dyDescent="0.2">
      <c r="B1727" s="1" t="s">
        <v>294</v>
      </c>
      <c r="C1727" s="32">
        <v>2152</v>
      </c>
      <c r="D1727" s="1">
        <v>15000</v>
      </c>
      <c r="E1727" s="1"/>
      <c r="F1727" s="1">
        <v>167.11</v>
      </c>
      <c r="G1727" s="1">
        <v>15000</v>
      </c>
      <c r="H1727" s="5">
        <f t="shared" si="29"/>
        <v>0</v>
      </c>
      <c r="I1727" s="1"/>
      <c r="J1727" s="1"/>
    </row>
    <row r="1728" spans="2:10" x14ac:dyDescent="0.2">
      <c r="B1728" s="1" t="s">
        <v>294</v>
      </c>
      <c r="C1728" s="32">
        <v>1212</v>
      </c>
      <c r="D1728" s="1">
        <v>15000</v>
      </c>
      <c r="E1728" s="1"/>
      <c r="F1728" s="1">
        <v>167.11</v>
      </c>
      <c r="G1728" s="1">
        <v>15000</v>
      </c>
      <c r="H1728" s="5">
        <f t="shared" si="29"/>
        <v>0</v>
      </c>
      <c r="I1728" s="1"/>
      <c r="J1728" s="1"/>
    </row>
    <row r="1729" spans="2:10" x14ac:dyDescent="0.2">
      <c r="B1729" s="1" t="s">
        <v>294</v>
      </c>
      <c r="C1729" s="32">
        <v>8167</v>
      </c>
      <c r="D1729" s="1">
        <v>20000</v>
      </c>
      <c r="E1729" s="1"/>
      <c r="F1729" s="1">
        <v>222.82</v>
      </c>
      <c r="G1729" s="1">
        <v>20000</v>
      </c>
      <c r="H1729" s="5">
        <f t="shared" si="29"/>
        <v>0</v>
      </c>
      <c r="I1729" s="1"/>
      <c r="J1729" s="1"/>
    </row>
    <row r="1730" spans="2:10" x14ac:dyDescent="0.2">
      <c r="B1730" s="1" t="s">
        <v>294</v>
      </c>
      <c r="C1730" s="32">
        <v>4520</v>
      </c>
      <c r="D1730" s="1">
        <v>20000</v>
      </c>
      <c r="E1730" s="1"/>
      <c r="F1730" s="1">
        <v>222.82</v>
      </c>
      <c r="G1730" s="1">
        <v>20000</v>
      </c>
      <c r="H1730" s="5">
        <f t="shared" si="29"/>
        <v>0</v>
      </c>
      <c r="I1730" s="1"/>
      <c r="J1730" s="1"/>
    </row>
    <row r="1731" spans="2:10" x14ac:dyDescent="0.2">
      <c r="B1731" s="1" t="s">
        <v>294</v>
      </c>
      <c r="C1731" s="32">
        <v>6495</v>
      </c>
      <c r="D1731" s="1">
        <v>30000</v>
      </c>
      <c r="E1731" s="1"/>
      <c r="F1731" s="1">
        <v>333.2</v>
      </c>
      <c r="G1731" s="1">
        <v>30000</v>
      </c>
      <c r="H1731" s="5">
        <f t="shared" si="29"/>
        <v>0</v>
      </c>
      <c r="I1731" s="1"/>
      <c r="J1731" s="1"/>
    </row>
    <row r="1732" spans="2:10" x14ac:dyDescent="0.2">
      <c r="B1732" s="1" t="s">
        <v>297</v>
      </c>
      <c r="C1732" s="32">
        <v>9998</v>
      </c>
      <c r="D1732" s="1">
        <v>17000</v>
      </c>
      <c r="E1732" s="1"/>
      <c r="F1732" s="1">
        <v>189</v>
      </c>
      <c r="G1732" s="1">
        <v>17000</v>
      </c>
      <c r="H1732" s="5">
        <f t="shared" si="29"/>
        <v>0</v>
      </c>
      <c r="I1732" s="1"/>
      <c r="J1732" s="1"/>
    </row>
    <row r="1733" spans="2:10" x14ac:dyDescent="0.2">
      <c r="B1733" s="1" t="s">
        <v>297</v>
      </c>
      <c r="C1733" s="32">
        <v>505</v>
      </c>
      <c r="D1733" s="1">
        <v>15000</v>
      </c>
      <c r="E1733" s="1"/>
      <c r="F1733" s="1">
        <v>167</v>
      </c>
      <c r="G1733" s="1">
        <v>15000</v>
      </c>
      <c r="H1733" s="5">
        <f t="shared" si="29"/>
        <v>0</v>
      </c>
      <c r="I1733" s="1"/>
      <c r="J1733" s="1"/>
    </row>
    <row r="1734" spans="2:10" x14ac:dyDescent="0.2">
      <c r="B1734" s="1" t="s">
        <v>297</v>
      </c>
      <c r="C1734" s="32">
        <v>334</v>
      </c>
      <c r="D1734" s="1">
        <v>20000</v>
      </c>
      <c r="E1734" s="1"/>
      <c r="F1734" s="1">
        <v>222.82</v>
      </c>
      <c r="G1734" s="1">
        <v>20000</v>
      </c>
      <c r="H1734" s="5">
        <f t="shared" si="29"/>
        <v>0</v>
      </c>
      <c r="I1734" s="1"/>
      <c r="J1734" s="1"/>
    </row>
    <row r="1735" spans="2:10" x14ac:dyDescent="0.2">
      <c r="B1735" s="1" t="s">
        <v>297</v>
      </c>
      <c r="C1735" s="32">
        <v>9179</v>
      </c>
      <c r="D1735" s="1">
        <v>12000</v>
      </c>
      <c r="E1735" s="1"/>
      <c r="F1735" s="1">
        <v>133</v>
      </c>
      <c r="G1735" s="1">
        <v>12000</v>
      </c>
      <c r="H1735" s="5">
        <f t="shared" ref="H1735:H1798" si="30">D1735-G1735</f>
        <v>0</v>
      </c>
      <c r="I1735" s="1"/>
      <c r="J1735" s="1"/>
    </row>
    <row r="1736" spans="2:10" x14ac:dyDescent="0.2">
      <c r="B1736" s="1" t="s">
        <v>297</v>
      </c>
      <c r="C1736" s="32">
        <v>645</v>
      </c>
      <c r="D1736" s="1">
        <v>5000</v>
      </c>
      <c r="E1736" s="1"/>
      <c r="F1736" s="1">
        <v>55.7</v>
      </c>
      <c r="G1736" s="1">
        <v>5000</v>
      </c>
      <c r="H1736" s="5">
        <f t="shared" si="30"/>
        <v>0</v>
      </c>
      <c r="I1736" s="1"/>
      <c r="J1736" s="1"/>
    </row>
    <row r="1737" spans="2:10" x14ac:dyDescent="0.2">
      <c r="B1737" s="1" t="s">
        <v>297</v>
      </c>
      <c r="C1737" s="32">
        <v>1332</v>
      </c>
      <c r="D1737" s="1">
        <v>13000</v>
      </c>
      <c r="E1737" s="1"/>
      <c r="F1737" s="1">
        <v>144</v>
      </c>
      <c r="G1737" s="1">
        <v>13000</v>
      </c>
      <c r="H1737" s="5">
        <f t="shared" si="30"/>
        <v>0</v>
      </c>
      <c r="I1737" s="1"/>
      <c r="J1737" s="1"/>
    </row>
    <row r="1738" spans="2:10" x14ac:dyDescent="0.2">
      <c r="B1738" s="1" t="s">
        <v>297</v>
      </c>
      <c r="C1738" s="32">
        <v>3776</v>
      </c>
      <c r="D1738" s="1">
        <v>13000</v>
      </c>
      <c r="E1738" s="1"/>
      <c r="F1738" s="1">
        <v>144</v>
      </c>
      <c r="G1738" s="1">
        <v>13000</v>
      </c>
      <c r="H1738" s="5">
        <f t="shared" si="30"/>
        <v>0</v>
      </c>
      <c r="I1738" s="1"/>
      <c r="J1738" s="1"/>
    </row>
    <row r="1739" spans="2:10" x14ac:dyDescent="0.2">
      <c r="B1739" s="1" t="s">
        <v>297</v>
      </c>
      <c r="C1739" s="32">
        <v>165</v>
      </c>
      <c r="D1739" s="1">
        <v>13000</v>
      </c>
      <c r="E1739" s="1"/>
      <c r="F1739" s="1">
        <v>144</v>
      </c>
      <c r="G1739" s="1">
        <v>13000</v>
      </c>
      <c r="H1739" s="5">
        <f t="shared" si="30"/>
        <v>0</v>
      </c>
      <c r="I1739" s="1"/>
      <c r="J1739" s="1"/>
    </row>
    <row r="1740" spans="2:10" x14ac:dyDescent="0.2">
      <c r="B1740" s="1" t="s">
        <v>297</v>
      </c>
      <c r="C1740" s="32" t="s">
        <v>30</v>
      </c>
      <c r="D1740" s="1">
        <v>5000</v>
      </c>
      <c r="E1740" s="1"/>
      <c r="F1740" s="1">
        <v>55.7</v>
      </c>
      <c r="G1740" s="1">
        <v>5000</v>
      </c>
      <c r="H1740" s="5">
        <f t="shared" si="30"/>
        <v>0</v>
      </c>
      <c r="I1740" s="1"/>
      <c r="J1740" s="1"/>
    </row>
    <row r="1741" spans="2:10" x14ac:dyDescent="0.2">
      <c r="B1741" s="1" t="s">
        <v>297</v>
      </c>
      <c r="C1741" s="32" t="s">
        <v>30</v>
      </c>
      <c r="D1741" s="1">
        <v>7000</v>
      </c>
      <c r="E1741" s="1"/>
      <c r="F1741" s="1">
        <v>77.989999999999995</v>
      </c>
      <c r="G1741" s="1">
        <v>7000</v>
      </c>
      <c r="H1741" s="5">
        <f t="shared" si="30"/>
        <v>0</v>
      </c>
      <c r="I1741" s="1"/>
      <c r="J1741" s="1"/>
    </row>
    <row r="1742" spans="2:10" x14ac:dyDescent="0.2">
      <c r="B1742" s="1" t="s">
        <v>297</v>
      </c>
      <c r="C1742" s="32">
        <v>3175</v>
      </c>
      <c r="D1742" s="1">
        <v>14000</v>
      </c>
      <c r="E1742" s="1"/>
      <c r="F1742" s="1">
        <v>155</v>
      </c>
      <c r="G1742" s="1">
        <v>14000</v>
      </c>
      <c r="H1742" s="5">
        <f t="shared" si="30"/>
        <v>0</v>
      </c>
      <c r="I1742" s="1"/>
      <c r="J1742" s="1"/>
    </row>
    <row r="1743" spans="2:10" x14ac:dyDescent="0.2">
      <c r="B1743" s="1" t="s">
        <v>297</v>
      </c>
      <c r="C1743" s="32">
        <v>478</v>
      </c>
      <c r="D1743" s="1">
        <v>13000</v>
      </c>
      <c r="E1743" s="1"/>
      <c r="F1743" s="1">
        <v>144</v>
      </c>
      <c r="G1743" s="1">
        <v>13000</v>
      </c>
      <c r="H1743" s="5">
        <f t="shared" si="30"/>
        <v>0</v>
      </c>
      <c r="I1743" s="1"/>
      <c r="J1743" s="1"/>
    </row>
    <row r="1744" spans="2:10" x14ac:dyDescent="0.2">
      <c r="B1744" s="1" t="s">
        <v>297</v>
      </c>
      <c r="C1744" s="32">
        <v>647</v>
      </c>
      <c r="D1744" s="1">
        <v>14500</v>
      </c>
      <c r="E1744" s="1"/>
      <c r="F1744" s="1">
        <v>161</v>
      </c>
      <c r="G1744" s="1">
        <v>14500</v>
      </c>
      <c r="H1744" s="5">
        <f t="shared" si="30"/>
        <v>0</v>
      </c>
      <c r="I1744" s="1"/>
      <c r="J1744" s="1"/>
    </row>
    <row r="1745" spans="2:10" x14ac:dyDescent="0.2">
      <c r="B1745" s="1" t="s">
        <v>297</v>
      </c>
      <c r="C1745" s="32">
        <v>4565</v>
      </c>
      <c r="D1745" s="1">
        <v>13500</v>
      </c>
      <c r="E1745" s="1"/>
      <c r="F1745" s="1">
        <v>150</v>
      </c>
      <c r="G1745" s="1">
        <v>13500</v>
      </c>
      <c r="H1745" s="5">
        <f t="shared" si="30"/>
        <v>0</v>
      </c>
      <c r="I1745" s="1"/>
      <c r="J1745" s="1"/>
    </row>
    <row r="1746" spans="2:10" x14ac:dyDescent="0.2">
      <c r="B1746" s="1" t="s">
        <v>297</v>
      </c>
      <c r="C1746" s="32">
        <v>8170</v>
      </c>
      <c r="D1746" s="1">
        <v>15000</v>
      </c>
      <c r="E1746" s="1"/>
      <c r="F1746" s="1">
        <v>167.11</v>
      </c>
      <c r="G1746" s="1">
        <v>15000</v>
      </c>
      <c r="H1746" s="5">
        <f t="shared" si="30"/>
        <v>0</v>
      </c>
      <c r="I1746" s="1"/>
      <c r="J1746" s="1"/>
    </row>
    <row r="1747" spans="2:10" x14ac:dyDescent="0.2">
      <c r="B1747" s="1" t="s">
        <v>297</v>
      </c>
      <c r="C1747" s="32">
        <v>7878</v>
      </c>
      <c r="D1747" s="1">
        <v>15000</v>
      </c>
      <c r="E1747" s="1"/>
      <c r="F1747" s="1">
        <v>167.11</v>
      </c>
      <c r="G1747" s="1">
        <v>15000</v>
      </c>
      <c r="H1747" s="5">
        <f t="shared" si="30"/>
        <v>0</v>
      </c>
      <c r="I1747" s="1"/>
      <c r="J1747" s="1"/>
    </row>
    <row r="1748" spans="2:10" x14ac:dyDescent="0.2">
      <c r="B1748" s="1" t="s">
        <v>297</v>
      </c>
      <c r="C1748" s="32">
        <v>1051</v>
      </c>
      <c r="D1748" s="1">
        <v>15000</v>
      </c>
      <c r="E1748" s="1"/>
      <c r="F1748" s="1">
        <v>167.11</v>
      </c>
      <c r="G1748" s="1">
        <v>15000</v>
      </c>
      <c r="H1748" s="5">
        <f t="shared" si="30"/>
        <v>0</v>
      </c>
      <c r="I1748" s="1"/>
      <c r="J1748" s="1"/>
    </row>
    <row r="1749" spans="2:10" x14ac:dyDescent="0.2">
      <c r="B1749" s="1" t="s">
        <v>297</v>
      </c>
      <c r="C1749" s="32">
        <v>3578</v>
      </c>
      <c r="D1749" s="1">
        <v>15000</v>
      </c>
      <c r="E1749" s="1"/>
      <c r="F1749" s="1">
        <v>167.11</v>
      </c>
      <c r="G1749" s="1">
        <v>15000</v>
      </c>
      <c r="H1749" s="5">
        <f t="shared" si="30"/>
        <v>0</v>
      </c>
      <c r="I1749" s="1"/>
      <c r="J1749" s="1"/>
    </row>
    <row r="1750" spans="2:10" x14ac:dyDescent="0.2">
      <c r="B1750" s="1" t="s">
        <v>297</v>
      </c>
      <c r="C1750" s="32">
        <v>7538</v>
      </c>
      <c r="D1750" s="1">
        <v>15000</v>
      </c>
      <c r="E1750" s="1"/>
      <c r="F1750" s="1">
        <v>167.11</v>
      </c>
      <c r="G1750" s="1">
        <v>15000</v>
      </c>
      <c r="H1750" s="5">
        <f t="shared" si="30"/>
        <v>0</v>
      </c>
      <c r="I1750" s="1"/>
      <c r="J1750" s="1"/>
    </row>
    <row r="1751" spans="2:10" x14ac:dyDescent="0.2">
      <c r="B1751" s="1" t="s">
        <v>297</v>
      </c>
      <c r="C1751" s="32">
        <v>3847</v>
      </c>
      <c r="D1751" s="1">
        <v>20000</v>
      </c>
      <c r="E1751" s="1"/>
      <c r="F1751" s="1">
        <v>222.82</v>
      </c>
      <c r="G1751" s="1">
        <v>20000</v>
      </c>
      <c r="H1751" s="5">
        <f t="shared" si="30"/>
        <v>0</v>
      </c>
      <c r="I1751" s="1"/>
      <c r="J1751" s="1"/>
    </row>
    <row r="1752" spans="2:10" x14ac:dyDescent="0.2">
      <c r="B1752" s="1" t="s">
        <v>297</v>
      </c>
      <c r="C1752" s="32">
        <v>3372</v>
      </c>
      <c r="D1752" s="1">
        <v>20000</v>
      </c>
      <c r="E1752" s="1"/>
      <c r="F1752" s="1">
        <v>222.82</v>
      </c>
      <c r="G1752" s="1">
        <v>20000</v>
      </c>
      <c r="H1752" s="5">
        <f t="shared" si="30"/>
        <v>0</v>
      </c>
      <c r="I1752" s="1"/>
      <c r="J1752" s="1"/>
    </row>
    <row r="1753" spans="2:10" x14ac:dyDescent="0.2">
      <c r="B1753" s="1" t="s">
        <v>297</v>
      </c>
      <c r="C1753" s="32">
        <v>3992</v>
      </c>
      <c r="D1753" s="1">
        <v>20000</v>
      </c>
      <c r="E1753" s="1"/>
      <c r="F1753" s="1">
        <v>222.82</v>
      </c>
      <c r="G1753" s="1">
        <v>20000</v>
      </c>
      <c r="H1753" s="5">
        <f t="shared" si="30"/>
        <v>0</v>
      </c>
      <c r="I1753" s="1"/>
      <c r="J1753" s="1"/>
    </row>
    <row r="1754" spans="2:10" x14ac:dyDescent="0.2">
      <c r="B1754" s="1" t="s">
        <v>297</v>
      </c>
      <c r="C1754" s="32">
        <v>2016</v>
      </c>
      <c r="D1754" s="1">
        <v>20000</v>
      </c>
      <c r="E1754" s="1"/>
      <c r="F1754" s="1">
        <v>222.82</v>
      </c>
      <c r="G1754" s="1">
        <v>20000</v>
      </c>
      <c r="H1754" s="5">
        <f t="shared" si="30"/>
        <v>0</v>
      </c>
      <c r="I1754" s="1"/>
      <c r="J1754" s="1"/>
    </row>
    <row r="1755" spans="2:10" x14ac:dyDescent="0.2">
      <c r="B1755" s="1" t="s">
        <v>297</v>
      </c>
      <c r="C1755" s="32">
        <v>1266</v>
      </c>
      <c r="D1755" s="1">
        <v>20000</v>
      </c>
      <c r="E1755" s="1"/>
      <c r="F1755" s="1">
        <v>222.82</v>
      </c>
      <c r="G1755" s="1">
        <v>20000</v>
      </c>
      <c r="H1755" s="5">
        <f t="shared" si="30"/>
        <v>0</v>
      </c>
      <c r="I1755" s="1"/>
      <c r="J1755" s="1"/>
    </row>
    <row r="1756" spans="2:10" x14ac:dyDescent="0.2">
      <c r="B1756" s="1" t="s">
        <v>297</v>
      </c>
      <c r="C1756" s="32">
        <v>4135</v>
      </c>
      <c r="D1756" s="1">
        <v>20000</v>
      </c>
      <c r="E1756" s="1"/>
      <c r="F1756" s="1">
        <v>222.82</v>
      </c>
      <c r="G1756" s="1">
        <v>20000</v>
      </c>
      <c r="H1756" s="5">
        <f t="shared" si="30"/>
        <v>0</v>
      </c>
      <c r="I1756" s="1"/>
      <c r="J1756" s="1"/>
    </row>
    <row r="1757" spans="2:10" x14ac:dyDescent="0.2">
      <c r="B1757" s="1" t="s">
        <v>297</v>
      </c>
      <c r="C1757" s="32">
        <v>4174</v>
      </c>
      <c r="D1757" s="1">
        <v>10000</v>
      </c>
      <c r="E1757" s="1"/>
      <c r="F1757" s="1">
        <v>111.41</v>
      </c>
      <c r="G1757" s="1">
        <v>10000</v>
      </c>
      <c r="H1757" s="5">
        <f t="shared" si="30"/>
        <v>0</v>
      </c>
      <c r="I1757" s="1"/>
      <c r="J1757" s="1"/>
    </row>
    <row r="1758" spans="2:10" x14ac:dyDescent="0.2">
      <c r="B1758" s="1" t="s">
        <v>297</v>
      </c>
      <c r="C1758" s="32">
        <v>5370</v>
      </c>
      <c r="D1758" s="1">
        <v>30000</v>
      </c>
      <c r="E1758" s="1"/>
      <c r="F1758" s="1">
        <v>334</v>
      </c>
      <c r="G1758" s="1">
        <v>30000</v>
      </c>
      <c r="H1758" s="5">
        <f t="shared" si="30"/>
        <v>0</v>
      </c>
      <c r="I1758" s="1"/>
      <c r="J1758" s="1"/>
    </row>
    <row r="1759" spans="2:10" x14ac:dyDescent="0.2">
      <c r="B1759" s="1" t="s">
        <v>297</v>
      </c>
      <c r="C1759" s="32">
        <v>7351</v>
      </c>
      <c r="D1759" s="1">
        <v>29000</v>
      </c>
      <c r="E1759" s="1"/>
      <c r="F1759" s="1">
        <v>309</v>
      </c>
      <c r="G1759" s="1">
        <v>29000</v>
      </c>
      <c r="H1759" s="5">
        <f t="shared" si="30"/>
        <v>0</v>
      </c>
      <c r="I1759" s="1"/>
      <c r="J1759" s="1"/>
    </row>
    <row r="1760" spans="2:10" x14ac:dyDescent="0.2">
      <c r="B1760" s="1" t="s">
        <v>297</v>
      </c>
      <c r="C1760" s="32">
        <v>205</v>
      </c>
      <c r="D1760" s="1">
        <v>21000</v>
      </c>
      <c r="E1760" s="1"/>
      <c r="F1760" s="1">
        <v>233</v>
      </c>
      <c r="G1760" s="1">
        <v>21000</v>
      </c>
      <c r="H1760" s="5">
        <f t="shared" si="30"/>
        <v>0</v>
      </c>
      <c r="I1760" s="1"/>
      <c r="J1760" s="1"/>
    </row>
    <row r="1761" spans="2:10" x14ac:dyDescent="0.2">
      <c r="B1761" s="1" t="s">
        <v>297</v>
      </c>
      <c r="C1761" s="32">
        <v>9847</v>
      </c>
      <c r="D1761" s="1">
        <v>12000</v>
      </c>
      <c r="E1761" s="1"/>
      <c r="F1761" s="1">
        <v>133</v>
      </c>
      <c r="G1761" s="1">
        <v>12000</v>
      </c>
      <c r="H1761" s="5">
        <f t="shared" si="30"/>
        <v>0</v>
      </c>
      <c r="I1761" s="1"/>
      <c r="J1761" s="1"/>
    </row>
    <row r="1762" spans="2:10" x14ac:dyDescent="0.2">
      <c r="B1762" s="1" t="s">
        <v>297</v>
      </c>
      <c r="C1762" s="32">
        <v>9776</v>
      </c>
      <c r="D1762" s="1">
        <v>18000</v>
      </c>
      <c r="E1762" s="1"/>
      <c r="F1762" s="1">
        <v>200.82</v>
      </c>
      <c r="G1762" s="1">
        <v>18000</v>
      </c>
      <c r="H1762" s="5">
        <f t="shared" si="30"/>
        <v>0</v>
      </c>
      <c r="I1762" s="1"/>
      <c r="J1762" s="1"/>
    </row>
    <row r="1763" spans="2:10" x14ac:dyDescent="0.2">
      <c r="B1763" s="1" t="s">
        <v>298</v>
      </c>
      <c r="C1763" s="32">
        <v>4566</v>
      </c>
      <c r="D1763" s="1">
        <v>25000</v>
      </c>
      <c r="E1763" s="1"/>
      <c r="F1763" s="1">
        <v>278</v>
      </c>
      <c r="G1763" s="1">
        <v>25000</v>
      </c>
      <c r="H1763" s="5">
        <f t="shared" si="30"/>
        <v>0</v>
      </c>
      <c r="I1763" s="1"/>
      <c r="J1763" s="1"/>
    </row>
    <row r="1764" spans="2:10" x14ac:dyDescent="0.2">
      <c r="B1764" s="1" t="s">
        <v>298</v>
      </c>
      <c r="C1764" s="32">
        <v>1405</v>
      </c>
      <c r="D1764" s="1">
        <v>13000</v>
      </c>
      <c r="E1764" s="1"/>
      <c r="F1764" s="1">
        <v>144</v>
      </c>
      <c r="G1764" s="1">
        <v>13000</v>
      </c>
      <c r="H1764" s="5">
        <f t="shared" si="30"/>
        <v>0</v>
      </c>
      <c r="I1764" s="1"/>
      <c r="J1764" s="1"/>
    </row>
    <row r="1765" spans="2:10" x14ac:dyDescent="0.2">
      <c r="B1765" s="1" t="s">
        <v>298</v>
      </c>
      <c r="C1765" s="32">
        <v>8565</v>
      </c>
      <c r="D1765" s="1">
        <v>13000</v>
      </c>
      <c r="E1765" s="1"/>
      <c r="F1765" s="1">
        <v>144</v>
      </c>
      <c r="G1765" s="1">
        <v>13000</v>
      </c>
      <c r="H1765" s="5">
        <f t="shared" si="30"/>
        <v>0</v>
      </c>
      <c r="I1765" s="1"/>
      <c r="J1765" s="1"/>
    </row>
    <row r="1766" spans="2:10" x14ac:dyDescent="0.2">
      <c r="B1766" s="1" t="s">
        <v>298</v>
      </c>
      <c r="C1766" s="32">
        <v>3306</v>
      </c>
      <c r="D1766" s="1">
        <v>20000</v>
      </c>
      <c r="E1766" s="1"/>
      <c r="F1766" s="1">
        <v>222</v>
      </c>
      <c r="G1766" s="1">
        <v>20000</v>
      </c>
      <c r="H1766" s="5">
        <f t="shared" si="30"/>
        <v>0</v>
      </c>
      <c r="I1766" s="1"/>
      <c r="J1766" s="1"/>
    </row>
    <row r="1767" spans="2:10" x14ac:dyDescent="0.2">
      <c r="B1767" s="1" t="s">
        <v>298</v>
      </c>
      <c r="C1767" s="32">
        <v>2306</v>
      </c>
      <c r="D1767" s="1">
        <v>13000</v>
      </c>
      <c r="E1767" s="1"/>
      <c r="F1767" s="1">
        <v>144</v>
      </c>
      <c r="G1767" s="1">
        <v>13000</v>
      </c>
      <c r="H1767" s="5">
        <f t="shared" si="30"/>
        <v>0</v>
      </c>
      <c r="I1767" s="1"/>
      <c r="J1767" s="1"/>
    </row>
    <row r="1768" spans="2:10" x14ac:dyDescent="0.2">
      <c r="B1768" s="1" t="s">
        <v>298</v>
      </c>
      <c r="C1768" s="32">
        <v>9859</v>
      </c>
      <c r="D1768" s="1">
        <v>18000</v>
      </c>
      <c r="E1768" s="1"/>
      <c r="F1768" s="1">
        <v>200.82</v>
      </c>
      <c r="G1768" s="1">
        <v>18000</v>
      </c>
      <c r="H1768" s="5">
        <f t="shared" si="30"/>
        <v>0</v>
      </c>
      <c r="I1768" s="1"/>
      <c r="J1768" s="1"/>
    </row>
    <row r="1769" spans="2:10" x14ac:dyDescent="0.2">
      <c r="B1769" s="1" t="s">
        <v>298</v>
      </c>
      <c r="C1769" s="32">
        <v>3280</v>
      </c>
      <c r="D1769" s="1">
        <v>15000</v>
      </c>
      <c r="E1769" s="1"/>
      <c r="F1769" s="1">
        <v>167</v>
      </c>
      <c r="G1769" s="1">
        <v>15000</v>
      </c>
      <c r="H1769" s="5">
        <f t="shared" si="30"/>
        <v>0</v>
      </c>
      <c r="I1769" s="1"/>
      <c r="J1769" s="1"/>
    </row>
    <row r="1770" spans="2:10" x14ac:dyDescent="0.2">
      <c r="B1770" s="1" t="s">
        <v>298</v>
      </c>
      <c r="C1770" s="32">
        <v>1593</v>
      </c>
      <c r="D1770" s="1">
        <v>12000</v>
      </c>
      <c r="E1770" s="1"/>
      <c r="F1770" s="1">
        <v>133</v>
      </c>
      <c r="G1770" s="1">
        <v>12000</v>
      </c>
      <c r="H1770" s="5">
        <f t="shared" si="30"/>
        <v>0</v>
      </c>
      <c r="I1770" s="1"/>
      <c r="J1770" s="1"/>
    </row>
    <row r="1771" spans="2:10" x14ac:dyDescent="0.2">
      <c r="B1771" s="1" t="s">
        <v>298</v>
      </c>
      <c r="C1771" s="32">
        <v>2705</v>
      </c>
      <c r="D1771" s="1">
        <v>12000</v>
      </c>
      <c r="E1771" s="1"/>
      <c r="F1771" s="1">
        <v>133</v>
      </c>
      <c r="G1771" s="1">
        <v>12000</v>
      </c>
      <c r="H1771" s="5">
        <f t="shared" si="30"/>
        <v>0</v>
      </c>
      <c r="I1771" s="1"/>
      <c r="J1771" s="1"/>
    </row>
    <row r="1772" spans="2:10" x14ac:dyDescent="0.2">
      <c r="B1772" s="1" t="s">
        <v>298</v>
      </c>
      <c r="C1772" s="32">
        <v>915</v>
      </c>
      <c r="D1772" s="1">
        <v>13000</v>
      </c>
      <c r="E1772" s="1"/>
      <c r="F1772" s="1">
        <v>144</v>
      </c>
      <c r="G1772" s="1">
        <v>13000</v>
      </c>
      <c r="H1772" s="5">
        <f t="shared" si="30"/>
        <v>0</v>
      </c>
      <c r="I1772" s="1"/>
      <c r="J1772" s="1"/>
    </row>
    <row r="1773" spans="2:10" x14ac:dyDescent="0.2">
      <c r="B1773" s="1" t="s">
        <v>298</v>
      </c>
      <c r="C1773" s="32" t="s">
        <v>63</v>
      </c>
      <c r="D1773" s="1">
        <v>3500</v>
      </c>
      <c r="E1773" s="1"/>
      <c r="F1773" s="1">
        <v>38</v>
      </c>
      <c r="G1773" s="1">
        <v>3500</v>
      </c>
      <c r="H1773" s="5">
        <f t="shared" si="30"/>
        <v>0</v>
      </c>
      <c r="I1773" s="1"/>
      <c r="J1773" s="1"/>
    </row>
    <row r="1774" spans="2:10" x14ac:dyDescent="0.2">
      <c r="B1774" s="1" t="s">
        <v>298</v>
      </c>
      <c r="C1774" s="32">
        <v>4575</v>
      </c>
      <c r="D1774" s="1">
        <v>13000</v>
      </c>
      <c r="E1774" s="1"/>
      <c r="F1774" s="1">
        <v>144</v>
      </c>
      <c r="G1774" s="1">
        <v>13000</v>
      </c>
      <c r="H1774" s="5">
        <f t="shared" si="30"/>
        <v>0</v>
      </c>
      <c r="I1774" s="1"/>
      <c r="J1774" s="1"/>
    </row>
    <row r="1775" spans="2:10" x14ac:dyDescent="0.2">
      <c r="B1775" s="1" t="s">
        <v>298</v>
      </c>
      <c r="C1775" s="32">
        <v>1620</v>
      </c>
      <c r="D1775" s="1">
        <v>13000</v>
      </c>
      <c r="E1775" s="1"/>
      <c r="F1775" s="1">
        <v>144</v>
      </c>
      <c r="G1775" s="1">
        <v>13000</v>
      </c>
      <c r="H1775" s="5">
        <f t="shared" si="30"/>
        <v>0</v>
      </c>
      <c r="I1775" s="1"/>
      <c r="J1775" s="1"/>
    </row>
    <row r="1776" spans="2:10" x14ac:dyDescent="0.2">
      <c r="B1776" s="1" t="s">
        <v>298</v>
      </c>
      <c r="C1776" s="32">
        <v>472</v>
      </c>
      <c r="D1776" s="1">
        <v>18000</v>
      </c>
      <c r="E1776" s="1"/>
      <c r="F1776" s="1">
        <v>200.82</v>
      </c>
      <c r="G1776" s="1">
        <v>18000</v>
      </c>
      <c r="H1776" s="5">
        <f t="shared" si="30"/>
        <v>0</v>
      </c>
      <c r="I1776" s="1"/>
      <c r="J1776" s="1"/>
    </row>
    <row r="1777" spans="2:10" x14ac:dyDescent="0.2">
      <c r="B1777" s="1" t="s">
        <v>298</v>
      </c>
      <c r="C1777" s="32">
        <v>669</v>
      </c>
      <c r="D1777" s="1">
        <v>14000</v>
      </c>
      <c r="E1777" s="1"/>
      <c r="F1777" s="1">
        <v>155</v>
      </c>
      <c r="G1777" s="1">
        <v>14000</v>
      </c>
      <c r="H1777" s="5">
        <f t="shared" si="30"/>
        <v>0</v>
      </c>
      <c r="I1777" s="1"/>
      <c r="J1777" s="1"/>
    </row>
    <row r="1778" spans="2:10" x14ac:dyDescent="0.2">
      <c r="B1778" s="1" t="s">
        <v>298</v>
      </c>
      <c r="C1778" s="32">
        <v>8595</v>
      </c>
      <c r="D1778" s="1">
        <v>13000</v>
      </c>
      <c r="E1778" s="1"/>
      <c r="F1778" s="1">
        <v>144</v>
      </c>
      <c r="G1778" s="1">
        <v>13000</v>
      </c>
      <c r="H1778" s="5">
        <f t="shared" si="30"/>
        <v>0</v>
      </c>
      <c r="I1778" s="1"/>
      <c r="J1778" s="1"/>
    </row>
    <row r="1779" spans="2:10" x14ac:dyDescent="0.2">
      <c r="B1779" s="1" t="s">
        <v>298</v>
      </c>
      <c r="C1779" s="32">
        <v>2872</v>
      </c>
      <c r="D1779" s="1">
        <v>24000</v>
      </c>
      <c r="E1779" s="1"/>
      <c r="F1779" s="1">
        <v>267</v>
      </c>
      <c r="G1779" s="1">
        <v>24000</v>
      </c>
      <c r="H1779" s="5">
        <f t="shared" si="30"/>
        <v>0</v>
      </c>
      <c r="I1779" s="1"/>
      <c r="J1779" s="1"/>
    </row>
    <row r="1780" spans="2:10" x14ac:dyDescent="0.2">
      <c r="B1780" s="1" t="s">
        <v>298</v>
      </c>
      <c r="C1780" s="32">
        <v>6744</v>
      </c>
      <c r="D1780" s="1">
        <v>23000</v>
      </c>
      <c r="E1780" s="1"/>
      <c r="F1780" s="1">
        <v>256</v>
      </c>
      <c r="G1780" s="1">
        <v>23000</v>
      </c>
      <c r="H1780" s="5">
        <f t="shared" si="30"/>
        <v>0</v>
      </c>
      <c r="I1780" s="1"/>
      <c r="J1780" s="1"/>
    </row>
    <row r="1781" spans="2:10" x14ac:dyDescent="0.2">
      <c r="B1781" s="1" t="s">
        <v>298</v>
      </c>
      <c r="C1781" s="32">
        <v>2726</v>
      </c>
      <c r="D1781" s="1">
        <v>20000</v>
      </c>
      <c r="E1781" s="1"/>
      <c r="F1781" s="1">
        <v>222.8</v>
      </c>
      <c r="G1781" s="1">
        <v>20000</v>
      </c>
      <c r="H1781" s="5">
        <f t="shared" si="30"/>
        <v>0</v>
      </c>
      <c r="I1781" s="1"/>
      <c r="J1781" s="1"/>
    </row>
    <row r="1782" spans="2:10" x14ac:dyDescent="0.2">
      <c r="B1782" s="1" t="s">
        <v>298</v>
      </c>
      <c r="C1782" s="32">
        <v>1716</v>
      </c>
      <c r="D1782" s="1">
        <v>10000</v>
      </c>
      <c r="E1782" s="1"/>
      <c r="F1782" s="1">
        <v>111</v>
      </c>
      <c r="G1782" s="1">
        <v>10000</v>
      </c>
      <c r="H1782" s="5">
        <f t="shared" si="30"/>
        <v>0</v>
      </c>
      <c r="I1782" s="1"/>
      <c r="J1782" s="1"/>
    </row>
    <row r="1783" spans="2:10" x14ac:dyDescent="0.2">
      <c r="B1783" s="1" t="s">
        <v>298</v>
      </c>
      <c r="C1783" s="32">
        <v>2199</v>
      </c>
      <c r="D1783" s="1">
        <v>20000</v>
      </c>
      <c r="E1783" s="1"/>
      <c r="F1783" s="1">
        <v>222.8</v>
      </c>
      <c r="G1783" s="1">
        <v>20000</v>
      </c>
      <c r="H1783" s="5">
        <f t="shared" si="30"/>
        <v>0</v>
      </c>
      <c r="I1783" s="1"/>
      <c r="J1783" s="1"/>
    </row>
    <row r="1784" spans="2:10" x14ac:dyDescent="0.2">
      <c r="B1784" s="1" t="s">
        <v>298</v>
      </c>
      <c r="C1784" s="32">
        <v>3704</v>
      </c>
      <c r="D1784" s="1">
        <v>12000</v>
      </c>
      <c r="E1784" s="1"/>
      <c r="F1784" s="1">
        <v>133</v>
      </c>
      <c r="G1784" s="1">
        <v>12000</v>
      </c>
      <c r="H1784" s="5">
        <f t="shared" si="30"/>
        <v>0</v>
      </c>
      <c r="I1784" s="1"/>
      <c r="J1784" s="1"/>
    </row>
    <row r="1785" spans="2:10" x14ac:dyDescent="0.2">
      <c r="B1785" s="1" t="s">
        <v>298</v>
      </c>
      <c r="C1785" s="32">
        <v>2995</v>
      </c>
      <c r="D1785" s="1">
        <v>14000</v>
      </c>
      <c r="E1785" s="1"/>
      <c r="F1785" s="1">
        <v>155</v>
      </c>
      <c r="G1785" s="1">
        <v>14000</v>
      </c>
      <c r="H1785" s="5">
        <f t="shared" si="30"/>
        <v>0</v>
      </c>
      <c r="I1785" s="1"/>
      <c r="J1785" s="1"/>
    </row>
    <row r="1786" spans="2:10" x14ac:dyDescent="0.2">
      <c r="B1786" s="1" t="s">
        <v>298</v>
      </c>
      <c r="C1786" s="32">
        <v>9903</v>
      </c>
      <c r="D1786" s="1">
        <v>15000</v>
      </c>
      <c r="E1786" s="1"/>
      <c r="F1786" s="1">
        <v>167</v>
      </c>
      <c r="G1786" s="1">
        <v>15000</v>
      </c>
      <c r="H1786" s="5">
        <f t="shared" si="30"/>
        <v>0</v>
      </c>
      <c r="I1786" s="1"/>
      <c r="J1786" s="1"/>
    </row>
    <row r="1787" spans="2:10" x14ac:dyDescent="0.2">
      <c r="B1787" s="1" t="s">
        <v>298</v>
      </c>
      <c r="C1787" s="32" t="s">
        <v>30</v>
      </c>
      <c r="D1787" s="1">
        <v>7000</v>
      </c>
      <c r="E1787" s="1"/>
      <c r="F1787" s="1">
        <v>77.930000000000007</v>
      </c>
      <c r="G1787" s="1">
        <v>7000</v>
      </c>
      <c r="H1787" s="5">
        <f t="shared" si="30"/>
        <v>0</v>
      </c>
      <c r="I1787" s="1"/>
      <c r="J1787" s="1"/>
    </row>
    <row r="1788" spans="2:10" x14ac:dyDescent="0.2">
      <c r="B1788" s="1" t="s">
        <v>298</v>
      </c>
      <c r="C1788" s="32">
        <v>9565</v>
      </c>
      <c r="D1788" s="1">
        <v>25000</v>
      </c>
      <c r="E1788" s="1"/>
      <c r="F1788" s="1">
        <v>278</v>
      </c>
      <c r="G1788" s="1">
        <v>25000</v>
      </c>
      <c r="H1788" s="5">
        <f t="shared" si="30"/>
        <v>0</v>
      </c>
      <c r="I1788" s="1"/>
      <c r="J1788" s="1"/>
    </row>
    <row r="1789" spans="2:10" x14ac:dyDescent="0.2">
      <c r="B1789" s="1" t="s">
        <v>298</v>
      </c>
      <c r="C1789" s="32">
        <v>445</v>
      </c>
      <c r="D1789" s="1">
        <v>21000</v>
      </c>
      <c r="E1789" s="1"/>
      <c r="F1789" s="1">
        <v>233</v>
      </c>
      <c r="G1789" s="1">
        <v>21000</v>
      </c>
      <c r="H1789" s="5">
        <f t="shared" si="30"/>
        <v>0</v>
      </c>
      <c r="I1789" s="1"/>
      <c r="J1789" s="1"/>
    </row>
    <row r="1790" spans="2:10" x14ac:dyDescent="0.2">
      <c r="B1790" s="1" t="s">
        <v>299</v>
      </c>
      <c r="C1790" s="32">
        <v>5613</v>
      </c>
      <c r="D1790" s="1">
        <v>20000</v>
      </c>
      <c r="E1790" s="1"/>
      <c r="F1790" s="1">
        <v>222.82</v>
      </c>
      <c r="G1790" s="1">
        <v>20000</v>
      </c>
      <c r="H1790" s="5">
        <f t="shared" si="30"/>
        <v>0</v>
      </c>
      <c r="I1790" s="1"/>
      <c r="J1790" s="1"/>
    </row>
    <row r="1791" spans="2:10" x14ac:dyDescent="0.2">
      <c r="B1791" s="1" t="s">
        <v>299</v>
      </c>
      <c r="C1791" s="32">
        <v>4565</v>
      </c>
      <c r="D1791" s="1">
        <v>13000</v>
      </c>
      <c r="E1791" s="1"/>
      <c r="F1791" s="1">
        <v>144</v>
      </c>
      <c r="G1791" s="1">
        <v>13000</v>
      </c>
      <c r="H1791" s="5">
        <f t="shared" si="30"/>
        <v>0</v>
      </c>
      <c r="I1791" s="1"/>
      <c r="J1791" s="1"/>
    </row>
    <row r="1792" spans="2:10" x14ac:dyDescent="0.2">
      <c r="B1792" s="1" t="s">
        <v>299</v>
      </c>
      <c r="C1792" s="32">
        <v>1071</v>
      </c>
      <c r="D1792" s="1">
        <v>13000</v>
      </c>
      <c r="E1792" s="1"/>
      <c r="F1792" s="1">
        <v>144</v>
      </c>
      <c r="G1792" s="1">
        <v>13000</v>
      </c>
      <c r="H1792" s="5">
        <f t="shared" si="30"/>
        <v>0</v>
      </c>
      <c r="I1792" s="1"/>
      <c r="J1792" s="1"/>
    </row>
    <row r="1793" spans="2:10" x14ac:dyDescent="0.2">
      <c r="B1793" s="1" t="s">
        <v>299</v>
      </c>
      <c r="C1793" s="32">
        <v>6012</v>
      </c>
      <c r="D1793" s="1">
        <v>14000</v>
      </c>
      <c r="E1793" s="1"/>
      <c r="F1793" s="1">
        <v>14000</v>
      </c>
      <c r="G1793" s="1">
        <v>14000</v>
      </c>
      <c r="H1793" s="5">
        <f t="shared" si="30"/>
        <v>0</v>
      </c>
      <c r="I1793" s="1"/>
      <c r="J1793" s="1"/>
    </row>
    <row r="1794" spans="2:10" x14ac:dyDescent="0.2">
      <c r="B1794" s="1" t="s">
        <v>299</v>
      </c>
      <c r="C1794" s="32" t="s">
        <v>30</v>
      </c>
      <c r="D1794" s="1">
        <v>5000</v>
      </c>
      <c r="E1794" s="1"/>
      <c r="F1794" s="1">
        <v>55.05</v>
      </c>
      <c r="G1794" s="1">
        <v>5000</v>
      </c>
      <c r="H1794" s="5">
        <f t="shared" si="30"/>
        <v>0</v>
      </c>
      <c r="I1794" s="1"/>
      <c r="J1794" s="1"/>
    </row>
    <row r="1795" spans="2:10" x14ac:dyDescent="0.2">
      <c r="B1795" s="1" t="s">
        <v>299</v>
      </c>
      <c r="C1795" s="32">
        <v>4626</v>
      </c>
      <c r="D1795" s="1">
        <v>13000</v>
      </c>
      <c r="E1795" s="1"/>
      <c r="F1795" s="1">
        <v>144</v>
      </c>
      <c r="G1795" s="1">
        <v>13000</v>
      </c>
      <c r="H1795" s="5">
        <f t="shared" si="30"/>
        <v>0</v>
      </c>
      <c r="I1795" s="1"/>
      <c r="J1795" s="1"/>
    </row>
    <row r="1796" spans="2:10" x14ac:dyDescent="0.2">
      <c r="B1796" s="1" t="s">
        <v>299</v>
      </c>
      <c r="C1796" s="32">
        <v>5612</v>
      </c>
      <c r="D1796" s="1">
        <v>23000</v>
      </c>
      <c r="E1796" s="1"/>
      <c r="F1796" s="1">
        <v>250</v>
      </c>
      <c r="G1796" s="1">
        <v>23000</v>
      </c>
      <c r="H1796" s="5">
        <f t="shared" si="30"/>
        <v>0</v>
      </c>
      <c r="I1796" s="1"/>
      <c r="J1796" s="1"/>
    </row>
    <row r="1797" spans="2:10" x14ac:dyDescent="0.2">
      <c r="B1797" s="1" t="s">
        <v>299</v>
      </c>
      <c r="C1797" s="32" t="s">
        <v>66</v>
      </c>
      <c r="D1797" s="1">
        <v>100</v>
      </c>
      <c r="E1797" s="1"/>
      <c r="F1797" s="1">
        <v>1.05</v>
      </c>
      <c r="G1797" s="1">
        <v>100</v>
      </c>
      <c r="H1797" s="5">
        <f t="shared" si="30"/>
        <v>0</v>
      </c>
      <c r="I1797" s="1"/>
      <c r="J1797" s="1"/>
    </row>
    <row r="1798" spans="2:10" x14ac:dyDescent="0.2">
      <c r="B1798" s="1" t="s">
        <v>299</v>
      </c>
      <c r="C1798" s="32">
        <v>645</v>
      </c>
      <c r="D1798" s="1">
        <v>13500</v>
      </c>
      <c r="E1798" s="1"/>
      <c r="F1798" s="1">
        <v>150.4</v>
      </c>
      <c r="G1798" s="1">
        <v>13500</v>
      </c>
      <c r="H1798" s="5">
        <f t="shared" si="30"/>
        <v>0</v>
      </c>
      <c r="I1798" s="1"/>
      <c r="J1798" s="1"/>
    </row>
    <row r="1799" spans="2:10" x14ac:dyDescent="0.2">
      <c r="B1799" s="1" t="s">
        <v>299</v>
      </c>
      <c r="C1799" s="32">
        <v>3671</v>
      </c>
      <c r="D1799" s="1">
        <v>23000</v>
      </c>
      <c r="E1799" s="1"/>
      <c r="F1799" s="1">
        <v>250</v>
      </c>
      <c r="G1799" s="1">
        <v>23000</v>
      </c>
      <c r="H1799" s="5">
        <f t="shared" ref="H1799:H1868" si="31">D1799-G1799</f>
        <v>0</v>
      </c>
      <c r="I1799" s="1"/>
      <c r="J1799" s="1"/>
    </row>
    <row r="1800" spans="2:10" x14ac:dyDescent="0.2">
      <c r="B1800" s="1" t="s">
        <v>299</v>
      </c>
      <c r="C1800" s="32">
        <v>777</v>
      </c>
      <c r="D1800" s="1">
        <v>23000</v>
      </c>
      <c r="E1800" s="1"/>
      <c r="F1800" s="1">
        <v>250</v>
      </c>
      <c r="G1800" s="1">
        <v>23000</v>
      </c>
      <c r="H1800" s="5">
        <f t="shared" si="31"/>
        <v>0</v>
      </c>
      <c r="I1800" s="1"/>
      <c r="J1800" s="1"/>
    </row>
    <row r="1801" spans="2:10" x14ac:dyDescent="0.2">
      <c r="B1801" s="1" t="s">
        <v>299</v>
      </c>
      <c r="C1801" s="32">
        <v>1336</v>
      </c>
      <c r="D1801" s="1">
        <v>18000</v>
      </c>
      <c r="E1801" s="1"/>
      <c r="F1801" s="1">
        <v>200.53</v>
      </c>
      <c r="G1801" s="1">
        <v>18000</v>
      </c>
      <c r="H1801" s="5">
        <f t="shared" si="31"/>
        <v>0</v>
      </c>
      <c r="I1801" s="1"/>
      <c r="J1801" s="1"/>
    </row>
    <row r="1802" spans="2:10" x14ac:dyDescent="0.2">
      <c r="B1802" s="1" t="s">
        <v>299</v>
      </c>
      <c r="C1802" s="32">
        <v>7178</v>
      </c>
      <c r="D1802" s="1">
        <v>25000</v>
      </c>
      <c r="E1802" s="1"/>
      <c r="F1802" s="1">
        <v>260.31</v>
      </c>
      <c r="G1802" s="1">
        <v>25000</v>
      </c>
      <c r="H1802" s="5">
        <f t="shared" si="31"/>
        <v>0</v>
      </c>
      <c r="I1802" s="1"/>
      <c r="J1802" s="1"/>
    </row>
    <row r="1803" spans="2:10" x14ac:dyDescent="0.2">
      <c r="B1803" s="1" t="s">
        <v>299</v>
      </c>
      <c r="C1803" s="32">
        <v>1840</v>
      </c>
      <c r="D1803" s="1">
        <v>7000</v>
      </c>
      <c r="E1803" s="1"/>
      <c r="F1803" s="1">
        <v>77.59</v>
      </c>
      <c r="G1803" s="1">
        <v>7000</v>
      </c>
      <c r="H1803" s="5">
        <f t="shared" si="31"/>
        <v>0</v>
      </c>
      <c r="I1803" s="1"/>
      <c r="J1803" s="1"/>
    </row>
    <row r="1804" spans="2:10" x14ac:dyDescent="0.2">
      <c r="B1804" s="1" t="s">
        <v>299</v>
      </c>
      <c r="C1804" s="32">
        <v>1951</v>
      </c>
      <c r="D1804" s="1">
        <v>7000</v>
      </c>
      <c r="E1804" s="1"/>
      <c r="F1804" s="1">
        <v>77.59</v>
      </c>
      <c r="G1804" s="1">
        <v>7000</v>
      </c>
      <c r="H1804" s="5">
        <f t="shared" si="31"/>
        <v>0</v>
      </c>
      <c r="I1804" s="1"/>
      <c r="J1804" s="1"/>
    </row>
    <row r="1805" spans="2:10" x14ac:dyDescent="0.2">
      <c r="B1805" s="1" t="s">
        <v>299</v>
      </c>
      <c r="C1805" s="32">
        <v>9382</v>
      </c>
      <c r="D1805" s="1">
        <v>20000</v>
      </c>
      <c r="E1805" s="1"/>
      <c r="F1805" s="1">
        <v>222.82</v>
      </c>
      <c r="G1805" s="1">
        <v>20000</v>
      </c>
      <c r="H1805" s="5">
        <f t="shared" si="31"/>
        <v>0</v>
      </c>
      <c r="I1805" s="1"/>
      <c r="J1805" s="1"/>
    </row>
    <row r="1806" spans="2:10" x14ac:dyDescent="0.2">
      <c r="B1806" s="1" t="s">
        <v>299</v>
      </c>
      <c r="C1806" s="32">
        <v>5187</v>
      </c>
      <c r="D1806" s="1">
        <v>30000</v>
      </c>
      <c r="E1806" s="1"/>
      <c r="F1806" s="1">
        <v>334.22</v>
      </c>
      <c r="G1806" s="1">
        <v>30000</v>
      </c>
      <c r="H1806" s="5">
        <f t="shared" si="31"/>
        <v>0</v>
      </c>
      <c r="I1806" s="1"/>
      <c r="J1806" s="1"/>
    </row>
    <row r="1807" spans="2:10" x14ac:dyDescent="0.2">
      <c r="B1807" s="1" t="s">
        <v>299</v>
      </c>
      <c r="C1807" s="32">
        <v>7153</v>
      </c>
      <c r="D1807" s="1">
        <v>30000</v>
      </c>
      <c r="E1807" s="1"/>
      <c r="F1807" s="1">
        <v>334.22</v>
      </c>
      <c r="G1807" s="1">
        <v>30000</v>
      </c>
      <c r="H1807" s="5">
        <f t="shared" si="31"/>
        <v>0</v>
      </c>
      <c r="I1807" s="1"/>
      <c r="J1807" s="1"/>
    </row>
    <row r="1808" spans="2:10" x14ac:dyDescent="0.2">
      <c r="B1808" s="1" t="s">
        <v>300</v>
      </c>
      <c r="C1808" s="32">
        <v>8989</v>
      </c>
      <c r="D1808" s="1">
        <v>25700</v>
      </c>
      <c r="E1808" s="1"/>
      <c r="F1808" s="1">
        <v>286</v>
      </c>
      <c r="G1808" s="1">
        <v>25700</v>
      </c>
      <c r="H1808" s="5">
        <f t="shared" si="31"/>
        <v>0</v>
      </c>
      <c r="I1808" s="1"/>
      <c r="J1808" s="1"/>
    </row>
    <row r="1809" spans="2:10" x14ac:dyDescent="0.2">
      <c r="B1809" s="1" t="s">
        <v>300</v>
      </c>
      <c r="C1809" s="32">
        <v>3175</v>
      </c>
      <c r="D1809" s="1">
        <v>15000</v>
      </c>
      <c r="E1809" s="1"/>
      <c r="F1809" s="1">
        <v>167</v>
      </c>
      <c r="G1809" s="1">
        <v>15000</v>
      </c>
      <c r="H1809" s="5">
        <f t="shared" si="31"/>
        <v>0</v>
      </c>
      <c r="I1809" s="1"/>
      <c r="J1809" s="1"/>
    </row>
    <row r="1810" spans="2:10" x14ac:dyDescent="0.2">
      <c r="B1810" s="1" t="s">
        <v>300</v>
      </c>
      <c r="C1810" s="32">
        <v>1287</v>
      </c>
      <c r="D1810" s="1">
        <v>15000</v>
      </c>
      <c r="E1810" s="1"/>
      <c r="F1810" s="1">
        <v>167</v>
      </c>
      <c r="G1810" s="1">
        <v>15000</v>
      </c>
      <c r="H1810" s="5">
        <f t="shared" si="31"/>
        <v>0</v>
      </c>
      <c r="I1810" s="1"/>
      <c r="J1810" s="1"/>
    </row>
    <row r="1811" spans="2:10" x14ac:dyDescent="0.2">
      <c r="B1811" s="1" t="s">
        <v>300</v>
      </c>
      <c r="C1811" s="32">
        <v>4624</v>
      </c>
      <c r="D1811" s="1">
        <v>13000</v>
      </c>
      <c r="E1811" s="1"/>
      <c r="F1811" s="1">
        <v>144</v>
      </c>
      <c r="G1811" s="1">
        <v>13000</v>
      </c>
      <c r="H1811" s="5">
        <f t="shared" si="31"/>
        <v>0</v>
      </c>
      <c r="I1811" s="1"/>
      <c r="J1811" s="1"/>
    </row>
    <row r="1812" spans="2:10" x14ac:dyDescent="0.2">
      <c r="B1812" s="1" t="s">
        <v>300</v>
      </c>
      <c r="C1812" s="32">
        <v>5920</v>
      </c>
      <c r="D1812" s="1">
        <v>15000</v>
      </c>
      <c r="E1812" s="1"/>
      <c r="F1812" s="1">
        <v>167</v>
      </c>
      <c r="G1812" s="1">
        <v>15000</v>
      </c>
      <c r="H1812" s="5">
        <f t="shared" si="31"/>
        <v>0</v>
      </c>
      <c r="I1812" s="1"/>
      <c r="J1812" s="1"/>
    </row>
    <row r="1813" spans="2:10" x14ac:dyDescent="0.2">
      <c r="B1813" s="1" t="s">
        <v>300</v>
      </c>
      <c r="C1813" s="32">
        <v>1299</v>
      </c>
      <c r="D1813" s="1">
        <v>19000</v>
      </c>
      <c r="E1813" s="1"/>
      <c r="F1813" s="1">
        <v>211</v>
      </c>
      <c r="G1813" s="1">
        <v>19000</v>
      </c>
      <c r="H1813" s="5">
        <f t="shared" si="31"/>
        <v>0</v>
      </c>
      <c r="I1813" s="1"/>
      <c r="J1813" s="1"/>
    </row>
    <row r="1814" spans="2:10" x14ac:dyDescent="0.2">
      <c r="B1814" s="1" t="s">
        <v>300</v>
      </c>
      <c r="C1814" s="32">
        <v>1020</v>
      </c>
      <c r="D1814" s="1">
        <v>30000</v>
      </c>
      <c r="E1814" s="1"/>
      <c r="F1814" s="1">
        <v>334</v>
      </c>
      <c r="G1814" s="1">
        <v>30000</v>
      </c>
      <c r="H1814" s="5">
        <f t="shared" si="31"/>
        <v>0</v>
      </c>
      <c r="I1814" s="1"/>
      <c r="J1814" s="1"/>
    </row>
    <row r="1815" spans="2:10" x14ac:dyDescent="0.2">
      <c r="B1815" s="1" t="s">
        <v>300</v>
      </c>
      <c r="C1815" s="32">
        <v>3887</v>
      </c>
      <c r="D1815" s="1">
        <v>15000</v>
      </c>
      <c r="E1815" s="1"/>
      <c r="F1815" s="1">
        <v>167</v>
      </c>
      <c r="G1815" s="1">
        <v>15000</v>
      </c>
      <c r="H1815" s="5">
        <f t="shared" si="31"/>
        <v>0</v>
      </c>
      <c r="I1815" s="1"/>
      <c r="J1815" s="1"/>
    </row>
    <row r="1816" spans="2:10" x14ac:dyDescent="0.2">
      <c r="B1816" s="1" t="s">
        <v>300</v>
      </c>
      <c r="C1816" s="32">
        <v>226</v>
      </c>
      <c r="D1816" s="1">
        <v>20000</v>
      </c>
      <c r="E1816" s="1"/>
      <c r="F1816" s="1">
        <v>222.82</v>
      </c>
      <c r="G1816" s="1">
        <v>20000</v>
      </c>
      <c r="H1816" s="5">
        <f t="shared" si="31"/>
        <v>0</v>
      </c>
      <c r="I1816" s="1"/>
      <c r="J1816" s="1"/>
    </row>
    <row r="1817" spans="2:10" x14ac:dyDescent="0.2">
      <c r="B1817" s="1" t="s">
        <v>300</v>
      </c>
      <c r="C1817" s="32">
        <v>4424</v>
      </c>
      <c r="D1817" s="1">
        <v>20000</v>
      </c>
      <c r="E1817" s="1"/>
      <c r="F1817" s="1">
        <v>222.82</v>
      </c>
      <c r="G1817" s="1">
        <v>20000</v>
      </c>
      <c r="H1817" s="5">
        <f t="shared" si="31"/>
        <v>0</v>
      </c>
      <c r="I1817" s="1"/>
      <c r="J1817" s="1"/>
    </row>
    <row r="1818" spans="2:10" x14ac:dyDescent="0.2">
      <c r="B1818" s="1" t="s">
        <v>300</v>
      </c>
      <c r="C1818" s="32">
        <v>4869</v>
      </c>
      <c r="D1818" s="1">
        <v>20000</v>
      </c>
      <c r="E1818" s="1"/>
      <c r="F1818" s="1">
        <v>222.82</v>
      </c>
      <c r="G1818" s="1">
        <v>20000</v>
      </c>
      <c r="H1818" s="5">
        <f t="shared" si="31"/>
        <v>0</v>
      </c>
      <c r="I1818" s="1"/>
      <c r="J1818" s="1"/>
    </row>
    <row r="1819" spans="2:10" x14ac:dyDescent="0.2">
      <c r="B1819" s="1" t="s">
        <v>300</v>
      </c>
      <c r="C1819" s="32">
        <v>3433</v>
      </c>
      <c r="D1819" s="1">
        <v>15000</v>
      </c>
      <c r="E1819" s="1"/>
      <c r="F1819" s="1">
        <v>167</v>
      </c>
      <c r="G1819" s="1">
        <v>15000</v>
      </c>
      <c r="H1819" s="5">
        <f t="shared" si="31"/>
        <v>0</v>
      </c>
      <c r="I1819" s="1"/>
      <c r="J1819" s="1"/>
    </row>
    <row r="1820" spans="2:10" x14ac:dyDescent="0.2">
      <c r="B1820" s="1" t="s">
        <v>300</v>
      </c>
      <c r="C1820" s="32">
        <v>4032</v>
      </c>
      <c r="D1820" s="1">
        <v>10000</v>
      </c>
      <c r="E1820" s="1"/>
      <c r="F1820" s="1">
        <v>111.41</v>
      </c>
      <c r="G1820" s="1">
        <v>10000</v>
      </c>
      <c r="H1820" s="5">
        <f t="shared" si="31"/>
        <v>0</v>
      </c>
      <c r="I1820" s="1"/>
      <c r="J1820" s="1"/>
    </row>
    <row r="1821" spans="2:10" x14ac:dyDescent="0.2">
      <c r="B1821" s="1" t="s">
        <v>300</v>
      </c>
      <c r="C1821" s="32">
        <v>7696</v>
      </c>
      <c r="D1821" s="1">
        <v>16000</v>
      </c>
      <c r="E1821" s="1"/>
      <c r="F1821" s="1"/>
      <c r="G1821" s="1">
        <v>16000</v>
      </c>
      <c r="H1821" s="5">
        <f t="shared" si="31"/>
        <v>0</v>
      </c>
      <c r="I1821" s="1"/>
      <c r="J1821" s="1"/>
    </row>
    <row r="1822" spans="2:10" x14ac:dyDescent="0.2">
      <c r="B1822" s="1" t="s">
        <v>300</v>
      </c>
      <c r="C1822" s="32" t="s">
        <v>30</v>
      </c>
      <c r="D1822" s="1">
        <v>4000</v>
      </c>
      <c r="E1822" s="1"/>
      <c r="F1822" s="1">
        <v>45.15</v>
      </c>
      <c r="G1822" s="1">
        <v>4000</v>
      </c>
      <c r="H1822" s="5">
        <f t="shared" si="31"/>
        <v>0</v>
      </c>
      <c r="I1822" s="1"/>
      <c r="J1822" s="1"/>
    </row>
    <row r="1823" spans="2:10" x14ac:dyDescent="0.2">
      <c r="B1823" s="1" t="s">
        <v>300</v>
      </c>
      <c r="C1823" s="32" t="s">
        <v>30</v>
      </c>
      <c r="D1823" s="1">
        <v>3500</v>
      </c>
      <c r="E1823" s="1"/>
      <c r="F1823" s="1">
        <v>39.35</v>
      </c>
      <c r="G1823" s="1">
        <v>3500</v>
      </c>
      <c r="H1823" s="5">
        <f t="shared" si="31"/>
        <v>0</v>
      </c>
      <c r="I1823" s="1"/>
      <c r="J1823" s="1"/>
    </row>
    <row r="1824" spans="2:10" x14ac:dyDescent="0.2">
      <c r="B1824" s="1" t="s">
        <v>301</v>
      </c>
      <c r="C1824" s="32">
        <v>1332</v>
      </c>
      <c r="D1824" s="1">
        <v>20000</v>
      </c>
      <c r="E1824" s="1"/>
      <c r="F1824" s="1">
        <v>222.82</v>
      </c>
      <c r="G1824" s="1">
        <v>20000</v>
      </c>
      <c r="H1824" s="5">
        <f t="shared" si="31"/>
        <v>0</v>
      </c>
      <c r="I1824" s="1"/>
      <c r="J1824" s="1"/>
    </row>
    <row r="1825" spans="2:10" x14ac:dyDescent="0.2">
      <c r="B1825" s="1" t="s">
        <v>301</v>
      </c>
      <c r="C1825" s="32">
        <v>889</v>
      </c>
      <c r="D1825" s="1">
        <v>13000</v>
      </c>
      <c r="E1825" s="1"/>
      <c r="F1825" s="1">
        <v>144</v>
      </c>
      <c r="G1825" s="1">
        <v>13000</v>
      </c>
      <c r="H1825" s="5">
        <f t="shared" si="31"/>
        <v>0</v>
      </c>
      <c r="I1825" s="1"/>
      <c r="J1825" s="1"/>
    </row>
    <row r="1826" spans="2:10" x14ac:dyDescent="0.2">
      <c r="B1826" s="1" t="s">
        <v>301</v>
      </c>
      <c r="C1826" s="32">
        <v>5971</v>
      </c>
      <c r="D1826" s="1">
        <v>15000</v>
      </c>
      <c r="E1826" s="1"/>
      <c r="F1826" s="1">
        <v>167</v>
      </c>
      <c r="G1826" s="1">
        <v>15000</v>
      </c>
      <c r="H1826" s="5">
        <f t="shared" si="31"/>
        <v>0</v>
      </c>
      <c r="I1826" s="1"/>
      <c r="J1826" s="1"/>
    </row>
    <row r="1827" spans="2:10" x14ac:dyDescent="0.2">
      <c r="B1827" s="1" t="s">
        <v>301</v>
      </c>
      <c r="C1827" s="32">
        <v>2381</v>
      </c>
      <c r="D1827" s="1">
        <v>20000</v>
      </c>
      <c r="E1827" s="1"/>
      <c r="F1827" s="1">
        <v>222.82</v>
      </c>
      <c r="G1827" s="1">
        <v>20000</v>
      </c>
      <c r="H1827" s="5">
        <f t="shared" si="31"/>
        <v>0</v>
      </c>
      <c r="I1827" s="1"/>
      <c r="J1827" s="1"/>
    </row>
    <row r="1828" spans="2:10" x14ac:dyDescent="0.2">
      <c r="B1828" s="1" t="s">
        <v>301</v>
      </c>
      <c r="C1828" s="32">
        <v>1315</v>
      </c>
      <c r="D1828" s="1">
        <v>16000</v>
      </c>
      <c r="E1828" s="1"/>
      <c r="F1828" s="1">
        <v>178</v>
      </c>
      <c r="G1828" s="1">
        <v>16000</v>
      </c>
      <c r="H1828" s="5">
        <f t="shared" si="31"/>
        <v>0</v>
      </c>
      <c r="I1828" s="1"/>
      <c r="J1828" s="1"/>
    </row>
    <row r="1829" spans="2:10" x14ac:dyDescent="0.2">
      <c r="B1829" s="1" t="s">
        <v>301</v>
      </c>
      <c r="C1829" s="32">
        <v>4051</v>
      </c>
      <c r="D1829" s="1">
        <v>10000</v>
      </c>
      <c r="E1829" s="1"/>
      <c r="F1829" s="1">
        <v>111.41</v>
      </c>
      <c r="G1829" s="1">
        <v>10000</v>
      </c>
      <c r="H1829" s="5">
        <f t="shared" si="31"/>
        <v>0</v>
      </c>
      <c r="I1829" s="1"/>
      <c r="J1829" s="1"/>
    </row>
    <row r="1830" spans="2:10" x14ac:dyDescent="0.2">
      <c r="B1830" s="1" t="s">
        <v>301</v>
      </c>
      <c r="C1830" s="32">
        <v>3161</v>
      </c>
      <c r="D1830" s="1">
        <v>16000</v>
      </c>
      <c r="E1830" s="1"/>
      <c r="F1830" s="1">
        <v>178</v>
      </c>
      <c r="G1830" s="1">
        <v>16000</v>
      </c>
      <c r="H1830" s="5">
        <f t="shared" si="31"/>
        <v>0</v>
      </c>
      <c r="I1830" s="1"/>
      <c r="J1830" s="1"/>
    </row>
    <row r="1831" spans="2:10" x14ac:dyDescent="0.2">
      <c r="B1831" s="1" t="s">
        <v>301</v>
      </c>
      <c r="C1831" s="32">
        <v>112</v>
      </c>
      <c r="D1831" s="1">
        <v>10000</v>
      </c>
      <c r="E1831" s="1"/>
      <c r="F1831" s="1">
        <v>111.41</v>
      </c>
      <c r="G1831" s="1">
        <v>10000</v>
      </c>
      <c r="H1831" s="5">
        <f t="shared" si="31"/>
        <v>0</v>
      </c>
      <c r="I1831" s="1"/>
      <c r="J1831" s="1"/>
    </row>
    <row r="1832" spans="2:10" x14ac:dyDescent="0.2">
      <c r="B1832" s="1" t="s">
        <v>301</v>
      </c>
      <c r="C1832" s="32">
        <v>4928</v>
      </c>
      <c r="D1832" s="1">
        <v>23000</v>
      </c>
      <c r="E1832" s="1"/>
      <c r="F1832" s="1">
        <v>256</v>
      </c>
      <c r="G1832" s="1">
        <v>23000</v>
      </c>
      <c r="H1832" s="5">
        <f t="shared" si="31"/>
        <v>0</v>
      </c>
      <c r="I1832" s="1"/>
      <c r="J1832" s="1"/>
    </row>
    <row r="1833" spans="2:10" x14ac:dyDescent="0.2">
      <c r="B1833" s="1" t="s">
        <v>301</v>
      </c>
      <c r="C1833" s="32">
        <v>7386</v>
      </c>
      <c r="D1833" s="1">
        <v>18000</v>
      </c>
      <c r="E1833" s="1"/>
      <c r="F1833" s="1">
        <v>200</v>
      </c>
      <c r="G1833" s="1">
        <v>18000</v>
      </c>
      <c r="H1833" s="5">
        <f t="shared" si="31"/>
        <v>0</v>
      </c>
      <c r="I1833" s="1"/>
      <c r="J1833" s="1"/>
    </row>
    <row r="1834" spans="2:10" x14ac:dyDescent="0.2">
      <c r="B1834" s="1" t="s">
        <v>301</v>
      </c>
      <c r="C1834" s="32">
        <v>603</v>
      </c>
      <c r="D1834" s="1">
        <v>18000</v>
      </c>
      <c r="E1834" s="1"/>
      <c r="F1834" s="1">
        <v>200</v>
      </c>
      <c r="G1834" s="1">
        <v>18000</v>
      </c>
      <c r="H1834" s="5">
        <f t="shared" si="31"/>
        <v>0</v>
      </c>
      <c r="I1834" s="1"/>
      <c r="J1834" s="1"/>
    </row>
    <row r="1835" spans="2:10" x14ac:dyDescent="0.2">
      <c r="B1835" s="1" t="s">
        <v>301</v>
      </c>
      <c r="C1835" s="32">
        <v>9942</v>
      </c>
      <c r="D1835" s="1">
        <v>20000</v>
      </c>
      <c r="E1835" s="1"/>
      <c r="F1835" s="1">
        <v>222.82</v>
      </c>
      <c r="G1835" s="1">
        <v>20000</v>
      </c>
      <c r="H1835" s="5">
        <f t="shared" si="31"/>
        <v>0</v>
      </c>
      <c r="I1835" s="1"/>
      <c r="J1835" s="1"/>
    </row>
    <row r="1836" spans="2:10" x14ac:dyDescent="0.2">
      <c r="B1836" s="1" t="s">
        <v>301</v>
      </c>
      <c r="C1836" s="32">
        <v>1277</v>
      </c>
      <c r="D1836" s="1">
        <v>23000</v>
      </c>
      <c r="E1836" s="1"/>
      <c r="F1836" s="1">
        <v>256</v>
      </c>
      <c r="G1836" s="1">
        <v>23000</v>
      </c>
      <c r="H1836" s="5">
        <f t="shared" si="31"/>
        <v>0</v>
      </c>
      <c r="I1836" s="1"/>
      <c r="J1836" s="1"/>
    </row>
    <row r="1837" spans="2:10" x14ac:dyDescent="0.2">
      <c r="B1837" s="1" t="s">
        <v>304</v>
      </c>
      <c r="C1837" s="32" t="s">
        <v>30</v>
      </c>
      <c r="D1837" s="1">
        <v>4500</v>
      </c>
      <c r="E1837" s="1"/>
      <c r="F1837" s="1">
        <v>50.13</v>
      </c>
      <c r="G1837" s="1">
        <v>4500</v>
      </c>
      <c r="H1837" s="5">
        <f t="shared" si="31"/>
        <v>0</v>
      </c>
      <c r="I1837" s="1"/>
      <c r="J1837" s="1"/>
    </row>
    <row r="1838" spans="2:10" x14ac:dyDescent="0.2">
      <c r="B1838" s="1" t="s">
        <v>304</v>
      </c>
      <c r="C1838" s="32" t="s">
        <v>63</v>
      </c>
      <c r="D1838" s="1">
        <v>3500</v>
      </c>
      <c r="E1838" s="1"/>
      <c r="F1838" s="1">
        <v>38.130000000000003</v>
      </c>
      <c r="G1838" s="1">
        <v>3500</v>
      </c>
      <c r="H1838" s="5">
        <f t="shared" si="31"/>
        <v>0</v>
      </c>
      <c r="I1838" s="1"/>
      <c r="J1838" s="1"/>
    </row>
    <row r="1839" spans="2:10" x14ac:dyDescent="0.2">
      <c r="B1839" s="1" t="s">
        <v>304</v>
      </c>
      <c r="C1839" s="32">
        <v>9398</v>
      </c>
      <c r="D1839" s="1">
        <v>19000</v>
      </c>
      <c r="E1839" s="1"/>
      <c r="F1839" s="1">
        <v>204</v>
      </c>
      <c r="G1839" s="1">
        <v>19000</v>
      </c>
      <c r="H1839" s="5">
        <f t="shared" si="31"/>
        <v>0</v>
      </c>
      <c r="I1839" s="1"/>
      <c r="J1839" s="1"/>
    </row>
    <row r="1840" spans="2:10" x14ac:dyDescent="0.2">
      <c r="B1840" s="1" t="s">
        <v>304</v>
      </c>
      <c r="C1840" s="32">
        <v>9250</v>
      </c>
      <c r="D1840" s="1">
        <v>28000</v>
      </c>
      <c r="E1840" s="1"/>
      <c r="F1840" s="1">
        <v>306</v>
      </c>
      <c r="G1840" s="1">
        <v>28000</v>
      </c>
      <c r="H1840" s="5">
        <f t="shared" si="31"/>
        <v>0</v>
      </c>
      <c r="I1840" s="1"/>
      <c r="J1840" s="1"/>
    </row>
    <row r="1841" spans="2:10" x14ac:dyDescent="0.2">
      <c r="B1841" s="1" t="s">
        <v>304</v>
      </c>
      <c r="C1841" s="32">
        <v>2330</v>
      </c>
      <c r="D1841" s="1">
        <v>16000</v>
      </c>
      <c r="E1841" s="1"/>
      <c r="F1841" s="1">
        <v>178</v>
      </c>
      <c r="G1841" s="1">
        <v>16000</v>
      </c>
      <c r="H1841" s="5">
        <f t="shared" si="31"/>
        <v>0</v>
      </c>
      <c r="I1841" s="1"/>
      <c r="J1841" s="1"/>
    </row>
    <row r="1842" spans="2:10" x14ac:dyDescent="0.2">
      <c r="B1842" s="1" t="s">
        <v>304</v>
      </c>
      <c r="C1842" s="32">
        <v>2677</v>
      </c>
      <c r="D1842" s="1">
        <v>20000</v>
      </c>
      <c r="E1842" s="1"/>
      <c r="F1842" s="1">
        <v>222</v>
      </c>
      <c r="G1842" s="1">
        <v>20000</v>
      </c>
      <c r="H1842" s="5">
        <f t="shared" si="31"/>
        <v>0</v>
      </c>
      <c r="I1842" s="1"/>
      <c r="J1842" s="1"/>
    </row>
    <row r="1843" spans="2:10" x14ac:dyDescent="0.2">
      <c r="B1843" s="1" t="s">
        <v>304</v>
      </c>
      <c r="C1843" s="32">
        <v>6529</v>
      </c>
      <c r="D1843" s="1">
        <v>16000</v>
      </c>
      <c r="E1843" s="1"/>
      <c r="F1843" s="1">
        <v>178</v>
      </c>
      <c r="G1843" s="1">
        <v>16000</v>
      </c>
      <c r="H1843" s="5">
        <f t="shared" si="31"/>
        <v>0</v>
      </c>
      <c r="I1843" s="1"/>
      <c r="J1843" s="1"/>
    </row>
    <row r="1844" spans="2:10" x14ac:dyDescent="0.2">
      <c r="B1844" s="1" t="s">
        <v>304</v>
      </c>
      <c r="C1844" s="32">
        <v>904</v>
      </c>
      <c r="D1844" s="1">
        <v>22000</v>
      </c>
      <c r="E1844" s="1"/>
      <c r="F1844" s="1">
        <v>222</v>
      </c>
      <c r="G1844" s="1">
        <v>22000</v>
      </c>
      <c r="H1844" s="5">
        <f t="shared" si="31"/>
        <v>0</v>
      </c>
      <c r="I1844" s="1"/>
      <c r="J1844" s="1"/>
    </row>
    <row r="1845" spans="2:10" x14ac:dyDescent="0.2">
      <c r="B1845" s="1" t="s">
        <v>304</v>
      </c>
      <c r="C1845" s="32">
        <v>2078</v>
      </c>
      <c r="D1845" s="1">
        <v>18000</v>
      </c>
      <c r="E1845" s="1"/>
      <c r="F1845" s="1">
        <v>200</v>
      </c>
      <c r="G1845" s="1">
        <v>18000</v>
      </c>
      <c r="H1845" s="5">
        <f t="shared" si="31"/>
        <v>0</v>
      </c>
      <c r="I1845" s="1"/>
      <c r="J1845" s="1"/>
    </row>
    <row r="1846" spans="2:10" x14ac:dyDescent="0.2">
      <c r="B1846" s="1" t="s">
        <v>304</v>
      </c>
      <c r="C1846" s="32">
        <v>6262</v>
      </c>
      <c r="D1846" s="1">
        <v>18000</v>
      </c>
      <c r="E1846" s="1"/>
      <c r="F1846" s="1">
        <v>200</v>
      </c>
      <c r="G1846" s="1">
        <v>18000</v>
      </c>
      <c r="H1846" s="5">
        <f t="shared" si="31"/>
        <v>0</v>
      </c>
      <c r="I1846" s="1"/>
      <c r="J1846" s="1"/>
    </row>
    <row r="1847" spans="2:10" x14ac:dyDescent="0.2">
      <c r="B1847" s="1" t="s">
        <v>304</v>
      </c>
      <c r="C1847" s="32">
        <v>8109</v>
      </c>
      <c r="D1847" s="1">
        <v>15000</v>
      </c>
      <c r="E1847" s="1"/>
      <c r="F1847" s="1">
        <v>167</v>
      </c>
      <c r="G1847" s="1">
        <v>15000</v>
      </c>
      <c r="H1847" s="5">
        <f t="shared" si="31"/>
        <v>0</v>
      </c>
      <c r="I1847" s="1"/>
      <c r="J1847" s="1"/>
    </row>
    <row r="1848" spans="2:10" x14ac:dyDescent="0.2">
      <c r="B1848" s="1" t="s">
        <v>304</v>
      </c>
      <c r="C1848" s="32">
        <v>3189</v>
      </c>
      <c r="D1848" s="1">
        <v>27000</v>
      </c>
      <c r="E1848" s="1"/>
      <c r="F1848" s="1">
        <v>334</v>
      </c>
      <c r="G1848" s="1">
        <v>27000</v>
      </c>
      <c r="H1848" s="5">
        <f t="shared" si="31"/>
        <v>0</v>
      </c>
      <c r="I1848" s="1"/>
      <c r="J1848" s="1"/>
    </row>
    <row r="1849" spans="2:10" x14ac:dyDescent="0.2">
      <c r="B1849" s="1" t="s">
        <v>304</v>
      </c>
      <c r="C1849" s="32">
        <v>584</v>
      </c>
      <c r="D1849" s="1">
        <v>22000</v>
      </c>
      <c r="E1849" s="1"/>
      <c r="F1849" s="1">
        <v>222</v>
      </c>
      <c r="G1849" s="1">
        <v>22000</v>
      </c>
      <c r="H1849" s="5">
        <f t="shared" si="31"/>
        <v>0</v>
      </c>
      <c r="I1849" s="1"/>
      <c r="J1849" s="1"/>
    </row>
    <row r="1850" spans="2:10" x14ac:dyDescent="0.2">
      <c r="B1850" s="1" t="s">
        <v>304</v>
      </c>
      <c r="C1850" s="32">
        <v>2948</v>
      </c>
      <c r="D1850" s="1">
        <v>25000</v>
      </c>
      <c r="E1850" s="1"/>
      <c r="F1850" s="1">
        <v>272</v>
      </c>
      <c r="G1850" s="1">
        <v>25000</v>
      </c>
      <c r="H1850" s="5">
        <f t="shared" si="31"/>
        <v>0</v>
      </c>
      <c r="I1850" s="1"/>
      <c r="J1850" s="1"/>
    </row>
    <row r="1851" spans="2:10" x14ac:dyDescent="0.2">
      <c r="B1851" s="1" t="s">
        <v>304</v>
      </c>
      <c r="C1851" s="32">
        <v>4488</v>
      </c>
      <c r="D1851" s="1">
        <v>30000</v>
      </c>
      <c r="E1851" s="1"/>
      <c r="F1851" s="1">
        <v>369</v>
      </c>
      <c r="G1851" s="1">
        <v>30000</v>
      </c>
      <c r="H1851" s="5">
        <f t="shared" si="31"/>
        <v>0</v>
      </c>
      <c r="I1851" s="1"/>
      <c r="J1851" s="1"/>
    </row>
    <row r="1852" spans="2:10" x14ac:dyDescent="0.2">
      <c r="B1852" s="1" t="s">
        <v>306</v>
      </c>
      <c r="C1852" s="32">
        <v>2271</v>
      </c>
      <c r="D1852" s="1">
        <v>15000</v>
      </c>
      <c r="E1852" s="1"/>
      <c r="F1852" s="1">
        <v>167</v>
      </c>
      <c r="G1852" s="1">
        <v>15000</v>
      </c>
      <c r="H1852" s="5">
        <f t="shared" si="31"/>
        <v>0</v>
      </c>
      <c r="I1852" s="1"/>
      <c r="J1852" s="1"/>
    </row>
    <row r="1853" spans="2:10" x14ac:dyDescent="0.2">
      <c r="B1853" s="1" t="s">
        <v>306</v>
      </c>
      <c r="C1853" s="32">
        <v>6736</v>
      </c>
      <c r="D1853" s="1">
        <v>13000</v>
      </c>
      <c r="E1853" s="1"/>
      <c r="F1853" s="1">
        <v>144</v>
      </c>
      <c r="G1853" s="1">
        <v>13000</v>
      </c>
      <c r="H1853" s="5">
        <f t="shared" si="31"/>
        <v>0</v>
      </c>
      <c r="I1853" s="1"/>
      <c r="J1853" s="1"/>
    </row>
    <row r="1854" spans="2:10" x14ac:dyDescent="0.2">
      <c r="B1854" s="1" t="s">
        <v>306</v>
      </c>
      <c r="C1854" s="32" t="s">
        <v>30</v>
      </c>
      <c r="D1854" s="1">
        <v>5000</v>
      </c>
      <c r="E1854" s="1"/>
      <c r="F1854" s="1">
        <v>50</v>
      </c>
      <c r="G1854" s="1">
        <v>5000</v>
      </c>
      <c r="H1854" s="5">
        <f t="shared" si="31"/>
        <v>0</v>
      </c>
      <c r="I1854" s="1"/>
      <c r="J1854" s="1"/>
    </row>
    <row r="1855" spans="2:10" x14ac:dyDescent="0.2">
      <c r="B1855" s="1" t="s">
        <v>306</v>
      </c>
      <c r="C1855" s="32">
        <v>645</v>
      </c>
      <c r="D1855" s="1">
        <v>10000</v>
      </c>
      <c r="E1855" s="1"/>
      <c r="F1855" s="1">
        <v>111</v>
      </c>
      <c r="G1855" s="1">
        <v>10000</v>
      </c>
      <c r="H1855" s="5">
        <f t="shared" si="31"/>
        <v>0</v>
      </c>
      <c r="I1855" s="1"/>
      <c r="J1855" s="1"/>
    </row>
    <row r="1856" spans="2:10" x14ac:dyDescent="0.2">
      <c r="B1856" s="1" t="s">
        <v>306</v>
      </c>
      <c r="C1856" s="32">
        <v>4626</v>
      </c>
      <c r="D1856" s="1">
        <v>13000</v>
      </c>
      <c r="E1856" s="1"/>
      <c r="F1856" s="1">
        <v>144</v>
      </c>
      <c r="G1856" s="1">
        <v>13000</v>
      </c>
      <c r="H1856" s="5">
        <f t="shared" si="31"/>
        <v>0</v>
      </c>
      <c r="I1856" s="1"/>
      <c r="J1856" s="1"/>
    </row>
    <row r="1857" spans="2:10" x14ac:dyDescent="0.2">
      <c r="B1857" s="1" t="s">
        <v>306</v>
      </c>
      <c r="C1857" s="32">
        <v>647</v>
      </c>
      <c r="D1857" s="1">
        <v>13500</v>
      </c>
      <c r="E1857" s="1"/>
      <c r="F1857" s="1">
        <v>150</v>
      </c>
      <c r="G1857" s="1">
        <v>13500</v>
      </c>
      <c r="H1857" s="5">
        <f t="shared" si="31"/>
        <v>0</v>
      </c>
      <c r="I1857" s="1"/>
      <c r="J1857" s="1"/>
    </row>
    <row r="1858" spans="2:10" x14ac:dyDescent="0.2">
      <c r="B1858" s="1" t="s">
        <v>306</v>
      </c>
      <c r="C1858" s="32">
        <v>5687</v>
      </c>
      <c r="D1858" s="1">
        <v>30000</v>
      </c>
      <c r="E1858" s="1"/>
      <c r="F1858" s="1">
        <v>334</v>
      </c>
      <c r="G1858" s="1">
        <v>30000</v>
      </c>
      <c r="H1858" s="5">
        <f t="shared" si="31"/>
        <v>0</v>
      </c>
      <c r="I1858" s="1"/>
      <c r="J1858" s="1"/>
    </row>
    <row r="1859" spans="2:10" x14ac:dyDescent="0.2">
      <c r="B1859" s="1" t="s">
        <v>306</v>
      </c>
      <c r="C1859" s="32">
        <v>9395</v>
      </c>
      <c r="D1859" s="1">
        <v>27000</v>
      </c>
      <c r="E1859" s="1"/>
      <c r="F1859" s="1">
        <v>334</v>
      </c>
      <c r="G1859" s="1">
        <v>27000</v>
      </c>
      <c r="H1859" s="5">
        <f t="shared" si="31"/>
        <v>0</v>
      </c>
      <c r="I1859" s="1"/>
      <c r="J1859" s="1"/>
    </row>
    <row r="1860" spans="2:10" x14ac:dyDescent="0.2">
      <c r="B1860" s="1" t="s">
        <v>306</v>
      </c>
      <c r="C1860" s="32">
        <v>1912</v>
      </c>
      <c r="D1860" s="1">
        <v>10000</v>
      </c>
      <c r="E1860" s="1"/>
      <c r="F1860" s="1">
        <v>111</v>
      </c>
      <c r="G1860" s="1">
        <v>10000</v>
      </c>
      <c r="H1860" s="5">
        <f t="shared" si="31"/>
        <v>0</v>
      </c>
      <c r="I1860" s="1"/>
      <c r="J1860" s="1"/>
    </row>
    <row r="1861" spans="2:10" x14ac:dyDescent="0.2">
      <c r="B1861" s="1" t="s">
        <v>306</v>
      </c>
      <c r="C1861" s="32">
        <v>4968</v>
      </c>
      <c r="D1861" s="1">
        <v>31000</v>
      </c>
      <c r="E1861" s="1"/>
      <c r="F1861" s="1">
        <v>345</v>
      </c>
      <c r="G1861" s="1">
        <v>31000</v>
      </c>
      <c r="H1861" s="5">
        <f t="shared" si="31"/>
        <v>0</v>
      </c>
      <c r="I1861" s="1"/>
      <c r="J1861" s="1"/>
    </row>
    <row r="1862" spans="2:10" x14ac:dyDescent="0.2">
      <c r="B1862" s="1" t="s">
        <v>306</v>
      </c>
      <c r="C1862" s="32">
        <v>8161</v>
      </c>
      <c r="D1862" s="1">
        <v>27000</v>
      </c>
      <c r="E1862" s="1"/>
      <c r="F1862" s="1">
        <v>334</v>
      </c>
      <c r="G1862" s="1">
        <v>27000</v>
      </c>
      <c r="H1862" s="5">
        <f t="shared" si="31"/>
        <v>0</v>
      </c>
      <c r="I1862" s="1"/>
      <c r="J1862" s="1"/>
    </row>
    <row r="1863" spans="2:10" x14ac:dyDescent="0.2">
      <c r="B1863" s="1" t="s">
        <v>306</v>
      </c>
      <c r="C1863" s="32">
        <v>3923</v>
      </c>
      <c r="D1863" s="1">
        <v>15000</v>
      </c>
      <c r="E1863" s="1"/>
      <c r="F1863" s="1">
        <v>167</v>
      </c>
      <c r="G1863" s="1">
        <v>15000</v>
      </c>
      <c r="H1863" s="5">
        <f t="shared" si="31"/>
        <v>0</v>
      </c>
      <c r="I1863" s="1"/>
      <c r="J1863" s="1"/>
    </row>
    <row r="1864" spans="2:10" x14ac:dyDescent="0.2">
      <c r="B1864" s="1" t="s">
        <v>306</v>
      </c>
      <c r="C1864" s="32">
        <v>4579</v>
      </c>
      <c r="D1864" s="1">
        <v>12000</v>
      </c>
      <c r="E1864" s="1"/>
      <c r="F1864" s="1">
        <v>133</v>
      </c>
      <c r="G1864" s="1">
        <v>12000</v>
      </c>
      <c r="H1864" s="5">
        <f t="shared" si="31"/>
        <v>0</v>
      </c>
      <c r="I1864" s="1"/>
      <c r="J1864" s="1"/>
    </row>
    <row r="1865" spans="2:10" x14ac:dyDescent="0.2">
      <c r="B1865" s="1" t="s">
        <v>306</v>
      </c>
      <c r="C1865" s="32">
        <v>7662</v>
      </c>
      <c r="D1865" s="1">
        <v>14000</v>
      </c>
      <c r="E1865" s="1"/>
      <c r="F1865" s="1">
        <v>155</v>
      </c>
      <c r="G1865" s="1">
        <v>14000</v>
      </c>
      <c r="H1865" s="5">
        <f t="shared" si="31"/>
        <v>0</v>
      </c>
      <c r="I1865" s="1"/>
      <c r="J1865" s="1"/>
    </row>
    <row r="1866" spans="2:10" x14ac:dyDescent="0.2">
      <c r="B1866" s="1" t="s">
        <v>306</v>
      </c>
      <c r="C1866" s="32">
        <v>8702</v>
      </c>
      <c r="D1866" s="1">
        <v>24000</v>
      </c>
      <c r="E1866" s="1"/>
      <c r="F1866" s="1">
        <v>267</v>
      </c>
      <c r="G1866" s="1">
        <v>24000</v>
      </c>
      <c r="H1866" s="5">
        <f t="shared" si="31"/>
        <v>0</v>
      </c>
      <c r="I1866" s="1"/>
      <c r="J1866" s="1"/>
    </row>
    <row r="1867" spans="2:10" x14ac:dyDescent="0.2">
      <c r="B1867" s="1" t="s">
        <v>306</v>
      </c>
      <c r="C1867" s="32">
        <v>1000</v>
      </c>
      <c r="D1867" s="1">
        <v>24000</v>
      </c>
      <c r="E1867" s="1"/>
      <c r="F1867" s="1">
        <v>267</v>
      </c>
      <c r="G1867" s="1">
        <v>24000</v>
      </c>
      <c r="H1867" s="5">
        <f t="shared" si="31"/>
        <v>0</v>
      </c>
      <c r="I1867" s="1"/>
      <c r="J1867" s="1"/>
    </row>
    <row r="1868" spans="2:10" x14ac:dyDescent="0.2">
      <c r="B1868" s="1" t="s">
        <v>306</v>
      </c>
      <c r="C1868" s="32">
        <v>4100</v>
      </c>
      <c r="D1868" s="1">
        <v>20000</v>
      </c>
      <c r="E1868" s="1"/>
      <c r="F1868" s="1">
        <v>222</v>
      </c>
      <c r="G1868" s="1">
        <v>20000</v>
      </c>
      <c r="H1868" s="5">
        <f t="shared" si="31"/>
        <v>0</v>
      </c>
      <c r="I1868" s="1"/>
      <c r="J1868" s="1"/>
    </row>
    <row r="1869" spans="2:10" x14ac:dyDescent="0.2">
      <c r="B1869" s="1" t="s">
        <v>306</v>
      </c>
      <c r="C1869" s="32">
        <v>1071</v>
      </c>
      <c r="D1869" s="1">
        <v>25000</v>
      </c>
      <c r="E1869" s="1"/>
      <c r="F1869" s="1">
        <v>278</v>
      </c>
      <c r="G1869" s="1">
        <v>25000</v>
      </c>
      <c r="H1869" s="5">
        <f t="shared" ref="H1869:H1932" si="32">D1869-G1869</f>
        <v>0</v>
      </c>
      <c r="I1869" s="1"/>
      <c r="J1869" s="1"/>
    </row>
    <row r="1870" spans="2:10" x14ac:dyDescent="0.2">
      <c r="B1870" s="1" t="s">
        <v>306</v>
      </c>
      <c r="C1870" s="32">
        <v>1657</v>
      </c>
      <c r="D1870" s="1">
        <v>20000</v>
      </c>
      <c r="E1870" s="1"/>
      <c r="F1870" s="1">
        <v>222</v>
      </c>
      <c r="G1870" s="1">
        <v>20000</v>
      </c>
      <c r="H1870" s="5">
        <f t="shared" si="32"/>
        <v>0</v>
      </c>
      <c r="I1870" s="1"/>
      <c r="J1870" s="1"/>
    </row>
    <row r="1871" spans="2:10" x14ac:dyDescent="0.2">
      <c r="B1871" s="1" t="s">
        <v>306</v>
      </c>
      <c r="C1871" s="32">
        <v>9998</v>
      </c>
      <c r="D1871" s="1">
        <v>17000</v>
      </c>
      <c r="E1871" s="1"/>
      <c r="F1871" s="1">
        <v>189</v>
      </c>
      <c r="G1871" s="1">
        <v>17000</v>
      </c>
      <c r="H1871" s="5">
        <f t="shared" si="32"/>
        <v>0</v>
      </c>
      <c r="I1871" s="1"/>
      <c r="J1871" s="1"/>
    </row>
    <row r="1872" spans="2:10" x14ac:dyDescent="0.2">
      <c r="B1872" s="1" t="s">
        <v>306</v>
      </c>
      <c r="C1872" s="32">
        <v>9582</v>
      </c>
      <c r="D1872" s="1">
        <v>10000</v>
      </c>
      <c r="E1872" s="1"/>
      <c r="F1872" s="1">
        <v>111</v>
      </c>
      <c r="G1872" s="1">
        <v>10000</v>
      </c>
      <c r="H1872" s="5">
        <f t="shared" si="32"/>
        <v>0</v>
      </c>
      <c r="I1872" s="1"/>
      <c r="J1872" s="1"/>
    </row>
    <row r="1873" spans="2:10" x14ac:dyDescent="0.2">
      <c r="B1873" s="1" t="s">
        <v>307</v>
      </c>
      <c r="C1873" s="32">
        <v>398</v>
      </c>
      <c r="D1873" s="1">
        <v>22000</v>
      </c>
      <c r="E1873" s="1"/>
      <c r="F1873" s="1">
        <v>220</v>
      </c>
      <c r="G1873" s="1">
        <v>22000</v>
      </c>
      <c r="H1873" s="5">
        <f t="shared" si="32"/>
        <v>0</v>
      </c>
      <c r="I1873" s="1"/>
      <c r="J1873" s="1"/>
    </row>
    <row r="1874" spans="2:10" x14ac:dyDescent="0.2">
      <c r="B1874" s="1" t="s">
        <v>307</v>
      </c>
      <c r="C1874" s="32">
        <v>2920</v>
      </c>
      <c r="D1874" s="1">
        <v>15000</v>
      </c>
      <c r="E1874" s="1"/>
      <c r="F1874" s="1">
        <v>167</v>
      </c>
      <c r="G1874" s="1">
        <v>15000</v>
      </c>
      <c r="H1874" s="5">
        <f t="shared" si="32"/>
        <v>0</v>
      </c>
      <c r="I1874" s="1"/>
      <c r="J1874" s="1"/>
    </row>
    <row r="1875" spans="2:10" x14ac:dyDescent="0.2">
      <c r="B1875" s="1" t="s">
        <v>307</v>
      </c>
      <c r="C1875" s="32">
        <v>4625</v>
      </c>
      <c r="D1875" s="1">
        <v>13000</v>
      </c>
      <c r="E1875" s="1"/>
      <c r="F1875" s="1">
        <v>144</v>
      </c>
      <c r="G1875" s="1">
        <v>13000</v>
      </c>
      <c r="H1875" s="5">
        <f t="shared" si="32"/>
        <v>0</v>
      </c>
      <c r="I1875" s="1"/>
      <c r="J1875" s="1"/>
    </row>
    <row r="1876" spans="2:10" x14ac:dyDescent="0.2">
      <c r="B1876" s="1" t="s">
        <v>307</v>
      </c>
      <c r="C1876" s="32">
        <v>5145</v>
      </c>
      <c r="D1876" s="1">
        <v>14000</v>
      </c>
      <c r="E1876" s="1"/>
      <c r="F1876" s="1">
        <v>155</v>
      </c>
      <c r="G1876" s="1">
        <v>14000</v>
      </c>
      <c r="H1876" s="5">
        <f t="shared" si="32"/>
        <v>0</v>
      </c>
      <c r="I1876" s="1"/>
      <c r="J1876" s="1"/>
    </row>
    <row r="1877" spans="2:10" x14ac:dyDescent="0.2">
      <c r="B1877" s="1" t="s">
        <v>307</v>
      </c>
      <c r="C1877" s="32">
        <v>3662</v>
      </c>
      <c r="D1877" s="1">
        <v>16000</v>
      </c>
      <c r="E1877" s="1"/>
      <c r="F1877" s="1">
        <v>178</v>
      </c>
      <c r="G1877" s="1">
        <v>16000</v>
      </c>
      <c r="H1877" s="5">
        <f t="shared" si="32"/>
        <v>0</v>
      </c>
      <c r="I1877" s="1"/>
      <c r="J1877" s="1"/>
    </row>
    <row r="1878" spans="2:10" x14ac:dyDescent="0.2">
      <c r="B1878" s="1" t="s">
        <v>307</v>
      </c>
      <c r="C1878" s="32">
        <v>4624</v>
      </c>
      <c r="D1878" s="1">
        <v>13000</v>
      </c>
      <c r="E1878" s="1"/>
      <c r="F1878" s="1">
        <v>144</v>
      </c>
      <c r="G1878" s="1">
        <v>13000</v>
      </c>
      <c r="H1878" s="5">
        <f t="shared" si="32"/>
        <v>0</v>
      </c>
      <c r="I1878" s="1"/>
      <c r="J1878" s="1"/>
    </row>
    <row r="1879" spans="2:10" x14ac:dyDescent="0.2">
      <c r="B1879" s="1" t="s">
        <v>307</v>
      </c>
      <c r="C1879" s="32">
        <v>4627</v>
      </c>
      <c r="D1879" s="1">
        <v>13000</v>
      </c>
      <c r="E1879" s="1"/>
      <c r="F1879" s="1">
        <v>144</v>
      </c>
      <c r="G1879" s="1">
        <v>13000</v>
      </c>
      <c r="H1879" s="5">
        <f t="shared" si="32"/>
        <v>0</v>
      </c>
      <c r="I1879" s="1"/>
      <c r="J1879" s="1"/>
    </row>
    <row r="1880" spans="2:10" x14ac:dyDescent="0.2">
      <c r="B1880" s="1" t="s">
        <v>307</v>
      </c>
      <c r="C1880" s="32">
        <v>8543</v>
      </c>
      <c r="D1880" s="1">
        <v>5000</v>
      </c>
      <c r="E1880" s="1"/>
      <c r="F1880" s="1">
        <v>55</v>
      </c>
      <c r="G1880" s="1">
        <v>5000</v>
      </c>
      <c r="H1880" s="5">
        <f t="shared" si="32"/>
        <v>0</v>
      </c>
      <c r="I1880" s="1"/>
      <c r="J1880" s="1"/>
    </row>
    <row r="1881" spans="2:10" x14ac:dyDescent="0.2">
      <c r="B1881" s="1" t="s">
        <v>307</v>
      </c>
      <c r="C1881" s="32" t="s">
        <v>30</v>
      </c>
      <c r="D1881" s="1">
        <v>4500</v>
      </c>
      <c r="E1881" s="1"/>
      <c r="F1881" s="1">
        <v>50</v>
      </c>
      <c r="G1881" s="1">
        <v>4500</v>
      </c>
      <c r="H1881" s="5">
        <f t="shared" si="32"/>
        <v>0</v>
      </c>
      <c r="I1881" s="1"/>
      <c r="J1881" s="1"/>
    </row>
    <row r="1882" spans="2:10" x14ac:dyDescent="0.2">
      <c r="B1882" s="1" t="s">
        <v>307</v>
      </c>
      <c r="C1882" s="32">
        <v>1611</v>
      </c>
      <c r="D1882" s="1">
        <v>22000</v>
      </c>
      <c r="E1882" s="1"/>
      <c r="F1882" s="1">
        <v>222</v>
      </c>
      <c r="G1882" s="1">
        <v>22000</v>
      </c>
      <c r="H1882" s="5">
        <f t="shared" si="32"/>
        <v>0</v>
      </c>
      <c r="I1882" s="1"/>
      <c r="J1882" s="1"/>
    </row>
    <row r="1883" spans="2:10" x14ac:dyDescent="0.2">
      <c r="B1883" s="1" t="s">
        <v>307</v>
      </c>
      <c r="C1883" s="32">
        <v>9148</v>
      </c>
      <c r="D1883" s="1">
        <v>20000</v>
      </c>
      <c r="E1883" s="1"/>
      <c r="F1883" s="1">
        <v>222</v>
      </c>
      <c r="G1883" s="1">
        <v>20000</v>
      </c>
      <c r="H1883" s="5">
        <f t="shared" si="32"/>
        <v>0</v>
      </c>
      <c r="I1883" s="1"/>
      <c r="J1883" s="1"/>
    </row>
    <row r="1884" spans="2:10" x14ac:dyDescent="0.2">
      <c r="B1884" s="1" t="s">
        <v>307</v>
      </c>
      <c r="C1884" s="32">
        <v>2995</v>
      </c>
      <c r="D1884" s="1">
        <v>14000</v>
      </c>
      <c r="E1884" s="1"/>
      <c r="F1884" s="1">
        <v>155</v>
      </c>
      <c r="G1884" s="1">
        <v>14000</v>
      </c>
      <c r="H1884" s="5">
        <f t="shared" si="32"/>
        <v>0</v>
      </c>
      <c r="I1884" s="1"/>
      <c r="J1884" s="1"/>
    </row>
    <row r="1885" spans="2:10" x14ac:dyDescent="0.2">
      <c r="B1885" s="1" t="s">
        <v>307</v>
      </c>
      <c r="C1885" s="32">
        <v>5920</v>
      </c>
      <c r="D1885" s="1">
        <v>15000</v>
      </c>
      <c r="E1885" s="1"/>
      <c r="F1885" s="1">
        <v>167</v>
      </c>
      <c r="G1885" s="1">
        <v>15000</v>
      </c>
      <c r="H1885" s="5">
        <f t="shared" si="32"/>
        <v>0</v>
      </c>
      <c r="I1885" s="1"/>
      <c r="J1885" s="1"/>
    </row>
    <row r="1886" spans="2:10" x14ac:dyDescent="0.2">
      <c r="B1886" s="1" t="s">
        <v>307</v>
      </c>
      <c r="C1886" s="32" t="s">
        <v>63</v>
      </c>
      <c r="D1886" s="1">
        <v>2905</v>
      </c>
      <c r="E1886" s="1"/>
      <c r="F1886" s="1">
        <v>32</v>
      </c>
      <c r="G1886" s="1">
        <v>2905</v>
      </c>
      <c r="H1886" s="5">
        <f t="shared" si="32"/>
        <v>0</v>
      </c>
      <c r="I1886" s="1"/>
      <c r="J1886" s="1"/>
    </row>
    <row r="1887" spans="2:10" x14ac:dyDescent="0.2">
      <c r="B1887" s="1" t="s">
        <v>307</v>
      </c>
      <c r="C1887" s="32">
        <v>4809</v>
      </c>
      <c r="D1887" s="1">
        <v>4000</v>
      </c>
      <c r="E1887" s="1"/>
      <c r="F1887" s="1">
        <v>44</v>
      </c>
      <c r="G1887" s="1">
        <v>4000</v>
      </c>
      <c r="H1887" s="5">
        <f t="shared" si="32"/>
        <v>0</v>
      </c>
      <c r="I1887" s="1"/>
      <c r="J1887" s="1"/>
    </row>
    <row r="1888" spans="2:10" x14ac:dyDescent="0.2">
      <c r="B1888" s="1" t="s">
        <v>307</v>
      </c>
      <c r="C1888" s="32">
        <v>3912</v>
      </c>
      <c r="D1888" s="1">
        <v>15000</v>
      </c>
      <c r="E1888" s="1"/>
      <c r="F1888" s="1">
        <v>167</v>
      </c>
      <c r="G1888" s="1">
        <v>15000</v>
      </c>
      <c r="H1888" s="5">
        <f t="shared" si="32"/>
        <v>0</v>
      </c>
      <c r="I1888" s="1"/>
      <c r="J1888" s="1"/>
    </row>
    <row r="1889" spans="2:10" x14ac:dyDescent="0.2">
      <c r="B1889" s="1" t="s">
        <v>307</v>
      </c>
      <c r="C1889" s="32" t="s">
        <v>66</v>
      </c>
      <c r="D1889" s="1">
        <v>200</v>
      </c>
      <c r="E1889" s="1"/>
      <c r="F1889" s="1">
        <v>2.0499999999999998</v>
      </c>
      <c r="G1889" s="1">
        <v>200</v>
      </c>
      <c r="H1889" s="5">
        <f t="shared" si="32"/>
        <v>0</v>
      </c>
      <c r="I1889" s="1"/>
      <c r="J1889" s="1"/>
    </row>
    <row r="1890" spans="2:10" x14ac:dyDescent="0.2">
      <c r="B1890" s="1" t="s">
        <v>307</v>
      </c>
      <c r="C1890" s="32">
        <v>4839</v>
      </c>
      <c r="D1890" s="1">
        <v>10000</v>
      </c>
      <c r="E1890" s="1"/>
      <c r="F1890" s="1">
        <v>111</v>
      </c>
      <c r="G1890" s="1">
        <v>10000</v>
      </c>
      <c r="H1890" s="5">
        <f t="shared" si="32"/>
        <v>0</v>
      </c>
      <c r="I1890" s="1"/>
      <c r="J1890" s="1"/>
    </row>
    <row r="1891" spans="2:10" x14ac:dyDescent="0.2">
      <c r="B1891" s="1" t="s">
        <v>307</v>
      </c>
      <c r="C1891" s="32">
        <v>536</v>
      </c>
      <c r="D1891" s="1">
        <v>31000</v>
      </c>
      <c r="E1891" s="1"/>
      <c r="F1891" s="1">
        <v>345</v>
      </c>
      <c r="G1891" s="1">
        <v>31000</v>
      </c>
      <c r="H1891" s="5">
        <f t="shared" si="32"/>
        <v>0</v>
      </c>
      <c r="I1891" s="1"/>
      <c r="J1891" s="1"/>
    </row>
    <row r="1892" spans="2:10" x14ac:dyDescent="0.2">
      <c r="B1892" s="1" t="s">
        <v>307</v>
      </c>
      <c r="C1892" s="32">
        <v>3444</v>
      </c>
      <c r="D1892" s="1">
        <v>23000</v>
      </c>
      <c r="E1892" s="1"/>
      <c r="F1892" s="1">
        <v>305</v>
      </c>
      <c r="G1892" s="1">
        <v>23000</v>
      </c>
      <c r="H1892" s="5">
        <f t="shared" si="32"/>
        <v>0</v>
      </c>
      <c r="I1892" s="1"/>
      <c r="J1892" s="1"/>
    </row>
    <row r="1893" spans="2:10" x14ac:dyDescent="0.2">
      <c r="B1893" s="1" t="s">
        <v>307</v>
      </c>
      <c r="C1893" s="32">
        <v>9015</v>
      </c>
      <c r="D1893" s="1">
        <v>10000</v>
      </c>
      <c r="E1893" s="1"/>
      <c r="F1893" s="1">
        <v>111</v>
      </c>
      <c r="G1893" s="1">
        <v>10000</v>
      </c>
      <c r="H1893" s="5">
        <f t="shared" si="32"/>
        <v>0</v>
      </c>
      <c r="I1893" s="1"/>
      <c r="J1893" s="1"/>
    </row>
    <row r="1894" spans="2:10" x14ac:dyDescent="0.2">
      <c r="B1894" s="1" t="s">
        <v>307</v>
      </c>
      <c r="C1894" s="32">
        <v>6867</v>
      </c>
      <c r="D1894" s="1">
        <v>24000</v>
      </c>
      <c r="E1894" s="1"/>
      <c r="F1894" s="1">
        <v>267</v>
      </c>
      <c r="G1894" s="1">
        <v>24000</v>
      </c>
      <c r="H1894" s="5">
        <f t="shared" si="32"/>
        <v>0</v>
      </c>
      <c r="I1894" s="1"/>
      <c r="J1894" s="1"/>
    </row>
    <row r="1895" spans="2:10" x14ac:dyDescent="0.2">
      <c r="B1895" s="1" t="s">
        <v>307</v>
      </c>
      <c r="C1895" s="32">
        <v>9293</v>
      </c>
      <c r="D1895" s="1">
        <v>31000</v>
      </c>
      <c r="E1895" s="1"/>
      <c r="F1895" s="1">
        <v>345</v>
      </c>
      <c r="G1895" s="1">
        <v>31000</v>
      </c>
      <c r="H1895" s="5">
        <f t="shared" si="32"/>
        <v>0</v>
      </c>
      <c r="I1895" s="1"/>
      <c r="J1895" s="1"/>
    </row>
    <row r="1896" spans="2:10" x14ac:dyDescent="0.2">
      <c r="B1896" s="1" t="s">
        <v>308</v>
      </c>
      <c r="C1896" s="32">
        <v>3672</v>
      </c>
      <c r="D1896" s="1">
        <v>15000</v>
      </c>
      <c r="E1896" s="1"/>
      <c r="F1896" s="1">
        <v>167</v>
      </c>
      <c r="G1896" s="1">
        <v>15000</v>
      </c>
      <c r="H1896" s="5">
        <f t="shared" si="32"/>
        <v>0</v>
      </c>
      <c r="I1896" s="1"/>
      <c r="J1896" s="1"/>
    </row>
    <row r="1897" spans="2:10" x14ac:dyDescent="0.2">
      <c r="B1897" s="1" t="s">
        <v>308</v>
      </c>
      <c r="C1897" s="32">
        <v>4626</v>
      </c>
      <c r="D1897" s="1">
        <v>15000</v>
      </c>
      <c r="E1897" s="1"/>
      <c r="F1897" s="1">
        <v>167</v>
      </c>
      <c r="G1897" s="1">
        <v>15000</v>
      </c>
      <c r="H1897" s="5">
        <f t="shared" si="32"/>
        <v>0</v>
      </c>
      <c r="I1897" s="1"/>
      <c r="J1897" s="1"/>
    </row>
    <row r="1898" spans="2:10" x14ac:dyDescent="0.2">
      <c r="B1898" s="1" t="s">
        <v>308</v>
      </c>
      <c r="C1898" s="32" t="s">
        <v>30</v>
      </c>
      <c r="D1898" s="1">
        <v>5000</v>
      </c>
      <c r="E1898" s="1"/>
      <c r="F1898" s="1">
        <v>55.13</v>
      </c>
      <c r="G1898" s="1">
        <v>5000</v>
      </c>
      <c r="H1898" s="5">
        <f t="shared" si="32"/>
        <v>0</v>
      </c>
      <c r="I1898" s="1"/>
      <c r="J1898" s="1"/>
    </row>
    <row r="1899" spans="2:10" x14ac:dyDescent="0.2">
      <c r="B1899" s="1" t="s">
        <v>308</v>
      </c>
      <c r="C1899" s="32">
        <v>5260</v>
      </c>
      <c r="D1899" s="1">
        <v>23000</v>
      </c>
      <c r="E1899" s="1"/>
      <c r="F1899" s="1">
        <v>250</v>
      </c>
      <c r="G1899" s="1">
        <v>23000</v>
      </c>
      <c r="H1899" s="5">
        <f t="shared" si="32"/>
        <v>0</v>
      </c>
      <c r="I1899" s="1"/>
      <c r="J1899" s="1"/>
    </row>
    <row r="1900" spans="2:10" x14ac:dyDescent="0.2">
      <c r="B1900" s="1" t="s">
        <v>308</v>
      </c>
      <c r="C1900" s="32">
        <v>189</v>
      </c>
      <c r="D1900" s="1">
        <v>25000</v>
      </c>
      <c r="E1900" s="1"/>
      <c r="F1900" s="1">
        <v>278</v>
      </c>
      <c r="G1900" s="1">
        <v>25000</v>
      </c>
      <c r="H1900" s="5">
        <f t="shared" si="32"/>
        <v>0</v>
      </c>
      <c r="I1900" s="1"/>
      <c r="J1900" s="1"/>
    </row>
    <row r="1901" spans="2:10" x14ac:dyDescent="0.2">
      <c r="B1901" s="1" t="s">
        <v>308</v>
      </c>
      <c r="C1901" s="32">
        <v>5072</v>
      </c>
      <c r="D1901" s="1">
        <v>25000</v>
      </c>
      <c r="E1901" s="1"/>
      <c r="F1901" s="1">
        <v>278</v>
      </c>
      <c r="G1901" s="1">
        <v>25000</v>
      </c>
      <c r="H1901" s="5">
        <f t="shared" si="32"/>
        <v>0</v>
      </c>
      <c r="I1901" s="1"/>
      <c r="J1901" s="1"/>
    </row>
    <row r="1902" spans="2:10" x14ac:dyDescent="0.2">
      <c r="B1902" s="1" t="s">
        <v>309</v>
      </c>
      <c r="C1902" s="32" t="s">
        <v>30</v>
      </c>
      <c r="D1902" s="1">
        <v>4500</v>
      </c>
      <c r="E1902" s="1"/>
      <c r="F1902" s="1">
        <v>50.13</v>
      </c>
      <c r="G1902" s="1">
        <v>4500</v>
      </c>
      <c r="H1902" s="5">
        <f t="shared" si="32"/>
        <v>0</v>
      </c>
      <c r="I1902" s="1"/>
      <c r="J1902" s="1"/>
    </row>
    <row r="1903" spans="2:10" x14ac:dyDescent="0.2">
      <c r="B1903" s="1" t="s">
        <v>309</v>
      </c>
      <c r="C1903" s="32">
        <v>4237</v>
      </c>
      <c r="D1903" s="1">
        <v>25000</v>
      </c>
      <c r="E1903" s="1"/>
      <c r="F1903" s="1">
        <v>278</v>
      </c>
      <c r="G1903" s="1">
        <v>25000</v>
      </c>
      <c r="H1903" s="5">
        <f t="shared" si="32"/>
        <v>0</v>
      </c>
      <c r="I1903" s="1"/>
      <c r="J1903" s="1"/>
    </row>
    <row r="1904" spans="2:10" x14ac:dyDescent="0.2">
      <c r="B1904" s="1" t="s">
        <v>309</v>
      </c>
      <c r="C1904" s="32">
        <v>8454</v>
      </c>
      <c r="D1904" s="1">
        <v>27000</v>
      </c>
      <c r="E1904" s="1"/>
      <c r="F1904" s="1">
        <v>334</v>
      </c>
      <c r="G1904" s="1">
        <v>27000</v>
      </c>
      <c r="H1904" s="5">
        <f t="shared" si="32"/>
        <v>0</v>
      </c>
      <c r="I1904" s="1"/>
      <c r="J1904" s="1"/>
    </row>
    <row r="1905" spans="2:10" x14ac:dyDescent="0.2">
      <c r="B1905" s="1" t="s">
        <v>309</v>
      </c>
      <c r="C1905" s="32">
        <v>7562</v>
      </c>
      <c r="D1905" s="1">
        <v>27000</v>
      </c>
      <c r="E1905" s="1"/>
      <c r="F1905" s="1">
        <v>334</v>
      </c>
      <c r="G1905" s="1">
        <v>27000</v>
      </c>
      <c r="H1905" s="5">
        <f t="shared" si="32"/>
        <v>0</v>
      </c>
      <c r="I1905" s="1"/>
      <c r="J1905" s="1"/>
    </row>
    <row r="1906" spans="2:10" x14ac:dyDescent="0.2">
      <c r="B1906" s="1" t="s">
        <v>309</v>
      </c>
      <c r="C1906" s="32">
        <v>7077</v>
      </c>
      <c r="D1906" s="1">
        <v>20000</v>
      </c>
      <c r="E1906" s="1"/>
      <c r="F1906" s="1">
        <v>222</v>
      </c>
      <c r="G1906" s="1">
        <v>20000</v>
      </c>
      <c r="H1906" s="5">
        <f t="shared" si="32"/>
        <v>0</v>
      </c>
      <c r="I1906" s="1"/>
      <c r="J1906" s="1"/>
    </row>
    <row r="1907" spans="2:10" x14ac:dyDescent="0.2">
      <c r="B1907" s="1" t="s">
        <v>309</v>
      </c>
      <c r="C1907" s="32">
        <v>4575</v>
      </c>
      <c r="D1907" s="1">
        <v>13000</v>
      </c>
      <c r="E1907" s="1"/>
      <c r="F1907" s="1">
        <v>144</v>
      </c>
      <c r="G1907" s="1">
        <v>13000</v>
      </c>
      <c r="H1907" s="5">
        <f t="shared" si="32"/>
        <v>0</v>
      </c>
      <c r="I1907" s="1"/>
      <c r="J1907" s="1"/>
    </row>
    <row r="1908" spans="2:10" x14ac:dyDescent="0.2">
      <c r="B1908" s="1" t="s">
        <v>309</v>
      </c>
      <c r="C1908" s="32">
        <v>8565</v>
      </c>
      <c r="D1908" s="1">
        <v>13000</v>
      </c>
      <c r="E1908" s="1"/>
      <c r="F1908" s="1">
        <v>144</v>
      </c>
      <c r="G1908" s="1">
        <v>13000</v>
      </c>
      <c r="H1908" s="5">
        <f t="shared" si="32"/>
        <v>0</v>
      </c>
      <c r="I1908" s="1"/>
      <c r="J1908" s="1"/>
    </row>
    <row r="1909" spans="2:10" x14ac:dyDescent="0.2">
      <c r="B1909" s="1" t="s">
        <v>309</v>
      </c>
      <c r="C1909" s="32">
        <v>8595</v>
      </c>
      <c r="D1909" s="1">
        <v>13000</v>
      </c>
      <c r="E1909" s="1"/>
      <c r="F1909" s="1">
        <v>144</v>
      </c>
      <c r="G1909" s="1">
        <v>13000</v>
      </c>
      <c r="H1909" s="5">
        <f t="shared" si="32"/>
        <v>0</v>
      </c>
      <c r="I1909" s="1"/>
      <c r="J1909" s="1"/>
    </row>
    <row r="1910" spans="2:10" x14ac:dyDescent="0.2">
      <c r="B1910" s="1" t="s">
        <v>309</v>
      </c>
      <c r="C1910" s="32">
        <v>5750</v>
      </c>
      <c r="D1910" s="1">
        <v>20000</v>
      </c>
      <c r="E1910" s="1"/>
      <c r="F1910" s="1">
        <v>222</v>
      </c>
      <c r="G1910" s="1">
        <v>20000</v>
      </c>
      <c r="H1910" s="5">
        <f t="shared" si="32"/>
        <v>0</v>
      </c>
      <c r="I1910" s="1"/>
      <c r="J1910" s="1"/>
    </row>
    <row r="1911" spans="2:10" x14ac:dyDescent="0.2">
      <c r="B1911" s="1" t="s">
        <v>309</v>
      </c>
      <c r="C1911" s="32">
        <v>2829</v>
      </c>
      <c r="D1911" s="1">
        <v>17000</v>
      </c>
      <c r="E1911" s="1"/>
      <c r="F1911" s="1">
        <v>189</v>
      </c>
      <c r="G1911" s="1">
        <v>17000</v>
      </c>
      <c r="H1911" s="5">
        <f t="shared" si="32"/>
        <v>0</v>
      </c>
      <c r="I1911" s="1"/>
      <c r="J1911" s="1"/>
    </row>
    <row r="1912" spans="2:10" x14ac:dyDescent="0.2">
      <c r="B1912" s="1" t="s">
        <v>309</v>
      </c>
      <c r="C1912" s="32">
        <v>6782</v>
      </c>
      <c r="D1912" s="1">
        <v>23000</v>
      </c>
      <c r="E1912" s="1"/>
      <c r="F1912" s="1">
        <v>256</v>
      </c>
      <c r="G1912" s="1">
        <v>23000</v>
      </c>
      <c r="H1912" s="5">
        <f t="shared" si="32"/>
        <v>0</v>
      </c>
      <c r="I1912" s="1"/>
      <c r="J1912" s="1"/>
    </row>
    <row r="1913" spans="2:10" x14ac:dyDescent="0.2">
      <c r="B1913" s="1" t="s">
        <v>309</v>
      </c>
      <c r="C1913" s="32">
        <v>672</v>
      </c>
      <c r="D1913" s="1">
        <v>30000</v>
      </c>
      <c r="E1913" s="1"/>
      <c r="F1913" s="1">
        <v>334</v>
      </c>
      <c r="G1913" s="1">
        <v>30000</v>
      </c>
      <c r="H1913" s="5">
        <f t="shared" si="32"/>
        <v>0</v>
      </c>
      <c r="I1913" s="1"/>
      <c r="J1913" s="1"/>
    </row>
    <row r="1914" spans="2:10" x14ac:dyDescent="0.2">
      <c r="B1914" s="1" t="s">
        <v>309</v>
      </c>
      <c r="C1914" s="32">
        <v>4159</v>
      </c>
      <c r="D1914" s="1">
        <v>19000</v>
      </c>
      <c r="E1914" s="1"/>
      <c r="F1914" s="1">
        <v>211</v>
      </c>
      <c r="G1914" s="1">
        <v>19000</v>
      </c>
      <c r="H1914" s="5">
        <f t="shared" si="32"/>
        <v>0</v>
      </c>
      <c r="I1914" s="1"/>
      <c r="J1914" s="1"/>
    </row>
    <row r="1915" spans="2:10" x14ac:dyDescent="0.2">
      <c r="B1915" s="1" t="s">
        <v>310</v>
      </c>
      <c r="C1915" s="32">
        <v>5147</v>
      </c>
      <c r="D1915" s="1">
        <v>16000</v>
      </c>
      <c r="E1915" s="1"/>
      <c r="F1915" s="1">
        <v>178.25</v>
      </c>
      <c r="G1915" s="1">
        <v>16000</v>
      </c>
      <c r="H1915" s="5">
        <f t="shared" si="32"/>
        <v>0</v>
      </c>
      <c r="I1915" s="1"/>
      <c r="J1915" s="1"/>
    </row>
    <row r="1916" spans="2:10" x14ac:dyDescent="0.2">
      <c r="B1916" s="1" t="s">
        <v>310</v>
      </c>
      <c r="C1916" s="32">
        <v>5145</v>
      </c>
      <c r="D1916" s="1">
        <v>16000</v>
      </c>
      <c r="E1916" s="1"/>
      <c r="F1916" s="1">
        <v>178.25</v>
      </c>
      <c r="G1916" s="1">
        <v>16000</v>
      </c>
      <c r="H1916" s="5">
        <f t="shared" si="32"/>
        <v>0</v>
      </c>
      <c r="I1916" s="1"/>
      <c r="J1916" s="1"/>
    </row>
    <row r="1917" spans="2:10" x14ac:dyDescent="0.2">
      <c r="B1917" s="1" t="s">
        <v>310</v>
      </c>
      <c r="C1917" s="32">
        <v>915</v>
      </c>
      <c r="D1917" s="1">
        <v>13000</v>
      </c>
      <c r="E1917" s="1"/>
      <c r="F1917" s="1">
        <v>144</v>
      </c>
      <c r="G1917" s="1">
        <v>13000</v>
      </c>
      <c r="H1917" s="5">
        <f t="shared" si="32"/>
        <v>0</v>
      </c>
      <c r="I1917" s="1"/>
      <c r="J1917" s="1"/>
    </row>
    <row r="1918" spans="2:10" x14ac:dyDescent="0.2">
      <c r="B1918" s="1" t="s">
        <v>310</v>
      </c>
      <c r="C1918" s="32" t="s">
        <v>63</v>
      </c>
      <c r="D1918" s="1">
        <v>3500</v>
      </c>
      <c r="E1918" s="1"/>
      <c r="F1918" s="1">
        <v>38.950000000000003</v>
      </c>
      <c r="G1918" s="1">
        <v>3500</v>
      </c>
      <c r="H1918" s="5">
        <f t="shared" si="32"/>
        <v>0</v>
      </c>
      <c r="I1918" s="1"/>
      <c r="J1918" s="1"/>
    </row>
    <row r="1919" spans="2:10" x14ac:dyDescent="0.2">
      <c r="B1919" s="1" t="s">
        <v>310</v>
      </c>
      <c r="C1919" s="32">
        <v>1405</v>
      </c>
      <c r="D1919" s="1">
        <v>13500</v>
      </c>
      <c r="E1919" s="1"/>
      <c r="F1919" s="1">
        <v>150</v>
      </c>
      <c r="G1919" s="1">
        <v>13500</v>
      </c>
      <c r="H1919" s="5">
        <f t="shared" si="32"/>
        <v>0</v>
      </c>
      <c r="I1919" s="1"/>
      <c r="J1919" s="1"/>
    </row>
    <row r="1920" spans="2:10" x14ac:dyDescent="0.2">
      <c r="B1920" s="1" t="s">
        <v>310</v>
      </c>
      <c r="C1920" s="32">
        <v>2621</v>
      </c>
      <c r="D1920" s="1">
        <v>5000</v>
      </c>
      <c r="E1920" s="1"/>
      <c r="F1920" s="1">
        <v>55.13</v>
      </c>
      <c r="G1920" s="1">
        <v>5000</v>
      </c>
      <c r="H1920" s="5">
        <f t="shared" si="32"/>
        <v>0</v>
      </c>
      <c r="I1920" s="1"/>
      <c r="J1920" s="1"/>
    </row>
    <row r="1921" spans="2:10" x14ac:dyDescent="0.2">
      <c r="B1921" s="1" t="s">
        <v>310</v>
      </c>
      <c r="C1921" s="32">
        <v>6946</v>
      </c>
      <c r="D1921" s="1">
        <v>20000</v>
      </c>
      <c r="E1921" s="1"/>
      <c r="F1921" s="1">
        <v>222</v>
      </c>
      <c r="G1921" s="1">
        <v>20000</v>
      </c>
      <c r="H1921" s="5">
        <f t="shared" si="32"/>
        <v>0</v>
      </c>
      <c r="I1921" s="1"/>
      <c r="J1921" s="1"/>
    </row>
    <row r="1922" spans="2:10" x14ac:dyDescent="0.2">
      <c r="B1922" s="1" t="s">
        <v>310</v>
      </c>
      <c r="C1922" s="32">
        <v>9968</v>
      </c>
      <c r="D1922" s="1">
        <v>7000</v>
      </c>
      <c r="E1922" s="1"/>
      <c r="F1922" s="1">
        <v>77.989999999999995</v>
      </c>
      <c r="G1922" s="1">
        <v>7000</v>
      </c>
      <c r="H1922" s="5">
        <f t="shared" si="32"/>
        <v>0</v>
      </c>
      <c r="I1922" s="1"/>
      <c r="J1922" s="1"/>
    </row>
    <row r="1923" spans="2:10" x14ac:dyDescent="0.2">
      <c r="B1923" s="1" t="s">
        <v>310</v>
      </c>
      <c r="C1923" s="32">
        <v>21</v>
      </c>
      <c r="D1923" s="1">
        <v>8000</v>
      </c>
      <c r="E1923" s="1"/>
      <c r="F1923" s="1">
        <v>89.13</v>
      </c>
      <c r="G1923" s="1">
        <v>8000</v>
      </c>
      <c r="H1923" s="5">
        <f t="shared" si="32"/>
        <v>0</v>
      </c>
      <c r="I1923" s="1"/>
      <c r="J1923" s="1"/>
    </row>
    <row r="1924" spans="2:10" x14ac:dyDescent="0.2">
      <c r="B1924" s="1" t="s">
        <v>310</v>
      </c>
      <c r="C1924" s="32">
        <v>4485</v>
      </c>
      <c r="D1924" s="1">
        <v>15000</v>
      </c>
      <c r="E1924" s="1"/>
      <c r="F1924" s="1">
        <v>167.41</v>
      </c>
      <c r="G1924" s="1">
        <v>15000</v>
      </c>
      <c r="H1924" s="5">
        <f t="shared" si="32"/>
        <v>0</v>
      </c>
      <c r="I1924" s="1"/>
      <c r="J1924" s="1"/>
    </row>
    <row r="1925" spans="2:10" x14ac:dyDescent="0.2">
      <c r="B1925" s="1" t="s">
        <v>310</v>
      </c>
      <c r="C1925" s="32">
        <v>339</v>
      </c>
      <c r="D1925" s="1">
        <v>17000</v>
      </c>
      <c r="E1925" s="1"/>
      <c r="F1925" s="1">
        <v>189</v>
      </c>
      <c r="G1925" s="1">
        <v>17000</v>
      </c>
      <c r="H1925" s="5">
        <f t="shared" si="32"/>
        <v>0</v>
      </c>
      <c r="I1925" s="1"/>
      <c r="J1925" s="1"/>
    </row>
    <row r="1926" spans="2:10" x14ac:dyDescent="0.2">
      <c r="B1926" s="1" t="s">
        <v>310</v>
      </c>
      <c r="C1926" s="32">
        <v>9987</v>
      </c>
      <c r="D1926" s="1">
        <v>10000</v>
      </c>
      <c r="E1926" s="1"/>
      <c r="F1926" s="1">
        <v>111.41</v>
      </c>
      <c r="G1926" s="1">
        <v>10000</v>
      </c>
      <c r="H1926" s="5">
        <f t="shared" si="32"/>
        <v>0</v>
      </c>
      <c r="I1926" s="1"/>
      <c r="J1926" s="1"/>
    </row>
    <row r="1927" spans="2:10" x14ac:dyDescent="0.2">
      <c r="B1927" s="1" t="s">
        <v>310</v>
      </c>
      <c r="C1927" s="32">
        <v>8814</v>
      </c>
      <c r="D1927" s="1">
        <v>20000</v>
      </c>
      <c r="E1927" s="1"/>
      <c r="F1927" s="1">
        <v>222.82</v>
      </c>
      <c r="G1927" s="1">
        <v>20000</v>
      </c>
      <c r="H1927" s="5">
        <f t="shared" si="32"/>
        <v>0</v>
      </c>
      <c r="I1927" s="1"/>
      <c r="J1927" s="1"/>
    </row>
    <row r="1928" spans="2:10" x14ac:dyDescent="0.2">
      <c r="B1928" s="1" t="s">
        <v>310</v>
      </c>
      <c r="C1928" s="32">
        <v>4135</v>
      </c>
      <c r="D1928" s="1">
        <v>22000</v>
      </c>
      <c r="E1928" s="1"/>
      <c r="F1928" s="1">
        <v>245</v>
      </c>
      <c r="G1928" s="1">
        <v>22000</v>
      </c>
      <c r="H1928" s="5">
        <f t="shared" si="32"/>
        <v>0</v>
      </c>
      <c r="I1928" s="1"/>
      <c r="J1928" s="1"/>
    </row>
    <row r="1929" spans="2:10" x14ac:dyDescent="0.2">
      <c r="B1929" s="1" t="s">
        <v>310</v>
      </c>
      <c r="C1929" s="32" t="s">
        <v>66</v>
      </c>
      <c r="D1929" s="1">
        <v>100</v>
      </c>
      <c r="E1929" s="1"/>
      <c r="F1929" s="1">
        <v>96.04</v>
      </c>
      <c r="G1929" s="1">
        <v>100</v>
      </c>
      <c r="H1929" s="5">
        <f t="shared" si="32"/>
        <v>0</v>
      </c>
      <c r="I1929" s="1"/>
      <c r="J1929" s="1"/>
    </row>
    <row r="1930" spans="2:10" x14ac:dyDescent="0.2">
      <c r="B1930" s="1" t="s">
        <v>311</v>
      </c>
      <c r="C1930" s="32">
        <v>910</v>
      </c>
      <c r="D1930" s="1">
        <v>20000</v>
      </c>
      <c r="E1930" s="1"/>
      <c r="F1930" s="1">
        <v>222.82</v>
      </c>
      <c r="G1930" s="1">
        <v>20000</v>
      </c>
      <c r="H1930" s="5">
        <f t="shared" si="32"/>
        <v>0</v>
      </c>
      <c r="I1930" s="1"/>
      <c r="J1930" s="1"/>
    </row>
    <row r="1931" spans="2:10" x14ac:dyDescent="0.2">
      <c r="B1931" s="1" t="s">
        <v>311</v>
      </c>
      <c r="C1931" s="32">
        <v>5749</v>
      </c>
      <c r="D1931" s="1">
        <v>28000</v>
      </c>
      <c r="E1931" s="1"/>
      <c r="F1931" s="1">
        <v>373</v>
      </c>
      <c r="G1931" s="1">
        <v>28000</v>
      </c>
      <c r="H1931" s="5">
        <f t="shared" si="32"/>
        <v>0</v>
      </c>
      <c r="I1931" s="1"/>
      <c r="J1931" s="1"/>
    </row>
    <row r="1932" spans="2:10" x14ac:dyDescent="0.2">
      <c r="B1932" s="1" t="s">
        <v>311</v>
      </c>
      <c r="C1932" s="32">
        <v>9918</v>
      </c>
      <c r="D1932" s="1">
        <v>20000</v>
      </c>
      <c r="E1932" s="1"/>
      <c r="F1932" s="1">
        <v>222.82</v>
      </c>
      <c r="G1932" s="1">
        <v>20000</v>
      </c>
      <c r="H1932" s="5">
        <f t="shared" si="32"/>
        <v>0</v>
      </c>
      <c r="I1932" s="1"/>
      <c r="J1932" s="1"/>
    </row>
    <row r="1933" spans="2:10" x14ac:dyDescent="0.2">
      <c r="B1933" s="1" t="s">
        <v>311</v>
      </c>
      <c r="C1933" s="32">
        <v>9250</v>
      </c>
      <c r="D1933" s="1">
        <v>26000</v>
      </c>
      <c r="E1933" s="1"/>
      <c r="F1933" s="1">
        <v>289</v>
      </c>
      <c r="G1933" s="1">
        <v>26000</v>
      </c>
      <c r="H1933" s="5">
        <f t="shared" ref="H1933:H1999" si="33">D1933-G1933</f>
        <v>0</v>
      </c>
      <c r="I1933" s="1"/>
      <c r="J1933" s="1"/>
    </row>
    <row r="1934" spans="2:10" x14ac:dyDescent="0.2">
      <c r="B1934" s="1" t="s">
        <v>311</v>
      </c>
      <c r="C1934" s="32" t="s">
        <v>30</v>
      </c>
      <c r="D1934" s="1">
        <v>4500</v>
      </c>
      <c r="E1934" s="1"/>
      <c r="F1934" s="1">
        <v>50.13</v>
      </c>
      <c r="G1934" s="1">
        <v>4500</v>
      </c>
      <c r="H1934" s="5">
        <f t="shared" si="33"/>
        <v>0</v>
      </c>
      <c r="I1934" s="1"/>
      <c r="J1934" s="1"/>
    </row>
    <row r="1935" spans="2:10" x14ac:dyDescent="0.2">
      <c r="B1935" s="1" t="s">
        <v>311</v>
      </c>
      <c r="C1935" s="32">
        <v>9998</v>
      </c>
      <c r="D1935" s="1">
        <v>17000</v>
      </c>
      <c r="E1935" s="1"/>
      <c r="F1935" s="1">
        <v>189</v>
      </c>
      <c r="G1935" s="1">
        <v>17000</v>
      </c>
      <c r="H1935" s="5">
        <f t="shared" si="33"/>
        <v>0</v>
      </c>
      <c r="I1935" s="1"/>
      <c r="J1935" s="1"/>
    </row>
    <row r="1936" spans="2:10" x14ac:dyDescent="0.2">
      <c r="B1936" s="1" t="s">
        <v>311</v>
      </c>
      <c r="C1936" s="32">
        <v>9398</v>
      </c>
      <c r="D1936" s="1">
        <v>18000</v>
      </c>
      <c r="E1936" s="1"/>
      <c r="F1936" s="1">
        <v>200.53</v>
      </c>
      <c r="G1936" s="1">
        <v>18000</v>
      </c>
      <c r="H1936" s="5">
        <f t="shared" si="33"/>
        <v>0</v>
      </c>
      <c r="I1936" s="1"/>
      <c r="J1936" s="1"/>
    </row>
    <row r="1937" spans="2:10" x14ac:dyDescent="0.2">
      <c r="B1937" s="1" t="s">
        <v>311</v>
      </c>
      <c r="C1937" s="32">
        <v>1871</v>
      </c>
      <c r="D1937" s="1">
        <v>18000</v>
      </c>
      <c r="E1937" s="1"/>
      <c r="F1937" s="1">
        <v>200.53</v>
      </c>
      <c r="G1937" s="1">
        <v>18000</v>
      </c>
      <c r="H1937" s="5">
        <f t="shared" si="33"/>
        <v>0</v>
      </c>
      <c r="I1937" s="1"/>
      <c r="J1937" s="1"/>
    </row>
    <row r="1938" spans="2:10" x14ac:dyDescent="0.2">
      <c r="B1938" s="1" t="s">
        <v>311</v>
      </c>
      <c r="C1938" s="32">
        <v>9991</v>
      </c>
      <c r="D1938" s="1">
        <v>14000</v>
      </c>
      <c r="E1938" s="1"/>
      <c r="F1938" s="1">
        <v>155.9</v>
      </c>
      <c r="G1938" s="1">
        <v>14000</v>
      </c>
      <c r="H1938" s="5">
        <f t="shared" si="33"/>
        <v>0</v>
      </c>
      <c r="I1938" s="1"/>
      <c r="J1938" s="1"/>
    </row>
    <row r="1939" spans="2:10" x14ac:dyDescent="0.2">
      <c r="B1939" s="1" t="s">
        <v>311</v>
      </c>
      <c r="C1939" s="32">
        <v>2957</v>
      </c>
      <c r="D1939" s="1">
        <v>15000</v>
      </c>
      <c r="E1939" s="1"/>
      <c r="F1939" s="1">
        <v>167.41</v>
      </c>
      <c r="G1939" s="1">
        <v>15000</v>
      </c>
      <c r="H1939" s="5">
        <f t="shared" si="33"/>
        <v>0</v>
      </c>
      <c r="I1939" s="1"/>
      <c r="J1939" s="1"/>
    </row>
    <row r="1940" spans="2:10" x14ac:dyDescent="0.2">
      <c r="B1940" s="1" t="s">
        <v>311</v>
      </c>
      <c r="C1940" s="32">
        <v>7284</v>
      </c>
      <c r="D1940" s="1">
        <v>25000</v>
      </c>
      <c r="E1940" s="1"/>
      <c r="F1940" s="1">
        <v>278</v>
      </c>
      <c r="G1940" s="1">
        <v>25000</v>
      </c>
      <c r="H1940" s="5">
        <f t="shared" si="33"/>
        <v>0</v>
      </c>
      <c r="I1940" s="1"/>
      <c r="J1940" s="1"/>
    </row>
    <row r="1941" spans="2:10" x14ac:dyDescent="0.2">
      <c r="B1941" s="1" t="s">
        <v>311</v>
      </c>
      <c r="C1941" s="32">
        <v>3097</v>
      </c>
      <c r="D1941" s="1">
        <v>25000</v>
      </c>
      <c r="E1941" s="1"/>
      <c r="F1941" s="1">
        <v>278</v>
      </c>
      <c r="G1941" s="1">
        <v>25000</v>
      </c>
      <c r="H1941" s="5">
        <f t="shared" si="33"/>
        <v>0</v>
      </c>
      <c r="I1941" s="1"/>
      <c r="J1941" s="1"/>
    </row>
    <row r="1942" spans="2:10" x14ac:dyDescent="0.2">
      <c r="B1942" s="1" t="s">
        <v>311</v>
      </c>
      <c r="C1942" s="32">
        <v>6607</v>
      </c>
      <c r="D1942" s="1">
        <v>20000</v>
      </c>
      <c r="E1942" s="1"/>
      <c r="F1942" s="1">
        <v>222.82</v>
      </c>
      <c r="G1942" s="1">
        <v>20000</v>
      </c>
      <c r="H1942" s="5">
        <f t="shared" si="33"/>
        <v>0</v>
      </c>
      <c r="I1942" s="1"/>
      <c r="J1942" s="1"/>
    </row>
    <row r="1943" spans="2:10" x14ac:dyDescent="0.2">
      <c r="B1943" s="1" t="s">
        <v>311</v>
      </c>
      <c r="C1943" s="32">
        <v>7138</v>
      </c>
      <c r="D1943" s="1">
        <v>20000</v>
      </c>
      <c r="E1943" s="1"/>
      <c r="F1943" s="1">
        <v>222.82</v>
      </c>
      <c r="G1943" s="1">
        <v>20000</v>
      </c>
      <c r="H1943" s="5">
        <f t="shared" si="33"/>
        <v>0</v>
      </c>
      <c r="I1943" s="1"/>
      <c r="J1943" s="1"/>
    </row>
    <row r="1944" spans="2:10" x14ac:dyDescent="0.2">
      <c r="B1944" s="1" t="s">
        <v>311</v>
      </c>
      <c r="C1944" s="32">
        <v>3538</v>
      </c>
      <c r="D1944" s="1">
        <v>20000</v>
      </c>
      <c r="E1944" s="1"/>
      <c r="F1944" s="1">
        <v>222.82</v>
      </c>
      <c r="G1944" s="1">
        <v>20000</v>
      </c>
      <c r="H1944" s="5">
        <f t="shared" si="33"/>
        <v>0</v>
      </c>
      <c r="I1944" s="1"/>
      <c r="J1944" s="1"/>
    </row>
    <row r="1945" spans="2:10" x14ac:dyDescent="0.2">
      <c r="B1945" s="1" t="s">
        <v>311</v>
      </c>
      <c r="C1945" s="32">
        <v>534</v>
      </c>
      <c r="D1945" s="1">
        <v>30000</v>
      </c>
      <c r="E1945" s="1"/>
      <c r="F1945" s="1">
        <v>334</v>
      </c>
      <c r="G1945" s="1">
        <v>30000</v>
      </c>
      <c r="H1945" s="5">
        <f t="shared" si="33"/>
        <v>0</v>
      </c>
      <c r="I1945" s="1"/>
      <c r="J1945" s="1"/>
    </row>
    <row r="1946" spans="2:10" x14ac:dyDescent="0.2">
      <c r="B1946" s="1" t="s">
        <v>311</v>
      </c>
      <c r="C1946" s="32">
        <v>6787</v>
      </c>
      <c r="D1946" s="1">
        <v>30000</v>
      </c>
      <c r="E1946" s="1"/>
      <c r="F1946" s="1">
        <v>334</v>
      </c>
      <c r="G1946" s="1">
        <v>30000</v>
      </c>
      <c r="H1946" s="5">
        <f t="shared" si="33"/>
        <v>0</v>
      </c>
      <c r="I1946" s="1"/>
      <c r="J1946" s="1"/>
    </row>
    <row r="1947" spans="2:10" x14ac:dyDescent="0.2">
      <c r="B1947" s="1" t="s">
        <v>314</v>
      </c>
      <c r="C1947" s="32" t="s">
        <v>30</v>
      </c>
      <c r="D1947" s="1">
        <v>3500</v>
      </c>
      <c r="E1947" s="1"/>
      <c r="F1947" s="1">
        <v>38.950000000000003</v>
      </c>
      <c r="G1947" s="1">
        <v>3500</v>
      </c>
      <c r="H1947" s="5">
        <f t="shared" si="33"/>
        <v>0</v>
      </c>
      <c r="I1947" s="1"/>
      <c r="J1947" s="1"/>
    </row>
    <row r="1948" spans="2:10" x14ac:dyDescent="0.2">
      <c r="B1948" s="1" t="s">
        <v>314</v>
      </c>
      <c r="C1948" s="32">
        <v>7597</v>
      </c>
      <c r="D1948" s="1">
        <v>20000</v>
      </c>
      <c r="E1948" s="1"/>
      <c r="F1948" s="1">
        <v>222.82</v>
      </c>
      <c r="G1948" s="1">
        <v>20000</v>
      </c>
      <c r="H1948" s="5">
        <f t="shared" si="33"/>
        <v>0</v>
      </c>
      <c r="I1948" s="1"/>
      <c r="J1948" s="1"/>
    </row>
    <row r="1949" spans="2:10" x14ac:dyDescent="0.2">
      <c r="B1949" s="1" t="s">
        <v>314</v>
      </c>
      <c r="C1949" s="32">
        <v>860</v>
      </c>
      <c r="D1949" s="1">
        <v>25000</v>
      </c>
      <c r="E1949" s="1"/>
      <c r="F1949" s="1">
        <v>278</v>
      </c>
      <c r="G1949" s="1">
        <v>25000</v>
      </c>
      <c r="H1949" s="5">
        <f t="shared" si="33"/>
        <v>0</v>
      </c>
      <c r="I1949" s="1"/>
      <c r="J1949" s="1"/>
    </row>
    <row r="1950" spans="2:10" x14ac:dyDescent="0.2">
      <c r="B1950" s="1" t="s">
        <v>314</v>
      </c>
      <c r="C1950" s="32">
        <v>3662</v>
      </c>
      <c r="D1950" s="1">
        <v>12000</v>
      </c>
      <c r="E1950" s="1"/>
      <c r="F1950" s="1">
        <v>133</v>
      </c>
      <c r="G1950" s="1">
        <v>12000</v>
      </c>
      <c r="H1950" s="5">
        <f t="shared" si="33"/>
        <v>0</v>
      </c>
      <c r="I1950" s="1"/>
      <c r="J1950" s="1"/>
    </row>
    <row r="1951" spans="2:10" x14ac:dyDescent="0.2">
      <c r="B1951" s="1" t="s">
        <v>314</v>
      </c>
      <c r="C1951" s="32">
        <v>6453</v>
      </c>
      <c r="D1951" s="1">
        <v>20000</v>
      </c>
      <c r="E1951" s="1"/>
      <c r="F1951" s="1">
        <v>222.82</v>
      </c>
      <c r="G1951" s="1">
        <v>20000</v>
      </c>
      <c r="H1951" s="5">
        <f t="shared" si="33"/>
        <v>0</v>
      </c>
      <c r="I1951" s="1"/>
      <c r="J1951" s="1"/>
    </row>
    <row r="1952" spans="2:10" x14ac:dyDescent="0.2">
      <c r="B1952" s="1" t="s">
        <v>314</v>
      </c>
      <c r="C1952" s="32">
        <v>226</v>
      </c>
      <c r="D1952" s="1">
        <v>14748</v>
      </c>
      <c r="E1952" s="1"/>
      <c r="F1952" s="1">
        <v>164</v>
      </c>
      <c r="G1952" s="1">
        <v>14748</v>
      </c>
      <c r="H1952" s="5">
        <f t="shared" si="33"/>
        <v>0</v>
      </c>
      <c r="I1952" s="1"/>
      <c r="J1952" s="1"/>
    </row>
    <row r="1953" spans="2:10" x14ac:dyDescent="0.2">
      <c r="B1953" s="1" t="s">
        <v>314</v>
      </c>
      <c r="C1953" s="32">
        <v>5266</v>
      </c>
      <c r="D1953" s="1">
        <v>30000</v>
      </c>
      <c r="E1953" s="1"/>
      <c r="F1953" s="1">
        <v>334</v>
      </c>
      <c r="G1953" s="1">
        <v>30000</v>
      </c>
      <c r="H1953" s="5">
        <f t="shared" si="33"/>
        <v>0</v>
      </c>
      <c r="I1953" s="1"/>
      <c r="J1953" s="1"/>
    </row>
    <row r="1954" spans="2:10" x14ac:dyDescent="0.2">
      <c r="B1954" s="1" t="s">
        <v>314</v>
      </c>
      <c r="C1954" s="32">
        <v>9793</v>
      </c>
      <c r="D1954" s="1">
        <v>25000</v>
      </c>
      <c r="E1954" s="1"/>
      <c r="F1954" s="1">
        <v>278</v>
      </c>
      <c r="G1954" s="1">
        <v>25000</v>
      </c>
      <c r="H1954" s="5">
        <f t="shared" si="33"/>
        <v>0</v>
      </c>
      <c r="I1954" s="1"/>
      <c r="J1954" s="1"/>
    </row>
    <row r="1955" spans="2:10" x14ac:dyDescent="0.2">
      <c r="B1955" s="1" t="s">
        <v>314</v>
      </c>
      <c r="C1955" s="32">
        <v>1717</v>
      </c>
      <c r="D1955" s="1">
        <v>25000</v>
      </c>
      <c r="E1955" s="1"/>
      <c r="F1955" s="1">
        <v>278</v>
      </c>
      <c r="G1955" s="1">
        <v>25000</v>
      </c>
      <c r="H1955" s="5">
        <f t="shared" si="33"/>
        <v>0</v>
      </c>
      <c r="I1955" s="1"/>
      <c r="J1955" s="1"/>
    </row>
    <row r="1956" spans="2:10" x14ac:dyDescent="0.2">
      <c r="B1956" s="1" t="s">
        <v>314</v>
      </c>
      <c r="C1956" s="32">
        <v>6064</v>
      </c>
      <c r="D1956" s="1">
        <v>18000</v>
      </c>
      <c r="E1956" s="1"/>
      <c r="F1956" s="1">
        <v>200.53</v>
      </c>
      <c r="G1956" s="1">
        <v>18000</v>
      </c>
      <c r="H1956" s="5">
        <f t="shared" si="33"/>
        <v>0</v>
      </c>
      <c r="I1956" s="1"/>
      <c r="J1956" s="1"/>
    </row>
    <row r="1957" spans="2:10" x14ac:dyDescent="0.2">
      <c r="B1957" s="1" t="s">
        <v>314</v>
      </c>
      <c r="C1957" s="32">
        <v>1066</v>
      </c>
      <c r="D1957" s="1">
        <v>27000</v>
      </c>
      <c r="E1957" s="1"/>
      <c r="F1957" s="1">
        <v>293</v>
      </c>
      <c r="G1957" s="1">
        <v>27000</v>
      </c>
      <c r="H1957" s="5">
        <f t="shared" si="33"/>
        <v>0</v>
      </c>
      <c r="I1957" s="1"/>
      <c r="J1957" s="1"/>
    </row>
    <row r="1958" spans="2:10" x14ac:dyDescent="0.2">
      <c r="B1958" s="1" t="s">
        <v>313</v>
      </c>
      <c r="C1958" s="32">
        <v>9808</v>
      </c>
      <c r="D1958" s="1">
        <v>18000</v>
      </c>
      <c r="E1958" s="1"/>
      <c r="F1958" s="1">
        <v>200.53</v>
      </c>
      <c r="G1958" s="1">
        <v>18000</v>
      </c>
      <c r="H1958" s="5">
        <f t="shared" si="33"/>
        <v>0</v>
      </c>
      <c r="I1958" s="1"/>
      <c r="J1958" s="1"/>
    </row>
    <row r="1959" spans="2:10" x14ac:dyDescent="0.2">
      <c r="B1959" s="1" t="s">
        <v>313</v>
      </c>
      <c r="C1959" s="32">
        <v>4041</v>
      </c>
      <c r="D1959" s="1">
        <v>30000</v>
      </c>
      <c r="E1959" s="1"/>
      <c r="F1959" s="1">
        <v>334</v>
      </c>
      <c r="G1959" s="1">
        <v>30000</v>
      </c>
      <c r="H1959" s="5">
        <f t="shared" si="33"/>
        <v>0</v>
      </c>
      <c r="I1959" s="1"/>
      <c r="J1959" s="1"/>
    </row>
    <row r="1960" spans="2:10" x14ac:dyDescent="0.2">
      <c r="B1960" s="1" t="s">
        <v>313</v>
      </c>
      <c r="C1960" s="32">
        <v>4665</v>
      </c>
      <c r="D1960" s="1">
        <v>20000</v>
      </c>
      <c r="E1960" s="1"/>
      <c r="F1960" s="1">
        <v>222.82</v>
      </c>
      <c r="G1960" s="1">
        <v>20000</v>
      </c>
      <c r="H1960" s="5">
        <f t="shared" si="33"/>
        <v>0</v>
      </c>
      <c r="I1960" s="1"/>
      <c r="J1960" s="1"/>
    </row>
    <row r="1961" spans="2:10" x14ac:dyDescent="0.2">
      <c r="B1961" s="1" t="s">
        <v>313</v>
      </c>
      <c r="C1961" s="32" t="s">
        <v>66</v>
      </c>
      <c r="D1961" s="1">
        <v>210</v>
      </c>
      <c r="E1961" s="1"/>
      <c r="F1961" s="1">
        <v>2.1800000000000002</v>
      </c>
      <c r="G1961" s="1">
        <v>210</v>
      </c>
      <c r="H1961" s="5">
        <f t="shared" si="33"/>
        <v>0</v>
      </c>
      <c r="I1961" s="1"/>
      <c r="J1961" s="1"/>
    </row>
    <row r="1962" spans="2:10" x14ac:dyDescent="0.2">
      <c r="B1962" s="1" t="s">
        <v>315</v>
      </c>
      <c r="C1962" s="32">
        <v>386</v>
      </c>
      <c r="D1962" s="1">
        <v>24000</v>
      </c>
      <c r="E1962" s="1"/>
      <c r="F1962" s="1">
        <v>253</v>
      </c>
      <c r="G1962" s="1">
        <v>24000</v>
      </c>
      <c r="H1962" s="5">
        <f t="shared" si="33"/>
        <v>0</v>
      </c>
      <c r="I1962" s="1"/>
      <c r="J1962" s="1"/>
    </row>
    <row r="1963" spans="2:10" x14ac:dyDescent="0.2">
      <c r="B1963" s="1" t="s">
        <v>315</v>
      </c>
      <c r="C1963" s="32">
        <v>3106</v>
      </c>
      <c r="D1963" s="1">
        <v>27000</v>
      </c>
      <c r="E1963" s="1"/>
      <c r="F1963" s="1">
        <v>293</v>
      </c>
      <c r="G1963" s="1">
        <v>27000</v>
      </c>
      <c r="H1963" s="5">
        <f t="shared" si="33"/>
        <v>0</v>
      </c>
      <c r="I1963" s="1"/>
      <c r="J1963" s="1"/>
    </row>
    <row r="1964" spans="2:10" x14ac:dyDescent="0.2">
      <c r="B1964" s="1" t="s">
        <v>315</v>
      </c>
      <c r="C1964" s="32" t="s">
        <v>30</v>
      </c>
      <c r="D1964" s="1">
        <v>4500</v>
      </c>
      <c r="E1964" s="1"/>
      <c r="F1964" s="1">
        <v>50.13</v>
      </c>
      <c r="G1964" s="1">
        <v>4500</v>
      </c>
      <c r="H1964" s="5">
        <f t="shared" si="33"/>
        <v>0</v>
      </c>
      <c r="I1964" s="1"/>
      <c r="J1964" s="1"/>
    </row>
    <row r="1965" spans="2:10" x14ac:dyDescent="0.2">
      <c r="B1965" s="1" t="s">
        <v>315</v>
      </c>
      <c r="C1965" s="32" t="s">
        <v>30</v>
      </c>
      <c r="D1965" s="1">
        <v>7000</v>
      </c>
      <c r="E1965" s="1"/>
      <c r="F1965" s="1">
        <v>77.989999999999995</v>
      </c>
      <c r="G1965" s="1">
        <v>7000</v>
      </c>
      <c r="H1965" s="5">
        <f t="shared" si="33"/>
        <v>0</v>
      </c>
      <c r="I1965" s="1"/>
      <c r="J1965" s="1"/>
    </row>
    <row r="1966" spans="2:10" x14ac:dyDescent="0.2">
      <c r="B1966" s="1" t="s">
        <v>315</v>
      </c>
      <c r="C1966" s="32">
        <v>2271</v>
      </c>
      <c r="D1966" s="1">
        <v>15000</v>
      </c>
      <c r="E1966" s="1"/>
      <c r="F1966" s="1">
        <v>167.11</v>
      </c>
      <c r="G1966" s="1">
        <v>15000</v>
      </c>
      <c r="H1966" s="5">
        <f t="shared" si="33"/>
        <v>0</v>
      </c>
      <c r="I1966" s="1"/>
      <c r="J1966" s="1"/>
    </row>
    <row r="1967" spans="2:10" x14ac:dyDescent="0.2">
      <c r="B1967" s="1" t="s">
        <v>315</v>
      </c>
      <c r="C1967" s="32">
        <v>4806</v>
      </c>
      <c r="D1967" s="1">
        <v>20000</v>
      </c>
      <c r="E1967" s="1"/>
      <c r="F1967" s="1">
        <v>222</v>
      </c>
      <c r="G1967" s="1">
        <v>20000</v>
      </c>
      <c r="H1967" s="5">
        <f t="shared" si="33"/>
        <v>0</v>
      </c>
      <c r="I1967" s="1"/>
      <c r="J1967" s="1"/>
    </row>
    <row r="1968" spans="2:10" x14ac:dyDescent="0.2">
      <c r="B1968" s="1" t="s">
        <v>315</v>
      </c>
      <c r="C1968" s="32">
        <v>4566</v>
      </c>
      <c r="D1968" s="1">
        <v>15000</v>
      </c>
      <c r="E1968" s="1"/>
      <c r="F1968" s="1">
        <v>167.11</v>
      </c>
      <c r="G1968" s="1">
        <v>15000</v>
      </c>
      <c r="H1968" s="5">
        <f t="shared" si="33"/>
        <v>0</v>
      </c>
      <c r="I1968" s="1"/>
      <c r="J1968" s="1"/>
    </row>
    <row r="1969" spans="2:10" x14ac:dyDescent="0.2">
      <c r="B1969" s="1" t="s">
        <v>315</v>
      </c>
      <c r="C1969" s="32">
        <v>654</v>
      </c>
      <c r="D1969" s="1">
        <v>25000</v>
      </c>
      <c r="E1969" s="1"/>
      <c r="F1969" s="1">
        <v>278</v>
      </c>
      <c r="G1969" s="1">
        <v>25000</v>
      </c>
      <c r="H1969" s="5">
        <f t="shared" si="33"/>
        <v>0</v>
      </c>
      <c r="I1969" s="1"/>
      <c r="J1969" s="1"/>
    </row>
    <row r="1970" spans="2:10" x14ac:dyDescent="0.2">
      <c r="B1970" s="1" t="s">
        <v>315</v>
      </c>
      <c r="C1970" s="32">
        <v>975</v>
      </c>
      <c r="D1970" s="1">
        <v>25000</v>
      </c>
      <c r="E1970" s="1"/>
      <c r="F1970" s="1">
        <v>278</v>
      </c>
      <c r="G1970" s="1">
        <v>25000</v>
      </c>
      <c r="H1970" s="5">
        <f t="shared" si="33"/>
        <v>0</v>
      </c>
      <c r="I1970" s="1"/>
      <c r="J1970" s="1"/>
    </row>
    <row r="1971" spans="2:10" x14ac:dyDescent="0.2">
      <c r="B1971" s="1" t="s">
        <v>315</v>
      </c>
      <c r="C1971" s="32">
        <v>5049</v>
      </c>
      <c r="D1971" s="1">
        <v>10000</v>
      </c>
      <c r="E1971" s="1"/>
      <c r="F1971" s="1">
        <v>111.5</v>
      </c>
      <c r="G1971" s="1">
        <v>10000</v>
      </c>
      <c r="H1971" s="5">
        <f t="shared" si="33"/>
        <v>0</v>
      </c>
      <c r="I1971" s="1"/>
      <c r="J1971" s="1"/>
    </row>
    <row r="1972" spans="2:10" x14ac:dyDescent="0.2">
      <c r="B1972" s="1" t="s">
        <v>315</v>
      </c>
      <c r="C1972" s="32">
        <v>7671</v>
      </c>
      <c r="D1972" s="1">
        <v>5000</v>
      </c>
      <c r="E1972" s="1"/>
      <c r="F1972" s="1">
        <v>55.7</v>
      </c>
      <c r="G1972" s="1">
        <v>5000</v>
      </c>
      <c r="H1972" s="5">
        <f t="shared" si="33"/>
        <v>0</v>
      </c>
      <c r="I1972" s="1"/>
      <c r="J1972" s="1"/>
    </row>
    <row r="1973" spans="2:10" x14ac:dyDescent="0.2">
      <c r="B1973" s="1" t="s">
        <v>315</v>
      </c>
      <c r="C1973" s="32">
        <v>5443</v>
      </c>
      <c r="D1973" s="1">
        <v>15000</v>
      </c>
      <c r="E1973" s="1"/>
      <c r="F1973" s="1">
        <v>167</v>
      </c>
      <c r="G1973" s="1">
        <v>15000</v>
      </c>
      <c r="H1973" s="5">
        <f t="shared" si="33"/>
        <v>0</v>
      </c>
      <c r="I1973" s="1"/>
      <c r="J1973" s="1"/>
    </row>
    <row r="1974" spans="2:10" x14ac:dyDescent="0.2">
      <c r="B1974" s="1" t="s">
        <v>315</v>
      </c>
      <c r="C1974" s="32">
        <v>9148</v>
      </c>
      <c r="D1974" s="1">
        <v>24000</v>
      </c>
      <c r="E1974" s="1"/>
      <c r="F1974" s="1">
        <v>267</v>
      </c>
      <c r="G1974" s="1">
        <v>24000</v>
      </c>
      <c r="H1974" s="5">
        <f t="shared" si="33"/>
        <v>0</v>
      </c>
      <c r="I1974" s="1"/>
      <c r="J1974" s="1"/>
    </row>
    <row r="1975" spans="2:10" x14ac:dyDescent="0.2">
      <c r="B1975" s="1" t="s">
        <v>315</v>
      </c>
      <c r="C1975" s="32">
        <v>8046</v>
      </c>
      <c r="D1975" s="1">
        <v>18000</v>
      </c>
      <c r="E1975" s="1"/>
      <c r="F1975" s="1">
        <v>200.5</v>
      </c>
      <c r="G1975" s="1">
        <v>18000</v>
      </c>
      <c r="H1975" s="5">
        <f t="shared" si="33"/>
        <v>0</v>
      </c>
      <c r="I1975" s="1"/>
      <c r="J1975" s="1"/>
    </row>
    <row r="1976" spans="2:10" x14ac:dyDescent="0.2">
      <c r="B1976" s="1" t="s">
        <v>315</v>
      </c>
      <c r="C1976" s="32">
        <v>7507</v>
      </c>
      <c r="D1976" s="1">
        <v>25000</v>
      </c>
      <c r="E1976" s="1"/>
      <c r="F1976" s="1">
        <v>278</v>
      </c>
      <c r="G1976" s="1">
        <v>25000</v>
      </c>
      <c r="H1976" s="5">
        <f t="shared" si="33"/>
        <v>0</v>
      </c>
      <c r="I1976" s="1"/>
      <c r="J1976" s="1"/>
    </row>
    <row r="1977" spans="2:10" x14ac:dyDescent="0.2">
      <c r="B1977" s="1" t="s">
        <v>315</v>
      </c>
      <c r="C1977" s="32">
        <v>1933</v>
      </c>
      <c r="D1977" s="1">
        <v>16000</v>
      </c>
      <c r="E1977" s="1"/>
      <c r="F1977" s="1">
        <v>178</v>
      </c>
      <c r="G1977" s="1">
        <v>16000</v>
      </c>
      <c r="H1977" s="5">
        <f t="shared" si="33"/>
        <v>0</v>
      </c>
      <c r="I1977" s="1"/>
      <c r="J1977" s="1"/>
    </row>
    <row r="1978" spans="2:10" x14ac:dyDescent="0.2">
      <c r="B1978" s="1" t="s">
        <v>315</v>
      </c>
      <c r="C1978" s="32">
        <v>4608</v>
      </c>
      <c r="D1978" s="1">
        <v>22000</v>
      </c>
      <c r="E1978" s="1"/>
      <c r="F1978" s="1">
        <v>245</v>
      </c>
      <c r="G1978" s="1">
        <v>22000</v>
      </c>
      <c r="H1978" s="5">
        <f t="shared" si="33"/>
        <v>0</v>
      </c>
      <c r="I1978" s="1"/>
      <c r="J1978" s="1"/>
    </row>
    <row r="1979" spans="2:10" x14ac:dyDescent="0.2">
      <c r="B1979" s="1" t="s">
        <v>316</v>
      </c>
      <c r="C1979" s="32">
        <v>2017</v>
      </c>
      <c r="D1979" s="1">
        <v>23000</v>
      </c>
      <c r="E1979" s="1"/>
      <c r="F1979" s="1">
        <v>256</v>
      </c>
      <c r="G1979" s="1">
        <v>23000</v>
      </c>
      <c r="H1979" s="5">
        <f t="shared" si="33"/>
        <v>0</v>
      </c>
      <c r="I1979" s="1"/>
      <c r="J1979" s="1"/>
    </row>
    <row r="1980" spans="2:10" x14ac:dyDescent="0.2">
      <c r="B1980" s="1" t="s">
        <v>316</v>
      </c>
      <c r="C1980" s="32">
        <v>5370</v>
      </c>
      <c r="D1980" s="1">
        <v>28000</v>
      </c>
      <c r="E1980" s="1"/>
      <c r="F1980" s="1">
        <v>311</v>
      </c>
      <c r="G1980" s="1">
        <v>28000</v>
      </c>
      <c r="H1980" s="5">
        <f t="shared" si="33"/>
        <v>0</v>
      </c>
      <c r="I1980" s="1"/>
      <c r="J1980" s="1"/>
    </row>
    <row r="1981" spans="2:10" x14ac:dyDescent="0.2">
      <c r="B1981" s="1" t="s">
        <v>316</v>
      </c>
      <c r="C1981" s="32">
        <v>4565</v>
      </c>
      <c r="D1981" s="1">
        <v>13000</v>
      </c>
      <c r="E1981" s="1"/>
      <c r="F1981" s="1">
        <v>144</v>
      </c>
      <c r="G1981" s="1">
        <v>13000</v>
      </c>
      <c r="H1981" s="5">
        <f t="shared" si="33"/>
        <v>0</v>
      </c>
      <c r="I1981" s="1"/>
      <c r="J1981" s="1"/>
    </row>
    <row r="1982" spans="2:10" x14ac:dyDescent="0.2">
      <c r="B1982" s="1" t="s">
        <v>316</v>
      </c>
      <c r="C1982" s="32">
        <v>1251</v>
      </c>
      <c r="D1982" s="1">
        <v>19000</v>
      </c>
      <c r="E1982" s="1"/>
      <c r="F1982" s="1">
        <v>201</v>
      </c>
      <c r="G1982" s="1">
        <v>19000</v>
      </c>
      <c r="H1982" s="5">
        <f t="shared" si="33"/>
        <v>0</v>
      </c>
      <c r="I1982" s="1"/>
      <c r="J1982" s="1"/>
    </row>
    <row r="1983" spans="2:10" x14ac:dyDescent="0.2">
      <c r="B1983" s="1" t="s">
        <v>316</v>
      </c>
      <c r="C1983" s="32">
        <v>5820</v>
      </c>
      <c r="D1983" s="1">
        <v>10000</v>
      </c>
      <c r="E1983" s="1"/>
      <c r="F1983" s="1">
        <v>111.5</v>
      </c>
      <c r="G1983" s="1">
        <v>10000</v>
      </c>
      <c r="H1983" s="5">
        <f t="shared" si="33"/>
        <v>0</v>
      </c>
      <c r="I1983" s="1"/>
      <c r="J1983" s="1"/>
    </row>
    <row r="1984" spans="2:10" x14ac:dyDescent="0.2">
      <c r="B1984" s="1" t="s">
        <v>316</v>
      </c>
      <c r="C1984" s="32">
        <v>4239</v>
      </c>
      <c r="D1984" s="1">
        <v>15000</v>
      </c>
      <c r="E1984" s="1"/>
      <c r="F1984" s="1">
        <v>167</v>
      </c>
      <c r="G1984" s="1">
        <v>15000</v>
      </c>
      <c r="H1984" s="5">
        <f t="shared" si="33"/>
        <v>0</v>
      </c>
      <c r="I1984" s="1"/>
      <c r="J1984" s="1"/>
    </row>
    <row r="1985" spans="2:10" x14ac:dyDescent="0.2">
      <c r="B1985" s="1" t="s">
        <v>316</v>
      </c>
      <c r="C1985" s="32">
        <v>1286</v>
      </c>
      <c r="D1985" s="1">
        <v>16000</v>
      </c>
      <c r="E1985" s="1"/>
      <c r="F1985" s="1">
        <v>178</v>
      </c>
      <c r="G1985" s="1">
        <v>16000</v>
      </c>
      <c r="H1985" s="5">
        <f t="shared" si="33"/>
        <v>0</v>
      </c>
      <c r="I1985" s="1"/>
      <c r="J1985" s="1"/>
    </row>
    <row r="1986" spans="2:10" x14ac:dyDescent="0.2">
      <c r="B1986" s="1" t="s">
        <v>316</v>
      </c>
      <c r="C1986" s="32">
        <v>1332</v>
      </c>
      <c r="D1986" s="1">
        <v>28000</v>
      </c>
      <c r="E1986" s="1"/>
      <c r="F1986" s="1">
        <v>311</v>
      </c>
      <c r="G1986" s="1">
        <v>28000</v>
      </c>
      <c r="H1986" s="5">
        <f t="shared" si="33"/>
        <v>0</v>
      </c>
      <c r="I1986" s="1"/>
      <c r="J1986" s="1"/>
    </row>
    <row r="1987" spans="2:10" x14ac:dyDescent="0.2">
      <c r="B1987" s="1" t="s">
        <v>316</v>
      </c>
      <c r="C1987" s="32">
        <v>5995</v>
      </c>
      <c r="D1987" s="1">
        <v>28000</v>
      </c>
      <c r="E1987" s="1"/>
      <c r="F1987" s="1">
        <v>311</v>
      </c>
      <c r="G1987" s="1">
        <v>28000</v>
      </c>
      <c r="H1987" s="5">
        <f t="shared" si="33"/>
        <v>0</v>
      </c>
      <c r="I1987" s="1"/>
      <c r="J1987" s="1"/>
    </row>
    <row r="1988" spans="2:10" x14ac:dyDescent="0.2">
      <c r="B1988" s="1" t="s">
        <v>316</v>
      </c>
      <c r="C1988" s="32">
        <v>965</v>
      </c>
      <c r="D1988" s="1">
        <v>24000</v>
      </c>
      <c r="E1988" s="1"/>
      <c r="F1988" s="1">
        <v>267</v>
      </c>
      <c r="G1988" s="1">
        <v>24000</v>
      </c>
      <c r="H1988" s="5">
        <f t="shared" si="33"/>
        <v>0</v>
      </c>
      <c r="I1988" s="1"/>
      <c r="J1988" s="1"/>
    </row>
    <row r="1989" spans="2:10" x14ac:dyDescent="0.2">
      <c r="B1989" s="1" t="s">
        <v>316</v>
      </c>
      <c r="C1989" s="32">
        <v>7061</v>
      </c>
      <c r="D1989" s="1">
        <v>21000</v>
      </c>
      <c r="E1989" s="1"/>
      <c r="F1989" s="1">
        <v>233</v>
      </c>
      <c r="G1989" s="1">
        <v>21000</v>
      </c>
      <c r="H1989" s="5">
        <f t="shared" si="33"/>
        <v>0</v>
      </c>
      <c r="I1989" s="1"/>
      <c r="J1989" s="1"/>
    </row>
    <row r="1990" spans="2:10" x14ac:dyDescent="0.2">
      <c r="B1990" s="1" t="s">
        <v>316</v>
      </c>
      <c r="C1990" s="32">
        <v>5485</v>
      </c>
      <c r="D1990" s="1">
        <v>18000</v>
      </c>
      <c r="E1990" s="1"/>
      <c r="F1990" s="1">
        <v>200.5</v>
      </c>
      <c r="G1990" s="1">
        <v>18000</v>
      </c>
      <c r="H1990" s="5">
        <f t="shared" si="33"/>
        <v>0</v>
      </c>
      <c r="I1990" s="1"/>
      <c r="J1990" s="1"/>
    </row>
    <row r="1991" spans="2:10" x14ac:dyDescent="0.2">
      <c r="B1991" s="1" t="s">
        <v>316</v>
      </c>
      <c r="C1991" s="32">
        <v>5772</v>
      </c>
      <c r="D1991" s="1">
        <v>25000</v>
      </c>
      <c r="E1991" s="1"/>
      <c r="F1991" s="1">
        <v>278</v>
      </c>
      <c r="G1991" s="1">
        <v>25000</v>
      </c>
      <c r="H1991" s="5">
        <f t="shared" si="33"/>
        <v>0</v>
      </c>
      <c r="I1991" s="1"/>
      <c r="J1991" s="1"/>
    </row>
    <row r="1992" spans="2:10" x14ac:dyDescent="0.2">
      <c r="B1992" s="1" t="s">
        <v>316</v>
      </c>
      <c r="C1992" s="32">
        <v>9412</v>
      </c>
      <c r="D1992" s="1">
        <v>20000</v>
      </c>
      <c r="E1992" s="1"/>
      <c r="F1992" s="1">
        <v>222.82</v>
      </c>
      <c r="G1992" s="1">
        <v>20000</v>
      </c>
      <c r="H1992" s="5">
        <f t="shared" si="33"/>
        <v>0</v>
      </c>
      <c r="I1992" s="1"/>
      <c r="J1992" s="1"/>
    </row>
    <row r="1993" spans="2:10" x14ac:dyDescent="0.2">
      <c r="B1993" s="1" t="s">
        <v>317</v>
      </c>
      <c r="C1993" s="32">
        <v>5147</v>
      </c>
      <c r="D1993" s="1">
        <v>26000</v>
      </c>
      <c r="E1993" s="1"/>
      <c r="F1993" s="1">
        <v>289</v>
      </c>
      <c r="G1993" s="1">
        <v>26000</v>
      </c>
      <c r="H1993" s="5">
        <f t="shared" si="33"/>
        <v>0</v>
      </c>
      <c r="I1993" s="1"/>
      <c r="J1993" s="1"/>
    </row>
    <row r="1994" spans="2:10" x14ac:dyDescent="0.2">
      <c r="B1994" s="1" t="s">
        <v>317</v>
      </c>
      <c r="C1994" s="32">
        <v>647</v>
      </c>
      <c r="D1994" s="1">
        <v>13500</v>
      </c>
      <c r="E1994" s="1"/>
      <c r="F1994" s="1">
        <v>150</v>
      </c>
      <c r="G1994" s="1">
        <v>13500</v>
      </c>
      <c r="H1994" s="5">
        <f t="shared" si="33"/>
        <v>0</v>
      </c>
      <c r="I1994" s="1"/>
      <c r="J1994" s="1"/>
    </row>
    <row r="1995" spans="2:10" x14ac:dyDescent="0.2">
      <c r="B1995" s="1" t="s">
        <v>317</v>
      </c>
      <c r="C1995" s="175">
        <v>1252</v>
      </c>
      <c r="D1995" s="1">
        <v>20000</v>
      </c>
      <c r="E1995" s="1"/>
      <c r="F1995" s="1">
        <v>222.82</v>
      </c>
      <c r="G1995" s="1">
        <v>20000</v>
      </c>
      <c r="H1995" s="5">
        <f t="shared" si="33"/>
        <v>0</v>
      </c>
      <c r="I1995" s="1"/>
      <c r="J1995" s="1"/>
    </row>
    <row r="1996" spans="2:10" x14ac:dyDescent="0.2">
      <c r="B1996" s="1" t="s">
        <v>317</v>
      </c>
      <c r="C1996" s="32">
        <v>4986</v>
      </c>
      <c r="D1996" s="1">
        <v>20000</v>
      </c>
      <c r="E1996" s="1"/>
      <c r="F1996" s="1">
        <v>222.82</v>
      </c>
      <c r="G1996" s="1">
        <v>20000</v>
      </c>
      <c r="H1996" s="5">
        <f t="shared" si="33"/>
        <v>0</v>
      </c>
      <c r="I1996" s="1"/>
      <c r="J1996" s="1"/>
    </row>
    <row r="1997" spans="2:10" x14ac:dyDescent="0.2">
      <c r="B1997" s="1" t="s">
        <v>317</v>
      </c>
      <c r="C1997" s="32">
        <v>5844</v>
      </c>
      <c r="D1997" s="1">
        <v>30000</v>
      </c>
      <c r="E1997" s="1"/>
      <c r="F1997" s="1">
        <v>334</v>
      </c>
      <c r="G1997" s="1">
        <v>30000</v>
      </c>
      <c r="H1997" s="5">
        <f t="shared" si="33"/>
        <v>0</v>
      </c>
      <c r="I1997" s="1"/>
      <c r="J1997" s="1"/>
    </row>
    <row r="1998" spans="2:10" x14ac:dyDescent="0.2">
      <c r="B1998" s="1" t="s">
        <v>317</v>
      </c>
      <c r="C1998" s="32">
        <v>8006</v>
      </c>
      <c r="D1998" s="1">
        <v>25000</v>
      </c>
      <c r="E1998" s="1"/>
      <c r="F1998" s="1">
        <v>278</v>
      </c>
      <c r="G1998" s="1">
        <v>25000</v>
      </c>
      <c r="H1998" s="5">
        <f t="shared" si="33"/>
        <v>0</v>
      </c>
      <c r="I1998" s="1"/>
      <c r="J1998" s="1"/>
    </row>
    <row r="1999" spans="2:10" x14ac:dyDescent="0.2">
      <c r="B1999" s="1" t="s">
        <v>317</v>
      </c>
      <c r="C1999" s="32" t="s">
        <v>30</v>
      </c>
      <c r="D1999" s="1">
        <v>4500</v>
      </c>
      <c r="E1999" s="1"/>
      <c r="F1999" s="1">
        <v>50.13</v>
      </c>
      <c r="G1999" s="1">
        <v>4500</v>
      </c>
      <c r="H1999" s="5">
        <f t="shared" si="33"/>
        <v>0</v>
      </c>
      <c r="I1999" s="1"/>
      <c r="J1999" s="1"/>
    </row>
    <row r="2000" spans="2:10" x14ac:dyDescent="0.2">
      <c r="B2000" s="1" t="s">
        <v>317</v>
      </c>
      <c r="C2000" s="32">
        <v>5446</v>
      </c>
      <c r="D2000" s="1">
        <v>20000</v>
      </c>
      <c r="E2000" s="1"/>
      <c r="F2000" s="1">
        <v>222.82</v>
      </c>
      <c r="G2000" s="1">
        <v>20000</v>
      </c>
      <c r="H2000" s="5">
        <f t="shared" ref="H2000:H2063" si="34">D2000-G2000</f>
        <v>0</v>
      </c>
      <c r="I2000" s="1"/>
      <c r="J2000" s="1"/>
    </row>
    <row r="2001" spans="2:10" x14ac:dyDescent="0.2">
      <c r="B2001" s="1" t="s">
        <v>317</v>
      </c>
      <c r="C2001" s="32">
        <v>1912</v>
      </c>
      <c r="D2001" s="1">
        <v>10000</v>
      </c>
      <c r="E2001" s="1"/>
      <c r="F2001" s="1">
        <v>111</v>
      </c>
      <c r="G2001" s="1">
        <v>10000</v>
      </c>
      <c r="H2001" s="5">
        <f t="shared" si="34"/>
        <v>0</v>
      </c>
      <c r="I2001" s="1"/>
      <c r="J2001" s="1"/>
    </row>
    <row r="2002" spans="2:10" x14ac:dyDescent="0.2">
      <c r="B2002" s="1" t="s">
        <v>317</v>
      </c>
      <c r="C2002" s="32">
        <v>2224</v>
      </c>
      <c r="D2002" s="1">
        <v>20000</v>
      </c>
      <c r="E2002" s="1"/>
      <c r="F2002" s="1">
        <v>222.82</v>
      </c>
      <c r="G2002" s="1">
        <v>20000</v>
      </c>
      <c r="H2002" s="5">
        <f t="shared" si="34"/>
        <v>0</v>
      </c>
      <c r="I2002" s="1"/>
      <c r="J2002" s="1"/>
    </row>
    <row r="2003" spans="2:10" x14ac:dyDescent="0.2">
      <c r="B2003" s="1" t="s">
        <v>317</v>
      </c>
      <c r="C2003" s="32">
        <v>1131</v>
      </c>
      <c r="D2003" s="1">
        <v>22000</v>
      </c>
      <c r="E2003" s="1"/>
      <c r="F2003" s="1">
        <v>222.82</v>
      </c>
      <c r="G2003" s="1">
        <v>22000</v>
      </c>
      <c r="H2003" s="5">
        <f t="shared" si="34"/>
        <v>0</v>
      </c>
      <c r="I2003" s="1"/>
      <c r="J2003" s="1"/>
    </row>
    <row r="2004" spans="2:10" x14ac:dyDescent="0.2">
      <c r="B2004" s="1" t="s">
        <v>317</v>
      </c>
      <c r="C2004" s="32">
        <v>6461</v>
      </c>
      <c r="D2004" s="1">
        <v>18000</v>
      </c>
      <c r="E2004" s="1"/>
      <c r="F2004" s="1">
        <v>200</v>
      </c>
      <c r="G2004" s="1">
        <v>18000</v>
      </c>
      <c r="H2004" s="5">
        <f t="shared" si="34"/>
        <v>0</v>
      </c>
      <c r="I2004" s="1"/>
      <c r="J2004" s="1"/>
    </row>
    <row r="2005" spans="2:10" x14ac:dyDescent="0.2">
      <c r="B2005" s="1" t="s">
        <v>317</v>
      </c>
      <c r="C2005" s="32">
        <v>1895</v>
      </c>
      <c r="D2005" s="1">
        <v>30000</v>
      </c>
      <c r="E2005" s="1"/>
      <c r="F2005" s="1">
        <v>334</v>
      </c>
      <c r="G2005" s="1">
        <v>30000</v>
      </c>
      <c r="H2005" s="5">
        <f t="shared" si="34"/>
        <v>0</v>
      </c>
      <c r="I2005" s="1"/>
      <c r="J2005" s="1"/>
    </row>
    <row r="2006" spans="2:10" x14ac:dyDescent="0.2">
      <c r="B2006" s="1" t="s">
        <v>317</v>
      </c>
      <c r="C2006" s="32">
        <v>5485</v>
      </c>
      <c r="D2006" s="1">
        <v>25000</v>
      </c>
      <c r="E2006" s="1"/>
      <c r="F2006" s="1">
        <v>278</v>
      </c>
      <c r="G2006" s="1">
        <v>25000</v>
      </c>
      <c r="H2006" s="5">
        <f t="shared" si="34"/>
        <v>0</v>
      </c>
      <c r="I2006" s="1"/>
      <c r="J2006" s="1"/>
    </row>
    <row r="2007" spans="2:10" x14ac:dyDescent="0.2">
      <c r="B2007" s="1" t="s">
        <v>317</v>
      </c>
      <c r="C2007" s="32">
        <v>1816</v>
      </c>
      <c r="D2007" s="1">
        <v>26000</v>
      </c>
      <c r="E2007" s="1"/>
      <c r="F2007" s="1">
        <v>289</v>
      </c>
      <c r="G2007" s="1">
        <v>26000</v>
      </c>
      <c r="H2007" s="5">
        <f t="shared" si="34"/>
        <v>0</v>
      </c>
      <c r="I2007" s="1"/>
      <c r="J2007" s="1"/>
    </row>
    <row r="2008" spans="2:10" x14ac:dyDescent="0.2">
      <c r="B2008" s="1" t="s">
        <v>317</v>
      </c>
      <c r="C2008" s="32">
        <v>8383</v>
      </c>
      <c r="D2008" s="1">
        <v>15000</v>
      </c>
      <c r="E2008" s="1"/>
      <c r="F2008" s="1">
        <v>167</v>
      </c>
      <c r="G2008" s="1">
        <v>15000</v>
      </c>
      <c r="H2008" s="5">
        <f t="shared" si="34"/>
        <v>0</v>
      </c>
      <c r="I2008" s="1"/>
      <c r="J2008" s="1"/>
    </row>
    <row r="2009" spans="2:10" x14ac:dyDescent="0.2">
      <c r="B2009" s="1" t="s">
        <v>318</v>
      </c>
      <c r="C2009" s="32">
        <v>3662</v>
      </c>
      <c r="D2009" s="1">
        <v>12000</v>
      </c>
      <c r="E2009" s="1"/>
      <c r="F2009" s="1">
        <v>133</v>
      </c>
      <c r="G2009" s="1">
        <v>12000</v>
      </c>
      <c r="H2009" s="5">
        <f t="shared" si="34"/>
        <v>0</v>
      </c>
      <c r="I2009" s="1"/>
      <c r="J2009" s="1"/>
    </row>
    <row r="2010" spans="2:10" x14ac:dyDescent="0.2">
      <c r="B2010" s="1" t="s">
        <v>318</v>
      </c>
      <c r="C2010" s="85">
        <v>6155</v>
      </c>
      <c r="D2010" s="1">
        <v>20000</v>
      </c>
      <c r="E2010" s="1"/>
      <c r="F2010" s="1">
        <v>222.82</v>
      </c>
      <c r="G2010" s="1">
        <v>20000</v>
      </c>
      <c r="H2010" s="5">
        <f t="shared" si="34"/>
        <v>0</v>
      </c>
      <c r="I2010" s="1"/>
      <c r="J2010" s="1"/>
    </row>
    <row r="2011" spans="2:10" x14ac:dyDescent="0.2">
      <c r="B2011" s="1" t="s">
        <v>318</v>
      </c>
      <c r="C2011" s="32">
        <v>4585</v>
      </c>
      <c r="D2011" s="1">
        <v>20000</v>
      </c>
      <c r="E2011" s="1"/>
      <c r="F2011" s="1">
        <v>222.82</v>
      </c>
      <c r="G2011" s="1">
        <v>20000</v>
      </c>
      <c r="H2011" s="5">
        <f t="shared" si="34"/>
        <v>0</v>
      </c>
      <c r="I2011" s="1"/>
      <c r="J2011" s="1"/>
    </row>
    <row r="2012" spans="2:10" x14ac:dyDescent="0.2">
      <c r="B2012" s="1" t="s">
        <v>318</v>
      </c>
      <c r="C2012" s="32">
        <v>4270</v>
      </c>
      <c r="D2012" s="1">
        <v>5000</v>
      </c>
      <c r="E2012" s="1"/>
      <c r="F2012" s="1">
        <v>55.05</v>
      </c>
      <c r="G2012" s="1">
        <v>5000</v>
      </c>
      <c r="H2012" s="5">
        <f t="shared" si="34"/>
        <v>0</v>
      </c>
      <c r="I2012" s="1"/>
      <c r="J2012" s="1"/>
    </row>
    <row r="2013" spans="2:10" x14ac:dyDescent="0.2">
      <c r="B2013" s="1" t="s">
        <v>318</v>
      </c>
      <c r="C2013" s="32">
        <v>2685</v>
      </c>
      <c r="D2013" s="1">
        <v>5000</v>
      </c>
      <c r="E2013" s="1"/>
      <c r="F2013" s="1">
        <v>55.05</v>
      </c>
      <c r="G2013" s="1">
        <v>5000</v>
      </c>
      <c r="H2013" s="5">
        <f t="shared" si="34"/>
        <v>0</v>
      </c>
      <c r="I2013" s="1"/>
      <c r="J2013" s="1"/>
    </row>
    <row r="2014" spans="2:10" x14ac:dyDescent="0.2">
      <c r="B2014" s="1" t="s">
        <v>318</v>
      </c>
      <c r="C2014" s="32">
        <v>3111</v>
      </c>
      <c r="D2014" s="1">
        <v>23000</v>
      </c>
      <c r="E2014" s="1"/>
      <c r="F2014" s="1">
        <v>264</v>
      </c>
      <c r="G2014" s="1">
        <v>23000</v>
      </c>
      <c r="H2014" s="5">
        <f t="shared" si="34"/>
        <v>0</v>
      </c>
      <c r="I2014" s="1"/>
      <c r="J2014" s="1"/>
    </row>
    <row r="2015" spans="2:10" x14ac:dyDescent="0.2">
      <c r="B2015" s="1" t="s">
        <v>318</v>
      </c>
      <c r="C2015" s="32">
        <v>1975</v>
      </c>
      <c r="D2015" s="1">
        <v>31000</v>
      </c>
      <c r="E2015" s="1"/>
      <c r="F2015" s="1">
        <v>345</v>
      </c>
      <c r="G2015" s="1">
        <v>31000</v>
      </c>
      <c r="H2015" s="5">
        <f t="shared" si="34"/>
        <v>0</v>
      </c>
      <c r="I2015" s="1"/>
      <c r="J2015" s="1"/>
    </row>
    <row r="2016" spans="2:10" x14ac:dyDescent="0.2">
      <c r="B2016" s="1" t="s">
        <v>318</v>
      </c>
      <c r="C2016" s="32">
        <v>6867</v>
      </c>
      <c r="D2016" s="1">
        <v>24000</v>
      </c>
      <c r="E2016" s="1"/>
      <c r="F2016" s="1">
        <v>267</v>
      </c>
      <c r="G2016" s="1">
        <v>24000</v>
      </c>
      <c r="H2016" s="5">
        <f t="shared" si="34"/>
        <v>0</v>
      </c>
      <c r="I2016" s="1"/>
      <c r="J2016" s="1"/>
    </row>
    <row r="2017" spans="2:10" x14ac:dyDescent="0.2">
      <c r="B2017" s="1" t="s">
        <v>318</v>
      </c>
      <c r="C2017" s="32">
        <v>2995</v>
      </c>
      <c r="D2017" s="1">
        <v>16000</v>
      </c>
      <c r="E2017" s="1"/>
      <c r="F2017" s="1">
        <v>178</v>
      </c>
      <c r="G2017" s="1">
        <v>16000</v>
      </c>
      <c r="H2017" s="5">
        <f t="shared" si="34"/>
        <v>0</v>
      </c>
      <c r="I2017" s="1"/>
      <c r="J2017" s="1"/>
    </row>
    <row r="2018" spans="2:10" x14ac:dyDescent="0.2">
      <c r="B2018" s="1" t="s">
        <v>318</v>
      </c>
      <c r="C2018" s="32">
        <v>2570</v>
      </c>
      <c r="D2018" s="1">
        <v>18000</v>
      </c>
      <c r="E2018" s="1"/>
      <c r="F2018" s="1">
        <v>200</v>
      </c>
      <c r="G2018" s="1">
        <v>18000</v>
      </c>
      <c r="H2018" s="5">
        <f t="shared" si="34"/>
        <v>0</v>
      </c>
      <c r="I2018" s="1"/>
      <c r="J2018" s="1"/>
    </row>
    <row r="2019" spans="2:10" x14ac:dyDescent="0.2">
      <c r="B2019" s="1" t="s">
        <v>318</v>
      </c>
      <c r="C2019" s="32">
        <v>3009</v>
      </c>
      <c r="D2019" s="1">
        <v>24000</v>
      </c>
      <c r="E2019" s="1"/>
      <c r="F2019" s="1">
        <v>245</v>
      </c>
      <c r="G2019" s="1">
        <v>24000</v>
      </c>
      <c r="H2019" s="5">
        <f t="shared" si="34"/>
        <v>0</v>
      </c>
      <c r="I2019" s="1"/>
      <c r="J2019" s="1"/>
    </row>
    <row r="2020" spans="2:10" x14ac:dyDescent="0.2">
      <c r="B2020" s="1" t="s">
        <v>319</v>
      </c>
      <c r="C2020" s="32">
        <v>8105</v>
      </c>
      <c r="D2020" s="1">
        <v>15000</v>
      </c>
      <c r="E2020" s="1"/>
      <c r="F2020" s="1">
        <v>167</v>
      </c>
      <c r="G2020" s="1">
        <v>15000</v>
      </c>
      <c r="H2020" s="5">
        <f t="shared" si="34"/>
        <v>0</v>
      </c>
      <c r="I2020" s="1"/>
      <c r="J2020" s="1"/>
    </row>
    <row r="2021" spans="2:10" x14ac:dyDescent="0.2">
      <c r="B2021" s="1" t="s">
        <v>319</v>
      </c>
      <c r="C2021" s="32">
        <v>6012</v>
      </c>
      <c r="D2021" s="1">
        <v>14000</v>
      </c>
      <c r="E2021" s="1"/>
      <c r="F2021" s="1">
        <v>155</v>
      </c>
      <c r="G2021" s="1">
        <v>14000</v>
      </c>
      <c r="H2021" s="5">
        <f t="shared" si="34"/>
        <v>0</v>
      </c>
      <c r="I2021" s="1"/>
      <c r="J2021" s="1"/>
    </row>
    <row r="2022" spans="2:10" x14ac:dyDescent="0.2">
      <c r="B2022" s="1" t="s">
        <v>319</v>
      </c>
      <c r="C2022" s="32" t="s">
        <v>30</v>
      </c>
      <c r="D2022" s="1">
        <v>4500</v>
      </c>
      <c r="E2022" s="1"/>
      <c r="F2022" s="1">
        <v>50.13</v>
      </c>
      <c r="G2022" s="1">
        <v>4500</v>
      </c>
      <c r="H2022" s="5">
        <f t="shared" si="34"/>
        <v>0</v>
      </c>
      <c r="I2022" s="1"/>
      <c r="J2022" s="1"/>
    </row>
    <row r="2023" spans="2:10" x14ac:dyDescent="0.2">
      <c r="B2023" s="1" t="s">
        <v>319</v>
      </c>
      <c r="C2023" s="32">
        <v>470</v>
      </c>
      <c r="D2023" s="1">
        <v>20000</v>
      </c>
      <c r="E2023" s="1"/>
      <c r="F2023" s="1">
        <v>222.82</v>
      </c>
      <c r="G2023" s="1">
        <v>20000</v>
      </c>
      <c r="H2023" s="5">
        <f t="shared" si="34"/>
        <v>0</v>
      </c>
      <c r="I2023" s="1"/>
      <c r="J2023" s="1"/>
    </row>
    <row r="2024" spans="2:10" x14ac:dyDescent="0.2">
      <c r="B2024" s="1" t="s">
        <v>319</v>
      </c>
      <c r="C2024" s="32">
        <v>5145</v>
      </c>
      <c r="D2024" s="1">
        <v>20000</v>
      </c>
      <c r="E2024" s="1"/>
      <c r="F2024" s="1">
        <v>222.82</v>
      </c>
      <c r="G2024" s="1">
        <v>20000</v>
      </c>
      <c r="H2024" s="5">
        <f t="shared" si="34"/>
        <v>0</v>
      </c>
      <c r="I2024" s="1"/>
      <c r="J2024" s="1"/>
    </row>
    <row r="2025" spans="2:10" x14ac:dyDescent="0.2">
      <c r="B2025" s="1" t="s">
        <v>319</v>
      </c>
      <c r="C2025" s="32" t="s">
        <v>30</v>
      </c>
      <c r="D2025" s="1">
        <v>7000</v>
      </c>
      <c r="E2025" s="1"/>
      <c r="F2025" s="1">
        <v>77</v>
      </c>
      <c r="G2025" s="1">
        <v>7000</v>
      </c>
      <c r="H2025" s="5">
        <f t="shared" si="34"/>
        <v>0</v>
      </c>
      <c r="I2025" s="1"/>
      <c r="J2025" s="1"/>
    </row>
    <row r="2026" spans="2:10" x14ac:dyDescent="0.2">
      <c r="B2026" s="1" t="s">
        <v>319</v>
      </c>
      <c r="C2026" s="32">
        <v>9134</v>
      </c>
      <c r="D2026" s="1">
        <v>20000</v>
      </c>
      <c r="E2026" s="1"/>
      <c r="F2026" s="1">
        <v>222.82</v>
      </c>
      <c r="G2026" s="1">
        <v>20000</v>
      </c>
      <c r="H2026" s="5">
        <f t="shared" si="34"/>
        <v>0</v>
      </c>
      <c r="I2026" s="1"/>
      <c r="J2026" s="1"/>
    </row>
    <row r="2027" spans="2:10" x14ac:dyDescent="0.2">
      <c r="B2027" s="1" t="s">
        <v>319</v>
      </c>
      <c r="C2027" s="32" t="s">
        <v>66</v>
      </c>
      <c r="D2027" s="1">
        <v>100</v>
      </c>
      <c r="E2027" s="1"/>
      <c r="F2027" s="1">
        <v>96.04</v>
      </c>
      <c r="G2027" s="1">
        <v>100</v>
      </c>
      <c r="H2027" s="5">
        <f t="shared" si="34"/>
        <v>0</v>
      </c>
      <c r="I2027" s="1"/>
      <c r="J2027" s="1"/>
    </row>
    <row r="2028" spans="2:10" x14ac:dyDescent="0.2">
      <c r="B2028" s="1" t="s">
        <v>319</v>
      </c>
      <c r="C2028" s="32">
        <v>742</v>
      </c>
      <c r="D2028" s="1">
        <v>5000</v>
      </c>
      <c r="E2028" s="1"/>
      <c r="F2028" s="1">
        <v>55</v>
      </c>
      <c r="G2028" s="1">
        <v>5000</v>
      </c>
      <c r="H2028" s="5">
        <f t="shared" si="34"/>
        <v>0</v>
      </c>
      <c r="I2028" s="1"/>
      <c r="J2028" s="1"/>
    </row>
    <row r="2029" spans="2:10" x14ac:dyDescent="0.2">
      <c r="B2029" s="1" t="s">
        <v>319</v>
      </c>
      <c r="C2029" s="32">
        <v>922</v>
      </c>
      <c r="D2029" s="1">
        <v>5000</v>
      </c>
      <c r="E2029" s="1"/>
      <c r="F2029" s="1">
        <v>55</v>
      </c>
      <c r="G2029" s="1">
        <v>5000</v>
      </c>
      <c r="H2029" s="5">
        <f t="shared" si="34"/>
        <v>0</v>
      </c>
      <c r="I2029" s="1"/>
      <c r="J2029" s="1"/>
    </row>
    <row r="2030" spans="2:10" x14ac:dyDescent="0.2">
      <c r="B2030" s="1" t="s">
        <v>319</v>
      </c>
      <c r="C2030" s="32">
        <v>3332</v>
      </c>
      <c r="D2030" s="1">
        <v>25000</v>
      </c>
      <c r="E2030" s="1"/>
      <c r="F2030" s="1">
        <v>278</v>
      </c>
      <c r="G2030" s="1">
        <v>25000</v>
      </c>
      <c r="H2030" s="5">
        <f t="shared" si="34"/>
        <v>0</v>
      </c>
      <c r="I2030" s="1"/>
      <c r="J2030" s="1"/>
    </row>
    <row r="2031" spans="2:10" x14ac:dyDescent="0.2">
      <c r="B2031" s="1" t="s">
        <v>319</v>
      </c>
      <c r="C2031" s="32">
        <v>5070</v>
      </c>
      <c r="D2031" s="1">
        <v>25000</v>
      </c>
      <c r="E2031" s="1"/>
      <c r="F2031" s="1">
        <v>278</v>
      </c>
      <c r="G2031" s="1">
        <v>25000</v>
      </c>
      <c r="H2031" s="5">
        <f t="shared" si="34"/>
        <v>0</v>
      </c>
      <c r="I2031" s="1"/>
      <c r="J2031" s="1"/>
    </row>
    <row r="2032" spans="2:10" x14ac:dyDescent="0.2">
      <c r="B2032" s="1" t="s">
        <v>319</v>
      </c>
      <c r="C2032" s="32">
        <v>8763</v>
      </c>
      <c r="D2032" s="1">
        <v>25000</v>
      </c>
      <c r="E2032" s="1"/>
      <c r="F2032" s="1">
        <v>278</v>
      </c>
      <c r="G2032" s="1">
        <v>25000</v>
      </c>
      <c r="H2032" s="5">
        <f t="shared" si="34"/>
        <v>0</v>
      </c>
      <c r="I2032" s="1"/>
      <c r="J2032" s="1"/>
    </row>
    <row r="2033" spans="2:10" x14ac:dyDescent="0.2">
      <c r="B2033" s="1" t="s">
        <v>319</v>
      </c>
      <c r="C2033" s="32">
        <v>4365</v>
      </c>
      <c r="D2033" s="1">
        <v>20000</v>
      </c>
      <c r="E2033" s="1"/>
      <c r="F2033" s="1">
        <v>222.82</v>
      </c>
      <c r="G2033" s="1">
        <v>20000</v>
      </c>
      <c r="H2033" s="5">
        <f t="shared" si="34"/>
        <v>0</v>
      </c>
      <c r="I2033" s="1"/>
      <c r="J2033" s="1"/>
    </row>
    <row r="2034" spans="2:10" x14ac:dyDescent="0.2">
      <c r="B2034" s="1" t="s">
        <v>319</v>
      </c>
      <c r="C2034" s="32">
        <v>8686</v>
      </c>
      <c r="D2034" s="1">
        <v>25000</v>
      </c>
      <c r="E2034" s="1"/>
      <c r="F2034" s="1">
        <v>278</v>
      </c>
      <c r="G2034" s="1">
        <v>25000</v>
      </c>
      <c r="H2034" s="5">
        <f t="shared" si="34"/>
        <v>0</v>
      </c>
      <c r="I2034" s="1"/>
      <c r="J2034" s="1"/>
    </row>
    <row r="2035" spans="2:10" x14ac:dyDescent="0.2">
      <c r="B2035" s="1" t="s">
        <v>319</v>
      </c>
      <c r="C2035" s="32">
        <v>1662</v>
      </c>
      <c r="D2035" s="1">
        <v>18000</v>
      </c>
      <c r="E2035" s="1"/>
      <c r="F2035" s="1">
        <v>200</v>
      </c>
      <c r="G2035" s="1">
        <v>18000</v>
      </c>
      <c r="H2035" s="5">
        <f t="shared" si="34"/>
        <v>0</v>
      </c>
      <c r="I2035" s="1"/>
      <c r="J2035" s="1"/>
    </row>
    <row r="2036" spans="2:10" x14ac:dyDescent="0.2">
      <c r="B2036" s="1" t="s">
        <v>319</v>
      </c>
      <c r="C2036" s="32">
        <v>4154</v>
      </c>
      <c r="D2036" s="1">
        <v>25000</v>
      </c>
      <c r="E2036" s="1"/>
      <c r="F2036" s="1">
        <v>278</v>
      </c>
      <c r="G2036" s="1">
        <v>25000</v>
      </c>
      <c r="H2036" s="5">
        <f t="shared" si="34"/>
        <v>0</v>
      </c>
      <c r="I2036" s="1"/>
      <c r="J2036" s="1"/>
    </row>
    <row r="2037" spans="2:10" x14ac:dyDescent="0.2">
      <c r="B2037" s="1" t="s">
        <v>320</v>
      </c>
      <c r="C2037" s="32" t="s">
        <v>66</v>
      </c>
      <c r="D2037" s="1">
        <v>210</v>
      </c>
      <c r="E2037" s="1"/>
      <c r="F2037" s="1">
        <v>196.04</v>
      </c>
      <c r="G2037" s="1">
        <v>210</v>
      </c>
      <c r="H2037" s="5">
        <f t="shared" si="34"/>
        <v>0</v>
      </c>
      <c r="I2037" s="1"/>
      <c r="J2037" s="1"/>
    </row>
    <row r="2038" spans="2:10" x14ac:dyDescent="0.2">
      <c r="B2038" s="1" t="s">
        <v>320</v>
      </c>
      <c r="C2038" s="32">
        <v>990</v>
      </c>
      <c r="D2038" s="1">
        <v>16000</v>
      </c>
      <c r="E2038" s="1"/>
      <c r="F2038" s="1">
        <v>161</v>
      </c>
      <c r="G2038" s="1">
        <v>16000</v>
      </c>
      <c r="H2038" s="5">
        <f t="shared" si="34"/>
        <v>0</v>
      </c>
      <c r="I2038" s="1"/>
      <c r="J2038" s="1"/>
    </row>
    <row r="2039" spans="2:10" x14ac:dyDescent="0.2">
      <c r="B2039" s="1" t="s">
        <v>320</v>
      </c>
      <c r="C2039" s="32">
        <v>402</v>
      </c>
      <c r="D2039" s="1">
        <v>22000</v>
      </c>
      <c r="E2039" s="1"/>
      <c r="F2039" s="1">
        <v>245</v>
      </c>
      <c r="G2039" s="1">
        <v>22000</v>
      </c>
      <c r="H2039" s="5">
        <f t="shared" si="34"/>
        <v>0</v>
      </c>
      <c r="I2039" s="1"/>
      <c r="J2039" s="1"/>
    </row>
    <row r="2040" spans="2:10" x14ac:dyDescent="0.2">
      <c r="B2040" s="1" t="s">
        <v>320</v>
      </c>
      <c r="C2040" s="32">
        <v>3127</v>
      </c>
      <c r="D2040" s="1">
        <v>20000</v>
      </c>
      <c r="E2040" s="1"/>
      <c r="F2040" s="1">
        <v>222</v>
      </c>
      <c r="G2040" s="1">
        <v>20000</v>
      </c>
      <c r="H2040" s="5">
        <f t="shared" si="34"/>
        <v>0</v>
      </c>
      <c r="I2040" s="1"/>
      <c r="J2040" s="1"/>
    </row>
    <row r="2041" spans="2:10" x14ac:dyDescent="0.2">
      <c r="B2041" s="1" t="s">
        <v>320</v>
      </c>
      <c r="C2041" s="32">
        <v>6214</v>
      </c>
      <c r="D2041" s="1">
        <v>18000</v>
      </c>
      <c r="E2041" s="1"/>
      <c r="F2041" s="1">
        <v>200</v>
      </c>
      <c r="G2041" s="1">
        <v>18000</v>
      </c>
      <c r="H2041" s="5">
        <f t="shared" si="34"/>
        <v>0</v>
      </c>
      <c r="I2041" s="1"/>
      <c r="J2041" s="1"/>
    </row>
    <row r="2042" spans="2:10" x14ac:dyDescent="0.2">
      <c r="B2042" s="1" t="s">
        <v>320</v>
      </c>
      <c r="C2042" s="32">
        <v>9794</v>
      </c>
      <c r="D2042" s="1">
        <v>25000</v>
      </c>
      <c r="E2042" s="1"/>
      <c r="F2042" s="1">
        <v>278.22000000000003</v>
      </c>
      <c r="G2042" s="1">
        <v>25000</v>
      </c>
      <c r="H2042" s="5">
        <f t="shared" si="34"/>
        <v>0</v>
      </c>
      <c r="I2042" s="1"/>
      <c r="J2042" s="1"/>
    </row>
    <row r="2043" spans="2:10" x14ac:dyDescent="0.2">
      <c r="B2043" s="1" t="s">
        <v>320</v>
      </c>
      <c r="C2043" s="32">
        <v>7266</v>
      </c>
      <c r="D2043" s="1">
        <v>17000</v>
      </c>
      <c r="E2043" s="1"/>
      <c r="F2043" s="1">
        <v>189</v>
      </c>
      <c r="G2043" s="1">
        <v>17000</v>
      </c>
      <c r="H2043" s="5">
        <f t="shared" si="34"/>
        <v>0</v>
      </c>
      <c r="I2043" s="1"/>
      <c r="J2043" s="1"/>
    </row>
    <row r="2044" spans="2:10" x14ac:dyDescent="0.2">
      <c r="B2044" s="1" t="s">
        <v>320</v>
      </c>
      <c r="C2044" s="32">
        <v>9975</v>
      </c>
      <c r="D2044" s="1">
        <v>27000</v>
      </c>
      <c r="E2044" s="1"/>
      <c r="F2044" s="1">
        <v>300</v>
      </c>
      <c r="G2044" s="1">
        <v>27000</v>
      </c>
      <c r="H2044" s="5">
        <f t="shared" si="34"/>
        <v>0</v>
      </c>
      <c r="I2044" s="1"/>
      <c r="J2044" s="1"/>
    </row>
    <row r="2045" spans="2:10" x14ac:dyDescent="0.2">
      <c r="B2045" s="1" t="s">
        <v>322</v>
      </c>
      <c r="C2045" s="32">
        <v>2545</v>
      </c>
      <c r="D2045" s="1">
        <v>16000</v>
      </c>
      <c r="E2045" s="1"/>
      <c r="F2045" s="1">
        <v>178</v>
      </c>
      <c r="G2045" s="1">
        <v>16000</v>
      </c>
      <c r="H2045" s="5">
        <f t="shared" si="34"/>
        <v>0</v>
      </c>
      <c r="I2045" s="1"/>
      <c r="J2045" s="1"/>
    </row>
    <row r="2046" spans="2:10" x14ac:dyDescent="0.2">
      <c r="B2046" s="1" t="s">
        <v>322</v>
      </c>
      <c r="C2046" s="32" t="s">
        <v>30</v>
      </c>
      <c r="D2046" s="1">
        <v>4500</v>
      </c>
      <c r="E2046" s="1"/>
      <c r="F2046" s="1">
        <v>50.13</v>
      </c>
      <c r="G2046" s="1">
        <v>4500</v>
      </c>
      <c r="H2046" s="5">
        <f t="shared" si="34"/>
        <v>0</v>
      </c>
      <c r="I2046" s="1"/>
      <c r="J2046" s="1"/>
    </row>
    <row r="2047" spans="2:10" x14ac:dyDescent="0.2">
      <c r="B2047" s="1" t="s">
        <v>322</v>
      </c>
      <c r="C2047" s="32">
        <v>1392</v>
      </c>
      <c r="D2047" s="1">
        <v>16000</v>
      </c>
      <c r="E2047" s="1"/>
      <c r="F2047" s="1">
        <v>168</v>
      </c>
      <c r="G2047" s="1">
        <v>16000</v>
      </c>
      <c r="H2047" s="5">
        <f t="shared" si="34"/>
        <v>0</v>
      </c>
      <c r="I2047" s="1"/>
      <c r="J2047" s="1"/>
    </row>
    <row r="2048" spans="2:10" x14ac:dyDescent="0.2">
      <c r="B2048" s="1" t="s">
        <v>322</v>
      </c>
      <c r="C2048" s="32">
        <v>4028</v>
      </c>
      <c r="D2048" s="1">
        <v>20000</v>
      </c>
      <c r="E2048" s="1"/>
      <c r="F2048" s="1">
        <v>222.82</v>
      </c>
      <c r="G2048" s="1">
        <v>20000</v>
      </c>
      <c r="H2048" s="5">
        <f t="shared" si="34"/>
        <v>0</v>
      </c>
      <c r="I2048" s="1"/>
      <c r="J2048" s="1"/>
    </row>
    <row r="2049" spans="2:10" x14ac:dyDescent="0.2">
      <c r="B2049" s="1" t="s">
        <v>322</v>
      </c>
      <c r="C2049" s="32">
        <v>1103</v>
      </c>
      <c r="D2049" s="1">
        <v>16000</v>
      </c>
      <c r="E2049" s="1"/>
      <c r="F2049" s="1">
        <v>155</v>
      </c>
      <c r="G2049" s="1">
        <v>16000</v>
      </c>
      <c r="H2049" s="5">
        <f t="shared" si="34"/>
        <v>0</v>
      </c>
      <c r="I2049" s="1"/>
      <c r="J2049" s="1"/>
    </row>
    <row r="2050" spans="2:10" x14ac:dyDescent="0.2">
      <c r="B2050" s="1" t="s">
        <v>322</v>
      </c>
      <c r="C2050" s="32">
        <v>4061</v>
      </c>
      <c r="D2050" s="1">
        <v>25000</v>
      </c>
      <c r="E2050" s="1"/>
      <c r="F2050" s="1">
        <v>278.22000000000003</v>
      </c>
      <c r="G2050" s="1">
        <v>25000</v>
      </c>
      <c r="H2050" s="5">
        <f t="shared" si="34"/>
        <v>0</v>
      </c>
      <c r="I2050" s="1"/>
      <c r="J2050" s="1"/>
    </row>
    <row r="2051" spans="2:10" x14ac:dyDescent="0.2">
      <c r="B2051" s="1" t="s">
        <v>322</v>
      </c>
      <c r="C2051" s="32">
        <v>6177</v>
      </c>
      <c r="D2051" s="1">
        <v>25000</v>
      </c>
      <c r="E2051" s="1"/>
      <c r="F2051" s="1">
        <v>278.22000000000003</v>
      </c>
      <c r="G2051" s="1">
        <v>25000</v>
      </c>
      <c r="H2051" s="5">
        <f t="shared" si="34"/>
        <v>0</v>
      </c>
      <c r="I2051" s="1"/>
      <c r="J2051" s="1"/>
    </row>
    <row r="2052" spans="2:10" x14ac:dyDescent="0.2">
      <c r="B2052" s="1" t="s">
        <v>322</v>
      </c>
      <c r="C2052" s="32">
        <v>4295</v>
      </c>
      <c r="D2052" s="1">
        <v>20000</v>
      </c>
      <c r="E2052" s="1"/>
      <c r="F2052" s="1">
        <v>222</v>
      </c>
      <c r="G2052" s="1">
        <v>20000</v>
      </c>
      <c r="H2052" s="5">
        <f t="shared" si="34"/>
        <v>0</v>
      </c>
      <c r="I2052" s="1"/>
      <c r="J2052" s="1"/>
    </row>
    <row r="2053" spans="2:10" x14ac:dyDescent="0.2">
      <c r="B2053" s="1" t="s">
        <v>322</v>
      </c>
      <c r="C2053" s="32">
        <v>4674</v>
      </c>
      <c r="D2053" s="1">
        <v>25000</v>
      </c>
      <c r="E2053" s="1"/>
      <c r="F2053" s="1">
        <v>278.22000000000003</v>
      </c>
      <c r="G2053" s="1">
        <v>25000</v>
      </c>
      <c r="H2053" s="5">
        <f t="shared" si="34"/>
        <v>0</v>
      </c>
      <c r="I2053" s="1"/>
      <c r="J2053" s="1"/>
    </row>
    <row r="2054" spans="2:10" x14ac:dyDescent="0.2">
      <c r="B2054" s="1" t="s">
        <v>324</v>
      </c>
      <c r="C2054" s="32">
        <v>6538</v>
      </c>
      <c r="D2054" s="1">
        <v>8000</v>
      </c>
      <c r="E2054" s="1"/>
      <c r="F2054" s="1">
        <v>85</v>
      </c>
      <c r="G2054" s="1">
        <v>8000</v>
      </c>
      <c r="H2054" s="5">
        <f t="shared" si="34"/>
        <v>0</v>
      </c>
      <c r="I2054" s="1"/>
      <c r="J2054" s="1"/>
    </row>
    <row r="2055" spans="2:10" x14ac:dyDescent="0.2">
      <c r="B2055" s="1" t="s">
        <v>324</v>
      </c>
      <c r="C2055" s="32">
        <v>5403</v>
      </c>
      <c r="D2055" s="1">
        <v>12000</v>
      </c>
      <c r="E2055" s="1"/>
      <c r="F2055" s="1">
        <v>133</v>
      </c>
      <c r="G2055" s="1">
        <v>12000</v>
      </c>
      <c r="H2055" s="5">
        <f t="shared" si="34"/>
        <v>0</v>
      </c>
      <c r="I2055" s="1"/>
      <c r="J2055" s="1"/>
    </row>
    <row r="2056" spans="2:10" x14ac:dyDescent="0.2">
      <c r="B2056" s="1" t="s">
        <v>324</v>
      </c>
      <c r="C2056" s="32">
        <v>6204</v>
      </c>
      <c r="D2056" s="1">
        <v>20000</v>
      </c>
      <c r="E2056" s="1"/>
      <c r="F2056" s="1">
        <v>222.82</v>
      </c>
      <c r="G2056" s="1">
        <v>20000</v>
      </c>
      <c r="H2056" s="5">
        <f t="shared" si="34"/>
        <v>0</v>
      </c>
      <c r="I2056" s="1"/>
      <c r="J2056" s="1"/>
    </row>
    <row r="2057" spans="2:10" x14ac:dyDescent="0.2">
      <c r="B2057" s="1" t="s">
        <v>325</v>
      </c>
      <c r="C2057" s="32">
        <v>9134</v>
      </c>
      <c r="D2057" s="1">
        <v>19000</v>
      </c>
      <c r="E2057" s="1"/>
      <c r="F2057" s="1">
        <v>212.15</v>
      </c>
      <c r="G2057" s="1">
        <v>19000</v>
      </c>
      <c r="H2057" s="5">
        <f t="shared" si="34"/>
        <v>0</v>
      </c>
      <c r="I2057" s="1"/>
      <c r="J2057" s="1"/>
    </row>
    <row r="2058" spans="2:10" x14ac:dyDescent="0.2">
      <c r="B2058" s="1" t="s">
        <v>325</v>
      </c>
      <c r="C2058" s="32" t="s">
        <v>30</v>
      </c>
      <c r="D2058" s="1">
        <v>4500</v>
      </c>
      <c r="E2058" s="1"/>
      <c r="F2058" s="1">
        <v>50.13</v>
      </c>
      <c r="G2058" s="1">
        <v>4500</v>
      </c>
      <c r="H2058" s="5">
        <f t="shared" si="34"/>
        <v>0</v>
      </c>
      <c r="I2058" s="1"/>
      <c r="J2058" s="1"/>
    </row>
    <row r="2059" spans="2:10" x14ac:dyDescent="0.2">
      <c r="B2059" s="1" t="s">
        <v>325</v>
      </c>
      <c r="C2059" s="32">
        <v>990</v>
      </c>
      <c r="D2059" s="1">
        <v>14229</v>
      </c>
      <c r="E2059" s="1"/>
      <c r="F2059" s="1">
        <v>158</v>
      </c>
      <c r="G2059" s="1">
        <v>14229</v>
      </c>
      <c r="H2059" s="5">
        <f t="shared" si="34"/>
        <v>0</v>
      </c>
      <c r="I2059" s="1"/>
      <c r="J2059" s="1"/>
    </row>
    <row r="2060" spans="2:10" x14ac:dyDescent="0.2">
      <c r="B2060" s="1" t="s">
        <v>325</v>
      </c>
      <c r="C2060" s="32">
        <v>1871</v>
      </c>
      <c r="D2060" s="1">
        <v>20000</v>
      </c>
      <c r="E2060" s="1"/>
      <c r="F2060" s="1">
        <v>222.82</v>
      </c>
      <c r="G2060" s="1">
        <v>20000</v>
      </c>
      <c r="H2060" s="5">
        <f t="shared" si="34"/>
        <v>0</v>
      </c>
      <c r="I2060" s="1"/>
      <c r="J2060" s="1"/>
    </row>
    <row r="2061" spans="2:10" x14ac:dyDescent="0.2">
      <c r="B2061" s="1" t="s">
        <v>325</v>
      </c>
      <c r="C2061" s="32" t="s">
        <v>66</v>
      </c>
      <c r="D2061" s="1">
        <v>200</v>
      </c>
      <c r="E2061" s="1"/>
      <c r="F2061" s="1">
        <v>196.04</v>
      </c>
      <c r="G2061" s="1">
        <v>200</v>
      </c>
      <c r="H2061" s="5">
        <f t="shared" si="34"/>
        <v>0</v>
      </c>
      <c r="I2061" s="1"/>
      <c r="J2061" s="1"/>
    </row>
    <row r="2062" spans="2:10" x14ac:dyDescent="0.2">
      <c r="B2062" s="1" t="s">
        <v>326</v>
      </c>
      <c r="C2062" s="32">
        <v>3935</v>
      </c>
      <c r="D2062" s="1">
        <v>16000</v>
      </c>
      <c r="E2062" s="1"/>
      <c r="F2062" s="1">
        <v>168</v>
      </c>
      <c r="G2062" s="1">
        <v>16000</v>
      </c>
      <c r="H2062" s="5">
        <f t="shared" si="34"/>
        <v>0</v>
      </c>
      <c r="I2062" s="1"/>
      <c r="J2062" s="1"/>
    </row>
    <row r="2063" spans="2:10" x14ac:dyDescent="0.2">
      <c r="B2063" s="1" t="s">
        <v>327</v>
      </c>
      <c r="C2063" s="32">
        <v>851</v>
      </c>
      <c r="D2063" s="1">
        <v>24000</v>
      </c>
      <c r="E2063" s="1"/>
      <c r="F2063" s="1">
        <v>267</v>
      </c>
      <c r="G2063" s="1">
        <v>24000</v>
      </c>
      <c r="H2063" s="5">
        <f t="shared" si="34"/>
        <v>0</v>
      </c>
      <c r="I2063" s="1"/>
      <c r="J2063" s="1"/>
    </row>
    <row r="2064" spans="2:10" x14ac:dyDescent="0.2">
      <c r="B2064" s="1" t="s">
        <v>327</v>
      </c>
      <c r="C2064" s="32">
        <v>9148</v>
      </c>
      <c r="D2064" s="1">
        <v>23000</v>
      </c>
      <c r="E2064" s="1"/>
      <c r="F2064" s="1">
        <v>256</v>
      </c>
      <c r="G2064" s="1">
        <v>23000</v>
      </c>
      <c r="H2064" s="5">
        <f t="shared" ref="H2064:H2127" si="35">D2064-G2064</f>
        <v>0</v>
      </c>
      <c r="I2064" s="1"/>
      <c r="J2064" s="1"/>
    </row>
    <row r="2065" spans="2:10" x14ac:dyDescent="0.2">
      <c r="B2065" s="1" t="s">
        <v>327</v>
      </c>
      <c r="C2065" s="32">
        <v>6205</v>
      </c>
      <c r="D2065" s="1">
        <v>18000</v>
      </c>
      <c r="E2065" s="1"/>
      <c r="F2065" s="1">
        <v>200.53</v>
      </c>
      <c r="G2065" s="1">
        <v>18000</v>
      </c>
      <c r="H2065" s="5">
        <f t="shared" si="35"/>
        <v>0</v>
      </c>
      <c r="I2065" s="1"/>
      <c r="J2065" s="1"/>
    </row>
    <row r="2066" spans="2:10" x14ac:dyDescent="0.2">
      <c r="B2066" s="1" t="s">
        <v>327</v>
      </c>
      <c r="C2066" s="32" t="s">
        <v>30</v>
      </c>
      <c r="D2066" s="1">
        <v>5000</v>
      </c>
      <c r="E2066" s="1"/>
      <c r="F2066" s="1">
        <v>55.7</v>
      </c>
      <c r="G2066" s="1">
        <v>5000</v>
      </c>
      <c r="H2066" s="5">
        <f t="shared" si="35"/>
        <v>0</v>
      </c>
      <c r="I2066" s="1"/>
      <c r="J2066" s="1"/>
    </row>
    <row r="2067" spans="2:10" x14ac:dyDescent="0.2">
      <c r="B2067" s="1" t="s">
        <v>327</v>
      </c>
      <c r="C2067" s="32">
        <v>7874</v>
      </c>
      <c r="D2067" s="1">
        <v>16000</v>
      </c>
      <c r="E2067" s="1"/>
      <c r="F2067" s="1">
        <v>168</v>
      </c>
      <c r="G2067" s="1">
        <v>16000</v>
      </c>
      <c r="H2067" s="5">
        <f t="shared" si="35"/>
        <v>0</v>
      </c>
      <c r="I2067" s="1"/>
      <c r="J2067" s="1"/>
    </row>
    <row r="2068" spans="2:10" x14ac:dyDescent="0.2">
      <c r="B2068" s="1" t="s">
        <v>327</v>
      </c>
      <c r="C2068" s="32">
        <v>7375</v>
      </c>
      <c r="D2068" s="1">
        <v>20000</v>
      </c>
      <c r="E2068" s="1"/>
      <c r="F2068" s="1">
        <v>222.82</v>
      </c>
      <c r="G2068" s="1">
        <v>20000</v>
      </c>
      <c r="H2068" s="5">
        <f t="shared" si="35"/>
        <v>0</v>
      </c>
      <c r="I2068" s="1"/>
      <c r="J2068" s="1"/>
    </row>
    <row r="2069" spans="2:10" x14ac:dyDescent="0.2">
      <c r="B2069" s="1" t="s">
        <v>327</v>
      </c>
      <c r="C2069" s="32">
        <v>8600</v>
      </c>
      <c r="D2069" s="1">
        <v>15000</v>
      </c>
      <c r="E2069" s="1"/>
      <c r="F2069" s="1">
        <v>167</v>
      </c>
      <c r="G2069" s="1">
        <v>15000</v>
      </c>
      <c r="H2069" s="5">
        <f t="shared" si="35"/>
        <v>0</v>
      </c>
      <c r="I2069" s="1"/>
      <c r="J2069" s="1"/>
    </row>
    <row r="2070" spans="2:10" x14ac:dyDescent="0.2">
      <c r="B2070" s="1" t="s">
        <v>328</v>
      </c>
      <c r="C2070" s="32">
        <v>1611</v>
      </c>
      <c r="D2070" s="1">
        <v>22000</v>
      </c>
      <c r="E2070" s="1"/>
      <c r="F2070" s="1">
        <v>245</v>
      </c>
      <c r="G2070" s="1">
        <v>22000</v>
      </c>
      <c r="H2070" s="5">
        <f t="shared" si="35"/>
        <v>0</v>
      </c>
      <c r="I2070" s="1"/>
      <c r="J2070" s="1"/>
    </row>
    <row r="2071" spans="2:10" x14ac:dyDescent="0.2">
      <c r="B2071" s="1" t="s">
        <v>328</v>
      </c>
      <c r="C2071" s="32">
        <v>2545</v>
      </c>
      <c r="D2071" s="1">
        <v>16000</v>
      </c>
      <c r="E2071" s="1"/>
      <c r="F2071" s="1">
        <v>168</v>
      </c>
      <c r="G2071" s="1">
        <v>16000</v>
      </c>
      <c r="H2071" s="5">
        <f t="shared" si="35"/>
        <v>0</v>
      </c>
      <c r="I2071" s="1"/>
      <c r="J2071" s="1"/>
    </row>
    <row r="2072" spans="2:10" x14ac:dyDescent="0.2">
      <c r="B2072" s="1" t="s">
        <v>328</v>
      </c>
      <c r="C2072" s="32" t="s">
        <v>30</v>
      </c>
      <c r="D2072" s="1">
        <v>4500</v>
      </c>
      <c r="E2072" s="1"/>
      <c r="F2072" s="1">
        <v>50.13</v>
      </c>
      <c r="G2072" s="1">
        <v>4500</v>
      </c>
      <c r="H2072" s="5">
        <f t="shared" si="35"/>
        <v>0</v>
      </c>
      <c r="I2072" s="1"/>
      <c r="J2072" s="1"/>
    </row>
    <row r="2073" spans="2:10" x14ac:dyDescent="0.2">
      <c r="B2073" s="1" t="s">
        <v>328</v>
      </c>
      <c r="C2073" s="32">
        <v>7045</v>
      </c>
      <c r="D2073" s="1">
        <v>17000</v>
      </c>
      <c r="E2073" s="1"/>
      <c r="F2073" s="1">
        <v>189</v>
      </c>
      <c r="G2073" s="1">
        <v>17000</v>
      </c>
      <c r="H2073" s="5">
        <f t="shared" si="35"/>
        <v>0</v>
      </c>
      <c r="I2073" s="1"/>
      <c r="J2073" s="1"/>
    </row>
    <row r="2074" spans="2:10" x14ac:dyDescent="0.2">
      <c r="B2074" s="1" t="s">
        <v>328</v>
      </c>
      <c r="C2074" s="32">
        <v>2380</v>
      </c>
      <c r="D2074" s="1">
        <v>22000</v>
      </c>
      <c r="E2074" s="1"/>
      <c r="F2074" s="1">
        <v>245</v>
      </c>
      <c r="G2074" s="1">
        <v>22000</v>
      </c>
      <c r="H2074" s="5">
        <f t="shared" si="35"/>
        <v>0</v>
      </c>
      <c r="I2074" s="1"/>
      <c r="J2074" s="1"/>
    </row>
    <row r="2075" spans="2:10" x14ac:dyDescent="0.2">
      <c r="B2075" s="1" t="s">
        <v>328</v>
      </c>
      <c r="C2075" s="32">
        <v>4046</v>
      </c>
      <c r="D2075" s="1">
        <v>15000</v>
      </c>
      <c r="E2075" s="1"/>
      <c r="F2075" s="1">
        <v>167</v>
      </c>
      <c r="G2075" s="1">
        <v>15000</v>
      </c>
      <c r="H2075" s="5">
        <f t="shared" si="35"/>
        <v>0</v>
      </c>
      <c r="I2075" s="1"/>
      <c r="J2075" s="1"/>
    </row>
    <row r="2076" spans="2:10" x14ac:dyDescent="0.2">
      <c r="B2076" s="1" t="s">
        <v>328</v>
      </c>
      <c r="C2076" s="32">
        <v>6849</v>
      </c>
      <c r="D2076" s="1">
        <v>20000</v>
      </c>
      <c r="E2076" s="1"/>
      <c r="F2076" s="1">
        <v>222.82</v>
      </c>
      <c r="G2076" s="1">
        <v>20000</v>
      </c>
      <c r="H2076" s="5">
        <f t="shared" si="35"/>
        <v>0</v>
      </c>
      <c r="I2076" s="1"/>
      <c r="J2076" s="1"/>
    </row>
    <row r="2077" spans="2:10" x14ac:dyDescent="0.2">
      <c r="B2077" s="1" t="s">
        <v>328</v>
      </c>
      <c r="C2077" s="32">
        <v>4.5999999999999999E-3</v>
      </c>
      <c r="D2077" s="1">
        <v>20000</v>
      </c>
      <c r="E2077" s="1"/>
      <c r="F2077" s="1">
        <v>222.82</v>
      </c>
      <c r="G2077" s="1">
        <v>20000</v>
      </c>
      <c r="H2077" s="5">
        <f t="shared" si="35"/>
        <v>0</v>
      </c>
      <c r="I2077" s="1"/>
      <c r="J2077" s="1"/>
    </row>
    <row r="2078" spans="2:10" x14ac:dyDescent="0.2">
      <c r="B2078" s="1" t="s">
        <v>328</v>
      </c>
      <c r="C2078" s="32">
        <v>4049</v>
      </c>
      <c r="D2078" s="1">
        <v>20000</v>
      </c>
      <c r="E2078" s="1"/>
      <c r="F2078" s="1">
        <v>222.82</v>
      </c>
      <c r="G2078" s="1">
        <v>20000</v>
      </c>
      <c r="H2078" s="5">
        <f t="shared" si="35"/>
        <v>0</v>
      </c>
      <c r="I2078" s="1"/>
      <c r="J2078" s="1"/>
    </row>
    <row r="2079" spans="2:10" x14ac:dyDescent="0.2">
      <c r="B2079" s="1" t="s">
        <v>328</v>
      </c>
      <c r="C2079" s="32">
        <v>9137</v>
      </c>
      <c r="D2079" s="1">
        <v>20000</v>
      </c>
      <c r="E2079" s="1"/>
      <c r="F2079" s="1">
        <v>222.82</v>
      </c>
      <c r="G2079" s="1">
        <v>20000</v>
      </c>
      <c r="H2079" s="5">
        <f t="shared" si="35"/>
        <v>0</v>
      </c>
      <c r="I2079" s="1"/>
      <c r="J2079" s="1"/>
    </row>
    <row r="2080" spans="2:10" x14ac:dyDescent="0.2">
      <c r="B2080" s="1" t="s">
        <v>328</v>
      </c>
      <c r="C2080" s="32">
        <v>5357</v>
      </c>
      <c r="D2080" s="1">
        <v>13000</v>
      </c>
      <c r="E2080" s="1"/>
      <c r="F2080" s="1">
        <v>144</v>
      </c>
      <c r="G2080" s="1">
        <v>13000</v>
      </c>
      <c r="H2080" s="5">
        <f t="shared" si="35"/>
        <v>0</v>
      </c>
      <c r="I2080" s="1"/>
      <c r="J2080" s="1"/>
    </row>
    <row r="2081" spans="2:10" x14ac:dyDescent="0.2">
      <c r="B2081" s="1" t="s">
        <v>328</v>
      </c>
      <c r="C2081" s="32">
        <v>9250</v>
      </c>
      <c r="D2081" s="1">
        <v>27000</v>
      </c>
      <c r="E2081" s="1"/>
      <c r="F2081" s="1">
        <v>300</v>
      </c>
      <c r="G2081" s="1">
        <v>27000</v>
      </c>
      <c r="H2081" s="5">
        <f t="shared" si="35"/>
        <v>0</v>
      </c>
      <c r="I2081" s="1"/>
      <c r="J2081" s="1"/>
    </row>
    <row r="2082" spans="2:10" x14ac:dyDescent="0.2">
      <c r="B2082" s="1" t="s">
        <v>329</v>
      </c>
      <c r="C2082" s="32">
        <v>7109</v>
      </c>
      <c r="D2082" s="1">
        <v>3508</v>
      </c>
      <c r="E2082" s="1"/>
      <c r="F2082" s="1">
        <v>39</v>
      </c>
      <c r="G2082" s="1">
        <v>3508</v>
      </c>
      <c r="H2082" s="5">
        <f t="shared" si="35"/>
        <v>0</v>
      </c>
      <c r="I2082" s="1"/>
      <c r="J2082" s="1"/>
    </row>
    <row r="2083" spans="2:10" x14ac:dyDescent="0.2">
      <c r="B2083" s="1" t="s">
        <v>329</v>
      </c>
      <c r="C2083" s="32">
        <v>1909</v>
      </c>
      <c r="D2083" s="1">
        <v>15000</v>
      </c>
      <c r="E2083" s="1"/>
      <c r="F2083" s="1">
        <v>167</v>
      </c>
      <c r="G2083" s="1">
        <v>15000</v>
      </c>
      <c r="H2083" s="5">
        <f t="shared" si="35"/>
        <v>0</v>
      </c>
      <c r="I2083" s="1"/>
      <c r="J2083" s="1"/>
    </row>
    <row r="2084" spans="2:10" x14ac:dyDescent="0.2">
      <c r="B2084" s="1" t="s">
        <v>332</v>
      </c>
      <c r="C2084" s="32" t="s">
        <v>66</v>
      </c>
      <c r="D2084" s="1">
        <v>210</v>
      </c>
      <c r="E2084" s="1"/>
      <c r="F2084" s="1">
        <v>192.08</v>
      </c>
      <c r="G2084" s="1">
        <v>210</v>
      </c>
      <c r="H2084" s="5">
        <f t="shared" si="35"/>
        <v>0</v>
      </c>
      <c r="I2084" s="1"/>
      <c r="J2084" s="1"/>
    </row>
    <row r="2085" spans="2:10" x14ac:dyDescent="0.2">
      <c r="B2085" s="1" t="s">
        <v>332</v>
      </c>
      <c r="C2085" s="32" t="s">
        <v>30</v>
      </c>
      <c r="D2085" s="1">
        <v>4500</v>
      </c>
      <c r="E2085" s="1"/>
      <c r="F2085" s="1">
        <v>50.13</v>
      </c>
      <c r="G2085" s="1">
        <v>4500</v>
      </c>
      <c r="H2085" s="5">
        <f t="shared" si="35"/>
        <v>0</v>
      </c>
      <c r="I2085" s="1"/>
      <c r="J2085" s="1"/>
    </row>
    <row r="2086" spans="2:10" x14ac:dyDescent="0.2">
      <c r="B2086" s="1" t="s">
        <v>332</v>
      </c>
      <c r="C2086" s="32">
        <v>6328</v>
      </c>
      <c r="D2086" s="1">
        <v>23000</v>
      </c>
      <c r="E2086" s="1"/>
      <c r="F2086" s="1">
        <v>256</v>
      </c>
      <c r="G2086" s="1">
        <v>23000</v>
      </c>
      <c r="H2086" s="5">
        <f t="shared" si="35"/>
        <v>0</v>
      </c>
      <c r="I2086" s="1"/>
      <c r="J2086" s="1"/>
    </row>
    <row r="2087" spans="2:10" x14ac:dyDescent="0.2">
      <c r="B2087" s="1" t="s">
        <v>332</v>
      </c>
      <c r="C2087" s="32" t="s">
        <v>30</v>
      </c>
      <c r="D2087" s="1">
        <v>5000</v>
      </c>
      <c r="E2087" s="1"/>
      <c r="F2087" s="1">
        <v>55.7</v>
      </c>
      <c r="G2087" s="1">
        <v>5000</v>
      </c>
      <c r="H2087" s="5">
        <f t="shared" si="35"/>
        <v>0</v>
      </c>
      <c r="I2087" s="1"/>
      <c r="J2087" s="1"/>
    </row>
    <row r="2088" spans="2:10" x14ac:dyDescent="0.2">
      <c r="B2088" s="1" t="s">
        <v>332</v>
      </c>
      <c r="C2088" s="32">
        <v>2605</v>
      </c>
      <c r="D2088" s="1">
        <v>23000</v>
      </c>
      <c r="E2088" s="1"/>
      <c r="F2088" s="1">
        <v>256</v>
      </c>
      <c r="G2088" s="1">
        <v>23000</v>
      </c>
      <c r="H2088" s="5">
        <f t="shared" si="35"/>
        <v>0</v>
      </c>
      <c r="I2088" s="1"/>
      <c r="J2088" s="1"/>
    </row>
    <row r="2089" spans="2:10" x14ac:dyDescent="0.2">
      <c r="B2089" s="1" t="s">
        <v>332</v>
      </c>
      <c r="C2089" s="32">
        <v>1196</v>
      </c>
      <c r="D2089" s="1">
        <v>23000</v>
      </c>
      <c r="E2089" s="1"/>
      <c r="F2089" s="1">
        <v>256</v>
      </c>
      <c r="G2089" s="1">
        <v>23000</v>
      </c>
      <c r="H2089" s="5">
        <f t="shared" si="35"/>
        <v>0</v>
      </c>
      <c r="I2089" s="1"/>
      <c r="J2089" s="1"/>
    </row>
    <row r="2090" spans="2:10" x14ac:dyDescent="0.2">
      <c r="B2090" s="1" t="s">
        <v>332</v>
      </c>
      <c r="C2090" s="32">
        <v>2555</v>
      </c>
      <c r="D2090" s="1">
        <v>10000</v>
      </c>
      <c r="E2090" s="1"/>
      <c r="F2090" s="1">
        <v>111</v>
      </c>
      <c r="G2090" s="1">
        <v>10000</v>
      </c>
      <c r="H2090" s="5">
        <f t="shared" si="35"/>
        <v>0</v>
      </c>
      <c r="I2090" s="1"/>
      <c r="J2090" s="1"/>
    </row>
    <row r="2091" spans="2:10" x14ac:dyDescent="0.2">
      <c r="B2091" s="1" t="s">
        <v>332</v>
      </c>
      <c r="C2091" s="32">
        <v>5491</v>
      </c>
      <c r="D2091" s="1">
        <v>20000</v>
      </c>
      <c r="E2091" s="1"/>
      <c r="F2091" s="1">
        <v>222.82</v>
      </c>
      <c r="G2091" s="1">
        <v>20000</v>
      </c>
      <c r="H2091" s="5">
        <f t="shared" si="35"/>
        <v>0</v>
      </c>
      <c r="I2091" s="1"/>
      <c r="J2091" s="1"/>
    </row>
    <row r="2092" spans="2:10" x14ac:dyDescent="0.2">
      <c r="B2092" s="1" t="s">
        <v>332</v>
      </c>
      <c r="C2092" s="32">
        <v>3809</v>
      </c>
      <c r="D2092" s="1">
        <v>20000</v>
      </c>
      <c r="E2092" s="1"/>
      <c r="F2092" s="1">
        <v>222.82</v>
      </c>
      <c r="G2092" s="1">
        <v>20000</v>
      </c>
      <c r="H2092" s="5">
        <f t="shared" si="35"/>
        <v>0</v>
      </c>
      <c r="I2092" s="1"/>
      <c r="J2092" s="1"/>
    </row>
    <row r="2093" spans="2:10" x14ac:dyDescent="0.2">
      <c r="B2093" s="1" t="s">
        <v>333</v>
      </c>
      <c r="C2093" s="32">
        <v>4175</v>
      </c>
      <c r="D2093" s="1">
        <v>15000</v>
      </c>
      <c r="E2093" s="1"/>
      <c r="F2093" s="1">
        <v>167</v>
      </c>
      <c r="G2093" s="1">
        <v>15000</v>
      </c>
      <c r="H2093" s="5">
        <f t="shared" si="35"/>
        <v>0</v>
      </c>
      <c r="I2093" s="1"/>
      <c r="J2093" s="1"/>
    </row>
    <row r="2094" spans="2:10" x14ac:dyDescent="0.2">
      <c r="B2094" s="1" t="s">
        <v>333</v>
      </c>
      <c r="C2094" s="32">
        <v>4501</v>
      </c>
      <c r="D2094" s="1">
        <v>20000</v>
      </c>
      <c r="E2094" s="1"/>
      <c r="F2094" s="1">
        <v>222</v>
      </c>
      <c r="G2094" s="1">
        <v>20000</v>
      </c>
      <c r="H2094" s="5">
        <f t="shared" si="35"/>
        <v>0</v>
      </c>
      <c r="I2094" s="1"/>
      <c r="J2094" s="1"/>
    </row>
    <row r="2095" spans="2:10" x14ac:dyDescent="0.2">
      <c r="B2095" s="1" t="s">
        <v>334</v>
      </c>
      <c r="C2095" s="32">
        <v>3763</v>
      </c>
      <c r="D2095" s="1">
        <v>22000</v>
      </c>
      <c r="E2095" s="1"/>
      <c r="F2095" s="1">
        <v>245</v>
      </c>
      <c r="G2095" s="1">
        <v>22000</v>
      </c>
      <c r="H2095" s="5">
        <f t="shared" si="35"/>
        <v>0</v>
      </c>
      <c r="I2095" s="1"/>
      <c r="J2095" s="1"/>
    </row>
    <row r="2096" spans="2:10" x14ac:dyDescent="0.2">
      <c r="B2096" s="1" t="s">
        <v>334</v>
      </c>
      <c r="C2096" s="32">
        <v>7469</v>
      </c>
      <c r="D2096" s="1">
        <v>22000</v>
      </c>
      <c r="E2096" s="1"/>
      <c r="F2096" s="1">
        <v>245</v>
      </c>
      <c r="G2096" s="1">
        <v>22000</v>
      </c>
      <c r="H2096" s="5">
        <f t="shared" si="35"/>
        <v>0</v>
      </c>
      <c r="I2096" s="1"/>
      <c r="J2096" s="1"/>
    </row>
    <row r="2097" spans="2:10" x14ac:dyDescent="0.2">
      <c r="B2097" s="1" t="s">
        <v>334</v>
      </c>
      <c r="C2097" s="32">
        <v>6287</v>
      </c>
      <c r="D2097" s="1">
        <v>18000</v>
      </c>
      <c r="E2097" s="1"/>
      <c r="F2097" s="1">
        <v>200.53</v>
      </c>
      <c r="G2097" s="1">
        <v>18000</v>
      </c>
      <c r="H2097" s="5">
        <f t="shared" si="35"/>
        <v>0</v>
      </c>
      <c r="I2097" s="1"/>
      <c r="J2097" s="1"/>
    </row>
    <row r="2098" spans="2:10" x14ac:dyDescent="0.2">
      <c r="B2098" s="1" t="s">
        <v>334</v>
      </c>
      <c r="C2098" s="32">
        <v>5187</v>
      </c>
      <c r="D2098" s="1">
        <v>18000</v>
      </c>
      <c r="E2098" s="1"/>
      <c r="F2098" s="1">
        <v>200.53</v>
      </c>
      <c r="G2098" s="1">
        <v>18000</v>
      </c>
      <c r="H2098" s="5">
        <f t="shared" si="35"/>
        <v>0</v>
      </c>
      <c r="I2098" s="1"/>
      <c r="J2098" s="1"/>
    </row>
    <row r="2099" spans="2:10" x14ac:dyDescent="0.2">
      <c r="B2099" s="1" t="s">
        <v>334</v>
      </c>
      <c r="C2099" s="32">
        <v>1187</v>
      </c>
      <c r="D2099" s="1">
        <v>18000</v>
      </c>
      <c r="E2099" s="1"/>
      <c r="F2099" s="1">
        <v>200.53</v>
      </c>
      <c r="G2099" s="1">
        <v>18000</v>
      </c>
      <c r="H2099" s="5">
        <f t="shared" si="35"/>
        <v>0</v>
      </c>
      <c r="I2099" s="1"/>
      <c r="J2099" s="1"/>
    </row>
    <row r="2100" spans="2:10" x14ac:dyDescent="0.2">
      <c r="B2100" s="1" t="s">
        <v>335</v>
      </c>
      <c r="C2100" s="32">
        <v>9292</v>
      </c>
      <c r="D2100" s="1">
        <v>9929</v>
      </c>
      <c r="E2100" s="1"/>
      <c r="F2100" s="1">
        <v>110</v>
      </c>
      <c r="G2100" s="1">
        <v>9929</v>
      </c>
      <c r="H2100" s="5">
        <f t="shared" si="35"/>
        <v>0</v>
      </c>
      <c r="I2100" s="1"/>
      <c r="J2100" s="1"/>
    </row>
    <row r="2101" spans="2:10" x14ac:dyDescent="0.2">
      <c r="B2101" s="1" t="s">
        <v>335</v>
      </c>
      <c r="C2101" s="32">
        <v>4691</v>
      </c>
      <c r="D2101" s="1">
        <v>20000</v>
      </c>
      <c r="E2101" s="1"/>
      <c r="F2101" s="1">
        <v>222.82</v>
      </c>
      <c r="G2101" s="1">
        <v>20000</v>
      </c>
      <c r="H2101" s="5">
        <f t="shared" si="35"/>
        <v>0</v>
      </c>
      <c r="I2101" s="1"/>
      <c r="J2101" s="1"/>
    </row>
    <row r="2102" spans="2:10" x14ac:dyDescent="0.2">
      <c r="B2102" s="1" t="s">
        <v>335</v>
      </c>
      <c r="C2102" s="32">
        <v>521</v>
      </c>
      <c r="D2102" s="1">
        <v>10000</v>
      </c>
      <c r="E2102" s="1"/>
      <c r="F2102" s="1">
        <v>111</v>
      </c>
      <c r="G2102" s="1">
        <v>10000</v>
      </c>
      <c r="H2102" s="5">
        <f t="shared" si="35"/>
        <v>0</v>
      </c>
      <c r="I2102" s="1"/>
      <c r="J2102" s="1"/>
    </row>
    <row r="2103" spans="2:10" x14ac:dyDescent="0.2">
      <c r="B2103" s="1" t="s">
        <v>335</v>
      </c>
      <c r="C2103" s="32">
        <v>3773</v>
      </c>
      <c r="D2103" s="1">
        <v>13000</v>
      </c>
      <c r="E2103" s="1"/>
      <c r="F2103" s="1">
        <v>144</v>
      </c>
      <c r="G2103" s="1">
        <v>13000</v>
      </c>
      <c r="H2103" s="5">
        <f t="shared" si="35"/>
        <v>0</v>
      </c>
      <c r="I2103" s="1"/>
      <c r="J2103" s="1"/>
    </row>
    <row r="2104" spans="2:10" x14ac:dyDescent="0.2">
      <c r="B2104" s="1" t="s">
        <v>335</v>
      </c>
      <c r="C2104" s="32">
        <v>492</v>
      </c>
      <c r="D2104" s="1">
        <v>20000</v>
      </c>
      <c r="E2104" s="1"/>
      <c r="F2104" s="1">
        <v>222.82</v>
      </c>
      <c r="G2104" s="1">
        <v>20000</v>
      </c>
      <c r="H2104" s="5">
        <f t="shared" si="35"/>
        <v>0</v>
      </c>
      <c r="I2104" s="1"/>
      <c r="J2104" s="1"/>
    </row>
    <row r="2105" spans="2:10" x14ac:dyDescent="0.2">
      <c r="B2105" s="1" t="s">
        <v>335</v>
      </c>
      <c r="C2105" s="32" t="s">
        <v>30</v>
      </c>
      <c r="D2105" s="1">
        <v>4500</v>
      </c>
      <c r="E2105" s="1"/>
      <c r="F2105" s="1">
        <v>50.13</v>
      </c>
      <c r="G2105" s="1">
        <v>4500</v>
      </c>
      <c r="H2105" s="5">
        <f t="shared" si="35"/>
        <v>0</v>
      </c>
      <c r="I2105" s="1"/>
      <c r="J2105" s="1"/>
    </row>
    <row r="2106" spans="2:10" x14ac:dyDescent="0.2">
      <c r="B2106" s="1" t="s">
        <v>335</v>
      </c>
      <c r="C2106" s="32" t="s">
        <v>30</v>
      </c>
      <c r="D2106" s="1">
        <v>5000</v>
      </c>
      <c r="E2106" s="1"/>
      <c r="F2106" s="1">
        <v>55.15</v>
      </c>
      <c r="G2106" s="1">
        <v>5000</v>
      </c>
      <c r="H2106" s="5">
        <f t="shared" si="35"/>
        <v>0</v>
      </c>
      <c r="I2106" s="1"/>
      <c r="J2106" s="1"/>
    </row>
    <row r="2107" spans="2:10" x14ac:dyDescent="0.2">
      <c r="B2107" s="1" t="s">
        <v>335</v>
      </c>
      <c r="C2107" s="32">
        <v>5602</v>
      </c>
      <c r="D2107" s="1">
        <v>17000</v>
      </c>
      <c r="E2107" s="1"/>
      <c r="F2107" s="1">
        <v>189</v>
      </c>
      <c r="G2107" s="1">
        <v>17000</v>
      </c>
      <c r="H2107" s="5">
        <f t="shared" si="35"/>
        <v>0</v>
      </c>
      <c r="I2107" s="1"/>
      <c r="J2107" s="1"/>
    </row>
    <row r="2108" spans="2:10" x14ac:dyDescent="0.2">
      <c r="B2108" s="1" t="s">
        <v>335</v>
      </c>
      <c r="C2108" s="32">
        <v>3908</v>
      </c>
      <c r="D2108" s="1">
        <v>20000</v>
      </c>
      <c r="E2108" s="1"/>
      <c r="F2108" s="1">
        <v>222.82</v>
      </c>
      <c r="G2108" s="1">
        <v>20000</v>
      </c>
      <c r="H2108" s="5">
        <f t="shared" si="35"/>
        <v>0</v>
      </c>
      <c r="I2108" s="1"/>
      <c r="J2108" s="1"/>
    </row>
    <row r="2109" spans="2:10" x14ac:dyDescent="0.2">
      <c r="B2109" s="1" t="s">
        <v>335</v>
      </c>
      <c r="C2109" s="32" t="s">
        <v>66</v>
      </c>
      <c r="D2109" s="1">
        <v>200</v>
      </c>
      <c r="E2109" s="1"/>
      <c r="F2109" s="1">
        <v>2.08</v>
      </c>
      <c r="G2109" s="1">
        <v>200</v>
      </c>
      <c r="H2109" s="5">
        <f t="shared" si="35"/>
        <v>0</v>
      </c>
      <c r="I2109" s="1"/>
      <c r="J2109" s="1"/>
    </row>
    <row r="2110" spans="2:10" x14ac:dyDescent="0.2">
      <c r="B2110" s="1" t="s">
        <v>336</v>
      </c>
      <c r="C2110" s="32">
        <v>9255</v>
      </c>
      <c r="D2110" s="1">
        <v>21000</v>
      </c>
      <c r="E2110" s="1"/>
      <c r="F2110" s="1">
        <v>233</v>
      </c>
      <c r="G2110" s="1">
        <v>21000</v>
      </c>
      <c r="H2110" s="5">
        <f t="shared" si="35"/>
        <v>0</v>
      </c>
      <c r="I2110" s="1"/>
      <c r="J2110" s="1"/>
    </row>
    <row r="2111" spans="2:10" x14ac:dyDescent="0.2">
      <c r="B2111" s="1" t="s">
        <v>336</v>
      </c>
      <c r="C2111" s="32">
        <v>9544</v>
      </c>
      <c r="D2111" s="1">
        <v>12000</v>
      </c>
      <c r="E2111" s="1"/>
      <c r="F2111" s="1">
        <v>133</v>
      </c>
      <c r="G2111" s="1">
        <v>12000</v>
      </c>
      <c r="H2111" s="5">
        <f t="shared" si="35"/>
        <v>0</v>
      </c>
      <c r="I2111" s="1"/>
      <c r="J2111" s="1"/>
    </row>
    <row r="2112" spans="2:10" x14ac:dyDescent="0.2">
      <c r="B2112" s="1" t="s">
        <v>336</v>
      </c>
      <c r="C2112" s="32" t="s">
        <v>66</v>
      </c>
      <c r="D2112" s="1">
        <v>100</v>
      </c>
      <c r="E2112" s="1"/>
      <c r="F2112" s="1">
        <v>1.05</v>
      </c>
      <c r="G2112" s="1">
        <v>100</v>
      </c>
      <c r="H2112" s="5">
        <f t="shared" si="35"/>
        <v>0</v>
      </c>
      <c r="I2112" s="1"/>
      <c r="J2112" s="1"/>
    </row>
    <row r="2113" spans="2:10" x14ac:dyDescent="0.2">
      <c r="B2113" s="1" t="s">
        <v>336</v>
      </c>
      <c r="C2113" s="32">
        <v>4595</v>
      </c>
      <c r="D2113" s="1">
        <v>20000</v>
      </c>
      <c r="E2113" s="1"/>
      <c r="F2113" s="1">
        <v>222.82</v>
      </c>
      <c r="G2113" s="1">
        <v>20000</v>
      </c>
      <c r="H2113" s="5">
        <f t="shared" si="35"/>
        <v>0</v>
      </c>
      <c r="I2113" s="1"/>
      <c r="J2113" s="1"/>
    </row>
    <row r="2114" spans="2:10" x14ac:dyDescent="0.2">
      <c r="B2114" s="1" t="s">
        <v>336</v>
      </c>
      <c r="C2114" s="32">
        <v>1215</v>
      </c>
      <c r="D2114" s="1">
        <v>15000</v>
      </c>
      <c r="E2114" s="1"/>
      <c r="F2114" s="1">
        <v>167</v>
      </c>
      <c r="G2114" s="1">
        <v>15000</v>
      </c>
      <c r="H2114" s="5">
        <f t="shared" si="35"/>
        <v>0</v>
      </c>
      <c r="I2114" s="1"/>
      <c r="J2114" s="1"/>
    </row>
    <row r="2115" spans="2:10" x14ac:dyDescent="0.2">
      <c r="B2115" s="1" t="s">
        <v>336</v>
      </c>
      <c r="C2115" s="32">
        <v>6711</v>
      </c>
      <c r="D2115" s="1">
        <v>16000</v>
      </c>
      <c r="E2115" s="1"/>
      <c r="F2115" s="1">
        <v>178</v>
      </c>
      <c r="G2115" s="1">
        <v>16000</v>
      </c>
      <c r="H2115" s="5">
        <f t="shared" si="35"/>
        <v>0</v>
      </c>
      <c r="I2115" s="1"/>
      <c r="J2115" s="1"/>
    </row>
    <row r="2116" spans="2:10" x14ac:dyDescent="0.2">
      <c r="B2116" s="1" t="s">
        <v>336</v>
      </c>
      <c r="C2116" s="32">
        <v>3754</v>
      </c>
      <c r="D2116" s="1">
        <v>19000</v>
      </c>
      <c r="E2116" s="1"/>
      <c r="F2116" s="1">
        <v>211</v>
      </c>
      <c r="G2116" s="1">
        <v>19000</v>
      </c>
      <c r="H2116" s="5">
        <f t="shared" si="35"/>
        <v>0</v>
      </c>
      <c r="I2116" s="1"/>
      <c r="J2116" s="1"/>
    </row>
    <row r="2117" spans="2:10" x14ac:dyDescent="0.2">
      <c r="B2117" s="1" t="s">
        <v>336</v>
      </c>
      <c r="C2117" s="32">
        <v>8238</v>
      </c>
      <c r="D2117" s="1">
        <v>19000</v>
      </c>
      <c r="E2117" s="1"/>
      <c r="F2117" s="1">
        <v>211</v>
      </c>
      <c r="G2117" s="1">
        <v>19000</v>
      </c>
      <c r="H2117" s="5">
        <f t="shared" si="35"/>
        <v>0</v>
      </c>
      <c r="I2117" s="1"/>
      <c r="J2117" s="1"/>
    </row>
    <row r="2118" spans="2:10" x14ac:dyDescent="0.2">
      <c r="B2118" s="1" t="s">
        <v>336</v>
      </c>
      <c r="C2118" s="32">
        <v>5403</v>
      </c>
      <c r="D2118" s="1">
        <v>10000</v>
      </c>
      <c r="E2118" s="1"/>
      <c r="F2118" s="1">
        <v>11</v>
      </c>
      <c r="G2118" s="1">
        <v>10000</v>
      </c>
      <c r="H2118" s="5">
        <f t="shared" si="35"/>
        <v>0</v>
      </c>
      <c r="I2118" s="1"/>
      <c r="J2118" s="1"/>
    </row>
    <row r="2119" spans="2:10" x14ac:dyDescent="0.2">
      <c r="B2119" s="1" t="s">
        <v>336</v>
      </c>
      <c r="C2119" s="32">
        <v>7125</v>
      </c>
      <c r="D2119" s="1">
        <v>20000</v>
      </c>
      <c r="E2119" s="1"/>
      <c r="F2119" s="1">
        <v>222.82</v>
      </c>
      <c r="G2119" s="1">
        <v>20000</v>
      </c>
      <c r="H2119" s="5">
        <f t="shared" si="35"/>
        <v>0</v>
      </c>
      <c r="I2119" s="1"/>
      <c r="J2119" s="1"/>
    </row>
    <row r="2120" spans="2:10" x14ac:dyDescent="0.2">
      <c r="B2120" s="1" t="s">
        <v>336</v>
      </c>
      <c r="C2120" s="32">
        <v>7950</v>
      </c>
      <c r="D2120" s="1">
        <v>10000</v>
      </c>
      <c r="E2120" s="1"/>
      <c r="F2120" s="1">
        <v>111</v>
      </c>
      <c r="G2120" s="1">
        <v>10000</v>
      </c>
      <c r="H2120" s="5">
        <f t="shared" si="35"/>
        <v>0</v>
      </c>
      <c r="I2120" s="1"/>
      <c r="J2120" s="1"/>
    </row>
    <row r="2121" spans="2:10" x14ac:dyDescent="0.2">
      <c r="B2121" s="1" t="s">
        <v>336</v>
      </c>
      <c r="C2121" s="32">
        <v>9408</v>
      </c>
      <c r="D2121" s="1">
        <v>25000</v>
      </c>
      <c r="E2121" s="1"/>
      <c r="F2121" s="1">
        <v>278</v>
      </c>
      <c r="G2121" s="1">
        <v>25000</v>
      </c>
      <c r="H2121" s="5">
        <f t="shared" si="35"/>
        <v>0</v>
      </c>
      <c r="I2121" s="1"/>
      <c r="J2121" s="1"/>
    </row>
    <row r="2122" spans="2:10" x14ac:dyDescent="0.2">
      <c r="B2122" s="1" t="s">
        <v>336</v>
      </c>
      <c r="C2122" s="32">
        <v>2459</v>
      </c>
      <c r="D2122" s="1">
        <v>25000</v>
      </c>
      <c r="E2122" s="1"/>
      <c r="F2122" s="1">
        <v>278</v>
      </c>
      <c r="G2122" s="1">
        <v>25000</v>
      </c>
      <c r="H2122" s="5">
        <f t="shared" si="35"/>
        <v>0</v>
      </c>
      <c r="I2122" s="1"/>
      <c r="J2122" s="1"/>
    </row>
    <row r="2123" spans="2:10" x14ac:dyDescent="0.2">
      <c r="B2123" s="1" t="s">
        <v>336</v>
      </c>
      <c r="C2123" s="32">
        <v>2571</v>
      </c>
      <c r="D2123" s="1">
        <v>25000</v>
      </c>
      <c r="E2123" s="1"/>
      <c r="F2123" s="1">
        <v>278</v>
      </c>
      <c r="G2123" s="1">
        <v>25000</v>
      </c>
      <c r="H2123" s="5">
        <f t="shared" si="35"/>
        <v>0</v>
      </c>
      <c r="I2123" s="1"/>
      <c r="J2123" s="1"/>
    </row>
    <row r="2124" spans="2:10" x14ac:dyDescent="0.2">
      <c r="B2124" s="1" t="s">
        <v>336</v>
      </c>
      <c r="C2124" s="32">
        <v>3711</v>
      </c>
      <c r="D2124" s="1">
        <v>25000</v>
      </c>
      <c r="E2124" s="1"/>
      <c r="F2124" s="1">
        <v>278</v>
      </c>
      <c r="G2124" s="1">
        <v>25000</v>
      </c>
      <c r="H2124" s="5">
        <f t="shared" si="35"/>
        <v>0</v>
      </c>
      <c r="I2124" s="1"/>
      <c r="J2124" s="1"/>
    </row>
    <row r="2125" spans="2:10" x14ac:dyDescent="0.2">
      <c r="B2125" s="1" t="s">
        <v>336</v>
      </c>
      <c r="C2125" s="32">
        <v>5271</v>
      </c>
      <c r="D2125" s="1">
        <v>25000</v>
      </c>
      <c r="E2125" s="1"/>
      <c r="F2125" s="1">
        <v>278</v>
      </c>
      <c r="G2125" s="1">
        <v>25000</v>
      </c>
      <c r="H2125" s="5">
        <f t="shared" si="35"/>
        <v>0</v>
      </c>
      <c r="I2125" s="1"/>
      <c r="J2125" s="1"/>
    </row>
    <row r="2126" spans="2:10" x14ac:dyDescent="0.2">
      <c r="B2126" s="1" t="s">
        <v>336</v>
      </c>
      <c r="C2126" s="32">
        <v>8070</v>
      </c>
      <c r="D2126" s="1">
        <v>20000</v>
      </c>
      <c r="E2126" s="1"/>
      <c r="F2126" s="1">
        <v>222.82</v>
      </c>
      <c r="G2126" s="1">
        <v>20000</v>
      </c>
      <c r="H2126" s="5">
        <f t="shared" si="35"/>
        <v>0</v>
      </c>
      <c r="I2126" s="1"/>
      <c r="J2126" s="1"/>
    </row>
    <row r="2127" spans="2:10" x14ac:dyDescent="0.2">
      <c r="B2127" s="1" t="s">
        <v>336</v>
      </c>
      <c r="C2127" s="32">
        <v>7672</v>
      </c>
      <c r="D2127" s="1">
        <v>16000</v>
      </c>
      <c r="E2127" s="1"/>
      <c r="F2127" s="1">
        <v>178</v>
      </c>
      <c r="G2127" s="1">
        <v>16000</v>
      </c>
      <c r="H2127" s="5">
        <f t="shared" si="35"/>
        <v>0</v>
      </c>
      <c r="I2127" s="1"/>
      <c r="J2127" s="1"/>
    </row>
    <row r="2128" spans="2:10" x14ac:dyDescent="0.2">
      <c r="B2128" s="1" t="s">
        <v>336</v>
      </c>
      <c r="C2128" s="32">
        <v>3526</v>
      </c>
      <c r="D2128" s="1">
        <v>24000</v>
      </c>
      <c r="E2128" s="1"/>
      <c r="F2128" s="1">
        <v>267</v>
      </c>
      <c r="G2128" s="1">
        <v>24000</v>
      </c>
      <c r="H2128" s="5">
        <f t="shared" ref="H2128:H2178" si="36">D2128-G2128</f>
        <v>0</v>
      </c>
      <c r="I2128" s="1"/>
      <c r="J2128" s="1"/>
    </row>
    <row r="2129" spans="2:10" x14ac:dyDescent="0.2">
      <c r="B2129" s="1" t="s">
        <v>336</v>
      </c>
      <c r="C2129" s="32">
        <v>5485</v>
      </c>
      <c r="D2129" s="1">
        <v>28000</v>
      </c>
      <c r="E2129" s="1"/>
      <c r="F2129" s="1">
        <v>301</v>
      </c>
      <c r="G2129" s="1">
        <v>28000</v>
      </c>
      <c r="H2129" s="5">
        <f t="shared" si="36"/>
        <v>0</v>
      </c>
      <c r="I2129" s="1"/>
      <c r="J2129" s="1"/>
    </row>
    <row r="2130" spans="2:10" x14ac:dyDescent="0.2">
      <c r="B2130" s="1" t="s">
        <v>337</v>
      </c>
      <c r="C2130" s="32">
        <v>9405</v>
      </c>
      <c r="D2130" s="1">
        <v>20000</v>
      </c>
      <c r="E2130" s="1"/>
      <c r="F2130" s="1">
        <v>222.82</v>
      </c>
      <c r="G2130" s="1">
        <v>20000</v>
      </c>
      <c r="H2130" s="5">
        <f t="shared" si="36"/>
        <v>0</v>
      </c>
      <c r="I2130" s="1"/>
      <c r="J2130" s="1"/>
    </row>
    <row r="2131" spans="2:10" x14ac:dyDescent="0.2">
      <c r="B2131" s="1" t="s">
        <v>337</v>
      </c>
      <c r="C2131" s="32">
        <v>851</v>
      </c>
      <c r="D2131" s="1">
        <v>23000</v>
      </c>
      <c r="E2131" s="1"/>
      <c r="F2131" s="1">
        <v>256</v>
      </c>
      <c r="G2131" s="1">
        <v>23000</v>
      </c>
      <c r="H2131" s="5">
        <f t="shared" si="36"/>
        <v>0</v>
      </c>
      <c r="I2131" s="1"/>
      <c r="J2131" s="1"/>
    </row>
    <row r="2132" spans="2:10" x14ac:dyDescent="0.2">
      <c r="B2132" s="1" t="s">
        <v>337</v>
      </c>
      <c r="C2132" s="32">
        <v>4137</v>
      </c>
      <c r="D2132" s="1">
        <v>17000</v>
      </c>
      <c r="E2132" s="1"/>
      <c r="F2132" s="1">
        <v>189</v>
      </c>
      <c r="G2132" s="1">
        <v>17000</v>
      </c>
      <c r="H2132" s="5">
        <f t="shared" si="36"/>
        <v>0</v>
      </c>
      <c r="I2132" s="1"/>
      <c r="J2132" s="1"/>
    </row>
    <row r="2133" spans="2:10" x14ac:dyDescent="0.2">
      <c r="B2133" s="1" t="s">
        <v>337</v>
      </c>
      <c r="C2133" s="32">
        <v>9148</v>
      </c>
      <c r="D2133" s="1">
        <v>23000</v>
      </c>
      <c r="E2133" s="1"/>
      <c r="F2133" s="1">
        <v>256</v>
      </c>
      <c r="G2133" s="1">
        <v>23000</v>
      </c>
      <c r="H2133" s="5">
        <f t="shared" si="36"/>
        <v>0</v>
      </c>
      <c r="I2133" s="1"/>
      <c r="J2133" s="1"/>
    </row>
    <row r="2134" spans="2:10" x14ac:dyDescent="0.2">
      <c r="B2134" s="1" t="s">
        <v>337</v>
      </c>
      <c r="C2134" s="32">
        <v>8516</v>
      </c>
      <c r="D2134" s="1">
        <v>15000</v>
      </c>
      <c r="E2134" s="1"/>
      <c r="F2134" s="1">
        <v>167</v>
      </c>
      <c r="G2134" s="1">
        <v>15000</v>
      </c>
      <c r="H2134" s="5">
        <f t="shared" si="36"/>
        <v>0</v>
      </c>
      <c r="I2134" s="1"/>
      <c r="J2134" s="1"/>
    </row>
    <row r="2135" spans="2:10" x14ac:dyDescent="0.2">
      <c r="B2135" s="1" t="s">
        <v>337</v>
      </c>
      <c r="C2135" s="32">
        <v>2326</v>
      </c>
      <c r="D2135" s="1">
        <v>25000</v>
      </c>
      <c r="E2135" s="1"/>
      <c r="F2135" s="1">
        <v>278</v>
      </c>
      <c r="G2135" s="1">
        <v>25000</v>
      </c>
      <c r="H2135" s="5">
        <f t="shared" si="36"/>
        <v>0</v>
      </c>
      <c r="I2135" s="1"/>
      <c r="J2135" s="1"/>
    </row>
    <row r="2136" spans="2:10" x14ac:dyDescent="0.2">
      <c r="B2136" s="1" t="s">
        <v>337</v>
      </c>
      <c r="C2136" s="32">
        <v>4371</v>
      </c>
      <c r="D2136" s="1">
        <v>12000</v>
      </c>
      <c r="E2136" s="1"/>
      <c r="F2136" s="1">
        <v>133</v>
      </c>
      <c r="G2136" s="1">
        <v>12000</v>
      </c>
      <c r="H2136" s="5">
        <f t="shared" si="36"/>
        <v>0</v>
      </c>
      <c r="I2136" s="1"/>
      <c r="J2136" s="1"/>
    </row>
    <row r="2137" spans="2:10" x14ac:dyDescent="0.2">
      <c r="B2137" s="1" t="s">
        <v>337</v>
      </c>
      <c r="C2137" s="32">
        <v>9616</v>
      </c>
      <c r="D2137" s="1">
        <v>13000</v>
      </c>
      <c r="E2137" s="1"/>
      <c r="F2137" s="1">
        <v>144</v>
      </c>
      <c r="G2137" s="1">
        <v>13000</v>
      </c>
      <c r="H2137" s="5">
        <f t="shared" si="36"/>
        <v>0</v>
      </c>
      <c r="I2137" s="1"/>
      <c r="J2137" s="1"/>
    </row>
    <row r="2138" spans="2:10" x14ac:dyDescent="0.2">
      <c r="B2138" s="1" t="s">
        <v>337</v>
      </c>
      <c r="C2138" s="32">
        <v>3310</v>
      </c>
      <c r="D2138" s="1">
        <v>12000</v>
      </c>
      <c r="E2138" s="1"/>
      <c r="F2138" s="1">
        <v>133</v>
      </c>
      <c r="G2138" s="1">
        <v>12000</v>
      </c>
      <c r="H2138" s="5">
        <f t="shared" si="36"/>
        <v>0</v>
      </c>
      <c r="I2138" s="1"/>
      <c r="J2138" s="1"/>
    </row>
    <row r="2139" spans="2:10" x14ac:dyDescent="0.2">
      <c r="B2139" s="1" t="s">
        <v>337</v>
      </c>
      <c r="C2139" s="32">
        <v>1991</v>
      </c>
      <c r="D2139" s="1">
        <v>12000</v>
      </c>
      <c r="E2139" s="1"/>
      <c r="F2139" s="1">
        <v>133</v>
      </c>
      <c r="G2139" s="1">
        <v>12000</v>
      </c>
      <c r="H2139" s="5">
        <f t="shared" si="36"/>
        <v>0</v>
      </c>
      <c r="I2139" s="1"/>
      <c r="J2139" s="1"/>
    </row>
    <row r="2140" spans="2:10" x14ac:dyDescent="0.2">
      <c r="B2140" s="1" t="s">
        <v>337</v>
      </c>
      <c r="C2140" s="32">
        <v>7827</v>
      </c>
      <c r="D2140" s="1">
        <v>17000</v>
      </c>
      <c r="E2140" s="1"/>
      <c r="F2140" s="1">
        <v>194</v>
      </c>
      <c r="G2140" s="1">
        <v>17000</v>
      </c>
      <c r="H2140" s="5">
        <f t="shared" si="36"/>
        <v>0</v>
      </c>
      <c r="I2140" s="1"/>
      <c r="J2140" s="1"/>
    </row>
    <row r="2141" spans="2:10" x14ac:dyDescent="0.2">
      <c r="B2141" s="1" t="s">
        <v>337</v>
      </c>
      <c r="C2141" s="32">
        <v>4949</v>
      </c>
      <c r="D2141" s="1">
        <v>12000</v>
      </c>
      <c r="E2141" s="1"/>
      <c r="F2141" s="1">
        <v>133</v>
      </c>
      <c r="G2141" s="1">
        <v>12000</v>
      </c>
      <c r="H2141" s="5">
        <f t="shared" si="36"/>
        <v>0</v>
      </c>
      <c r="I2141" s="1"/>
      <c r="J2141" s="1"/>
    </row>
    <row r="2142" spans="2:10" x14ac:dyDescent="0.2">
      <c r="B2142" s="1" t="s">
        <v>338</v>
      </c>
      <c r="C2142" s="32" t="s">
        <v>66</v>
      </c>
      <c r="D2142" s="1">
        <v>210</v>
      </c>
      <c r="E2142" s="1"/>
      <c r="F2142" s="1">
        <v>2.15</v>
      </c>
      <c r="G2142" s="1">
        <v>210</v>
      </c>
      <c r="H2142" s="5">
        <f t="shared" si="36"/>
        <v>0</v>
      </c>
      <c r="I2142" s="1"/>
      <c r="J2142" s="1"/>
    </row>
    <row r="2143" spans="2:10" x14ac:dyDescent="0.2">
      <c r="B2143" s="1" t="s">
        <v>339</v>
      </c>
      <c r="C2143" s="32">
        <v>1434</v>
      </c>
      <c r="D2143" s="1">
        <v>14000</v>
      </c>
      <c r="E2143" s="1"/>
      <c r="F2143" s="1">
        <v>155</v>
      </c>
      <c r="G2143" s="1">
        <v>14000</v>
      </c>
      <c r="H2143" s="5">
        <f t="shared" si="36"/>
        <v>0</v>
      </c>
      <c r="I2143" s="1"/>
      <c r="J2143" s="1"/>
    </row>
    <row r="2144" spans="2:10" x14ac:dyDescent="0.2">
      <c r="B2144" s="1" t="s">
        <v>339</v>
      </c>
      <c r="C2144" s="32">
        <v>5861</v>
      </c>
      <c r="D2144" s="1">
        <v>18000</v>
      </c>
      <c r="E2144" s="1"/>
      <c r="F2144" s="1">
        <v>200</v>
      </c>
      <c r="G2144" s="1">
        <v>18000</v>
      </c>
      <c r="H2144" s="5">
        <f t="shared" si="36"/>
        <v>0</v>
      </c>
      <c r="I2144" s="1"/>
      <c r="J2144" s="1"/>
    </row>
    <row r="2145" spans="2:10" x14ac:dyDescent="0.2">
      <c r="B2145" s="1" t="s">
        <v>339</v>
      </c>
      <c r="C2145" s="32" t="s">
        <v>63</v>
      </c>
      <c r="D2145" s="1">
        <v>4500</v>
      </c>
      <c r="E2145" s="1"/>
      <c r="F2145" s="1">
        <v>50.13</v>
      </c>
      <c r="G2145" s="1">
        <v>4500</v>
      </c>
      <c r="H2145" s="5">
        <f t="shared" si="36"/>
        <v>0</v>
      </c>
      <c r="I2145" s="1"/>
      <c r="J2145" s="1"/>
    </row>
    <row r="2146" spans="2:10" x14ac:dyDescent="0.2">
      <c r="B2146" s="1" t="s">
        <v>340</v>
      </c>
      <c r="C2146" s="32">
        <v>2137</v>
      </c>
      <c r="D2146" s="1">
        <v>28000</v>
      </c>
      <c r="E2146" s="1"/>
      <c r="F2146" s="1">
        <v>311</v>
      </c>
      <c r="G2146" s="1">
        <v>28000</v>
      </c>
      <c r="H2146" s="5">
        <f t="shared" si="36"/>
        <v>0</v>
      </c>
      <c r="I2146" s="1"/>
      <c r="J2146" s="1"/>
    </row>
    <row r="2147" spans="2:10" x14ac:dyDescent="0.2">
      <c r="B2147" s="1" t="s">
        <v>340</v>
      </c>
      <c r="C2147" s="32" t="s">
        <v>30</v>
      </c>
      <c r="D2147" s="1">
        <v>5000</v>
      </c>
      <c r="E2147" s="1"/>
      <c r="F2147" s="1">
        <v>50.13</v>
      </c>
      <c r="G2147" s="1">
        <v>5000</v>
      </c>
      <c r="H2147" s="5">
        <f t="shared" si="36"/>
        <v>0</v>
      </c>
      <c r="I2147" s="1"/>
      <c r="J2147" s="1"/>
    </row>
    <row r="2148" spans="2:10" x14ac:dyDescent="0.2">
      <c r="B2148" s="1" t="s">
        <v>340</v>
      </c>
      <c r="C2148" s="32">
        <v>4224</v>
      </c>
      <c r="D2148" s="1">
        <v>25000</v>
      </c>
      <c r="E2148" s="1"/>
      <c r="F2148" s="1">
        <v>278</v>
      </c>
      <c r="G2148" s="1">
        <v>25000</v>
      </c>
      <c r="H2148" s="5">
        <f t="shared" si="36"/>
        <v>0</v>
      </c>
      <c r="I2148" s="1"/>
      <c r="J2148" s="1"/>
    </row>
    <row r="2149" spans="2:10" x14ac:dyDescent="0.2">
      <c r="B2149" s="1" t="s">
        <v>340</v>
      </c>
      <c r="C2149" s="32">
        <v>4365</v>
      </c>
      <c r="D2149" s="1">
        <v>22000</v>
      </c>
      <c r="E2149" s="1"/>
      <c r="F2149" s="1">
        <v>245</v>
      </c>
      <c r="G2149" s="1">
        <v>22000</v>
      </c>
      <c r="H2149" s="5">
        <f t="shared" si="36"/>
        <v>0</v>
      </c>
      <c r="I2149" s="1"/>
      <c r="J2149" s="1"/>
    </row>
    <row r="2150" spans="2:10" x14ac:dyDescent="0.2">
      <c r="B2150" s="1" t="s">
        <v>340</v>
      </c>
      <c r="C2150" s="32">
        <v>7479</v>
      </c>
      <c r="D2150" s="1">
        <v>15000</v>
      </c>
      <c r="E2150" s="1"/>
      <c r="F2150" s="1">
        <v>167</v>
      </c>
      <c r="G2150" s="1">
        <v>15000</v>
      </c>
      <c r="H2150" s="5">
        <f t="shared" si="36"/>
        <v>0</v>
      </c>
      <c r="I2150" s="1"/>
      <c r="J2150" s="1"/>
    </row>
    <row r="2151" spans="2:10" x14ac:dyDescent="0.2">
      <c r="B2151" s="1" t="s">
        <v>340</v>
      </c>
      <c r="C2151" s="32">
        <v>4792</v>
      </c>
      <c r="D2151" s="1">
        <v>15000</v>
      </c>
      <c r="E2151" s="1"/>
      <c r="F2151" s="1">
        <v>167</v>
      </c>
      <c r="G2151" s="1">
        <v>15000</v>
      </c>
      <c r="H2151" s="5">
        <f t="shared" si="36"/>
        <v>0</v>
      </c>
      <c r="I2151" s="1"/>
      <c r="J2151" s="1"/>
    </row>
    <row r="2152" spans="2:10" x14ac:dyDescent="0.2">
      <c r="B2152" s="1" t="s">
        <v>341</v>
      </c>
      <c r="C2152" s="32">
        <v>6200</v>
      </c>
      <c r="D2152" s="1">
        <v>5000</v>
      </c>
      <c r="E2152" s="1"/>
      <c r="F2152" s="1">
        <v>55.7</v>
      </c>
      <c r="G2152" s="1">
        <v>5000</v>
      </c>
      <c r="H2152" s="5">
        <f t="shared" si="36"/>
        <v>0</v>
      </c>
      <c r="I2152" s="1"/>
      <c r="J2152" s="1"/>
    </row>
    <row r="2153" spans="2:10" x14ac:dyDescent="0.2">
      <c r="B2153" s="1" t="s">
        <v>341</v>
      </c>
      <c r="C2153" s="32">
        <v>1611</v>
      </c>
      <c r="D2153" s="1">
        <v>20000</v>
      </c>
      <c r="E2153" s="1"/>
      <c r="F2153" s="1">
        <v>222.82</v>
      </c>
      <c r="G2153" s="1">
        <v>20000</v>
      </c>
      <c r="H2153" s="5">
        <f t="shared" si="36"/>
        <v>0</v>
      </c>
      <c r="I2153" s="1"/>
      <c r="J2153" s="1"/>
    </row>
    <row r="2154" spans="2:10" x14ac:dyDescent="0.2">
      <c r="B2154" s="1" t="s">
        <v>341</v>
      </c>
      <c r="C2154" s="32">
        <v>6835</v>
      </c>
      <c r="D2154" s="1">
        <v>6000</v>
      </c>
      <c r="E2154" s="1"/>
      <c r="F2154" s="1">
        <v>66.84</v>
      </c>
      <c r="G2154" s="1">
        <v>6000</v>
      </c>
      <c r="H2154" s="5">
        <f t="shared" si="36"/>
        <v>0</v>
      </c>
      <c r="I2154" s="1"/>
      <c r="J2154" s="1"/>
    </row>
    <row r="2155" spans="2:10" x14ac:dyDescent="0.2">
      <c r="B2155" s="1" t="s">
        <v>341</v>
      </c>
      <c r="C2155" s="32">
        <v>8065</v>
      </c>
      <c r="D2155" s="1">
        <v>7700</v>
      </c>
      <c r="E2155" s="1"/>
      <c r="F2155" s="1">
        <v>85.78</v>
      </c>
      <c r="G2155" s="1">
        <v>7700</v>
      </c>
      <c r="H2155" s="5">
        <f t="shared" si="36"/>
        <v>0</v>
      </c>
      <c r="I2155" s="1"/>
      <c r="J2155" s="1"/>
    </row>
    <row r="2156" spans="2:10" x14ac:dyDescent="0.2">
      <c r="B2156" s="1" t="s">
        <v>341</v>
      </c>
      <c r="C2156" s="32"/>
      <c r="D2156" s="1">
        <v>1000</v>
      </c>
      <c r="E2156" s="1"/>
      <c r="F2156" s="1">
        <v>11.14</v>
      </c>
      <c r="G2156" s="1">
        <v>1000</v>
      </c>
      <c r="H2156" s="5">
        <f t="shared" si="36"/>
        <v>0</v>
      </c>
      <c r="I2156" s="1"/>
      <c r="J2156" s="1"/>
    </row>
    <row r="2157" spans="2:10" x14ac:dyDescent="0.2">
      <c r="B2157" s="1" t="s">
        <v>341</v>
      </c>
      <c r="C2157" s="32">
        <v>9531</v>
      </c>
      <c r="D2157" s="1">
        <v>20000</v>
      </c>
      <c r="E2157" s="1"/>
      <c r="F2157" s="1">
        <v>222.82</v>
      </c>
      <c r="G2157" s="1">
        <v>20000</v>
      </c>
      <c r="H2157" s="5">
        <f t="shared" si="36"/>
        <v>0</v>
      </c>
      <c r="I2157" s="1"/>
      <c r="J2157" s="1"/>
    </row>
    <row r="2158" spans="2:10" x14ac:dyDescent="0.2">
      <c r="B2158" s="1" t="s">
        <v>341</v>
      </c>
      <c r="C2158" s="32">
        <v>7905</v>
      </c>
      <c r="D2158" s="1">
        <v>17000</v>
      </c>
      <c r="E2158" s="1"/>
      <c r="F2158" s="1">
        <v>189</v>
      </c>
      <c r="G2158" s="1">
        <v>17000</v>
      </c>
      <c r="H2158" s="5">
        <f t="shared" si="36"/>
        <v>0</v>
      </c>
      <c r="I2158" s="1"/>
      <c r="J2158" s="1"/>
    </row>
    <row r="2159" spans="2:10" x14ac:dyDescent="0.2">
      <c r="B2159" s="1" t="s">
        <v>341</v>
      </c>
      <c r="C2159" s="32">
        <v>5572</v>
      </c>
      <c r="D2159" s="1">
        <v>20000</v>
      </c>
      <c r="E2159" s="1"/>
      <c r="F2159" s="1">
        <v>222.82</v>
      </c>
      <c r="G2159" s="1">
        <v>20000</v>
      </c>
      <c r="H2159" s="5">
        <f t="shared" si="36"/>
        <v>0</v>
      </c>
      <c r="I2159" s="1"/>
      <c r="J2159" s="1"/>
    </row>
    <row r="2160" spans="2:10" x14ac:dyDescent="0.2">
      <c r="B2160" s="1" t="s">
        <v>341</v>
      </c>
      <c r="C2160" s="32">
        <v>2620</v>
      </c>
      <c r="D2160" s="1">
        <v>22000</v>
      </c>
      <c r="E2160" s="1"/>
      <c r="F2160" s="1">
        <v>245</v>
      </c>
      <c r="G2160" s="1">
        <v>22000</v>
      </c>
      <c r="H2160" s="5">
        <f t="shared" si="36"/>
        <v>0</v>
      </c>
      <c r="I2160" s="1"/>
      <c r="J2160" s="1"/>
    </row>
    <row r="2161" spans="2:10" x14ac:dyDescent="0.2">
      <c r="B2161" s="1" t="s">
        <v>341</v>
      </c>
      <c r="C2161" s="32">
        <v>2570</v>
      </c>
      <c r="D2161" s="1">
        <v>18000</v>
      </c>
      <c r="E2161" s="1"/>
      <c r="F2161" s="1">
        <v>200</v>
      </c>
      <c r="G2161" s="1">
        <v>18000</v>
      </c>
      <c r="H2161" s="5">
        <f t="shared" si="36"/>
        <v>0</v>
      </c>
      <c r="I2161" s="1"/>
      <c r="J2161" s="1"/>
    </row>
    <row r="2162" spans="2:10" x14ac:dyDescent="0.2">
      <c r="B2162" s="1" t="s">
        <v>341</v>
      </c>
      <c r="C2162" s="32">
        <v>1975</v>
      </c>
      <c r="D2162" s="1">
        <v>32000</v>
      </c>
      <c r="E2162" s="1"/>
      <c r="F2162" s="1">
        <v>356</v>
      </c>
      <c r="G2162" s="1">
        <v>32000</v>
      </c>
      <c r="H2162" s="5">
        <f t="shared" si="36"/>
        <v>0</v>
      </c>
      <c r="I2162" s="1"/>
      <c r="J2162" s="1"/>
    </row>
    <row r="2163" spans="2:10" x14ac:dyDescent="0.2">
      <c r="B2163" s="1" t="s">
        <v>341</v>
      </c>
      <c r="C2163" s="32">
        <v>1176</v>
      </c>
      <c r="D2163" s="1">
        <v>10000</v>
      </c>
      <c r="E2163" s="1"/>
      <c r="F2163" s="1">
        <v>111.4</v>
      </c>
      <c r="G2163" s="1">
        <v>10000</v>
      </c>
      <c r="H2163" s="5">
        <f t="shared" si="36"/>
        <v>0</v>
      </c>
      <c r="I2163" s="1"/>
      <c r="J2163" s="1"/>
    </row>
    <row r="2164" spans="2:10" x14ac:dyDescent="0.2">
      <c r="B2164" s="1" t="s">
        <v>341</v>
      </c>
      <c r="C2164" s="32">
        <v>8676</v>
      </c>
      <c r="D2164" s="1">
        <v>10000</v>
      </c>
      <c r="E2164" s="1"/>
      <c r="F2164" s="1">
        <v>111.4</v>
      </c>
      <c r="G2164" s="1">
        <v>10000</v>
      </c>
      <c r="H2164" s="5">
        <f t="shared" si="36"/>
        <v>0</v>
      </c>
      <c r="I2164" s="1"/>
      <c r="J2164" s="1"/>
    </row>
    <row r="2165" spans="2:10" x14ac:dyDescent="0.2">
      <c r="B2165" s="1" t="s">
        <v>341</v>
      </c>
      <c r="C2165" s="32" t="s">
        <v>30</v>
      </c>
      <c r="D2165" s="1">
        <v>4500</v>
      </c>
      <c r="E2165" s="1"/>
      <c r="F2165" s="1">
        <v>50.13</v>
      </c>
      <c r="G2165" s="1">
        <v>4500</v>
      </c>
      <c r="H2165" s="5">
        <f t="shared" si="36"/>
        <v>0</v>
      </c>
      <c r="I2165" s="1"/>
      <c r="J2165" s="1"/>
    </row>
    <row r="2166" spans="2:10" x14ac:dyDescent="0.2">
      <c r="B2166" s="1" t="s">
        <v>341</v>
      </c>
      <c r="C2166" s="32">
        <v>4371</v>
      </c>
      <c r="D2166" s="1">
        <v>12000</v>
      </c>
      <c r="E2166" s="1"/>
      <c r="F2166" s="1">
        <v>133</v>
      </c>
      <c r="G2166" s="1">
        <v>12000</v>
      </c>
      <c r="H2166" s="5">
        <f t="shared" si="36"/>
        <v>0</v>
      </c>
      <c r="I2166" s="1"/>
      <c r="J2166" s="1"/>
    </row>
    <row r="2167" spans="2:10" x14ac:dyDescent="0.2">
      <c r="B2167" s="1" t="s">
        <v>341</v>
      </c>
      <c r="C2167" s="32">
        <v>1266</v>
      </c>
      <c r="D2167" s="1">
        <v>14000</v>
      </c>
      <c r="E2167" s="1"/>
      <c r="F2167" s="1">
        <v>155</v>
      </c>
      <c r="G2167" s="1">
        <v>14000</v>
      </c>
      <c r="H2167" s="5">
        <f t="shared" si="36"/>
        <v>0</v>
      </c>
      <c r="I2167" s="1"/>
      <c r="J2167" s="1"/>
    </row>
    <row r="2168" spans="2:10" x14ac:dyDescent="0.2">
      <c r="B2168" s="1" t="s">
        <v>342</v>
      </c>
      <c r="C2168" s="32" t="s">
        <v>66</v>
      </c>
      <c r="D2168" s="1">
        <v>200</v>
      </c>
      <c r="E2168" s="1"/>
      <c r="F2168" s="1">
        <v>192.04</v>
      </c>
      <c r="G2168" s="1">
        <v>200</v>
      </c>
      <c r="H2168" s="5">
        <f t="shared" si="36"/>
        <v>0</v>
      </c>
      <c r="I2168" s="1"/>
      <c r="J2168" s="1"/>
    </row>
    <row r="2169" spans="2:10" x14ac:dyDescent="0.2">
      <c r="B2169" s="1" t="s">
        <v>342</v>
      </c>
      <c r="C2169" s="32">
        <v>9903</v>
      </c>
      <c r="D2169" s="1">
        <v>13000</v>
      </c>
      <c r="E2169" s="1"/>
      <c r="F2169" s="1">
        <v>144</v>
      </c>
      <c r="G2169" s="1">
        <v>13000</v>
      </c>
      <c r="H2169" s="5">
        <f t="shared" si="36"/>
        <v>0</v>
      </c>
      <c r="I2169" s="1"/>
      <c r="J2169" s="1"/>
    </row>
    <row r="2170" spans="2:10" x14ac:dyDescent="0.2">
      <c r="B2170" s="1" t="s">
        <v>342</v>
      </c>
      <c r="C2170" s="32">
        <v>5841</v>
      </c>
      <c r="D2170" s="1">
        <v>18000</v>
      </c>
      <c r="E2170" s="1"/>
      <c r="F2170" s="1">
        <v>200</v>
      </c>
      <c r="G2170" s="1">
        <v>18000</v>
      </c>
      <c r="H2170" s="5">
        <f t="shared" si="36"/>
        <v>0</v>
      </c>
      <c r="I2170" s="1"/>
      <c r="J2170" s="1"/>
    </row>
    <row r="2171" spans="2:10" x14ac:dyDescent="0.2">
      <c r="B2171" s="1" t="s">
        <v>342</v>
      </c>
      <c r="C2171" s="32">
        <v>8772</v>
      </c>
      <c r="D2171" s="1">
        <v>25000</v>
      </c>
      <c r="E2171" s="1"/>
      <c r="F2171" s="1">
        <v>317</v>
      </c>
      <c r="G2171" s="1">
        <v>25000</v>
      </c>
      <c r="H2171" s="5">
        <f t="shared" si="36"/>
        <v>0</v>
      </c>
      <c r="I2171" s="1"/>
      <c r="J2171" s="1"/>
    </row>
    <row r="2172" spans="2:10" x14ac:dyDescent="0.2">
      <c r="B2172" s="1" t="s">
        <v>343</v>
      </c>
      <c r="C2172" s="32">
        <v>2705</v>
      </c>
      <c r="D2172" s="1">
        <v>12000</v>
      </c>
      <c r="E2172" s="1"/>
      <c r="F2172" s="1">
        <v>133</v>
      </c>
      <c r="G2172" s="1">
        <v>12000</v>
      </c>
      <c r="H2172" s="5">
        <f t="shared" si="36"/>
        <v>0</v>
      </c>
      <c r="I2172" s="1"/>
      <c r="J2172" s="1"/>
    </row>
    <row r="2173" spans="2:10" x14ac:dyDescent="0.2">
      <c r="B2173" s="1" t="s">
        <v>343</v>
      </c>
      <c r="C2173" s="32">
        <v>1593</v>
      </c>
      <c r="D2173" s="1">
        <v>12000</v>
      </c>
      <c r="E2173" s="1"/>
      <c r="F2173" s="1">
        <v>133</v>
      </c>
      <c r="G2173" s="1">
        <v>12000</v>
      </c>
      <c r="H2173" s="5">
        <f t="shared" si="36"/>
        <v>0</v>
      </c>
      <c r="I2173" s="1"/>
      <c r="J2173" s="1"/>
    </row>
    <row r="2174" spans="2:10" x14ac:dyDescent="0.2">
      <c r="B2174" s="1" t="s">
        <v>343</v>
      </c>
      <c r="C2174" s="32">
        <v>3754</v>
      </c>
      <c r="D2174" s="1">
        <v>19000</v>
      </c>
      <c r="E2174" s="1"/>
      <c r="F2174" s="1">
        <v>211</v>
      </c>
      <c r="G2174" s="1">
        <v>19000</v>
      </c>
      <c r="H2174" s="5">
        <f t="shared" si="36"/>
        <v>0</v>
      </c>
      <c r="I2174" s="1"/>
      <c r="J2174" s="1"/>
    </row>
    <row r="2175" spans="2:10" x14ac:dyDescent="0.2">
      <c r="B2175" s="1" t="s">
        <v>343</v>
      </c>
      <c r="C2175" s="32" t="s">
        <v>30</v>
      </c>
      <c r="D2175" s="1">
        <v>8000</v>
      </c>
      <c r="E2175" s="1"/>
      <c r="F2175" s="1">
        <v>89</v>
      </c>
      <c r="G2175" s="1">
        <v>8000</v>
      </c>
      <c r="H2175" s="5">
        <f t="shared" si="36"/>
        <v>0</v>
      </c>
      <c r="I2175" s="1"/>
      <c r="J2175" s="1"/>
    </row>
    <row r="2176" spans="2:10" x14ac:dyDescent="0.2">
      <c r="B2176" s="1" t="s">
        <v>343</v>
      </c>
      <c r="C2176" s="32" t="s">
        <v>66</v>
      </c>
      <c r="D2176" s="1">
        <v>200</v>
      </c>
      <c r="E2176" s="1"/>
      <c r="F2176" s="1">
        <v>192.04</v>
      </c>
      <c r="G2176" s="1">
        <v>200</v>
      </c>
      <c r="H2176" s="5">
        <f t="shared" si="36"/>
        <v>0</v>
      </c>
      <c r="I2176" s="1"/>
      <c r="J2176" s="1"/>
    </row>
    <row r="2177" spans="2:10" x14ac:dyDescent="0.2">
      <c r="B2177" s="1" t="s">
        <v>343</v>
      </c>
      <c r="C2177" s="32">
        <v>1068</v>
      </c>
      <c r="D2177" s="1">
        <v>30000</v>
      </c>
      <c r="E2177" s="1"/>
      <c r="F2177" s="1">
        <v>334</v>
      </c>
      <c r="G2177" s="1">
        <v>30000</v>
      </c>
      <c r="H2177" s="5">
        <f t="shared" si="36"/>
        <v>0</v>
      </c>
      <c r="I2177" s="1"/>
      <c r="J2177" s="1"/>
    </row>
    <row r="2178" spans="2:10" x14ac:dyDescent="0.2">
      <c r="B2178" s="1" t="s">
        <v>343</v>
      </c>
      <c r="C2178" s="32">
        <v>4702</v>
      </c>
      <c r="D2178" s="1">
        <v>16000</v>
      </c>
      <c r="E2178" s="1"/>
      <c r="F2178" s="1">
        <v>170</v>
      </c>
      <c r="G2178" s="1">
        <v>16000</v>
      </c>
      <c r="H2178" s="5">
        <f t="shared" si="36"/>
        <v>0</v>
      </c>
      <c r="I2178" s="1"/>
      <c r="J2178" s="1"/>
    </row>
    <row r="2179" spans="2:10" ht="15" x14ac:dyDescent="0.25">
      <c r="B2179" s="1"/>
      <c r="C2179" s="20" t="s">
        <v>9</v>
      </c>
      <c r="D2179" s="21">
        <f>SUM(D4:D2178)</f>
        <v>39270967</v>
      </c>
      <c r="E2179" s="22"/>
      <c r="F2179" s="23">
        <f>SUM(F7:F2178)</f>
        <v>416814.70896864543</v>
      </c>
      <c r="G2179" s="21">
        <f>SUM(G4:G2178)</f>
        <v>39270967</v>
      </c>
      <c r="H2179" s="22"/>
      <c r="I2179" s="24">
        <f>SUM(I6:I2178)</f>
        <v>38223884</v>
      </c>
      <c r="J2179" s="1"/>
    </row>
    <row r="2180" spans="2:10" ht="15" x14ac:dyDescent="0.25">
      <c r="B2180" s="1"/>
      <c r="C2180" s="20" t="s">
        <v>10</v>
      </c>
      <c r="D2180" s="25">
        <f>SUM(D2179-I2179)</f>
        <v>1047083</v>
      </c>
      <c r="E2180" s="22"/>
      <c r="F2180" s="22"/>
      <c r="G2180" s="26" t="s">
        <v>10</v>
      </c>
      <c r="H2180" s="25">
        <f>SUM(G2179-I2179)</f>
        <v>1047083</v>
      </c>
      <c r="I2180" s="25"/>
      <c r="J2180" s="1"/>
    </row>
    <row r="2181" spans="2:10" ht="15" thickBot="1" x14ac:dyDescent="0.25"/>
    <row r="2182" spans="2:10" ht="15" x14ac:dyDescent="0.25">
      <c r="C2182" s="178"/>
      <c r="D2182" s="179" t="s">
        <v>376</v>
      </c>
      <c r="E2182" s="179"/>
      <c r="F2182" s="179"/>
      <c r="G2182" s="179"/>
      <c r="H2182" s="75"/>
      <c r="I2182" s="76"/>
    </row>
    <row r="2183" spans="2:10" ht="15.75" thickBot="1" x14ac:dyDescent="0.3">
      <c r="C2183" s="180" t="s">
        <v>185</v>
      </c>
      <c r="D2183" s="181"/>
      <c r="E2183" s="181"/>
      <c r="F2183" s="181" t="s">
        <v>186</v>
      </c>
      <c r="G2183" s="181"/>
      <c r="H2183" s="183"/>
      <c r="I2183" s="184"/>
    </row>
    <row r="2184" spans="2:10" ht="15" x14ac:dyDescent="0.25">
      <c r="C2184" s="90" t="s">
        <v>184</v>
      </c>
      <c r="D2184" s="90">
        <v>39270967</v>
      </c>
      <c r="E2184" s="90"/>
      <c r="F2184" s="90" t="s">
        <v>187</v>
      </c>
      <c r="G2184" s="90">
        <v>39277956</v>
      </c>
      <c r="H2184" s="90" t="s">
        <v>364</v>
      </c>
      <c r="I2184" s="182">
        <f>39270967-39277956</f>
        <v>-6989</v>
      </c>
    </row>
    <row r="2185" spans="2:10" ht="15" x14ac:dyDescent="0.25">
      <c r="C2185" s="42" t="s">
        <v>143</v>
      </c>
      <c r="D2185" s="42">
        <v>38223884</v>
      </c>
      <c r="E2185" s="42"/>
      <c r="F2185" s="42" t="s">
        <v>191</v>
      </c>
      <c r="G2185" s="42">
        <v>38218852</v>
      </c>
      <c r="H2185" s="42" t="s">
        <v>365</v>
      </c>
      <c r="I2185" s="103">
        <f>38223884-38218852</f>
        <v>5032</v>
      </c>
    </row>
    <row r="2186" spans="2:10" ht="15" x14ac:dyDescent="0.25">
      <c r="C2186" s="42"/>
      <c r="D2186" s="42"/>
      <c r="E2186" s="42"/>
      <c r="F2186" s="42"/>
      <c r="G2186" s="42"/>
      <c r="H2186" s="42"/>
      <c r="I2186" s="103"/>
    </row>
    <row r="2187" spans="2:10" ht="15" x14ac:dyDescent="0.25">
      <c r="C2187" s="89" t="s">
        <v>95</v>
      </c>
      <c r="D2187" s="89">
        <f>39270967-38223884</f>
        <v>1047083</v>
      </c>
      <c r="E2187" s="89"/>
      <c r="F2187" s="89" t="s">
        <v>95</v>
      </c>
      <c r="G2187" s="89">
        <f>39277956-38218852</f>
        <v>1059104</v>
      </c>
      <c r="H2187" s="42" t="s">
        <v>360</v>
      </c>
      <c r="I2187" s="103">
        <f>1059104-1047083</f>
        <v>12021</v>
      </c>
    </row>
    <row r="2188" spans="2:10" ht="15" x14ac:dyDescent="0.25">
      <c r="C2188" s="1"/>
      <c r="D2188" s="1"/>
      <c r="E2188" s="1"/>
      <c r="F2188" s="89" t="s">
        <v>192</v>
      </c>
      <c r="G2188" s="89"/>
      <c r="H2188" s="42"/>
      <c r="I2188" s="42"/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91"/>
  <sheetViews>
    <sheetView topLeftCell="A13" workbookViewId="0">
      <selection activeCell="B2" sqref="B2:H34"/>
    </sheetView>
  </sheetViews>
  <sheetFormatPr defaultRowHeight="14.25" x14ac:dyDescent="0.2"/>
  <cols>
    <col min="1" max="1" width="4.625" customWidth="1"/>
    <col min="3" max="3" width="14.625" customWidth="1"/>
    <col min="4" max="4" width="13.25" customWidth="1"/>
    <col min="5" max="5" width="9.125" bestFit="1" customWidth="1"/>
    <col min="6" max="6" width="9.25" bestFit="1" customWidth="1"/>
    <col min="7" max="7" width="13.625" customWidth="1"/>
    <col min="8" max="8" width="14.5" customWidth="1"/>
    <col min="9" max="9" width="13.875" customWidth="1"/>
  </cols>
  <sheetData>
    <row r="2" spans="1:12" ht="21" x14ac:dyDescent="0.35">
      <c r="A2" s="1"/>
      <c r="B2" s="1"/>
      <c r="C2" s="1"/>
      <c r="D2" s="177" t="s">
        <v>331</v>
      </c>
      <c r="E2" s="177"/>
      <c r="F2" s="177"/>
      <c r="G2" s="177"/>
      <c r="H2" s="1"/>
      <c r="I2" s="1"/>
      <c r="J2" s="1"/>
    </row>
    <row r="3" spans="1:12" ht="18" x14ac:dyDescent="0.25">
      <c r="A3" s="1"/>
      <c r="B3" s="1"/>
      <c r="C3" s="1"/>
      <c r="D3" s="61"/>
      <c r="E3" s="161">
        <v>44866</v>
      </c>
      <c r="H3" s="1"/>
      <c r="I3" s="1"/>
      <c r="J3" s="1"/>
    </row>
    <row r="4" spans="1:12" ht="1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107" t="s">
        <v>8</v>
      </c>
      <c r="J4" s="107" t="s">
        <v>2</v>
      </c>
    </row>
    <row r="5" spans="1:12" ht="15" x14ac:dyDescent="0.25">
      <c r="A5" s="1"/>
      <c r="B5" s="108" t="s">
        <v>343</v>
      </c>
      <c r="C5" s="162" t="s">
        <v>374</v>
      </c>
      <c r="D5" s="25">
        <v>1047083</v>
      </c>
      <c r="E5" s="162"/>
      <c r="F5" s="162"/>
      <c r="G5" s="25">
        <v>1047083</v>
      </c>
      <c r="H5" s="30"/>
      <c r="I5" s="107"/>
      <c r="J5" s="107"/>
    </row>
    <row r="6" spans="1:12" ht="15" x14ac:dyDescent="0.25">
      <c r="A6" s="1">
        <v>1</v>
      </c>
      <c r="B6" s="1" t="s">
        <v>344</v>
      </c>
      <c r="C6" s="32">
        <v>3344</v>
      </c>
      <c r="D6" s="1">
        <v>13000</v>
      </c>
      <c r="E6" s="1"/>
      <c r="F6" s="1">
        <v>144</v>
      </c>
      <c r="G6" s="1">
        <v>13000</v>
      </c>
      <c r="H6" s="5">
        <f t="shared" ref="H6:H69" si="0">D6-G6</f>
        <v>0</v>
      </c>
      <c r="I6" s="30">
        <v>200000</v>
      </c>
      <c r="J6" s="30" t="s">
        <v>344</v>
      </c>
      <c r="K6" s="51" t="s">
        <v>93</v>
      </c>
    </row>
    <row r="7" spans="1:12" ht="15" x14ac:dyDescent="0.25">
      <c r="A7" s="1">
        <v>2</v>
      </c>
      <c r="B7" s="1" t="s">
        <v>344</v>
      </c>
      <c r="C7" s="32">
        <v>8516</v>
      </c>
      <c r="D7" s="1">
        <v>13000</v>
      </c>
      <c r="E7" s="1"/>
      <c r="F7" s="1">
        <v>144</v>
      </c>
      <c r="G7" s="1">
        <v>13000</v>
      </c>
      <c r="H7" s="5">
        <f t="shared" si="0"/>
        <v>0</v>
      </c>
      <c r="I7" s="30">
        <v>200000</v>
      </c>
      <c r="J7" s="30" t="s">
        <v>345</v>
      </c>
      <c r="K7" s="51" t="s">
        <v>93</v>
      </c>
    </row>
    <row r="8" spans="1:12" ht="15" x14ac:dyDescent="0.25">
      <c r="A8" s="1">
        <v>3</v>
      </c>
      <c r="B8" s="1" t="s">
        <v>344</v>
      </c>
      <c r="C8" s="32">
        <v>1266</v>
      </c>
      <c r="D8" s="1">
        <v>13000</v>
      </c>
      <c r="E8" s="1"/>
      <c r="F8" s="1">
        <v>144</v>
      </c>
      <c r="G8" s="1">
        <v>13000</v>
      </c>
      <c r="H8" s="5">
        <f t="shared" si="0"/>
        <v>0</v>
      </c>
      <c r="I8" s="30">
        <v>200000</v>
      </c>
      <c r="J8" s="30" t="s">
        <v>346</v>
      </c>
      <c r="K8" s="51" t="s">
        <v>93</v>
      </c>
    </row>
    <row r="9" spans="1:12" ht="15" x14ac:dyDescent="0.25">
      <c r="A9" s="1">
        <v>4</v>
      </c>
      <c r="B9" s="1" t="s">
        <v>344</v>
      </c>
      <c r="C9" s="32">
        <v>3773</v>
      </c>
      <c r="D9" s="1">
        <v>13000</v>
      </c>
      <c r="E9" s="1"/>
      <c r="F9" s="1">
        <v>144</v>
      </c>
      <c r="G9" s="1">
        <v>13000</v>
      </c>
      <c r="H9" s="5">
        <f t="shared" si="0"/>
        <v>0</v>
      </c>
      <c r="I9" s="30">
        <v>200000</v>
      </c>
      <c r="J9" s="30" t="s">
        <v>347</v>
      </c>
      <c r="K9" s="51" t="s">
        <v>93</v>
      </c>
    </row>
    <row r="10" spans="1:12" ht="15" x14ac:dyDescent="0.25">
      <c r="A10" s="1">
        <v>5</v>
      </c>
      <c r="B10" s="1" t="s">
        <v>344</v>
      </c>
      <c r="C10" s="32">
        <v>5077</v>
      </c>
      <c r="D10" s="1">
        <v>10000</v>
      </c>
      <c r="E10" s="1"/>
      <c r="F10" s="1">
        <v>111</v>
      </c>
      <c r="G10" s="1">
        <v>10000</v>
      </c>
      <c r="H10" s="5">
        <f t="shared" si="0"/>
        <v>0</v>
      </c>
      <c r="I10" s="30">
        <v>200000</v>
      </c>
      <c r="J10" s="30" t="s">
        <v>348</v>
      </c>
      <c r="K10" s="51" t="s">
        <v>93</v>
      </c>
    </row>
    <row r="11" spans="1:12" ht="15" x14ac:dyDescent="0.25">
      <c r="A11" s="1">
        <v>6</v>
      </c>
      <c r="B11" s="1" t="s">
        <v>344</v>
      </c>
      <c r="C11" s="32" t="s">
        <v>30</v>
      </c>
      <c r="D11" s="1">
        <v>2000</v>
      </c>
      <c r="E11" s="1"/>
      <c r="F11" s="1">
        <v>22</v>
      </c>
      <c r="G11" s="1">
        <v>2000</v>
      </c>
      <c r="H11" s="5">
        <f t="shared" si="0"/>
        <v>0</v>
      </c>
      <c r="I11" s="30">
        <v>400000</v>
      </c>
      <c r="J11" s="30" t="s">
        <v>350</v>
      </c>
      <c r="K11" s="51" t="s">
        <v>93</v>
      </c>
      <c r="L11" s="40"/>
    </row>
    <row r="12" spans="1:12" ht="15" x14ac:dyDescent="0.25">
      <c r="A12" s="1">
        <v>7</v>
      </c>
      <c r="B12" s="1" t="s">
        <v>344</v>
      </c>
      <c r="C12" s="32">
        <v>4371</v>
      </c>
      <c r="D12" s="1">
        <v>12000</v>
      </c>
      <c r="E12" s="1"/>
      <c r="F12" s="1">
        <v>133</v>
      </c>
      <c r="G12" s="1">
        <v>12000</v>
      </c>
      <c r="H12" s="5">
        <f t="shared" si="0"/>
        <v>0</v>
      </c>
      <c r="I12" s="30">
        <v>400000</v>
      </c>
      <c r="J12" s="30" t="s">
        <v>352</v>
      </c>
      <c r="K12" s="51" t="s">
        <v>93</v>
      </c>
      <c r="L12" s="40"/>
    </row>
    <row r="13" spans="1:12" ht="15" x14ac:dyDescent="0.25">
      <c r="A13" s="1">
        <v>8</v>
      </c>
      <c r="B13" s="1" t="s">
        <v>344</v>
      </c>
      <c r="C13" s="32">
        <v>9544</v>
      </c>
      <c r="D13" s="1">
        <v>12000</v>
      </c>
      <c r="E13" s="1"/>
      <c r="F13" s="1">
        <v>133</v>
      </c>
      <c r="G13" s="1">
        <v>12000</v>
      </c>
      <c r="H13" s="5">
        <f t="shared" si="0"/>
        <v>0</v>
      </c>
      <c r="I13" s="30">
        <v>100000</v>
      </c>
      <c r="J13" s="30" t="s">
        <v>353</v>
      </c>
      <c r="K13" s="105" t="s">
        <v>93</v>
      </c>
      <c r="L13" s="51"/>
    </row>
    <row r="14" spans="1:12" ht="15" x14ac:dyDescent="0.25">
      <c r="A14" s="1">
        <v>9</v>
      </c>
      <c r="B14" s="1" t="s">
        <v>344</v>
      </c>
      <c r="C14" s="32" t="s">
        <v>30</v>
      </c>
      <c r="D14" s="1">
        <v>5000</v>
      </c>
      <c r="E14" s="1"/>
      <c r="F14" s="1">
        <v>50.13</v>
      </c>
      <c r="G14" s="1">
        <v>5000</v>
      </c>
      <c r="H14" s="5">
        <f t="shared" si="0"/>
        <v>0</v>
      </c>
      <c r="I14" s="30">
        <v>200000</v>
      </c>
      <c r="J14" s="30" t="s">
        <v>355</v>
      </c>
      <c r="K14" s="51" t="s">
        <v>93</v>
      </c>
    </row>
    <row r="15" spans="1:12" ht="15" x14ac:dyDescent="0.25">
      <c r="A15" s="1">
        <v>10</v>
      </c>
      <c r="B15" s="1" t="s">
        <v>344</v>
      </c>
      <c r="C15" s="32">
        <v>7744</v>
      </c>
      <c r="D15" s="1">
        <v>13000</v>
      </c>
      <c r="E15" s="1"/>
      <c r="F15" s="1">
        <v>144</v>
      </c>
      <c r="G15" s="1">
        <v>13000</v>
      </c>
      <c r="H15" s="5">
        <f t="shared" si="0"/>
        <v>0</v>
      </c>
      <c r="I15" s="30">
        <v>300000</v>
      </c>
      <c r="J15" s="30" t="s">
        <v>357</v>
      </c>
      <c r="K15" s="51" t="s">
        <v>93</v>
      </c>
    </row>
    <row r="16" spans="1:12" ht="15" x14ac:dyDescent="0.25">
      <c r="A16" s="1">
        <v>11</v>
      </c>
      <c r="B16" s="1" t="s">
        <v>344</v>
      </c>
      <c r="C16" s="32">
        <v>593</v>
      </c>
      <c r="D16" s="1">
        <v>25000</v>
      </c>
      <c r="E16" s="1"/>
      <c r="F16" s="1">
        <v>278</v>
      </c>
      <c r="G16" s="1">
        <v>25000</v>
      </c>
      <c r="H16" s="5">
        <f t="shared" si="0"/>
        <v>0</v>
      </c>
      <c r="I16" s="30">
        <v>300000</v>
      </c>
      <c r="J16" s="30" t="s">
        <v>359</v>
      </c>
      <c r="K16" s="51" t="s">
        <v>93</v>
      </c>
    </row>
    <row r="17" spans="1:13" ht="15" x14ac:dyDescent="0.25">
      <c r="A17" s="1">
        <v>12</v>
      </c>
      <c r="B17" s="1" t="s">
        <v>344</v>
      </c>
      <c r="C17" s="32">
        <v>476</v>
      </c>
      <c r="D17" s="1">
        <v>25000</v>
      </c>
      <c r="E17" s="1"/>
      <c r="F17" s="1">
        <v>278</v>
      </c>
      <c r="G17" s="1">
        <v>25000</v>
      </c>
      <c r="H17" s="5">
        <f t="shared" si="0"/>
        <v>0</v>
      </c>
      <c r="I17" s="30">
        <v>200000</v>
      </c>
      <c r="J17" s="30" t="s">
        <v>361</v>
      </c>
      <c r="K17" s="51" t="s">
        <v>93</v>
      </c>
    </row>
    <row r="18" spans="1:13" ht="15" x14ac:dyDescent="0.25">
      <c r="A18" s="1">
        <v>13</v>
      </c>
      <c r="B18" s="1" t="s">
        <v>344</v>
      </c>
      <c r="C18" s="32">
        <v>7958</v>
      </c>
      <c r="D18" s="1">
        <v>25000</v>
      </c>
      <c r="E18" s="1"/>
      <c r="F18" s="1">
        <v>278</v>
      </c>
      <c r="G18" s="1">
        <v>25000</v>
      </c>
      <c r="H18" s="5">
        <f t="shared" si="0"/>
        <v>0</v>
      </c>
      <c r="I18" s="30">
        <v>200000</v>
      </c>
      <c r="J18" s="30" t="s">
        <v>362</v>
      </c>
      <c r="K18" s="51" t="s">
        <v>93</v>
      </c>
    </row>
    <row r="19" spans="1:13" ht="15" x14ac:dyDescent="0.25">
      <c r="A19" s="1">
        <v>14</v>
      </c>
      <c r="B19" s="1" t="s">
        <v>344</v>
      </c>
      <c r="C19" s="32">
        <v>6742</v>
      </c>
      <c r="D19" s="1">
        <v>23000</v>
      </c>
      <c r="E19" s="1"/>
      <c r="F19" s="1">
        <v>256</v>
      </c>
      <c r="G19" s="1">
        <v>23000</v>
      </c>
      <c r="H19" s="5">
        <f t="shared" si="0"/>
        <v>0</v>
      </c>
      <c r="I19" s="30">
        <v>200000</v>
      </c>
      <c r="J19" s="30" t="s">
        <v>363</v>
      </c>
      <c r="K19" s="51" t="s">
        <v>93</v>
      </c>
    </row>
    <row r="20" spans="1:13" ht="15" x14ac:dyDescent="0.25">
      <c r="A20" s="1">
        <v>15</v>
      </c>
      <c r="B20" s="1" t="s">
        <v>344</v>
      </c>
      <c r="C20" s="32">
        <v>4490</v>
      </c>
      <c r="D20" s="1">
        <v>25000</v>
      </c>
      <c r="E20" s="1"/>
      <c r="F20" s="1">
        <v>278</v>
      </c>
      <c r="G20" s="1">
        <v>25000</v>
      </c>
      <c r="H20" s="5">
        <f t="shared" si="0"/>
        <v>0</v>
      </c>
      <c r="I20" s="30">
        <v>200000</v>
      </c>
      <c r="J20" s="30" t="s">
        <v>366</v>
      </c>
      <c r="K20" s="51" t="s">
        <v>93</v>
      </c>
    </row>
    <row r="21" spans="1:13" ht="15" x14ac:dyDescent="0.25">
      <c r="A21" s="1">
        <v>16</v>
      </c>
      <c r="B21" s="1" t="s">
        <v>344</v>
      </c>
      <c r="C21" s="32">
        <v>3389</v>
      </c>
      <c r="D21" s="1">
        <v>20000</v>
      </c>
      <c r="E21" s="1"/>
      <c r="F21" s="1">
        <v>239</v>
      </c>
      <c r="G21" s="1">
        <v>20000</v>
      </c>
      <c r="H21" s="5">
        <f t="shared" si="0"/>
        <v>0</v>
      </c>
      <c r="I21" s="30">
        <v>300000</v>
      </c>
      <c r="J21" s="30" t="s">
        <v>368</v>
      </c>
      <c r="K21" s="51" t="s">
        <v>93</v>
      </c>
    </row>
    <row r="22" spans="1:13" ht="15" x14ac:dyDescent="0.25">
      <c r="A22" s="1">
        <v>17</v>
      </c>
      <c r="B22" s="1" t="s">
        <v>345</v>
      </c>
      <c r="C22" s="32" t="s">
        <v>63</v>
      </c>
      <c r="D22" s="1">
        <v>3500</v>
      </c>
      <c r="E22" s="1"/>
      <c r="F22" s="1">
        <v>35.15</v>
      </c>
      <c r="G22" s="1">
        <v>3500</v>
      </c>
      <c r="H22" s="5">
        <f t="shared" si="0"/>
        <v>0</v>
      </c>
      <c r="I22" s="30">
        <v>200000</v>
      </c>
      <c r="J22" s="30" t="s">
        <v>369</v>
      </c>
      <c r="K22" s="51" t="s">
        <v>93</v>
      </c>
    </row>
    <row r="23" spans="1:13" ht="15" x14ac:dyDescent="0.25">
      <c r="A23" s="1">
        <v>18</v>
      </c>
      <c r="B23" s="1" t="s">
        <v>345</v>
      </c>
      <c r="C23" s="32" t="s">
        <v>30</v>
      </c>
      <c r="D23" s="1">
        <v>2000</v>
      </c>
      <c r="E23" s="1"/>
      <c r="F23" s="1">
        <v>22</v>
      </c>
      <c r="G23" s="1">
        <v>2000</v>
      </c>
      <c r="H23" s="5">
        <f t="shared" si="0"/>
        <v>0</v>
      </c>
      <c r="I23" s="30">
        <v>200000</v>
      </c>
      <c r="J23" s="30" t="s">
        <v>370</v>
      </c>
      <c r="K23" s="51" t="s">
        <v>93</v>
      </c>
    </row>
    <row r="24" spans="1:13" ht="15" x14ac:dyDescent="0.25">
      <c r="A24" s="1">
        <v>19</v>
      </c>
      <c r="B24" s="1" t="s">
        <v>345</v>
      </c>
      <c r="C24" s="32" t="s">
        <v>66</v>
      </c>
      <c r="D24" s="1">
        <v>200</v>
      </c>
      <c r="E24" s="1"/>
      <c r="F24" s="1">
        <v>2.12</v>
      </c>
      <c r="G24" s="1">
        <v>200</v>
      </c>
      <c r="H24" s="5">
        <f t="shared" si="0"/>
        <v>0</v>
      </c>
      <c r="I24" s="111">
        <v>21730</v>
      </c>
      <c r="J24" s="111" t="s">
        <v>371</v>
      </c>
      <c r="K24" s="112" t="s">
        <v>372</v>
      </c>
      <c r="L24" s="113"/>
      <c r="M24" s="113"/>
    </row>
    <row r="25" spans="1:13" ht="15" x14ac:dyDescent="0.25">
      <c r="A25" s="1">
        <v>20</v>
      </c>
      <c r="B25" s="1" t="s">
        <v>345</v>
      </c>
      <c r="C25" s="32">
        <v>3537</v>
      </c>
      <c r="D25" s="1">
        <v>25000</v>
      </c>
      <c r="E25" s="1"/>
      <c r="F25" s="1">
        <v>278</v>
      </c>
      <c r="G25" s="1">
        <v>25000</v>
      </c>
      <c r="H25" s="5">
        <f t="shared" si="0"/>
        <v>0</v>
      </c>
      <c r="I25" s="111">
        <v>63000</v>
      </c>
      <c r="J25" s="111" t="s">
        <v>371</v>
      </c>
      <c r="K25" s="112" t="s">
        <v>373</v>
      </c>
      <c r="L25" s="113"/>
      <c r="M25" s="113"/>
    </row>
    <row r="26" spans="1:13" ht="15" x14ac:dyDescent="0.25">
      <c r="A26" s="1">
        <v>21</v>
      </c>
      <c r="B26" s="1" t="s">
        <v>345</v>
      </c>
      <c r="C26" s="32" t="s">
        <v>30</v>
      </c>
      <c r="D26" s="1">
        <v>6000</v>
      </c>
      <c r="E26" s="1"/>
      <c r="F26" s="1">
        <v>66</v>
      </c>
      <c r="G26" s="1">
        <v>6000</v>
      </c>
      <c r="H26" s="5">
        <f t="shared" si="0"/>
        <v>0</v>
      </c>
      <c r="I26" s="30">
        <v>150000</v>
      </c>
      <c r="J26" s="30" t="s">
        <v>371</v>
      </c>
      <c r="K26" s="105" t="s">
        <v>93</v>
      </c>
      <c r="L26" s="51"/>
    </row>
    <row r="27" spans="1:13" ht="15" x14ac:dyDescent="0.25">
      <c r="A27" s="1">
        <v>22</v>
      </c>
      <c r="B27" s="1" t="s">
        <v>345</v>
      </c>
      <c r="C27" s="32">
        <v>0.20499999999999999</v>
      </c>
      <c r="D27" s="1">
        <v>25000</v>
      </c>
      <c r="E27" s="1"/>
      <c r="F27" s="1">
        <v>278</v>
      </c>
      <c r="G27" s="1">
        <v>25000</v>
      </c>
      <c r="H27" s="5">
        <f t="shared" si="0"/>
        <v>0</v>
      </c>
      <c r="I27" s="30">
        <v>100000</v>
      </c>
      <c r="J27" s="30" t="s">
        <v>375</v>
      </c>
    </row>
    <row r="28" spans="1:13" ht="15" x14ac:dyDescent="0.25">
      <c r="A28" s="1">
        <v>23</v>
      </c>
      <c r="B28" s="1" t="s">
        <v>345</v>
      </c>
      <c r="C28" s="32">
        <v>3223</v>
      </c>
      <c r="D28" s="1">
        <v>20000</v>
      </c>
      <c r="E28" s="1"/>
      <c r="F28" s="1">
        <v>239</v>
      </c>
      <c r="G28" s="1">
        <v>20000</v>
      </c>
      <c r="H28" s="5">
        <f t="shared" si="0"/>
        <v>0</v>
      </c>
      <c r="I28" s="30">
        <v>800000</v>
      </c>
      <c r="J28" s="30" t="s">
        <v>379</v>
      </c>
    </row>
    <row r="29" spans="1:13" ht="15" x14ac:dyDescent="0.25">
      <c r="A29" s="1">
        <v>24</v>
      </c>
      <c r="B29" s="1" t="s">
        <v>345</v>
      </c>
      <c r="C29" s="32">
        <v>4101</v>
      </c>
      <c r="D29" s="1">
        <v>13000</v>
      </c>
      <c r="E29" s="1"/>
      <c r="F29" s="1">
        <v>144</v>
      </c>
      <c r="G29" s="1">
        <v>13000</v>
      </c>
      <c r="H29" s="5">
        <f t="shared" si="0"/>
        <v>0</v>
      </c>
      <c r="I29" s="30">
        <v>100000</v>
      </c>
      <c r="J29" s="30" t="s">
        <v>380</v>
      </c>
    </row>
    <row r="30" spans="1:13" ht="15" x14ac:dyDescent="0.25">
      <c r="A30" s="1">
        <v>25</v>
      </c>
      <c r="B30" s="1" t="s">
        <v>345</v>
      </c>
      <c r="C30" s="32">
        <v>9057</v>
      </c>
      <c r="D30" s="1">
        <v>17000</v>
      </c>
      <c r="E30" s="1"/>
      <c r="F30" s="1">
        <v>189</v>
      </c>
      <c r="G30" s="1">
        <v>17000</v>
      </c>
      <c r="H30" s="5">
        <f t="shared" si="0"/>
        <v>0</v>
      </c>
      <c r="I30" s="30"/>
      <c r="J30" s="30"/>
      <c r="K30" s="51"/>
    </row>
    <row r="31" spans="1:13" x14ac:dyDescent="0.2">
      <c r="A31" s="1">
        <v>26</v>
      </c>
      <c r="B31" s="1" t="s">
        <v>345</v>
      </c>
      <c r="C31" s="32">
        <v>8282</v>
      </c>
      <c r="D31" s="1">
        <v>20000</v>
      </c>
      <c r="E31" s="1"/>
      <c r="F31" s="1">
        <v>222.82</v>
      </c>
      <c r="G31" s="1">
        <v>20000</v>
      </c>
      <c r="H31" s="5">
        <f t="shared" si="0"/>
        <v>0</v>
      </c>
      <c r="I31" s="1"/>
      <c r="J31" s="1"/>
    </row>
    <row r="32" spans="1:13" x14ac:dyDescent="0.2">
      <c r="A32" s="1">
        <v>27</v>
      </c>
      <c r="B32" s="1" t="s">
        <v>345</v>
      </c>
      <c r="C32" s="32">
        <v>3005</v>
      </c>
      <c r="D32" s="1">
        <v>25000</v>
      </c>
      <c r="E32" s="1"/>
      <c r="F32" s="1">
        <v>278</v>
      </c>
      <c r="G32" s="1">
        <v>25000</v>
      </c>
      <c r="H32" s="5">
        <f t="shared" si="0"/>
        <v>0</v>
      </c>
      <c r="I32" s="1"/>
      <c r="J32" s="1"/>
    </row>
    <row r="33" spans="1:10" x14ac:dyDescent="0.2">
      <c r="A33" s="1">
        <v>28</v>
      </c>
      <c r="B33" s="1" t="s">
        <v>345</v>
      </c>
      <c r="C33" s="32">
        <v>504</v>
      </c>
      <c r="D33" s="1">
        <v>13000</v>
      </c>
      <c r="E33" s="1"/>
      <c r="F33" s="1">
        <v>144</v>
      </c>
      <c r="G33" s="1">
        <v>13000</v>
      </c>
      <c r="H33" s="5">
        <f t="shared" si="0"/>
        <v>0</v>
      </c>
      <c r="I33" s="1"/>
      <c r="J33" s="1"/>
    </row>
    <row r="34" spans="1:10" x14ac:dyDescent="0.2">
      <c r="A34" s="1">
        <v>29</v>
      </c>
      <c r="B34" s="1" t="s">
        <v>345</v>
      </c>
      <c r="C34" s="32">
        <v>8094</v>
      </c>
      <c r="D34" s="1">
        <v>24000</v>
      </c>
      <c r="E34" s="1"/>
      <c r="F34" s="1">
        <v>267</v>
      </c>
      <c r="G34" s="1">
        <v>24000</v>
      </c>
      <c r="H34" s="5">
        <f t="shared" si="0"/>
        <v>0</v>
      </c>
      <c r="I34" s="1"/>
      <c r="J34" s="1"/>
    </row>
    <row r="35" spans="1:10" x14ac:dyDescent="0.2">
      <c r="A35" s="1">
        <v>30</v>
      </c>
      <c r="B35" s="1" t="s">
        <v>345</v>
      </c>
      <c r="C35" s="32">
        <v>2232</v>
      </c>
      <c r="D35" s="1">
        <v>12000</v>
      </c>
      <c r="E35" s="1"/>
      <c r="F35" s="1">
        <v>133</v>
      </c>
      <c r="G35" s="1">
        <v>12000</v>
      </c>
      <c r="H35" s="5">
        <f t="shared" si="0"/>
        <v>0</v>
      </c>
      <c r="I35" s="1"/>
      <c r="J35" s="1"/>
    </row>
    <row r="36" spans="1:10" x14ac:dyDescent="0.2">
      <c r="A36" s="1">
        <v>31</v>
      </c>
      <c r="B36" s="1" t="s">
        <v>346</v>
      </c>
      <c r="C36" s="32">
        <v>8125</v>
      </c>
      <c r="D36" s="1">
        <v>20000</v>
      </c>
      <c r="E36" s="1"/>
      <c r="F36" s="1">
        <v>222.82</v>
      </c>
      <c r="G36" s="1">
        <v>20000</v>
      </c>
      <c r="H36" s="5">
        <f t="shared" si="0"/>
        <v>0</v>
      </c>
      <c r="I36" s="1"/>
      <c r="J36" s="1"/>
    </row>
    <row r="37" spans="1:10" x14ac:dyDescent="0.2">
      <c r="A37" s="1">
        <v>32</v>
      </c>
      <c r="B37" s="1" t="s">
        <v>346</v>
      </c>
      <c r="C37" s="32">
        <v>4757</v>
      </c>
      <c r="D37" s="1">
        <v>20000</v>
      </c>
      <c r="E37" s="1"/>
      <c r="F37" s="1">
        <v>222.82</v>
      </c>
      <c r="G37" s="1">
        <v>20000</v>
      </c>
      <c r="H37" s="5">
        <f t="shared" si="0"/>
        <v>0</v>
      </c>
      <c r="I37" s="1"/>
      <c r="J37" s="1"/>
    </row>
    <row r="38" spans="1:10" x14ac:dyDescent="0.2">
      <c r="A38" s="1">
        <v>33</v>
      </c>
      <c r="B38" s="1" t="s">
        <v>346</v>
      </c>
      <c r="C38" s="32">
        <v>6538</v>
      </c>
      <c r="D38" s="1">
        <v>12000</v>
      </c>
      <c r="E38" s="1"/>
      <c r="F38" s="1">
        <v>133</v>
      </c>
      <c r="G38" s="1">
        <v>12000</v>
      </c>
      <c r="H38" s="5">
        <f t="shared" si="0"/>
        <v>0</v>
      </c>
      <c r="I38" s="1"/>
      <c r="J38" s="1"/>
    </row>
    <row r="39" spans="1:10" x14ac:dyDescent="0.2">
      <c r="A39" s="1">
        <v>34</v>
      </c>
      <c r="B39" s="1" t="s">
        <v>346</v>
      </c>
      <c r="C39" s="32">
        <v>6768</v>
      </c>
      <c r="D39" s="1">
        <v>20000</v>
      </c>
      <c r="E39" s="1"/>
      <c r="F39" s="1">
        <v>222.82</v>
      </c>
      <c r="G39" s="1">
        <v>20000</v>
      </c>
      <c r="H39" s="5">
        <f t="shared" si="0"/>
        <v>0</v>
      </c>
      <c r="I39" s="1"/>
      <c r="J39" s="1"/>
    </row>
    <row r="40" spans="1:10" x14ac:dyDescent="0.2">
      <c r="A40" s="1">
        <v>35</v>
      </c>
      <c r="B40" s="1" t="s">
        <v>346</v>
      </c>
      <c r="C40" s="32">
        <v>9844</v>
      </c>
      <c r="D40" s="1">
        <v>22000</v>
      </c>
      <c r="E40" s="1"/>
      <c r="F40" s="1">
        <v>233</v>
      </c>
      <c r="G40" s="1">
        <v>22000</v>
      </c>
      <c r="H40" s="5">
        <f t="shared" si="0"/>
        <v>0</v>
      </c>
      <c r="I40" s="1"/>
      <c r="J40" s="1"/>
    </row>
    <row r="41" spans="1:10" x14ac:dyDescent="0.2">
      <c r="A41" s="1">
        <v>36</v>
      </c>
      <c r="B41" s="1" t="s">
        <v>346</v>
      </c>
      <c r="C41" s="32">
        <v>5400</v>
      </c>
      <c r="D41" s="1">
        <v>12000</v>
      </c>
      <c r="E41" s="1"/>
      <c r="F41" s="1">
        <v>133</v>
      </c>
      <c r="G41" s="1">
        <v>12000</v>
      </c>
      <c r="H41" s="5">
        <f t="shared" si="0"/>
        <v>0</v>
      </c>
      <c r="I41" s="1"/>
      <c r="J41" s="1"/>
    </row>
    <row r="42" spans="1:10" x14ac:dyDescent="0.2">
      <c r="A42" s="1">
        <v>37</v>
      </c>
      <c r="B42" s="1" t="s">
        <v>346</v>
      </c>
      <c r="C42" s="32">
        <v>8592</v>
      </c>
      <c r="D42" s="1">
        <v>24000</v>
      </c>
      <c r="E42" s="1"/>
      <c r="F42" s="1">
        <v>267</v>
      </c>
      <c r="G42" s="1">
        <v>24000</v>
      </c>
      <c r="H42" s="5">
        <f t="shared" si="0"/>
        <v>0</v>
      </c>
      <c r="I42" s="1"/>
      <c r="J42" s="1"/>
    </row>
    <row r="43" spans="1:10" x14ac:dyDescent="0.2">
      <c r="A43" s="1">
        <v>38</v>
      </c>
      <c r="B43" s="1" t="s">
        <v>347</v>
      </c>
      <c r="C43" s="32">
        <v>9616</v>
      </c>
      <c r="D43" s="1">
        <v>13000</v>
      </c>
      <c r="E43" s="1"/>
      <c r="F43" s="1">
        <v>144</v>
      </c>
      <c r="G43" s="1">
        <v>13000</v>
      </c>
      <c r="H43" s="5">
        <f t="shared" si="0"/>
        <v>0</v>
      </c>
      <c r="I43" s="1"/>
      <c r="J43" s="1"/>
    </row>
    <row r="44" spans="1:10" x14ac:dyDescent="0.2">
      <c r="A44" s="1">
        <v>39</v>
      </c>
      <c r="B44" s="1" t="s">
        <v>347</v>
      </c>
      <c r="C44" s="32">
        <v>1266</v>
      </c>
      <c r="D44" s="1">
        <v>13000</v>
      </c>
      <c r="E44" s="1"/>
      <c r="F44" s="1">
        <v>144</v>
      </c>
      <c r="G44" s="1">
        <v>13000</v>
      </c>
      <c r="H44" s="5">
        <f t="shared" si="0"/>
        <v>0</v>
      </c>
      <c r="I44" s="1"/>
      <c r="J44" s="1"/>
    </row>
    <row r="45" spans="1:10" x14ac:dyDescent="0.2">
      <c r="A45" s="1">
        <v>40</v>
      </c>
      <c r="B45" s="1" t="s">
        <v>347</v>
      </c>
      <c r="C45" s="32">
        <v>2244</v>
      </c>
      <c r="D45" s="1">
        <v>14000</v>
      </c>
      <c r="E45" s="1"/>
      <c r="F45" s="1">
        <v>155</v>
      </c>
      <c r="G45" s="1">
        <v>14000</v>
      </c>
      <c r="H45" s="5">
        <f t="shared" si="0"/>
        <v>0</v>
      </c>
      <c r="I45" s="1"/>
      <c r="J45" s="1"/>
    </row>
    <row r="46" spans="1:10" x14ac:dyDescent="0.2">
      <c r="A46" s="1">
        <v>41</v>
      </c>
      <c r="B46" s="1" t="s">
        <v>347</v>
      </c>
      <c r="C46" s="32" t="s">
        <v>30</v>
      </c>
      <c r="D46" s="1">
        <v>4000</v>
      </c>
      <c r="E46" s="1"/>
      <c r="F46" s="1">
        <v>44</v>
      </c>
      <c r="G46" s="1">
        <v>4000</v>
      </c>
      <c r="H46" s="5">
        <f t="shared" si="0"/>
        <v>0</v>
      </c>
      <c r="I46" s="1"/>
      <c r="J46" s="1"/>
    </row>
    <row r="47" spans="1:10" x14ac:dyDescent="0.2">
      <c r="A47" s="1">
        <v>42</v>
      </c>
      <c r="B47" s="1" t="s">
        <v>347</v>
      </c>
      <c r="C47" s="32">
        <v>7479</v>
      </c>
      <c r="D47" s="1">
        <v>20000</v>
      </c>
      <c r="E47" s="1"/>
      <c r="F47" s="1">
        <v>222.82</v>
      </c>
      <c r="G47" s="1">
        <v>20000</v>
      </c>
      <c r="H47" s="5">
        <f t="shared" si="0"/>
        <v>0</v>
      </c>
      <c r="I47" s="1"/>
      <c r="J47" s="1"/>
    </row>
    <row r="48" spans="1:10" x14ac:dyDescent="0.2">
      <c r="A48" s="1">
        <v>43</v>
      </c>
      <c r="B48" s="1" t="s">
        <v>347</v>
      </c>
      <c r="C48" s="32">
        <v>1616</v>
      </c>
      <c r="D48" s="1">
        <v>13000</v>
      </c>
      <c r="E48" s="1"/>
      <c r="F48" s="1">
        <v>144</v>
      </c>
      <c r="G48" s="1">
        <v>13000</v>
      </c>
      <c r="H48" s="5">
        <f t="shared" si="0"/>
        <v>0</v>
      </c>
      <c r="I48" s="1"/>
      <c r="J48" s="1"/>
    </row>
    <row r="49" spans="1:10" x14ac:dyDescent="0.2">
      <c r="A49" s="1">
        <v>44</v>
      </c>
      <c r="B49" s="1" t="s">
        <v>347</v>
      </c>
      <c r="C49" s="32">
        <v>1593</v>
      </c>
      <c r="D49" s="1">
        <v>12000</v>
      </c>
      <c r="E49" s="1"/>
      <c r="F49" s="1">
        <v>133</v>
      </c>
      <c r="G49" s="1">
        <v>12000</v>
      </c>
      <c r="H49" s="5">
        <f t="shared" si="0"/>
        <v>0</v>
      </c>
      <c r="I49" s="1"/>
      <c r="J49" s="1"/>
    </row>
    <row r="50" spans="1:10" x14ac:dyDescent="0.2">
      <c r="A50" s="1">
        <v>45</v>
      </c>
      <c r="B50" s="1" t="s">
        <v>347</v>
      </c>
      <c r="C50" s="32">
        <v>9544</v>
      </c>
      <c r="D50" s="1">
        <v>12000</v>
      </c>
      <c r="E50" s="1"/>
      <c r="F50" s="1">
        <v>133</v>
      </c>
      <c r="G50" s="1">
        <v>12000</v>
      </c>
      <c r="H50" s="5">
        <f t="shared" si="0"/>
        <v>0</v>
      </c>
      <c r="I50" s="1"/>
      <c r="J50" s="1"/>
    </row>
    <row r="51" spans="1:10" x14ac:dyDescent="0.2">
      <c r="A51" s="1">
        <v>46</v>
      </c>
      <c r="B51" s="1" t="s">
        <v>347</v>
      </c>
      <c r="C51" s="32">
        <v>4371</v>
      </c>
      <c r="D51" s="1">
        <v>12000</v>
      </c>
      <c r="E51" s="1"/>
      <c r="F51" s="1">
        <v>133</v>
      </c>
      <c r="G51" s="1">
        <v>12000</v>
      </c>
      <c r="H51" s="5">
        <f t="shared" si="0"/>
        <v>0</v>
      </c>
      <c r="I51" s="1"/>
      <c r="J51" s="1"/>
    </row>
    <row r="52" spans="1:10" x14ac:dyDescent="0.2">
      <c r="A52" s="1">
        <v>47</v>
      </c>
      <c r="B52" s="1" t="s">
        <v>347</v>
      </c>
      <c r="C52" s="32">
        <v>2705</v>
      </c>
      <c r="D52" s="1">
        <v>12000</v>
      </c>
      <c r="E52" s="1"/>
      <c r="F52" s="1">
        <v>133</v>
      </c>
      <c r="G52" s="1">
        <v>12000</v>
      </c>
      <c r="H52" s="5">
        <f t="shared" si="0"/>
        <v>0</v>
      </c>
      <c r="I52" s="1"/>
      <c r="J52" s="1"/>
    </row>
    <row r="53" spans="1:10" x14ac:dyDescent="0.2">
      <c r="A53" s="1">
        <v>48</v>
      </c>
      <c r="B53" s="1" t="s">
        <v>347</v>
      </c>
      <c r="C53" s="32">
        <v>7282</v>
      </c>
      <c r="D53" s="1">
        <v>20000</v>
      </c>
      <c r="E53" s="1"/>
      <c r="F53" s="1">
        <v>222.82</v>
      </c>
      <c r="G53" s="1">
        <v>20000</v>
      </c>
      <c r="H53" s="5">
        <f t="shared" si="0"/>
        <v>0</v>
      </c>
      <c r="I53" s="1"/>
      <c r="J53" s="1"/>
    </row>
    <row r="54" spans="1:10" x14ac:dyDescent="0.2">
      <c r="A54" s="1">
        <v>50</v>
      </c>
      <c r="B54" s="1" t="s">
        <v>347</v>
      </c>
      <c r="C54" s="32">
        <v>3809</v>
      </c>
      <c r="D54" s="1">
        <v>15000</v>
      </c>
      <c r="E54" s="1"/>
      <c r="F54" s="1">
        <v>167.33</v>
      </c>
      <c r="G54" s="1">
        <v>15000</v>
      </c>
      <c r="H54" s="5">
        <f t="shared" si="0"/>
        <v>0</v>
      </c>
      <c r="I54" s="1"/>
      <c r="J54" s="1"/>
    </row>
    <row r="55" spans="1:10" x14ac:dyDescent="0.2">
      <c r="A55" s="1">
        <v>51</v>
      </c>
      <c r="B55" s="1" t="s">
        <v>347</v>
      </c>
      <c r="C55" s="32">
        <v>9345</v>
      </c>
      <c r="D55" s="1">
        <v>15000</v>
      </c>
      <c r="E55" s="1"/>
      <c r="F55" s="1">
        <v>167.33</v>
      </c>
      <c r="G55" s="1">
        <v>15000</v>
      </c>
      <c r="H55" s="5">
        <f t="shared" si="0"/>
        <v>0</v>
      </c>
      <c r="I55" s="1"/>
      <c r="J55" s="1"/>
    </row>
    <row r="56" spans="1:10" x14ac:dyDescent="0.2">
      <c r="A56" s="1">
        <v>52</v>
      </c>
      <c r="B56" s="1" t="s">
        <v>347</v>
      </c>
      <c r="C56" s="32">
        <v>3948</v>
      </c>
      <c r="D56" s="1">
        <v>22000</v>
      </c>
      <c r="E56" s="1"/>
      <c r="F56" s="1">
        <v>272</v>
      </c>
      <c r="G56" s="1">
        <v>22000</v>
      </c>
      <c r="H56" s="5">
        <f t="shared" si="0"/>
        <v>0</v>
      </c>
      <c r="I56" s="1"/>
      <c r="J56" s="1"/>
    </row>
    <row r="57" spans="1:10" x14ac:dyDescent="0.2">
      <c r="A57" s="1">
        <v>53</v>
      </c>
      <c r="B57" s="1" t="s">
        <v>347</v>
      </c>
      <c r="C57" s="32">
        <v>6489</v>
      </c>
      <c r="D57" s="1">
        <v>10000</v>
      </c>
      <c r="E57" s="1"/>
      <c r="F57" s="1">
        <v>111</v>
      </c>
      <c r="G57" s="1">
        <v>10000</v>
      </c>
      <c r="H57" s="5">
        <f t="shared" si="0"/>
        <v>0</v>
      </c>
      <c r="I57" s="1"/>
      <c r="J57" s="1"/>
    </row>
    <row r="58" spans="1:10" x14ac:dyDescent="0.2">
      <c r="A58" s="1">
        <v>54</v>
      </c>
      <c r="B58" s="1" t="s">
        <v>347</v>
      </c>
      <c r="C58" s="32">
        <v>4579</v>
      </c>
      <c r="D58" s="1">
        <v>17000</v>
      </c>
      <c r="E58" s="1"/>
      <c r="F58" s="1">
        <v>189</v>
      </c>
      <c r="G58" s="1">
        <v>17000</v>
      </c>
      <c r="H58" s="5">
        <f t="shared" si="0"/>
        <v>0</v>
      </c>
      <c r="I58" s="1"/>
      <c r="J58" s="1"/>
    </row>
    <row r="59" spans="1:10" x14ac:dyDescent="0.2">
      <c r="A59" s="1">
        <v>55</v>
      </c>
      <c r="B59" s="1" t="s">
        <v>347</v>
      </c>
      <c r="C59" s="32">
        <v>8784</v>
      </c>
      <c r="D59" s="1">
        <v>30000</v>
      </c>
      <c r="E59" s="1"/>
      <c r="F59" s="1">
        <v>334</v>
      </c>
      <c r="G59" s="1">
        <v>30000</v>
      </c>
      <c r="H59" s="5">
        <f t="shared" si="0"/>
        <v>0</v>
      </c>
      <c r="I59" s="1"/>
      <c r="J59" s="1"/>
    </row>
    <row r="60" spans="1:10" x14ac:dyDescent="0.2">
      <c r="A60" s="1">
        <v>56</v>
      </c>
      <c r="B60" s="1" t="s">
        <v>347</v>
      </c>
      <c r="C60" s="32">
        <v>8495</v>
      </c>
      <c r="D60" s="1">
        <v>10000</v>
      </c>
      <c r="E60" s="1"/>
      <c r="F60" s="1">
        <v>111</v>
      </c>
      <c r="G60" s="1">
        <v>10000</v>
      </c>
      <c r="H60" s="5">
        <f t="shared" si="0"/>
        <v>0</v>
      </c>
      <c r="I60" s="1"/>
      <c r="J60" s="1"/>
    </row>
    <row r="61" spans="1:10" x14ac:dyDescent="0.2">
      <c r="A61" s="1">
        <v>57</v>
      </c>
      <c r="B61" s="1" t="s">
        <v>347</v>
      </c>
      <c r="C61" s="32">
        <v>3937</v>
      </c>
      <c r="D61" s="1">
        <v>10000</v>
      </c>
      <c r="E61" s="1"/>
      <c r="F61" s="1">
        <v>111</v>
      </c>
      <c r="G61" s="1">
        <v>10000</v>
      </c>
      <c r="H61" s="5">
        <f t="shared" si="0"/>
        <v>0</v>
      </c>
      <c r="I61" s="1"/>
      <c r="J61" s="1"/>
    </row>
    <row r="62" spans="1:10" x14ac:dyDescent="0.2">
      <c r="A62" s="1">
        <v>58</v>
      </c>
      <c r="B62" s="1" t="s">
        <v>347</v>
      </c>
      <c r="C62" s="32">
        <v>3972</v>
      </c>
      <c r="D62" s="1">
        <v>10000</v>
      </c>
      <c r="E62" s="1"/>
      <c r="F62" s="1">
        <v>111</v>
      </c>
      <c r="G62" s="1">
        <v>10000</v>
      </c>
      <c r="H62" s="5">
        <f t="shared" si="0"/>
        <v>0</v>
      </c>
      <c r="I62" s="1"/>
      <c r="J62" s="1"/>
    </row>
    <row r="63" spans="1:10" x14ac:dyDescent="0.2">
      <c r="A63" s="1">
        <v>59</v>
      </c>
      <c r="B63" s="1" t="s">
        <v>348</v>
      </c>
      <c r="C63" s="32" t="s">
        <v>30</v>
      </c>
      <c r="D63" s="1">
        <v>5000</v>
      </c>
      <c r="E63" s="1"/>
      <c r="F63" s="1">
        <v>55.13</v>
      </c>
      <c r="G63" s="1">
        <v>5000</v>
      </c>
      <c r="H63" s="5">
        <f t="shared" si="0"/>
        <v>0</v>
      </c>
      <c r="I63" s="1"/>
      <c r="J63" s="1"/>
    </row>
    <row r="64" spans="1:10" x14ac:dyDescent="0.2">
      <c r="A64" s="1">
        <v>60</v>
      </c>
      <c r="B64" s="1" t="s">
        <v>348</v>
      </c>
      <c r="C64" s="32">
        <v>3007</v>
      </c>
      <c r="D64" s="1">
        <v>17000</v>
      </c>
      <c r="E64" s="1"/>
      <c r="F64" s="1">
        <v>189</v>
      </c>
      <c r="G64" s="1">
        <v>17000</v>
      </c>
      <c r="H64" s="5">
        <f t="shared" si="0"/>
        <v>0</v>
      </c>
      <c r="I64" s="1"/>
      <c r="J64" s="1"/>
    </row>
    <row r="65" spans="1:10" x14ac:dyDescent="0.2">
      <c r="A65" s="1">
        <v>61</v>
      </c>
      <c r="B65" s="1" t="s">
        <v>348</v>
      </c>
      <c r="C65" s="32">
        <v>6349</v>
      </c>
      <c r="D65" s="1">
        <v>12000</v>
      </c>
      <c r="E65" s="1"/>
      <c r="F65" s="1">
        <v>133</v>
      </c>
      <c r="G65" s="1">
        <v>12000</v>
      </c>
      <c r="H65" s="5">
        <f t="shared" si="0"/>
        <v>0</v>
      </c>
      <c r="I65" s="1"/>
      <c r="J65" s="1"/>
    </row>
    <row r="66" spans="1:10" x14ac:dyDescent="0.2">
      <c r="A66" s="1">
        <v>62</v>
      </c>
      <c r="B66" s="1" t="s">
        <v>348</v>
      </c>
      <c r="C66" s="32">
        <v>321</v>
      </c>
      <c r="D66" s="1">
        <v>15000</v>
      </c>
      <c r="E66" s="1"/>
      <c r="F66" s="1">
        <v>167</v>
      </c>
      <c r="G66" s="1">
        <v>15000</v>
      </c>
      <c r="H66" s="5">
        <f t="shared" si="0"/>
        <v>0</v>
      </c>
      <c r="I66" s="1"/>
      <c r="J66" s="1"/>
    </row>
    <row r="67" spans="1:10" x14ac:dyDescent="0.2">
      <c r="A67" s="1">
        <v>63</v>
      </c>
      <c r="B67" s="1" t="s">
        <v>348</v>
      </c>
      <c r="C67" s="32">
        <v>2858</v>
      </c>
      <c r="D67" s="1">
        <v>25000</v>
      </c>
      <c r="E67" s="1"/>
      <c r="F67" s="1">
        <v>278</v>
      </c>
      <c r="G67" s="1">
        <v>25000</v>
      </c>
      <c r="H67" s="5">
        <f t="shared" si="0"/>
        <v>0</v>
      </c>
      <c r="I67" s="1"/>
      <c r="J67" s="1"/>
    </row>
    <row r="68" spans="1:10" x14ac:dyDescent="0.2">
      <c r="A68" s="1">
        <v>64</v>
      </c>
      <c r="B68" s="1" t="s">
        <v>348</v>
      </c>
      <c r="C68" s="32">
        <v>9531</v>
      </c>
      <c r="D68" s="1">
        <v>15000</v>
      </c>
      <c r="E68" s="1"/>
      <c r="F68" s="1">
        <v>167.33</v>
      </c>
      <c r="G68" s="1">
        <v>15000</v>
      </c>
      <c r="H68" s="5">
        <f t="shared" si="0"/>
        <v>0</v>
      </c>
      <c r="I68" s="1"/>
      <c r="J68" s="1"/>
    </row>
    <row r="69" spans="1:10" x14ac:dyDescent="0.2">
      <c r="A69" s="1">
        <v>65</v>
      </c>
      <c r="B69" s="1" t="s">
        <v>348</v>
      </c>
      <c r="C69" s="32">
        <v>7647</v>
      </c>
      <c r="D69" s="1">
        <v>25000</v>
      </c>
      <c r="E69" s="1"/>
      <c r="F69" s="1">
        <v>278</v>
      </c>
      <c r="G69" s="1">
        <v>25000</v>
      </c>
      <c r="H69" s="5">
        <f t="shared" si="0"/>
        <v>0</v>
      </c>
      <c r="I69" s="1"/>
      <c r="J69" s="1"/>
    </row>
    <row r="70" spans="1:10" x14ac:dyDescent="0.2">
      <c r="A70" s="1">
        <v>66</v>
      </c>
      <c r="B70" s="1" t="s">
        <v>348</v>
      </c>
      <c r="C70" s="32">
        <v>5485</v>
      </c>
      <c r="D70" s="1">
        <v>27000</v>
      </c>
      <c r="E70" s="1"/>
      <c r="F70" s="1">
        <v>295</v>
      </c>
      <c r="G70" s="1">
        <v>27000</v>
      </c>
      <c r="H70" s="5">
        <f t="shared" ref="H70:H133" si="1">D70-G70</f>
        <v>0</v>
      </c>
      <c r="I70" s="1"/>
      <c r="J70" s="1"/>
    </row>
    <row r="71" spans="1:10" x14ac:dyDescent="0.2">
      <c r="A71" s="1">
        <v>67</v>
      </c>
      <c r="B71" s="1" t="s">
        <v>348</v>
      </c>
      <c r="C71" s="32">
        <v>7375</v>
      </c>
      <c r="D71" s="1">
        <v>20000</v>
      </c>
      <c r="E71" s="1"/>
      <c r="F71" s="1">
        <v>222.82</v>
      </c>
      <c r="G71" s="1">
        <v>20000</v>
      </c>
      <c r="H71" s="5">
        <f t="shared" si="1"/>
        <v>0</v>
      </c>
      <c r="I71" s="1"/>
      <c r="J71" s="1"/>
    </row>
    <row r="72" spans="1:10" x14ac:dyDescent="0.2">
      <c r="A72" s="1">
        <v>68</v>
      </c>
      <c r="B72" s="1" t="s">
        <v>348</v>
      </c>
      <c r="C72" s="32">
        <v>949</v>
      </c>
      <c r="D72" s="1">
        <v>20000</v>
      </c>
      <c r="E72" s="1"/>
      <c r="F72" s="1">
        <v>222.82</v>
      </c>
      <c r="G72" s="1">
        <v>20000</v>
      </c>
      <c r="H72" s="5">
        <f t="shared" si="1"/>
        <v>0</v>
      </c>
      <c r="I72" s="1"/>
      <c r="J72" s="1"/>
    </row>
    <row r="73" spans="1:10" x14ac:dyDescent="0.2">
      <c r="A73" s="1">
        <v>69</v>
      </c>
      <c r="B73" s="1" t="s">
        <v>348</v>
      </c>
      <c r="C73" s="32">
        <v>8399</v>
      </c>
      <c r="D73" s="1">
        <v>10000</v>
      </c>
      <c r="E73" s="1"/>
      <c r="F73" s="1">
        <v>111</v>
      </c>
      <c r="G73" s="1">
        <v>10000</v>
      </c>
      <c r="H73" s="5">
        <f t="shared" si="1"/>
        <v>0</v>
      </c>
      <c r="I73" s="1"/>
      <c r="J73" s="1"/>
    </row>
    <row r="74" spans="1:10" x14ac:dyDescent="0.2">
      <c r="A74" s="1">
        <v>70</v>
      </c>
      <c r="B74" s="1" t="s">
        <v>348</v>
      </c>
      <c r="C74" s="32">
        <v>8327</v>
      </c>
      <c r="D74" s="1">
        <v>18000</v>
      </c>
      <c r="E74" s="1"/>
      <c r="F74" s="1">
        <v>200</v>
      </c>
      <c r="G74" s="1">
        <v>18000</v>
      </c>
      <c r="H74" s="5">
        <f t="shared" si="1"/>
        <v>0</v>
      </c>
      <c r="I74" s="1"/>
      <c r="J74" s="1"/>
    </row>
    <row r="75" spans="1:10" x14ac:dyDescent="0.2">
      <c r="A75" s="1">
        <v>71</v>
      </c>
      <c r="B75" s="1" t="s">
        <v>348</v>
      </c>
      <c r="C75" s="32">
        <v>9455</v>
      </c>
      <c r="D75" s="1">
        <v>18000</v>
      </c>
      <c r="E75" s="1"/>
      <c r="F75" s="1">
        <v>200</v>
      </c>
      <c r="G75" s="1">
        <v>18000</v>
      </c>
      <c r="H75" s="5">
        <f t="shared" si="1"/>
        <v>0</v>
      </c>
      <c r="I75" s="1"/>
      <c r="J75" s="1"/>
    </row>
    <row r="76" spans="1:10" x14ac:dyDescent="0.2">
      <c r="A76" s="1">
        <v>72</v>
      </c>
      <c r="B76" s="1" t="s">
        <v>348</v>
      </c>
      <c r="C76" s="32">
        <v>1337</v>
      </c>
      <c r="D76" s="1">
        <v>18000</v>
      </c>
      <c r="E76" s="1"/>
      <c r="F76" s="1">
        <v>200</v>
      </c>
      <c r="G76" s="1">
        <v>18000</v>
      </c>
      <c r="H76" s="5">
        <f t="shared" si="1"/>
        <v>0</v>
      </c>
      <c r="I76" s="1"/>
      <c r="J76" s="1"/>
    </row>
    <row r="77" spans="1:10" x14ac:dyDescent="0.2">
      <c r="A77" s="1">
        <v>73</v>
      </c>
      <c r="B77" s="1" t="s">
        <v>348</v>
      </c>
      <c r="C77" s="32" t="s">
        <v>66</v>
      </c>
      <c r="D77" s="1">
        <v>210</v>
      </c>
      <c r="E77" s="1"/>
      <c r="F77" s="1">
        <v>2.08</v>
      </c>
      <c r="G77" s="1">
        <v>210</v>
      </c>
      <c r="H77" s="5">
        <f t="shared" si="1"/>
        <v>0</v>
      </c>
      <c r="I77" s="1"/>
      <c r="J77" s="1"/>
    </row>
    <row r="78" spans="1:10" x14ac:dyDescent="0.2">
      <c r="A78" s="1">
        <v>74</v>
      </c>
      <c r="B78" s="1" t="s">
        <v>348</v>
      </c>
      <c r="C78" s="32">
        <v>117</v>
      </c>
      <c r="D78" s="1">
        <v>24000</v>
      </c>
      <c r="E78" s="1"/>
      <c r="F78" s="1">
        <v>267</v>
      </c>
      <c r="G78" s="1">
        <v>24000</v>
      </c>
      <c r="H78" s="5">
        <f t="shared" si="1"/>
        <v>0</v>
      </c>
      <c r="I78" s="1"/>
      <c r="J78" s="1"/>
    </row>
    <row r="79" spans="1:10" x14ac:dyDescent="0.2">
      <c r="A79" s="1">
        <v>75</v>
      </c>
      <c r="B79" s="1" t="s">
        <v>348</v>
      </c>
      <c r="C79" s="32">
        <v>2085</v>
      </c>
      <c r="D79" s="1">
        <v>24000</v>
      </c>
      <c r="E79" s="1"/>
      <c r="F79" s="1">
        <v>267</v>
      </c>
      <c r="G79" s="1">
        <v>24000</v>
      </c>
      <c r="H79" s="5">
        <f t="shared" si="1"/>
        <v>0</v>
      </c>
      <c r="I79" s="1"/>
      <c r="J79" s="1"/>
    </row>
    <row r="80" spans="1:10" x14ac:dyDescent="0.2">
      <c r="A80" s="1">
        <v>76</v>
      </c>
      <c r="B80" s="1" t="s">
        <v>348</v>
      </c>
      <c r="C80" s="32">
        <v>309</v>
      </c>
      <c r="D80" s="1">
        <v>26000</v>
      </c>
      <c r="E80" s="1"/>
      <c r="F80" s="1">
        <v>289</v>
      </c>
      <c r="G80" s="1">
        <v>26000</v>
      </c>
      <c r="H80" s="5">
        <f t="shared" si="1"/>
        <v>0</v>
      </c>
      <c r="I80" s="1"/>
      <c r="J80" s="1"/>
    </row>
    <row r="81" spans="1:10" x14ac:dyDescent="0.2">
      <c r="A81" s="1">
        <v>77</v>
      </c>
      <c r="B81" s="1" t="s">
        <v>349</v>
      </c>
      <c r="C81" s="32">
        <v>1593</v>
      </c>
      <c r="D81" s="1">
        <v>12000</v>
      </c>
      <c r="E81" s="1"/>
      <c r="F81" s="1">
        <v>133</v>
      </c>
      <c r="G81" s="1">
        <v>12000</v>
      </c>
      <c r="H81" s="5">
        <f t="shared" si="1"/>
        <v>0</v>
      </c>
      <c r="I81" s="1"/>
      <c r="J81" s="1"/>
    </row>
    <row r="82" spans="1:10" x14ac:dyDescent="0.2">
      <c r="A82" s="1">
        <v>78</v>
      </c>
      <c r="B82" s="1" t="s">
        <v>349</v>
      </c>
      <c r="C82" s="32" t="s">
        <v>30</v>
      </c>
      <c r="D82" s="1">
        <v>7000</v>
      </c>
      <c r="E82" s="1"/>
      <c r="F82" s="1">
        <v>77.13</v>
      </c>
      <c r="G82" s="1">
        <v>7000</v>
      </c>
      <c r="H82" s="5">
        <f t="shared" si="1"/>
        <v>0</v>
      </c>
      <c r="I82" s="1"/>
      <c r="J82" s="1"/>
    </row>
    <row r="83" spans="1:10" x14ac:dyDescent="0.2">
      <c r="A83" s="1">
        <v>79</v>
      </c>
      <c r="B83" s="1" t="s">
        <v>349</v>
      </c>
      <c r="C83" s="32">
        <v>1266</v>
      </c>
      <c r="D83" s="1">
        <v>13000</v>
      </c>
      <c r="E83" s="1"/>
      <c r="F83" s="1">
        <v>144</v>
      </c>
      <c r="G83" s="1">
        <v>13000</v>
      </c>
      <c r="H83" s="5">
        <f t="shared" si="1"/>
        <v>0</v>
      </c>
      <c r="I83" s="1"/>
      <c r="J83" s="1"/>
    </row>
    <row r="84" spans="1:10" x14ac:dyDescent="0.2">
      <c r="A84" s="1">
        <v>80</v>
      </c>
      <c r="B84" s="1" t="s">
        <v>349</v>
      </c>
      <c r="C84" s="32">
        <v>2705</v>
      </c>
      <c r="D84" s="1">
        <v>12000</v>
      </c>
      <c r="E84" s="1"/>
      <c r="F84" s="1">
        <v>133</v>
      </c>
      <c r="G84" s="1">
        <v>12000</v>
      </c>
      <c r="H84" s="5">
        <f t="shared" si="1"/>
        <v>0</v>
      </c>
      <c r="I84" s="1"/>
      <c r="J84" s="1"/>
    </row>
    <row r="85" spans="1:10" x14ac:dyDescent="0.2">
      <c r="A85" s="1">
        <v>81</v>
      </c>
      <c r="B85" s="1" t="s">
        <v>349</v>
      </c>
      <c r="C85" s="32">
        <v>2415</v>
      </c>
      <c r="D85" s="1">
        <v>12000</v>
      </c>
      <c r="E85" s="1"/>
      <c r="F85" s="1">
        <v>133</v>
      </c>
      <c r="G85" s="1">
        <v>12000</v>
      </c>
      <c r="H85" s="5">
        <f t="shared" si="1"/>
        <v>0</v>
      </c>
      <c r="I85" s="1"/>
      <c r="J85" s="1"/>
    </row>
    <row r="86" spans="1:10" x14ac:dyDescent="0.2">
      <c r="A86" s="1">
        <v>82</v>
      </c>
      <c r="B86" s="1" t="s">
        <v>349</v>
      </c>
      <c r="C86" s="32">
        <v>5485</v>
      </c>
      <c r="D86" s="1">
        <v>26000</v>
      </c>
      <c r="E86" s="1"/>
      <c r="F86" s="1">
        <v>283</v>
      </c>
      <c r="G86" s="1">
        <v>26000</v>
      </c>
      <c r="H86" s="5">
        <f t="shared" si="1"/>
        <v>0</v>
      </c>
      <c r="I86" s="1"/>
      <c r="J86" s="1"/>
    </row>
    <row r="87" spans="1:10" x14ac:dyDescent="0.2">
      <c r="A87" s="1">
        <v>83</v>
      </c>
      <c r="B87" s="1" t="s">
        <v>349</v>
      </c>
      <c r="C87" s="32" t="s">
        <v>30</v>
      </c>
      <c r="D87" s="1">
        <v>7000</v>
      </c>
      <c r="E87" s="1"/>
      <c r="F87" s="1">
        <v>77.13</v>
      </c>
      <c r="G87" s="1">
        <v>7000</v>
      </c>
      <c r="H87" s="5">
        <f t="shared" si="1"/>
        <v>0</v>
      </c>
      <c r="I87" s="1"/>
      <c r="J87" s="1"/>
    </row>
    <row r="88" spans="1:10" x14ac:dyDescent="0.2">
      <c r="A88" s="1">
        <v>84</v>
      </c>
      <c r="B88" s="1" t="s">
        <v>349</v>
      </c>
      <c r="C88" s="32">
        <v>8090</v>
      </c>
      <c r="D88" s="1">
        <v>25000</v>
      </c>
      <c r="E88" s="1"/>
      <c r="F88" s="1">
        <v>278</v>
      </c>
      <c r="G88" s="1">
        <v>25000</v>
      </c>
      <c r="H88" s="5">
        <f t="shared" si="1"/>
        <v>0</v>
      </c>
      <c r="I88" s="1"/>
      <c r="J88" s="1"/>
    </row>
    <row r="89" spans="1:10" x14ac:dyDescent="0.2">
      <c r="A89" s="1">
        <v>85</v>
      </c>
      <c r="B89" s="1" t="s">
        <v>349</v>
      </c>
      <c r="C89" s="32">
        <v>8851</v>
      </c>
      <c r="D89" s="1">
        <v>29000</v>
      </c>
      <c r="E89" s="1"/>
      <c r="F89" s="1">
        <v>323</v>
      </c>
      <c r="G89" s="1">
        <v>29000</v>
      </c>
      <c r="H89" s="5">
        <f t="shared" si="1"/>
        <v>0</v>
      </c>
      <c r="I89" s="1"/>
      <c r="J89" s="1"/>
    </row>
    <row r="90" spans="1:10" x14ac:dyDescent="0.2">
      <c r="A90" s="1">
        <v>86</v>
      </c>
      <c r="B90" s="1" t="s">
        <v>349</v>
      </c>
      <c r="C90" s="32">
        <v>9051</v>
      </c>
      <c r="D90" s="1">
        <v>29000</v>
      </c>
      <c r="E90" s="1"/>
      <c r="F90" s="1">
        <v>323</v>
      </c>
      <c r="G90" s="1">
        <v>29000</v>
      </c>
      <c r="H90" s="5">
        <f t="shared" si="1"/>
        <v>0</v>
      </c>
      <c r="I90" s="1"/>
      <c r="J90" s="1"/>
    </row>
    <row r="91" spans="1:10" x14ac:dyDescent="0.2">
      <c r="A91" s="1">
        <v>87</v>
      </c>
      <c r="B91" s="1" t="s">
        <v>349</v>
      </c>
      <c r="C91" s="32">
        <v>7672</v>
      </c>
      <c r="D91" s="1">
        <v>17000</v>
      </c>
      <c r="E91" s="1"/>
      <c r="F91" s="1">
        <v>184</v>
      </c>
      <c r="G91" s="1">
        <v>17000</v>
      </c>
      <c r="H91" s="5">
        <f t="shared" si="1"/>
        <v>0</v>
      </c>
      <c r="I91" s="1"/>
      <c r="J91" s="1"/>
    </row>
    <row r="92" spans="1:10" x14ac:dyDescent="0.2">
      <c r="A92" s="1">
        <v>88</v>
      </c>
      <c r="B92" s="1" t="s">
        <v>350</v>
      </c>
      <c r="C92" s="32" t="s">
        <v>63</v>
      </c>
      <c r="D92" s="1">
        <v>3500</v>
      </c>
      <c r="E92" s="1"/>
      <c r="F92" s="1">
        <v>38.99</v>
      </c>
      <c r="G92" s="1">
        <v>3500</v>
      </c>
      <c r="H92" s="5">
        <f t="shared" si="1"/>
        <v>0</v>
      </c>
      <c r="I92" s="1"/>
      <c r="J92" s="1"/>
    </row>
    <row r="93" spans="1:10" x14ac:dyDescent="0.2">
      <c r="A93" s="1">
        <v>89</v>
      </c>
      <c r="B93" s="1" t="s">
        <v>350</v>
      </c>
      <c r="C93" s="32" t="s">
        <v>30</v>
      </c>
      <c r="D93" s="1">
        <v>4500</v>
      </c>
      <c r="E93" s="1"/>
      <c r="F93" s="1">
        <v>50.13</v>
      </c>
      <c r="G93" s="1">
        <v>4500</v>
      </c>
      <c r="H93" s="5">
        <f t="shared" si="1"/>
        <v>0</v>
      </c>
      <c r="I93" s="1"/>
      <c r="J93" s="1"/>
    </row>
    <row r="94" spans="1:10" x14ac:dyDescent="0.2">
      <c r="A94" s="1">
        <v>90</v>
      </c>
      <c r="B94" s="1" t="s">
        <v>350</v>
      </c>
      <c r="C94" s="32" t="s">
        <v>66</v>
      </c>
      <c r="D94" s="1">
        <v>210</v>
      </c>
      <c r="E94" s="1"/>
      <c r="F94" s="1">
        <v>2.12</v>
      </c>
      <c r="G94" s="1">
        <v>210</v>
      </c>
      <c r="H94" s="5">
        <f t="shared" si="1"/>
        <v>0</v>
      </c>
      <c r="I94" s="1"/>
      <c r="J94" s="1"/>
    </row>
    <row r="95" spans="1:10" x14ac:dyDescent="0.2">
      <c r="A95" s="1">
        <v>91</v>
      </c>
      <c r="B95" s="1" t="s">
        <v>350</v>
      </c>
      <c r="C95" s="32">
        <v>2435</v>
      </c>
      <c r="D95" s="1">
        <v>14000</v>
      </c>
      <c r="E95" s="1"/>
      <c r="F95" s="1">
        <v>155.97</v>
      </c>
      <c r="G95" s="1">
        <v>14000</v>
      </c>
      <c r="H95" s="5">
        <f t="shared" si="1"/>
        <v>0</v>
      </c>
      <c r="I95" s="1"/>
      <c r="J95" s="1"/>
    </row>
    <row r="96" spans="1:10" x14ac:dyDescent="0.2">
      <c r="A96" s="1">
        <v>92</v>
      </c>
      <c r="B96" s="1" t="s">
        <v>350</v>
      </c>
      <c r="C96" s="32">
        <v>2972</v>
      </c>
      <c r="D96" s="1">
        <v>14000</v>
      </c>
      <c r="E96" s="1"/>
      <c r="F96" s="1">
        <v>155.97</v>
      </c>
      <c r="G96" s="1">
        <v>14000</v>
      </c>
      <c r="H96" s="5">
        <f t="shared" si="1"/>
        <v>0</v>
      </c>
      <c r="I96" s="1"/>
      <c r="J96" s="1"/>
    </row>
    <row r="97" spans="1:10" x14ac:dyDescent="0.2">
      <c r="A97" s="1">
        <v>93</v>
      </c>
      <c r="B97" s="1" t="s">
        <v>350</v>
      </c>
      <c r="C97" s="32">
        <v>5119</v>
      </c>
      <c r="D97" s="1">
        <v>12500</v>
      </c>
      <c r="E97" s="1"/>
      <c r="F97" s="1">
        <v>139.26</v>
      </c>
      <c r="G97" s="1">
        <v>12500</v>
      </c>
      <c r="H97" s="5">
        <f t="shared" si="1"/>
        <v>0</v>
      </c>
      <c r="I97" s="1"/>
      <c r="J97" s="1"/>
    </row>
    <row r="98" spans="1:10" x14ac:dyDescent="0.2">
      <c r="A98" s="1">
        <v>94</v>
      </c>
      <c r="B98" s="1" t="s">
        <v>350</v>
      </c>
      <c r="C98" s="32">
        <v>623</v>
      </c>
      <c r="D98" s="1">
        <v>15000</v>
      </c>
      <c r="E98" s="1"/>
      <c r="F98" s="1">
        <v>167</v>
      </c>
      <c r="G98" s="1">
        <v>15000</v>
      </c>
      <c r="H98" s="5">
        <f t="shared" si="1"/>
        <v>0</v>
      </c>
      <c r="I98" s="1"/>
      <c r="J98" s="1"/>
    </row>
    <row r="99" spans="1:10" x14ac:dyDescent="0.2">
      <c r="A99" s="1">
        <v>95</v>
      </c>
      <c r="B99" s="1" t="s">
        <v>350</v>
      </c>
      <c r="C99" s="32">
        <v>4619</v>
      </c>
      <c r="D99" s="1">
        <v>23000</v>
      </c>
      <c r="E99" s="1"/>
      <c r="F99" s="1">
        <v>256</v>
      </c>
      <c r="G99" s="1">
        <v>23000</v>
      </c>
      <c r="H99" s="5">
        <f t="shared" si="1"/>
        <v>0</v>
      </c>
      <c r="I99" s="1"/>
      <c r="J99" s="1"/>
    </row>
    <row r="100" spans="1:10" x14ac:dyDescent="0.2">
      <c r="A100" s="1">
        <v>96</v>
      </c>
      <c r="B100" s="1" t="s">
        <v>350</v>
      </c>
      <c r="C100" s="32">
        <v>579</v>
      </c>
      <c r="D100" s="1">
        <v>22000</v>
      </c>
      <c r="E100" s="1"/>
      <c r="F100" s="1">
        <v>245</v>
      </c>
      <c r="G100" s="1">
        <v>22000</v>
      </c>
      <c r="H100" s="5">
        <f t="shared" si="1"/>
        <v>0</v>
      </c>
      <c r="I100" s="1"/>
      <c r="J100" s="1"/>
    </row>
    <row r="101" spans="1:10" x14ac:dyDescent="0.2">
      <c r="A101" s="1">
        <v>97</v>
      </c>
      <c r="B101" s="1" t="s">
        <v>350</v>
      </c>
      <c r="C101" s="32">
        <v>9903</v>
      </c>
      <c r="D101" s="1">
        <v>13000</v>
      </c>
      <c r="E101" s="1"/>
      <c r="F101" s="1">
        <v>144.83000000000001</v>
      </c>
      <c r="G101" s="1">
        <v>13000</v>
      </c>
      <c r="H101" s="5">
        <f t="shared" si="1"/>
        <v>0</v>
      </c>
      <c r="I101" s="1"/>
      <c r="J101" s="1"/>
    </row>
    <row r="102" spans="1:10" x14ac:dyDescent="0.2">
      <c r="A102" s="1">
        <v>98</v>
      </c>
      <c r="B102" s="1" t="s">
        <v>351</v>
      </c>
      <c r="C102" s="32">
        <v>2021</v>
      </c>
      <c r="D102" s="1">
        <v>25000</v>
      </c>
      <c r="E102" s="1"/>
      <c r="F102" s="1">
        <v>278</v>
      </c>
      <c r="G102" s="1">
        <v>25000</v>
      </c>
      <c r="H102" s="5">
        <f t="shared" si="1"/>
        <v>0</v>
      </c>
      <c r="I102" s="1"/>
      <c r="J102" s="1"/>
    </row>
    <row r="103" spans="1:10" x14ac:dyDescent="0.2">
      <c r="A103" s="1">
        <v>99</v>
      </c>
      <c r="B103" s="1" t="s">
        <v>351</v>
      </c>
      <c r="C103" s="32">
        <v>4431</v>
      </c>
      <c r="D103" s="1">
        <v>15000</v>
      </c>
      <c r="E103" s="1"/>
      <c r="F103" s="1">
        <v>167</v>
      </c>
      <c r="G103" s="1">
        <v>15000</v>
      </c>
      <c r="H103" s="5">
        <f t="shared" si="1"/>
        <v>0</v>
      </c>
      <c r="I103" s="1"/>
      <c r="J103" s="1"/>
    </row>
    <row r="104" spans="1:10" x14ac:dyDescent="0.2">
      <c r="A104" s="1">
        <v>100</v>
      </c>
      <c r="B104" s="1" t="s">
        <v>351</v>
      </c>
      <c r="C104" s="32" t="s">
        <v>30</v>
      </c>
      <c r="D104" s="1">
        <v>5000</v>
      </c>
      <c r="E104" s="1"/>
      <c r="F104" s="1">
        <v>55.13</v>
      </c>
      <c r="G104" s="1">
        <v>5000</v>
      </c>
      <c r="H104" s="5">
        <f t="shared" si="1"/>
        <v>0</v>
      </c>
      <c r="I104" s="1"/>
      <c r="J104" s="1"/>
    </row>
    <row r="105" spans="1:10" x14ac:dyDescent="0.2">
      <c r="A105" s="1">
        <v>101</v>
      </c>
      <c r="B105" s="1" t="s">
        <v>351</v>
      </c>
      <c r="C105" s="32">
        <v>9544</v>
      </c>
      <c r="D105" s="1">
        <v>12000</v>
      </c>
      <c r="E105" s="1"/>
      <c r="F105" s="1">
        <v>133</v>
      </c>
      <c r="G105" s="1">
        <v>12000</v>
      </c>
      <c r="H105" s="5">
        <f t="shared" si="1"/>
        <v>0</v>
      </c>
      <c r="I105" s="1"/>
      <c r="J105" s="1"/>
    </row>
    <row r="106" spans="1:10" x14ac:dyDescent="0.2">
      <c r="A106" s="1">
        <v>102</v>
      </c>
      <c r="B106" s="1" t="s">
        <v>351</v>
      </c>
      <c r="C106" s="32">
        <v>2803</v>
      </c>
      <c r="D106" s="1">
        <v>17000</v>
      </c>
      <c r="E106" s="1"/>
      <c r="F106" s="1">
        <v>189</v>
      </c>
      <c r="G106" s="1">
        <v>17000</v>
      </c>
      <c r="H106" s="5">
        <f t="shared" si="1"/>
        <v>0</v>
      </c>
      <c r="I106" s="1"/>
      <c r="J106" s="1"/>
    </row>
    <row r="107" spans="1:10" x14ac:dyDescent="0.2">
      <c r="A107" s="1">
        <v>103</v>
      </c>
      <c r="B107" s="1" t="s">
        <v>351</v>
      </c>
      <c r="C107" s="32">
        <v>3738</v>
      </c>
      <c r="D107" s="1">
        <v>26000</v>
      </c>
      <c r="E107" s="1"/>
      <c r="F107" s="1">
        <v>296</v>
      </c>
      <c r="G107" s="1">
        <v>26000</v>
      </c>
      <c r="H107" s="5">
        <f t="shared" si="1"/>
        <v>0</v>
      </c>
      <c r="I107" s="1"/>
      <c r="J107" s="1"/>
    </row>
    <row r="108" spans="1:10" x14ac:dyDescent="0.2">
      <c r="A108" s="1">
        <v>104</v>
      </c>
      <c r="B108" s="1" t="s">
        <v>351</v>
      </c>
      <c r="C108" s="32">
        <v>1453</v>
      </c>
      <c r="D108" s="1">
        <v>20000</v>
      </c>
      <c r="E108" s="1"/>
      <c r="F108" s="1">
        <v>222.82</v>
      </c>
      <c r="G108" s="1">
        <v>20000</v>
      </c>
      <c r="H108" s="5">
        <f t="shared" si="1"/>
        <v>0</v>
      </c>
      <c r="I108" s="1"/>
      <c r="J108" s="1"/>
    </row>
    <row r="109" spans="1:10" x14ac:dyDescent="0.2">
      <c r="A109" s="1">
        <v>105</v>
      </c>
      <c r="B109" s="1" t="s">
        <v>351</v>
      </c>
      <c r="C109" s="32">
        <v>1207</v>
      </c>
      <c r="D109" s="1">
        <v>10000</v>
      </c>
      <c r="E109" s="1"/>
      <c r="F109" s="1">
        <v>167</v>
      </c>
      <c r="G109" s="1">
        <v>10000</v>
      </c>
      <c r="H109" s="5">
        <f t="shared" si="1"/>
        <v>0</v>
      </c>
      <c r="I109" s="1"/>
      <c r="J109" s="1"/>
    </row>
    <row r="110" spans="1:10" x14ac:dyDescent="0.2">
      <c r="A110" s="1">
        <v>106</v>
      </c>
      <c r="B110" s="1" t="s">
        <v>351</v>
      </c>
      <c r="C110" s="32">
        <v>1246</v>
      </c>
      <c r="D110" s="1">
        <v>15000</v>
      </c>
      <c r="E110" s="1"/>
      <c r="F110" s="1">
        <v>167</v>
      </c>
      <c r="G110" s="1">
        <v>15000</v>
      </c>
      <c r="H110" s="5">
        <f t="shared" si="1"/>
        <v>0</v>
      </c>
      <c r="I110" s="1"/>
      <c r="J110" s="1"/>
    </row>
    <row r="111" spans="1:10" x14ac:dyDescent="0.2">
      <c r="A111" s="1">
        <v>107</v>
      </c>
      <c r="B111" s="1" t="s">
        <v>351</v>
      </c>
      <c r="C111" s="32">
        <v>8382</v>
      </c>
      <c r="D111" s="1">
        <v>18000</v>
      </c>
      <c r="E111" s="1"/>
      <c r="F111" s="1">
        <v>269</v>
      </c>
      <c r="G111" s="1">
        <v>18000</v>
      </c>
      <c r="H111" s="5">
        <f t="shared" si="1"/>
        <v>0</v>
      </c>
      <c r="I111" s="1"/>
      <c r="J111" s="1"/>
    </row>
    <row r="112" spans="1:10" x14ac:dyDescent="0.2">
      <c r="A112" s="1">
        <v>108</v>
      </c>
      <c r="B112" s="1" t="s">
        <v>352</v>
      </c>
      <c r="C112" s="32">
        <v>4371</v>
      </c>
      <c r="D112" s="1">
        <v>12000</v>
      </c>
      <c r="E112" s="1"/>
      <c r="F112" s="1">
        <v>133</v>
      </c>
      <c r="G112" s="1">
        <v>12000</v>
      </c>
      <c r="H112" s="5">
        <f t="shared" si="1"/>
        <v>0</v>
      </c>
      <c r="I112" s="1"/>
      <c r="J112" s="1"/>
    </row>
    <row r="113" spans="1:10" x14ac:dyDescent="0.2">
      <c r="A113" s="1">
        <v>109</v>
      </c>
      <c r="B113" s="1" t="s">
        <v>352</v>
      </c>
      <c r="C113" s="32" t="s">
        <v>66</v>
      </c>
      <c r="D113" s="1">
        <v>200</v>
      </c>
      <c r="E113" s="1"/>
      <c r="F113" s="1">
        <v>2.12</v>
      </c>
      <c r="G113" s="1">
        <v>200</v>
      </c>
      <c r="H113" s="5">
        <f t="shared" si="1"/>
        <v>0</v>
      </c>
      <c r="I113" s="1"/>
      <c r="J113" s="1"/>
    </row>
    <row r="114" spans="1:10" x14ac:dyDescent="0.2">
      <c r="A114" s="1">
        <v>110</v>
      </c>
      <c r="B114" s="1" t="s">
        <v>352</v>
      </c>
      <c r="C114" s="32" t="s">
        <v>30</v>
      </c>
      <c r="D114" s="1">
        <v>4500</v>
      </c>
      <c r="E114" s="1"/>
      <c r="F114" s="1">
        <v>50.13</v>
      </c>
      <c r="G114" s="1">
        <v>4500</v>
      </c>
      <c r="H114" s="5">
        <f t="shared" si="1"/>
        <v>0</v>
      </c>
      <c r="I114" s="1"/>
      <c r="J114" s="1"/>
    </row>
    <row r="115" spans="1:10" x14ac:dyDescent="0.2">
      <c r="A115" s="1">
        <v>111</v>
      </c>
      <c r="B115" s="1" t="s">
        <v>352</v>
      </c>
      <c r="C115" s="32">
        <v>5798</v>
      </c>
      <c r="D115" s="1">
        <v>15000</v>
      </c>
      <c r="E115" s="1"/>
      <c r="F115" s="1">
        <v>167</v>
      </c>
      <c r="G115" s="1">
        <v>15000</v>
      </c>
      <c r="H115" s="5">
        <f t="shared" si="1"/>
        <v>0</v>
      </c>
      <c r="I115" s="1"/>
      <c r="J115" s="1"/>
    </row>
    <row r="116" spans="1:10" x14ac:dyDescent="0.2">
      <c r="A116" s="1">
        <v>112</v>
      </c>
      <c r="B116" s="1" t="s">
        <v>352</v>
      </c>
      <c r="C116" s="32">
        <v>6365</v>
      </c>
      <c r="D116" s="1">
        <v>15000</v>
      </c>
      <c r="E116" s="1"/>
      <c r="F116" s="1">
        <v>167</v>
      </c>
      <c r="G116" s="1">
        <v>15000</v>
      </c>
      <c r="H116" s="5">
        <f t="shared" si="1"/>
        <v>0</v>
      </c>
      <c r="I116" s="1"/>
      <c r="J116" s="1"/>
    </row>
    <row r="117" spans="1:10" x14ac:dyDescent="0.2">
      <c r="A117" s="1">
        <v>113</v>
      </c>
      <c r="B117" s="1" t="s">
        <v>352</v>
      </c>
      <c r="C117" s="32">
        <v>2677</v>
      </c>
      <c r="D117" s="1">
        <v>25000</v>
      </c>
      <c r="E117" s="1"/>
      <c r="F117" s="1">
        <v>278</v>
      </c>
      <c r="G117" s="1">
        <v>25000</v>
      </c>
      <c r="H117" s="5">
        <f t="shared" si="1"/>
        <v>0</v>
      </c>
      <c r="I117" s="1"/>
      <c r="J117" s="1"/>
    </row>
    <row r="118" spans="1:10" x14ac:dyDescent="0.2">
      <c r="A118" s="1">
        <v>114</v>
      </c>
      <c r="B118" s="1" t="s">
        <v>353</v>
      </c>
      <c r="C118" s="32">
        <v>3317</v>
      </c>
      <c r="D118" s="1">
        <v>18000</v>
      </c>
      <c r="E118" s="1"/>
      <c r="F118" s="1">
        <v>200</v>
      </c>
      <c r="G118" s="1">
        <v>18000</v>
      </c>
      <c r="H118" s="5">
        <f t="shared" si="1"/>
        <v>0</v>
      </c>
      <c r="I118" s="1"/>
      <c r="J118" s="1"/>
    </row>
    <row r="119" spans="1:10" x14ac:dyDescent="0.2">
      <c r="A119" s="1">
        <v>115</v>
      </c>
      <c r="B119" s="1" t="s">
        <v>353</v>
      </c>
      <c r="C119" s="32">
        <v>6736</v>
      </c>
      <c r="D119" s="1">
        <v>12000</v>
      </c>
      <c r="E119" s="1"/>
      <c r="F119" s="1">
        <v>133</v>
      </c>
      <c r="G119" s="1">
        <v>12000</v>
      </c>
      <c r="H119" s="5">
        <f t="shared" si="1"/>
        <v>0</v>
      </c>
      <c r="I119" s="1"/>
      <c r="J119" s="1"/>
    </row>
    <row r="120" spans="1:10" x14ac:dyDescent="0.2">
      <c r="A120" s="1">
        <v>116</v>
      </c>
      <c r="B120" s="1" t="s">
        <v>353</v>
      </c>
      <c r="C120" s="32">
        <v>8703</v>
      </c>
      <c r="D120" s="1">
        <v>19000</v>
      </c>
      <c r="E120" s="1"/>
      <c r="F120" s="1">
        <v>211</v>
      </c>
      <c r="G120" s="1">
        <v>19000</v>
      </c>
      <c r="H120" s="5">
        <f t="shared" si="1"/>
        <v>0</v>
      </c>
      <c r="I120" s="1"/>
      <c r="J120" s="1"/>
    </row>
    <row r="121" spans="1:10" x14ac:dyDescent="0.2">
      <c r="A121" s="1">
        <v>117</v>
      </c>
      <c r="B121" s="1" t="s">
        <v>353</v>
      </c>
      <c r="C121" s="32">
        <v>2705</v>
      </c>
      <c r="D121" s="1">
        <v>12000</v>
      </c>
      <c r="E121" s="1"/>
      <c r="F121" s="1">
        <v>133</v>
      </c>
      <c r="G121" s="1">
        <v>12000</v>
      </c>
      <c r="H121" s="5">
        <f t="shared" si="1"/>
        <v>0</v>
      </c>
      <c r="I121" s="1"/>
      <c r="J121" s="1"/>
    </row>
    <row r="122" spans="1:10" x14ac:dyDescent="0.2">
      <c r="A122" s="1">
        <v>118</v>
      </c>
      <c r="B122" s="1" t="s">
        <v>353</v>
      </c>
      <c r="C122" s="32">
        <v>5.1000000000000004E-3</v>
      </c>
      <c r="D122" s="1">
        <v>17772</v>
      </c>
      <c r="E122" s="1"/>
      <c r="F122" s="1">
        <v>198</v>
      </c>
      <c r="G122" s="1">
        <v>17772</v>
      </c>
      <c r="H122" s="5">
        <f t="shared" si="1"/>
        <v>0</v>
      </c>
      <c r="I122" s="1"/>
      <c r="J122" s="1"/>
    </row>
    <row r="123" spans="1:10" x14ac:dyDescent="0.2">
      <c r="A123" s="1">
        <v>119</v>
      </c>
      <c r="B123" s="1" t="s">
        <v>353</v>
      </c>
      <c r="C123" s="32">
        <v>5151</v>
      </c>
      <c r="D123" s="1">
        <v>17461</v>
      </c>
      <c r="E123" s="1"/>
      <c r="F123" s="1">
        <v>194</v>
      </c>
      <c r="G123" s="1">
        <v>17461</v>
      </c>
      <c r="H123" s="5">
        <f t="shared" si="1"/>
        <v>0</v>
      </c>
      <c r="I123" s="1"/>
      <c r="J123" s="1"/>
    </row>
    <row r="124" spans="1:10" x14ac:dyDescent="0.2">
      <c r="A124" s="1">
        <v>120</v>
      </c>
      <c r="B124" s="1" t="s">
        <v>353</v>
      </c>
      <c r="C124" s="32">
        <v>5252</v>
      </c>
      <c r="D124" s="1">
        <v>18100</v>
      </c>
      <c r="E124" s="1"/>
      <c r="F124" s="1">
        <v>201</v>
      </c>
      <c r="G124" s="1">
        <v>18100</v>
      </c>
      <c r="H124" s="5">
        <f t="shared" si="1"/>
        <v>0</v>
      </c>
      <c r="I124" s="1"/>
      <c r="J124" s="1"/>
    </row>
    <row r="125" spans="1:10" x14ac:dyDescent="0.2">
      <c r="A125" s="1">
        <v>121</v>
      </c>
      <c r="B125" s="1" t="s">
        <v>353</v>
      </c>
      <c r="C125" s="32" t="s">
        <v>30</v>
      </c>
      <c r="D125" s="1">
        <v>5000</v>
      </c>
      <c r="E125" s="1"/>
      <c r="F125" s="1">
        <v>50.13</v>
      </c>
      <c r="G125" s="1">
        <v>5000</v>
      </c>
      <c r="H125" s="5">
        <f t="shared" si="1"/>
        <v>0</v>
      </c>
      <c r="I125" s="1"/>
      <c r="J125" s="1"/>
    </row>
    <row r="126" spans="1:10" x14ac:dyDescent="0.2">
      <c r="A126" s="1">
        <v>122</v>
      </c>
      <c r="B126" s="1" t="s">
        <v>353</v>
      </c>
      <c r="C126" s="32">
        <v>1266</v>
      </c>
      <c r="D126" s="1">
        <v>13000</v>
      </c>
      <c r="E126" s="1"/>
      <c r="F126" s="1">
        <v>144</v>
      </c>
      <c r="G126" s="1">
        <v>13000</v>
      </c>
      <c r="H126" s="5">
        <f t="shared" si="1"/>
        <v>0</v>
      </c>
      <c r="I126" s="1"/>
      <c r="J126" s="1"/>
    </row>
    <row r="127" spans="1:10" x14ac:dyDescent="0.2">
      <c r="A127" s="1">
        <v>123</v>
      </c>
      <c r="B127" s="1" t="s">
        <v>353</v>
      </c>
      <c r="C127" s="32">
        <v>1764</v>
      </c>
      <c r="D127" s="1">
        <v>7000</v>
      </c>
      <c r="E127" s="1"/>
      <c r="F127" s="1">
        <v>111</v>
      </c>
      <c r="G127" s="1">
        <v>7000</v>
      </c>
      <c r="H127" s="5">
        <f t="shared" si="1"/>
        <v>0</v>
      </c>
      <c r="I127" s="1"/>
      <c r="J127" s="1"/>
    </row>
    <row r="128" spans="1:10" x14ac:dyDescent="0.2">
      <c r="A128" s="1">
        <v>124</v>
      </c>
      <c r="B128" s="1" t="s">
        <v>353</v>
      </c>
      <c r="C128" s="32">
        <v>2496</v>
      </c>
      <c r="D128" s="1">
        <v>20000</v>
      </c>
      <c r="E128" s="1"/>
      <c r="F128" s="1">
        <v>222.82</v>
      </c>
      <c r="G128" s="1">
        <v>20000</v>
      </c>
      <c r="H128" s="5">
        <f t="shared" si="1"/>
        <v>0</v>
      </c>
      <c r="I128" s="1"/>
      <c r="J128" s="1"/>
    </row>
    <row r="129" spans="1:10" x14ac:dyDescent="0.2">
      <c r="A129" s="1">
        <v>125</v>
      </c>
      <c r="B129" s="1" t="s">
        <v>353</v>
      </c>
      <c r="C129" s="32">
        <v>2232</v>
      </c>
      <c r="D129" s="1">
        <v>15000</v>
      </c>
      <c r="E129" s="1"/>
      <c r="F129" s="1">
        <v>167</v>
      </c>
      <c r="G129" s="1">
        <v>15000</v>
      </c>
      <c r="H129" s="5">
        <f t="shared" si="1"/>
        <v>0</v>
      </c>
      <c r="I129" s="1"/>
      <c r="J129" s="1"/>
    </row>
    <row r="130" spans="1:10" x14ac:dyDescent="0.2">
      <c r="A130" s="1">
        <v>126</v>
      </c>
      <c r="B130" s="1" t="s">
        <v>353</v>
      </c>
      <c r="C130" s="32">
        <v>3023</v>
      </c>
      <c r="D130" s="1">
        <v>19000</v>
      </c>
      <c r="E130" s="1"/>
      <c r="F130" s="1">
        <v>220</v>
      </c>
      <c r="G130" s="1">
        <v>19000</v>
      </c>
      <c r="H130" s="5">
        <f t="shared" si="1"/>
        <v>0</v>
      </c>
      <c r="I130" s="1"/>
      <c r="J130" s="1"/>
    </row>
    <row r="131" spans="1:10" x14ac:dyDescent="0.2">
      <c r="A131" s="1">
        <v>127</v>
      </c>
      <c r="B131" s="1" t="s">
        <v>354</v>
      </c>
      <c r="C131" s="32">
        <v>5119</v>
      </c>
      <c r="D131" s="1">
        <v>12000</v>
      </c>
      <c r="E131" s="1"/>
      <c r="F131" s="1">
        <v>133</v>
      </c>
      <c r="G131" s="1">
        <v>12000</v>
      </c>
      <c r="H131" s="5">
        <f t="shared" si="1"/>
        <v>0</v>
      </c>
      <c r="I131" s="1"/>
      <c r="J131" s="1"/>
    </row>
    <row r="132" spans="1:10" x14ac:dyDescent="0.2">
      <c r="A132" s="1">
        <v>128</v>
      </c>
      <c r="B132" s="1" t="s">
        <v>354</v>
      </c>
      <c r="C132" s="32">
        <v>6924</v>
      </c>
      <c r="D132" s="1">
        <v>20000</v>
      </c>
      <c r="E132" s="1"/>
      <c r="F132" s="1">
        <v>222.82</v>
      </c>
      <c r="G132" s="1">
        <v>20000</v>
      </c>
      <c r="H132" s="5">
        <f t="shared" si="1"/>
        <v>0</v>
      </c>
      <c r="I132" s="1"/>
      <c r="J132" s="1"/>
    </row>
    <row r="133" spans="1:10" x14ac:dyDescent="0.2">
      <c r="A133" s="1">
        <v>129</v>
      </c>
      <c r="B133" s="1" t="s">
        <v>354</v>
      </c>
      <c r="C133" s="32">
        <v>6349</v>
      </c>
      <c r="D133" s="1">
        <v>18000</v>
      </c>
      <c r="E133" s="1"/>
      <c r="F133" s="1">
        <v>200</v>
      </c>
      <c r="G133" s="1">
        <v>18000</v>
      </c>
      <c r="H133" s="5">
        <f t="shared" si="1"/>
        <v>0</v>
      </c>
      <c r="I133" s="1"/>
      <c r="J133" s="1"/>
    </row>
    <row r="134" spans="1:10" x14ac:dyDescent="0.2">
      <c r="A134" s="1">
        <v>130</v>
      </c>
      <c r="B134" s="1" t="s">
        <v>354</v>
      </c>
      <c r="C134" s="32">
        <v>4124</v>
      </c>
      <c r="D134" s="1">
        <v>27000</v>
      </c>
      <c r="E134" s="1"/>
      <c r="F134" s="1">
        <v>300</v>
      </c>
      <c r="G134" s="1">
        <v>27000</v>
      </c>
      <c r="H134" s="5">
        <f t="shared" ref="H134:H198" si="2">D134-G134</f>
        <v>0</v>
      </c>
      <c r="I134" s="1"/>
      <c r="J134" s="1"/>
    </row>
    <row r="135" spans="1:10" x14ac:dyDescent="0.2">
      <c r="A135" s="1">
        <v>131</v>
      </c>
      <c r="B135" s="1" t="s">
        <v>354</v>
      </c>
      <c r="C135" s="32">
        <v>4371</v>
      </c>
      <c r="D135" s="1">
        <v>12000</v>
      </c>
      <c r="E135" s="1"/>
      <c r="F135" s="1">
        <v>133</v>
      </c>
      <c r="G135" s="1">
        <v>12000</v>
      </c>
      <c r="H135" s="5">
        <f t="shared" si="2"/>
        <v>0</v>
      </c>
      <c r="I135" s="1"/>
      <c r="J135" s="1"/>
    </row>
    <row r="136" spans="1:10" x14ac:dyDescent="0.2">
      <c r="A136" s="1">
        <v>132</v>
      </c>
      <c r="B136" s="1" t="s">
        <v>354</v>
      </c>
      <c r="C136" s="32">
        <v>1593</v>
      </c>
      <c r="D136" s="1">
        <v>12000</v>
      </c>
      <c r="E136" s="1"/>
      <c r="F136" s="1">
        <v>133</v>
      </c>
      <c r="G136" s="1">
        <v>12000</v>
      </c>
      <c r="H136" s="5">
        <f t="shared" si="2"/>
        <v>0</v>
      </c>
      <c r="I136" s="1"/>
      <c r="J136" s="1"/>
    </row>
    <row r="137" spans="1:10" x14ac:dyDescent="0.2">
      <c r="A137" s="1">
        <v>133</v>
      </c>
      <c r="B137" s="1" t="s">
        <v>354</v>
      </c>
      <c r="C137" s="32">
        <v>9544</v>
      </c>
      <c r="D137" s="1">
        <v>12000</v>
      </c>
      <c r="E137" s="1"/>
      <c r="F137" s="1">
        <v>133</v>
      </c>
      <c r="G137" s="1">
        <v>12000</v>
      </c>
      <c r="H137" s="5">
        <f t="shared" si="2"/>
        <v>0</v>
      </c>
      <c r="I137" s="1"/>
      <c r="J137" s="1"/>
    </row>
    <row r="138" spans="1:10" x14ac:dyDescent="0.2">
      <c r="A138" s="1">
        <v>134</v>
      </c>
      <c r="B138" s="1" t="s">
        <v>354</v>
      </c>
      <c r="C138" s="32" t="s">
        <v>66</v>
      </c>
      <c r="D138" s="1">
        <v>200</v>
      </c>
      <c r="E138" s="1"/>
      <c r="F138" s="1">
        <v>2.12</v>
      </c>
      <c r="G138" s="1">
        <v>200</v>
      </c>
      <c r="H138" s="5">
        <f t="shared" si="2"/>
        <v>0</v>
      </c>
      <c r="I138" s="1"/>
      <c r="J138" s="1"/>
    </row>
    <row r="139" spans="1:10" x14ac:dyDescent="0.2">
      <c r="A139" s="1">
        <v>135</v>
      </c>
      <c r="B139" s="1" t="s">
        <v>354</v>
      </c>
      <c r="C139" s="32">
        <v>2670</v>
      </c>
      <c r="D139" s="1">
        <v>17000</v>
      </c>
      <c r="E139" s="1"/>
      <c r="F139" s="1">
        <v>189</v>
      </c>
      <c r="G139" s="1">
        <v>17000</v>
      </c>
      <c r="H139" s="5">
        <f t="shared" si="2"/>
        <v>0</v>
      </c>
      <c r="I139" s="1"/>
      <c r="J139" s="1"/>
    </row>
    <row r="140" spans="1:10" x14ac:dyDescent="0.2">
      <c r="A140" s="1">
        <v>136</v>
      </c>
      <c r="B140" s="1" t="s">
        <v>354</v>
      </c>
      <c r="C140" s="32">
        <v>2646</v>
      </c>
      <c r="D140" s="1">
        <v>20000</v>
      </c>
      <c r="E140" s="1"/>
      <c r="F140" s="1">
        <v>222.82</v>
      </c>
      <c r="G140" s="1">
        <v>20000</v>
      </c>
      <c r="H140" s="5">
        <f t="shared" si="2"/>
        <v>0</v>
      </c>
      <c r="I140" s="1"/>
      <c r="J140" s="1"/>
    </row>
    <row r="141" spans="1:10" x14ac:dyDescent="0.2">
      <c r="A141" s="1">
        <v>137</v>
      </c>
      <c r="B141" s="1" t="s">
        <v>354</v>
      </c>
      <c r="C141" s="32">
        <v>6461</v>
      </c>
      <c r="D141" s="1">
        <v>30000</v>
      </c>
      <c r="E141" s="1"/>
      <c r="F141" s="1">
        <v>334</v>
      </c>
      <c r="G141" s="1">
        <v>30000</v>
      </c>
      <c r="H141" s="5">
        <f t="shared" si="2"/>
        <v>0</v>
      </c>
      <c r="I141" s="1"/>
      <c r="J141" s="1"/>
    </row>
    <row r="142" spans="1:10" x14ac:dyDescent="0.2">
      <c r="A142" s="1">
        <v>138</v>
      </c>
      <c r="B142" s="1" t="s">
        <v>354</v>
      </c>
      <c r="C142" s="32">
        <v>3317</v>
      </c>
      <c r="D142" s="1">
        <v>30000</v>
      </c>
      <c r="E142" s="1"/>
      <c r="F142" s="1">
        <v>334</v>
      </c>
      <c r="G142" s="1">
        <v>30000</v>
      </c>
      <c r="H142" s="5">
        <f t="shared" si="2"/>
        <v>0</v>
      </c>
      <c r="I142" s="1"/>
      <c r="J142" s="1"/>
    </row>
    <row r="143" spans="1:10" x14ac:dyDescent="0.2">
      <c r="A143" s="1">
        <v>139</v>
      </c>
      <c r="B143" s="1" t="s">
        <v>355</v>
      </c>
      <c r="C143" s="32">
        <v>2705</v>
      </c>
      <c r="D143" s="1">
        <v>12000</v>
      </c>
      <c r="E143" s="1"/>
      <c r="F143" s="1">
        <v>133</v>
      </c>
      <c r="G143" s="1">
        <v>12000</v>
      </c>
      <c r="H143" s="5">
        <f t="shared" si="2"/>
        <v>0</v>
      </c>
      <c r="I143" s="1"/>
      <c r="J143" s="1"/>
    </row>
    <row r="144" spans="1:10" x14ac:dyDescent="0.2">
      <c r="A144" s="1">
        <v>140</v>
      </c>
      <c r="B144" s="1" t="s">
        <v>355</v>
      </c>
      <c r="C144" s="32">
        <v>472</v>
      </c>
      <c r="D144" s="1">
        <v>23000</v>
      </c>
      <c r="E144" s="1"/>
      <c r="F144" s="1">
        <v>256</v>
      </c>
      <c r="G144" s="1">
        <v>23000</v>
      </c>
      <c r="H144" s="5">
        <f t="shared" si="2"/>
        <v>0</v>
      </c>
      <c r="I144" s="1"/>
      <c r="J144" s="1"/>
    </row>
    <row r="145" spans="1:10" x14ac:dyDescent="0.2">
      <c r="A145" s="1">
        <v>141</v>
      </c>
      <c r="B145" s="1" t="s">
        <v>355</v>
      </c>
      <c r="C145" s="32">
        <v>8999</v>
      </c>
      <c r="D145" s="1">
        <v>11000</v>
      </c>
      <c r="E145" s="1"/>
      <c r="F145" s="1">
        <v>102</v>
      </c>
      <c r="G145" s="1">
        <v>11000</v>
      </c>
      <c r="H145" s="5">
        <f t="shared" si="2"/>
        <v>0</v>
      </c>
      <c r="I145" s="1"/>
      <c r="J145" s="1"/>
    </row>
    <row r="146" spans="1:10" x14ac:dyDescent="0.2">
      <c r="A146" s="1">
        <v>142</v>
      </c>
      <c r="B146" s="1" t="s">
        <v>355</v>
      </c>
      <c r="C146" s="32">
        <v>5.1999999999999998E-3</v>
      </c>
      <c r="D146" s="1">
        <v>17000</v>
      </c>
      <c r="E146" s="1"/>
      <c r="F146" s="1">
        <v>189</v>
      </c>
      <c r="G146" s="1">
        <v>17000</v>
      </c>
      <c r="H146" s="5">
        <f t="shared" si="2"/>
        <v>0</v>
      </c>
      <c r="I146" s="1"/>
      <c r="J146" s="1"/>
    </row>
    <row r="147" spans="1:10" x14ac:dyDescent="0.2">
      <c r="A147" s="1">
        <v>143</v>
      </c>
      <c r="B147" s="1" t="s">
        <v>355</v>
      </c>
      <c r="C147" s="32" t="s">
        <v>30</v>
      </c>
      <c r="D147" s="1">
        <v>5000</v>
      </c>
      <c r="E147" s="1"/>
      <c r="F147" s="1">
        <v>55.13</v>
      </c>
      <c r="G147" s="1">
        <v>5000</v>
      </c>
      <c r="H147" s="5">
        <f t="shared" si="2"/>
        <v>0</v>
      </c>
      <c r="I147" s="1"/>
      <c r="J147" s="1"/>
    </row>
    <row r="148" spans="1:10" x14ac:dyDescent="0.2">
      <c r="A148" s="1">
        <v>144</v>
      </c>
      <c r="B148" s="1" t="s">
        <v>355</v>
      </c>
      <c r="C148" s="32" t="s">
        <v>30</v>
      </c>
      <c r="D148" s="1">
        <v>4500</v>
      </c>
      <c r="E148" s="1"/>
      <c r="F148" s="1">
        <v>50.12</v>
      </c>
      <c r="G148" s="1">
        <v>4500</v>
      </c>
      <c r="H148" s="5">
        <f t="shared" si="2"/>
        <v>0</v>
      </c>
      <c r="I148" s="1"/>
      <c r="J148" s="1"/>
    </row>
    <row r="149" spans="1:10" x14ac:dyDescent="0.2">
      <c r="A149" s="1">
        <v>145</v>
      </c>
      <c r="B149" s="1" t="s">
        <v>355</v>
      </c>
      <c r="C149" s="32">
        <v>3007</v>
      </c>
      <c r="D149" s="1">
        <v>15000</v>
      </c>
      <c r="E149" s="1"/>
      <c r="F149" s="1">
        <v>167</v>
      </c>
      <c r="G149" s="1">
        <v>15000</v>
      </c>
      <c r="H149" s="5">
        <f t="shared" si="2"/>
        <v>0</v>
      </c>
      <c r="I149" s="1"/>
      <c r="J149" s="1"/>
    </row>
    <row r="150" spans="1:10" x14ac:dyDescent="0.2">
      <c r="A150" s="1">
        <v>146</v>
      </c>
      <c r="B150" s="1" t="s">
        <v>355</v>
      </c>
      <c r="C150" s="32">
        <v>6868</v>
      </c>
      <c r="D150" s="1">
        <v>25000</v>
      </c>
      <c r="E150" s="1"/>
      <c r="F150" s="1">
        <v>278</v>
      </c>
      <c r="G150" s="1">
        <v>25000</v>
      </c>
      <c r="H150" s="5">
        <f t="shared" si="2"/>
        <v>0</v>
      </c>
      <c r="I150" s="1"/>
      <c r="J150" s="1"/>
    </row>
    <row r="151" spans="1:10" x14ac:dyDescent="0.2">
      <c r="A151" s="1">
        <v>147</v>
      </c>
      <c r="B151" s="1" t="s">
        <v>355</v>
      </c>
      <c r="C151" s="32">
        <v>3450</v>
      </c>
      <c r="D151" s="1">
        <v>12000</v>
      </c>
      <c r="E151" s="1"/>
      <c r="F151" s="1">
        <v>133</v>
      </c>
      <c r="G151" s="1">
        <v>12000</v>
      </c>
      <c r="H151" s="5">
        <f t="shared" si="2"/>
        <v>0</v>
      </c>
      <c r="I151" s="1"/>
      <c r="J151" s="1"/>
    </row>
    <row r="152" spans="1:10" x14ac:dyDescent="0.2">
      <c r="A152" s="1">
        <v>148</v>
      </c>
      <c r="B152" s="1" t="s">
        <v>355</v>
      </c>
      <c r="C152" s="32">
        <v>2415</v>
      </c>
      <c r="D152" s="1">
        <v>12000</v>
      </c>
      <c r="E152" s="1"/>
      <c r="F152" s="1">
        <v>133</v>
      </c>
      <c r="G152" s="1">
        <v>12000</v>
      </c>
      <c r="H152" s="5">
        <f t="shared" si="2"/>
        <v>0</v>
      </c>
      <c r="I152" s="1"/>
      <c r="J152" s="1"/>
    </row>
    <row r="153" spans="1:10" x14ac:dyDescent="0.2">
      <c r="A153" s="1">
        <v>149</v>
      </c>
      <c r="B153" s="1" t="s">
        <v>356</v>
      </c>
      <c r="C153" s="32">
        <v>3565</v>
      </c>
      <c r="D153" s="1">
        <v>16000</v>
      </c>
      <c r="E153" s="1"/>
      <c r="F153" s="1">
        <v>178</v>
      </c>
      <c r="G153" s="1">
        <v>16000</v>
      </c>
      <c r="H153" s="5">
        <f t="shared" si="2"/>
        <v>0</v>
      </c>
      <c r="I153" s="1"/>
      <c r="J153" s="1"/>
    </row>
    <row r="154" spans="1:10" x14ac:dyDescent="0.2">
      <c r="A154" s="1">
        <v>150</v>
      </c>
      <c r="B154" s="1" t="s">
        <v>356</v>
      </c>
      <c r="C154" s="32">
        <v>1593</v>
      </c>
      <c r="D154" s="1">
        <v>12000</v>
      </c>
      <c r="E154" s="1"/>
      <c r="F154" s="1">
        <v>133</v>
      </c>
      <c r="G154" s="1">
        <v>12000</v>
      </c>
      <c r="H154" s="5">
        <f t="shared" si="2"/>
        <v>0</v>
      </c>
      <c r="I154" s="1"/>
      <c r="J154" s="1"/>
    </row>
    <row r="155" spans="1:10" x14ac:dyDescent="0.2">
      <c r="A155" s="1">
        <v>151</v>
      </c>
      <c r="B155" s="1" t="s">
        <v>356</v>
      </c>
      <c r="C155" s="32">
        <v>4371</v>
      </c>
      <c r="D155" s="1">
        <v>12000</v>
      </c>
      <c r="E155" s="1"/>
      <c r="F155" s="1">
        <v>133</v>
      </c>
      <c r="G155" s="1">
        <v>12000</v>
      </c>
      <c r="H155" s="5">
        <f t="shared" si="2"/>
        <v>0</v>
      </c>
      <c r="I155" s="1"/>
      <c r="J155" s="1"/>
    </row>
    <row r="156" spans="1:10" x14ac:dyDescent="0.2">
      <c r="A156" s="1">
        <v>152</v>
      </c>
      <c r="B156" s="1" t="s">
        <v>356</v>
      </c>
      <c r="C156" s="32">
        <v>2803</v>
      </c>
      <c r="D156" s="1">
        <v>16000</v>
      </c>
      <c r="E156" s="1"/>
      <c r="F156" s="1">
        <v>178</v>
      </c>
      <c r="G156" s="1">
        <v>16000</v>
      </c>
      <c r="H156" s="5">
        <f t="shared" si="2"/>
        <v>0</v>
      </c>
      <c r="I156" s="1"/>
      <c r="J156" s="1"/>
    </row>
    <row r="157" spans="1:10" x14ac:dyDescent="0.2">
      <c r="A157" s="1">
        <v>153</v>
      </c>
      <c r="B157" s="1" t="s">
        <v>356</v>
      </c>
      <c r="C157" s="32">
        <v>6511</v>
      </c>
      <c r="D157" s="1">
        <v>28000</v>
      </c>
      <c r="E157" s="1"/>
      <c r="F157" s="1">
        <v>284</v>
      </c>
      <c r="G157" s="1">
        <v>28000</v>
      </c>
      <c r="H157" s="5">
        <f t="shared" si="2"/>
        <v>0</v>
      </c>
      <c r="I157" s="1"/>
      <c r="J157" s="1"/>
    </row>
    <row r="158" spans="1:10" x14ac:dyDescent="0.2">
      <c r="A158" s="1">
        <v>154</v>
      </c>
      <c r="B158" s="1" t="s">
        <v>356</v>
      </c>
      <c r="C158" s="32">
        <v>7714</v>
      </c>
      <c r="D158" s="1">
        <v>28000</v>
      </c>
      <c r="E158" s="1"/>
      <c r="F158" s="1">
        <v>284</v>
      </c>
      <c r="G158" s="1">
        <v>28000</v>
      </c>
      <c r="H158" s="5">
        <f t="shared" si="2"/>
        <v>0</v>
      </c>
      <c r="I158" s="1"/>
      <c r="J158" s="1"/>
    </row>
    <row r="159" spans="1:10" x14ac:dyDescent="0.2">
      <c r="A159" s="1">
        <v>155</v>
      </c>
      <c r="B159" s="1" t="s">
        <v>356</v>
      </c>
      <c r="C159" s="32">
        <v>7672</v>
      </c>
      <c r="D159" s="1">
        <v>18000</v>
      </c>
      <c r="E159" s="1"/>
      <c r="F159" s="1">
        <v>200</v>
      </c>
      <c r="G159" s="1">
        <v>18000</v>
      </c>
      <c r="H159" s="5">
        <f t="shared" si="2"/>
        <v>0</v>
      </c>
      <c r="I159" s="1"/>
      <c r="J159" s="1"/>
    </row>
    <row r="160" spans="1:10" x14ac:dyDescent="0.2">
      <c r="A160" s="1">
        <v>156</v>
      </c>
      <c r="B160" s="1" t="s">
        <v>356</v>
      </c>
      <c r="C160" s="32">
        <v>7497</v>
      </c>
      <c r="D160" s="1">
        <v>23000</v>
      </c>
      <c r="E160" s="1"/>
      <c r="F160" s="1">
        <v>256</v>
      </c>
      <c r="G160" s="1">
        <v>23000</v>
      </c>
      <c r="H160" s="5">
        <f t="shared" si="2"/>
        <v>0</v>
      </c>
      <c r="I160" s="1"/>
      <c r="J160" s="1"/>
    </row>
    <row r="161" spans="1:10" x14ac:dyDescent="0.2">
      <c r="A161" s="1">
        <v>157</v>
      </c>
      <c r="B161" s="1" t="s">
        <v>356</v>
      </c>
      <c r="C161" s="32">
        <v>5058</v>
      </c>
      <c r="D161" s="1">
        <v>10000</v>
      </c>
      <c r="E161" s="1"/>
      <c r="F161" s="1">
        <v>105</v>
      </c>
      <c r="G161" s="1">
        <v>10000</v>
      </c>
      <c r="H161" s="5">
        <f t="shared" si="2"/>
        <v>0</v>
      </c>
      <c r="I161" s="1"/>
      <c r="J161" s="1"/>
    </row>
    <row r="162" spans="1:10" x14ac:dyDescent="0.2">
      <c r="A162" s="1">
        <v>158</v>
      </c>
      <c r="B162" s="1" t="s">
        <v>356</v>
      </c>
      <c r="C162" s="32">
        <v>3558</v>
      </c>
      <c r="D162" s="1">
        <v>27000</v>
      </c>
      <c r="E162" s="1"/>
      <c r="F162" s="1">
        <v>300</v>
      </c>
      <c r="G162" s="1">
        <v>27000</v>
      </c>
      <c r="H162" s="5">
        <f t="shared" si="2"/>
        <v>0</v>
      </c>
      <c r="I162" s="1"/>
      <c r="J162" s="1"/>
    </row>
    <row r="163" spans="1:10" x14ac:dyDescent="0.2">
      <c r="A163" s="1">
        <v>159</v>
      </c>
      <c r="B163" s="1" t="s">
        <v>356</v>
      </c>
      <c r="C163" s="32">
        <v>4316</v>
      </c>
      <c r="D163" s="1">
        <v>23000</v>
      </c>
      <c r="E163" s="1"/>
      <c r="F163" s="1">
        <v>239</v>
      </c>
      <c r="G163" s="1">
        <v>23000</v>
      </c>
      <c r="H163" s="5">
        <f t="shared" si="2"/>
        <v>0</v>
      </c>
      <c r="I163" s="1"/>
      <c r="J163" s="1"/>
    </row>
    <row r="164" spans="1:10" x14ac:dyDescent="0.2">
      <c r="A164" s="1">
        <v>160</v>
      </c>
      <c r="B164" s="1" t="s">
        <v>357</v>
      </c>
      <c r="C164" s="32">
        <v>9544</v>
      </c>
      <c r="D164" s="1">
        <v>12000</v>
      </c>
      <c r="E164" s="1"/>
      <c r="F164" s="1">
        <v>133</v>
      </c>
      <c r="G164" s="1">
        <v>12000</v>
      </c>
      <c r="H164" s="5">
        <f t="shared" si="2"/>
        <v>0</v>
      </c>
      <c r="I164" s="1"/>
      <c r="J164" s="1"/>
    </row>
    <row r="165" spans="1:10" x14ac:dyDescent="0.2">
      <c r="A165" s="1">
        <v>161</v>
      </c>
      <c r="B165" s="1" t="s">
        <v>357</v>
      </c>
      <c r="C165" s="32">
        <v>8327</v>
      </c>
      <c r="D165" s="1">
        <v>18000</v>
      </c>
      <c r="E165" s="1"/>
      <c r="F165" s="1">
        <v>200</v>
      </c>
      <c r="G165" s="1">
        <v>18000</v>
      </c>
      <c r="H165" s="5">
        <f t="shared" si="2"/>
        <v>0</v>
      </c>
      <c r="I165" s="1"/>
      <c r="J165" s="1"/>
    </row>
    <row r="166" spans="1:10" x14ac:dyDescent="0.2">
      <c r="A166" s="1">
        <v>162</v>
      </c>
      <c r="B166" s="1" t="s">
        <v>357</v>
      </c>
      <c r="C166" s="32" t="s">
        <v>30</v>
      </c>
      <c r="D166" s="1">
        <v>3500</v>
      </c>
      <c r="E166" s="1"/>
      <c r="F166" s="1">
        <v>38.99</v>
      </c>
      <c r="G166" s="1">
        <v>3500</v>
      </c>
      <c r="H166" s="5">
        <f t="shared" si="2"/>
        <v>0</v>
      </c>
      <c r="I166" s="1"/>
      <c r="J166" s="1"/>
    </row>
    <row r="167" spans="1:10" x14ac:dyDescent="0.2">
      <c r="A167" s="1">
        <v>163</v>
      </c>
      <c r="B167" s="1" t="s">
        <v>357</v>
      </c>
      <c r="C167" s="32" t="s">
        <v>30</v>
      </c>
      <c r="D167" s="1">
        <v>4000</v>
      </c>
      <c r="E167" s="1"/>
      <c r="F167" s="1">
        <v>44.5</v>
      </c>
      <c r="G167" s="1">
        <v>4000</v>
      </c>
      <c r="H167" s="5">
        <f t="shared" si="2"/>
        <v>0</v>
      </c>
      <c r="I167" s="1"/>
      <c r="J167" s="1"/>
    </row>
    <row r="168" spans="1:10" x14ac:dyDescent="0.2">
      <c r="A168" s="1"/>
      <c r="B168" s="1" t="s">
        <v>357</v>
      </c>
      <c r="C168" s="32" t="s">
        <v>30</v>
      </c>
      <c r="D168" s="1">
        <v>5000</v>
      </c>
      <c r="E168" s="1"/>
      <c r="F168" s="1">
        <v>55.13</v>
      </c>
      <c r="G168" s="1">
        <v>5000</v>
      </c>
      <c r="H168" s="5">
        <f t="shared" si="2"/>
        <v>0</v>
      </c>
      <c r="I168" s="1"/>
      <c r="J168" s="1"/>
    </row>
    <row r="169" spans="1:10" x14ac:dyDescent="0.2">
      <c r="A169" s="1">
        <v>164</v>
      </c>
      <c r="B169" s="1" t="s">
        <v>357</v>
      </c>
      <c r="C169" s="32">
        <v>5744</v>
      </c>
      <c r="D169" s="1">
        <v>24030</v>
      </c>
      <c r="E169" s="1"/>
      <c r="F169" s="1">
        <v>267</v>
      </c>
      <c r="G169" s="1">
        <v>24030</v>
      </c>
      <c r="H169" s="5">
        <f t="shared" si="2"/>
        <v>0</v>
      </c>
      <c r="I169" s="1"/>
      <c r="J169" s="1"/>
    </row>
    <row r="170" spans="1:10" x14ac:dyDescent="0.2">
      <c r="A170" s="1">
        <v>165</v>
      </c>
      <c r="B170" s="1" t="s">
        <v>357</v>
      </c>
      <c r="C170" s="32">
        <v>1196</v>
      </c>
      <c r="D170" s="1">
        <v>17231</v>
      </c>
      <c r="E170" s="1"/>
      <c r="F170" s="1">
        <v>191</v>
      </c>
      <c r="G170" s="1">
        <v>17231</v>
      </c>
      <c r="H170" s="5">
        <f t="shared" si="2"/>
        <v>0</v>
      </c>
      <c r="I170" s="1"/>
      <c r="J170" s="1"/>
    </row>
    <row r="171" spans="1:10" x14ac:dyDescent="0.2">
      <c r="A171" s="1">
        <v>166</v>
      </c>
      <c r="B171" s="1" t="s">
        <v>357</v>
      </c>
      <c r="C171" s="32">
        <v>309</v>
      </c>
      <c r="D171" s="1">
        <v>25000</v>
      </c>
      <c r="E171" s="1"/>
      <c r="F171" s="1">
        <v>278</v>
      </c>
      <c r="G171" s="1">
        <v>25000</v>
      </c>
      <c r="H171" s="5">
        <f t="shared" si="2"/>
        <v>0</v>
      </c>
      <c r="I171" s="1"/>
      <c r="J171" s="1"/>
    </row>
    <row r="172" spans="1:10" x14ac:dyDescent="0.2">
      <c r="A172" s="1">
        <v>167</v>
      </c>
      <c r="B172" s="1" t="s">
        <v>357</v>
      </c>
      <c r="C172" s="32">
        <v>5370</v>
      </c>
      <c r="D172" s="1">
        <v>30000</v>
      </c>
      <c r="E172" s="1"/>
      <c r="F172" s="1">
        <v>334</v>
      </c>
      <c r="G172" s="1">
        <v>30000</v>
      </c>
      <c r="H172" s="5">
        <f t="shared" si="2"/>
        <v>0</v>
      </c>
      <c r="I172" s="1"/>
      <c r="J172" s="1"/>
    </row>
    <row r="173" spans="1:10" x14ac:dyDescent="0.2">
      <c r="A173" s="1">
        <v>168</v>
      </c>
      <c r="B173" s="1" t="s">
        <v>357</v>
      </c>
      <c r="C173" s="32">
        <v>711</v>
      </c>
      <c r="D173" s="1">
        <v>30000</v>
      </c>
      <c r="E173" s="1"/>
      <c r="F173" s="1">
        <v>334</v>
      </c>
      <c r="G173" s="1">
        <v>30000</v>
      </c>
      <c r="H173" s="5">
        <f t="shared" si="2"/>
        <v>0</v>
      </c>
      <c r="I173" s="1"/>
      <c r="J173" s="1"/>
    </row>
    <row r="174" spans="1:10" x14ac:dyDescent="0.2">
      <c r="A174" s="1">
        <v>169</v>
      </c>
      <c r="B174" s="1" t="s">
        <v>357</v>
      </c>
      <c r="C174" s="32">
        <v>6474</v>
      </c>
      <c r="D174" s="1">
        <v>25000</v>
      </c>
      <c r="E174" s="1"/>
      <c r="F174" s="1">
        <v>278</v>
      </c>
      <c r="G174" s="1">
        <v>25000</v>
      </c>
      <c r="H174" s="5">
        <f t="shared" si="2"/>
        <v>0</v>
      </c>
      <c r="I174" s="1"/>
      <c r="J174" s="1"/>
    </row>
    <row r="175" spans="1:10" x14ac:dyDescent="0.2">
      <c r="A175" s="1">
        <v>170</v>
      </c>
      <c r="B175" s="1" t="s">
        <v>357</v>
      </c>
      <c r="C175" s="32">
        <v>7444</v>
      </c>
      <c r="D175" s="1">
        <v>28000</v>
      </c>
      <c r="E175" s="1"/>
      <c r="F175" s="1">
        <v>308</v>
      </c>
      <c r="G175" s="1">
        <v>28000</v>
      </c>
      <c r="H175" s="5">
        <f t="shared" si="2"/>
        <v>0</v>
      </c>
      <c r="I175" s="1"/>
      <c r="J175" s="1"/>
    </row>
    <row r="176" spans="1:10" x14ac:dyDescent="0.2">
      <c r="A176" s="1">
        <v>171</v>
      </c>
      <c r="B176" s="1" t="s">
        <v>357</v>
      </c>
      <c r="C176" s="32">
        <v>117</v>
      </c>
      <c r="D176" s="1">
        <v>25000</v>
      </c>
      <c r="E176" s="1"/>
      <c r="F176" s="1">
        <v>278</v>
      </c>
      <c r="G176" s="1">
        <v>25000</v>
      </c>
      <c r="H176" s="5">
        <f t="shared" si="2"/>
        <v>0</v>
      </c>
      <c r="I176" s="1"/>
      <c r="J176" s="1"/>
    </row>
    <row r="177" spans="1:10" x14ac:dyDescent="0.2">
      <c r="A177" s="1">
        <v>172</v>
      </c>
      <c r="B177" s="1" t="s">
        <v>357</v>
      </c>
      <c r="C177" s="32">
        <v>2749</v>
      </c>
      <c r="D177" s="1">
        <v>25000</v>
      </c>
      <c r="E177" s="1"/>
      <c r="F177" s="1">
        <v>278</v>
      </c>
      <c r="G177" s="1">
        <v>25000</v>
      </c>
      <c r="H177" s="5">
        <f t="shared" si="2"/>
        <v>0</v>
      </c>
      <c r="I177" s="1"/>
      <c r="J177" s="1"/>
    </row>
    <row r="178" spans="1:10" x14ac:dyDescent="0.2">
      <c r="A178" s="1">
        <v>173</v>
      </c>
      <c r="B178" s="1" t="s">
        <v>357</v>
      </c>
      <c r="C178" s="32">
        <v>5869</v>
      </c>
      <c r="D178" s="1">
        <v>25000</v>
      </c>
      <c r="E178" s="1"/>
      <c r="F178" s="1">
        <v>278</v>
      </c>
      <c r="G178" s="1">
        <v>25000</v>
      </c>
      <c r="H178" s="5">
        <f t="shared" si="2"/>
        <v>0</v>
      </c>
      <c r="I178" s="1"/>
      <c r="J178" s="1"/>
    </row>
    <row r="179" spans="1:10" x14ac:dyDescent="0.2">
      <c r="A179" s="1">
        <v>174</v>
      </c>
      <c r="B179" s="1" t="s">
        <v>357</v>
      </c>
      <c r="C179" s="32">
        <v>1215</v>
      </c>
      <c r="D179" s="1">
        <v>22000</v>
      </c>
      <c r="E179" s="1"/>
      <c r="F179" s="1">
        <v>245</v>
      </c>
      <c r="G179" s="1">
        <v>22000</v>
      </c>
      <c r="H179" s="5">
        <f t="shared" si="2"/>
        <v>0</v>
      </c>
      <c r="I179" s="1"/>
      <c r="J179" s="1"/>
    </row>
    <row r="180" spans="1:10" x14ac:dyDescent="0.2">
      <c r="A180" s="1">
        <v>175</v>
      </c>
      <c r="B180" s="1" t="s">
        <v>357</v>
      </c>
      <c r="C180" s="32">
        <v>1138</v>
      </c>
      <c r="D180" s="1">
        <v>22000</v>
      </c>
      <c r="E180" s="1"/>
      <c r="F180" s="1">
        <v>245</v>
      </c>
      <c r="G180" s="1">
        <v>22000</v>
      </c>
      <c r="H180" s="5">
        <f t="shared" si="2"/>
        <v>0</v>
      </c>
      <c r="I180" s="1"/>
      <c r="J180" s="1"/>
    </row>
    <row r="181" spans="1:10" x14ac:dyDescent="0.2">
      <c r="A181" s="1">
        <v>176</v>
      </c>
      <c r="B181" s="1" t="s">
        <v>359</v>
      </c>
      <c r="C181" s="32">
        <v>1266</v>
      </c>
      <c r="D181" s="1">
        <v>13000</v>
      </c>
      <c r="E181" s="1"/>
      <c r="F181" s="1">
        <v>144</v>
      </c>
      <c r="G181" s="1">
        <v>13000</v>
      </c>
      <c r="H181" s="5">
        <f t="shared" si="2"/>
        <v>0</v>
      </c>
      <c r="I181" s="1"/>
      <c r="J181" s="1"/>
    </row>
    <row r="182" spans="1:10" x14ac:dyDescent="0.2">
      <c r="A182" s="1">
        <v>177</v>
      </c>
      <c r="B182" s="1" t="s">
        <v>359</v>
      </c>
      <c r="C182" s="32" t="s">
        <v>30</v>
      </c>
      <c r="D182" s="1">
        <v>6550</v>
      </c>
      <c r="E182" s="1"/>
      <c r="F182" s="1">
        <v>72</v>
      </c>
      <c r="G182" s="1">
        <v>6550</v>
      </c>
      <c r="H182" s="5">
        <f t="shared" si="2"/>
        <v>0</v>
      </c>
      <c r="I182" s="1"/>
      <c r="J182" s="1"/>
    </row>
    <row r="183" spans="1:10" x14ac:dyDescent="0.2">
      <c r="A183" s="1">
        <v>178</v>
      </c>
      <c r="B183" s="1" t="s">
        <v>359</v>
      </c>
      <c r="C183" s="32" t="s">
        <v>30</v>
      </c>
      <c r="D183" s="1">
        <v>5000</v>
      </c>
      <c r="E183" s="1"/>
      <c r="F183" s="1">
        <v>55.13</v>
      </c>
      <c r="G183" s="1">
        <v>5000</v>
      </c>
      <c r="H183" s="5">
        <f t="shared" si="2"/>
        <v>0</v>
      </c>
      <c r="I183" s="1"/>
      <c r="J183" s="1"/>
    </row>
    <row r="184" spans="1:10" x14ac:dyDescent="0.2">
      <c r="A184" s="1">
        <v>179</v>
      </c>
      <c r="B184" s="1" t="s">
        <v>359</v>
      </c>
      <c r="C184" s="32" t="s">
        <v>66</v>
      </c>
      <c r="D184" s="1">
        <v>210</v>
      </c>
      <c r="E184" s="1"/>
      <c r="F184" s="1">
        <v>2.1</v>
      </c>
      <c r="G184" s="1">
        <v>210</v>
      </c>
      <c r="H184" s="5">
        <f t="shared" si="2"/>
        <v>0</v>
      </c>
      <c r="I184" s="1"/>
      <c r="J184" s="1"/>
    </row>
    <row r="185" spans="1:10" x14ac:dyDescent="0.2">
      <c r="A185" s="1">
        <v>180</v>
      </c>
      <c r="B185" s="1" t="s">
        <v>359</v>
      </c>
      <c r="C185" s="32">
        <v>5.1000000000000004E-3</v>
      </c>
      <c r="D185" s="1">
        <v>16000</v>
      </c>
      <c r="E185" s="1"/>
      <c r="F185" s="1">
        <v>178</v>
      </c>
      <c r="G185" s="1">
        <v>16000</v>
      </c>
      <c r="H185" s="5">
        <f t="shared" si="2"/>
        <v>0</v>
      </c>
      <c r="I185" s="1"/>
      <c r="J185" s="1"/>
    </row>
    <row r="186" spans="1:10" x14ac:dyDescent="0.2">
      <c r="A186" s="1">
        <v>181</v>
      </c>
      <c r="B186" s="1" t="s">
        <v>359</v>
      </c>
      <c r="C186" s="32">
        <v>5151</v>
      </c>
      <c r="D186" s="1">
        <v>16000</v>
      </c>
      <c r="E186" s="1"/>
      <c r="F186" s="1">
        <v>178</v>
      </c>
      <c r="G186" s="1">
        <v>16000</v>
      </c>
      <c r="H186" s="5">
        <f t="shared" si="2"/>
        <v>0</v>
      </c>
      <c r="I186" s="1"/>
      <c r="J186" s="1"/>
    </row>
    <row r="187" spans="1:10" x14ac:dyDescent="0.2">
      <c r="A187" s="1">
        <v>182</v>
      </c>
      <c r="B187" s="1" t="s">
        <v>359</v>
      </c>
      <c r="C187" s="32">
        <v>5252</v>
      </c>
      <c r="D187" s="1">
        <v>16000</v>
      </c>
      <c r="E187" s="1"/>
      <c r="F187" s="1">
        <v>178</v>
      </c>
      <c r="G187" s="1">
        <v>16000</v>
      </c>
      <c r="H187" s="5">
        <f t="shared" si="2"/>
        <v>0</v>
      </c>
      <c r="I187" s="1"/>
      <c r="J187" s="1"/>
    </row>
    <row r="188" spans="1:10" x14ac:dyDescent="0.2">
      <c r="A188" s="1">
        <v>183</v>
      </c>
      <c r="B188" s="1" t="s">
        <v>359</v>
      </c>
      <c r="C188" s="32">
        <v>4235</v>
      </c>
      <c r="D188" s="1">
        <v>24000</v>
      </c>
      <c r="E188" s="1"/>
      <c r="F188" s="1">
        <v>262</v>
      </c>
      <c r="G188" s="1">
        <v>24000</v>
      </c>
      <c r="H188" s="5">
        <f t="shared" si="2"/>
        <v>0</v>
      </c>
      <c r="I188" s="1"/>
      <c r="J188" s="1"/>
    </row>
    <row r="189" spans="1:10" x14ac:dyDescent="0.2">
      <c r="A189" s="1">
        <v>184</v>
      </c>
      <c r="B189" s="1" t="s">
        <v>359</v>
      </c>
      <c r="C189" s="32">
        <v>5366</v>
      </c>
      <c r="D189" s="1">
        <v>30000</v>
      </c>
      <c r="E189" s="1"/>
      <c r="F189" s="1">
        <v>334</v>
      </c>
      <c r="G189" s="1">
        <v>30000</v>
      </c>
      <c r="H189" s="5">
        <f t="shared" si="2"/>
        <v>0</v>
      </c>
      <c r="I189" s="1"/>
      <c r="J189" s="1"/>
    </row>
    <row r="190" spans="1:10" x14ac:dyDescent="0.2">
      <c r="A190" s="1">
        <v>185</v>
      </c>
      <c r="B190" s="1" t="s">
        <v>359</v>
      </c>
      <c r="C190" s="32">
        <v>9903</v>
      </c>
      <c r="D190" s="1">
        <v>15000</v>
      </c>
      <c r="E190" s="1"/>
      <c r="F190" s="1">
        <v>167</v>
      </c>
      <c r="G190" s="1">
        <v>15000</v>
      </c>
      <c r="H190" s="5">
        <f t="shared" si="2"/>
        <v>0</v>
      </c>
      <c r="I190" s="1"/>
      <c r="J190" s="1"/>
    </row>
    <row r="191" spans="1:10" x14ac:dyDescent="0.2">
      <c r="A191" s="1">
        <v>186</v>
      </c>
      <c r="B191" s="1" t="s">
        <v>359</v>
      </c>
      <c r="C191" s="32">
        <v>3177</v>
      </c>
      <c r="D191" s="1">
        <v>25000</v>
      </c>
      <c r="E191" s="1"/>
      <c r="F191" s="1">
        <v>278</v>
      </c>
      <c r="G191" s="1">
        <v>25000</v>
      </c>
      <c r="H191" s="5">
        <f t="shared" si="2"/>
        <v>0</v>
      </c>
      <c r="I191" s="1"/>
      <c r="J191" s="1"/>
    </row>
    <row r="192" spans="1:10" x14ac:dyDescent="0.2">
      <c r="A192" s="1">
        <v>187</v>
      </c>
      <c r="B192" s="1" t="s">
        <v>359</v>
      </c>
      <c r="C192" s="32">
        <v>6768</v>
      </c>
      <c r="D192" s="1">
        <v>22000</v>
      </c>
      <c r="E192" s="1"/>
      <c r="F192" s="1">
        <v>245</v>
      </c>
      <c r="G192" s="1">
        <v>22000</v>
      </c>
      <c r="H192" s="5">
        <f t="shared" si="2"/>
        <v>0</v>
      </c>
      <c r="I192" s="1"/>
      <c r="J192" s="1"/>
    </row>
    <row r="193" spans="1:10" x14ac:dyDescent="0.2">
      <c r="A193" s="1">
        <v>188</v>
      </c>
      <c r="B193" s="1" t="s">
        <v>361</v>
      </c>
      <c r="C193" s="32">
        <v>9398</v>
      </c>
      <c r="D193" s="1">
        <v>17000</v>
      </c>
      <c r="E193" s="1"/>
      <c r="F193" s="1">
        <v>178</v>
      </c>
      <c r="G193" s="1">
        <v>17000</v>
      </c>
      <c r="H193" s="5">
        <f t="shared" si="2"/>
        <v>0</v>
      </c>
      <c r="I193" s="1"/>
      <c r="J193" s="1"/>
    </row>
    <row r="194" spans="1:10" x14ac:dyDescent="0.2">
      <c r="A194" s="1">
        <v>189</v>
      </c>
      <c r="B194" s="1" t="s">
        <v>361</v>
      </c>
      <c r="C194" s="32">
        <v>9998</v>
      </c>
      <c r="D194" s="1">
        <v>17000</v>
      </c>
      <c r="E194" s="1"/>
      <c r="F194" s="1">
        <v>178</v>
      </c>
      <c r="G194" s="1">
        <v>17000</v>
      </c>
      <c r="H194" s="5">
        <f t="shared" si="2"/>
        <v>0</v>
      </c>
      <c r="I194" s="1"/>
      <c r="J194" s="1"/>
    </row>
    <row r="195" spans="1:10" x14ac:dyDescent="0.2">
      <c r="A195" s="1">
        <v>190</v>
      </c>
      <c r="B195" s="1" t="s">
        <v>361</v>
      </c>
      <c r="C195" s="32">
        <v>8325</v>
      </c>
      <c r="D195" s="1">
        <v>17000</v>
      </c>
      <c r="E195" s="1"/>
      <c r="F195" s="1">
        <v>178</v>
      </c>
      <c r="G195" s="1">
        <v>17000</v>
      </c>
      <c r="H195" s="5">
        <f t="shared" si="2"/>
        <v>0</v>
      </c>
      <c r="I195" s="1"/>
      <c r="J195" s="1"/>
    </row>
    <row r="196" spans="1:10" x14ac:dyDescent="0.2">
      <c r="A196" s="1">
        <v>191</v>
      </c>
      <c r="B196" s="1" t="s">
        <v>361</v>
      </c>
      <c r="C196" s="32" t="s">
        <v>30</v>
      </c>
      <c r="D196" s="1">
        <v>4000</v>
      </c>
      <c r="E196" s="1"/>
      <c r="F196" s="1">
        <v>44</v>
      </c>
      <c r="G196" s="1">
        <v>4000</v>
      </c>
      <c r="H196" s="5">
        <f t="shared" si="2"/>
        <v>0</v>
      </c>
      <c r="I196" s="1"/>
      <c r="J196" s="1"/>
    </row>
    <row r="197" spans="1:10" x14ac:dyDescent="0.2">
      <c r="A197" s="1">
        <v>192</v>
      </c>
      <c r="B197" s="1" t="s">
        <v>361</v>
      </c>
      <c r="C197" s="32">
        <v>8338</v>
      </c>
      <c r="D197" s="1">
        <v>18000</v>
      </c>
      <c r="E197" s="1"/>
      <c r="F197" s="1">
        <v>200</v>
      </c>
      <c r="G197" s="1">
        <v>18000</v>
      </c>
      <c r="H197" s="5">
        <f t="shared" si="2"/>
        <v>0</v>
      </c>
      <c r="I197" s="1"/>
      <c r="J197" s="1"/>
    </row>
    <row r="198" spans="1:10" x14ac:dyDescent="0.2">
      <c r="A198" s="1">
        <v>193</v>
      </c>
      <c r="B198" s="1" t="s">
        <v>361</v>
      </c>
      <c r="C198" s="32">
        <v>1222</v>
      </c>
      <c r="D198" s="1">
        <v>20000</v>
      </c>
      <c r="E198" s="1"/>
      <c r="F198" s="1">
        <v>222.82</v>
      </c>
      <c r="G198" s="1">
        <v>20000</v>
      </c>
      <c r="H198" s="5">
        <f t="shared" si="2"/>
        <v>0</v>
      </c>
      <c r="I198" s="1"/>
      <c r="J198" s="1"/>
    </row>
    <row r="199" spans="1:10" x14ac:dyDescent="0.2">
      <c r="A199" s="1">
        <v>194</v>
      </c>
      <c r="B199" s="1" t="s">
        <v>361</v>
      </c>
      <c r="C199" s="32">
        <v>4553</v>
      </c>
      <c r="D199" s="1">
        <v>17000</v>
      </c>
      <c r="E199" s="1"/>
      <c r="F199" s="1">
        <v>178</v>
      </c>
      <c r="G199" s="1">
        <v>17000</v>
      </c>
      <c r="H199" s="5">
        <f t="shared" ref="H199:H267" si="3">D199-G199</f>
        <v>0</v>
      </c>
      <c r="I199" s="1"/>
      <c r="J199" s="1"/>
    </row>
    <row r="200" spans="1:10" x14ac:dyDescent="0.2">
      <c r="A200" s="1">
        <v>195</v>
      </c>
      <c r="B200" s="1" t="s">
        <v>362</v>
      </c>
      <c r="C200" s="32">
        <v>6711</v>
      </c>
      <c r="D200" s="1">
        <v>18000</v>
      </c>
      <c r="E200" s="1"/>
      <c r="F200" s="1">
        <v>189</v>
      </c>
      <c r="G200" s="1">
        <v>18000</v>
      </c>
      <c r="H200" s="5">
        <f t="shared" si="3"/>
        <v>0</v>
      </c>
      <c r="I200" s="1"/>
      <c r="J200" s="1"/>
    </row>
    <row r="201" spans="1:10" x14ac:dyDescent="0.2">
      <c r="A201" s="1">
        <v>196</v>
      </c>
      <c r="B201" s="1" t="s">
        <v>362</v>
      </c>
      <c r="C201" s="32" t="s">
        <v>63</v>
      </c>
      <c r="D201" s="1">
        <v>2000</v>
      </c>
      <c r="E201" s="1"/>
      <c r="F201" s="1">
        <v>22.28</v>
      </c>
      <c r="G201" s="1">
        <v>2000</v>
      </c>
      <c r="H201" s="5">
        <f t="shared" si="3"/>
        <v>0</v>
      </c>
      <c r="I201" s="1"/>
      <c r="J201" s="1"/>
    </row>
    <row r="202" spans="1:10" x14ac:dyDescent="0.2">
      <c r="A202" s="1">
        <v>197</v>
      </c>
      <c r="B202" s="1" t="s">
        <v>362</v>
      </c>
      <c r="C202" s="32">
        <v>5281</v>
      </c>
      <c r="D202" s="1">
        <v>20000</v>
      </c>
      <c r="E202" s="1"/>
      <c r="F202" s="1">
        <v>204</v>
      </c>
      <c r="G202" s="1">
        <v>20000</v>
      </c>
      <c r="H202" s="5">
        <f t="shared" si="3"/>
        <v>0</v>
      </c>
      <c r="I202" s="1"/>
      <c r="J202" s="1"/>
    </row>
    <row r="203" spans="1:10" x14ac:dyDescent="0.2">
      <c r="A203" s="1">
        <v>198</v>
      </c>
      <c r="B203" s="1" t="s">
        <v>362</v>
      </c>
      <c r="C203" s="32">
        <v>5504</v>
      </c>
      <c r="D203" s="1">
        <v>12000</v>
      </c>
      <c r="E203" s="1"/>
      <c r="F203" s="1">
        <v>133</v>
      </c>
      <c r="G203" s="1">
        <v>12000</v>
      </c>
      <c r="H203" s="5">
        <f t="shared" si="3"/>
        <v>0</v>
      </c>
      <c r="I203" s="1"/>
      <c r="J203" s="1"/>
    </row>
    <row r="204" spans="1:10" x14ac:dyDescent="0.2">
      <c r="A204" s="1">
        <v>199</v>
      </c>
      <c r="B204" s="1" t="s">
        <v>362</v>
      </c>
      <c r="C204" s="32">
        <v>7601</v>
      </c>
      <c r="D204" s="1">
        <v>24000</v>
      </c>
      <c r="E204" s="1"/>
      <c r="F204" s="1">
        <v>245</v>
      </c>
      <c r="G204" s="1">
        <v>24000</v>
      </c>
      <c r="H204" s="5">
        <f t="shared" si="3"/>
        <v>0</v>
      </c>
      <c r="I204" s="1"/>
      <c r="J204" s="1"/>
    </row>
    <row r="205" spans="1:10" x14ac:dyDescent="0.2">
      <c r="A205" s="1">
        <v>200</v>
      </c>
      <c r="B205" s="1" t="s">
        <v>362</v>
      </c>
      <c r="C205" s="32">
        <v>7501</v>
      </c>
      <c r="D205" s="1">
        <v>24000</v>
      </c>
      <c r="E205" s="1"/>
      <c r="F205" s="1">
        <v>245</v>
      </c>
      <c r="G205" s="1">
        <v>24000</v>
      </c>
      <c r="H205" s="5">
        <f t="shared" si="3"/>
        <v>0</v>
      </c>
      <c r="I205" s="1"/>
      <c r="J205" s="1"/>
    </row>
    <row r="206" spans="1:10" x14ac:dyDescent="0.2">
      <c r="A206" s="1">
        <v>201</v>
      </c>
      <c r="B206" s="1" t="s">
        <v>362</v>
      </c>
      <c r="C206" s="32">
        <v>1855</v>
      </c>
      <c r="D206" s="1">
        <v>28000</v>
      </c>
      <c r="E206" s="1"/>
      <c r="F206" s="1">
        <v>311</v>
      </c>
      <c r="G206" s="1">
        <v>28000</v>
      </c>
      <c r="H206" s="5">
        <f t="shared" si="3"/>
        <v>0</v>
      </c>
      <c r="I206" s="1"/>
      <c r="J206" s="1"/>
    </row>
    <row r="207" spans="1:10" x14ac:dyDescent="0.2">
      <c r="A207" s="1">
        <v>202</v>
      </c>
      <c r="B207" s="1" t="s">
        <v>362</v>
      </c>
      <c r="C207" s="32">
        <v>3754</v>
      </c>
      <c r="D207" s="1">
        <v>9000</v>
      </c>
      <c r="E207" s="1"/>
      <c r="F207" s="1">
        <v>100.27</v>
      </c>
      <c r="G207" s="1">
        <v>9000</v>
      </c>
      <c r="H207" s="5">
        <f t="shared" si="3"/>
        <v>0</v>
      </c>
      <c r="I207" s="1"/>
      <c r="J207" s="1"/>
    </row>
    <row r="208" spans="1:10" x14ac:dyDescent="0.2">
      <c r="A208" s="1">
        <v>203</v>
      </c>
      <c r="B208" s="1" t="s">
        <v>362</v>
      </c>
      <c r="C208" s="32">
        <v>2705</v>
      </c>
      <c r="D208" s="1">
        <v>12000</v>
      </c>
      <c r="E208" s="1"/>
      <c r="F208" s="1">
        <v>133</v>
      </c>
      <c r="G208" s="1">
        <v>12000</v>
      </c>
      <c r="H208" s="5">
        <f t="shared" si="3"/>
        <v>0</v>
      </c>
      <c r="I208" s="1"/>
      <c r="J208" s="1"/>
    </row>
    <row r="209" spans="1:10" x14ac:dyDescent="0.2">
      <c r="A209" s="1">
        <v>204</v>
      </c>
      <c r="B209" s="1" t="s">
        <v>363</v>
      </c>
      <c r="C209" s="32">
        <v>5.1999999999999998E-3</v>
      </c>
      <c r="D209" s="1">
        <v>16000</v>
      </c>
      <c r="E209" s="1"/>
      <c r="F209" s="1">
        <v>178</v>
      </c>
      <c r="G209" s="1">
        <v>16000</v>
      </c>
      <c r="H209" s="5">
        <f t="shared" si="3"/>
        <v>0</v>
      </c>
      <c r="I209" s="1"/>
      <c r="J209" s="1"/>
    </row>
    <row r="210" spans="1:10" x14ac:dyDescent="0.2">
      <c r="A210" s="1">
        <v>205</v>
      </c>
      <c r="B210" s="1" t="s">
        <v>363</v>
      </c>
      <c r="C210" s="32" t="s">
        <v>66</v>
      </c>
      <c r="D210" s="1">
        <v>210</v>
      </c>
      <c r="E210" s="1"/>
      <c r="F210" s="1">
        <v>2.1</v>
      </c>
      <c r="G210" s="1">
        <v>210</v>
      </c>
      <c r="H210" s="5">
        <f t="shared" si="3"/>
        <v>0</v>
      </c>
      <c r="I210" s="1"/>
      <c r="J210" s="1"/>
    </row>
    <row r="211" spans="1:10" x14ac:dyDescent="0.2">
      <c r="A211" s="1">
        <v>206</v>
      </c>
      <c r="B211" s="1" t="s">
        <v>363</v>
      </c>
      <c r="C211" s="32" t="s">
        <v>30</v>
      </c>
      <c r="D211" s="1">
        <v>5000</v>
      </c>
      <c r="E211" s="1"/>
      <c r="F211" s="1">
        <v>55.13</v>
      </c>
      <c r="G211" s="1">
        <v>5000</v>
      </c>
      <c r="H211" s="5">
        <f t="shared" si="3"/>
        <v>0</v>
      </c>
      <c r="I211" s="1"/>
      <c r="J211" s="1"/>
    </row>
    <row r="212" spans="1:10" x14ac:dyDescent="0.2">
      <c r="A212" s="1">
        <v>207</v>
      </c>
      <c r="B212" s="1" t="s">
        <v>363</v>
      </c>
      <c r="C212" s="32">
        <v>4371</v>
      </c>
      <c r="D212" s="1">
        <v>12000</v>
      </c>
      <c r="E212" s="1"/>
      <c r="F212" s="1">
        <v>133</v>
      </c>
      <c r="G212" s="1">
        <v>12000</v>
      </c>
      <c r="H212" s="5">
        <f t="shared" si="3"/>
        <v>0</v>
      </c>
      <c r="I212" s="1"/>
      <c r="J212" s="1"/>
    </row>
    <row r="213" spans="1:10" x14ac:dyDescent="0.2">
      <c r="A213" s="1">
        <v>208</v>
      </c>
      <c r="B213" s="1" t="s">
        <v>363</v>
      </c>
      <c r="C213" s="32">
        <v>1398</v>
      </c>
      <c r="D213" s="1">
        <v>19000</v>
      </c>
      <c r="E213" s="1"/>
      <c r="F213" s="1">
        <v>211</v>
      </c>
      <c r="G213" s="1">
        <v>19000</v>
      </c>
      <c r="H213" s="5">
        <f t="shared" si="3"/>
        <v>0</v>
      </c>
      <c r="I213" s="1"/>
      <c r="J213" s="1"/>
    </row>
    <row r="214" spans="1:10" x14ac:dyDescent="0.2">
      <c r="A214" s="1">
        <v>209</v>
      </c>
      <c r="B214" s="1" t="s">
        <v>363</v>
      </c>
      <c r="C214" s="32">
        <v>1593</v>
      </c>
      <c r="D214" s="1">
        <v>12000</v>
      </c>
      <c r="E214" s="1"/>
      <c r="F214" s="1">
        <v>133</v>
      </c>
      <c r="G214" s="1">
        <v>12000</v>
      </c>
      <c r="H214" s="5">
        <f t="shared" si="3"/>
        <v>0</v>
      </c>
      <c r="I214" s="1"/>
      <c r="J214" s="1"/>
    </row>
    <row r="215" spans="1:10" x14ac:dyDescent="0.2">
      <c r="A215" s="1">
        <v>210</v>
      </c>
      <c r="B215" s="1" t="s">
        <v>363</v>
      </c>
      <c r="C215" s="32">
        <v>2021</v>
      </c>
      <c r="D215" s="1">
        <v>28000</v>
      </c>
      <c r="E215" s="1"/>
      <c r="F215" s="1">
        <v>311</v>
      </c>
      <c r="G215" s="1">
        <v>28000</v>
      </c>
      <c r="H215" s="5">
        <f t="shared" si="3"/>
        <v>0</v>
      </c>
      <c r="I215" s="1"/>
      <c r="J215" s="1"/>
    </row>
    <row r="216" spans="1:10" x14ac:dyDescent="0.2">
      <c r="A216" s="1">
        <v>211</v>
      </c>
      <c r="B216" s="1" t="s">
        <v>363</v>
      </c>
      <c r="C216" s="32">
        <v>1436</v>
      </c>
      <c r="D216" s="1">
        <v>25000</v>
      </c>
      <c r="E216" s="1"/>
      <c r="F216" s="1">
        <v>278</v>
      </c>
      <c r="G216" s="1">
        <v>25000</v>
      </c>
      <c r="H216" s="5">
        <f t="shared" si="3"/>
        <v>0</v>
      </c>
      <c r="I216" s="1"/>
      <c r="J216" s="1"/>
    </row>
    <row r="217" spans="1:10" x14ac:dyDescent="0.2">
      <c r="A217" s="1">
        <v>212</v>
      </c>
      <c r="B217" s="1" t="s">
        <v>363</v>
      </c>
      <c r="C217" s="32">
        <v>3023</v>
      </c>
      <c r="D217" s="1">
        <v>15530</v>
      </c>
      <c r="E217" s="1"/>
      <c r="F217" s="1">
        <v>161</v>
      </c>
      <c r="G217" s="1">
        <v>15530</v>
      </c>
      <c r="H217" s="5">
        <f t="shared" si="3"/>
        <v>0</v>
      </c>
      <c r="I217" s="1"/>
      <c r="J217" s="1"/>
    </row>
    <row r="218" spans="1:10" x14ac:dyDescent="0.2">
      <c r="A218" s="1">
        <v>213</v>
      </c>
      <c r="B218" s="1" t="s">
        <v>363</v>
      </c>
      <c r="C218" s="32">
        <v>7.8100000000000003E-2</v>
      </c>
      <c r="D218" s="1">
        <v>32000</v>
      </c>
      <c r="E218" s="1"/>
      <c r="F218" s="1">
        <v>356</v>
      </c>
      <c r="G218" s="1">
        <v>32000</v>
      </c>
      <c r="H218" s="5">
        <f t="shared" si="3"/>
        <v>0</v>
      </c>
      <c r="I218" s="1"/>
      <c r="J218" s="1"/>
    </row>
    <row r="219" spans="1:10" x14ac:dyDescent="0.2">
      <c r="A219" s="1">
        <v>214</v>
      </c>
      <c r="B219" s="1" t="s">
        <v>366</v>
      </c>
      <c r="C219" s="32">
        <v>7086</v>
      </c>
      <c r="D219" s="1">
        <v>14000</v>
      </c>
      <c r="E219" s="1"/>
      <c r="F219" s="1">
        <v>155</v>
      </c>
      <c r="G219" s="1">
        <v>14000</v>
      </c>
      <c r="H219" s="5">
        <f t="shared" si="3"/>
        <v>0</v>
      </c>
      <c r="I219" s="1"/>
      <c r="J219" s="1"/>
    </row>
    <row r="220" spans="1:10" x14ac:dyDescent="0.2">
      <c r="A220" s="1">
        <v>215</v>
      </c>
      <c r="B220" s="1" t="s">
        <v>366</v>
      </c>
      <c r="C220" s="32">
        <v>2705</v>
      </c>
      <c r="D220" s="1">
        <v>12000</v>
      </c>
      <c r="E220" s="1"/>
      <c r="F220" s="1">
        <v>133</v>
      </c>
      <c r="G220" s="1">
        <v>12000</v>
      </c>
      <c r="H220" s="5">
        <f t="shared" si="3"/>
        <v>0</v>
      </c>
      <c r="I220" s="1"/>
      <c r="J220" s="1"/>
    </row>
    <row r="221" spans="1:10" x14ac:dyDescent="0.2">
      <c r="A221" s="1">
        <v>216</v>
      </c>
      <c r="B221" s="1" t="s">
        <v>366</v>
      </c>
      <c r="C221" s="32" t="s">
        <v>63</v>
      </c>
      <c r="D221" s="1">
        <v>2000</v>
      </c>
      <c r="E221" s="1"/>
      <c r="F221" s="1">
        <v>22.12</v>
      </c>
      <c r="G221" s="1">
        <v>2000</v>
      </c>
      <c r="H221" s="5">
        <f t="shared" si="3"/>
        <v>0</v>
      </c>
      <c r="I221" s="1"/>
      <c r="J221" s="1"/>
    </row>
    <row r="222" spans="1:10" x14ac:dyDescent="0.2">
      <c r="A222" s="1">
        <v>217</v>
      </c>
      <c r="B222" s="1" t="s">
        <v>366</v>
      </c>
      <c r="C222" s="32" t="s">
        <v>30</v>
      </c>
      <c r="D222" s="1">
        <v>4500</v>
      </c>
      <c r="E222" s="1"/>
      <c r="F222" s="1">
        <v>50.13</v>
      </c>
      <c r="G222" s="1">
        <v>4500</v>
      </c>
      <c r="H222" s="5">
        <f t="shared" si="3"/>
        <v>0</v>
      </c>
      <c r="I222" s="1"/>
      <c r="J222" s="1"/>
    </row>
    <row r="223" spans="1:10" x14ac:dyDescent="0.2">
      <c r="A223" s="1">
        <v>218</v>
      </c>
      <c r="B223" s="1" t="s">
        <v>366</v>
      </c>
      <c r="C223" s="32">
        <v>1266</v>
      </c>
      <c r="D223" s="1">
        <v>13000</v>
      </c>
      <c r="E223" s="1"/>
      <c r="F223" s="1">
        <v>144</v>
      </c>
      <c r="G223" s="1">
        <v>13000</v>
      </c>
      <c r="H223" s="5">
        <f t="shared" si="3"/>
        <v>0</v>
      </c>
      <c r="I223" s="1"/>
      <c r="J223" s="1"/>
    </row>
    <row r="224" spans="1:10" x14ac:dyDescent="0.2">
      <c r="A224" s="1">
        <v>219</v>
      </c>
      <c r="B224" s="1" t="s">
        <v>366</v>
      </c>
      <c r="C224" s="32">
        <v>6924</v>
      </c>
      <c r="D224" s="1">
        <v>20000</v>
      </c>
      <c r="E224" s="1"/>
      <c r="F224" s="1">
        <v>222.82</v>
      </c>
      <c r="G224" s="1">
        <v>20000</v>
      </c>
      <c r="H224" s="5">
        <f t="shared" si="3"/>
        <v>0</v>
      </c>
      <c r="I224" s="1"/>
      <c r="J224" s="1"/>
    </row>
    <row r="225" spans="1:10" x14ac:dyDescent="0.2">
      <c r="A225" s="1">
        <v>220</v>
      </c>
      <c r="B225" s="1" t="s">
        <v>366</v>
      </c>
      <c r="C225" s="32">
        <v>5596</v>
      </c>
      <c r="D225" s="1">
        <v>5000</v>
      </c>
      <c r="E225" s="1"/>
      <c r="F225" s="1">
        <v>55.7</v>
      </c>
      <c r="G225" s="1">
        <v>5000</v>
      </c>
      <c r="H225" s="5">
        <f t="shared" si="3"/>
        <v>0</v>
      </c>
      <c r="I225" s="1"/>
      <c r="J225" s="1"/>
    </row>
    <row r="226" spans="1:10" x14ac:dyDescent="0.2">
      <c r="A226" s="1">
        <v>221</v>
      </c>
      <c r="B226" s="1" t="s">
        <v>366</v>
      </c>
      <c r="C226" s="32">
        <v>1733</v>
      </c>
      <c r="D226" s="1">
        <v>15000</v>
      </c>
      <c r="E226" s="1"/>
      <c r="F226" s="1">
        <v>133</v>
      </c>
      <c r="G226" s="1">
        <v>15000</v>
      </c>
      <c r="H226" s="5">
        <f t="shared" si="3"/>
        <v>0</v>
      </c>
      <c r="I226" s="1"/>
      <c r="J226" s="1"/>
    </row>
    <row r="227" spans="1:10" x14ac:dyDescent="0.2">
      <c r="A227" s="1">
        <v>222</v>
      </c>
      <c r="B227" s="1" t="s">
        <v>366</v>
      </c>
      <c r="C227" s="32">
        <v>9544</v>
      </c>
      <c r="D227" s="1">
        <v>12000</v>
      </c>
      <c r="E227" s="1"/>
      <c r="F227" s="1">
        <v>133</v>
      </c>
      <c r="G227" s="1">
        <v>12000</v>
      </c>
      <c r="H227" s="5">
        <f t="shared" si="3"/>
        <v>0</v>
      </c>
      <c r="I227" s="1"/>
      <c r="J227" s="1"/>
    </row>
    <row r="228" spans="1:10" x14ac:dyDescent="0.2">
      <c r="A228" s="1">
        <v>223</v>
      </c>
      <c r="B228" s="1" t="s">
        <v>366</v>
      </c>
      <c r="C228" s="32">
        <v>3558</v>
      </c>
      <c r="D228" s="1">
        <v>27000</v>
      </c>
      <c r="E228" s="1"/>
      <c r="F228" s="1">
        <v>300.8</v>
      </c>
      <c r="G228" s="1">
        <v>27000</v>
      </c>
      <c r="H228" s="5">
        <f t="shared" si="3"/>
        <v>0</v>
      </c>
      <c r="I228" s="1"/>
      <c r="J228" s="1"/>
    </row>
    <row r="229" spans="1:10" x14ac:dyDescent="0.2">
      <c r="A229" s="1">
        <v>224</v>
      </c>
      <c r="B229" s="1" t="s">
        <v>366</v>
      </c>
      <c r="C229" s="32">
        <v>5485</v>
      </c>
      <c r="D229" s="1">
        <v>28000</v>
      </c>
      <c r="E229" s="1"/>
      <c r="F229" s="1">
        <v>311</v>
      </c>
      <c r="G229" s="1">
        <v>28000</v>
      </c>
      <c r="H229" s="5">
        <f t="shared" si="3"/>
        <v>0</v>
      </c>
      <c r="I229" s="1"/>
      <c r="J229" s="1"/>
    </row>
    <row r="230" spans="1:10" x14ac:dyDescent="0.2">
      <c r="A230" s="1">
        <v>225</v>
      </c>
      <c r="B230" s="1" t="s">
        <v>366</v>
      </c>
      <c r="C230" s="32">
        <v>5485</v>
      </c>
      <c r="D230" s="1">
        <v>28000</v>
      </c>
      <c r="E230" s="1"/>
      <c r="F230" s="1">
        <v>311</v>
      </c>
      <c r="G230" s="1">
        <v>28000</v>
      </c>
      <c r="H230" s="5">
        <f t="shared" si="3"/>
        <v>0</v>
      </c>
      <c r="I230" s="1"/>
      <c r="J230" s="1"/>
    </row>
    <row r="231" spans="1:10" x14ac:dyDescent="0.2">
      <c r="A231" s="1">
        <v>226</v>
      </c>
      <c r="B231" s="1" t="s">
        <v>366</v>
      </c>
      <c r="C231" s="32">
        <v>5035</v>
      </c>
      <c r="D231" s="1">
        <v>25000</v>
      </c>
      <c r="E231" s="1"/>
      <c r="F231" s="1">
        <v>278.22000000000003</v>
      </c>
      <c r="G231" s="1">
        <v>25000</v>
      </c>
      <c r="H231" s="5">
        <f t="shared" si="3"/>
        <v>0</v>
      </c>
      <c r="I231" s="1"/>
      <c r="J231" s="1"/>
    </row>
    <row r="232" spans="1:10" x14ac:dyDescent="0.2">
      <c r="A232" s="1">
        <v>227</v>
      </c>
      <c r="B232" s="1" t="s">
        <v>366</v>
      </c>
      <c r="C232" s="32">
        <v>4501</v>
      </c>
      <c r="D232" s="1">
        <v>25000</v>
      </c>
      <c r="E232" s="1"/>
      <c r="F232" s="1">
        <v>278.22000000000003</v>
      </c>
      <c r="G232" s="1">
        <v>25000</v>
      </c>
      <c r="H232" s="5">
        <f t="shared" si="3"/>
        <v>0</v>
      </c>
      <c r="I232" s="1"/>
      <c r="J232" s="1"/>
    </row>
    <row r="233" spans="1:10" x14ac:dyDescent="0.2">
      <c r="A233" s="1">
        <v>228</v>
      </c>
      <c r="B233" s="1" t="s">
        <v>366</v>
      </c>
      <c r="C233" s="32">
        <v>2182</v>
      </c>
      <c r="D233" s="1">
        <v>25000</v>
      </c>
      <c r="E233" s="1"/>
      <c r="F233" s="1">
        <v>278.22000000000003</v>
      </c>
      <c r="G233" s="1">
        <v>25000</v>
      </c>
      <c r="H233" s="5">
        <f t="shared" si="3"/>
        <v>0</v>
      </c>
      <c r="I233" s="1"/>
      <c r="J233" s="1"/>
    </row>
    <row r="234" spans="1:10" x14ac:dyDescent="0.2">
      <c r="A234" s="1">
        <v>229</v>
      </c>
      <c r="B234" s="1" t="s">
        <v>366</v>
      </c>
      <c r="C234" s="32">
        <v>2210</v>
      </c>
      <c r="D234" s="1">
        <v>7000</v>
      </c>
      <c r="E234" s="1"/>
      <c r="F234" s="1">
        <v>77.12</v>
      </c>
      <c r="G234" s="1">
        <v>7000</v>
      </c>
      <c r="H234" s="5">
        <f t="shared" si="3"/>
        <v>0</v>
      </c>
      <c r="I234" s="1"/>
      <c r="J234" s="1"/>
    </row>
    <row r="235" spans="1:10" x14ac:dyDescent="0.2">
      <c r="A235" s="1">
        <v>230</v>
      </c>
      <c r="B235" s="1" t="s">
        <v>367</v>
      </c>
      <c r="C235" s="32">
        <v>4137</v>
      </c>
      <c r="D235" s="1">
        <v>16000</v>
      </c>
      <c r="E235" s="1"/>
      <c r="F235" s="1">
        <v>178</v>
      </c>
      <c r="G235" s="1">
        <v>16000</v>
      </c>
      <c r="H235" s="5">
        <f t="shared" si="3"/>
        <v>0</v>
      </c>
      <c r="I235" s="1"/>
      <c r="J235" s="1"/>
    </row>
    <row r="236" spans="1:10" x14ac:dyDescent="0.2">
      <c r="A236" s="1">
        <v>231</v>
      </c>
      <c r="B236" s="1" t="s">
        <v>367</v>
      </c>
      <c r="C236" s="32">
        <v>2195</v>
      </c>
      <c r="D236" s="1">
        <v>20000</v>
      </c>
      <c r="E236" s="1"/>
      <c r="F236" s="1">
        <v>222.82</v>
      </c>
      <c r="G236" s="1">
        <v>20000</v>
      </c>
      <c r="H236" s="5">
        <f t="shared" si="3"/>
        <v>0</v>
      </c>
      <c r="I236" s="1"/>
      <c r="J236" s="1"/>
    </row>
    <row r="237" spans="1:10" x14ac:dyDescent="0.2">
      <c r="A237" s="1">
        <v>232</v>
      </c>
      <c r="B237" s="1" t="s">
        <v>367</v>
      </c>
      <c r="C237" s="32">
        <v>5573</v>
      </c>
      <c r="D237" s="1">
        <v>10000</v>
      </c>
      <c r="E237" s="1"/>
      <c r="F237" s="1">
        <v>111</v>
      </c>
      <c r="G237" s="1">
        <v>10000</v>
      </c>
      <c r="H237" s="5">
        <f t="shared" si="3"/>
        <v>0</v>
      </c>
      <c r="I237" s="1"/>
      <c r="J237" s="1"/>
    </row>
    <row r="238" spans="1:10" x14ac:dyDescent="0.2">
      <c r="A238" s="1">
        <v>233</v>
      </c>
      <c r="B238" s="1" t="s">
        <v>367</v>
      </c>
      <c r="C238" s="32">
        <v>4519</v>
      </c>
      <c r="D238" s="1">
        <v>10000</v>
      </c>
      <c r="E238" s="1"/>
      <c r="F238" s="1">
        <v>111</v>
      </c>
      <c r="G238" s="1">
        <v>10000</v>
      </c>
      <c r="H238" s="5">
        <f t="shared" si="3"/>
        <v>0</v>
      </c>
      <c r="I238" s="1"/>
      <c r="J238" s="1"/>
    </row>
    <row r="239" spans="1:10" x14ac:dyDescent="0.2">
      <c r="A239" s="1">
        <v>234</v>
      </c>
      <c r="B239" s="1" t="s">
        <v>367</v>
      </c>
      <c r="C239" s="32" t="s">
        <v>30</v>
      </c>
      <c r="D239" s="1">
        <v>5000</v>
      </c>
      <c r="E239" s="1"/>
      <c r="F239" s="1">
        <v>55.13</v>
      </c>
      <c r="G239" s="1">
        <v>5000</v>
      </c>
      <c r="H239" s="5">
        <f t="shared" si="3"/>
        <v>0</v>
      </c>
      <c r="I239" s="1"/>
      <c r="J239" s="1"/>
    </row>
    <row r="240" spans="1:10" x14ac:dyDescent="0.2">
      <c r="A240" s="1">
        <v>235</v>
      </c>
      <c r="B240" s="1" t="s">
        <v>367</v>
      </c>
      <c r="C240" s="32" t="s">
        <v>66</v>
      </c>
      <c r="D240" s="1">
        <v>200</v>
      </c>
      <c r="E240" s="1"/>
      <c r="F240" s="1">
        <v>2.1</v>
      </c>
      <c r="G240" s="1">
        <v>200</v>
      </c>
      <c r="H240" s="5">
        <f t="shared" si="3"/>
        <v>0</v>
      </c>
      <c r="I240" s="1"/>
      <c r="J240" s="1"/>
    </row>
    <row r="241" spans="1:10" x14ac:dyDescent="0.2">
      <c r="A241" s="1">
        <v>236</v>
      </c>
      <c r="B241" s="1" t="s">
        <v>367</v>
      </c>
      <c r="C241" s="32">
        <v>3673</v>
      </c>
      <c r="D241" s="1">
        <v>25000</v>
      </c>
      <c r="E241" s="1"/>
      <c r="F241" s="1">
        <v>278.22000000000003</v>
      </c>
      <c r="G241" s="1">
        <v>25000</v>
      </c>
      <c r="H241" s="5">
        <f t="shared" si="3"/>
        <v>0</v>
      </c>
      <c r="I241" s="1"/>
      <c r="J241" s="1"/>
    </row>
    <row r="242" spans="1:10" x14ac:dyDescent="0.2">
      <c r="A242" s="1">
        <v>237</v>
      </c>
      <c r="B242" s="1" t="s">
        <v>367</v>
      </c>
      <c r="C242" s="32">
        <v>5151</v>
      </c>
      <c r="D242" s="1">
        <v>16000</v>
      </c>
      <c r="E242" s="1"/>
      <c r="F242" s="1">
        <v>178</v>
      </c>
      <c r="G242" s="1">
        <v>16000</v>
      </c>
      <c r="H242" s="5">
        <f t="shared" si="3"/>
        <v>0</v>
      </c>
      <c r="I242" s="1"/>
      <c r="J242" s="1"/>
    </row>
    <row r="243" spans="1:10" x14ac:dyDescent="0.2">
      <c r="A243" s="1">
        <v>238</v>
      </c>
      <c r="B243" s="1" t="s">
        <v>367</v>
      </c>
      <c r="C243" s="32">
        <v>5252</v>
      </c>
      <c r="D243" s="1">
        <v>16000</v>
      </c>
      <c r="E243" s="1"/>
      <c r="F243" s="1">
        <v>178</v>
      </c>
      <c r="G243" s="1">
        <v>16000</v>
      </c>
      <c r="H243" s="5">
        <f t="shared" si="3"/>
        <v>0</v>
      </c>
      <c r="I243" s="1"/>
      <c r="J243" s="1"/>
    </row>
    <row r="244" spans="1:10" x14ac:dyDescent="0.2">
      <c r="A244" s="1">
        <v>239</v>
      </c>
      <c r="B244" s="1" t="s">
        <v>367</v>
      </c>
      <c r="C244" s="32">
        <v>5726</v>
      </c>
      <c r="D244" s="1">
        <v>5000</v>
      </c>
      <c r="E244" s="1"/>
      <c r="F244" s="1">
        <v>55.12</v>
      </c>
      <c r="G244" s="1">
        <v>5000</v>
      </c>
      <c r="H244" s="5">
        <f t="shared" si="3"/>
        <v>0</v>
      </c>
      <c r="I244" s="1"/>
      <c r="J244" s="1"/>
    </row>
    <row r="245" spans="1:10" x14ac:dyDescent="0.2">
      <c r="A245" s="1">
        <v>240</v>
      </c>
      <c r="B245" s="1" t="s">
        <v>367</v>
      </c>
      <c r="C245" s="32">
        <v>9451</v>
      </c>
      <c r="D245" s="1">
        <v>5000</v>
      </c>
      <c r="E245" s="1"/>
      <c r="F245" s="1">
        <v>55.12</v>
      </c>
      <c r="G245" s="1">
        <v>5000</v>
      </c>
      <c r="H245" s="5">
        <f t="shared" si="3"/>
        <v>0</v>
      </c>
      <c r="I245" s="1"/>
      <c r="J245" s="1"/>
    </row>
    <row r="246" spans="1:10" x14ac:dyDescent="0.2">
      <c r="A246" s="1">
        <v>241</v>
      </c>
      <c r="B246" s="1" t="s">
        <v>368</v>
      </c>
      <c r="C246" s="32">
        <v>9544</v>
      </c>
      <c r="D246" s="1">
        <v>12000</v>
      </c>
      <c r="E246" s="1"/>
      <c r="F246" s="1">
        <v>133</v>
      </c>
      <c r="G246" s="1">
        <v>12000</v>
      </c>
      <c r="H246" s="5">
        <f t="shared" si="3"/>
        <v>0</v>
      </c>
      <c r="I246" s="1"/>
      <c r="J246" s="1"/>
    </row>
    <row r="247" spans="1:10" x14ac:dyDescent="0.2">
      <c r="A247" s="1">
        <v>242</v>
      </c>
      <c r="B247" s="1" t="s">
        <v>368</v>
      </c>
      <c r="C247" s="32" t="s">
        <v>63</v>
      </c>
      <c r="D247" s="1">
        <v>3500</v>
      </c>
      <c r="E247" s="1"/>
      <c r="F247" s="1">
        <v>35.130000000000003</v>
      </c>
      <c r="G247" s="1">
        <v>3500</v>
      </c>
      <c r="H247" s="5">
        <f t="shared" si="3"/>
        <v>0</v>
      </c>
      <c r="I247" s="1"/>
      <c r="J247" s="1"/>
    </row>
    <row r="248" spans="1:10" x14ac:dyDescent="0.2">
      <c r="A248" s="1">
        <v>243</v>
      </c>
      <c r="B248" s="1" t="s">
        <v>368</v>
      </c>
      <c r="C248" s="32" t="s">
        <v>30</v>
      </c>
      <c r="D248" s="1">
        <v>3000</v>
      </c>
      <c r="E248" s="1"/>
      <c r="F248" s="1">
        <v>33</v>
      </c>
      <c r="G248" s="1">
        <v>3000</v>
      </c>
      <c r="H248" s="5">
        <f t="shared" si="3"/>
        <v>0</v>
      </c>
      <c r="I248" s="1"/>
      <c r="J248" s="1"/>
    </row>
    <row r="249" spans="1:10" x14ac:dyDescent="0.2">
      <c r="A249" s="1">
        <v>244</v>
      </c>
      <c r="B249" s="1" t="s">
        <v>368</v>
      </c>
      <c r="C249" s="32" t="s">
        <v>66</v>
      </c>
      <c r="D249" s="1">
        <v>210</v>
      </c>
      <c r="E249" s="1"/>
      <c r="F249" s="1">
        <v>2.1</v>
      </c>
      <c r="G249" s="1">
        <v>210</v>
      </c>
      <c r="H249" s="5">
        <f t="shared" si="3"/>
        <v>0</v>
      </c>
      <c r="I249" s="1"/>
      <c r="J249" s="1"/>
    </row>
    <row r="250" spans="1:10" x14ac:dyDescent="0.2">
      <c r="A250" s="1">
        <v>245</v>
      </c>
      <c r="B250" s="1" t="s">
        <v>368</v>
      </c>
      <c r="C250" s="32">
        <v>3184</v>
      </c>
      <c r="D250" s="1">
        <v>30000</v>
      </c>
      <c r="E250" s="1"/>
      <c r="F250" s="1">
        <v>334</v>
      </c>
      <c r="G250" s="1">
        <v>30000</v>
      </c>
      <c r="H250" s="5">
        <f t="shared" si="3"/>
        <v>0</v>
      </c>
      <c r="I250" s="1"/>
      <c r="J250" s="1"/>
    </row>
    <row r="251" spans="1:10" x14ac:dyDescent="0.2">
      <c r="A251" s="1">
        <v>246</v>
      </c>
      <c r="B251" s="1" t="s">
        <v>368</v>
      </c>
      <c r="C251" s="32">
        <v>1266</v>
      </c>
      <c r="D251" s="1">
        <v>13000</v>
      </c>
      <c r="E251" s="1"/>
      <c r="F251" s="1">
        <v>144</v>
      </c>
      <c r="G251" s="1">
        <v>13000</v>
      </c>
      <c r="H251" s="5">
        <f t="shared" si="3"/>
        <v>0</v>
      </c>
      <c r="I251" s="1"/>
      <c r="J251" s="1"/>
    </row>
    <row r="252" spans="1:10" x14ac:dyDescent="0.2">
      <c r="A252" s="1">
        <v>247</v>
      </c>
      <c r="B252" s="1" t="s">
        <v>368</v>
      </c>
      <c r="C252" s="32">
        <v>8.7900000000000006E-2</v>
      </c>
      <c r="D252" s="1">
        <v>13000</v>
      </c>
      <c r="E252" s="1"/>
      <c r="F252" s="1">
        <v>144</v>
      </c>
      <c r="G252" s="1">
        <v>13000</v>
      </c>
      <c r="H252" s="5">
        <f t="shared" si="3"/>
        <v>0</v>
      </c>
      <c r="I252" s="1"/>
      <c r="J252" s="1"/>
    </row>
    <row r="253" spans="1:10" x14ac:dyDescent="0.2">
      <c r="A253" s="1">
        <v>248</v>
      </c>
      <c r="B253" s="1" t="s">
        <v>368</v>
      </c>
      <c r="C253" s="32">
        <v>1989</v>
      </c>
      <c r="D253" s="1">
        <v>20000</v>
      </c>
      <c r="E253" s="1"/>
      <c r="F253" s="1">
        <v>222.82</v>
      </c>
      <c r="G253" s="1">
        <v>20000</v>
      </c>
      <c r="H253" s="5">
        <f t="shared" si="3"/>
        <v>0</v>
      </c>
      <c r="I253" s="1"/>
      <c r="J253" s="1"/>
    </row>
    <row r="254" spans="1:10" x14ac:dyDescent="0.2">
      <c r="A254" s="1">
        <v>249</v>
      </c>
      <c r="B254" s="1" t="s">
        <v>368</v>
      </c>
      <c r="C254" s="32">
        <v>5.1000000000000004E-3</v>
      </c>
      <c r="D254" s="1">
        <v>16000</v>
      </c>
      <c r="E254" s="1"/>
      <c r="F254" s="1">
        <v>178</v>
      </c>
      <c r="G254" s="1">
        <v>16000</v>
      </c>
      <c r="H254" s="5">
        <f t="shared" si="3"/>
        <v>0</v>
      </c>
      <c r="I254" s="1"/>
      <c r="J254" s="1"/>
    </row>
    <row r="255" spans="1:10" x14ac:dyDescent="0.2">
      <c r="A255" s="1">
        <v>250</v>
      </c>
      <c r="B255" s="1" t="s">
        <v>369</v>
      </c>
      <c r="C255" s="32" t="s">
        <v>30</v>
      </c>
      <c r="D255" s="1">
        <v>5000</v>
      </c>
      <c r="E255" s="1"/>
      <c r="F255" s="1">
        <v>55.13</v>
      </c>
      <c r="G255" s="1">
        <v>5000</v>
      </c>
      <c r="H255" s="5">
        <f t="shared" si="3"/>
        <v>0</v>
      </c>
      <c r="I255" s="1"/>
      <c r="J255" s="1"/>
    </row>
    <row r="256" spans="1:10" x14ac:dyDescent="0.2">
      <c r="A256" s="1">
        <v>251</v>
      </c>
      <c r="B256" s="1" t="s">
        <v>369</v>
      </c>
      <c r="C256" s="32">
        <v>1365</v>
      </c>
      <c r="D256" s="1">
        <v>21000</v>
      </c>
      <c r="E256" s="1"/>
      <c r="F256" s="1">
        <v>233</v>
      </c>
      <c r="G256" s="1">
        <v>21000</v>
      </c>
      <c r="H256" s="5">
        <f t="shared" si="3"/>
        <v>0</v>
      </c>
      <c r="I256" s="1"/>
      <c r="J256" s="1"/>
    </row>
    <row r="257" spans="1:10" x14ac:dyDescent="0.2">
      <c r="A257" s="1">
        <v>252</v>
      </c>
      <c r="B257" s="1" t="s">
        <v>369</v>
      </c>
      <c r="C257" s="32" t="s">
        <v>66</v>
      </c>
      <c r="D257" s="1">
        <v>200</v>
      </c>
      <c r="E257" s="1"/>
      <c r="F257" s="1">
        <v>2.1</v>
      </c>
      <c r="G257" s="1">
        <v>200</v>
      </c>
      <c r="H257" s="5">
        <f t="shared" si="3"/>
        <v>0</v>
      </c>
      <c r="I257" s="1"/>
      <c r="J257" s="1"/>
    </row>
    <row r="258" spans="1:10" x14ac:dyDescent="0.2">
      <c r="A258" s="1">
        <v>253</v>
      </c>
      <c r="B258" s="1" t="s">
        <v>369</v>
      </c>
      <c r="C258" s="32">
        <v>3968</v>
      </c>
      <c r="D258" s="1">
        <v>5000</v>
      </c>
      <c r="E258" s="1"/>
      <c r="F258" s="1">
        <v>55.13</v>
      </c>
      <c r="G258" s="1">
        <v>5000</v>
      </c>
      <c r="H258" s="5">
        <f t="shared" si="3"/>
        <v>0</v>
      </c>
      <c r="I258" s="1"/>
      <c r="J258" s="1"/>
    </row>
    <row r="259" spans="1:10" x14ac:dyDescent="0.2">
      <c r="A259" s="1">
        <v>254</v>
      </c>
      <c r="B259" s="1" t="s">
        <v>369</v>
      </c>
      <c r="C259" s="32">
        <v>1.17E-2</v>
      </c>
      <c r="D259" s="1">
        <v>26000</v>
      </c>
      <c r="E259" s="1"/>
      <c r="F259" s="1">
        <v>289</v>
      </c>
      <c r="G259" s="1">
        <v>26000</v>
      </c>
      <c r="H259" s="5">
        <f t="shared" si="3"/>
        <v>0</v>
      </c>
      <c r="I259" s="1"/>
      <c r="J259" s="1"/>
    </row>
    <row r="260" spans="1:10" x14ac:dyDescent="0.2">
      <c r="A260" s="1">
        <v>255</v>
      </c>
      <c r="B260" s="1" t="s">
        <v>369</v>
      </c>
      <c r="C260" s="32">
        <v>6868</v>
      </c>
      <c r="D260" s="1">
        <v>20000</v>
      </c>
      <c r="E260" s="1"/>
      <c r="F260" s="1">
        <v>222.2</v>
      </c>
      <c r="G260" s="1">
        <v>20000</v>
      </c>
      <c r="H260" s="5">
        <f t="shared" si="3"/>
        <v>0</v>
      </c>
      <c r="I260" s="1"/>
      <c r="J260" s="1"/>
    </row>
    <row r="261" spans="1:10" x14ac:dyDescent="0.2">
      <c r="A261" s="1">
        <v>256</v>
      </c>
      <c r="B261" s="1" t="s">
        <v>369</v>
      </c>
      <c r="C261" s="32">
        <v>2907</v>
      </c>
      <c r="D261" s="1">
        <v>10000</v>
      </c>
      <c r="E261" s="1"/>
      <c r="F261" s="1">
        <v>111</v>
      </c>
      <c r="G261" s="1">
        <v>10000</v>
      </c>
      <c r="H261" s="5">
        <f t="shared" si="3"/>
        <v>0</v>
      </c>
      <c r="I261" s="1"/>
      <c r="J261" s="1"/>
    </row>
    <row r="262" spans="1:10" x14ac:dyDescent="0.2">
      <c r="A262" s="1">
        <v>257</v>
      </c>
      <c r="B262" s="1" t="s">
        <v>370</v>
      </c>
      <c r="C262" s="32">
        <v>8425</v>
      </c>
      <c r="D262" s="1">
        <v>20000</v>
      </c>
      <c r="E262" s="1"/>
      <c r="F262" s="1">
        <v>222.82</v>
      </c>
      <c r="G262" s="1">
        <v>20000</v>
      </c>
      <c r="H262" s="5">
        <f t="shared" si="3"/>
        <v>0</v>
      </c>
      <c r="I262" s="1"/>
      <c r="J262" s="1"/>
    </row>
    <row r="263" spans="1:10" x14ac:dyDescent="0.2">
      <c r="A263" s="1">
        <v>258</v>
      </c>
      <c r="B263" s="1" t="s">
        <v>370</v>
      </c>
      <c r="C263" s="32">
        <v>6725</v>
      </c>
      <c r="D263" s="1">
        <v>20000</v>
      </c>
      <c r="E263" s="1"/>
      <c r="F263" s="1">
        <v>222.82</v>
      </c>
      <c r="G263" s="1">
        <v>20000</v>
      </c>
      <c r="H263" s="5">
        <f t="shared" si="3"/>
        <v>0</v>
      </c>
      <c r="I263" s="1"/>
      <c r="J263" s="1"/>
    </row>
    <row r="264" spans="1:10" x14ac:dyDescent="0.2">
      <c r="A264" s="1">
        <v>259</v>
      </c>
      <c r="B264" s="1" t="s">
        <v>370</v>
      </c>
      <c r="C264" s="32">
        <v>2415</v>
      </c>
      <c r="D264" s="1">
        <v>12000</v>
      </c>
      <c r="E264" s="1"/>
      <c r="F264" s="1">
        <v>133</v>
      </c>
      <c r="G264" s="1">
        <v>12000</v>
      </c>
      <c r="H264" s="5">
        <f t="shared" si="3"/>
        <v>0</v>
      </c>
      <c r="I264" s="1"/>
      <c r="J264" s="1"/>
    </row>
    <row r="265" spans="1:10" x14ac:dyDescent="0.2">
      <c r="A265" s="1">
        <v>260</v>
      </c>
      <c r="B265" s="1" t="s">
        <v>370</v>
      </c>
      <c r="C265" s="32" t="s">
        <v>30</v>
      </c>
      <c r="D265" s="1">
        <v>5000</v>
      </c>
      <c r="E265" s="1"/>
      <c r="F265" s="1">
        <v>55.13</v>
      </c>
      <c r="G265" s="1">
        <v>5000</v>
      </c>
      <c r="H265" s="5">
        <f t="shared" si="3"/>
        <v>0</v>
      </c>
      <c r="I265" s="1"/>
      <c r="J265" s="1"/>
    </row>
    <row r="266" spans="1:10" x14ac:dyDescent="0.2">
      <c r="A266" s="1">
        <v>261</v>
      </c>
      <c r="B266" s="1" t="s">
        <v>370</v>
      </c>
      <c r="C266" s="32">
        <v>1266</v>
      </c>
      <c r="D266" s="1">
        <v>13000</v>
      </c>
      <c r="E266" s="1"/>
      <c r="F266" s="1">
        <v>144</v>
      </c>
      <c r="G266" s="1">
        <v>13000</v>
      </c>
      <c r="H266" s="5">
        <f t="shared" si="3"/>
        <v>0</v>
      </c>
      <c r="I266" s="1"/>
      <c r="J266" s="1"/>
    </row>
    <row r="267" spans="1:10" x14ac:dyDescent="0.2">
      <c r="A267" s="1">
        <v>262</v>
      </c>
      <c r="B267" s="1" t="s">
        <v>370</v>
      </c>
      <c r="C267" s="32">
        <v>8325</v>
      </c>
      <c r="D267" s="1">
        <v>8000</v>
      </c>
      <c r="E267" s="1"/>
      <c r="F267" s="1">
        <v>89</v>
      </c>
      <c r="G267" s="1">
        <v>8000</v>
      </c>
      <c r="H267" s="5">
        <f t="shared" si="3"/>
        <v>0</v>
      </c>
      <c r="I267" s="1"/>
      <c r="J267" s="1"/>
    </row>
    <row r="268" spans="1:10" x14ac:dyDescent="0.2">
      <c r="A268" s="1">
        <v>263</v>
      </c>
      <c r="B268" s="1" t="s">
        <v>370</v>
      </c>
      <c r="C268" s="32" t="s">
        <v>30</v>
      </c>
      <c r="D268" s="1">
        <v>3000</v>
      </c>
      <c r="E268" s="1"/>
      <c r="F268" s="1">
        <v>33</v>
      </c>
      <c r="G268" s="1">
        <v>3000</v>
      </c>
      <c r="H268" s="5">
        <f t="shared" ref="H268:H331" si="4">D268-G268</f>
        <v>0</v>
      </c>
      <c r="I268" s="1"/>
      <c r="J268" s="1"/>
    </row>
    <row r="269" spans="1:10" x14ac:dyDescent="0.2">
      <c r="A269" s="1">
        <v>264</v>
      </c>
      <c r="B269" s="1" t="s">
        <v>370</v>
      </c>
      <c r="C269" s="32">
        <v>5.1999999999999998E-3</v>
      </c>
      <c r="D269" s="1">
        <v>16000</v>
      </c>
      <c r="E269" s="1"/>
      <c r="F269" s="1">
        <v>178</v>
      </c>
      <c r="G269" s="1">
        <v>16000</v>
      </c>
      <c r="H269" s="5">
        <f t="shared" si="4"/>
        <v>0</v>
      </c>
      <c r="I269" s="1"/>
      <c r="J269" s="1"/>
    </row>
    <row r="270" spans="1:10" x14ac:dyDescent="0.2">
      <c r="A270" s="1">
        <v>265</v>
      </c>
      <c r="B270" s="1" t="s">
        <v>370</v>
      </c>
      <c r="C270" s="32">
        <v>3537</v>
      </c>
      <c r="D270" s="1">
        <v>22000</v>
      </c>
      <c r="E270" s="1"/>
      <c r="F270" s="1">
        <v>245</v>
      </c>
      <c r="G270" s="1">
        <v>22000</v>
      </c>
      <c r="H270" s="5">
        <f t="shared" si="4"/>
        <v>0</v>
      </c>
      <c r="I270" s="1"/>
      <c r="J270" s="1"/>
    </row>
    <row r="271" spans="1:10" x14ac:dyDescent="0.2">
      <c r="A271" s="1">
        <v>266</v>
      </c>
      <c r="B271" s="1" t="s">
        <v>370</v>
      </c>
      <c r="C271" s="32">
        <v>4533</v>
      </c>
      <c r="D271" s="1">
        <v>10000</v>
      </c>
      <c r="E271" s="1"/>
      <c r="F271" s="1">
        <v>111</v>
      </c>
      <c r="G271" s="1">
        <v>10000</v>
      </c>
      <c r="H271" s="5">
        <f t="shared" si="4"/>
        <v>0</v>
      </c>
      <c r="I271" s="1"/>
      <c r="J271" s="1"/>
    </row>
    <row r="272" spans="1:10" x14ac:dyDescent="0.2">
      <c r="A272" s="1">
        <v>267</v>
      </c>
      <c r="B272" s="1" t="s">
        <v>370</v>
      </c>
      <c r="C272" s="32">
        <v>1075</v>
      </c>
      <c r="D272" s="1">
        <v>15000</v>
      </c>
      <c r="E272" s="1"/>
      <c r="F272" s="1">
        <v>167</v>
      </c>
      <c r="G272" s="1">
        <v>15000</v>
      </c>
      <c r="H272" s="5">
        <f t="shared" si="4"/>
        <v>0</v>
      </c>
      <c r="I272" s="1"/>
      <c r="J272" s="1"/>
    </row>
    <row r="273" spans="1:10" x14ac:dyDescent="0.2">
      <c r="A273" s="1">
        <v>268</v>
      </c>
      <c r="B273" s="1" t="s">
        <v>370</v>
      </c>
      <c r="C273" s="32">
        <v>1617</v>
      </c>
      <c r="D273" s="1">
        <v>15000</v>
      </c>
      <c r="E273" s="1"/>
      <c r="F273" s="1">
        <v>167</v>
      </c>
      <c r="G273" s="1">
        <v>15000</v>
      </c>
      <c r="H273" s="5">
        <f t="shared" si="4"/>
        <v>0</v>
      </c>
      <c r="I273" s="1"/>
      <c r="J273" s="1"/>
    </row>
    <row r="274" spans="1:10" x14ac:dyDescent="0.2">
      <c r="A274" s="1">
        <v>269</v>
      </c>
      <c r="B274" s="1" t="s">
        <v>371</v>
      </c>
      <c r="C274" s="32" t="s">
        <v>66</v>
      </c>
      <c r="D274" s="1">
        <v>210</v>
      </c>
      <c r="E274" s="1"/>
      <c r="F274" s="1">
        <v>2.0499999999999998</v>
      </c>
      <c r="G274" s="1">
        <v>210</v>
      </c>
      <c r="H274" s="5">
        <f t="shared" si="4"/>
        <v>0</v>
      </c>
      <c r="I274" s="1"/>
      <c r="J274" s="1"/>
    </row>
    <row r="275" spans="1:10" x14ac:dyDescent="0.2">
      <c r="A275" s="1">
        <v>270</v>
      </c>
      <c r="B275" s="1" t="s">
        <v>371</v>
      </c>
      <c r="C275" s="32">
        <v>9503</v>
      </c>
      <c r="D275" s="1">
        <v>25000</v>
      </c>
      <c r="E275" s="1"/>
      <c r="F275" s="1">
        <v>278</v>
      </c>
      <c r="G275" s="1">
        <v>25000</v>
      </c>
      <c r="H275" s="5">
        <f t="shared" si="4"/>
        <v>0</v>
      </c>
      <c r="I275" s="1"/>
      <c r="J275" s="1"/>
    </row>
    <row r="276" spans="1:10" x14ac:dyDescent="0.2">
      <c r="A276" s="1">
        <v>271</v>
      </c>
      <c r="B276" s="1" t="s">
        <v>371</v>
      </c>
      <c r="C276" s="32" t="s">
        <v>30</v>
      </c>
      <c r="D276" s="1">
        <v>2000</v>
      </c>
      <c r="E276" s="1"/>
      <c r="F276" s="1">
        <v>22.28</v>
      </c>
      <c r="G276" s="1">
        <v>2000</v>
      </c>
      <c r="H276" s="5">
        <f t="shared" si="4"/>
        <v>0</v>
      </c>
      <c r="I276" s="1"/>
      <c r="J276" s="1"/>
    </row>
    <row r="277" spans="1:10" x14ac:dyDescent="0.2">
      <c r="A277" s="1">
        <v>272</v>
      </c>
      <c r="B277" s="1" t="s">
        <v>371</v>
      </c>
      <c r="C277" s="32">
        <v>7518</v>
      </c>
      <c r="D277" s="1">
        <v>25000</v>
      </c>
      <c r="E277" s="1"/>
      <c r="F277" s="1">
        <v>278.22000000000003</v>
      </c>
      <c r="G277" s="1">
        <v>25000</v>
      </c>
      <c r="H277" s="5">
        <f t="shared" si="4"/>
        <v>0</v>
      </c>
      <c r="I277" s="1"/>
      <c r="J277" s="1"/>
    </row>
    <row r="278" spans="1:10" x14ac:dyDescent="0.2">
      <c r="A278" s="1">
        <v>273</v>
      </c>
      <c r="B278" s="1" t="s">
        <v>371</v>
      </c>
      <c r="C278" s="32">
        <v>6474</v>
      </c>
      <c r="D278" s="1">
        <v>20000</v>
      </c>
      <c r="E278" s="1"/>
      <c r="F278" s="1">
        <v>222.82</v>
      </c>
      <c r="G278" s="1">
        <v>20000</v>
      </c>
      <c r="H278" s="5">
        <f t="shared" si="4"/>
        <v>0</v>
      </c>
      <c r="I278" s="1"/>
      <c r="J278" s="1"/>
    </row>
    <row r="279" spans="1:10" x14ac:dyDescent="0.2">
      <c r="A279" s="1">
        <v>274</v>
      </c>
      <c r="B279" s="1" t="s">
        <v>371</v>
      </c>
      <c r="C279" s="32">
        <v>8871</v>
      </c>
      <c r="D279" s="1">
        <v>15000</v>
      </c>
      <c r="E279" s="1"/>
      <c r="F279" s="1">
        <v>167</v>
      </c>
      <c r="G279" s="1">
        <v>15000</v>
      </c>
      <c r="H279" s="5">
        <f t="shared" si="4"/>
        <v>0</v>
      </c>
      <c r="I279" s="1"/>
      <c r="J279" s="1"/>
    </row>
    <row r="280" spans="1:10" x14ac:dyDescent="0.2">
      <c r="A280" s="1">
        <v>275</v>
      </c>
      <c r="B280" s="1" t="s">
        <v>371</v>
      </c>
      <c r="C280" s="32">
        <v>8148</v>
      </c>
      <c r="D280" s="1">
        <v>25000</v>
      </c>
      <c r="E280" s="1"/>
      <c r="F280" s="1">
        <v>278.22000000000003</v>
      </c>
      <c r="G280" s="1">
        <v>25000</v>
      </c>
      <c r="H280" s="5">
        <f t="shared" si="4"/>
        <v>0</v>
      </c>
      <c r="I280" s="1"/>
      <c r="J280" s="1"/>
    </row>
    <row r="281" spans="1:10" x14ac:dyDescent="0.2">
      <c r="A281" s="1">
        <v>276</v>
      </c>
      <c r="B281" s="1" t="s">
        <v>371</v>
      </c>
      <c r="C281" s="32">
        <v>2029</v>
      </c>
      <c r="D281" s="1">
        <v>12000</v>
      </c>
      <c r="E281" s="1"/>
      <c r="F281" s="1">
        <v>133</v>
      </c>
      <c r="G281" s="1">
        <v>12000</v>
      </c>
      <c r="H281" s="5">
        <f t="shared" si="4"/>
        <v>0</v>
      </c>
      <c r="I281" s="1"/>
      <c r="J281" s="1"/>
    </row>
    <row r="282" spans="1:10" x14ac:dyDescent="0.2">
      <c r="A282" s="1">
        <v>277</v>
      </c>
      <c r="B282" s="1" t="s">
        <v>371</v>
      </c>
      <c r="C282" s="32">
        <v>4371</v>
      </c>
      <c r="D282" s="1">
        <v>12000</v>
      </c>
      <c r="E282" s="1"/>
      <c r="F282" s="1">
        <v>133</v>
      </c>
      <c r="G282" s="1">
        <v>12000</v>
      </c>
      <c r="H282" s="5">
        <f t="shared" si="4"/>
        <v>0</v>
      </c>
      <c r="I282" s="1"/>
      <c r="J282" s="1"/>
    </row>
    <row r="283" spans="1:10" x14ac:dyDescent="0.2">
      <c r="A283" s="1">
        <v>278</v>
      </c>
      <c r="B283" s="1" t="s">
        <v>371</v>
      </c>
      <c r="C283" s="32">
        <v>3773</v>
      </c>
      <c r="D283" s="1">
        <v>13000</v>
      </c>
      <c r="E283" s="1"/>
      <c r="F283" s="1">
        <v>144</v>
      </c>
      <c r="G283" s="1">
        <v>13000</v>
      </c>
      <c r="H283" s="5">
        <f t="shared" si="4"/>
        <v>0</v>
      </c>
      <c r="I283" s="1"/>
      <c r="J283" s="1"/>
    </row>
    <row r="284" spans="1:10" x14ac:dyDescent="0.2">
      <c r="A284" s="1">
        <v>279</v>
      </c>
      <c r="B284" s="1" t="s">
        <v>371</v>
      </c>
      <c r="C284" s="32">
        <v>1355</v>
      </c>
      <c r="D284" s="1">
        <v>18000</v>
      </c>
      <c r="E284" s="1"/>
      <c r="F284" s="1">
        <v>200</v>
      </c>
      <c r="G284" s="1">
        <v>18000</v>
      </c>
      <c r="H284" s="5">
        <f t="shared" si="4"/>
        <v>0</v>
      </c>
      <c r="I284" s="1"/>
      <c r="J284" s="1"/>
    </row>
    <row r="285" spans="1:10" x14ac:dyDescent="0.2">
      <c r="A285" s="1">
        <v>280</v>
      </c>
      <c r="B285" s="1" t="s">
        <v>371</v>
      </c>
      <c r="C285" s="32">
        <v>9.7500000000000003E-2</v>
      </c>
      <c r="D285" s="1">
        <v>32000</v>
      </c>
      <c r="E285" s="1"/>
      <c r="F285" s="1">
        <v>356</v>
      </c>
      <c r="G285" s="1">
        <v>32000</v>
      </c>
      <c r="H285" s="5">
        <f t="shared" si="4"/>
        <v>0</v>
      </c>
      <c r="I285" s="1"/>
      <c r="J285" s="1"/>
    </row>
    <row r="286" spans="1:10" x14ac:dyDescent="0.2">
      <c r="A286" s="1"/>
      <c r="B286" s="1" t="s">
        <v>375</v>
      </c>
      <c r="C286" s="32">
        <v>4028</v>
      </c>
      <c r="D286" s="1">
        <v>19000</v>
      </c>
      <c r="E286" s="1"/>
      <c r="F286" s="1">
        <v>207</v>
      </c>
      <c r="G286" s="1">
        <v>19000</v>
      </c>
      <c r="H286" s="5">
        <f t="shared" si="4"/>
        <v>0</v>
      </c>
      <c r="I286" s="1"/>
      <c r="J286" s="1"/>
    </row>
    <row r="287" spans="1:10" x14ac:dyDescent="0.2">
      <c r="A287" s="1"/>
      <c r="B287" s="1" t="s">
        <v>375</v>
      </c>
      <c r="C287" s="32">
        <v>2711</v>
      </c>
      <c r="D287" s="1">
        <v>9000</v>
      </c>
      <c r="E287" s="1"/>
      <c r="F287" s="1">
        <v>100</v>
      </c>
      <c r="G287" s="1">
        <v>9000</v>
      </c>
      <c r="H287" s="5">
        <f t="shared" si="4"/>
        <v>0</v>
      </c>
      <c r="I287" s="1"/>
      <c r="J287" s="1"/>
    </row>
    <row r="288" spans="1:10" x14ac:dyDescent="0.2">
      <c r="A288" s="1"/>
      <c r="B288" s="1" t="s">
        <v>375</v>
      </c>
      <c r="C288" s="32">
        <v>1593</v>
      </c>
      <c r="D288" s="1">
        <v>12000</v>
      </c>
      <c r="E288" s="1"/>
      <c r="F288" s="1">
        <v>133</v>
      </c>
      <c r="G288" s="1">
        <v>12000</v>
      </c>
      <c r="H288" s="5">
        <f t="shared" si="4"/>
        <v>0</v>
      </c>
      <c r="I288" s="1"/>
      <c r="J288" s="1"/>
    </row>
    <row r="289" spans="1:10" x14ac:dyDescent="0.2">
      <c r="A289" s="1"/>
      <c r="B289" s="1" t="s">
        <v>375</v>
      </c>
      <c r="C289" s="32" t="s">
        <v>63</v>
      </c>
      <c r="D289" s="1">
        <v>3500</v>
      </c>
      <c r="E289" s="1"/>
      <c r="F289" s="1">
        <v>38.15</v>
      </c>
      <c r="G289" s="1">
        <v>3500</v>
      </c>
      <c r="H289" s="5">
        <f t="shared" si="4"/>
        <v>0</v>
      </c>
      <c r="I289" s="1"/>
      <c r="J289" s="1"/>
    </row>
    <row r="290" spans="1:10" x14ac:dyDescent="0.2">
      <c r="A290" s="1"/>
      <c r="B290" s="1" t="s">
        <v>375</v>
      </c>
      <c r="C290" s="32">
        <v>4204</v>
      </c>
      <c r="D290" s="1">
        <v>15000</v>
      </c>
      <c r="E290" s="1"/>
      <c r="F290" s="1">
        <v>167</v>
      </c>
      <c r="G290" s="1">
        <v>15000</v>
      </c>
      <c r="H290" s="5">
        <f t="shared" si="4"/>
        <v>0</v>
      </c>
      <c r="I290" s="1"/>
      <c r="J290" s="1"/>
    </row>
    <row r="291" spans="1:10" x14ac:dyDescent="0.2">
      <c r="A291" s="1"/>
      <c r="B291" s="1" t="s">
        <v>375</v>
      </c>
      <c r="C291" s="32">
        <v>9998</v>
      </c>
      <c r="D291" s="1">
        <v>17000</v>
      </c>
      <c r="E291" s="1"/>
      <c r="F291" s="1">
        <v>189</v>
      </c>
      <c r="G291" s="1">
        <v>17000</v>
      </c>
      <c r="H291" s="5">
        <f t="shared" si="4"/>
        <v>0</v>
      </c>
      <c r="I291" s="1"/>
      <c r="J291" s="1"/>
    </row>
    <row r="292" spans="1:10" x14ac:dyDescent="0.2">
      <c r="A292" s="1"/>
      <c r="B292" s="1" t="s">
        <v>375</v>
      </c>
      <c r="C292" s="32">
        <v>9398</v>
      </c>
      <c r="D292" s="1">
        <v>17000</v>
      </c>
      <c r="E292" s="1"/>
      <c r="F292" s="1">
        <v>189</v>
      </c>
      <c r="G292" s="1">
        <v>17000</v>
      </c>
      <c r="H292" s="5">
        <f t="shared" si="4"/>
        <v>0</v>
      </c>
      <c r="I292" s="1"/>
      <c r="J292" s="1"/>
    </row>
    <row r="293" spans="1:10" x14ac:dyDescent="0.2">
      <c r="A293" s="1"/>
      <c r="B293" s="1" t="s">
        <v>375</v>
      </c>
      <c r="C293" s="32">
        <v>2803</v>
      </c>
      <c r="D293" s="1">
        <v>15000</v>
      </c>
      <c r="E293" s="1"/>
      <c r="F293" s="1">
        <v>167</v>
      </c>
      <c r="G293" s="1">
        <v>15000</v>
      </c>
      <c r="H293" s="5">
        <f t="shared" si="4"/>
        <v>0</v>
      </c>
      <c r="I293" s="1"/>
      <c r="J293" s="1"/>
    </row>
    <row r="294" spans="1:10" x14ac:dyDescent="0.2">
      <c r="A294" s="1"/>
      <c r="B294" s="1" t="s">
        <v>375</v>
      </c>
      <c r="C294" s="32">
        <v>8399</v>
      </c>
      <c r="D294" s="1">
        <v>10000</v>
      </c>
      <c r="E294" s="1"/>
      <c r="F294" s="1">
        <v>111</v>
      </c>
      <c r="G294" s="1">
        <v>10000</v>
      </c>
      <c r="H294" s="5">
        <f t="shared" si="4"/>
        <v>0</v>
      </c>
      <c r="I294" s="1"/>
      <c r="J294" s="1"/>
    </row>
    <row r="295" spans="1:10" x14ac:dyDescent="0.2">
      <c r="A295" s="1"/>
      <c r="B295" s="1" t="s">
        <v>375</v>
      </c>
      <c r="C295" s="32">
        <v>7125</v>
      </c>
      <c r="D295" s="1">
        <v>15000</v>
      </c>
      <c r="E295" s="1"/>
      <c r="F295" s="1">
        <v>167</v>
      </c>
      <c r="G295" s="1">
        <v>15000</v>
      </c>
      <c r="H295" s="5">
        <f t="shared" si="4"/>
        <v>0</v>
      </c>
      <c r="I295" s="1"/>
      <c r="J295" s="1"/>
    </row>
    <row r="296" spans="1:10" x14ac:dyDescent="0.2">
      <c r="A296" s="1"/>
      <c r="B296" s="1" t="s">
        <v>375</v>
      </c>
      <c r="C296" s="32">
        <v>2.7000000000000001E-3</v>
      </c>
      <c r="D296" s="1">
        <v>15000</v>
      </c>
      <c r="E296" s="1"/>
      <c r="F296" s="1">
        <v>167</v>
      </c>
      <c r="G296" s="1">
        <v>15000</v>
      </c>
      <c r="H296" s="5">
        <f t="shared" si="4"/>
        <v>0</v>
      </c>
      <c r="I296" s="1"/>
      <c r="J296" s="1"/>
    </row>
    <row r="297" spans="1:10" x14ac:dyDescent="0.2">
      <c r="A297" s="1"/>
      <c r="B297" s="1" t="s">
        <v>375</v>
      </c>
      <c r="C297" s="32">
        <v>8875</v>
      </c>
      <c r="D297" s="1">
        <v>15000</v>
      </c>
      <c r="E297" s="1"/>
      <c r="F297" s="1">
        <v>167</v>
      </c>
      <c r="G297" s="1">
        <v>15000</v>
      </c>
      <c r="H297" s="5">
        <f t="shared" si="4"/>
        <v>0</v>
      </c>
      <c r="I297" s="1"/>
      <c r="J297" s="1"/>
    </row>
    <row r="298" spans="1:10" x14ac:dyDescent="0.2">
      <c r="A298" s="1"/>
      <c r="B298" s="1" t="s">
        <v>375</v>
      </c>
      <c r="C298" s="32">
        <v>3317</v>
      </c>
      <c r="D298" s="1">
        <v>25000</v>
      </c>
      <c r="E298" s="1"/>
      <c r="F298" s="1">
        <v>278.22000000000003</v>
      </c>
      <c r="G298" s="1">
        <v>25000</v>
      </c>
      <c r="H298" s="5">
        <f t="shared" si="4"/>
        <v>0</v>
      </c>
      <c r="I298" s="1"/>
      <c r="J298" s="1"/>
    </row>
    <row r="299" spans="1:10" x14ac:dyDescent="0.2">
      <c r="A299" s="1"/>
      <c r="B299" s="1" t="s">
        <v>375</v>
      </c>
      <c r="C299" s="32">
        <v>2.0299999999999999E-2</v>
      </c>
      <c r="D299" s="1">
        <v>22000</v>
      </c>
      <c r="E299" s="1"/>
      <c r="F299" s="1">
        <v>245</v>
      </c>
      <c r="G299" s="1">
        <v>22000</v>
      </c>
      <c r="H299" s="5">
        <f t="shared" si="4"/>
        <v>0</v>
      </c>
      <c r="I299" s="1"/>
      <c r="J299" s="1"/>
    </row>
    <row r="300" spans="1:10" x14ac:dyDescent="0.2">
      <c r="A300" s="1"/>
      <c r="B300" s="1" t="s">
        <v>375</v>
      </c>
      <c r="C300" s="32">
        <v>2972</v>
      </c>
      <c r="D300" s="1">
        <v>14000</v>
      </c>
      <c r="E300" s="1"/>
      <c r="F300" s="1">
        <v>155</v>
      </c>
      <c r="G300" s="1">
        <v>14000</v>
      </c>
      <c r="H300" s="5">
        <f t="shared" si="4"/>
        <v>0</v>
      </c>
      <c r="I300" s="1"/>
      <c r="J300" s="1"/>
    </row>
    <row r="301" spans="1:10" x14ac:dyDescent="0.2">
      <c r="A301" s="1"/>
      <c r="B301" s="1" t="s">
        <v>377</v>
      </c>
      <c r="C301" s="32">
        <v>4155</v>
      </c>
      <c r="D301" s="1">
        <v>22000</v>
      </c>
      <c r="E301" s="1"/>
      <c r="F301" s="1">
        <v>217</v>
      </c>
      <c r="G301" s="1">
        <v>22000</v>
      </c>
      <c r="H301" s="5">
        <f t="shared" si="4"/>
        <v>0</v>
      </c>
      <c r="I301" s="1"/>
      <c r="J301" s="1"/>
    </row>
    <row r="302" spans="1:10" x14ac:dyDescent="0.2">
      <c r="A302" s="1"/>
      <c r="B302" s="1" t="s">
        <v>377</v>
      </c>
      <c r="C302" s="32">
        <v>9387</v>
      </c>
      <c r="D302" s="1">
        <v>5000</v>
      </c>
      <c r="E302" s="1"/>
      <c r="F302" s="1">
        <v>55.13</v>
      </c>
      <c r="G302" s="1">
        <v>5000</v>
      </c>
      <c r="H302" s="5">
        <f t="shared" si="4"/>
        <v>0</v>
      </c>
      <c r="I302" s="1"/>
      <c r="J302" s="1"/>
    </row>
    <row r="303" spans="1:10" x14ac:dyDescent="0.2">
      <c r="A303" s="1"/>
      <c r="B303" s="1" t="s">
        <v>377</v>
      </c>
      <c r="C303" s="32">
        <v>5983</v>
      </c>
      <c r="D303" s="1">
        <v>34000</v>
      </c>
      <c r="E303" s="1"/>
      <c r="F303" s="1">
        <v>375</v>
      </c>
      <c r="G303" s="1">
        <v>34000</v>
      </c>
      <c r="H303" s="5">
        <f t="shared" si="4"/>
        <v>0</v>
      </c>
      <c r="I303" s="1"/>
      <c r="J303" s="1"/>
    </row>
    <row r="304" spans="1:10" x14ac:dyDescent="0.2">
      <c r="A304" s="1"/>
      <c r="B304" s="1" t="s">
        <v>377</v>
      </c>
      <c r="C304" s="32" t="s">
        <v>30</v>
      </c>
      <c r="D304" s="1">
        <v>5000</v>
      </c>
      <c r="E304" s="1"/>
      <c r="F304" s="1">
        <v>50.13</v>
      </c>
      <c r="G304" s="1">
        <v>5000</v>
      </c>
      <c r="H304" s="5">
        <f t="shared" si="4"/>
        <v>0</v>
      </c>
      <c r="I304" s="1"/>
      <c r="J304" s="1"/>
    </row>
    <row r="305" spans="1:10" x14ac:dyDescent="0.2">
      <c r="A305" s="1"/>
      <c r="B305" s="1" t="s">
        <v>377</v>
      </c>
      <c r="C305" s="32">
        <v>5151</v>
      </c>
      <c r="D305" s="1">
        <v>16000</v>
      </c>
      <c r="E305" s="1"/>
      <c r="F305" s="1">
        <v>183</v>
      </c>
      <c r="G305" s="1">
        <v>16000</v>
      </c>
      <c r="H305" s="5">
        <f t="shared" si="4"/>
        <v>0</v>
      </c>
      <c r="I305" s="1"/>
      <c r="J305" s="1"/>
    </row>
    <row r="306" spans="1:10" x14ac:dyDescent="0.2">
      <c r="A306" s="1"/>
      <c r="B306" s="1" t="s">
        <v>377</v>
      </c>
      <c r="C306" s="32">
        <v>1215</v>
      </c>
      <c r="D306" s="1">
        <v>15000</v>
      </c>
      <c r="E306" s="1"/>
      <c r="F306" s="1">
        <v>167</v>
      </c>
      <c r="G306" s="1">
        <v>15000</v>
      </c>
      <c r="H306" s="5">
        <f t="shared" si="4"/>
        <v>0</v>
      </c>
      <c r="I306" s="1"/>
      <c r="J306" s="1"/>
    </row>
    <row r="307" spans="1:10" x14ac:dyDescent="0.2">
      <c r="A307" s="1"/>
      <c r="B307" s="1" t="s">
        <v>377</v>
      </c>
      <c r="C307" s="32" t="s">
        <v>30</v>
      </c>
      <c r="D307" s="1">
        <v>4500</v>
      </c>
      <c r="E307" s="1"/>
      <c r="F307" s="1">
        <v>50.13</v>
      </c>
      <c r="G307" s="1">
        <v>4500</v>
      </c>
      <c r="H307" s="5">
        <f t="shared" si="4"/>
        <v>0</v>
      </c>
      <c r="I307" s="1"/>
      <c r="J307" s="1"/>
    </row>
    <row r="308" spans="1:10" x14ac:dyDescent="0.2">
      <c r="A308" s="1"/>
      <c r="B308" s="1" t="s">
        <v>377</v>
      </c>
      <c r="C308" s="32">
        <v>8787</v>
      </c>
      <c r="D308" s="1">
        <v>26500</v>
      </c>
      <c r="E308" s="1"/>
      <c r="F308" s="1">
        <v>292</v>
      </c>
      <c r="G308" s="1">
        <v>26500</v>
      </c>
      <c r="H308" s="5">
        <f t="shared" si="4"/>
        <v>0</v>
      </c>
      <c r="I308" s="1"/>
      <c r="J308" s="1"/>
    </row>
    <row r="309" spans="1:10" x14ac:dyDescent="0.2">
      <c r="A309" s="1"/>
      <c r="B309" s="1" t="s">
        <v>377</v>
      </c>
      <c r="C309" s="32">
        <v>2705</v>
      </c>
      <c r="D309" s="1">
        <v>12000</v>
      </c>
      <c r="E309" s="1"/>
      <c r="F309" s="1">
        <v>133</v>
      </c>
      <c r="G309" s="1">
        <v>12000</v>
      </c>
      <c r="H309" s="5">
        <f t="shared" si="4"/>
        <v>0</v>
      </c>
      <c r="I309" s="1"/>
      <c r="J309" s="1"/>
    </row>
    <row r="310" spans="1:10" x14ac:dyDescent="0.2">
      <c r="A310" s="1"/>
      <c r="B310" s="1" t="s">
        <v>377</v>
      </c>
      <c r="C310" s="32">
        <v>1266</v>
      </c>
      <c r="D310" s="1">
        <v>13000</v>
      </c>
      <c r="E310" s="1"/>
      <c r="F310" s="1">
        <v>144</v>
      </c>
      <c r="G310" s="1">
        <v>13000</v>
      </c>
      <c r="H310" s="5">
        <f t="shared" si="4"/>
        <v>0</v>
      </c>
      <c r="I310" s="1"/>
      <c r="J310" s="1"/>
    </row>
    <row r="311" spans="1:10" x14ac:dyDescent="0.2">
      <c r="A311" s="1"/>
      <c r="B311" s="1" t="s">
        <v>377</v>
      </c>
      <c r="C311" s="32">
        <v>5.0500000000000003E-2</v>
      </c>
      <c r="D311" s="1">
        <v>20000</v>
      </c>
      <c r="E311" s="1"/>
      <c r="F311" s="1">
        <v>222.82</v>
      </c>
      <c r="G311" s="1">
        <v>20000</v>
      </c>
      <c r="H311" s="5">
        <f t="shared" si="4"/>
        <v>0</v>
      </c>
      <c r="I311" s="1"/>
      <c r="J311" s="1"/>
    </row>
    <row r="312" spans="1:10" x14ac:dyDescent="0.2">
      <c r="A312" s="1"/>
      <c r="B312" s="1" t="s">
        <v>377</v>
      </c>
      <c r="C312" s="32">
        <v>2354</v>
      </c>
      <c r="D312" s="1">
        <v>16000</v>
      </c>
      <c r="E312" s="1"/>
      <c r="F312" s="1">
        <v>178</v>
      </c>
      <c r="G312" s="1">
        <v>16000</v>
      </c>
      <c r="H312" s="5">
        <f t="shared" si="4"/>
        <v>0</v>
      </c>
      <c r="I312" s="1"/>
      <c r="J312" s="1"/>
    </row>
    <row r="313" spans="1:10" x14ac:dyDescent="0.2">
      <c r="A313" s="1"/>
      <c r="B313" s="1" t="s">
        <v>377</v>
      </c>
      <c r="C313" s="32">
        <v>4371</v>
      </c>
      <c r="D313" s="1">
        <v>12000</v>
      </c>
      <c r="E313" s="1"/>
      <c r="F313" s="1">
        <v>133</v>
      </c>
      <c r="G313" s="1">
        <v>12000</v>
      </c>
      <c r="H313" s="5">
        <f t="shared" si="4"/>
        <v>0</v>
      </c>
      <c r="I313" s="1"/>
      <c r="J313" s="1"/>
    </row>
    <row r="314" spans="1:10" x14ac:dyDescent="0.2">
      <c r="A314" s="1"/>
      <c r="B314" s="1" t="s">
        <v>377</v>
      </c>
      <c r="C314" s="32">
        <v>4995</v>
      </c>
      <c r="D314" s="1">
        <v>21000</v>
      </c>
      <c r="E314" s="1"/>
      <c r="F314" s="1">
        <v>233</v>
      </c>
      <c r="G314" s="1">
        <v>21000</v>
      </c>
      <c r="H314" s="5">
        <f t="shared" si="4"/>
        <v>0</v>
      </c>
      <c r="I314" s="1"/>
      <c r="J314" s="1"/>
    </row>
    <row r="315" spans="1:10" x14ac:dyDescent="0.2">
      <c r="A315" s="1"/>
      <c r="B315" s="1" t="s">
        <v>377</v>
      </c>
      <c r="C315" s="32">
        <v>1796</v>
      </c>
      <c r="D315" s="1">
        <v>28000</v>
      </c>
      <c r="E315" s="1"/>
      <c r="F315" s="1">
        <v>308</v>
      </c>
      <c r="G315" s="1">
        <v>28000</v>
      </c>
      <c r="H315" s="5">
        <f t="shared" si="4"/>
        <v>0</v>
      </c>
      <c r="I315" s="1"/>
      <c r="J315" s="1"/>
    </row>
    <row r="316" spans="1:10" x14ac:dyDescent="0.2">
      <c r="A316" s="1"/>
      <c r="B316" s="1" t="s">
        <v>377</v>
      </c>
      <c r="C316" s="32">
        <v>1143</v>
      </c>
      <c r="D316" s="1">
        <v>20400</v>
      </c>
      <c r="E316" s="1"/>
      <c r="F316" s="1">
        <v>227</v>
      </c>
      <c r="G316" s="1">
        <v>20400</v>
      </c>
      <c r="H316" s="5">
        <f t="shared" si="4"/>
        <v>0</v>
      </c>
      <c r="I316" s="1"/>
      <c r="J316" s="1"/>
    </row>
    <row r="317" spans="1:10" x14ac:dyDescent="0.2">
      <c r="A317" s="1"/>
      <c r="B317" s="1" t="s">
        <v>377</v>
      </c>
      <c r="C317" s="32">
        <v>6334</v>
      </c>
      <c r="D317" s="1">
        <v>20000</v>
      </c>
      <c r="E317" s="1"/>
      <c r="F317" s="1">
        <v>222.82</v>
      </c>
      <c r="G317" s="1">
        <v>20000</v>
      </c>
      <c r="H317" s="5">
        <f t="shared" si="4"/>
        <v>0</v>
      </c>
      <c r="I317" s="1"/>
      <c r="J317" s="1"/>
    </row>
    <row r="318" spans="1:10" x14ac:dyDescent="0.2">
      <c r="A318" s="1"/>
      <c r="B318" s="1" t="s">
        <v>377</v>
      </c>
      <c r="C318" s="32">
        <v>1730</v>
      </c>
      <c r="D318" s="1">
        <v>20000</v>
      </c>
      <c r="E318" s="1"/>
      <c r="F318" s="1">
        <v>222.82</v>
      </c>
      <c r="G318" s="1">
        <v>20000</v>
      </c>
      <c r="H318" s="5">
        <f t="shared" si="4"/>
        <v>0</v>
      </c>
      <c r="I318" s="1"/>
      <c r="J318" s="1"/>
    </row>
    <row r="319" spans="1:10" x14ac:dyDescent="0.2">
      <c r="A319" s="1"/>
      <c r="B319" s="1" t="s">
        <v>378</v>
      </c>
      <c r="C319" s="32" t="s">
        <v>30</v>
      </c>
      <c r="D319" s="1">
        <v>3500</v>
      </c>
      <c r="E319" s="1"/>
      <c r="F319" s="1">
        <v>35.130000000000003</v>
      </c>
      <c r="G319" s="1">
        <v>3500</v>
      </c>
      <c r="H319" s="5">
        <f t="shared" si="4"/>
        <v>0</v>
      </c>
      <c r="I319" s="1"/>
      <c r="J319" s="1"/>
    </row>
    <row r="320" spans="1:10" x14ac:dyDescent="0.2">
      <c r="A320" s="1"/>
      <c r="B320" s="1" t="s">
        <v>378</v>
      </c>
      <c r="C320" s="32">
        <v>5252</v>
      </c>
      <c r="D320" s="1">
        <v>16000</v>
      </c>
      <c r="E320" s="1"/>
      <c r="F320" s="1">
        <v>178</v>
      </c>
      <c r="G320" s="1">
        <v>16000</v>
      </c>
      <c r="H320" s="5">
        <f t="shared" si="4"/>
        <v>0</v>
      </c>
      <c r="I320" s="1"/>
      <c r="J320" s="1"/>
    </row>
    <row r="321" spans="1:10" x14ac:dyDescent="0.2">
      <c r="A321" s="1"/>
      <c r="B321" s="1" t="s">
        <v>378</v>
      </c>
      <c r="C321" s="32">
        <v>9544</v>
      </c>
      <c r="D321" s="1">
        <v>12000</v>
      </c>
      <c r="E321" s="1"/>
      <c r="F321" s="1">
        <v>133</v>
      </c>
      <c r="G321" s="1">
        <v>12000</v>
      </c>
      <c r="H321" s="5">
        <f t="shared" si="4"/>
        <v>0</v>
      </c>
      <c r="I321" s="1"/>
      <c r="J321" s="1"/>
    </row>
    <row r="322" spans="1:10" x14ac:dyDescent="0.2">
      <c r="A322" s="1"/>
      <c r="B322" s="1" t="s">
        <v>378</v>
      </c>
      <c r="C322" s="32">
        <v>5715</v>
      </c>
      <c r="D322" s="1">
        <v>18000</v>
      </c>
      <c r="E322" s="1"/>
      <c r="F322" s="1">
        <v>200</v>
      </c>
      <c r="G322" s="1">
        <v>18000</v>
      </c>
      <c r="H322" s="5">
        <f t="shared" si="4"/>
        <v>0</v>
      </c>
      <c r="I322" s="1"/>
      <c r="J322" s="1"/>
    </row>
    <row r="323" spans="1:10" x14ac:dyDescent="0.2">
      <c r="A323" s="1"/>
      <c r="B323" s="1" t="s">
        <v>378</v>
      </c>
      <c r="C323" s="32">
        <v>9655</v>
      </c>
      <c r="D323" s="1">
        <v>15000</v>
      </c>
      <c r="E323" s="1"/>
      <c r="F323" s="1">
        <v>167</v>
      </c>
      <c r="G323" s="1">
        <v>15000</v>
      </c>
      <c r="H323" s="5">
        <f t="shared" si="4"/>
        <v>0</v>
      </c>
      <c r="I323" s="1"/>
      <c r="J323" s="1"/>
    </row>
    <row r="324" spans="1:10" x14ac:dyDescent="0.2">
      <c r="A324" s="1"/>
      <c r="B324" s="1" t="s">
        <v>378</v>
      </c>
      <c r="C324" s="32" t="s">
        <v>66</v>
      </c>
      <c r="D324" s="1">
        <v>210</v>
      </c>
      <c r="E324" s="1"/>
      <c r="F324" s="1">
        <v>2.06</v>
      </c>
      <c r="G324" s="1">
        <v>210</v>
      </c>
      <c r="H324" s="5">
        <f t="shared" si="4"/>
        <v>0</v>
      </c>
      <c r="I324" s="1"/>
      <c r="J324" s="1"/>
    </row>
    <row r="325" spans="1:10" x14ac:dyDescent="0.2">
      <c r="A325" s="1"/>
      <c r="B325" s="1" t="s">
        <v>378</v>
      </c>
      <c r="C325" s="32" t="s">
        <v>66</v>
      </c>
      <c r="D325" s="1">
        <v>200</v>
      </c>
      <c r="E325" s="1"/>
      <c r="F325" s="1">
        <v>2.06</v>
      </c>
      <c r="G325" s="1">
        <v>200</v>
      </c>
      <c r="H325" s="5">
        <f t="shared" si="4"/>
        <v>0</v>
      </c>
      <c r="I325" s="1"/>
      <c r="J325" s="1"/>
    </row>
    <row r="326" spans="1:10" x14ac:dyDescent="0.2">
      <c r="A326" s="1"/>
      <c r="B326" s="1" t="s">
        <v>378</v>
      </c>
      <c r="C326" s="32" t="s">
        <v>30</v>
      </c>
      <c r="D326" s="1">
        <v>7000</v>
      </c>
      <c r="E326" s="1"/>
      <c r="F326" s="1">
        <v>77.12</v>
      </c>
      <c r="G326" s="1">
        <v>7000</v>
      </c>
      <c r="H326" s="5">
        <f t="shared" si="4"/>
        <v>0</v>
      </c>
      <c r="I326" s="1"/>
      <c r="J326" s="1"/>
    </row>
    <row r="327" spans="1:10" x14ac:dyDescent="0.2">
      <c r="A327" s="1"/>
      <c r="B327" s="1" t="s">
        <v>378</v>
      </c>
      <c r="C327" s="32">
        <v>4665</v>
      </c>
      <c r="D327" s="1">
        <v>22000</v>
      </c>
      <c r="E327" s="1"/>
      <c r="F327" s="1">
        <v>245</v>
      </c>
      <c r="G327" s="1">
        <v>22000</v>
      </c>
      <c r="H327" s="5">
        <f t="shared" si="4"/>
        <v>0</v>
      </c>
      <c r="I327" s="1"/>
      <c r="J327" s="1"/>
    </row>
    <row r="328" spans="1:10" x14ac:dyDescent="0.2">
      <c r="A328" s="1"/>
      <c r="B328" s="1" t="s">
        <v>378</v>
      </c>
      <c r="C328" s="32">
        <v>4595</v>
      </c>
      <c r="D328" s="1">
        <v>22000</v>
      </c>
      <c r="E328" s="1"/>
      <c r="F328" s="1">
        <v>245</v>
      </c>
      <c r="G328" s="1">
        <v>22000</v>
      </c>
      <c r="H328" s="5">
        <f t="shared" si="4"/>
        <v>0</v>
      </c>
      <c r="I328" s="1"/>
      <c r="J328" s="1"/>
    </row>
    <row r="329" spans="1:10" x14ac:dyDescent="0.2">
      <c r="A329" s="1"/>
      <c r="B329" s="1" t="s">
        <v>378</v>
      </c>
      <c r="C329" s="32" t="s">
        <v>66</v>
      </c>
      <c r="D329" s="1">
        <v>400</v>
      </c>
      <c r="E329" s="1"/>
      <c r="F329" s="1">
        <v>4.46</v>
      </c>
      <c r="G329" s="1">
        <v>400</v>
      </c>
      <c r="H329" s="5">
        <f t="shared" si="4"/>
        <v>0</v>
      </c>
      <c r="I329" s="1"/>
      <c r="J329" s="1"/>
    </row>
    <row r="330" spans="1:10" x14ac:dyDescent="0.2">
      <c r="A330" s="1"/>
      <c r="B330" s="1" t="s">
        <v>378</v>
      </c>
      <c r="C330" s="32">
        <v>6372</v>
      </c>
      <c r="D330" s="1">
        <v>15000</v>
      </c>
      <c r="E330" s="1"/>
      <c r="F330" s="1">
        <v>167</v>
      </c>
      <c r="G330" s="1">
        <v>15000</v>
      </c>
      <c r="H330" s="5">
        <f t="shared" si="4"/>
        <v>0</v>
      </c>
      <c r="I330" s="1"/>
      <c r="J330" s="1"/>
    </row>
    <row r="331" spans="1:10" x14ac:dyDescent="0.2">
      <c r="A331" s="1"/>
      <c r="B331" s="1" t="s">
        <v>378</v>
      </c>
      <c r="C331" s="32">
        <v>5504</v>
      </c>
      <c r="D331" s="1">
        <v>14000</v>
      </c>
      <c r="E331" s="1"/>
      <c r="F331" s="1">
        <v>155</v>
      </c>
      <c r="G331" s="1">
        <v>14000</v>
      </c>
      <c r="H331" s="5">
        <f t="shared" si="4"/>
        <v>0</v>
      </c>
      <c r="I331" s="1"/>
      <c r="J331" s="1"/>
    </row>
    <row r="332" spans="1:10" x14ac:dyDescent="0.2">
      <c r="A332" s="1"/>
      <c r="B332" s="1" t="s">
        <v>378</v>
      </c>
      <c r="C332" s="32">
        <v>6461</v>
      </c>
      <c r="D332" s="1">
        <v>30000</v>
      </c>
      <c r="E332" s="1"/>
      <c r="F332" s="1">
        <v>328</v>
      </c>
      <c r="G332" s="1">
        <v>30000</v>
      </c>
      <c r="H332" s="5">
        <f t="shared" ref="H332:H382" si="5">D332-G332</f>
        <v>0</v>
      </c>
      <c r="I332" s="1"/>
      <c r="J332" s="1"/>
    </row>
    <row r="333" spans="1:10" x14ac:dyDescent="0.2">
      <c r="A333" s="1"/>
      <c r="B333" s="1" t="s">
        <v>378</v>
      </c>
      <c r="C333" s="32">
        <v>3720</v>
      </c>
      <c r="D333" s="1">
        <v>15000</v>
      </c>
      <c r="E333" s="1"/>
      <c r="F333" s="1">
        <v>167</v>
      </c>
      <c r="G333" s="1">
        <v>15000</v>
      </c>
      <c r="H333" s="5">
        <f t="shared" si="5"/>
        <v>0</v>
      </c>
      <c r="I333" s="1"/>
      <c r="J333" s="1"/>
    </row>
    <row r="334" spans="1:10" x14ac:dyDescent="0.2">
      <c r="A334" s="1"/>
      <c r="B334" s="1" t="s">
        <v>378</v>
      </c>
      <c r="C334" s="32">
        <v>1668</v>
      </c>
      <c r="D334" s="1">
        <v>15000</v>
      </c>
      <c r="E334" s="1"/>
      <c r="F334" s="1">
        <v>167</v>
      </c>
      <c r="G334" s="1">
        <v>15000</v>
      </c>
      <c r="H334" s="5">
        <f t="shared" si="5"/>
        <v>0</v>
      </c>
      <c r="I334" s="1"/>
      <c r="J334" s="1"/>
    </row>
    <row r="335" spans="1:10" x14ac:dyDescent="0.2">
      <c r="A335" s="1"/>
      <c r="B335" s="1" t="s">
        <v>378</v>
      </c>
      <c r="C335" s="32">
        <v>7277</v>
      </c>
      <c r="D335" s="1">
        <v>13000</v>
      </c>
      <c r="E335" s="1"/>
      <c r="F335" s="1">
        <v>144</v>
      </c>
      <c r="G335" s="1">
        <v>13000</v>
      </c>
      <c r="H335" s="5">
        <f t="shared" si="5"/>
        <v>0</v>
      </c>
      <c r="I335" s="1"/>
      <c r="J335" s="1"/>
    </row>
    <row r="336" spans="1:10" x14ac:dyDescent="0.2">
      <c r="A336" s="1"/>
      <c r="B336" s="1" t="s">
        <v>378</v>
      </c>
      <c r="C336" s="32">
        <v>1.77E-2</v>
      </c>
      <c r="D336" s="1">
        <v>30000</v>
      </c>
      <c r="E336" s="1"/>
      <c r="F336" s="1">
        <v>328</v>
      </c>
      <c r="G336" s="1">
        <v>30000</v>
      </c>
      <c r="H336" s="5">
        <f t="shared" si="5"/>
        <v>0</v>
      </c>
      <c r="I336" s="1"/>
      <c r="J336" s="1"/>
    </row>
    <row r="337" spans="1:10" x14ac:dyDescent="0.2">
      <c r="A337" s="1"/>
      <c r="B337" s="1" t="s">
        <v>378</v>
      </c>
      <c r="C337" s="32">
        <v>2579</v>
      </c>
      <c r="D337" s="1">
        <v>15000</v>
      </c>
      <c r="E337" s="1"/>
      <c r="F337" s="1">
        <v>167</v>
      </c>
      <c r="G337" s="1">
        <v>15000</v>
      </c>
      <c r="H337" s="5">
        <f t="shared" si="5"/>
        <v>0</v>
      </c>
      <c r="I337" s="1"/>
      <c r="J337" s="1"/>
    </row>
    <row r="338" spans="1:10" x14ac:dyDescent="0.2">
      <c r="A338" s="1"/>
      <c r="B338" s="1" t="s">
        <v>378</v>
      </c>
      <c r="C338" s="32">
        <v>5300</v>
      </c>
      <c r="D338" s="1">
        <v>18000</v>
      </c>
      <c r="E338" s="1"/>
      <c r="F338" s="1">
        <v>200</v>
      </c>
      <c r="G338" s="1">
        <v>18000</v>
      </c>
      <c r="H338" s="5">
        <f t="shared" si="5"/>
        <v>0</v>
      </c>
      <c r="I338" s="1"/>
      <c r="J338" s="1"/>
    </row>
    <row r="339" spans="1:10" x14ac:dyDescent="0.2">
      <c r="A339" s="1"/>
      <c r="B339" s="1" t="s">
        <v>378</v>
      </c>
      <c r="C339" s="32">
        <v>6083</v>
      </c>
      <c r="D339" s="1">
        <v>33000</v>
      </c>
      <c r="E339" s="1"/>
      <c r="F339" s="1">
        <v>367</v>
      </c>
      <c r="G339" s="1">
        <v>33000</v>
      </c>
      <c r="H339" s="5">
        <f t="shared" si="5"/>
        <v>0</v>
      </c>
      <c r="I339" s="1"/>
      <c r="J339" s="1"/>
    </row>
    <row r="340" spans="1:10" x14ac:dyDescent="0.2">
      <c r="A340" s="1"/>
      <c r="B340" s="1" t="s">
        <v>378</v>
      </c>
      <c r="C340" s="32">
        <v>5498</v>
      </c>
      <c r="D340" s="1">
        <v>21000</v>
      </c>
      <c r="E340" s="1"/>
      <c r="F340" s="1">
        <v>233</v>
      </c>
      <c r="G340" s="1">
        <v>21000</v>
      </c>
      <c r="H340" s="5">
        <f t="shared" si="5"/>
        <v>0</v>
      </c>
      <c r="I340" s="1"/>
      <c r="J340" s="1"/>
    </row>
    <row r="341" spans="1:10" x14ac:dyDescent="0.2">
      <c r="A341" s="1"/>
      <c r="B341" s="1" t="s">
        <v>379</v>
      </c>
      <c r="C341" s="32">
        <v>9903</v>
      </c>
      <c r="D341" s="1">
        <v>20000</v>
      </c>
      <c r="E341" s="1"/>
      <c r="F341" s="1">
        <v>222.82</v>
      </c>
      <c r="G341" s="1">
        <v>20000</v>
      </c>
      <c r="H341" s="5">
        <f t="shared" si="5"/>
        <v>0</v>
      </c>
      <c r="I341" s="1"/>
      <c r="J341" s="1"/>
    </row>
    <row r="342" spans="1:10" x14ac:dyDescent="0.2">
      <c r="A342" s="1"/>
      <c r="B342" s="1" t="s">
        <v>379</v>
      </c>
      <c r="C342" s="32">
        <v>1593</v>
      </c>
      <c r="D342" s="1">
        <v>12000</v>
      </c>
      <c r="E342" s="1"/>
      <c r="F342" s="1">
        <v>133</v>
      </c>
      <c r="G342" s="1">
        <v>12000</v>
      </c>
      <c r="H342" s="5">
        <f t="shared" si="5"/>
        <v>0</v>
      </c>
      <c r="I342" s="1"/>
      <c r="J342" s="1"/>
    </row>
    <row r="343" spans="1:10" x14ac:dyDescent="0.2">
      <c r="A343" s="1"/>
      <c r="B343" s="1" t="s">
        <v>379</v>
      </c>
      <c r="C343" s="32" t="s">
        <v>30</v>
      </c>
      <c r="D343" s="1">
        <v>5000</v>
      </c>
      <c r="E343" s="1"/>
      <c r="F343" s="1">
        <v>50.13</v>
      </c>
      <c r="G343" s="1">
        <v>5000</v>
      </c>
      <c r="H343" s="5">
        <f t="shared" si="5"/>
        <v>0</v>
      </c>
      <c r="I343" s="1"/>
      <c r="J343" s="1"/>
    </row>
    <row r="344" spans="1:10" x14ac:dyDescent="0.2">
      <c r="A344" s="1"/>
      <c r="B344" s="1" t="s">
        <v>379</v>
      </c>
      <c r="C344" s="32" t="s">
        <v>30</v>
      </c>
      <c r="D344" s="1">
        <v>2000</v>
      </c>
      <c r="E344" s="1"/>
      <c r="F344" s="1">
        <v>22</v>
      </c>
      <c r="G344" s="1">
        <v>2000</v>
      </c>
      <c r="H344" s="5">
        <f t="shared" si="5"/>
        <v>0</v>
      </c>
      <c r="I344" s="1"/>
      <c r="J344" s="1"/>
    </row>
    <row r="345" spans="1:10" x14ac:dyDescent="0.2">
      <c r="A345" s="1"/>
      <c r="B345" s="1" t="s">
        <v>379</v>
      </c>
      <c r="C345" s="32" t="s">
        <v>63</v>
      </c>
      <c r="D345" s="1">
        <v>3500</v>
      </c>
      <c r="E345" s="1"/>
      <c r="F345" s="1">
        <v>38.99</v>
      </c>
      <c r="G345" s="1">
        <v>3500</v>
      </c>
      <c r="H345" s="5">
        <f t="shared" si="5"/>
        <v>0</v>
      </c>
      <c r="I345" s="1"/>
      <c r="J345" s="1"/>
    </row>
    <row r="346" spans="1:10" x14ac:dyDescent="0.2">
      <c r="A346" s="1"/>
      <c r="B346" s="1" t="s">
        <v>379</v>
      </c>
      <c r="C346" s="32">
        <v>5.1999999999999998E-3</v>
      </c>
      <c r="D346" s="1">
        <v>16000</v>
      </c>
      <c r="E346" s="1"/>
      <c r="F346" s="1">
        <v>178</v>
      </c>
      <c r="G346" s="1">
        <v>16000</v>
      </c>
      <c r="H346" s="5">
        <f t="shared" si="5"/>
        <v>0</v>
      </c>
      <c r="I346" s="1"/>
      <c r="J346" s="1"/>
    </row>
    <row r="347" spans="1:10" x14ac:dyDescent="0.2">
      <c r="A347" s="1"/>
      <c r="B347" s="1" t="s">
        <v>379</v>
      </c>
      <c r="C347" s="32">
        <v>9.74E-2</v>
      </c>
      <c r="D347" s="1">
        <v>21487</v>
      </c>
      <c r="E347" s="1"/>
      <c r="F347" s="1">
        <v>239</v>
      </c>
      <c r="G347" s="1">
        <v>21487</v>
      </c>
      <c r="H347" s="5">
        <f t="shared" si="5"/>
        <v>0</v>
      </c>
      <c r="I347" s="1"/>
      <c r="J347" s="1"/>
    </row>
    <row r="348" spans="1:10" x14ac:dyDescent="0.2">
      <c r="A348" s="1"/>
      <c r="B348" s="1" t="s">
        <v>379</v>
      </c>
      <c r="C348" s="32">
        <v>9.7199999999999995E-2</v>
      </c>
      <c r="D348" s="1">
        <v>22440</v>
      </c>
      <c r="E348" s="1"/>
      <c r="F348" s="1">
        <v>250</v>
      </c>
      <c r="G348" s="1">
        <v>22440</v>
      </c>
      <c r="H348" s="5">
        <f t="shared" si="5"/>
        <v>0</v>
      </c>
      <c r="I348" s="1"/>
      <c r="J348" s="1"/>
    </row>
    <row r="349" spans="1:10" x14ac:dyDescent="0.2">
      <c r="A349" s="1"/>
      <c r="B349" s="1" t="s">
        <v>379</v>
      </c>
      <c r="C349" s="32">
        <v>8311</v>
      </c>
      <c r="D349" s="1">
        <v>22000</v>
      </c>
      <c r="E349" s="1"/>
      <c r="F349" s="1">
        <v>245</v>
      </c>
      <c r="G349" s="1">
        <v>22000</v>
      </c>
      <c r="H349" s="5">
        <f t="shared" si="5"/>
        <v>0</v>
      </c>
      <c r="I349" s="1"/>
      <c r="J349" s="1"/>
    </row>
    <row r="350" spans="1:10" x14ac:dyDescent="0.2">
      <c r="A350" s="1"/>
      <c r="B350" s="1" t="s">
        <v>379</v>
      </c>
      <c r="C350" s="32">
        <v>9.7100000000000006E-2</v>
      </c>
      <c r="D350" s="1">
        <v>25000</v>
      </c>
      <c r="E350" s="1"/>
      <c r="F350" s="1">
        <v>259</v>
      </c>
      <c r="G350" s="1">
        <v>25000</v>
      </c>
      <c r="H350" s="5">
        <f t="shared" si="5"/>
        <v>0</v>
      </c>
      <c r="I350" s="1"/>
      <c r="J350" s="1"/>
    </row>
    <row r="351" spans="1:10" x14ac:dyDescent="0.2">
      <c r="A351" s="1"/>
      <c r="B351" s="1" t="s">
        <v>379</v>
      </c>
      <c r="C351" s="32">
        <v>8913</v>
      </c>
      <c r="D351" s="1">
        <v>18000</v>
      </c>
      <c r="E351" s="1"/>
      <c r="F351" s="1">
        <v>200</v>
      </c>
      <c r="G351" s="1">
        <v>18000</v>
      </c>
      <c r="H351" s="5">
        <f t="shared" si="5"/>
        <v>0</v>
      </c>
      <c r="I351" s="1"/>
      <c r="J351" s="1"/>
    </row>
    <row r="352" spans="1:10" x14ac:dyDescent="0.2">
      <c r="A352" s="1"/>
      <c r="B352" s="1" t="s">
        <v>379</v>
      </c>
      <c r="C352" s="32">
        <v>2661</v>
      </c>
      <c r="D352" s="1">
        <v>15000</v>
      </c>
      <c r="E352" s="1"/>
      <c r="F352" s="1">
        <v>167</v>
      </c>
      <c r="G352" s="1">
        <v>15000</v>
      </c>
      <c r="H352" s="5">
        <f t="shared" si="5"/>
        <v>0</v>
      </c>
      <c r="I352" s="1"/>
      <c r="J352" s="1"/>
    </row>
    <row r="353" spans="1:10" x14ac:dyDescent="0.2">
      <c r="A353" s="1"/>
      <c r="B353" s="1" t="s">
        <v>379</v>
      </c>
      <c r="C353" s="32">
        <v>4571</v>
      </c>
      <c r="D353" s="1">
        <v>15000</v>
      </c>
      <c r="E353" s="1"/>
      <c r="F353" s="1">
        <v>167</v>
      </c>
      <c r="G353" s="1">
        <v>15000</v>
      </c>
      <c r="H353" s="5">
        <f t="shared" si="5"/>
        <v>0</v>
      </c>
      <c r="I353" s="1"/>
      <c r="J353" s="1"/>
    </row>
    <row r="354" spans="1:10" x14ac:dyDescent="0.2">
      <c r="A354" s="1"/>
      <c r="B354" s="1" t="s">
        <v>379</v>
      </c>
      <c r="C354" s="32">
        <v>2767</v>
      </c>
      <c r="D354" s="1">
        <v>15000</v>
      </c>
      <c r="E354" s="1"/>
      <c r="F354" s="1">
        <v>167</v>
      </c>
      <c r="G354" s="1">
        <v>15000</v>
      </c>
      <c r="H354" s="5">
        <f t="shared" si="5"/>
        <v>0</v>
      </c>
      <c r="I354" s="1"/>
      <c r="J354" s="1"/>
    </row>
    <row r="355" spans="1:10" x14ac:dyDescent="0.2">
      <c r="A355" s="1"/>
      <c r="B355" s="1" t="s">
        <v>379</v>
      </c>
      <c r="C355" s="32">
        <v>3776</v>
      </c>
      <c r="D355" s="1">
        <v>20000</v>
      </c>
      <c r="E355" s="1"/>
      <c r="F355" s="1">
        <v>222.82</v>
      </c>
      <c r="G355" s="1">
        <v>20000</v>
      </c>
      <c r="H355" s="5">
        <f t="shared" si="5"/>
        <v>0</v>
      </c>
      <c r="I355" s="1"/>
      <c r="J355" s="1"/>
    </row>
    <row r="356" spans="1:10" x14ac:dyDescent="0.2">
      <c r="A356" s="1"/>
      <c r="B356" s="1" t="s">
        <v>379</v>
      </c>
      <c r="C356" s="32">
        <v>8891</v>
      </c>
      <c r="D356" s="1">
        <v>10000</v>
      </c>
      <c r="E356" s="1"/>
      <c r="F356" s="1">
        <v>111</v>
      </c>
      <c r="G356" s="1">
        <v>10000</v>
      </c>
      <c r="H356" s="5">
        <f t="shared" si="5"/>
        <v>0</v>
      </c>
      <c r="I356" s="1"/>
      <c r="J356" s="1"/>
    </row>
    <row r="357" spans="1:10" x14ac:dyDescent="0.2">
      <c r="A357" s="1"/>
      <c r="B357" s="1" t="s">
        <v>379</v>
      </c>
      <c r="C357" s="32">
        <v>8944</v>
      </c>
      <c r="D357" s="1">
        <v>10000</v>
      </c>
      <c r="E357" s="1"/>
      <c r="F357" s="1">
        <v>111</v>
      </c>
      <c r="G357" s="1">
        <v>10000</v>
      </c>
      <c r="H357" s="5">
        <f t="shared" si="5"/>
        <v>0</v>
      </c>
      <c r="I357" s="1"/>
      <c r="J357" s="1"/>
    </row>
    <row r="358" spans="1:10" x14ac:dyDescent="0.2">
      <c r="A358" s="1"/>
      <c r="B358" s="1" t="s">
        <v>379</v>
      </c>
      <c r="C358" s="32">
        <v>5079</v>
      </c>
      <c r="D358" s="1">
        <v>22000</v>
      </c>
      <c r="E358" s="1"/>
      <c r="F358" s="1">
        <v>245</v>
      </c>
      <c r="G358" s="1">
        <v>22000</v>
      </c>
      <c r="H358" s="5">
        <f t="shared" si="5"/>
        <v>0</v>
      </c>
      <c r="I358" s="1"/>
      <c r="J358" s="1"/>
    </row>
    <row r="359" spans="1:10" x14ac:dyDescent="0.2">
      <c r="A359" s="1"/>
      <c r="B359" s="1" t="s">
        <v>379</v>
      </c>
      <c r="C359" s="32">
        <v>8762</v>
      </c>
      <c r="D359" s="1">
        <v>27000</v>
      </c>
      <c r="E359" s="1"/>
      <c r="F359" s="1">
        <v>300</v>
      </c>
      <c r="G359" s="1">
        <v>27000</v>
      </c>
      <c r="H359" s="5">
        <f t="shared" si="5"/>
        <v>0</v>
      </c>
      <c r="I359" s="1"/>
      <c r="J359" s="1"/>
    </row>
    <row r="360" spans="1:10" x14ac:dyDescent="0.2">
      <c r="A360" s="1"/>
      <c r="B360" s="1" t="s">
        <v>379</v>
      </c>
      <c r="C360" s="32">
        <v>3709</v>
      </c>
      <c r="D360" s="1">
        <v>25000</v>
      </c>
      <c r="E360" s="1"/>
      <c r="F360" s="1">
        <v>278</v>
      </c>
      <c r="G360" s="1">
        <v>25000</v>
      </c>
      <c r="H360" s="5">
        <f t="shared" si="5"/>
        <v>0</v>
      </c>
      <c r="I360" s="1"/>
      <c r="J360" s="1"/>
    </row>
    <row r="361" spans="1:10" x14ac:dyDescent="0.2">
      <c r="A361" s="1"/>
      <c r="B361" s="1" t="s">
        <v>379</v>
      </c>
      <c r="C361" s="32">
        <v>3400</v>
      </c>
      <c r="D361" s="1">
        <v>25000</v>
      </c>
      <c r="E361" s="1"/>
      <c r="F361" s="1">
        <v>278</v>
      </c>
      <c r="G361" s="1">
        <v>25000</v>
      </c>
      <c r="H361" s="5">
        <f t="shared" si="5"/>
        <v>0</v>
      </c>
      <c r="I361" s="1"/>
      <c r="J361" s="1"/>
    </row>
    <row r="362" spans="1:10" x14ac:dyDescent="0.2">
      <c r="A362" s="1"/>
      <c r="B362" s="1" t="s">
        <v>380</v>
      </c>
      <c r="C362" s="32" t="s">
        <v>66</v>
      </c>
      <c r="D362" s="1">
        <v>210</v>
      </c>
      <c r="E362" s="1"/>
      <c r="F362" s="1">
        <v>2.0499999999999998</v>
      </c>
      <c r="G362" s="1">
        <v>210</v>
      </c>
      <c r="H362" s="5">
        <f t="shared" si="5"/>
        <v>0</v>
      </c>
      <c r="I362" s="1"/>
      <c r="J362" s="1"/>
    </row>
    <row r="363" spans="1:10" x14ac:dyDescent="0.2">
      <c r="A363" s="1"/>
      <c r="B363" s="1" t="s">
        <v>380</v>
      </c>
      <c r="C363" s="32" t="s">
        <v>30</v>
      </c>
      <c r="D363" s="1">
        <v>2000</v>
      </c>
      <c r="E363" s="1"/>
      <c r="F363" s="1">
        <v>2.12</v>
      </c>
      <c r="G363" s="1">
        <v>2000</v>
      </c>
      <c r="H363" s="5">
        <f t="shared" si="5"/>
        <v>0</v>
      </c>
      <c r="I363" s="1"/>
      <c r="J363" s="1"/>
    </row>
    <row r="364" spans="1:10" x14ac:dyDescent="0.2">
      <c r="A364" s="1"/>
      <c r="B364" s="1" t="s">
        <v>380</v>
      </c>
      <c r="C364" s="32">
        <v>3707</v>
      </c>
      <c r="D364" s="1">
        <v>20000</v>
      </c>
      <c r="E364" s="1"/>
      <c r="F364" s="1">
        <v>222.82</v>
      </c>
      <c r="G364" s="1">
        <v>20000</v>
      </c>
      <c r="H364" s="5">
        <f t="shared" si="5"/>
        <v>0</v>
      </c>
      <c r="I364" s="1"/>
      <c r="J364" s="1"/>
    </row>
    <row r="365" spans="1:10" x14ac:dyDescent="0.2">
      <c r="A365" s="1"/>
      <c r="B365" s="1" t="s">
        <v>380</v>
      </c>
      <c r="C365" s="32">
        <v>2448</v>
      </c>
      <c r="D365" s="1">
        <v>10000</v>
      </c>
      <c r="E365" s="1"/>
      <c r="F365" s="1">
        <v>111</v>
      </c>
      <c r="G365" s="1">
        <v>10000</v>
      </c>
      <c r="H365" s="5">
        <f t="shared" si="5"/>
        <v>0</v>
      </c>
      <c r="I365" s="1"/>
      <c r="J365" s="1"/>
    </row>
    <row r="366" spans="1:10" x14ac:dyDescent="0.2">
      <c r="A366" s="1"/>
      <c r="B366" s="1" t="s">
        <v>380</v>
      </c>
      <c r="C366" s="32">
        <v>5485</v>
      </c>
      <c r="D366" s="1">
        <v>26000</v>
      </c>
      <c r="E366" s="1"/>
      <c r="F366" s="1">
        <v>289</v>
      </c>
      <c r="G366" s="1">
        <v>26000</v>
      </c>
      <c r="H366" s="5">
        <f t="shared" si="5"/>
        <v>0</v>
      </c>
      <c r="I366" s="1"/>
      <c r="J366" s="1"/>
    </row>
    <row r="367" spans="1:10" x14ac:dyDescent="0.2">
      <c r="A367" s="1"/>
      <c r="B367" s="1" t="s">
        <v>380</v>
      </c>
      <c r="C367" s="32">
        <v>3158</v>
      </c>
      <c r="D367" s="1">
        <v>32000</v>
      </c>
      <c r="E367" s="1"/>
      <c r="F367" s="1">
        <v>348</v>
      </c>
      <c r="G367" s="1">
        <v>32000</v>
      </c>
      <c r="H367" s="5">
        <f t="shared" si="5"/>
        <v>0</v>
      </c>
      <c r="I367" s="1"/>
      <c r="J367" s="1"/>
    </row>
    <row r="368" spans="1:10" x14ac:dyDescent="0.2">
      <c r="A368" s="1"/>
      <c r="B368" s="1" t="s">
        <v>380</v>
      </c>
      <c r="C368" s="32">
        <v>7344</v>
      </c>
      <c r="D368" s="1">
        <v>30000</v>
      </c>
      <c r="E368" s="1"/>
      <c r="F368" s="1">
        <v>334</v>
      </c>
      <c r="G368" s="1">
        <v>30000</v>
      </c>
      <c r="H368" s="5">
        <f t="shared" si="5"/>
        <v>0</v>
      </c>
      <c r="I368" s="1"/>
      <c r="J368" s="1"/>
    </row>
    <row r="369" spans="1:13" x14ac:dyDescent="0.2">
      <c r="A369" s="1"/>
      <c r="B369" s="1" t="s">
        <v>380</v>
      </c>
      <c r="C369" s="32">
        <v>7512</v>
      </c>
      <c r="D369" s="1">
        <v>30000</v>
      </c>
      <c r="E369" s="1"/>
      <c r="F369" s="1">
        <v>334</v>
      </c>
      <c r="G369" s="1">
        <v>30000</v>
      </c>
      <c r="H369" s="5">
        <f t="shared" si="5"/>
        <v>0</v>
      </c>
      <c r="I369" s="1"/>
      <c r="J369" s="1"/>
    </row>
    <row r="370" spans="1:13" x14ac:dyDescent="0.2">
      <c r="A370" s="1"/>
      <c r="B370" s="1" t="s">
        <v>380</v>
      </c>
      <c r="C370" s="32">
        <v>3989</v>
      </c>
      <c r="D370" s="1">
        <v>30000</v>
      </c>
      <c r="E370" s="1"/>
      <c r="F370" s="1">
        <v>334</v>
      </c>
      <c r="G370" s="1">
        <v>30000</v>
      </c>
      <c r="H370" s="5">
        <f t="shared" si="5"/>
        <v>0</v>
      </c>
      <c r="I370" s="1"/>
      <c r="J370" s="1"/>
    </row>
    <row r="371" spans="1:13" x14ac:dyDescent="0.2">
      <c r="A371" s="1"/>
      <c r="B371" s="1" t="s">
        <v>380</v>
      </c>
      <c r="C371" s="32">
        <v>3968</v>
      </c>
      <c r="D371" s="1">
        <v>7000</v>
      </c>
      <c r="E371" s="1"/>
      <c r="F371" s="1">
        <v>73.95</v>
      </c>
      <c r="G371" s="1">
        <v>7000</v>
      </c>
      <c r="H371" s="5">
        <f t="shared" si="5"/>
        <v>0</v>
      </c>
      <c r="I371" s="1"/>
      <c r="J371" s="1"/>
    </row>
    <row r="372" spans="1:13" x14ac:dyDescent="0.2">
      <c r="A372" s="1"/>
      <c r="B372" s="1" t="s">
        <v>380</v>
      </c>
      <c r="C372" s="32">
        <v>2345</v>
      </c>
      <c r="D372" s="1">
        <v>3000</v>
      </c>
      <c r="E372" s="1"/>
      <c r="F372" s="1">
        <v>33.42</v>
      </c>
      <c r="G372" s="1">
        <v>3000</v>
      </c>
      <c r="H372" s="5">
        <f t="shared" si="5"/>
        <v>0</v>
      </c>
      <c r="I372" s="1"/>
      <c r="J372" s="1"/>
    </row>
    <row r="373" spans="1:13" x14ac:dyDescent="0.2">
      <c r="A373" s="1"/>
      <c r="B373" s="1" t="s">
        <v>381</v>
      </c>
      <c r="C373" s="32" t="s">
        <v>63</v>
      </c>
      <c r="D373" s="1">
        <v>3500</v>
      </c>
      <c r="E373" s="1"/>
      <c r="F373" s="1">
        <v>38.99</v>
      </c>
      <c r="G373" s="1">
        <v>3500</v>
      </c>
      <c r="H373" s="5">
        <f t="shared" si="5"/>
        <v>0</v>
      </c>
      <c r="I373" s="1"/>
      <c r="J373" s="1"/>
    </row>
    <row r="374" spans="1:13" x14ac:dyDescent="0.2">
      <c r="A374" s="1"/>
      <c r="B374" s="1" t="s">
        <v>381</v>
      </c>
      <c r="C374" s="32">
        <v>8050</v>
      </c>
      <c r="D374" s="1">
        <v>12500</v>
      </c>
      <c r="E374" s="1"/>
      <c r="F374" s="1">
        <v>133</v>
      </c>
      <c r="G374" s="1">
        <v>12500</v>
      </c>
      <c r="H374" s="5">
        <f t="shared" si="5"/>
        <v>0</v>
      </c>
      <c r="I374" s="1"/>
      <c r="J374" s="1"/>
    </row>
    <row r="375" spans="1:13" x14ac:dyDescent="0.2">
      <c r="A375" s="1"/>
      <c r="B375" s="1" t="s">
        <v>381</v>
      </c>
      <c r="C375" s="32">
        <v>8250</v>
      </c>
      <c r="D375" s="1">
        <v>12500</v>
      </c>
      <c r="E375" s="1"/>
      <c r="F375" s="1">
        <v>133</v>
      </c>
      <c r="G375" s="1">
        <v>12500</v>
      </c>
      <c r="H375" s="5">
        <f t="shared" si="5"/>
        <v>0</v>
      </c>
      <c r="I375" s="1"/>
      <c r="J375" s="1"/>
    </row>
    <row r="376" spans="1:13" x14ac:dyDescent="0.2">
      <c r="A376" s="1"/>
      <c r="B376" s="1" t="s">
        <v>381</v>
      </c>
      <c r="C376" s="32" t="s">
        <v>30</v>
      </c>
      <c r="D376" s="1">
        <v>5000</v>
      </c>
      <c r="E376" s="1"/>
      <c r="F376" s="1">
        <v>55.13</v>
      </c>
      <c r="G376" s="1">
        <v>5000</v>
      </c>
      <c r="H376" s="5">
        <f t="shared" si="5"/>
        <v>0</v>
      </c>
      <c r="I376" s="1"/>
      <c r="J376" s="1"/>
    </row>
    <row r="377" spans="1:13" x14ac:dyDescent="0.2">
      <c r="A377" s="1"/>
      <c r="B377" s="1" t="s">
        <v>381</v>
      </c>
      <c r="C377" s="32" t="s">
        <v>30</v>
      </c>
      <c r="D377" s="1">
        <v>2000</v>
      </c>
      <c r="E377" s="1"/>
      <c r="F377" s="1">
        <v>22.12</v>
      </c>
      <c r="G377" s="1">
        <v>2000</v>
      </c>
      <c r="H377" s="5">
        <f t="shared" si="5"/>
        <v>0</v>
      </c>
      <c r="I377" s="1"/>
      <c r="J377" s="1"/>
    </row>
    <row r="378" spans="1:13" x14ac:dyDescent="0.2">
      <c r="A378" s="1"/>
      <c r="B378" s="1" t="s">
        <v>381</v>
      </c>
      <c r="C378" s="32">
        <v>4115</v>
      </c>
      <c r="D378" s="1">
        <v>20000</v>
      </c>
      <c r="E378" s="1"/>
      <c r="F378" s="1">
        <v>222.82</v>
      </c>
      <c r="G378" s="1">
        <v>20000</v>
      </c>
      <c r="H378" s="5">
        <f t="shared" si="5"/>
        <v>0</v>
      </c>
      <c r="I378" s="1"/>
      <c r="J378" s="1"/>
    </row>
    <row r="379" spans="1:13" x14ac:dyDescent="0.2">
      <c r="A379" s="1"/>
      <c r="B379" s="1" t="s">
        <v>381</v>
      </c>
      <c r="C379" s="32">
        <v>7260</v>
      </c>
      <c r="D379" s="1">
        <v>20000</v>
      </c>
      <c r="E379" s="1"/>
      <c r="F379" s="1">
        <v>222.82</v>
      </c>
      <c r="G379" s="1">
        <v>20000</v>
      </c>
      <c r="H379" s="5">
        <f t="shared" si="5"/>
        <v>0</v>
      </c>
      <c r="I379" s="1"/>
      <c r="J379" s="1"/>
    </row>
    <row r="380" spans="1:13" x14ac:dyDescent="0.2">
      <c r="A380" s="1"/>
      <c r="B380" s="1" t="s">
        <v>381</v>
      </c>
      <c r="C380" s="32">
        <v>7672</v>
      </c>
      <c r="D380" s="1">
        <v>18000</v>
      </c>
      <c r="E380" s="1"/>
      <c r="F380" s="1">
        <v>200</v>
      </c>
      <c r="G380" s="1">
        <v>18000</v>
      </c>
      <c r="H380" s="5">
        <f t="shared" si="5"/>
        <v>0</v>
      </c>
      <c r="I380" s="1"/>
      <c r="J380" s="1"/>
    </row>
    <row r="381" spans="1:13" x14ac:dyDescent="0.2">
      <c r="A381" s="1"/>
      <c r="B381" s="1" t="s">
        <v>381</v>
      </c>
      <c r="C381" s="32">
        <v>2043</v>
      </c>
      <c r="D381" s="1">
        <v>28000</v>
      </c>
      <c r="E381" s="1"/>
      <c r="F381" s="1">
        <v>311</v>
      </c>
      <c r="G381" s="1">
        <v>28000</v>
      </c>
      <c r="H381" s="5">
        <f t="shared" si="5"/>
        <v>0</v>
      </c>
      <c r="I381" s="1"/>
      <c r="J381" s="1"/>
    </row>
    <row r="382" spans="1:13" x14ac:dyDescent="0.2">
      <c r="A382" s="1"/>
      <c r="B382" s="1" t="s">
        <v>381</v>
      </c>
      <c r="C382" s="32">
        <v>6013</v>
      </c>
      <c r="D382" s="1">
        <v>20000</v>
      </c>
      <c r="E382" s="1"/>
      <c r="F382" s="1">
        <v>222.82</v>
      </c>
      <c r="G382" s="1">
        <v>20000</v>
      </c>
      <c r="H382" s="5">
        <f t="shared" si="5"/>
        <v>0</v>
      </c>
      <c r="I382" s="1"/>
      <c r="J382" s="1"/>
    </row>
    <row r="383" spans="1:13" ht="15" x14ac:dyDescent="0.25">
      <c r="A383" s="1"/>
      <c r="B383" s="1"/>
      <c r="C383" s="20" t="s">
        <v>9</v>
      </c>
      <c r="D383" s="21">
        <f>SUM(D5:D382)</f>
        <v>6985864</v>
      </c>
      <c r="E383" s="22"/>
      <c r="F383" s="23">
        <f>SUM(F6:F382)</f>
        <v>65806.999999999971</v>
      </c>
      <c r="G383" s="21">
        <f>SUM(G5:G382)</f>
        <v>6985864</v>
      </c>
      <c r="H383" s="22"/>
      <c r="I383" s="24">
        <f>SUM(I6:I250)</f>
        <v>5434730</v>
      </c>
      <c r="J383" s="1"/>
      <c r="L383">
        <f>1059103-1047083</f>
        <v>12020</v>
      </c>
      <c r="M383">
        <f>7017884-7005864</f>
        <v>12020</v>
      </c>
    </row>
    <row r="384" spans="1:13" ht="15" x14ac:dyDescent="0.25">
      <c r="A384" s="44"/>
      <c r="B384" s="1"/>
      <c r="C384" s="20" t="s">
        <v>10</v>
      </c>
      <c r="D384" s="25">
        <f>SUM(D383-I383)</f>
        <v>1551134</v>
      </c>
      <c r="E384" s="22"/>
      <c r="F384" s="22"/>
      <c r="G384" s="26" t="s">
        <v>10</v>
      </c>
      <c r="H384" s="25">
        <f>SUM(G383-I383)</f>
        <v>1551134</v>
      </c>
      <c r="I384" s="25"/>
      <c r="J384" s="1"/>
      <c r="L384">
        <f>1275713-1271134</f>
        <v>4579</v>
      </c>
    </row>
    <row r="385" spans="3:13" ht="15" thickBot="1" x14ac:dyDescent="0.25"/>
    <row r="386" spans="3:13" ht="15" x14ac:dyDescent="0.25">
      <c r="C386" s="178"/>
      <c r="D386" s="179" t="s">
        <v>383</v>
      </c>
      <c r="E386" s="179"/>
      <c r="F386" s="179"/>
      <c r="G386" s="179"/>
      <c r="H386" s="75"/>
      <c r="I386" s="76"/>
    </row>
    <row r="387" spans="3:13" ht="15.75" thickBot="1" x14ac:dyDescent="0.3">
      <c r="C387" s="186" t="s">
        <v>185</v>
      </c>
      <c r="D387" s="181"/>
      <c r="E387" s="181"/>
      <c r="F387" s="181" t="s">
        <v>186</v>
      </c>
      <c r="G387" s="181"/>
      <c r="H387" s="183"/>
      <c r="I387" s="184"/>
    </row>
    <row r="388" spans="3:13" ht="15" x14ac:dyDescent="0.25">
      <c r="C388" s="91" t="s">
        <v>184</v>
      </c>
      <c r="D388" s="90">
        <v>6985864</v>
      </c>
      <c r="E388" s="90"/>
      <c r="F388" s="90" t="s">
        <v>187</v>
      </c>
      <c r="G388" s="90">
        <v>6997884</v>
      </c>
      <c r="H388" s="90" t="s">
        <v>364</v>
      </c>
      <c r="I388" s="187">
        <f>6997884-6985864</f>
        <v>12020</v>
      </c>
    </row>
    <row r="389" spans="3:13" ht="15" x14ac:dyDescent="0.25">
      <c r="C389" s="93" t="s">
        <v>143</v>
      </c>
      <c r="D389" s="42">
        <v>5434730</v>
      </c>
      <c r="E389" s="42"/>
      <c r="F389" s="42" t="s">
        <v>191</v>
      </c>
      <c r="G389" s="42">
        <v>5442171</v>
      </c>
      <c r="H389" s="42" t="s">
        <v>365</v>
      </c>
      <c r="I389" s="188">
        <f>5442171-5434730</f>
        <v>7441</v>
      </c>
      <c r="M389">
        <f>7441+4579</f>
        <v>12020</v>
      </c>
    </row>
    <row r="390" spans="3:13" ht="18.75" x14ac:dyDescent="0.3">
      <c r="C390" s="189" t="s">
        <v>95</v>
      </c>
      <c r="D390" s="89">
        <f>6985864-5434730</f>
        <v>1551134</v>
      </c>
      <c r="E390" s="89"/>
      <c r="F390" s="89" t="s">
        <v>95</v>
      </c>
      <c r="G390" s="89">
        <f>6997884-5442171</f>
        <v>1555713</v>
      </c>
      <c r="H390" s="42" t="s">
        <v>390</v>
      </c>
      <c r="I390" s="190">
        <f>1555713-1551134</f>
        <v>4579</v>
      </c>
      <c r="J390" s="185" t="s">
        <v>382</v>
      </c>
      <c r="K390" s="185"/>
    </row>
    <row r="391" spans="3:13" ht="15.75" thickBot="1" x14ac:dyDescent="0.3">
      <c r="C391" s="191"/>
      <c r="D391" s="192"/>
      <c r="E391" s="192"/>
      <c r="F391" s="193" t="s">
        <v>192</v>
      </c>
      <c r="G391" s="193"/>
      <c r="H391" s="181"/>
      <c r="I391" s="19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57"/>
  <sheetViews>
    <sheetView topLeftCell="A4" workbookViewId="0">
      <selection activeCell="K25" sqref="K25:N25"/>
    </sheetView>
  </sheetViews>
  <sheetFormatPr defaultRowHeight="14.25" x14ac:dyDescent="0.2"/>
  <cols>
    <col min="1" max="1" width="4.875" customWidth="1"/>
    <col min="3" max="3" width="16.5" customWidth="1"/>
    <col min="4" max="4" width="14.75" customWidth="1"/>
    <col min="5" max="5" width="9.125" bestFit="1" customWidth="1"/>
    <col min="6" max="6" width="11.375" customWidth="1"/>
    <col min="7" max="7" width="16" customWidth="1"/>
    <col min="8" max="8" width="14.625" customWidth="1"/>
    <col min="9" max="9" width="13.75" customWidth="1"/>
  </cols>
  <sheetData>
    <row r="2" spans="1:12" ht="21" x14ac:dyDescent="0.35">
      <c r="A2" s="1"/>
      <c r="B2" s="1"/>
      <c r="C2" s="1"/>
      <c r="D2" s="195" t="s">
        <v>331</v>
      </c>
      <c r="E2" s="195"/>
      <c r="F2" s="195"/>
      <c r="G2" s="195"/>
      <c r="H2" s="1"/>
      <c r="I2" s="1"/>
      <c r="J2" s="1"/>
    </row>
    <row r="3" spans="1:12" ht="18" x14ac:dyDescent="0.25">
      <c r="A3" s="1"/>
      <c r="B3" s="1"/>
      <c r="C3" s="1"/>
      <c r="D3" s="61"/>
      <c r="E3" s="161">
        <v>44896</v>
      </c>
      <c r="H3" s="1"/>
      <c r="I3" s="1"/>
      <c r="J3" s="1"/>
    </row>
    <row r="4" spans="1:12" ht="1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107" t="s">
        <v>8</v>
      </c>
      <c r="J4" s="107" t="s">
        <v>2</v>
      </c>
    </row>
    <row r="5" spans="1:12" ht="15" x14ac:dyDescent="0.25">
      <c r="A5" s="1"/>
      <c r="B5" s="108" t="s">
        <v>381</v>
      </c>
      <c r="C5" s="162" t="s">
        <v>374</v>
      </c>
      <c r="D5" s="25">
        <v>1551134</v>
      </c>
      <c r="E5" s="162"/>
      <c r="F5" s="162"/>
      <c r="G5" s="25">
        <v>1551134</v>
      </c>
      <c r="H5" s="30"/>
      <c r="I5" s="107"/>
      <c r="J5" s="107"/>
    </row>
    <row r="6" spans="1:12" ht="15" x14ac:dyDescent="0.25">
      <c r="A6" s="1">
        <v>1</v>
      </c>
      <c r="B6" s="1" t="s">
        <v>384</v>
      </c>
      <c r="C6" s="32" t="s">
        <v>30</v>
      </c>
      <c r="D6" s="1">
        <v>7000</v>
      </c>
      <c r="E6" s="1"/>
      <c r="F6" s="1">
        <v>77.12</v>
      </c>
      <c r="G6" s="1">
        <v>7000</v>
      </c>
      <c r="H6" s="5">
        <f t="shared" ref="H6:H69" si="0">D6-G6</f>
        <v>0</v>
      </c>
      <c r="I6" s="30">
        <v>300000</v>
      </c>
      <c r="J6" s="30" t="s">
        <v>381</v>
      </c>
      <c r="K6" s="51" t="s">
        <v>93</v>
      </c>
    </row>
    <row r="7" spans="1:12" ht="15" x14ac:dyDescent="0.25">
      <c r="A7" s="1">
        <v>2</v>
      </c>
      <c r="B7" s="1" t="s">
        <v>384</v>
      </c>
      <c r="C7" s="32">
        <v>5.0500000000000003E-2</v>
      </c>
      <c r="D7" s="1">
        <v>23000</v>
      </c>
      <c r="E7" s="1"/>
      <c r="F7" s="1">
        <v>245</v>
      </c>
      <c r="G7" s="1">
        <v>23000</v>
      </c>
      <c r="H7" s="5">
        <f t="shared" si="0"/>
        <v>0</v>
      </c>
      <c r="I7" s="30">
        <v>200000</v>
      </c>
      <c r="J7" s="30" t="s">
        <v>384</v>
      </c>
      <c r="K7" s="51" t="s">
        <v>93</v>
      </c>
    </row>
    <row r="8" spans="1:12" ht="15" x14ac:dyDescent="0.25">
      <c r="A8" s="1">
        <v>3</v>
      </c>
      <c r="B8" s="1" t="s">
        <v>384</v>
      </c>
      <c r="C8" s="32">
        <v>4995</v>
      </c>
      <c r="D8" s="1">
        <v>15000</v>
      </c>
      <c r="E8" s="1"/>
      <c r="F8" s="1">
        <v>167</v>
      </c>
      <c r="G8" s="1">
        <v>15000</v>
      </c>
      <c r="H8" s="5">
        <f t="shared" si="0"/>
        <v>0</v>
      </c>
      <c r="I8" s="30">
        <v>200000</v>
      </c>
      <c r="J8" s="30" t="s">
        <v>385</v>
      </c>
      <c r="K8" s="51" t="s">
        <v>93</v>
      </c>
    </row>
    <row r="9" spans="1:12" ht="15" x14ac:dyDescent="0.25">
      <c r="A9" s="1">
        <v>4</v>
      </c>
      <c r="B9" s="1" t="s">
        <v>384</v>
      </c>
      <c r="C9" s="32" t="s">
        <v>30</v>
      </c>
      <c r="D9" s="1">
        <v>4500</v>
      </c>
      <c r="E9" s="1"/>
      <c r="F9" s="1">
        <v>45.12</v>
      </c>
      <c r="G9" s="1">
        <v>4500</v>
      </c>
      <c r="H9" s="5">
        <f t="shared" si="0"/>
        <v>0</v>
      </c>
      <c r="I9" s="30">
        <v>200000</v>
      </c>
      <c r="J9" s="30" t="s">
        <v>386</v>
      </c>
      <c r="K9" s="51" t="s">
        <v>93</v>
      </c>
    </row>
    <row r="10" spans="1:12" ht="15" x14ac:dyDescent="0.25">
      <c r="A10" s="1">
        <v>5</v>
      </c>
      <c r="B10" s="1" t="s">
        <v>384</v>
      </c>
      <c r="C10" s="32" t="s">
        <v>66</v>
      </c>
      <c r="D10" s="1">
        <v>210</v>
      </c>
      <c r="E10" s="1"/>
      <c r="F10" s="1">
        <v>2.06</v>
      </c>
      <c r="G10" s="1">
        <v>210</v>
      </c>
      <c r="H10" s="5">
        <f t="shared" si="0"/>
        <v>0</v>
      </c>
      <c r="I10" s="30">
        <v>300000</v>
      </c>
      <c r="J10" s="30" t="s">
        <v>388</v>
      </c>
      <c r="K10" s="51" t="s">
        <v>93</v>
      </c>
    </row>
    <row r="11" spans="1:12" ht="15" x14ac:dyDescent="0.25">
      <c r="A11" s="1">
        <v>6</v>
      </c>
      <c r="B11" s="1" t="s">
        <v>384</v>
      </c>
      <c r="C11" s="32">
        <v>9686</v>
      </c>
      <c r="D11" s="1">
        <v>25000</v>
      </c>
      <c r="E11" s="1"/>
      <c r="F11" s="1">
        <v>275</v>
      </c>
      <c r="G11" s="1">
        <v>25000</v>
      </c>
      <c r="H11" s="5">
        <f t="shared" si="0"/>
        <v>0</v>
      </c>
      <c r="I11" s="30">
        <v>200000</v>
      </c>
      <c r="J11" s="30" t="s">
        <v>389</v>
      </c>
      <c r="K11" s="51" t="s">
        <v>93</v>
      </c>
    </row>
    <row r="12" spans="1:12" ht="15" x14ac:dyDescent="0.25">
      <c r="A12" s="1">
        <v>7</v>
      </c>
      <c r="B12" s="1" t="s">
        <v>384</v>
      </c>
      <c r="C12" s="32">
        <v>5485</v>
      </c>
      <c r="D12" s="1">
        <v>26000</v>
      </c>
      <c r="E12" s="1"/>
      <c r="F12" s="1">
        <v>298</v>
      </c>
      <c r="G12" s="1">
        <v>26000</v>
      </c>
      <c r="H12" s="5">
        <f t="shared" si="0"/>
        <v>0</v>
      </c>
      <c r="I12" s="30">
        <v>200000</v>
      </c>
      <c r="J12" s="30" t="s">
        <v>391</v>
      </c>
      <c r="K12" s="51" t="s">
        <v>93</v>
      </c>
    </row>
    <row r="13" spans="1:12" ht="15" x14ac:dyDescent="0.25">
      <c r="A13" s="1">
        <v>8</v>
      </c>
      <c r="B13" s="1" t="s">
        <v>384</v>
      </c>
      <c r="C13" s="32">
        <v>9.4899999999999998E-2</v>
      </c>
      <c r="D13" s="1">
        <v>10000</v>
      </c>
      <c r="E13" s="1"/>
      <c r="F13" s="1">
        <v>111</v>
      </c>
      <c r="G13" s="1">
        <v>10000</v>
      </c>
      <c r="H13" s="5">
        <f t="shared" si="0"/>
        <v>0</v>
      </c>
      <c r="I13" s="30">
        <v>100000</v>
      </c>
      <c r="J13" s="30" t="s">
        <v>392</v>
      </c>
      <c r="K13" s="105" t="s">
        <v>93</v>
      </c>
      <c r="L13" s="51"/>
    </row>
    <row r="14" spans="1:12" ht="15" x14ac:dyDescent="0.25">
      <c r="A14" s="1">
        <v>9</v>
      </c>
      <c r="B14" s="1" t="s">
        <v>384</v>
      </c>
      <c r="C14" s="32">
        <v>7.8600000000000003E-2</v>
      </c>
      <c r="D14" s="1">
        <v>24000</v>
      </c>
      <c r="E14" s="1"/>
      <c r="F14" s="1">
        <v>267</v>
      </c>
      <c r="G14" s="1">
        <v>24000</v>
      </c>
      <c r="H14" s="5">
        <f t="shared" si="0"/>
        <v>0</v>
      </c>
      <c r="I14" s="30">
        <v>100000</v>
      </c>
      <c r="J14" s="30" t="s">
        <v>393</v>
      </c>
      <c r="K14" s="105" t="s">
        <v>93</v>
      </c>
      <c r="L14" s="51"/>
    </row>
    <row r="15" spans="1:12" ht="15" x14ac:dyDescent="0.25">
      <c r="A15" s="1">
        <v>10</v>
      </c>
      <c r="B15" s="1" t="s">
        <v>384</v>
      </c>
      <c r="C15" s="32">
        <v>4451</v>
      </c>
      <c r="D15" s="1">
        <v>7000</v>
      </c>
      <c r="E15" s="1"/>
      <c r="F15" s="1">
        <v>77.12</v>
      </c>
      <c r="G15" s="1">
        <v>7000</v>
      </c>
      <c r="H15" s="5">
        <f t="shared" si="0"/>
        <v>0</v>
      </c>
      <c r="I15" s="30">
        <v>200000</v>
      </c>
      <c r="J15" s="30" t="s">
        <v>396</v>
      </c>
      <c r="K15" s="51" t="s">
        <v>93</v>
      </c>
    </row>
    <row r="16" spans="1:12" ht="15" x14ac:dyDescent="0.25">
      <c r="A16" s="1">
        <v>11</v>
      </c>
      <c r="B16" s="1" t="s">
        <v>384</v>
      </c>
      <c r="C16" s="32">
        <v>4490</v>
      </c>
      <c r="D16" s="1">
        <v>24000</v>
      </c>
      <c r="E16" s="1"/>
      <c r="F16" s="1">
        <v>267</v>
      </c>
      <c r="G16" s="1">
        <v>24000</v>
      </c>
      <c r="H16" s="5">
        <f t="shared" si="0"/>
        <v>0</v>
      </c>
      <c r="I16" s="30">
        <v>100000</v>
      </c>
      <c r="J16" s="30" t="s">
        <v>397</v>
      </c>
      <c r="K16" s="105" t="s">
        <v>93</v>
      </c>
      <c r="L16" s="51"/>
    </row>
    <row r="17" spans="1:13" ht="15" x14ac:dyDescent="0.25">
      <c r="A17" s="1">
        <v>12</v>
      </c>
      <c r="B17" s="1" t="s">
        <v>384</v>
      </c>
      <c r="C17" s="32">
        <v>2016</v>
      </c>
      <c r="D17" s="1">
        <v>10000</v>
      </c>
      <c r="E17" s="1"/>
      <c r="F17" s="1">
        <v>111</v>
      </c>
      <c r="G17" s="1">
        <v>10000</v>
      </c>
      <c r="H17" s="5">
        <f t="shared" si="0"/>
        <v>0</v>
      </c>
      <c r="I17" s="30">
        <v>150000</v>
      </c>
      <c r="J17" s="30" t="s">
        <v>399</v>
      </c>
      <c r="K17" s="105" t="s">
        <v>93</v>
      </c>
      <c r="L17" s="51"/>
    </row>
    <row r="18" spans="1:13" ht="15" x14ac:dyDescent="0.25">
      <c r="A18" s="1">
        <v>13</v>
      </c>
      <c r="B18" s="1" t="s">
        <v>385</v>
      </c>
      <c r="C18" s="32">
        <v>9998</v>
      </c>
      <c r="D18" s="1">
        <v>17000</v>
      </c>
      <c r="E18" s="1"/>
      <c r="F18" s="1">
        <v>189</v>
      </c>
      <c r="G18" s="1">
        <v>17000</v>
      </c>
      <c r="H18" s="5">
        <f t="shared" si="0"/>
        <v>0</v>
      </c>
      <c r="I18" s="30">
        <v>100000</v>
      </c>
      <c r="J18" s="30" t="s">
        <v>400</v>
      </c>
      <c r="K18" s="105" t="s">
        <v>93</v>
      </c>
      <c r="L18" s="51"/>
    </row>
    <row r="19" spans="1:13" ht="15" x14ac:dyDescent="0.25">
      <c r="A19" s="1">
        <v>14</v>
      </c>
      <c r="B19" s="1" t="s">
        <v>385</v>
      </c>
      <c r="C19" s="32" t="s">
        <v>66</v>
      </c>
      <c r="D19" s="1">
        <v>100</v>
      </c>
      <c r="E19" s="1"/>
      <c r="F19" s="1">
        <v>96.04</v>
      </c>
      <c r="G19" s="1">
        <v>100</v>
      </c>
      <c r="H19" s="5">
        <f t="shared" si="0"/>
        <v>0</v>
      </c>
      <c r="I19" s="30">
        <v>100000</v>
      </c>
      <c r="J19" s="30" t="s">
        <v>401</v>
      </c>
      <c r="K19" s="105" t="s">
        <v>93</v>
      </c>
      <c r="L19" s="51"/>
    </row>
    <row r="20" spans="1:13" ht="15" x14ac:dyDescent="0.25">
      <c r="A20" s="1">
        <v>15</v>
      </c>
      <c r="B20" s="1" t="s">
        <v>385</v>
      </c>
      <c r="C20" s="32" t="s">
        <v>30</v>
      </c>
      <c r="D20" s="1">
        <v>5000</v>
      </c>
      <c r="E20" s="1"/>
      <c r="F20" s="1">
        <v>55.13</v>
      </c>
      <c r="G20" s="1">
        <v>5000</v>
      </c>
      <c r="H20" s="5">
        <f t="shared" si="0"/>
        <v>0</v>
      </c>
      <c r="I20" s="30">
        <v>100000</v>
      </c>
      <c r="J20" s="30" t="s">
        <v>403</v>
      </c>
      <c r="K20" s="105" t="s">
        <v>93</v>
      </c>
      <c r="L20" s="51"/>
    </row>
    <row r="21" spans="1:13" ht="15" x14ac:dyDescent="0.25">
      <c r="A21" s="1">
        <v>16</v>
      </c>
      <c r="B21" s="1" t="s">
        <v>385</v>
      </c>
      <c r="C21" s="32">
        <v>9398</v>
      </c>
      <c r="D21" s="1">
        <v>17000</v>
      </c>
      <c r="E21" s="1"/>
      <c r="F21" s="1">
        <v>189</v>
      </c>
      <c r="G21" s="1">
        <v>17000</v>
      </c>
      <c r="H21" s="5">
        <f t="shared" si="0"/>
        <v>0</v>
      </c>
      <c r="I21" s="30">
        <v>100000</v>
      </c>
      <c r="J21" s="30" t="s">
        <v>404</v>
      </c>
      <c r="K21" s="105" t="s">
        <v>93</v>
      </c>
      <c r="L21" s="51"/>
    </row>
    <row r="22" spans="1:13" ht="15" x14ac:dyDescent="0.25">
      <c r="A22" s="1">
        <v>17</v>
      </c>
      <c r="B22" s="1" t="s">
        <v>385</v>
      </c>
      <c r="C22" s="32">
        <v>5252</v>
      </c>
      <c r="D22" s="1">
        <v>15000</v>
      </c>
      <c r="E22" s="1"/>
      <c r="F22" s="1">
        <v>167</v>
      </c>
      <c r="G22" s="1">
        <v>15000</v>
      </c>
      <c r="H22" s="5">
        <f t="shared" si="0"/>
        <v>0</v>
      </c>
      <c r="I22" s="30">
        <v>100000</v>
      </c>
      <c r="J22" s="30" t="s">
        <v>405</v>
      </c>
      <c r="K22" s="105" t="s">
        <v>93</v>
      </c>
      <c r="L22" s="51"/>
    </row>
    <row r="23" spans="1:13" ht="15" x14ac:dyDescent="0.25">
      <c r="A23" s="1">
        <v>18</v>
      </c>
      <c r="B23" s="1" t="s">
        <v>385</v>
      </c>
      <c r="C23" s="32">
        <v>5151</v>
      </c>
      <c r="D23" s="1">
        <v>16000</v>
      </c>
      <c r="E23" s="1"/>
      <c r="F23" s="1">
        <v>178</v>
      </c>
      <c r="G23" s="1">
        <v>16000</v>
      </c>
      <c r="H23" s="5">
        <f t="shared" si="0"/>
        <v>0</v>
      </c>
      <c r="I23" s="30">
        <v>100000</v>
      </c>
      <c r="J23" s="30" t="s">
        <v>406</v>
      </c>
      <c r="K23" s="105" t="s">
        <v>93</v>
      </c>
      <c r="L23" s="51"/>
    </row>
    <row r="24" spans="1:13" ht="15" x14ac:dyDescent="0.25">
      <c r="A24" s="1">
        <v>19</v>
      </c>
      <c r="B24" s="1" t="s">
        <v>385</v>
      </c>
      <c r="C24" s="32">
        <v>8909</v>
      </c>
      <c r="D24" s="1">
        <v>19650</v>
      </c>
      <c r="E24" s="1"/>
      <c r="F24" s="1">
        <v>218</v>
      </c>
      <c r="G24" s="1">
        <v>19650</v>
      </c>
      <c r="H24" s="5">
        <f t="shared" si="0"/>
        <v>0</v>
      </c>
      <c r="I24" s="30">
        <v>100000</v>
      </c>
      <c r="J24" s="30" t="s">
        <v>407</v>
      </c>
      <c r="K24" s="105" t="s">
        <v>93</v>
      </c>
      <c r="L24" s="51"/>
    </row>
    <row r="25" spans="1:13" ht="16.5" customHeight="1" x14ac:dyDescent="0.3">
      <c r="A25" s="1">
        <v>20</v>
      </c>
      <c r="B25" s="1" t="s">
        <v>385</v>
      </c>
      <c r="C25" s="32">
        <v>6471</v>
      </c>
      <c r="D25" s="1">
        <v>21460</v>
      </c>
      <c r="E25" s="1"/>
      <c r="F25" s="1">
        <v>239</v>
      </c>
      <c r="G25" s="1">
        <v>21460</v>
      </c>
      <c r="H25" s="5">
        <f t="shared" si="0"/>
        <v>0</v>
      </c>
      <c r="I25" s="30">
        <v>400000</v>
      </c>
      <c r="J25" s="30" t="s">
        <v>410</v>
      </c>
      <c r="K25" s="185" t="s">
        <v>412</v>
      </c>
      <c r="L25" s="196"/>
    </row>
    <row r="26" spans="1:13" ht="15" x14ac:dyDescent="0.25">
      <c r="A26" s="1">
        <v>21</v>
      </c>
      <c r="B26" s="1" t="s">
        <v>385</v>
      </c>
      <c r="C26" s="32">
        <v>1284</v>
      </c>
      <c r="D26" s="1">
        <v>9000</v>
      </c>
      <c r="E26" s="1"/>
      <c r="F26" s="1">
        <v>100</v>
      </c>
      <c r="G26" s="1">
        <v>9000</v>
      </c>
      <c r="H26" s="5">
        <f t="shared" si="0"/>
        <v>0</v>
      </c>
      <c r="I26" s="30">
        <v>700000</v>
      </c>
      <c r="J26" s="30" t="s">
        <v>414</v>
      </c>
      <c r="K26" s="105" t="s">
        <v>93</v>
      </c>
      <c r="L26" s="51"/>
    </row>
    <row r="27" spans="1:13" ht="15" x14ac:dyDescent="0.25">
      <c r="A27" s="1">
        <v>22</v>
      </c>
      <c r="B27" s="1" t="s">
        <v>385</v>
      </c>
      <c r="C27" s="32">
        <v>4351</v>
      </c>
      <c r="D27" s="1">
        <v>19000</v>
      </c>
      <c r="E27" s="1"/>
      <c r="F27" s="1">
        <v>211</v>
      </c>
      <c r="G27" s="1">
        <v>19000</v>
      </c>
      <c r="H27" s="5">
        <f t="shared" si="0"/>
        <v>0</v>
      </c>
      <c r="I27" s="111">
        <v>47000</v>
      </c>
      <c r="J27" s="111" t="s">
        <v>415</v>
      </c>
      <c r="K27" s="112" t="s">
        <v>416</v>
      </c>
      <c r="L27" s="113"/>
      <c r="M27" s="113"/>
    </row>
    <row r="28" spans="1:13" ht="15" x14ac:dyDescent="0.25">
      <c r="A28" s="1">
        <v>23</v>
      </c>
      <c r="B28" s="1" t="s">
        <v>385</v>
      </c>
      <c r="C28" s="32">
        <v>4608</v>
      </c>
      <c r="D28" s="1">
        <v>24000</v>
      </c>
      <c r="E28" s="1"/>
      <c r="F28" s="1">
        <v>256</v>
      </c>
      <c r="G28" s="1">
        <v>24000</v>
      </c>
      <c r="H28" s="5">
        <f t="shared" si="0"/>
        <v>0</v>
      </c>
      <c r="I28" s="111">
        <v>58000</v>
      </c>
      <c r="J28" s="111" t="s">
        <v>415</v>
      </c>
      <c r="K28" s="112" t="s">
        <v>417</v>
      </c>
      <c r="L28" s="113"/>
      <c r="M28" s="113"/>
    </row>
    <row r="29" spans="1:13" ht="15" x14ac:dyDescent="0.25">
      <c r="A29" s="1">
        <v>24</v>
      </c>
      <c r="B29" s="1" t="s">
        <v>385</v>
      </c>
      <c r="C29" s="32">
        <v>8665</v>
      </c>
      <c r="D29" s="1">
        <v>24000</v>
      </c>
      <c r="E29" s="1"/>
      <c r="F29" s="1">
        <v>267</v>
      </c>
      <c r="G29" s="1">
        <v>24000</v>
      </c>
      <c r="H29" s="5">
        <f t="shared" si="0"/>
        <v>0</v>
      </c>
      <c r="I29" s="30">
        <v>300000</v>
      </c>
      <c r="J29" s="30" t="s">
        <v>418</v>
      </c>
      <c r="K29" s="51" t="s">
        <v>93</v>
      </c>
    </row>
    <row r="30" spans="1:13" ht="15" x14ac:dyDescent="0.25">
      <c r="A30" s="1">
        <v>25</v>
      </c>
      <c r="B30" s="1" t="s">
        <v>386</v>
      </c>
      <c r="C30" s="32" t="s">
        <v>30</v>
      </c>
      <c r="D30" s="1">
        <v>3500</v>
      </c>
      <c r="E30" s="1"/>
      <c r="F30" s="1">
        <v>38.119999999999997</v>
      </c>
      <c r="G30" s="1">
        <v>3500</v>
      </c>
      <c r="H30" s="5">
        <f t="shared" si="0"/>
        <v>0</v>
      </c>
      <c r="I30" s="30"/>
      <c r="J30" s="30"/>
    </row>
    <row r="31" spans="1:13" x14ac:dyDescent="0.2">
      <c r="A31" s="1">
        <v>26</v>
      </c>
      <c r="B31" s="1" t="s">
        <v>386</v>
      </c>
      <c r="C31" s="32">
        <v>7411</v>
      </c>
      <c r="D31" s="1">
        <v>23000</v>
      </c>
      <c r="E31" s="1"/>
      <c r="F31" s="1">
        <v>256</v>
      </c>
      <c r="G31" s="1">
        <v>23000</v>
      </c>
      <c r="H31" s="5">
        <f t="shared" si="0"/>
        <v>0</v>
      </c>
      <c r="I31" s="1"/>
      <c r="J31" s="1"/>
    </row>
    <row r="32" spans="1:13" x14ac:dyDescent="0.2">
      <c r="A32" s="1">
        <v>27</v>
      </c>
      <c r="B32" s="1" t="s">
        <v>386</v>
      </c>
      <c r="C32" s="32">
        <v>9134</v>
      </c>
      <c r="D32" s="1">
        <v>10000</v>
      </c>
      <c r="E32" s="1"/>
      <c r="F32" s="1">
        <v>111</v>
      </c>
      <c r="G32" s="1">
        <v>10000</v>
      </c>
      <c r="H32" s="5">
        <f t="shared" si="0"/>
        <v>0</v>
      </c>
      <c r="I32" s="1"/>
      <c r="J32" s="1"/>
    </row>
    <row r="33" spans="1:10" x14ac:dyDescent="0.2">
      <c r="A33" s="1">
        <v>28</v>
      </c>
      <c r="B33" s="1" t="s">
        <v>386</v>
      </c>
      <c r="C33" s="32">
        <v>1.9900000000000001E-2</v>
      </c>
      <c r="D33" s="1">
        <v>16000</v>
      </c>
      <c r="E33" s="1"/>
      <c r="F33" s="1">
        <v>178</v>
      </c>
      <c r="G33" s="1">
        <v>16000</v>
      </c>
      <c r="H33" s="5">
        <f t="shared" si="0"/>
        <v>0</v>
      </c>
      <c r="I33" s="1"/>
      <c r="J33" s="1"/>
    </row>
    <row r="34" spans="1:10" x14ac:dyDescent="0.2">
      <c r="A34" s="1">
        <v>29</v>
      </c>
      <c r="B34" s="1" t="s">
        <v>386</v>
      </c>
      <c r="C34" s="32">
        <v>2.0299999999999999E-2</v>
      </c>
      <c r="D34" s="1">
        <v>22000</v>
      </c>
      <c r="E34" s="1"/>
      <c r="F34" s="1">
        <v>245</v>
      </c>
      <c r="G34" s="1">
        <v>22000</v>
      </c>
      <c r="H34" s="5">
        <f t="shared" si="0"/>
        <v>0</v>
      </c>
      <c r="I34" s="1"/>
      <c r="J34" s="1"/>
    </row>
    <row r="35" spans="1:10" x14ac:dyDescent="0.2">
      <c r="A35" s="1">
        <v>30</v>
      </c>
      <c r="B35" s="1" t="s">
        <v>386</v>
      </c>
      <c r="C35" s="32">
        <v>5498</v>
      </c>
      <c r="D35" s="1">
        <v>21000</v>
      </c>
      <c r="E35" s="1"/>
      <c r="F35" s="1">
        <v>233</v>
      </c>
      <c r="G35" s="1">
        <v>21000</v>
      </c>
      <c r="H35" s="5">
        <f t="shared" si="0"/>
        <v>0</v>
      </c>
      <c r="I35" s="1"/>
      <c r="J35" s="1"/>
    </row>
    <row r="36" spans="1:10" x14ac:dyDescent="0.2">
      <c r="A36" s="1">
        <v>31</v>
      </c>
      <c r="B36" s="1" t="s">
        <v>386</v>
      </c>
      <c r="C36" s="32" t="s">
        <v>66</v>
      </c>
      <c r="D36" s="1">
        <v>200</v>
      </c>
      <c r="E36" s="1"/>
      <c r="F36" s="1">
        <v>2.08</v>
      </c>
      <c r="G36" s="1">
        <v>200</v>
      </c>
      <c r="H36" s="5">
        <f t="shared" si="0"/>
        <v>0</v>
      </c>
      <c r="I36" s="1"/>
      <c r="J36" s="1"/>
    </row>
    <row r="37" spans="1:10" x14ac:dyDescent="0.2">
      <c r="A37" s="1">
        <v>32</v>
      </c>
      <c r="B37" s="1" t="s">
        <v>386</v>
      </c>
      <c r="C37" s="32">
        <v>1307</v>
      </c>
      <c r="D37" s="1">
        <v>5000</v>
      </c>
      <c r="E37" s="1"/>
      <c r="F37" s="1">
        <v>55.13</v>
      </c>
      <c r="G37" s="1">
        <v>5000</v>
      </c>
      <c r="H37" s="5">
        <f t="shared" si="0"/>
        <v>0</v>
      </c>
      <c r="I37" s="1"/>
      <c r="J37" s="1"/>
    </row>
    <row r="38" spans="1:10" x14ac:dyDescent="0.2">
      <c r="A38" s="1">
        <v>33</v>
      </c>
      <c r="B38" s="1" t="s">
        <v>386</v>
      </c>
      <c r="C38" s="32">
        <v>1948</v>
      </c>
      <c r="D38" s="1">
        <v>25000</v>
      </c>
      <c r="E38" s="1"/>
      <c r="F38" s="1">
        <v>278.22000000000003</v>
      </c>
      <c r="G38" s="1">
        <v>25000</v>
      </c>
      <c r="H38" s="5">
        <f t="shared" si="0"/>
        <v>0</v>
      </c>
      <c r="I38" s="1"/>
      <c r="J38" s="1"/>
    </row>
    <row r="39" spans="1:10" x14ac:dyDescent="0.2">
      <c r="A39" s="1">
        <v>34</v>
      </c>
      <c r="B39" s="1" t="s">
        <v>386</v>
      </c>
      <c r="C39" s="32">
        <v>6311</v>
      </c>
      <c r="D39" s="1">
        <v>23000</v>
      </c>
      <c r="E39" s="1"/>
      <c r="F39" s="1">
        <v>256</v>
      </c>
      <c r="G39" s="1">
        <v>23000</v>
      </c>
      <c r="H39" s="5">
        <f t="shared" si="0"/>
        <v>0</v>
      </c>
      <c r="I39" s="1"/>
      <c r="J39" s="1"/>
    </row>
    <row r="40" spans="1:10" x14ac:dyDescent="0.2">
      <c r="A40" s="1">
        <v>35</v>
      </c>
      <c r="B40" s="1" t="s">
        <v>386</v>
      </c>
      <c r="C40" s="32">
        <v>9177</v>
      </c>
      <c r="D40" s="1">
        <v>27000</v>
      </c>
      <c r="E40" s="1"/>
      <c r="F40" s="1">
        <v>300</v>
      </c>
      <c r="G40" s="1">
        <v>27000</v>
      </c>
      <c r="H40" s="5">
        <f t="shared" si="0"/>
        <v>0</v>
      </c>
      <c r="I40" s="1"/>
      <c r="J40" s="1"/>
    </row>
    <row r="41" spans="1:10" x14ac:dyDescent="0.2">
      <c r="A41" s="1">
        <v>36</v>
      </c>
      <c r="B41" s="1" t="s">
        <v>387</v>
      </c>
      <c r="C41" s="32" t="s">
        <v>30</v>
      </c>
      <c r="D41" s="1">
        <v>5000</v>
      </c>
      <c r="E41" s="1"/>
      <c r="F41" s="1">
        <v>55.13</v>
      </c>
      <c r="G41" s="1">
        <v>5000</v>
      </c>
      <c r="H41" s="5">
        <f t="shared" si="0"/>
        <v>0</v>
      </c>
      <c r="I41" s="1"/>
      <c r="J41" s="1"/>
    </row>
    <row r="42" spans="1:10" x14ac:dyDescent="0.2">
      <c r="A42" s="1">
        <v>37</v>
      </c>
      <c r="B42" s="1" t="s">
        <v>387</v>
      </c>
      <c r="C42" s="32">
        <v>8311</v>
      </c>
      <c r="D42" s="1">
        <v>23000</v>
      </c>
      <c r="E42" s="1"/>
      <c r="F42" s="1">
        <v>256</v>
      </c>
      <c r="G42" s="1">
        <v>23000</v>
      </c>
      <c r="H42" s="5">
        <f t="shared" si="0"/>
        <v>0</v>
      </c>
      <c r="I42" s="1"/>
      <c r="J42" s="1"/>
    </row>
    <row r="43" spans="1:10" x14ac:dyDescent="0.2">
      <c r="A43" s="1">
        <v>38</v>
      </c>
      <c r="B43" s="1" t="s">
        <v>387</v>
      </c>
      <c r="C43" s="32">
        <v>4041</v>
      </c>
      <c r="D43" s="1">
        <v>20000</v>
      </c>
      <c r="E43" s="1"/>
      <c r="F43" s="1">
        <v>222.32</v>
      </c>
      <c r="G43" s="1">
        <v>20000</v>
      </c>
      <c r="H43" s="5">
        <f t="shared" si="0"/>
        <v>0</v>
      </c>
      <c r="I43" s="1"/>
      <c r="J43" s="1"/>
    </row>
    <row r="44" spans="1:10" x14ac:dyDescent="0.2">
      <c r="A44" s="1">
        <v>39</v>
      </c>
      <c r="B44" s="1" t="s">
        <v>387</v>
      </c>
      <c r="C44" s="32">
        <v>8289</v>
      </c>
      <c r="D44" s="1">
        <v>20000</v>
      </c>
      <c r="E44" s="1"/>
      <c r="F44" s="1">
        <v>222.32</v>
      </c>
      <c r="G44" s="1">
        <v>20000</v>
      </c>
      <c r="H44" s="5">
        <f t="shared" si="0"/>
        <v>0</v>
      </c>
      <c r="I44" s="1"/>
      <c r="J44" s="1"/>
    </row>
    <row r="45" spans="1:10" x14ac:dyDescent="0.2">
      <c r="A45" s="1">
        <v>40</v>
      </c>
      <c r="B45" s="1" t="s">
        <v>387</v>
      </c>
      <c r="C45" s="32" t="s">
        <v>66</v>
      </c>
      <c r="D45" s="1">
        <v>210</v>
      </c>
      <c r="E45" s="1"/>
      <c r="F45" s="1">
        <v>2.08</v>
      </c>
      <c r="G45" s="1">
        <v>210</v>
      </c>
      <c r="H45" s="5">
        <f t="shared" si="0"/>
        <v>0</v>
      </c>
      <c r="I45" s="1"/>
      <c r="J45" s="1"/>
    </row>
    <row r="46" spans="1:10" x14ac:dyDescent="0.2">
      <c r="A46" s="1">
        <v>41</v>
      </c>
      <c r="B46" s="1" t="s">
        <v>387</v>
      </c>
      <c r="C46" s="32" t="s">
        <v>30</v>
      </c>
      <c r="D46" s="1">
        <v>2500</v>
      </c>
      <c r="E46" s="1"/>
      <c r="F46" s="1">
        <v>27.12</v>
      </c>
      <c r="G46" s="1">
        <v>2500</v>
      </c>
      <c r="H46" s="5">
        <f t="shared" si="0"/>
        <v>0</v>
      </c>
      <c r="I46" s="1"/>
      <c r="J46" s="1"/>
    </row>
    <row r="47" spans="1:10" x14ac:dyDescent="0.2">
      <c r="A47" s="1">
        <v>42</v>
      </c>
      <c r="B47" s="1" t="s">
        <v>387</v>
      </c>
      <c r="C47" s="32">
        <v>2063</v>
      </c>
      <c r="D47" s="1">
        <v>29000</v>
      </c>
      <c r="E47" s="1"/>
      <c r="F47" s="1">
        <v>323</v>
      </c>
      <c r="G47" s="1">
        <v>29000</v>
      </c>
      <c r="H47" s="5">
        <f t="shared" si="0"/>
        <v>0</v>
      </c>
      <c r="I47" s="1"/>
      <c r="J47" s="1"/>
    </row>
    <row r="48" spans="1:10" x14ac:dyDescent="0.2">
      <c r="A48" s="1">
        <v>43</v>
      </c>
      <c r="B48" s="1" t="s">
        <v>387</v>
      </c>
      <c r="C48" s="32">
        <v>2618</v>
      </c>
      <c r="D48" s="1">
        <v>18000</v>
      </c>
      <c r="E48" s="1"/>
      <c r="F48" s="1">
        <v>211</v>
      </c>
      <c r="G48" s="1">
        <v>18000</v>
      </c>
      <c r="H48" s="5">
        <f t="shared" si="0"/>
        <v>0</v>
      </c>
      <c r="I48" s="1"/>
      <c r="J48" s="1"/>
    </row>
    <row r="49" spans="1:10" x14ac:dyDescent="0.2">
      <c r="A49" s="1">
        <v>44</v>
      </c>
      <c r="B49" s="1" t="s">
        <v>387</v>
      </c>
      <c r="C49" s="32">
        <v>9186</v>
      </c>
      <c r="D49" s="1">
        <v>12000</v>
      </c>
      <c r="E49" s="1"/>
      <c r="F49" s="1">
        <v>133</v>
      </c>
      <c r="G49" s="1">
        <v>12000</v>
      </c>
      <c r="H49" s="5">
        <f t="shared" si="0"/>
        <v>0</v>
      </c>
      <c r="I49" s="1"/>
      <c r="J49" s="1"/>
    </row>
    <row r="50" spans="1:10" x14ac:dyDescent="0.2">
      <c r="A50" s="1">
        <v>45</v>
      </c>
      <c r="B50" s="1" t="s">
        <v>387</v>
      </c>
      <c r="C50" s="32">
        <v>4928</v>
      </c>
      <c r="D50" s="1">
        <v>25000</v>
      </c>
      <c r="E50" s="1"/>
      <c r="F50" s="1">
        <v>278</v>
      </c>
      <c r="G50" s="1">
        <v>25000</v>
      </c>
      <c r="H50" s="5">
        <f t="shared" si="0"/>
        <v>0</v>
      </c>
      <c r="I50" s="1"/>
      <c r="J50" s="1"/>
    </row>
    <row r="51" spans="1:10" x14ac:dyDescent="0.2">
      <c r="A51" s="1">
        <v>46</v>
      </c>
      <c r="B51" s="1" t="s">
        <v>387</v>
      </c>
      <c r="C51" s="32">
        <v>7864</v>
      </c>
      <c r="D51" s="1">
        <v>20000</v>
      </c>
      <c r="E51" s="1"/>
      <c r="F51" s="1">
        <v>222</v>
      </c>
      <c r="G51" s="1">
        <v>20000</v>
      </c>
      <c r="H51" s="5">
        <f t="shared" si="0"/>
        <v>0</v>
      </c>
      <c r="I51" s="1"/>
      <c r="J51" s="1"/>
    </row>
    <row r="52" spans="1:10" x14ac:dyDescent="0.2">
      <c r="A52" s="1">
        <v>47</v>
      </c>
      <c r="B52" s="1" t="s">
        <v>387</v>
      </c>
      <c r="C52" s="32">
        <v>1766</v>
      </c>
      <c r="D52" s="1">
        <v>10000</v>
      </c>
      <c r="E52" s="1"/>
      <c r="F52" s="1">
        <v>111</v>
      </c>
      <c r="G52" s="1">
        <v>10000</v>
      </c>
      <c r="H52" s="5">
        <f t="shared" si="0"/>
        <v>0</v>
      </c>
      <c r="I52" s="1"/>
      <c r="J52" s="1"/>
    </row>
    <row r="53" spans="1:10" x14ac:dyDescent="0.2">
      <c r="A53" s="1">
        <v>48</v>
      </c>
      <c r="B53" s="1" t="s">
        <v>387</v>
      </c>
      <c r="C53" s="32">
        <v>9599</v>
      </c>
      <c r="D53" s="1">
        <v>30000</v>
      </c>
      <c r="E53" s="1"/>
      <c r="F53" s="1">
        <v>321</v>
      </c>
      <c r="G53" s="1">
        <v>30000</v>
      </c>
      <c r="H53" s="5">
        <f t="shared" si="0"/>
        <v>0</v>
      </c>
      <c r="I53" s="1"/>
      <c r="J53" s="1"/>
    </row>
    <row r="54" spans="1:10" x14ac:dyDescent="0.2">
      <c r="A54" s="1">
        <v>50</v>
      </c>
      <c r="B54" s="1" t="s">
        <v>387</v>
      </c>
      <c r="C54" s="32">
        <v>5553</v>
      </c>
      <c r="D54" s="1">
        <v>22935</v>
      </c>
      <c r="E54" s="1"/>
      <c r="F54" s="1">
        <v>255</v>
      </c>
      <c r="G54" s="1">
        <v>22935</v>
      </c>
      <c r="H54" s="5">
        <f t="shared" si="0"/>
        <v>0</v>
      </c>
      <c r="I54" s="1"/>
      <c r="J54" s="1"/>
    </row>
    <row r="55" spans="1:10" x14ac:dyDescent="0.2">
      <c r="A55" s="1">
        <v>51</v>
      </c>
      <c r="B55" s="1" t="s">
        <v>388</v>
      </c>
      <c r="C55" s="32" t="s">
        <v>30</v>
      </c>
      <c r="D55" s="1">
        <v>5000</v>
      </c>
      <c r="E55" s="1"/>
      <c r="F55" s="1">
        <v>55.13</v>
      </c>
      <c r="G55" s="1">
        <v>5000</v>
      </c>
      <c r="H55" s="5">
        <f t="shared" si="0"/>
        <v>0</v>
      </c>
      <c r="I55" s="1"/>
      <c r="J55" s="1"/>
    </row>
    <row r="56" spans="1:10" x14ac:dyDescent="0.2">
      <c r="A56" s="1">
        <v>52</v>
      </c>
      <c r="B56" s="1" t="s">
        <v>388</v>
      </c>
      <c r="C56" s="32" t="s">
        <v>30</v>
      </c>
      <c r="D56" s="1">
        <v>2500</v>
      </c>
      <c r="E56" s="1"/>
      <c r="F56" s="1">
        <v>27</v>
      </c>
      <c r="G56" s="1">
        <v>2500</v>
      </c>
      <c r="H56" s="5">
        <f t="shared" si="0"/>
        <v>0</v>
      </c>
      <c r="I56" s="1"/>
      <c r="J56" s="1"/>
    </row>
    <row r="57" spans="1:10" x14ac:dyDescent="0.2">
      <c r="A57" s="1">
        <v>53</v>
      </c>
      <c r="B57" s="1" t="s">
        <v>388</v>
      </c>
      <c r="C57" s="32">
        <v>3066</v>
      </c>
      <c r="D57" s="1">
        <v>16000</v>
      </c>
      <c r="E57" s="1"/>
      <c r="F57" s="1">
        <v>178.22</v>
      </c>
      <c r="G57" s="1">
        <v>16000</v>
      </c>
      <c r="H57" s="5">
        <f t="shared" si="0"/>
        <v>0</v>
      </c>
      <c r="I57" s="1"/>
      <c r="J57" s="1"/>
    </row>
    <row r="58" spans="1:10" x14ac:dyDescent="0.2">
      <c r="A58" s="1">
        <v>54</v>
      </c>
      <c r="B58" s="1" t="s">
        <v>388</v>
      </c>
      <c r="C58" s="32">
        <v>8875</v>
      </c>
      <c r="D58" s="1">
        <v>35000</v>
      </c>
      <c r="E58" s="1"/>
      <c r="F58" s="1">
        <v>353</v>
      </c>
      <c r="G58" s="1">
        <v>35000</v>
      </c>
      <c r="H58" s="5">
        <f t="shared" si="0"/>
        <v>0</v>
      </c>
      <c r="I58" s="1"/>
      <c r="J58" s="1"/>
    </row>
    <row r="59" spans="1:10" x14ac:dyDescent="0.2">
      <c r="A59" s="1">
        <v>55</v>
      </c>
      <c r="B59" s="1" t="s">
        <v>388</v>
      </c>
      <c r="C59" s="32">
        <v>5.0799999999999998E-2</v>
      </c>
      <c r="D59" s="1">
        <v>29000</v>
      </c>
      <c r="E59" s="1"/>
      <c r="F59" s="1">
        <v>323</v>
      </c>
      <c r="G59" s="1">
        <v>29000</v>
      </c>
      <c r="H59" s="5">
        <f t="shared" si="0"/>
        <v>0</v>
      </c>
      <c r="I59" s="1"/>
      <c r="J59" s="1"/>
    </row>
    <row r="60" spans="1:10" x14ac:dyDescent="0.2">
      <c r="A60" s="1">
        <v>56</v>
      </c>
      <c r="B60" s="1" t="s">
        <v>388</v>
      </c>
      <c r="C60" s="32">
        <v>1246</v>
      </c>
      <c r="D60" s="1">
        <v>23000</v>
      </c>
      <c r="E60" s="1"/>
      <c r="F60" s="1">
        <v>239</v>
      </c>
      <c r="G60" s="1">
        <v>23000</v>
      </c>
      <c r="H60" s="5">
        <f t="shared" si="0"/>
        <v>0</v>
      </c>
      <c r="I60" s="1"/>
      <c r="J60" s="1"/>
    </row>
    <row r="61" spans="1:10" x14ac:dyDescent="0.2">
      <c r="A61" s="1">
        <v>57</v>
      </c>
      <c r="B61" s="1" t="s">
        <v>388</v>
      </c>
      <c r="C61" s="32">
        <v>1758</v>
      </c>
      <c r="D61" s="1">
        <v>10000</v>
      </c>
      <c r="E61" s="1"/>
      <c r="F61" s="1">
        <v>111</v>
      </c>
      <c r="G61" s="1">
        <v>10000</v>
      </c>
      <c r="H61" s="5">
        <f t="shared" si="0"/>
        <v>0</v>
      </c>
      <c r="I61" s="1"/>
      <c r="J61" s="1"/>
    </row>
    <row r="62" spans="1:10" x14ac:dyDescent="0.2">
      <c r="A62" s="1">
        <v>58</v>
      </c>
      <c r="B62" s="1" t="s">
        <v>388</v>
      </c>
      <c r="C62" s="32">
        <v>2029</v>
      </c>
      <c r="D62" s="1">
        <v>10000</v>
      </c>
      <c r="E62" s="1"/>
      <c r="F62" s="1">
        <v>111</v>
      </c>
      <c r="G62" s="1">
        <v>10000</v>
      </c>
      <c r="H62" s="5">
        <f t="shared" si="0"/>
        <v>0</v>
      </c>
      <c r="I62" s="1"/>
      <c r="J62" s="1"/>
    </row>
    <row r="63" spans="1:10" x14ac:dyDescent="0.2">
      <c r="A63" s="1">
        <v>59</v>
      </c>
      <c r="B63" s="1" t="s">
        <v>389</v>
      </c>
      <c r="C63" s="32" t="s">
        <v>66</v>
      </c>
      <c r="D63" s="1">
        <v>210</v>
      </c>
      <c r="E63" s="1"/>
      <c r="F63" s="1">
        <v>2.0499999999999998</v>
      </c>
      <c r="G63" s="1">
        <v>210</v>
      </c>
      <c r="H63" s="5">
        <f t="shared" si="0"/>
        <v>0</v>
      </c>
      <c r="I63" s="1"/>
      <c r="J63" s="1"/>
    </row>
    <row r="64" spans="1:10" x14ac:dyDescent="0.2">
      <c r="A64" s="1">
        <v>60</v>
      </c>
      <c r="B64" s="1" t="s">
        <v>389</v>
      </c>
      <c r="C64" s="32" t="s">
        <v>30</v>
      </c>
      <c r="D64" s="1">
        <v>2000</v>
      </c>
      <c r="E64" s="1"/>
      <c r="F64" s="1">
        <v>22.12</v>
      </c>
      <c r="G64" s="1">
        <v>2000</v>
      </c>
      <c r="H64" s="5">
        <f t="shared" si="0"/>
        <v>0</v>
      </c>
      <c r="I64" s="1"/>
      <c r="J64" s="1"/>
    </row>
    <row r="65" spans="1:10" x14ac:dyDescent="0.2">
      <c r="A65" s="1">
        <v>61</v>
      </c>
      <c r="B65" s="1" t="s">
        <v>389</v>
      </c>
      <c r="C65" s="32" t="s">
        <v>63</v>
      </c>
      <c r="D65" s="1">
        <v>3500</v>
      </c>
      <c r="E65" s="1"/>
      <c r="F65" s="1">
        <v>38.119999999999997</v>
      </c>
      <c r="G65" s="1">
        <v>3500</v>
      </c>
      <c r="H65" s="5">
        <f t="shared" si="0"/>
        <v>0</v>
      </c>
      <c r="I65" s="1"/>
      <c r="J65" s="1"/>
    </row>
    <row r="66" spans="1:10" x14ac:dyDescent="0.2">
      <c r="A66" s="1">
        <v>62</v>
      </c>
      <c r="B66" s="1" t="s">
        <v>389</v>
      </c>
      <c r="C66" s="32">
        <v>3538</v>
      </c>
      <c r="D66" s="1">
        <v>15000</v>
      </c>
      <c r="E66" s="1"/>
      <c r="F66" s="1">
        <v>167</v>
      </c>
      <c r="G66" s="1">
        <v>15000</v>
      </c>
      <c r="H66" s="5">
        <f t="shared" si="0"/>
        <v>0</v>
      </c>
      <c r="I66" s="1"/>
      <c r="J66" s="1"/>
    </row>
    <row r="67" spans="1:10" x14ac:dyDescent="0.2">
      <c r="A67" s="1">
        <v>63</v>
      </c>
      <c r="B67" s="1" t="s">
        <v>389</v>
      </c>
      <c r="C67" s="32">
        <v>3358</v>
      </c>
      <c r="D67" s="1">
        <v>27000</v>
      </c>
      <c r="E67" s="1"/>
      <c r="F67" s="1">
        <v>300</v>
      </c>
      <c r="G67" s="1">
        <v>27000</v>
      </c>
      <c r="H67" s="5">
        <f t="shared" si="0"/>
        <v>0</v>
      </c>
      <c r="I67" s="1"/>
      <c r="J67" s="1"/>
    </row>
    <row r="68" spans="1:10" x14ac:dyDescent="0.2">
      <c r="A68" s="1">
        <v>64</v>
      </c>
      <c r="B68" s="1" t="s">
        <v>391</v>
      </c>
      <c r="C68" s="32" t="s">
        <v>30</v>
      </c>
      <c r="D68" s="1">
        <v>7000</v>
      </c>
      <c r="E68" s="1"/>
      <c r="F68" s="1">
        <v>77</v>
      </c>
      <c r="G68" s="1">
        <v>7000</v>
      </c>
      <c r="H68" s="5">
        <f t="shared" si="0"/>
        <v>0</v>
      </c>
      <c r="I68" s="1"/>
      <c r="J68" s="1"/>
    </row>
    <row r="69" spans="1:10" x14ac:dyDescent="0.2">
      <c r="A69" s="1">
        <v>65</v>
      </c>
      <c r="B69" s="1" t="s">
        <v>391</v>
      </c>
      <c r="C69" s="32" t="s">
        <v>30</v>
      </c>
      <c r="D69" s="1">
        <v>5000</v>
      </c>
      <c r="E69" s="1"/>
      <c r="F69" s="1">
        <v>55.12</v>
      </c>
      <c r="G69" s="1">
        <v>5000</v>
      </c>
      <c r="H69" s="5">
        <f t="shared" si="0"/>
        <v>0</v>
      </c>
      <c r="I69" s="1"/>
      <c r="J69" s="1"/>
    </row>
    <row r="70" spans="1:10" x14ac:dyDescent="0.2">
      <c r="A70" s="1">
        <v>66</v>
      </c>
      <c r="B70" s="1" t="s">
        <v>391</v>
      </c>
      <c r="C70" s="32" t="s">
        <v>30</v>
      </c>
      <c r="D70" s="1">
        <v>2000</v>
      </c>
      <c r="E70" s="1"/>
      <c r="F70" s="1">
        <v>22</v>
      </c>
      <c r="G70" s="1">
        <v>2000</v>
      </c>
      <c r="H70" s="5">
        <f t="shared" ref="H70:H133" si="1">D70-G70</f>
        <v>0</v>
      </c>
      <c r="I70" s="1"/>
      <c r="J70" s="1"/>
    </row>
    <row r="71" spans="1:10" x14ac:dyDescent="0.2">
      <c r="A71" s="1">
        <v>67</v>
      </c>
      <c r="B71" s="1" t="s">
        <v>391</v>
      </c>
      <c r="C71" s="32">
        <v>5.1999999999999998E-3</v>
      </c>
      <c r="D71" s="1">
        <v>16000</v>
      </c>
      <c r="E71" s="1"/>
      <c r="F71" s="1">
        <v>178.22</v>
      </c>
      <c r="G71" s="1">
        <v>16000</v>
      </c>
      <c r="H71" s="5">
        <f t="shared" si="1"/>
        <v>0</v>
      </c>
      <c r="I71" s="1"/>
      <c r="J71" s="1"/>
    </row>
    <row r="72" spans="1:10" x14ac:dyDescent="0.2">
      <c r="A72" s="1">
        <v>68</v>
      </c>
      <c r="B72" s="1" t="s">
        <v>391</v>
      </c>
      <c r="C72" s="32">
        <v>5.1000000000000004E-3</v>
      </c>
      <c r="D72" s="1">
        <v>16000</v>
      </c>
      <c r="E72" s="1"/>
      <c r="F72" s="1">
        <v>178.22</v>
      </c>
      <c r="G72" s="1">
        <v>16000</v>
      </c>
      <c r="H72" s="5">
        <f t="shared" si="1"/>
        <v>0</v>
      </c>
      <c r="I72" s="1"/>
      <c r="J72" s="1"/>
    </row>
    <row r="73" spans="1:10" x14ac:dyDescent="0.2">
      <c r="A73" s="1">
        <v>69</v>
      </c>
      <c r="B73" s="1" t="s">
        <v>391</v>
      </c>
      <c r="C73" s="32">
        <v>9903</v>
      </c>
      <c r="D73" s="1">
        <v>20000</v>
      </c>
      <c r="E73" s="1"/>
      <c r="F73" s="1">
        <v>222.2</v>
      </c>
      <c r="G73" s="1">
        <v>20000</v>
      </c>
      <c r="H73" s="5">
        <f t="shared" si="1"/>
        <v>0</v>
      </c>
      <c r="I73" s="1"/>
      <c r="J73" s="1"/>
    </row>
    <row r="74" spans="1:10" x14ac:dyDescent="0.2">
      <c r="A74" s="1">
        <v>70</v>
      </c>
      <c r="B74" s="1" t="s">
        <v>391</v>
      </c>
      <c r="C74" s="32">
        <v>4911</v>
      </c>
      <c r="D74" s="1">
        <v>24000</v>
      </c>
      <c r="E74" s="1"/>
      <c r="F74" s="1">
        <v>287</v>
      </c>
      <c r="G74" s="1">
        <v>24000</v>
      </c>
      <c r="H74" s="5">
        <f t="shared" si="1"/>
        <v>0</v>
      </c>
      <c r="I74" s="1"/>
      <c r="J74" s="1"/>
    </row>
    <row r="75" spans="1:10" x14ac:dyDescent="0.2">
      <c r="A75" s="1">
        <v>71</v>
      </c>
      <c r="B75" s="1" t="s">
        <v>392</v>
      </c>
      <c r="C75" s="32">
        <v>5252</v>
      </c>
      <c r="D75" s="1">
        <v>16000</v>
      </c>
      <c r="E75" s="1"/>
      <c r="F75" s="1">
        <v>178.22</v>
      </c>
      <c r="G75" s="1">
        <v>16000</v>
      </c>
      <c r="H75" s="5">
        <f t="shared" si="1"/>
        <v>0</v>
      </c>
      <c r="I75" s="1"/>
      <c r="J75" s="1"/>
    </row>
    <row r="76" spans="1:10" x14ac:dyDescent="0.2">
      <c r="A76" s="1">
        <v>72</v>
      </c>
      <c r="B76" s="1" t="s">
        <v>392</v>
      </c>
      <c r="C76" s="32" t="s">
        <v>30</v>
      </c>
      <c r="D76" s="1">
        <v>10000</v>
      </c>
      <c r="E76" s="1"/>
      <c r="F76" s="1">
        <v>111</v>
      </c>
      <c r="G76" s="1">
        <v>10000</v>
      </c>
      <c r="H76" s="5">
        <f t="shared" si="1"/>
        <v>0</v>
      </c>
      <c r="I76" s="1"/>
      <c r="J76" s="1"/>
    </row>
    <row r="77" spans="1:10" x14ac:dyDescent="0.2">
      <c r="A77" s="1">
        <v>73</v>
      </c>
      <c r="B77" s="1" t="s">
        <v>392</v>
      </c>
      <c r="C77" s="32">
        <v>6311</v>
      </c>
      <c r="D77" s="1">
        <v>24000</v>
      </c>
      <c r="E77" s="1"/>
      <c r="F77" s="1">
        <v>267</v>
      </c>
      <c r="G77" s="1">
        <v>24000</v>
      </c>
      <c r="H77" s="5">
        <f t="shared" si="1"/>
        <v>0</v>
      </c>
      <c r="I77" s="1"/>
      <c r="J77" s="1"/>
    </row>
    <row r="78" spans="1:10" x14ac:dyDescent="0.2">
      <c r="A78" s="1">
        <v>74</v>
      </c>
      <c r="B78" s="1" t="s">
        <v>392</v>
      </c>
      <c r="C78" s="32" t="s">
        <v>30</v>
      </c>
      <c r="D78" s="1">
        <v>2000</v>
      </c>
      <c r="E78" s="1"/>
      <c r="F78" s="1">
        <v>22.12</v>
      </c>
      <c r="G78" s="1">
        <v>2000</v>
      </c>
      <c r="H78" s="5">
        <f t="shared" si="1"/>
        <v>0</v>
      </c>
      <c r="I78" s="1"/>
      <c r="J78" s="1"/>
    </row>
    <row r="79" spans="1:10" x14ac:dyDescent="0.2">
      <c r="A79" s="1">
        <v>75</v>
      </c>
      <c r="B79" s="1" t="s">
        <v>392</v>
      </c>
      <c r="C79" s="32" t="s">
        <v>66</v>
      </c>
      <c r="D79" s="1">
        <v>210</v>
      </c>
      <c r="E79" s="1"/>
      <c r="F79" s="1">
        <v>2.12</v>
      </c>
      <c r="G79" s="1">
        <v>210</v>
      </c>
      <c r="H79" s="5">
        <f t="shared" si="1"/>
        <v>0</v>
      </c>
      <c r="I79" s="1"/>
      <c r="J79" s="1"/>
    </row>
    <row r="80" spans="1:10" x14ac:dyDescent="0.2">
      <c r="A80" s="1">
        <v>76</v>
      </c>
      <c r="B80" s="1" t="s">
        <v>392</v>
      </c>
      <c r="C80" s="32" t="s">
        <v>30</v>
      </c>
      <c r="D80" s="1">
        <v>5000</v>
      </c>
      <c r="E80" s="1"/>
      <c r="F80" s="1">
        <v>55.12</v>
      </c>
      <c r="G80" s="1">
        <v>5000</v>
      </c>
      <c r="H80" s="5">
        <f t="shared" si="1"/>
        <v>0</v>
      </c>
      <c r="I80" s="1"/>
      <c r="J80" s="1"/>
    </row>
    <row r="81" spans="1:10" x14ac:dyDescent="0.2">
      <c r="A81" s="1">
        <v>77</v>
      </c>
      <c r="B81" s="1" t="s">
        <v>392</v>
      </c>
      <c r="C81" s="32">
        <v>5151</v>
      </c>
      <c r="D81" s="1">
        <v>16000</v>
      </c>
      <c r="E81" s="1"/>
      <c r="F81" s="1">
        <v>178</v>
      </c>
      <c r="G81" s="1">
        <v>16000</v>
      </c>
      <c r="H81" s="5">
        <f t="shared" si="1"/>
        <v>0</v>
      </c>
      <c r="I81" s="1"/>
      <c r="J81" s="1"/>
    </row>
    <row r="82" spans="1:10" x14ac:dyDescent="0.2">
      <c r="A82" s="1">
        <v>78</v>
      </c>
      <c r="B82" s="1" t="s">
        <v>392</v>
      </c>
      <c r="C82" s="32">
        <v>8311</v>
      </c>
      <c r="D82" s="1">
        <v>24000</v>
      </c>
      <c r="E82" s="1"/>
      <c r="F82" s="1">
        <v>267</v>
      </c>
      <c r="G82" s="1">
        <v>24000</v>
      </c>
      <c r="H82" s="5">
        <f t="shared" si="1"/>
        <v>0</v>
      </c>
      <c r="I82" s="1"/>
      <c r="J82" s="1"/>
    </row>
    <row r="83" spans="1:10" x14ac:dyDescent="0.2">
      <c r="A83" s="1">
        <v>79</v>
      </c>
      <c r="B83" s="1" t="s">
        <v>392</v>
      </c>
      <c r="C83" s="32">
        <v>6188</v>
      </c>
      <c r="D83" s="1">
        <v>17000</v>
      </c>
      <c r="E83" s="1"/>
      <c r="F83" s="1">
        <v>189</v>
      </c>
      <c r="G83" s="1">
        <v>17000</v>
      </c>
      <c r="H83" s="5">
        <f t="shared" si="1"/>
        <v>0</v>
      </c>
      <c r="I83" s="1"/>
      <c r="J83" s="1"/>
    </row>
    <row r="84" spans="1:10" x14ac:dyDescent="0.2">
      <c r="A84" s="1">
        <v>80</v>
      </c>
      <c r="B84" s="1" t="s">
        <v>392</v>
      </c>
      <c r="C84" s="32">
        <v>3.04E-2</v>
      </c>
      <c r="D84" s="1">
        <v>27000</v>
      </c>
      <c r="E84" s="1"/>
      <c r="F84" s="1">
        <v>300</v>
      </c>
      <c r="G84" s="1">
        <v>27000</v>
      </c>
      <c r="H84" s="5">
        <f t="shared" si="1"/>
        <v>0</v>
      </c>
      <c r="I84" s="1"/>
      <c r="J84" s="1"/>
    </row>
    <row r="85" spans="1:10" x14ac:dyDescent="0.2">
      <c r="A85" s="1">
        <v>81</v>
      </c>
      <c r="B85" s="1" t="s">
        <v>393</v>
      </c>
      <c r="C85" s="32">
        <v>5498</v>
      </c>
      <c r="D85" s="1">
        <v>21000</v>
      </c>
      <c r="E85" s="1"/>
      <c r="F85" s="1">
        <v>233</v>
      </c>
      <c r="G85" s="1">
        <v>21000</v>
      </c>
      <c r="H85" s="5">
        <f t="shared" si="1"/>
        <v>0</v>
      </c>
      <c r="I85" s="1"/>
      <c r="J85" s="1"/>
    </row>
    <row r="86" spans="1:10" x14ac:dyDescent="0.2">
      <c r="A86" s="1">
        <v>82</v>
      </c>
      <c r="B86" s="1" t="s">
        <v>393</v>
      </c>
      <c r="C86" s="32">
        <v>7411</v>
      </c>
      <c r="D86" s="1">
        <v>24000</v>
      </c>
      <c r="E86" s="1"/>
      <c r="F86" s="1">
        <v>267</v>
      </c>
      <c r="G86" s="1">
        <v>24000</v>
      </c>
      <c r="H86" s="5">
        <f t="shared" si="1"/>
        <v>0</v>
      </c>
      <c r="I86" s="1"/>
      <c r="J86" s="1"/>
    </row>
    <row r="87" spans="1:10" x14ac:dyDescent="0.2">
      <c r="A87" s="1">
        <v>83</v>
      </c>
      <c r="B87" s="1" t="s">
        <v>393</v>
      </c>
      <c r="C87" s="32">
        <v>4962</v>
      </c>
      <c r="D87" s="1">
        <v>26000</v>
      </c>
      <c r="E87" s="1"/>
      <c r="F87" s="1">
        <v>289</v>
      </c>
      <c r="G87" s="1">
        <v>26000</v>
      </c>
      <c r="H87" s="5">
        <f t="shared" si="1"/>
        <v>0</v>
      </c>
      <c r="I87" s="1"/>
      <c r="J87" s="1"/>
    </row>
    <row r="88" spans="1:10" x14ac:dyDescent="0.2">
      <c r="A88" s="1">
        <v>84</v>
      </c>
      <c r="B88" s="1" t="s">
        <v>394</v>
      </c>
      <c r="C88" s="32" t="s">
        <v>66</v>
      </c>
      <c r="D88" s="1">
        <v>210</v>
      </c>
      <c r="E88" s="1"/>
      <c r="F88" s="1">
        <v>2.12</v>
      </c>
      <c r="G88" s="1">
        <v>210</v>
      </c>
      <c r="H88" s="5">
        <f t="shared" si="1"/>
        <v>0</v>
      </c>
      <c r="I88" s="1"/>
      <c r="J88" s="1"/>
    </row>
    <row r="89" spans="1:10" x14ac:dyDescent="0.2">
      <c r="A89" s="1">
        <v>85</v>
      </c>
      <c r="B89" s="1" t="s">
        <v>394</v>
      </c>
      <c r="C89" s="32">
        <v>6538</v>
      </c>
      <c r="D89" s="1">
        <v>10000</v>
      </c>
      <c r="E89" s="1"/>
      <c r="F89" s="1">
        <v>111</v>
      </c>
      <c r="G89" s="1">
        <v>10000</v>
      </c>
      <c r="H89" s="5">
        <f t="shared" si="1"/>
        <v>0</v>
      </c>
      <c r="I89" s="1"/>
      <c r="J89" s="1"/>
    </row>
    <row r="90" spans="1:10" x14ac:dyDescent="0.2">
      <c r="A90" s="1">
        <v>86</v>
      </c>
      <c r="B90" s="1" t="s">
        <v>394</v>
      </c>
      <c r="C90" s="32" t="s">
        <v>30</v>
      </c>
      <c r="D90" s="1">
        <v>4500</v>
      </c>
      <c r="E90" s="1"/>
      <c r="F90" s="1">
        <v>50.13</v>
      </c>
      <c r="G90" s="1">
        <v>4500</v>
      </c>
      <c r="H90" s="5">
        <f t="shared" si="1"/>
        <v>0</v>
      </c>
      <c r="I90" s="1"/>
      <c r="J90" s="1"/>
    </row>
    <row r="91" spans="1:10" x14ac:dyDescent="0.2">
      <c r="A91" s="1">
        <v>87</v>
      </c>
      <c r="B91" s="1" t="s">
        <v>394</v>
      </c>
      <c r="C91" s="32">
        <v>2425</v>
      </c>
      <c r="D91" s="1">
        <v>15000</v>
      </c>
      <c r="E91" s="1"/>
      <c r="F91" s="1">
        <v>167</v>
      </c>
      <c r="G91" s="1">
        <v>15000</v>
      </c>
      <c r="H91" s="5">
        <f t="shared" si="1"/>
        <v>0</v>
      </c>
      <c r="I91" s="1"/>
      <c r="J91" s="1"/>
    </row>
    <row r="92" spans="1:10" x14ac:dyDescent="0.2">
      <c r="A92" s="1">
        <v>88</v>
      </c>
      <c r="B92" s="1" t="s">
        <v>394</v>
      </c>
      <c r="C92" s="32" t="s">
        <v>66</v>
      </c>
      <c r="D92" s="1">
        <v>100</v>
      </c>
      <c r="E92" s="1"/>
      <c r="F92" s="1">
        <v>1.06</v>
      </c>
      <c r="G92" s="1">
        <v>100</v>
      </c>
      <c r="H92" s="5">
        <f t="shared" si="1"/>
        <v>0</v>
      </c>
      <c r="I92" s="1"/>
      <c r="J92" s="1"/>
    </row>
    <row r="93" spans="1:10" x14ac:dyDescent="0.2">
      <c r="A93" s="1">
        <v>89</v>
      </c>
      <c r="B93" s="1" t="s">
        <v>394</v>
      </c>
      <c r="C93" s="32">
        <v>5.1999999999999998E-3</v>
      </c>
      <c r="D93" s="1">
        <v>16000</v>
      </c>
      <c r="E93" s="1"/>
      <c r="F93" s="1">
        <v>178.2</v>
      </c>
      <c r="G93" s="1">
        <v>16000</v>
      </c>
      <c r="H93" s="5">
        <f t="shared" si="1"/>
        <v>0</v>
      </c>
      <c r="I93" s="1"/>
      <c r="J93" s="1"/>
    </row>
    <row r="94" spans="1:10" x14ac:dyDescent="0.2">
      <c r="A94" s="1">
        <v>90</v>
      </c>
      <c r="B94" s="1" t="s">
        <v>394</v>
      </c>
      <c r="C94" s="32">
        <v>7211</v>
      </c>
      <c r="D94" s="1">
        <v>24000</v>
      </c>
      <c r="E94" s="1"/>
      <c r="F94" s="1">
        <v>287</v>
      </c>
      <c r="G94" s="1">
        <v>24000</v>
      </c>
      <c r="H94" s="5">
        <f t="shared" si="1"/>
        <v>0</v>
      </c>
      <c r="I94" s="1"/>
      <c r="J94" s="1"/>
    </row>
    <row r="95" spans="1:10" x14ac:dyDescent="0.2">
      <c r="A95" s="1">
        <v>91</v>
      </c>
      <c r="B95" s="1" t="s">
        <v>394</v>
      </c>
      <c r="C95" s="32">
        <v>8425</v>
      </c>
      <c r="D95" s="1">
        <v>10000</v>
      </c>
      <c r="E95" s="1"/>
      <c r="F95" s="1">
        <v>111</v>
      </c>
      <c r="G95" s="1">
        <v>10000</v>
      </c>
      <c r="H95" s="5">
        <f t="shared" si="1"/>
        <v>0</v>
      </c>
      <c r="I95" s="1"/>
      <c r="J95" s="1"/>
    </row>
    <row r="96" spans="1:10" x14ac:dyDescent="0.2">
      <c r="A96" s="1">
        <v>92</v>
      </c>
      <c r="B96" s="1" t="s">
        <v>395</v>
      </c>
      <c r="C96" s="32" t="s">
        <v>30</v>
      </c>
      <c r="D96" s="1">
        <v>5000</v>
      </c>
      <c r="E96" s="1"/>
      <c r="F96" s="1">
        <v>55.12</v>
      </c>
      <c r="G96" s="1">
        <v>5000</v>
      </c>
      <c r="H96" s="5">
        <f t="shared" si="1"/>
        <v>0</v>
      </c>
      <c r="I96" s="1"/>
      <c r="J96" s="1"/>
    </row>
    <row r="97" spans="1:10" x14ac:dyDescent="0.2">
      <c r="A97" s="1">
        <v>93</v>
      </c>
      <c r="B97" s="1" t="s">
        <v>395</v>
      </c>
      <c r="C97" s="32" t="s">
        <v>30</v>
      </c>
      <c r="D97" s="1">
        <v>7000</v>
      </c>
      <c r="E97" s="1"/>
      <c r="F97" s="1">
        <v>77.12</v>
      </c>
      <c r="G97" s="1">
        <v>7000</v>
      </c>
      <c r="H97" s="5">
        <f t="shared" si="1"/>
        <v>0</v>
      </c>
      <c r="I97" s="1"/>
      <c r="J97" s="1"/>
    </row>
    <row r="98" spans="1:10" x14ac:dyDescent="0.2">
      <c r="A98" s="1">
        <v>94</v>
      </c>
      <c r="B98" s="1" t="s">
        <v>395</v>
      </c>
      <c r="C98" s="32">
        <v>5.1000000000000004E-3</v>
      </c>
      <c r="D98" s="1">
        <v>16000</v>
      </c>
      <c r="E98" s="1"/>
      <c r="F98" s="1">
        <v>178.22</v>
      </c>
      <c r="G98" s="1">
        <v>16000</v>
      </c>
      <c r="H98" s="5">
        <f t="shared" si="1"/>
        <v>0</v>
      </c>
      <c r="I98" s="1"/>
      <c r="J98" s="1"/>
    </row>
    <row r="99" spans="1:10" x14ac:dyDescent="0.2">
      <c r="A99" s="1">
        <v>95</v>
      </c>
      <c r="B99" s="1" t="s">
        <v>395</v>
      </c>
      <c r="C99" s="32">
        <v>3673</v>
      </c>
      <c r="D99" s="1">
        <v>28000</v>
      </c>
      <c r="E99" s="1"/>
      <c r="F99" s="1">
        <v>328</v>
      </c>
      <c r="G99" s="1">
        <v>28000</v>
      </c>
      <c r="H99" s="5">
        <f t="shared" si="1"/>
        <v>0</v>
      </c>
      <c r="I99" s="1"/>
      <c r="J99" s="1"/>
    </row>
    <row r="100" spans="1:10" x14ac:dyDescent="0.2">
      <c r="A100" s="1">
        <v>96</v>
      </c>
      <c r="B100" s="1" t="s">
        <v>396</v>
      </c>
      <c r="C100" s="32">
        <v>4553</v>
      </c>
      <c r="D100" s="1">
        <v>17000</v>
      </c>
      <c r="E100" s="1"/>
      <c r="F100" s="1">
        <v>189</v>
      </c>
      <c r="G100" s="1">
        <v>17000</v>
      </c>
      <c r="H100" s="5">
        <f t="shared" si="1"/>
        <v>0</v>
      </c>
      <c r="I100" s="1"/>
      <c r="J100" s="1"/>
    </row>
    <row r="101" spans="1:10" x14ac:dyDescent="0.2">
      <c r="A101" s="1">
        <v>97</v>
      </c>
      <c r="B101" s="1" t="s">
        <v>396</v>
      </c>
      <c r="C101" s="32">
        <v>7225</v>
      </c>
      <c r="D101" s="1">
        <v>15000</v>
      </c>
      <c r="E101" s="1"/>
      <c r="F101" s="1">
        <v>167</v>
      </c>
      <c r="G101" s="1">
        <v>15000</v>
      </c>
      <c r="H101" s="5">
        <f t="shared" si="1"/>
        <v>0</v>
      </c>
      <c r="I101" s="1"/>
      <c r="J101" s="1"/>
    </row>
    <row r="102" spans="1:10" x14ac:dyDescent="0.2">
      <c r="A102" s="1">
        <v>98</v>
      </c>
      <c r="B102" s="1" t="s">
        <v>396</v>
      </c>
      <c r="C102" s="32">
        <v>5204</v>
      </c>
      <c r="D102" s="1">
        <v>30000</v>
      </c>
      <c r="E102" s="1"/>
      <c r="F102" s="1">
        <v>334</v>
      </c>
      <c r="G102" s="1">
        <v>30000</v>
      </c>
      <c r="H102" s="5">
        <f t="shared" si="1"/>
        <v>0</v>
      </c>
      <c r="I102" s="1"/>
      <c r="J102" s="1"/>
    </row>
    <row r="103" spans="1:10" x14ac:dyDescent="0.2">
      <c r="A103" s="1">
        <v>99</v>
      </c>
      <c r="B103" s="1" t="s">
        <v>396</v>
      </c>
      <c r="C103" s="32">
        <v>8324</v>
      </c>
      <c r="D103" s="1">
        <v>25000</v>
      </c>
      <c r="E103" s="1"/>
      <c r="F103" s="1">
        <v>278</v>
      </c>
      <c r="G103" s="1">
        <v>25000</v>
      </c>
      <c r="H103" s="5">
        <f t="shared" si="1"/>
        <v>0</v>
      </c>
      <c r="I103" s="1"/>
      <c r="J103" s="1"/>
    </row>
    <row r="104" spans="1:10" x14ac:dyDescent="0.2">
      <c r="A104" s="1">
        <v>100</v>
      </c>
      <c r="B104" s="1" t="s">
        <v>396</v>
      </c>
      <c r="C104" s="32">
        <v>8246</v>
      </c>
      <c r="D104" s="1">
        <v>27000</v>
      </c>
      <c r="E104" s="1"/>
      <c r="F104" s="1">
        <v>292</v>
      </c>
      <c r="G104" s="1">
        <v>27000</v>
      </c>
      <c r="H104" s="5">
        <f t="shared" si="1"/>
        <v>0</v>
      </c>
      <c r="I104" s="1"/>
      <c r="J104" s="1"/>
    </row>
    <row r="105" spans="1:10" x14ac:dyDescent="0.2">
      <c r="A105" s="1">
        <v>101</v>
      </c>
      <c r="B105" s="1" t="s">
        <v>397</v>
      </c>
      <c r="C105" s="32" t="s">
        <v>66</v>
      </c>
      <c r="D105" s="1">
        <v>200</v>
      </c>
      <c r="E105" s="1"/>
      <c r="F105" s="1">
        <v>2.12</v>
      </c>
      <c r="G105" s="1">
        <v>200</v>
      </c>
      <c r="H105" s="5">
        <f t="shared" si="1"/>
        <v>0</v>
      </c>
      <c r="I105" s="1"/>
      <c r="J105" s="1"/>
    </row>
    <row r="106" spans="1:10" x14ac:dyDescent="0.2">
      <c r="A106" s="1">
        <v>102</v>
      </c>
      <c r="B106" s="1" t="s">
        <v>397</v>
      </c>
      <c r="C106" s="32">
        <v>8311</v>
      </c>
      <c r="D106" s="1">
        <v>24000</v>
      </c>
      <c r="E106" s="1"/>
      <c r="F106" s="1">
        <v>274.2</v>
      </c>
      <c r="G106" s="1">
        <v>24000</v>
      </c>
      <c r="H106" s="5">
        <f t="shared" si="1"/>
        <v>0</v>
      </c>
      <c r="I106" s="1"/>
      <c r="J106" s="1"/>
    </row>
    <row r="107" spans="1:10" x14ac:dyDescent="0.2">
      <c r="A107" s="1">
        <v>103</v>
      </c>
      <c r="B107" s="1" t="s">
        <v>397</v>
      </c>
      <c r="C107" s="32" t="s">
        <v>66</v>
      </c>
      <c r="D107" s="1">
        <v>210</v>
      </c>
      <c r="E107" s="1"/>
      <c r="F107" s="1">
        <v>2.12</v>
      </c>
      <c r="G107" s="1">
        <v>210</v>
      </c>
      <c r="H107" s="5">
        <f t="shared" si="1"/>
        <v>0</v>
      </c>
      <c r="I107" s="1"/>
      <c r="J107" s="1"/>
    </row>
    <row r="108" spans="1:10" x14ac:dyDescent="0.2">
      <c r="A108" s="1">
        <v>104</v>
      </c>
      <c r="B108" s="1" t="s">
        <v>398</v>
      </c>
      <c r="C108" s="32" t="s">
        <v>63</v>
      </c>
      <c r="D108" s="1">
        <v>2000</v>
      </c>
      <c r="E108" s="1"/>
      <c r="F108" s="1">
        <v>22.12</v>
      </c>
      <c r="G108" s="1">
        <v>2000</v>
      </c>
      <c r="H108" s="5">
        <f t="shared" si="1"/>
        <v>0</v>
      </c>
      <c r="I108" s="1"/>
      <c r="J108" s="1"/>
    </row>
    <row r="109" spans="1:10" x14ac:dyDescent="0.2">
      <c r="A109" s="1">
        <v>105</v>
      </c>
      <c r="B109" s="1" t="s">
        <v>398</v>
      </c>
      <c r="C109" s="32">
        <v>5151</v>
      </c>
      <c r="D109" s="1">
        <v>16000</v>
      </c>
      <c r="E109" s="1"/>
      <c r="F109" s="1">
        <v>178.22</v>
      </c>
      <c r="G109" s="1">
        <v>16000</v>
      </c>
      <c r="H109" s="5">
        <f t="shared" si="1"/>
        <v>0</v>
      </c>
      <c r="I109" s="1"/>
      <c r="J109" s="1"/>
    </row>
    <row r="110" spans="1:10" x14ac:dyDescent="0.2">
      <c r="A110" s="1">
        <v>106</v>
      </c>
      <c r="B110" s="1" t="s">
        <v>398</v>
      </c>
      <c r="C110" s="32">
        <v>5252</v>
      </c>
      <c r="D110" s="1">
        <v>16000</v>
      </c>
      <c r="E110" s="1"/>
      <c r="F110" s="1">
        <v>178.22</v>
      </c>
      <c r="G110" s="1">
        <v>16000</v>
      </c>
      <c r="H110" s="5">
        <f t="shared" si="1"/>
        <v>0</v>
      </c>
      <c r="I110" s="1"/>
      <c r="J110" s="1"/>
    </row>
    <row r="111" spans="1:10" x14ac:dyDescent="0.2">
      <c r="A111" s="1">
        <v>107</v>
      </c>
      <c r="B111" s="1" t="s">
        <v>398</v>
      </c>
      <c r="C111" s="32">
        <v>1820</v>
      </c>
      <c r="D111" s="1">
        <v>30000</v>
      </c>
      <c r="E111" s="1"/>
      <c r="F111" s="1">
        <v>313</v>
      </c>
      <c r="G111" s="1">
        <v>30000</v>
      </c>
      <c r="H111" s="5">
        <f t="shared" si="1"/>
        <v>0</v>
      </c>
      <c r="I111" s="1"/>
      <c r="J111" s="1"/>
    </row>
    <row r="112" spans="1:10" x14ac:dyDescent="0.2">
      <c r="A112" s="1">
        <v>108</v>
      </c>
      <c r="B112" s="1" t="s">
        <v>398</v>
      </c>
      <c r="C112" s="32">
        <v>2029</v>
      </c>
      <c r="D112" s="1">
        <v>10000</v>
      </c>
      <c r="E112" s="1"/>
      <c r="F112" s="1">
        <v>111</v>
      </c>
      <c r="G112" s="1">
        <v>10000</v>
      </c>
      <c r="H112" s="5">
        <f t="shared" si="1"/>
        <v>0</v>
      </c>
      <c r="I112" s="1"/>
      <c r="J112" s="1"/>
    </row>
    <row r="113" spans="1:10" x14ac:dyDescent="0.2">
      <c r="A113" s="1">
        <v>109</v>
      </c>
      <c r="B113" s="1" t="s">
        <v>399</v>
      </c>
      <c r="C113" s="32">
        <v>2989</v>
      </c>
      <c r="D113" s="1">
        <v>20000</v>
      </c>
      <c r="E113" s="1"/>
      <c r="F113" s="1">
        <v>222.81</v>
      </c>
      <c r="G113" s="1">
        <v>20000</v>
      </c>
      <c r="H113" s="5">
        <f t="shared" si="1"/>
        <v>0</v>
      </c>
      <c r="I113" s="1"/>
      <c r="J113" s="1"/>
    </row>
    <row r="114" spans="1:10" x14ac:dyDescent="0.2">
      <c r="A114" s="1">
        <v>110</v>
      </c>
      <c r="B114" s="1" t="s">
        <v>399</v>
      </c>
      <c r="C114" s="32">
        <v>4098</v>
      </c>
      <c r="D114" s="1">
        <v>20000</v>
      </c>
      <c r="E114" s="1"/>
      <c r="F114" s="1">
        <v>222.81</v>
      </c>
      <c r="G114" s="1">
        <v>20000</v>
      </c>
      <c r="H114" s="5">
        <f t="shared" si="1"/>
        <v>0</v>
      </c>
      <c r="I114" s="1"/>
      <c r="J114" s="1"/>
    </row>
    <row r="115" spans="1:10" x14ac:dyDescent="0.2">
      <c r="A115" s="1">
        <v>111</v>
      </c>
      <c r="B115" s="1" t="s">
        <v>399</v>
      </c>
      <c r="C115" s="32" t="s">
        <v>66</v>
      </c>
      <c r="D115" s="1">
        <v>210</v>
      </c>
      <c r="E115" s="1"/>
      <c r="F115" s="1">
        <v>2.12</v>
      </c>
      <c r="G115" s="1">
        <v>210</v>
      </c>
      <c r="H115" s="5">
        <f t="shared" si="1"/>
        <v>0</v>
      </c>
      <c r="I115" s="1"/>
      <c r="J115" s="1"/>
    </row>
    <row r="116" spans="1:10" x14ac:dyDescent="0.2">
      <c r="A116" s="1">
        <v>112</v>
      </c>
      <c r="B116" s="1" t="s">
        <v>399</v>
      </c>
      <c r="C116" s="32">
        <v>3.8800000000000001E-2</v>
      </c>
      <c r="D116" s="1">
        <v>20000</v>
      </c>
      <c r="E116" s="1"/>
      <c r="F116" s="1">
        <v>222.81</v>
      </c>
      <c r="G116" s="1">
        <v>20000</v>
      </c>
      <c r="H116" s="5">
        <f t="shared" si="1"/>
        <v>0</v>
      </c>
      <c r="I116" s="1"/>
      <c r="J116" s="1"/>
    </row>
    <row r="117" spans="1:10" x14ac:dyDescent="0.2">
      <c r="A117" s="1">
        <v>113</v>
      </c>
      <c r="B117" s="1" t="s">
        <v>400</v>
      </c>
      <c r="C117" s="32">
        <v>7411</v>
      </c>
      <c r="D117" s="1">
        <v>24000</v>
      </c>
      <c r="E117" s="1"/>
      <c r="F117" s="1">
        <v>267</v>
      </c>
      <c r="G117" s="1">
        <v>24000</v>
      </c>
      <c r="H117" s="5">
        <f t="shared" si="1"/>
        <v>0</v>
      </c>
      <c r="I117" s="1"/>
      <c r="J117" s="1"/>
    </row>
    <row r="118" spans="1:10" x14ac:dyDescent="0.2">
      <c r="A118" s="1">
        <v>114</v>
      </c>
      <c r="B118" s="1" t="s">
        <v>400</v>
      </c>
      <c r="C118" s="32">
        <v>7211</v>
      </c>
      <c r="D118" s="1">
        <v>24000</v>
      </c>
      <c r="E118" s="1"/>
      <c r="F118" s="1">
        <v>267</v>
      </c>
      <c r="G118" s="1">
        <v>24000</v>
      </c>
      <c r="H118" s="5">
        <f t="shared" si="1"/>
        <v>0</v>
      </c>
      <c r="I118" s="1"/>
      <c r="J118" s="1"/>
    </row>
    <row r="119" spans="1:10" x14ac:dyDescent="0.2">
      <c r="A119" s="1">
        <v>115</v>
      </c>
      <c r="B119" s="1" t="s">
        <v>400</v>
      </c>
      <c r="C119" s="32">
        <v>5498</v>
      </c>
      <c r="D119" s="1">
        <v>21000</v>
      </c>
      <c r="E119" s="1"/>
      <c r="F119" s="1">
        <v>233</v>
      </c>
      <c r="G119" s="1">
        <v>21000</v>
      </c>
      <c r="H119" s="5">
        <f t="shared" si="1"/>
        <v>0</v>
      </c>
      <c r="I119" s="1"/>
      <c r="J119" s="1"/>
    </row>
    <row r="120" spans="1:10" x14ac:dyDescent="0.2">
      <c r="A120" s="1">
        <v>116</v>
      </c>
      <c r="B120" s="1" t="s">
        <v>400</v>
      </c>
      <c r="C120" s="32">
        <v>3802</v>
      </c>
      <c r="D120" s="1">
        <v>15000</v>
      </c>
      <c r="E120" s="1"/>
      <c r="F120" s="1">
        <v>167</v>
      </c>
      <c r="G120" s="1">
        <v>15000</v>
      </c>
      <c r="H120" s="5">
        <f t="shared" si="1"/>
        <v>0</v>
      </c>
      <c r="I120" s="1"/>
      <c r="J120" s="1"/>
    </row>
    <row r="121" spans="1:10" x14ac:dyDescent="0.2">
      <c r="A121" s="1">
        <v>117</v>
      </c>
      <c r="B121" s="1" t="s">
        <v>401</v>
      </c>
      <c r="C121" s="32">
        <v>5.1000000000000004E-3</v>
      </c>
      <c r="D121" s="1">
        <v>17000</v>
      </c>
      <c r="E121" s="1"/>
      <c r="F121" s="1">
        <v>189</v>
      </c>
      <c r="G121" s="1">
        <v>17000</v>
      </c>
      <c r="H121" s="5">
        <f t="shared" si="1"/>
        <v>0</v>
      </c>
      <c r="I121" s="1"/>
      <c r="J121" s="1"/>
    </row>
    <row r="122" spans="1:10" x14ac:dyDescent="0.2">
      <c r="A122" s="1">
        <v>118</v>
      </c>
      <c r="B122" s="1" t="s">
        <v>402</v>
      </c>
      <c r="C122" s="32" t="s">
        <v>30</v>
      </c>
      <c r="D122" s="1">
        <v>5000</v>
      </c>
      <c r="E122" s="1"/>
      <c r="F122" s="1">
        <v>55.13</v>
      </c>
      <c r="G122" s="1">
        <v>5000</v>
      </c>
      <c r="H122" s="5">
        <f t="shared" si="1"/>
        <v>0</v>
      </c>
      <c r="I122" s="1"/>
      <c r="J122" s="1"/>
    </row>
    <row r="123" spans="1:10" x14ac:dyDescent="0.2">
      <c r="A123" s="1">
        <v>119</v>
      </c>
      <c r="B123" s="1" t="s">
        <v>402</v>
      </c>
      <c r="C123" s="32">
        <v>3844</v>
      </c>
      <c r="D123" s="1">
        <v>5000</v>
      </c>
      <c r="E123" s="1"/>
      <c r="F123" s="1">
        <v>55.13</v>
      </c>
      <c r="G123" s="1">
        <v>5000</v>
      </c>
      <c r="H123" s="5">
        <f t="shared" si="1"/>
        <v>0</v>
      </c>
      <c r="I123" s="1"/>
      <c r="J123" s="1"/>
    </row>
    <row r="124" spans="1:10" x14ac:dyDescent="0.2">
      <c r="A124" s="1">
        <v>120</v>
      </c>
      <c r="B124" s="1" t="s">
        <v>402</v>
      </c>
      <c r="C124" s="32" t="s">
        <v>66</v>
      </c>
      <c r="D124" s="1">
        <v>210</v>
      </c>
      <c r="E124" s="1"/>
      <c r="F124" s="1">
        <v>2.0499999999999998</v>
      </c>
      <c r="G124" s="1">
        <v>210</v>
      </c>
      <c r="H124" s="5">
        <f t="shared" si="1"/>
        <v>0</v>
      </c>
      <c r="I124" s="1"/>
      <c r="J124" s="1"/>
    </row>
    <row r="125" spans="1:10" x14ac:dyDescent="0.2">
      <c r="A125" s="1">
        <v>121</v>
      </c>
      <c r="B125" s="1" t="s">
        <v>402</v>
      </c>
      <c r="C125" s="32">
        <v>5.1999999999999998E-3</v>
      </c>
      <c r="D125" s="1">
        <v>16000</v>
      </c>
      <c r="E125" s="1"/>
      <c r="F125" s="1">
        <v>178.22</v>
      </c>
      <c r="G125" s="1">
        <v>16000</v>
      </c>
      <c r="H125" s="5">
        <f t="shared" si="1"/>
        <v>0</v>
      </c>
      <c r="I125" s="1"/>
      <c r="J125" s="1"/>
    </row>
    <row r="126" spans="1:10" x14ac:dyDescent="0.2">
      <c r="A126" s="1">
        <v>122</v>
      </c>
      <c r="B126" s="1" t="s">
        <v>402</v>
      </c>
      <c r="C126" s="32">
        <v>9891</v>
      </c>
      <c r="D126" s="1">
        <v>28450</v>
      </c>
      <c r="E126" s="1"/>
      <c r="F126" s="1">
        <v>316</v>
      </c>
      <c r="G126" s="1">
        <v>28450</v>
      </c>
      <c r="H126" s="5">
        <f t="shared" si="1"/>
        <v>0</v>
      </c>
      <c r="I126" s="1"/>
      <c r="J126" s="1"/>
    </row>
    <row r="127" spans="1:10" x14ac:dyDescent="0.2">
      <c r="A127" s="1">
        <v>123</v>
      </c>
      <c r="B127" s="1" t="s">
        <v>402</v>
      </c>
      <c r="C127" s="32">
        <v>8482</v>
      </c>
      <c r="D127" s="1">
        <v>25000</v>
      </c>
      <c r="E127" s="1"/>
      <c r="F127" s="1">
        <v>278</v>
      </c>
      <c r="G127" s="1">
        <v>25000</v>
      </c>
      <c r="H127" s="5">
        <f t="shared" si="1"/>
        <v>0</v>
      </c>
      <c r="I127" s="1"/>
      <c r="J127" s="1"/>
    </row>
    <row r="128" spans="1:10" x14ac:dyDescent="0.2">
      <c r="A128" s="1">
        <v>124</v>
      </c>
      <c r="B128" s="1" t="s">
        <v>402</v>
      </c>
      <c r="C128" s="32">
        <v>9903</v>
      </c>
      <c r="D128" s="1">
        <v>20000</v>
      </c>
      <c r="E128" s="1"/>
      <c r="F128" s="1">
        <v>222.81</v>
      </c>
      <c r="G128" s="1">
        <v>20000</v>
      </c>
      <c r="H128" s="5">
        <f t="shared" si="1"/>
        <v>0</v>
      </c>
      <c r="I128" s="1"/>
      <c r="J128" s="1"/>
    </row>
    <row r="129" spans="1:10" x14ac:dyDescent="0.2">
      <c r="A129" s="1">
        <v>125</v>
      </c>
      <c r="B129" s="1" t="s">
        <v>403</v>
      </c>
      <c r="C129" s="32" t="s">
        <v>30</v>
      </c>
      <c r="D129" s="1">
        <v>4500</v>
      </c>
      <c r="E129" s="1"/>
      <c r="F129" s="1">
        <v>50.13</v>
      </c>
      <c r="G129" s="1">
        <v>4500</v>
      </c>
      <c r="H129" s="5">
        <f t="shared" si="1"/>
        <v>0</v>
      </c>
      <c r="I129" s="1"/>
      <c r="J129" s="1"/>
    </row>
    <row r="130" spans="1:10" x14ac:dyDescent="0.2">
      <c r="A130" s="1">
        <v>126</v>
      </c>
      <c r="B130" s="1" t="s">
        <v>403</v>
      </c>
      <c r="C130" s="32">
        <v>5252</v>
      </c>
      <c r="D130" s="1">
        <v>16000</v>
      </c>
      <c r="E130" s="1"/>
      <c r="F130" s="1">
        <v>178.22</v>
      </c>
      <c r="G130" s="1">
        <v>16000</v>
      </c>
      <c r="H130" s="5">
        <f t="shared" si="1"/>
        <v>0</v>
      </c>
      <c r="I130" s="1"/>
      <c r="J130" s="1"/>
    </row>
    <row r="131" spans="1:10" x14ac:dyDescent="0.2">
      <c r="A131" s="1">
        <v>127</v>
      </c>
      <c r="B131" s="1" t="s">
        <v>403</v>
      </c>
      <c r="C131" s="32">
        <v>5151</v>
      </c>
      <c r="D131" s="1">
        <v>16000</v>
      </c>
      <c r="E131" s="1"/>
      <c r="F131" s="1">
        <v>178.22</v>
      </c>
      <c r="G131" s="1">
        <v>16000</v>
      </c>
      <c r="H131" s="5">
        <f t="shared" si="1"/>
        <v>0</v>
      </c>
      <c r="I131" s="1"/>
      <c r="J131" s="1"/>
    </row>
    <row r="132" spans="1:10" x14ac:dyDescent="0.2">
      <c r="A132" s="1">
        <v>128</v>
      </c>
      <c r="B132" s="1" t="s">
        <v>403</v>
      </c>
      <c r="C132" s="32">
        <v>1777</v>
      </c>
      <c r="D132" s="1">
        <v>23401</v>
      </c>
      <c r="E132" s="1"/>
      <c r="F132" s="1">
        <v>260</v>
      </c>
      <c r="G132" s="1">
        <v>23401</v>
      </c>
      <c r="H132" s="5">
        <f t="shared" si="1"/>
        <v>0</v>
      </c>
      <c r="I132" s="1"/>
      <c r="J132" s="1"/>
    </row>
    <row r="133" spans="1:10" x14ac:dyDescent="0.2">
      <c r="A133" s="1">
        <v>129</v>
      </c>
      <c r="B133" s="1" t="s">
        <v>403</v>
      </c>
      <c r="C133" s="32">
        <v>8277</v>
      </c>
      <c r="D133" s="1">
        <v>22300</v>
      </c>
      <c r="E133" s="1"/>
      <c r="F133" s="1">
        <v>248</v>
      </c>
      <c r="G133" s="1">
        <v>22300</v>
      </c>
      <c r="H133" s="5">
        <f t="shared" si="1"/>
        <v>0</v>
      </c>
      <c r="I133" s="1"/>
      <c r="J133" s="1"/>
    </row>
    <row r="134" spans="1:10" x14ac:dyDescent="0.2">
      <c r="A134" s="1">
        <v>130</v>
      </c>
      <c r="B134" s="1" t="s">
        <v>403</v>
      </c>
      <c r="C134" s="32">
        <v>4077</v>
      </c>
      <c r="D134" s="1">
        <v>29000</v>
      </c>
      <c r="E134" s="1"/>
      <c r="F134" s="1">
        <v>323</v>
      </c>
      <c r="G134" s="1">
        <v>29000</v>
      </c>
      <c r="H134" s="5">
        <f t="shared" ref="H134:H197" si="2">D134-G134</f>
        <v>0</v>
      </c>
      <c r="I134" s="1"/>
      <c r="J134" s="1"/>
    </row>
    <row r="135" spans="1:10" x14ac:dyDescent="0.2">
      <c r="A135" s="1">
        <v>131</v>
      </c>
      <c r="B135" s="1" t="s">
        <v>403</v>
      </c>
      <c r="C135" s="32">
        <v>4577</v>
      </c>
      <c r="D135" s="1">
        <v>29000</v>
      </c>
      <c r="E135" s="1"/>
      <c r="F135" s="1">
        <v>323</v>
      </c>
      <c r="G135" s="1">
        <v>29000</v>
      </c>
      <c r="H135" s="5">
        <f t="shared" si="2"/>
        <v>0</v>
      </c>
      <c r="I135" s="1"/>
      <c r="J135" s="1"/>
    </row>
    <row r="136" spans="1:10" x14ac:dyDescent="0.2">
      <c r="A136" s="1">
        <v>132</v>
      </c>
      <c r="B136" s="1" t="s">
        <v>404</v>
      </c>
      <c r="C136" s="32">
        <v>4249</v>
      </c>
      <c r="D136" s="1">
        <v>28000</v>
      </c>
      <c r="E136" s="1"/>
      <c r="F136" s="1">
        <v>311</v>
      </c>
      <c r="G136" s="1">
        <v>28000</v>
      </c>
      <c r="H136" s="5">
        <f t="shared" si="2"/>
        <v>0</v>
      </c>
      <c r="I136" s="1"/>
      <c r="J136" s="1"/>
    </row>
    <row r="137" spans="1:10" x14ac:dyDescent="0.2">
      <c r="A137" s="1">
        <v>133</v>
      </c>
      <c r="B137" s="1" t="s">
        <v>404</v>
      </c>
      <c r="C137" s="32">
        <v>6625</v>
      </c>
      <c r="D137" s="1">
        <v>26000</v>
      </c>
      <c r="E137" s="1"/>
      <c r="F137" s="1">
        <v>289</v>
      </c>
      <c r="G137" s="1">
        <v>26000</v>
      </c>
      <c r="H137" s="5">
        <f t="shared" si="2"/>
        <v>0</v>
      </c>
      <c r="I137" s="1"/>
      <c r="J137" s="1"/>
    </row>
    <row r="138" spans="1:10" x14ac:dyDescent="0.2">
      <c r="A138" s="1">
        <v>134</v>
      </c>
      <c r="B138" s="1" t="s">
        <v>404</v>
      </c>
      <c r="C138" s="32" t="s">
        <v>66</v>
      </c>
      <c r="D138" s="1">
        <v>215</v>
      </c>
      <c r="E138" s="1"/>
      <c r="F138" s="1">
        <v>2.12</v>
      </c>
      <c r="G138" s="1">
        <v>215</v>
      </c>
      <c r="H138" s="5">
        <f t="shared" si="2"/>
        <v>0</v>
      </c>
      <c r="I138" s="1"/>
      <c r="J138" s="1"/>
    </row>
    <row r="139" spans="1:10" x14ac:dyDescent="0.2">
      <c r="A139" s="1"/>
      <c r="B139" s="1" t="s">
        <v>405</v>
      </c>
      <c r="C139" s="32" t="s">
        <v>30</v>
      </c>
      <c r="D139" s="1">
        <v>4500</v>
      </c>
      <c r="E139" s="1"/>
      <c r="F139" s="1">
        <v>50.13</v>
      </c>
      <c r="G139" s="1">
        <v>4500</v>
      </c>
      <c r="H139" s="5">
        <f t="shared" si="2"/>
        <v>0</v>
      </c>
      <c r="I139" s="1"/>
      <c r="J139" s="1"/>
    </row>
    <row r="140" spans="1:10" x14ac:dyDescent="0.2">
      <c r="A140" s="1"/>
      <c r="B140" s="1" t="s">
        <v>405</v>
      </c>
      <c r="C140" s="32" t="s">
        <v>30</v>
      </c>
      <c r="D140" s="1">
        <v>5000</v>
      </c>
      <c r="E140" s="1"/>
      <c r="F140" s="1">
        <v>55.13</v>
      </c>
      <c r="G140" s="1">
        <v>5000</v>
      </c>
      <c r="H140" s="5">
        <f t="shared" si="2"/>
        <v>0</v>
      </c>
      <c r="I140" s="1"/>
      <c r="J140" s="1"/>
    </row>
    <row r="141" spans="1:10" x14ac:dyDescent="0.2">
      <c r="A141" s="1"/>
      <c r="B141" s="1" t="s">
        <v>405</v>
      </c>
      <c r="C141" s="32">
        <v>2067</v>
      </c>
      <c r="D141" s="1">
        <v>11000</v>
      </c>
      <c r="E141" s="1"/>
      <c r="F141" s="1">
        <v>122</v>
      </c>
      <c r="G141" s="1">
        <v>11000</v>
      </c>
      <c r="H141" s="5">
        <f t="shared" si="2"/>
        <v>0</v>
      </c>
      <c r="I141" s="1"/>
      <c r="J141" s="1"/>
    </row>
    <row r="142" spans="1:10" x14ac:dyDescent="0.2">
      <c r="A142" s="1"/>
      <c r="B142" s="1" t="s">
        <v>405</v>
      </c>
      <c r="C142" s="32">
        <v>8577</v>
      </c>
      <c r="D142" s="1">
        <v>21000</v>
      </c>
      <c r="E142" s="1"/>
      <c r="F142" s="1">
        <v>233</v>
      </c>
      <c r="G142" s="1">
        <v>21000</v>
      </c>
      <c r="H142" s="5">
        <f t="shared" si="2"/>
        <v>0</v>
      </c>
      <c r="I142" s="1"/>
      <c r="J142" s="1"/>
    </row>
    <row r="143" spans="1:10" x14ac:dyDescent="0.2">
      <c r="A143" s="1"/>
      <c r="B143" s="1" t="s">
        <v>405</v>
      </c>
      <c r="C143" s="32">
        <v>9677</v>
      </c>
      <c r="D143" s="1">
        <v>23000</v>
      </c>
      <c r="E143" s="1"/>
      <c r="F143" s="1">
        <v>256</v>
      </c>
      <c r="G143" s="1">
        <v>23000</v>
      </c>
      <c r="H143" s="5">
        <f t="shared" si="2"/>
        <v>0</v>
      </c>
      <c r="I143" s="1"/>
      <c r="J143" s="1"/>
    </row>
    <row r="144" spans="1:10" x14ac:dyDescent="0.2">
      <c r="A144" s="1"/>
      <c r="B144" s="1" t="s">
        <v>405</v>
      </c>
      <c r="C144" s="32">
        <v>5035</v>
      </c>
      <c r="D144" s="1">
        <v>25000</v>
      </c>
      <c r="E144" s="1"/>
      <c r="F144" s="1">
        <v>278.22000000000003</v>
      </c>
      <c r="G144" s="1">
        <v>25000</v>
      </c>
      <c r="H144" s="5">
        <f t="shared" si="2"/>
        <v>0</v>
      </c>
      <c r="I144" s="1"/>
      <c r="J144" s="1"/>
    </row>
    <row r="145" spans="1:10" x14ac:dyDescent="0.2">
      <c r="A145" s="1"/>
      <c r="B145" s="1" t="s">
        <v>405</v>
      </c>
      <c r="C145" s="32">
        <v>3673</v>
      </c>
      <c r="D145" s="1">
        <v>30000</v>
      </c>
      <c r="E145" s="1"/>
      <c r="F145" s="1">
        <v>334</v>
      </c>
      <c r="G145" s="1">
        <v>30000</v>
      </c>
      <c r="H145" s="5">
        <f t="shared" si="2"/>
        <v>0</v>
      </c>
      <c r="I145" s="1"/>
      <c r="J145" s="1"/>
    </row>
    <row r="146" spans="1:10" x14ac:dyDescent="0.2">
      <c r="A146" s="1"/>
      <c r="B146" s="1" t="s">
        <v>405</v>
      </c>
      <c r="C146" s="32">
        <v>2354</v>
      </c>
      <c r="D146" s="1">
        <v>27000</v>
      </c>
      <c r="E146" s="1"/>
      <c r="F146" s="1">
        <v>296</v>
      </c>
      <c r="G146" s="1">
        <v>27000</v>
      </c>
      <c r="H146" s="5">
        <f t="shared" si="2"/>
        <v>0</v>
      </c>
      <c r="I146" s="1"/>
      <c r="J146" s="1"/>
    </row>
    <row r="147" spans="1:10" x14ac:dyDescent="0.2">
      <c r="A147" s="1"/>
      <c r="B147" s="1" t="s">
        <v>406</v>
      </c>
      <c r="C147" s="32">
        <v>8956</v>
      </c>
      <c r="D147" s="1">
        <v>10000</v>
      </c>
      <c r="E147" s="1"/>
      <c r="F147" s="1">
        <v>111.4</v>
      </c>
      <c r="G147" s="1">
        <v>10000</v>
      </c>
      <c r="H147" s="5">
        <f t="shared" si="2"/>
        <v>0</v>
      </c>
      <c r="I147" s="1"/>
      <c r="J147" s="1"/>
    </row>
    <row r="148" spans="1:10" x14ac:dyDescent="0.2">
      <c r="A148" s="1"/>
      <c r="B148" s="1" t="s">
        <v>406</v>
      </c>
      <c r="C148" s="32">
        <v>9905</v>
      </c>
      <c r="D148" s="1">
        <v>8000</v>
      </c>
      <c r="E148" s="1"/>
      <c r="F148" s="1">
        <v>89.56</v>
      </c>
      <c r="G148" s="1">
        <v>8000</v>
      </c>
      <c r="H148" s="5">
        <f t="shared" si="2"/>
        <v>0</v>
      </c>
      <c r="I148" s="1"/>
      <c r="J148" s="1"/>
    </row>
    <row r="149" spans="1:10" x14ac:dyDescent="0.2">
      <c r="A149" s="1"/>
      <c r="B149" s="1" t="s">
        <v>406</v>
      </c>
      <c r="C149" s="32">
        <v>5798</v>
      </c>
      <c r="D149" s="1">
        <v>15000</v>
      </c>
      <c r="E149" s="1"/>
      <c r="F149" s="1">
        <v>167.22</v>
      </c>
      <c r="G149" s="1">
        <v>15000</v>
      </c>
      <c r="H149" s="5">
        <f t="shared" si="2"/>
        <v>0</v>
      </c>
      <c r="I149" s="1"/>
      <c r="J149" s="1"/>
    </row>
    <row r="150" spans="1:10" x14ac:dyDescent="0.2">
      <c r="A150" s="1"/>
      <c r="B150" s="1" t="s">
        <v>406</v>
      </c>
      <c r="C150" s="32" t="s">
        <v>66</v>
      </c>
      <c r="D150" s="1">
        <v>120</v>
      </c>
      <c r="E150" s="1"/>
      <c r="F150" s="1">
        <v>1.05</v>
      </c>
      <c r="G150" s="1">
        <v>120</v>
      </c>
      <c r="H150" s="5">
        <f t="shared" si="2"/>
        <v>0</v>
      </c>
      <c r="I150" s="1"/>
      <c r="J150" s="1"/>
    </row>
    <row r="151" spans="1:10" x14ac:dyDescent="0.2">
      <c r="A151" s="1"/>
      <c r="B151" s="1" t="s">
        <v>406</v>
      </c>
      <c r="C151" s="32" t="s">
        <v>66</v>
      </c>
      <c r="D151" s="1">
        <v>210</v>
      </c>
      <c r="E151" s="1"/>
      <c r="F151" s="1">
        <v>2.08</v>
      </c>
      <c r="G151" s="1">
        <v>210</v>
      </c>
      <c r="H151" s="5">
        <f t="shared" si="2"/>
        <v>0</v>
      </c>
      <c r="I151" s="1"/>
      <c r="J151" s="1"/>
    </row>
    <row r="152" spans="1:10" x14ac:dyDescent="0.2">
      <c r="A152" s="1"/>
      <c r="B152" s="1" t="s">
        <v>407</v>
      </c>
      <c r="C152" s="32">
        <v>2802</v>
      </c>
      <c r="D152" s="1">
        <v>14000</v>
      </c>
      <c r="E152" s="1"/>
      <c r="F152" s="1">
        <v>155.97</v>
      </c>
      <c r="G152" s="1">
        <v>14000</v>
      </c>
      <c r="H152" s="5">
        <f t="shared" si="2"/>
        <v>0</v>
      </c>
      <c r="I152" s="1"/>
      <c r="J152" s="1"/>
    </row>
    <row r="153" spans="1:10" x14ac:dyDescent="0.2">
      <c r="A153" s="1"/>
      <c r="B153" s="1" t="s">
        <v>407</v>
      </c>
      <c r="C153" s="32">
        <v>1266</v>
      </c>
      <c r="D153" s="1">
        <v>13000</v>
      </c>
      <c r="E153" s="1"/>
      <c r="F153" s="1">
        <v>144.83000000000001</v>
      </c>
      <c r="G153" s="1">
        <v>13000</v>
      </c>
      <c r="H153" s="5">
        <f t="shared" si="2"/>
        <v>0</v>
      </c>
      <c r="I153" s="1"/>
      <c r="J153" s="1"/>
    </row>
    <row r="154" spans="1:10" x14ac:dyDescent="0.2">
      <c r="A154" s="1"/>
      <c r="B154" s="1" t="s">
        <v>407</v>
      </c>
      <c r="C154" s="32">
        <v>5.1000000000000004E-3</v>
      </c>
      <c r="D154" s="1">
        <v>16000</v>
      </c>
      <c r="E154" s="1"/>
      <c r="F154" s="1">
        <v>178.22</v>
      </c>
      <c r="G154" s="1">
        <v>16000</v>
      </c>
      <c r="H154" s="5">
        <f t="shared" si="2"/>
        <v>0</v>
      </c>
      <c r="I154" s="1"/>
      <c r="J154" s="1"/>
    </row>
    <row r="155" spans="1:10" x14ac:dyDescent="0.2">
      <c r="A155" s="1"/>
      <c r="B155" s="1" t="s">
        <v>407</v>
      </c>
      <c r="C155" s="32">
        <v>5.1999999999999998E-3</v>
      </c>
      <c r="D155" s="1">
        <v>16000</v>
      </c>
      <c r="E155" s="1"/>
      <c r="F155" s="1">
        <v>178.22</v>
      </c>
      <c r="G155" s="1">
        <v>16000</v>
      </c>
      <c r="H155" s="5">
        <f t="shared" si="2"/>
        <v>0</v>
      </c>
      <c r="I155" s="1"/>
      <c r="J155" s="1"/>
    </row>
    <row r="156" spans="1:10" x14ac:dyDescent="0.2">
      <c r="A156" s="1"/>
      <c r="B156" s="1" t="s">
        <v>407</v>
      </c>
      <c r="C156" s="32">
        <v>2131</v>
      </c>
      <c r="D156" s="1">
        <v>7000</v>
      </c>
      <c r="E156" s="1"/>
      <c r="F156" s="1">
        <v>77.989999999999995</v>
      </c>
      <c r="G156" s="1">
        <v>7000</v>
      </c>
      <c r="H156" s="5">
        <f t="shared" si="2"/>
        <v>0</v>
      </c>
      <c r="I156" s="1"/>
      <c r="J156" s="1"/>
    </row>
    <row r="157" spans="1:10" x14ac:dyDescent="0.2">
      <c r="A157" s="1"/>
      <c r="B157" s="1" t="s">
        <v>407</v>
      </c>
      <c r="C157" s="32">
        <v>2705</v>
      </c>
      <c r="D157" s="1">
        <v>12000</v>
      </c>
      <c r="E157" s="1"/>
      <c r="F157" s="1">
        <v>133.69</v>
      </c>
      <c r="G157" s="1">
        <v>12000</v>
      </c>
      <c r="H157" s="5">
        <f t="shared" si="2"/>
        <v>0</v>
      </c>
      <c r="I157" s="1"/>
      <c r="J157" s="1"/>
    </row>
    <row r="158" spans="1:10" x14ac:dyDescent="0.2">
      <c r="A158" s="1"/>
      <c r="B158" s="1" t="s">
        <v>407</v>
      </c>
      <c r="C158" s="32">
        <v>3952</v>
      </c>
      <c r="D158" s="1">
        <v>30000</v>
      </c>
      <c r="E158" s="1"/>
      <c r="F158" s="1">
        <v>334.22</v>
      </c>
      <c r="G158" s="1">
        <v>30000</v>
      </c>
      <c r="H158" s="5">
        <f t="shared" si="2"/>
        <v>0</v>
      </c>
      <c r="I158" s="1"/>
      <c r="J158" s="1"/>
    </row>
    <row r="159" spans="1:10" x14ac:dyDescent="0.2">
      <c r="A159" s="1"/>
      <c r="B159" s="1" t="s">
        <v>407</v>
      </c>
      <c r="C159" s="32">
        <v>2790</v>
      </c>
      <c r="D159" s="1">
        <v>18000</v>
      </c>
      <c r="E159" s="1"/>
      <c r="F159" s="1">
        <v>200.53</v>
      </c>
      <c r="G159" s="1">
        <v>18000</v>
      </c>
      <c r="H159" s="5">
        <f t="shared" si="2"/>
        <v>0</v>
      </c>
      <c r="I159" s="1"/>
      <c r="J159" s="1"/>
    </row>
    <row r="160" spans="1:10" x14ac:dyDescent="0.2">
      <c r="A160" s="1"/>
      <c r="B160" s="1" t="s">
        <v>407</v>
      </c>
      <c r="C160" s="32" t="s">
        <v>63</v>
      </c>
      <c r="D160" s="1">
        <v>3500</v>
      </c>
      <c r="E160" s="1"/>
      <c r="F160" s="1">
        <v>38.99</v>
      </c>
      <c r="G160" s="1">
        <v>3500</v>
      </c>
      <c r="H160" s="5">
        <f t="shared" si="2"/>
        <v>0</v>
      </c>
      <c r="I160" s="1"/>
      <c r="J160" s="1"/>
    </row>
    <row r="161" spans="1:10" x14ac:dyDescent="0.2">
      <c r="A161" s="1"/>
      <c r="B161" s="1" t="s">
        <v>407</v>
      </c>
      <c r="C161" s="32" t="s">
        <v>30</v>
      </c>
      <c r="D161" s="1">
        <v>5000</v>
      </c>
      <c r="E161" s="1"/>
      <c r="F161" s="1">
        <v>55.13</v>
      </c>
      <c r="G161" s="1">
        <v>5000</v>
      </c>
      <c r="H161" s="5">
        <f t="shared" si="2"/>
        <v>0</v>
      </c>
      <c r="I161" s="1"/>
      <c r="J161" s="1"/>
    </row>
    <row r="162" spans="1:10" x14ac:dyDescent="0.2">
      <c r="A162" s="1"/>
      <c r="B162" s="1" t="s">
        <v>407</v>
      </c>
      <c r="C162" s="32">
        <v>2167</v>
      </c>
      <c r="D162" s="1">
        <v>19000</v>
      </c>
      <c r="E162" s="1"/>
      <c r="F162" s="1">
        <v>211.68</v>
      </c>
      <c r="G162" s="1">
        <v>19000</v>
      </c>
      <c r="H162" s="5">
        <f t="shared" si="2"/>
        <v>0</v>
      </c>
      <c r="I162" s="1"/>
      <c r="J162" s="1"/>
    </row>
    <row r="163" spans="1:10" x14ac:dyDescent="0.2">
      <c r="A163" s="1"/>
      <c r="B163" s="1" t="s">
        <v>407</v>
      </c>
      <c r="C163" s="32">
        <v>7744</v>
      </c>
      <c r="D163" s="1">
        <v>6000</v>
      </c>
      <c r="E163" s="1"/>
      <c r="F163" s="1">
        <v>66.84</v>
      </c>
      <c r="G163" s="1">
        <v>6000</v>
      </c>
      <c r="H163" s="5">
        <f t="shared" si="2"/>
        <v>0</v>
      </c>
      <c r="I163" s="1"/>
      <c r="J163" s="1"/>
    </row>
    <row r="164" spans="1:10" x14ac:dyDescent="0.2">
      <c r="A164" s="1"/>
      <c r="B164" s="1" t="s">
        <v>407</v>
      </c>
      <c r="C164" s="32">
        <v>9944</v>
      </c>
      <c r="D164" s="1">
        <v>6000</v>
      </c>
      <c r="E164" s="1"/>
      <c r="F164" s="1">
        <v>66.84</v>
      </c>
      <c r="G164" s="1">
        <v>6000</v>
      </c>
      <c r="H164" s="5">
        <f t="shared" si="2"/>
        <v>0</v>
      </c>
      <c r="I164" s="1"/>
      <c r="J164" s="1"/>
    </row>
    <row r="165" spans="1:10" x14ac:dyDescent="0.2">
      <c r="A165" s="1"/>
      <c r="B165" s="1" t="s">
        <v>408</v>
      </c>
      <c r="C165" s="32">
        <v>7.0900000000000005E-2</v>
      </c>
      <c r="D165" s="1">
        <v>30000</v>
      </c>
      <c r="E165" s="1"/>
      <c r="F165" s="1">
        <v>334.22</v>
      </c>
      <c r="G165" s="1">
        <v>30000</v>
      </c>
      <c r="H165" s="5">
        <f t="shared" si="2"/>
        <v>0</v>
      </c>
      <c r="I165" s="1"/>
      <c r="J165" s="1"/>
    </row>
    <row r="166" spans="1:10" x14ac:dyDescent="0.2">
      <c r="A166" s="1"/>
      <c r="B166" s="1" t="s">
        <v>408</v>
      </c>
      <c r="C166" s="32">
        <v>2.4400000000000002E-2</v>
      </c>
      <c r="D166" s="1">
        <v>12000</v>
      </c>
      <c r="E166" s="1"/>
      <c r="F166" s="1">
        <v>133.68</v>
      </c>
      <c r="G166" s="1">
        <v>12000</v>
      </c>
      <c r="H166" s="5">
        <f t="shared" si="2"/>
        <v>0</v>
      </c>
      <c r="I166" s="1"/>
      <c r="J166" s="1"/>
    </row>
    <row r="167" spans="1:10" x14ac:dyDescent="0.2">
      <c r="A167" s="1"/>
      <c r="B167" s="1" t="s">
        <v>408</v>
      </c>
      <c r="C167" s="32">
        <v>1.5E-3</v>
      </c>
      <c r="D167" s="1">
        <v>19000</v>
      </c>
      <c r="E167" s="1"/>
      <c r="F167" s="1">
        <v>211.67</v>
      </c>
      <c r="G167" s="1">
        <v>19000</v>
      </c>
      <c r="H167" s="5">
        <f t="shared" si="2"/>
        <v>0</v>
      </c>
      <c r="I167" s="1"/>
      <c r="J167" s="1"/>
    </row>
    <row r="168" spans="1:10" x14ac:dyDescent="0.2">
      <c r="A168" s="1"/>
      <c r="B168" s="1" t="s">
        <v>408</v>
      </c>
      <c r="C168" s="32">
        <v>1.2699999999999999E-2</v>
      </c>
      <c r="D168" s="1">
        <v>12000</v>
      </c>
      <c r="E168" s="1"/>
      <c r="F168" s="1">
        <v>133.68</v>
      </c>
      <c r="G168" s="1">
        <v>12000</v>
      </c>
      <c r="H168" s="5">
        <f t="shared" si="2"/>
        <v>0</v>
      </c>
      <c r="I168" s="1"/>
      <c r="J168" s="1"/>
    </row>
    <row r="169" spans="1:10" x14ac:dyDescent="0.2">
      <c r="A169" s="1"/>
      <c r="B169" s="1" t="s">
        <v>408</v>
      </c>
      <c r="C169" s="32">
        <v>6301</v>
      </c>
      <c r="D169" s="1">
        <v>10000</v>
      </c>
      <c r="E169" s="1"/>
      <c r="F169" s="1">
        <v>111.4</v>
      </c>
      <c r="G169" s="1">
        <v>10000</v>
      </c>
      <c r="H169" s="5">
        <f t="shared" si="2"/>
        <v>0</v>
      </c>
      <c r="I169" s="1"/>
      <c r="J169" s="1"/>
    </row>
    <row r="170" spans="1:10" x14ac:dyDescent="0.2">
      <c r="A170" s="1"/>
      <c r="B170" s="1" t="s">
        <v>408</v>
      </c>
      <c r="C170" s="32">
        <v>1.77E-2</v>
      </c>
      <c r="D170" s="1">
        <v>27100</v>
      </c>
      <c r="E170" s="1"/>
      <c r="F170" s="1">
        <v>301.91000000000003</v>
      </c>
      <c r="G170" s="1">
        <v>27100</v>
      </c>
      <c r="H170" s="5">
        <f t="shared" si="2"/>
        <v>0</v>
      </c>
      <c r="I170" s="1"/>
      <c r="J170" s="1"/>
    </row>
    <row r="171" spans="1:10" x14ac:dyDescent="0.2">
      <c r="A171" s="1"/>
      <c r="B171" s="1" t="s">
        <v>408</v>
      </c>
      <c r="C171" s="32">
        <v>3317</v>
      </c>
      <c r="D171" s="1">
        <v>28000</v>
      </c>
      <c r="E171" s="1"/>
      <c r="F171" s="1">
        <v>311.94</v>
      </c>
      <c r="G171" s="1">
        <v>28000</v>
      </c>
      <c r="H171" s="5">
        <f t="shared" si="2"/>
        <v>0</v>
      </c>
      <c r="I171" s="1"/>
      <c r="J171" s="1"/>
    </row>
    <row r="172" spans="1:10" x14ac:dyDescent="0.2">
      <c r="A172" s="1"/>
      <c r="B172" s="1" t="s">
        <v>408</v>
      </c>
      <c r="C172" s="32">
        <v>5079</v>
      </c>
      <c r="D172" s="1">
        <v>28000</v>
      </c>
      <c r="E172" s="1"/>
      <c r="F172" s="1">
        <v>311.94</v>
      </c>
      <c r="G172" s="1">
        <v>28000</v>
      </c>
      <c r="H172" s="5">
        <f t="shared" si="2"/>
        <v>0</v>
      </c>
      <c r="I172" s="1"/>
      <c r="J172" s="1"/>
    </row>
    <row r="173" spans="1:10" x14ac:dyDescent="0.2">
      <c r="A173" s="1"/>
      <c r="B173" s="1" t="s">
        <v>409</v>
      </c>
      <c r="C173" s="32">
        <v>5981</v>
      </c>
      <c r="D173" s="1">
        <v>25000</v>
      </c>
      <c r="E173" s="1"/>
      <c r="F173" s="1">
        <v>278.52</v>
      </c>
      <c r="G173" s="1">
        <v>25000</v>
      </c>
      <c r="H173" s="5">
        <f t="shared" si="2"/>
        <v>0</v>
      </c>
      <c r="I173" s="6"/>
      <c r="J173" s="1"/>
    </row>
    <row r="174" spans="1:10" x14ac:dyDescent="0.2">
      <c r="A174" s="1"/>
      <c r="B174" s="1" t="s">
        <v>409</v>
      </c>
      <c r="C174" s="32">
        <v>1.44E-2</v>
      </c>
      <c r="D174" s="1">
        <v>26000</v>
      </c>
      <c r="E174" s="1"/>
      <c r="F174" s="1">
        <v>289.66000000000003</v>
      </c>
      <c r="G174" s="1">
        <v>26000</v>
      </c>
      <c r="H174" s="5">
        <f t="shared" si="2"/>
        <v>0</v>
      </c>
      <c r="I174" s="6"/>
      <c r="J174" s="1"/>
    </row>
    <row r="175" spans="1:10" x14ac:dyDescent="0.2">
      <c r="A175" s="1"/>
      <c r="B175" s="1" t="s">
        <v>409</v>
      </c>
      <c r="C175" s="32" t="s">
        <v>66</v>
      </c>
      <c r="D175" s="1">
        <v>210</v>
      </c>
      <c r="E175" s="1"/>
      <c r="F175" s="1">
        <v>2.12</v>
      </c>
      <c r="G175" s="1">
        <v>210</v>
      </c>
      <c r="H175" s="5">
        <f t="shared" si="2"/>
        <v>0</v>
      </c>
      <c r="I175" s="6"/>
      <c r="J175" s="1"/>
    </row>
    <row r="176" spans="1:10" x14ac:dyDescent="0.2">
      <c r="A176" s="1"/>
      <c r="B176" s="1" t="s">
        <v>409</v>
      </c>
      <c r="C176" s="32" t="s">
        <v>30</v>
      </c>
      <c r="D176" s="1">
        <v>5000</v>
      </c>
      <c r="E176" s="1"/>
      <c r="F176" s="1">
        <v>50.13</v>
      </c>
      <c r="G176" s="1">
        <v>5000</v>
      </c>
      <c r="H176" s="5">
        <f t="shared" si="2"/>
        <v>0</v>
      </c>
      <c r="I176" s="6"/>
      <c r="J176" s="1"/>
    </row>
    <row r="177" spans="1:10" x14ac:dyDescent="0.2">
      <c r="A177" s="1"/>
      <c r="B177" s="1" t="s">
        <v>409</v>
      </c>
      <c r="C177" s="32">
        <v>2.58E-2</v>
      </c>
      <c r="D177" s="1">
        <v>18000</v>
      </c>
      <c r="E177" s="1"/>
      <c r="F177" s="1">
        <v>200.53</v>
      </c>
      <c r="G177" s="1">
        <v>18000</v>
      </c>
      <c r="H177" s="5">
        <f t="shared" si="2"/>
        <v>0</v>
      </c>
      <c r="I177" s="6"/>
      <c r="J177" s="1"/>
    </row>
    <row r="178" spans="1:10" x14ac:dyDescent="0.2">
      <c r="A178" s="1"/>
      <c r="B178" s="1" t="s">
        <v>409</v>
      </c>
      <c r="C178" s="32">
        <v>9250</v>
      </c>
      <c r="D178" s="1">
        <v>20000</v>
      </c>
      <c r="E178" s="1"/>
      <c r="F178" s="1">
        <v>222.81</v>
      </c>
      <c r="G178" s="1">
        <v>20000</v>
      </c>
      <c r="H178" s="5">
        <f t="shared" si="2"/>
        <v>0</v>
      </c>
      <c r="I178" s="6"/>
      <c r="J178" s="1"/>
    </row>
    <row r="179" spans="1:10" x14ac:dyDescent="0.2">
      <c r="A179" s="1"/>
      <c r="B179" s="1" t="s">
        <v>409</v>
      </c>
      <c r="C179" s="32" t="s">
        <v>30</v>
      </c>
      <c r="D179" s="1">
        <v>4500</v>
      </c>
      <c r="E179" s="1"/>
      <c r="F179" s="1">
        <v>50.12</v>
      </c>
      <c r="G179" s="1">
        <v>4500</v>
      </c>
      <c r="H179" s="5">
        <f t="shared" si="2"/>
        <v>0</v>
      </c>
      <c r="I179" s="6"/>
      <c r="J179" s="1"/>
    </row>
    <row r="180" spans="1:10" x14ac:dyDescent="0.2">
      <c r="A180" s="1"/>
      <c r="B180" s="1" t="s">
        <v>409</v>
      </c>
      <c r="C180" s="32">
        <v>9906</v>
      </c>
      <c r="D180" s="1">
        <v>10000</v>
      </c>
      <c r="E180" s="1"/>
      <c r="F180" s="1">
        <v>111.41</v>
      </c>
      <c r="G180" s="1">
        <v>10000</v>
      </c>
      <c r="H180" s="5">
        <f t="shared" si="2"/>
        <v>0</v>
      </c>
      <c r="I180" s="6"/>
      <c r="J180" s="1"/>
    </row>
    <row r="181" spans="1:10" x14ac:dyDescent="0.2">
      <c r="A181" s="1"/>
      <c r="B181" s="1" t="s">
        <v>409</v>
      </c>
      <c r="C181" s="32">
        <v>8666</v>
      </c>
      <c r="D181" s="1">
        <v>18000</v>
      </c>
      <c r="E181" s="1"/>
      <c r="F181" s="1">
        <v>200.53</v>
      </c>
      <c r="G181" s="1">
        <v>18000</v>
      </c>
      <c r="H181" s="5">
        <f t="shared" si="2"/>
        <v>0</v>
      </c>
      <c r="I181" s="6"/>
      <c r="J181" s="1"/>
    </row>
    <row r="182" spans="1:10" x14ac:dyDescent="0.2">
      <c r="A182" s="1"/>
      <c r="B182" s="1" t="s">
        <v>409</v>
      </c>
      <c r="C182" s="32">
        <v>4156</v>
      </c>
      <c r="D182" s="1">
        <v>17000</v>
      </c>
      <c r="E182" s="1"/>
      <c r="F182" s="1">
        <v>189.39</v>
      </c>
      <c r="G182" s="1">
        <v>17000</v>
      </c>
      <c r="H182" s="5">
        <f t="shared" si="2"/>
        <v>0</v>
      </c>
      <c r="I182" s="6"/>
      <c r="J182" s="1"/>
    </row>
    <row r="183" spans="1:10" x14ac:dyDescent="0.2">
      <c r="A183" s="1"/>
      <c r="B183" s="1" t="s">
        <v>409</v>
      </c>
      <c r="C183" s="32">
        <v>5553</v>
      </c>
      <c r="D183" s="1">
        <v>30000</v>
      </c>
      <c r="E183" s="1"/>
      <c r="F183" s="1">
        <v>334.22</v>
      </c>
      <c r="G183" s="1">
        <v>30000</v>
      </c>
      <c r="H183" s="5">
        <f t="shared" si="2"/>
        <v>0</v>
      </c>
      <c r="I183" s="6"/>
      <c r="J183" s="1"/>
    </row>
    <row r="184" spans="1:10" x14ac:dyDescent="0.2">
      <c r="A184" s="1"/>
      <c r="B184" s="1" t="s">
        <v>409</v>
      </c>
      <c r="C184" s="32">
        <v>9.0200000000000002E-2</v>
      </c>
      <c r="D184" s="1">
        <v>26000</v>
      </c>
      <c r="E184" s="1"/>
      <c r="F184" s="1">
        <v>289.66000000000003</v>
      </c>
      <c r="G184" s="1">
        <v>26000</v>
      </c>
      <c r="H184" s="5">
        <f t="shared" si="2"/>
        <v>0</v>
      </c>
      <c r="I184" s="6"/>
      <c r="J184" s="1"/>
    </row>
    <row r="185" spans="1:10" x14ac:dyDescent="0.2">
      <c r="A185" s="1"/>
      <c r="B185" s="1" t="s">
        <v>409</v>
      </c>
      <c r="C185" s="32">
        <v>2688</v>
      </c>
      <c r="D185" s="1">
        <v>22000</v>
      </c>
      <c r="E185" s="1"/>
      <c r="F185" s="1">
        <v>245.1</v>
      </c>
      <c r="G185" s="1">
        <v>22000</v>
      </c>
      <c r="H185" s="5">
        <f t="shared" si="2"/>
        <v>0</v>
      </c>
      <c r="I185" s="6"/>
      <c r="J185" s="1"/>
    </row>
    <row r="186" spans="1:10" x14ac:dyDescent="0.2">
      <c r="A186" s="1"/>
      <c r="B186" s="1" t="s">
        <v>409</v>
      </c>
      <c r="C186" s="32">
        <v>6373</v>
      </c>
      <c r="D186" s="1">
        <v>35000</v>
      </c>
      <c r="E186" s="1"/>
      <c r="F186" s="1">
        <v>362</v>
      </c>
      <c r="G186" s="1">
        <v>35000</v>
      </c>
      <c r="H186" s="5">
        <f t="shared" si="2"/>
        <v>0</v>
      </c>
      <c r="I186" s="6"/>
      <c r="J186" s="1"/>
    </row>
    <row r="187" spans="1:10" x14ac:dyDescent="0.2">
      <c r="A187" s="1"/>
      <c r="B187" s="1" t="s">
        <v>410</v>
      </c>
      <c r="C187" s="32" t="s">
        <v>63</v>
      </c>
      <c r="D187" s="1">
        <v>3500</v>
      </c>
      <c r="E187" s="1"/>
      <c r="F187" s="1">
        <v>38.99</v>
      </c>
      <c r="G187" s="1">
        <v>3500</v>
      </c>
      <c r="H187" s="5">
        <f t="shared" si="2"/>
        <v>0</v>
      </c>
      <c r="I187" s="6"/>
      <c r="J187" s="1"/>
    </row>
    <row r="188" spans="1:10" x14ac:dyDescent="0.2">
      <c r="A188" s="1"/>
      <c r="B188" s="1" t="s">
        <v>410</v>
      </c>
      <c r="C188" s="32">
        <v>4371</v>
      </c>
      <c r="D188" s="1">
        <v>12000</v>
      </c>
      <c r="E188" s="1"/>
      <c r="F188" s="1">
        <v>133.63</v>
      </c>
      <c r="G188" s="1">
        <v>12000</v>
      </c>
      <c r="H188" s="5">
        <f t="shared" si="2"/>
        <v>0</v>
      </c>
      <c r="I188" s="6"/>
      <c r="J188" s="1"/>
    </row>
    <row r="189" spans="1:10" x14ac:dyDescent="0.2">
      <c r="A189" s="1"/>
      <c r="B189" s="1" t="s">
        <v>410</v>
      </c>
      <c r="C189" s="32">
        <v>4566</v>
      </c>
      <c r="D189" s="1">
        <v>24000</v>
      </c>
      <c r="E189" s="1"/>
      <c r="F189" s="1">
        <v>267.38</v>
      </c>
      <c r="G189" s="1">
        <v>24000</v>
      </c>
      <c r="H189" s="5">
        <f t="shared" si="2"/>
        <v>0</v>
      </c>
      <c r="I189" s="6"/>
      <c r="J189" s="1"/>
    </row>
    <row r="190" spans="1:10" x14ac:dyDescent="0.2">
      <c r="A190" s="1"/>
      <c r="B190" s="1" t="s">
        <v>410</v>
      </c>
      <c r="C190" s="32">
        <v>9616</v>
      </c>
      <c r="D190" s="1">
        <v>12000</v>
      </c>
      <c r="E190" s="1"/>
      <c r="F190" s="1">
        <v>133.69</v>
      </c>
      <c r="G190" s="1">
        <v>12000</v>
      </c>
      <c r="H190" s="5">
        <f t="shared" si="2"/>
        <v>0</v>
      </c>
      <c r="I190" s="6"/>
      <c r="J190" s="1"/>
    </row>
    <row r="191" spans="1:10" x14ac:dyDescent="0.2">
      <c r="A191" s="1"/>
      <c r="B191" s="1" t="s">
        <v>410</v>
      </c>
      <c r="C191" s="32">
        <v>2167</v>
      </c>
      <c r="D191" s="1">
        <v>14000</v>
      </c>
      <c r="E191" s="1"/>
      <c r="F191" s="1">
        <v>155.97</v>
      </c>
      <c r="G191" s="1">
        <v>14000</v>
      </c>
      <c r="H191" s="5">
        <f t="shared" si="2"/>
        <v>0</v>
      </c>
      <c r="I191" s="6"/>
      <c r="J191" s="1"/>
    </row>
    <row r="192" spans="1:10" x14ac:dyDescent="0.2">
      <c r="A192" s="1"/>
      <c r="B192" s="1" t="s">
        <v>410</v>
      </c>
      <c r="C192" s="32">
        <v>9544</v>
      </c>
      <c r="D192" s="1">
        <v>12000</v>
      </c>
      <c r="E192" s="1"/>
      <c r="F192" s="1">
        <v>133.68</v>
      </c>
      <c r="G192" s="1">
        <v>12000</v>
      </c>
      <c r="H192" s="5">
        <f t="shared" si="2"/>
        <v>0</v>
      </c>
      <c r="I192" s="6"/>
      <c r="J192" s="1"/>
    </row>
    <row r="193" spans="1:10" x14ac:dyDescent="0.2">
      <c r="A193" s="1"/>
      <c r="B193" s="1" t="s">
        <v>410</v>
      </c>
      <c r="C193" s="32" t="s">
        <v>30</v>
      </c>
      <c r="D193" s="1">
        <v>5000</v>
      </c>
      <c r="E193" s="1"/>
      <c r="F193" s="1">
        <v>55.7</v>
      </c>
      <c r="G193" s="1">
        <v>5000</v>
      </c>
      <c r="H193" s="5">
        <f t="shared" si="2"/>
        <v>0</v>
      </c>
      <c r="I193" s="6"/>
      <c r="J193" s="1"/>
    </row>
    <row r="194" spans="1:10" x14ac:dyDescent="0.2">
      <c r="A194" s="1"/>
      <c r="B194" s="1" t="s">
        <v>410</v>
      </c>
      <c r="C194" s="32">
        <v>7266</v>
      </c>
      <c r="D194" s="1">
        <v>29000</v>
      </c>
      <c r="E194" s="1"/>
      <c r="F194" s="1">
        <v>383.4</v>
      </c>
      <c r="G194" s="1">
        <v>29000</v>
      </c>
      <c r="H194" s="5">
        <f t="shared" si="2"/>
        <v>0</v>
      </c>
      <c r="I194" s="6"/>
      <c r="J194" s="1"/>
    </row>
    <row r="195" spans="1:10" x14ac:dyDescent="0.2">
      <c r="A195" s="1"/>
      <c r="B195" s="1" t="s">
        <v>410</v>
      </c>
      <c r="C195" s="32">
        <v>4124</v>
      </c>
      <c r="D195" s="1">
        <v>28000</v>
      </c>
      <c r="E195" s="1"/>
      <c r="F195" s="1">
        <v>371.94</v>
      </c>
      <c r="G195" s="1">
        <v>28000</v>
      </c>
      <c r="H195" s="5">
        <f t="shared" si="2"/>
        <v>0</v>
      </c>
      <c r="I195" s="6"/>
      <c r="J195" s="1"/>
    </row>
    <row r="196" spans="1:10" x14ac:dyDescent="0.2">
      <c r="A196" s="1"/>
      <c r="B196" s="1" t="s">
        <v>410</v>
      </c>
      <c r="C196" s="32">
        <v>4713</v>
      </c>
      <c r="D196" s="1">
        <v>22000</v>
      </c>
      <c r="E196" s="1"/>
      <c r="F196" s="1">
        <v>245.43</v>
      </c>
      <c r="G196" s="1">
        <v>22000</v>
      </c>
      <c r="H196" s="5">
        <f t="shared" si="2"/>
        <v>0</v>
      </c>
      <c r="I196" s="6"/>
      <c r="J196" s="1"/>
    </row>
    <row r="197" spans="1:10" x14ac:dyDescent="0.2">
      <c r="A197" s="1"/>
      <c r="B197" s="1" t="s">
        <v>410</v>
      </c>
      <c r="C197" s="32" t="s">
        <v>66</v>
      </c>
      <c r="D197" s="1">
        <v>210</v>
      </c>
      <c r="E197" s="1"/>
      <c r="F197" s="1">
        <v>2.06</v>
      </c>
      <c r="G197" s="1">
        <v>210</v>
      </c>
      <c r="H197" s="5">
        <f t="shared" si="2"/>
        <v>0</v>
      </c>
      <c r="I197" s="6"/>
      <c r="J197" s="1"/>
    </row>
    <row r="198" spans="1:10" x14ac:dyDescent="0.2">
      <c r="A198" s="1"/>
      <c r="B198" s="1" t="s">
        <v>410</v>
      </c>
      <c r="C198" s="32">
        <v>6469</v>
      </c>
      <c r="D198" s="1">
        <v>25000</v>
      </c>
      <c r="E198" s="1"/>
      <c r="F198" s="1">
        <v>278.52</v>
      </c>
      <c r="G198" s="1">
        <v>25000</v>
      </c>
      <c r="H198" s="5">
        <f t="shared" ref="H198:H247" si="3">D198-G198</f>
        <v>0</v>
      </c>
      <c r="I198" s="6"/>
      <c r="J198" s="1"/>
    </row>
    <row r="199" spans="1:10" x14ac:dyDescent="0.2">
      <c r="A199" s="1"/>
      <c r="B199" s="1" t="s">
        <v>410</v>
      </c>
      <c r="C199" s="32">
        <v>5151</v>
      </c>
      <c r="D199" s="1">
        <v>16000</v>
      </c>
      <c r="E199" s="1"/>
      <c r="F199" s="1">
        <v>178.22</v>
      </c>
      <c r="G199" s="1">
        <v>16000</v>
      </c>
      <c r="H199" s="5">
        <f t="shared" si="3"/>
        <v>0</v>
      </c>
      <c r="I199" s="6"/>
      <c r="J199" s="1"/>
    </row>
    <row r="200" spans="1:10" x14ac:dyDescent="0.2">
      <c r="A200" s="1"/>
      <c r="B200" s="1" t="s">
        <v>410</v>
      </c>
      <c r="C200" s="32">
        <v>5252</v>
      </c>
      <c r="D200" s="1">
        <v>16000</v>
      </c>
      <c r="E200" s="1"/>
      <c r="F200" s="1">
        <v>178.22</v>
      </c>
      <c r="G200" s="1">
        <v>16000</v>
      </c>
      <c r="H200" s="5">
        <f t="shared" si="3"/>
        <v>0</v>
      </c>
      <c r="I200" s="6"/>
      <c r="J200" s="1"/>
    </row>
    <row r="201" spans="1:10" x14ac:dyDescent="0.2">
      <c r="A201" s="1"/>
      <c r="B201" s="1" t="s">
        <v>411</v>
      </c>
      <c r="C201" s="32">
        <v>8902</v>
      </c>
      <c r="D201" s="1">
        <v>15000</v>
      </c>
      <c r="E201" s="1"/>
      <c r="F201" s="1">
        <v>167.15</v>
      </c>
      <c r="G201" s="1">
        <v>15000</v>
      </c>
      <c r="H201" s="5">
        <f t="shared" si="3"/>
        <v>0</v>
      </c>
      <c r="I201" s="1"/>
      <c r="J201" s="1"/>
    </row>
    <row r="202" spans="1:10" x14ac:dyDescent="0.2">
      <c r="A202" s="1"/>
      <c r="B202" s="1" t="s">
        <v>411</v>
      </c>
      <c r="C202" s="32">
        <v>6214</v>
      </c>
      <c r="D202" s="1">
        <v>22000</v>
      </c>
      <c r="E202" s="1"/>
      <c r="F202" s="1">
        <v>245.43</v>
      </c>
      <c r="G202" s="1">
        <v>22000</v>
      </c>
      <c r="H202" s="5">
        <f t="shared" si="3"/>
        <v>0</v>
      </c>
      <c r="I202" s="1"/>
      <c r="J202" s="1"/>
    </row>
    <row r="203" spans="1:10" x14ac:dyDescent="0.2">
      <c r="A203" s="1"/>
      <c r="B203" s="1" t="s">
        <v>411</v>
      </c>
      <c r="C203" s="32">
        <v>2673</v>
      </c>
      <c r="D203" s="1">
        <v>10000</v>
      </c>
      <c r="E203" s="1"/>
      <c r="F203" s="1">
        <v>111.4</v>
      </c>
      <c r="G203" s="1">
        <v>10000</v>
      </c>
      <c r="H203" s="5">
        <f t="shared" si="3"/>
        <v>0</v>
      </c>
      <c r="I203" s="1"/>
      <c r="J203" s="1"/>
    </row>
    <row r="204" spans="1:10" x14ac:dyDescent="0.2">
      <c r="A204" s="1"/>
      <c r="B204" s="1" t="s">
        <v>411</v>
      </c>
      <c r="C204" s="32">
        <v>7806</v>
      </c>
      <c r="D204" s="1">
        <v>27000</v>
      </c>
      <c r="E204" s="1"/>
      <c r="F204" s="1">
        <v>300.8</v>
      </c>
      <c r="G204" s="1">
        <v>27000</v>
      </c>
      <c r="H204" s="5">
        <f t="shared" si="3"/>
        <v>0</v>
      </c>
      <c r="I204" s="1"/>
      <c r="J204" s="1"/>
    </row>
    <row r="205" spans="1:10" x14ac:dyDescent="0.2">
      <c r="A205" s="1"/>
      <c r="B205" s="1" t="s">
        <v>411</v>
      </c>
      <c r="C205" s="32" t="s">
        <v>30</v>
      </c>
      <c r="D205" s="1">
        <v>4500</v>
      </c>
      <c r="E205" s="1"/>
      <c r="F205" s="1">
        <v>50.13</v>
      </c>
      <c r="G205" s="1">
        <v>4500</v>
      </c>
      <c r="H205" s="5">
        <f t="shared" si="3"/>
        <v>0</v>
      </c>
      <c r="I205" s="1"/>
      <c r="J205" s="1"/>
    </row>
    <row r="206" spans="1:10" x14ac:dyDescent="0.2">
      <c r="A206" s="1"/>
      <c r="B206" s="1" t="s">
        <v>411</v>
      </c>
      <c r="C206" s="32">
        <v>3.0200000000000001E-2</v>
      </c>
      <c r="D206" s="1">
        <v>30000</v>
      </c>
      <c r="E206" s="1"/>
      <c r="F206" s="1">
        <v>334.22</v>
      </c>
      <c r="G206" s="1">
        <v>30000</v>
      </c>
      <c r="H206" s="5">
        <f t="shared" si="3"/>
        <v>0</v>
      </c>
      <c r="I206" s="1"/>
      <c r="J206" s="1"/>
    </row>
    <row r="207" spans="1:10" x14ac:dyDescent="0.2">
      <c r="A207" s="1"/>
      <c r="B207" s="1" t="s">
        <v>411</v>
      </c>
      <c r="C207" s="32">
        <v>2.4400000000000002E-2</v>
      </c>
      <c r="D207" s="1">
        <v>12000</v>
      </c>
      <c r="E207" s="1"/>
      <c r="F207" s="1">
        <v>133.69</v>
      </c>
      <c r="G207" s="1">
        <v>12000</v>
      </c>
      <c r="H207" s="5">
        <f t="shared" si="3"/>
        <v>0</v>
      </c>
      <c r="I207" s="1"/>
      <c r="J207" s="1"/>
    </row>
    <row r="208" spans="1:10" x14ac:dyDescent="0.2">
      <c r="A208" s="1"/>
      <c r="B208" s="1" t="s">
        <v>411</v>
      </c>
      <c r="C208" s="32">
        <v>3343</v>
      </c>
      <c r="D208" s="1">
        <v>32000</v>
      </c>
      <c r="E208" s="1"/>
      <c r="F208" s="1">
        <v>356.5</v>
      </c>
      <c r="G208" s="1">
        <v>32000</v>
      </c>
      <c r="H208" s="5">
        <f t="shared" si="3"/>
        <v>0</v>
      </c>
      <c r="I208" s="1"/>
      <c r="J208" s="1"/>
    </row>
    <row r="209" spans="1:10" x14ac:dyDescent="0.2">
      <c r="A209" s="1"/>
      <c r="B209" s="1" t="s">
        <v>411</v>
      </c>
      <c r="C209" s="32">
        <v>2067</v>
      </c>
      <c r="D209" s="1">
        <v>13000</v>
      </c>
      <c r="E209" s="1"/>
      <c r="F209" s="1">
        <v>144.12</v>
      </c>
      <c r="G209" s="1">
        <v>13000</v>
      </c>
      <c r="H209" s="5">
        <f t="shared" si="3"/>
        <v>0</v>
      </c>
      <c r="I209" s="1"/>
      <c r="J209" s="1"/>
    </row>
    <row r="210" spans="1:10" x14ac:dyDescent="0.2">
      <c r="A210" s="1"/>
      <c r="B210" s="1" t="s">
        <v>413</v>
      </c>
      <c r="C210" s="32" t="s">
        <v>66</v>
      </c>
      <c r="D210" s="1">
        <v>215</v>
      </c>
      <c r="E210" s="1"/>
      <c r="F210" s="1">
        <v>2.15</v>
      </c>
      <c r="G210" s="1">
        <v>215</v>
      </c>
      <c r="H210" s="5">
        <f t="shared" si="3"/>
        <v>0</v>
      </c>
      <c r="I210" s="1"/>
      <c r="J210" s="1"/>
    </row>
    <row r="211" spans="1:10" x14ac:dyDescent="0.2">
      <c r="A211" s="1"/>
      <c r="B211" s="1" t="s">
        <v>413</v>
      </c>
      <c r="C211" s="32" t="s">
        <v>30</v>
      </c>
      <c r="D211" s="1">
        <v>5000</v>
      </c>
      <c r="E211" s="1"/>
      <c r="F211" s="1">
        <v>50.7</v>
      </c>
      <c r="G211" s="1">
        <v>5000</v>
      </c>
      <c r="H211" s="5">
        <f t="shared" si="3"/>
        <v>0</v>
      </c>
      <c r="I211" s="1"/>
      <c r="J211" s="1"/>
    </row>
    <row r="212" spans="1:10" x14ac:dyDescent="0.2">
      <c r="A212" s="1"/>
      <c r="B212" s="1" t="s">
        <v>413</v>
      </c>
      <c r="C212" s="32">
        <v>2339</v>
      </c>
      <c r="D212" s="1">
        <v>20000</v>
      </c>
      <c r="E212" s="1"/>
      <c r="F212" s="1">
        <v>222</v>
      </c>
      <c r="G212" s="1">
        <v>20000</v>
      </c>
      <c r="H212" s="5">
        <f t="shared" si="3"/>
        <v>0</v>
      </c>
      <c r="I212" s="1"/>
      <c r="J212" s="1"/>
    </row>
    <row r="213" spans="1:10" x14ac:dyDescent="0.2">
      <c r="A213" s="1"/>
      <c r="B213" s="1" t="s">
        <v>413</v>
      </c>
      <c r="C213" s="32">
        <v>4089</v>
      </c>
      <c r="D213" s="1">
        <v>25000</v>
      </c>
      <c r="E213" s="1"/>
      <c r="F213" s="1">
        <v>278.22000000000003</v>
      </c>
      <c r="G213" s="1">
        <v>25000</v>
      </c>
      <c r="H213" s="5">
        <f t="shared" si="3"/>
        <v>0</v>
      </c>
      <c r="I213" s="1"/>
      <c r="J213" s="1"/>
    </row>
    <row r="214" spans="1:10" x14ac:dyDescent="0.2">
      <c r="A214" s="1"/>
      <c r="B214" s="1" t="s">
        <v>413</v>
      </c>
      <c r="C214" s="32">
        <v>8046</v>
      </c>
      <c r="D214" s="1">
        <v>25000</v>
      </c>
      <c r="E214" s="1"/>
      <c r="F214" s="1">
        <v>278.22000000000003</v>
      </c>
      <c r="G214" s="1">
        <v>25000</v>
      </c>
      <c r="H214" s="5">
        <f t="shared" si="3"/>
        <v>0</v>
      </c>
      <c r="I214" s="1"/>
      <c r="J214" s="1"/>
    </row>
    <row r="215" spans="1:10" x14ac:dyDescent="0.2">
      <c r="A215" s="1"/>
      <c r="B215" s="1" t="s">
        <v>413</v>
      </c>
      <c r="C215" s="32">
        <v>5485</v>
      </c>
      <c r="D215" s="1">
        <v>25000</v>
      </c>
      <c r="E215" s="1"/>
      <c r="F215" s="1">
        <v>278.22000000000003</v>
      </c>
      <c r="G215" s="1">
        <v>25000</v>
      </c>
      <c r="H215" s="5">
        <f t="shared" si="3"/>
        <v>0</v>
      </c>
      <c r="I215" s="1"/>
      <c r="J215" s="1"/>
    </row>
    <row r="216" spans="1:10" x14ac:dyDescent="0.2">
      <c r="A216" s="1"/>
      <c r="B216" s="1" t="s">
        <v>413</v>
      </c>
      <c r="C216" s="32">
        <v>2943</v>
      </c>
      <c r="D216" s="1">
        <v>33000</v>
      </c>
      <c r="E216" s="1"/>
      <c r="F216" s="1">
        <v>349</v>
      </c>
      <c r="G216" s="1">
        <v>33000</v>
      </c>
      <c r="H216" s="5">
        <f t="shared" si="3"/>
        <v>0</v>
      </c>
      <c r="I216" s="1"/>
      <c r="J216" s="1"/>
    </row>
    <row r="217" spans="1:10" x14ac:dyDescent="0.2">
      <c r="A217" s="1"/>
      <c r="B217" s="1" t="s">
        <v>413</v>
      </c>
      <c r="C217" s="32">
        <v>8193</v>
      </c>
      <c r="D217" s="1">
        <v>25000</v>
      </c>
      <c r="E217" s="1"/>
      <c r="F217" s="1">
        <v>278.22000000000003</v>
      </c>
      <c r="G217" s="1">
        <v>25000</v>
      </c>
      <c r="H217" s="5">
        <f t="shared" si="3"/>
        <v>0</v>
      </c>
      <c r="I217" s="1"/>
      <c r="J217" s="1"/>
    </row>
    <row r="218" spans="1:10" x14ac:dyDescent="0.2">
      <c r="A218" s="1"/>
      <c r="B218" s="1" t="s">
        <v>413</v>
      </c>
      <c r="C218" s="32">
        <v>7211</v>
      </c>
      <c r="D218" s="1">
        <v>8000</v>
      </c>
      <c r="E218" s="1"/>
      <c r="F218" s="1">
        <v>89.13</v>
      </c>
      <c r="G218" s="1">
        <v>8000</v>
      </c>
      <c r="H218" s="5">
        <f t="shared" si="3"/>
        <v>0</v>
      </c>
      <c r="I218" s="1"/>
      <c r="J218" s="1"/>
    </row>
    <row r="219" spans="1:10" x14ac:dyDescent="0.2">
      <c r="A219" s="1"/>
      <c r="B219" s="1" t="s">
        <v>414</v>
      </c>
      <c r="C219" s="32">
        <v>2167</v>
      </c>
      <c r="D219" s="1">
        <v>14000</v>
      </c>
      <c r="E219" s="1"/>
      <c r="F219" s="1">
        <v>155</v>
      </c>
      <c r="G219" s="1">
        <v>14000</v>
      </c>
      <c r="H219" s="5">
        <f t="shared" si="3"/>
        <v>0</v>
      </c>
      <c r="I219" s="1"/>
      <c r="J219" s="1"/>
    </row>
    <row r="220" spans="1:10" x14ac:dyDescent="0.2">
      <c r="A220" s="1"/>
      <c r="B220" s="1" t="s">
        <v>414</v>
      </c>
      <c r="C220" s="32">
        <v>2673</v>
      </c>
      <c r="D220" s="1">
        <v>20000</v>
      </c>
      <c r="E220" s="1"/>
      <c r="F220" s="1">
        <v>222.2</v>
      </c>
      <c r="G220" s="1">
        <v>20000</v>
      </c>
      <c r="H220" s="5">
        <f t="shared" si="3"/>
        <v>0</v>
      </c>
      <c r="I220" s="1"/>
      <c r="J220" s="1"/>
    </row>
    <row r="221" spans="1:10" x14ac:dyDescent="0.2">
      <c r="A221" s="1"/>
      <c r="B221" s="1" t="s">
        <v>414</v>
      </c>
      <c r="C221" s="32" t="s">
        <v>63</v>
      </c>
      <c r="D221" s="1">
        <v>3500</v>
      </c>
      <c r="E221" s="1"/>
      <c r="F221" s="1">
        <v>38.99</v>
      </c>
      <c r="G221" s="1">
        <v>3500</v>
      </c>
      <c r="H221" s="5">
        <f t="shared" si="3"/>
        <v>0</v>
      </c>
      <c r="I221" s="1"/>
      <c r="J221" s="1"/>
    </row>
    <row r="222" spans="1:10" x14ac:dyDescent="0.2">
      <c r="A222" s="1"/>
      <c r="B222" s="1" t="s">
        <v>414</v>
      </c>
      <c r="C222" s="32">
        <v>9251</v>
      </c>
      <c r="D222" s="1">
        <v>25000</v>
      </c>
      <c r="E222" s="1"/>
      <c r="F222" s="1">
        <v>278.22000000000003</v>
      </c>
      <c r="G222" s="1">
        <v>25000</v>
      </c>
      <c r="H222" s="5">
        <f t="shared" si="3"/>
        <v>0</v>
      </c>
      <c r="I222" s="1"/>
      <c r="J222" s="1"/>
    </row>
    <row r="223" spans="1:10" x14ac:dyDescent="0.2">
      <c r="A223" s="1"/>
      <c r="B223" s="1" t="s">
        <v>414</v>
      </c>
      <c r="C223" s="32">
        <v>1.6299999999999999E-2</v>
      </c>
      <c r="D223" s="1">
        <v>10000</v>
      </c>
      <c r="E223" s="1"/>
      <c r="F223" s="1">
        <v>111</v>
      </c>
      <c r="G223" s="1">
        <v>10000</v>
      </c>
      <c r="H223" s="5">
        <f t="shared" si="3"/>
        <v>0</v>
      </c>
      <c r="I223" s="1"/>
      <c r="J223" s="1"/>
    </row>
    <row r="224" spans="1:10" x14ac:dyDescent="0.2">
      <c r="A224" s="1"/>
      <c r="B224" s="1" t="s">
        <v>414</v>
      </c>
      <c r="C224" s="32">
        <v>5088</v>
      </c>
      <c r="D224" s="1">
        <v>25000</v>
      </c>
      <c r="E224" s="1"/>
      <c r="F224" s="1">
        <v>278.22000000000003</v>
      </c>
      <c r="G224" s="1">
        <v>25000</v>
      </c>
      <c r="H224" s="5">
        <f t="shared" si="3"/>
        <v>0</v>
      </c>
      <c r="I224" s="1"/>
      <c r="J224" s="1"/>
    </row>
    <row r="225" spans="1:10" x14ac:dyDescent="0.2">
      <c r="A225" s="1"/>
      <c r="B225" s="1" t="s">
        <v>414</v>
      </c>
      <c r="C225" s="32">
        <v>5035</v>
      </c>
      <c r="D225" s="1">
        <v>25000</v>
      </c>
      <c r="E225" s="1"/>
      <c r="F225" s="1">
        <v>278.22000000000003</v>
      </c>
      <c r="G225" s="1">
        <v>25000</v>
      </c>
      <c r="H225" s="5">
        <f t="shared" si="3"/>
        <v>0</v>
      </c>
      <c r="I225" s="1"/>
      <c r="J225" s="1"/>
    </row>
    <row r="226" spans="1:10" x14ac:dyDescent="0.2">
      <c r="A226" s="1"/>
      <c r="B226" s="1" t="s">
        <v>414</v>
      </c>
      <c r="C226" s="32">
        <v>1234</v>
      </c>
      <c r="D226" s="1">
        <v>30000</v>
      </c>
      <c r="E226" s="1"/>
      <c r="F226" s="1">
        <v>334</v>
      </c>
      <c r="G226" s="1">
        <v>30000</v>
      </c>
      <c r="H226" s="5">
        <f t="shared" si="3"/>
        <v>0</v>
      </c>
      <c r="I226" s="1"/>
      <c r="J226" s="1"/>
    </row>
    <row r="227" spans="1:10" x14ac:dyDescent="0.2">
      <c r="A227" s="1"/>
      <c r="B227" s="1" t="s">
        <v>414</v>
      </c>
      <c r="C227" s="32">
        <v>3955</v>
      </c>
      <c r="D227" s="1">
        <v>30000</v>
      </c>
      <c r="E227" s="1"/>
      <c r="F227" s="1">
        <v>334</v>
      </c>
      <c r="G227" s="1">
        <v>30000</v>
      </c>
      <c r="H227" s="5">
        <f t="shared" si="3"/>
        <v>0</v>
      </c>
      <c r="I227" s="1"/>
      <c r="J227" s="1"/>
    </row>
    <row r="228" spans="1:10" x14ac:dyDescent="0.2">
      <c r="A228" s="1"/>
      <c r="B228" s="1" t="s">
        <v>415</v>
      </c>
      <c r="C228" s="32" t="s">
        <v>30</v>
      </c>
      <c r="D228" s="1">
        <v>4500</v>
      </c>
      <c r="E228" s="1"/>
      <c r="F228" s="1">
        <v>50.13</v>
      </c>
      <c r="G228" s="1">
        <v>4500</v>
      </c>
      <c r="H228" s="5">
        <f t="shared" si="3"/>
        <v>0</v>
      </c>
      <c r="I228" s="1"/>
      <c r="J228" s="1"/>
    </row>
    <row r="229" spans="1:10" x14ac:dyDescent="0.2">
      <c r="A229" s="1"/>
      <c r="B229" s="1" t="s">
        <v>415</v>
      </c>
      <c r="C229" s="32" t="s">
        <v>30</v>
      </c>
      <c r="D229" s="1">
        <v>5000</v>
      </c>
      <c r="E229" s="1"/>
      <c r="F229" s="1">
        <v>55.12</v>
      </c>
      <c r="G229" s="1">
        <v>5000</v>
      </c>
      <c r="H229" s="5">
        <f t="shared" si="3"/>
        <v>0</v>
      </c>
      <c r="I229" s="1"/>
      <c r="J229" s="1"/>
    </row>
    <row r="230" spans="1:10" x14ac:dyDescent="0.2">
      <c r="A230" s="1"/>
      <c r="B230" s="1" t="s">
        <v>415</v>
      </c>
      <c r="C230" s="32">
        <v>3356</v>
      </c>
      <c r="D230" s="1">
        <v>22000</v>
      </c>
      <c r="E230" s="1"/>
      <c r="F230" s="1">
        <v>241.1</v>
      </c>
      <c r="G230" s="1">
        <v>22000</v>
      </c>
      <c r="H230" s="5">
        <f t="shared" si="3"/>
        <v>0</v>
      </c>
      <c r="I230" s="1"/>
      <c r="J230" s="1"/>
    </row>
    <row r="231" spans="1:10" x14ac:dyDescent="0.2">
      <c r="A231" s="1"/>
      <c r="B231" s="1" t="s">
        <v>415</v>
      </c>
      <c r="C231" s="32">
        <v>5252</v>
      </c>
      <c r="D231" s="1">
        <v>16000</v>
      </c>
      <c r="E231" s="1"/>
      <c r="F231" s="1">
        <v>178.22</v>
      </c>
      <c r="G231" s="1">
        <v>16000</v>
      </c>
      <c r="H231" s="5">
        <f t="shared" si="3"/>
        <v>0</v>
      </c>
      <c r="I231" s="1"/>
      <c r="J231" s="1"/>
    </row>
    <row r="232" spans="1:10" x14ac:dyDescent="0.2">
      <c r="A232" s="1"/>
      <c r="B232" s="1" t="s">
        <v>415</v>
      </c>
      <c r="C232" s="32">
        <v>5151</v>
      </c>
      <c r="D232" s="1">
        <v>16000</v>
      </c>
      <c r="E232" s="1"/>
      <c r="F232" s="1">
        <v>178.22</v>
      </c>
      <c r="G232" s="1">
        <v>16000</v>
      </c>
      <c r="H232" s="5">
        <f t="shared" si="3"/>
        <v>0</v>
      </c>
      <c r="I232" s="1"/>
      <c r="J232" s="1"/>
    </row>
    <row r="233" spans="1:10" x14ac:dyDescent="0.2">
      <c r="A233" s="1"/>
      <c r="B233" s="1" t="s">
        <v>415</v>
      </c>
      <c r="C233" s="32">
        <v>5943</v>
      </c>
      <c r="D233" s="1">
        <v>31000</v>
      </c>
      <c r="E233" s="1"/>
      <c r="F233" s="1">
        <v>345.37</v>
      </c>
      <c r="G233" s="1">
        <v>31000</v>
      </c>
      <c r="H233" s="5">
        <f t="shared" si="3"/>
        <v>0</v>
      </c>
      <c r="I233" s="1"/>
      <c r="J233" s="1"/>
    </row>
    <row r="234" spans="1:10" x14ac:dyDescent="0.2">
      <c r="A234" s="1"/>
      <c r="B234" s="1" t="s">
        <v>415</v>
      </c>
      <c r="C234" s="32">
        <v>6.8999999999999999E-3</v>
      </c>
      <c r="D234" s="1">
        <v>31000</v>
      </c>
      <c r="E234" s="1"/>
      <c r="F234" s="1">
        <v>345.37</v>
      </c>
      <c r="G234" s="1">
        <v>31000</v>
      </c>
      <c r="H234" s="5">
        <f t="shared" si="3"/>
        <v>0</v>
      </c>
      <c r="I234" s="1"/>
      <c r="J234" s="1"/>
    </row>
    <row r="235" spans="1:10" x14ac:dyDescent="0.2">
      <c r="A235" s="1"/>
      <c r="B235" s="1" t="s">
        <v>415</v>
      </c>
      <c r="C235" s="32">
        <v>1.21E-2</v>
      </c>
      <c r="D235" s="1">
        <v>30000</v>
      </c>
      <c r="E235" s="1"/>
      <c r="F235" s="1">
        <v>334.22</v>
      </c>
      <c r="G235" s="1">
        <v>30000</v>
      </c>
      <c r="H235" s="5">
        <f t="shared" si="3"/>
        <v>0</v>
      </c>
      <c r="I235" s="1"/>
      <c r="J235" s="1"/>
    </row>
    <row r="236" spans="1:10" x14ac:dyDescent="0.2">
      <c r="A236" s="1"/>
      <c r="B236" s="1" t="s">
        <v>415</v>
      </c>
      <c r="C236" s="32">
        <v>5687</v>
      </c>
      <c r="D236" s="1">
        <v>20000</v>
      </c>
      <c r="E236" s="1"/>
      <c r="F236" s="1">
        <v>222.17</v>
      </c>
      <c r="G236" s="1">
        <v>20000</v>
      </c>
      <c r="H236" s="5">
        <f t="shared" si="3"/>
        <v>0</v>
      </c>
      <c r="I236" s="1"/>
      <c r="J236" s="1"/>
    </row>
    <row r="237" spans="1:10" x14ac:dyDescent="0.2">
      <c r="A237" s="1"/>
      <c r="B237" s="1" t="s">
        <v>415</v>
      </c>
      <c r="C237" s="32">
        <v>9971</v>
      </c>
      <c r="D237" s="1">
        <v>34000</v>
      </c>
      <c r="E237" s="1"/>
      <c r="F237" s="1">
        <v>372.22</v>
      </c>
      <c r="G237" s="1">
        <v>34000</v>
      </c>
      <c r="H237" s="5">
        <f t="shared" si="3"/>
        <v>0</v>
      </c>
      <c r="I237" s="1"/>
      <c r="J237" s="1"/>
    </row>
    <row r="238" spans="1:10" x14ac:dyDescent="0.2">
      <c r="A238" s="1"/>
      <c r="B238" s="1" t="s">
        <v>415</v>
      </c>
      <c r="C238" s="32">
        <v>8481</v>
      </c>
      <c r="D238" s="1">
        <v>12500</v>
      </c>
      <c r="E238" s="1"/>
      <c r="F238" s="1">
        <v>139.26</v>
      </c>
      <c r="G238" s="1">
        <v>12500</v>
      </c>
      <c r="H238" s="5">
        <f t="shared" si="3"/>
        <v>0</v>
      </c>
      <c r="I238" s="1"/>
      <c r="J238" s="1"/>
    </row>
    <row r="239" spans="1:10" x14ac:dyDescent="0.2">
      <c r="A239" s="1"/>
      <c r="B239" s="1" t="s">
        <v>415</v>
      </c>
      <c r="C239" s="32">
        <v>9865</v>
      </c>
      <c r="D239" s="1">
        <v>10000</v>
      </c>
      <c r="E239" s="1"/>
      <c r="F239" s="1">
        <v>111.41</v>
      </c>
      <c r="G239" s="1">
        <v>10000</v>
      </c>
      <c r="H239" s="5">
        <f t="shared" si="3"/>
        <v>0</v>
      </c>
      <c r="I239" s="1"/>
      <c r="J239" s="1"/>
    </row>
    <row r="240" spans="1:10" x14ac:dyDescent="0.2">
      <c r="A240" s="1"/>
      <c r="B240" s="1" t="s">
        <v>418</v>
      </c>
      <c r="C240" s="32">
        <v>7071</v>
      </c>
      <c r="D240" s="1">
        <v>14000</v>
      </c>
      <c r="E240" s="1"/>
      <c r="F240" s="1">
        <v>155</v>
      </c>
      <c r="G240" s="1">
        <v>14000</v>
      </c>
      <c r="H240" s="5">
        <f t="shared" si="3"/>
        <v>0</v>
      </c>
      <c r="I240" s="1"/>
      <c r="J240" s="1"/>
    </row>
    <row r="241" spans="1:11" x14ac:dyDescent="0.2">
      <c r="A241" s="1"/>
      <c r="B241" s="1" t="s">
        <v>418</v>
      </c>
      <c r="C241" s="32">
        <v>3197</v>
      </c>
      <c r="D241" s="1">
        <v>15000</v>
      </c>
      <c r="E241" s="1"/>
      <c r="F241" s="1">
        <v>167</v>
      </c>
      <c r="G241" s="1">
        <v>15000</v>
      </c>
      <c r="H241" s="5">
        <f t="shared" si="3"/>
        <v>0</v>
      </c>
      <c r="I241" s="1"/>
      <c r="J241" s="1"/>
    </row>
    <row r="242" spans="1:11" x14ac:dyDescent="0.2">
      <c r="A242" s="1"/>
      <c r="B242" s="1" t="s">
        <v>418</v>
      </c>
      <c r="C242" s="32">
        <v>6214</v>
      </c>
      <c r="D242" s="1">
        <v>16000</v>
      </c>
      <c r="E242" s="1"/>
      <c r="F242" s="1">
        <v>178.22</v>
      </c>
      <c r="G242" s="1">
        <v>16000</v>
      </c>
      <c r="H242" s="5">
        <f t="shared" si="3"/>
        <v>0</v>
      </c>
      <c r="I242" s="1"/>
      <c r="J242" s="1"/>
    </row>
    <row r="243" spans="1:11" x14ac:dyDescent="0.2">
      <c r="A243" s="1"/>
      <c r="B243" s="1" t="s">
        <v>418</v>
      </c>
      <c r="C243" s="32">
        <v>3558</v>
      </c>
      <c r="D243" s="1">
        <v>30000</v>
      </c>
      <c r="E243" s="1"/>
      <c r="F243" s="1">
        <v>334</v>
      </c>
      <c r="G243" s="1">
        <v>30000</v>
      </c>
      <c r="H243" s="5">
        <f t="shared" si="3"/>
        <v>0</v>
      </c>
      <c r="I243" s="1"/>
      <c r="J243" s="1"/>
    </row>
    <row r="244" spans="1:11" x14ac:dyDescent="0.2">
      <c r="A244" s="1"/>
      <c r="B244" s="1" t="s">
        <v>418</v>
      </c>
      <c r="C244" s="32" t="s">
        <v>66</v>
      </c>
      <c r="D244" s="1">
        <v>210</v>
      </c>
      <c r="E244" s="1"/>
      <c r="F244" s="1">
        <v>2.06</v>
      </c>
      <c r="G244" s="1">
        <v>210</v>
      </c>
      <c r="H244" s="5">
        <f t="shared" si="3"/>
        <v>0</v>
      </c>
      <c r="I244" s="1"/>
      <c r="J244" s="1"/>
    </row>
    <row r="245" spans="1:11" x14ac:dyDescent="0.2">
      <c r="A245" s="1"/>
      <c r="B245" s="1" t="s">
        <v>418</v>
      </c>
      <c r="C245" s="32">
        <v>4608</v>
      </c>
      <c r="D245" s="1">
        <v>14000</v>
      </c>
      <c r="E245" s="1"/>
      <c r="F245" s="1">
        <v>153</v>
      </c>
      <c r="G245" s="1">
        <v>14000</v>
      </c>
      <c r="H245" s="5">
        <f t="shared" si="3"/>
        <v>0</v>
      </c>
      <c r="I245" s="1"/>
      <c r="J245" s="1"/>
    </row>
    <row r="246" spans="1:11" x14ac:dyDescent="0.2">
      <c r="A246" s="1"/>
      <c r="B246" s="1" t="s">
        <v>418</v>
      </c>
      <c r="C246" s="32">
        <v>2977</v>
      </c>
      <c r="D246" s="1">
        <v>25000</v>
      </c>
      <c r="E246" s="1"/>
      <c r="F246" s="1">
        <v>278.22000000000003</v>
      </c>
      <c r="G246" s="1">
        <v>25000</v>
      </c>
      <c r="H246" s="5">
        <f t="shared" si="3"/>
        <v>0</v>
      </c>
      <c r="I246" s="1"/>
      <c r="J246" s="1"/>
    </row>
    <row r="247" spans="1:11" x14ac:dyDescent="0.2">
      <c r="A247" s="1"/>
      <c r="B247" s="1" t="s">
        <v>418</v>
      </c>
      <c r="C247" s="32">
        <v>3.6600000000000001E-2</v>
      </c>
      <c r="D247" s="1">
        <v>25000</v>
      </c>
      <c r="E247" s="1"/>
      <c r="F247" s="1">
        <v>278.22000000000003</v>
      </c>
      <c r="G247" s="1">
        <v>25000</v>
      </c>
      <c r="H247" s="5">
        <f t="shared" si="3"/>
        <v>0</v>
      </c>
      <c r="I247" s="1"/>
      <c r="J247" s="1"/>
      <c r="K247">
        <f>1063188-1028600</f>
        <v>34588</v>
      </c>
    </row>
    <row r="248" spans="1:11" ht="15" x14ac:dyDescent="0.25">
      <c r="A248" s="1"/>
      <c r="B248" s="1"/>
      <c r="C248" s="20" t="s">
        <v>9</v>
      </c>
      <c r="D248" s="21">
        <f>SUM(D5:D247)</f>
        <v>5483600</v>
      </c>
      <c r="E248" s="22"/>
      <c r="F248" s="23">
        <f>SUM(F6:F247)</f>
        <v>43844.730000000054</v>
      </c>
      <c r="G248" s="21">
        <f>SUM(G5:G247)</f>
        <v>5483600</v>
      </c>
      <c r="H248" s="22"/>
      <c r="I248" s="24">
        <f>SUM(I6:I138)</f>
        <v>4455000</v>
      </c>
      <c r="J248" s="1"/>
    </row>
    <row r="249" spans="1:11" ht="15" x14ac:dyDescent="0.25">
      <c r="A249" s="1"/>
      <c r="B249" s="1"/>
      <c r="C249" s="20" t="s">
        <v>10</v>
      </c>
      <c r="D249" s="25">
        <f>SUM(D248-I248)</f>
        <v>1028600</v>
      </c>
      <c r="E249" s="22"/>
      <c r="F249" s="22"/>
      <c r="G249" s="26" t="s">
        <v>10</v>
      </c>
      <c r="H249" s="25">
        <f>SUM(G248-I248)</f>
        <v>1028600</v>
      </c>
      <c r="I249" s="25"/>
      <c r="J249" s="1"/>
    </row>
    <row r="250" spans="1:11" ht="15" thickBot="1" x14ac:dyDescent="0.25"/>
    <row r="251" spans="1:11" ht="15" x14ac:dyDescent="0.25">
      <c r="C251" s="199"/>
      <c r="D251" s="197" t="s">
        <v>420</v>
      </c>
      <c r="E251" s="179"/>
      <c r="F251" s="179"/>
      <c r="G251" s="179"/>
      <c r="H251" s="75"/>
      <c r="I251" s="76"/>
    </row>
    <row r="252" spans="1:11" ht="15.75" thickBot="1" x14ac:dyDescent="0.3">
      <c r="C252" s="200" t="s">
        <v>423</v>
      </c>
      <c r="D252" s="198"/>
      <c r="E252" s="181"/>
      <c r="F252" s="181" t="s">
        <v>186</v>
      </c>
      <c r="G252" s="181"/>
      <c r="H252" s="183"/>
      <c r="I252" s="184"/>
    </row>
    <row r="253" spans="1:11" ht="15" x14ac:dyDescent="0.25">
      <c r="C253" s="91" t="s">
        <v>184</v>
      </c>
      <c r="D253" s="90">
        <v>5483600</v>
      </c>
      <c r="E253" s="90"/>
      <c r="F253" s="90" t="s">
        <v>187</v>
      </c>
      <c r="G253" s="90">
        <v>5488179</v>
      </c>
      <c r="H253" s="90" t="s">
        <v>364</v>
      </c>
      <c r="I253" s="187">
        <f>5483600-5488179</f>
        <v>-4579</v>
      </c>
    </row>
    <row r="254" spans="1:11" ht="15" x14ac:dyDescent="0.25">
      <c r="C254" s="93" t="s">
        <v>143</v>
      </c>
      <c r="D254" s="42">
        <v>4455000</v>
      </c>
      <c r="E254" s="42"/>
      <c r="F254" s="42" t="s">
        <v>191</v>
      </c>
      <c r="G254" s="42">
        <v>4424990</v>
      </c>
      <c r="H254" s="42" t="s">
        <v>365</v>
      </c>
      <c r="I254" s="188">
        <f>4455000-4424990</f>
        <v>30010</v>
      </c>
    </row>
    <row r="255" spans="1:11" ht="18.75" x14ac:dyDescent="0.3">
      <c r="C255" s="189" t="s">
        <v>95</v>
      </c>
      <c r="D255" s="89">
        <f>5483600-4455000</f>
        <v>1028600</v>
      </c>
      <c r="E255" s="89"/>
      <c r="F255" s="89" t="s">
        <v>95</v>
      </c>
      <c r="G255" s="89">
        <f>5488179-4424990</f>
        <v>1063189</v>
      </c>
      <c r="H255" s="89" t="s">
        <v>390</v>
      </c>
      <c r="I255" s="201">
        <f>1063189-1028600</f>
        <v>34589</v>
      </c>
    </row>
    <row r="256" spans="1:11" ht="19.5" thickBot="1" x14ac:dyDescent="0.35">
      <c r="C256" s="202"/>
      <c r="D256" s="203"/>
      <c r="E256" s="203"/>
      <c r="F256" s="204"/>
      <c r="G256" s="204"/>
      <c r="H256" s="204" t="s">
        <v>421</v>
      </c>
      <c r="I256" s="205">
        <v>33000</v>
      </c>
    </row>
    <row r="257" spans="3:9" ht="18.75" thickBot="1" x14ac:dyDescent="0.3">
      <c r="C257" s="206"/>
      <c r="D257" s="207"/>
      <c r="E257" s="207"/>
      <c r="F257" s="208" t="s">
        <v>192</v>
      </c>
      <c r="G257" s="208"/>
      <c r="H257" s="208"/>
      <c r="I257" s="209">
        <f>34589-33000</f>
        <v>1589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33"/>
  <sheetViews>
    <sheetView topLeftCell="A10" workbookViewId="0">
      <selection activeCell="C753" sqref="C753"/>
    </sheetView>
  </sheetViews>
  <sheetFormatPr defaultRowHeight="14.25" x14ac:dyDescent="0.2"/>
  <cols>
    <col min="1" max="1" width="5.875" customWidth="1"/>
    <col min="3" max="3" width="15.75" customWidth="1"/>
    <col min="4" max="4" width="14.875" customWidth="1"/>
    <col min="6" max="6" width="10.875" customWidth="1"/>
    <col min="7" max="7" width="13.25" customWidth="1"/>
    <col min="8" max="8" width="13" bestFit="1" customWidth="1"/>
    <col min="9" max="9" width="12.375" customWidth="1"/>
    <col min="10" max="10" width="9.375" customWidth="1"/>
  </cols>
  <sheetData>
    <row r="2" spans="1:11" ht="21" x14ac:dyDescent="0.35">
      <c r="A2" s="1"/>
      <c r="B2" s="1"/>
      <c r="C2" s="1"/>
      <c r="D2" s="212" t="s">
        <v>331</v>
      </c>
      <c r="E2" s="212"/>
      <c r="F2" s="212"/>
      <c r="G2" s="212"/>
      <c r="H2" s="1"/>
      <c r="I2" s="1"/>
      <c r="J2" s="1"/>
    </row>
    <row r="3" spans="1:11" ht="18" x14ac:dyDescent="0.25">
      <c r="A3" s="1"/>
      <c r="B3" s="1"/>
      <c r="C3" s="1"/>
      <c r="D3" s="61"/>
      <c r="E3" s="161">
        <v>44927</v>
      </c>
      <c r="H3" s="1"/>
      <c r="I3" s="1"/>
      <c r="J3" s="1"/>
    </row>
    <row r="4" spans="1:11" ht="1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107" t="s">
        <v>8</v>
      </c>
      <c r="J4" s="107" t="s">
        <v>2</v>
      </c>
    </row>
    <row r="5" spans="1:11" ht="15.75" x14ac:dyDescent="0.25">
      <c r="A5" s="32"/>
      <c r="B5" s="108" t="s">
        <v>418</v>
      </c>
      <c r="C5" s="162" t="s">
        <v>374</v>
      </c>
      <c r="D5" s="210">
        <v>1028600</v>
      </c>
      <c r="E5" s="162"/>
      <c r="F5" s="162"/>
      <c r="G5" s="210">
        <v>1028600</v>
      </c>
      <c r="H5" s="30"/>
      <c r="I5" s="107"/>
      <c r="J5" s="107"/>
    </row>
    <row r="6" spans="1:11" s="316" customFormat="1" ht="15" x14ac:dyDescent="0.25">
      <c r="A6" s="33" t="s">
        <v>494</v>
      </c>
      <c r="B6" s="33"/>
      <c r="C6" s="109"/>
      <c r="D6" s="33">
        <v>14619</v>
      </c>
      <c r="E6" s="110"/>
      <c r="F6" s="33"/>
      <c r="G6" s="33">
        <v>14619</v>
      </c>
      <c r="H6" s="30"/>
      <c r="I6" s="107"/>
      <c r="J6" s="107"/>
    </row>
    <row r="7" spans="1:11" ht="15" x14ac:dyDescent="0.25">
      <c r="A7" s="32">
        <v>1</v>
      </c>
      <c r="B7" s="1" t="s">
        <v>419</v>
      </c>
      <c r="C7" s="32">
        <v>5958</v>
      </c>
      <c r="D7" s="1">
        <v>15000</v>
      </c>
      <c r="E7" s="1"/>
      <c r="F7" s="1">
        <v>167.11</v>
      </c>
      <c r="G7" s="1">
        <v>15000</v>
      </c>
      <c r="H7" s="5">
        <f t="shared" ref="H7:H38" si="0">D7-G7</f>
        <v>0</v>
      </c>
      <c r="I7" s="30">
        <v>200000</v>
      </c>
      <c r="J7" s="30" t="s">
        <v>422</v>
      </c>
      <c r="K7" s="51" t="s">
        <v>438</v>
      </c>
    </row>
    <row r="8" spans="1:11" ht="15" x14ac:dyDescent="0.25">
      <c r="A8" s="32">
        <v>2</v>
      </c>
      <c r="B8" s="1" t="s">
        <v>419</v>
      </c>
      <c r="C8" s="32">
        <v>2973</v>
      </c>
      <c r="D8" s="1">
        <v>15000</v>
      </c>
      <c r="E8" s="1"/>
      <c r="F8" s="1">
        <v>167.11</v>
      </c>
      <c r="G8" s="1">
        <v>15000</v>
      </c>
      <c r="H8" s="5">
        <f t="shared" si="0"/>
        <v>0</v>
      </c>
      <c r="I8" s="30">
        <v>300000</v>
      </c>
      <c r="J8" s="30" t="s">
        <v>424</v>
      </c>
      <c r="K8" s="51" t="s">
        <v>438</v>
      </c>
    </row>
    <row r="9" spans="1:11" ht="15" x14ac:dyDescent="0.25">
      <c r="A9" s="32">
        <v>3</v>
      </c>
      <c r="B9" s="1" t="s">
        <v>419</v>
      </c>
      <c r="C9" s="32">
        <v>2673</v>
      </c>
      <c r="D9" s="1">
        <v>15000</v>
      </c>
      <c r="E9" s="1"/>
      <c r="F9" s="1">
        <v>167.11</v>
      </c>
      <c r="G9" s="1">
        <v>15000</v>
      </c>
      <c r="H9" s="5">
        <f t="shared" si="0"/>
        <v>0</v>
      </c>
      <c r="I9" s="30">
        <v>400000</v>
      </c>
      <c r="J9" s="30" t="s">
        <v>426</v>
      </c>
      <c r="K9" s="51" t="s">
        <v>438</v>
      </c>
    </row>
    <row r="10" spans="1:11" ht="15" x14ac:dyDescent="0.25">
      <c r="A10" s="32">
        <v>4</v>
      </c>
      <c r="B10" s="1" t="s">
        <v>419</v>
      </c>
      <c r="C10" s="32" t="s">
        <v>30</v>
      </c>
      <c r="D10" s="1">
        <v>5000</v>
      </c>
      <c r="E10" s="1"/>
      <c r="F10" s="1">
        <v>55.12</v>
      </c>
      <c r="G10" s="1">
        <v>5000</v>
      </c>
      <c r="H10" s="5">
        <f t="shared" si="0"/>
        <v>0</v>
      </c>
      <c r="I10" s="30">
        <v>500000</v>
      </c>
      <c r="J10" s="30" t="s">
        <v>428</v>
      </c>
      <c r="K10" s="51" t="s">
        <v>438</v>
      </c>
    </row>
    <row r="11" spans="1:11" ht="15" x14ac:dyDescent="0.25">
      <c r="A11" s="32">
        <v>5</v>
      </c>
      <c r="B11" s="1" t="s">
        <v>419</v>
      </c>
      <c r="C11" s="32">
        <v>5.1999999999999998E-3</v>
      </c>
      <c r="D11" s="1">
        <v>16000</v>
      </c>
      <c r="E11" s="1"/>
      <c r="F11" s="1">
        <v>178.25</v>
      </c>
      <c r="G11" s="1">
        <v>16000</v>
      </c>
      <c r="H11" s="5">
        <f t="shared" si="0"/>
        <v>0</v>
      </c>
      <c r="I11" s="30">
        <v>300000</v>
      </c>
      <c r="J11" s="30" t="s">
        <v>431</v>
      </c>
      <c r="K11" s="51" t="s">
        <v>438</v>
      </c>
    </row>
    <row r="12" spans="1:11" ht="15" x14ac:dyDescent="0.25">
      <c r="A12" s="32">
        <v>6</v>
      </c>
      <c r="B12" s="1" t="s">
        <v>419</v>
      </c>
      <c r="C12" s="32">
        <v>6193</v>
      </c>
      <c r="D12" s="1">
        <v>20000</v>
      </c>
      <c r="E12" s="1"/>
      <c r="F12" s="1">
        <v>222.81</v>
      </c>
      <c r="G12" s="1">
        <v>20000</v>
      </c>
      <c r="H12" s="5">
        <f t="shared" si="0"/>
        <v>0</v>
      </c>
      <c r="I12" s="30">
        <v>400000</v>
      </c>
      <c r="J12" s="30" t="s">
        <v>433</v>
      </c>
      <c r="K12" s="51" t="s">
        <v>438</v>
      </c>
    </row>
    <row r="13" spans="1:11" ht="15" x14ac:dyDescent="0.25">
      <c r="A13" s="32">
        <v>7</v>
      </c>
      <c r="B13" s="1" t="s">
        <v>419</v>
      </c>
      <c r="C13" s="32" t="s">
        <v>63</v>
      </c>
      <c r="D13" s="1">
        <v>3500</v>
      </c>
      <c r="E13" s="1"/>
      <c r="F13" s="1">
        <v>38.93</v>
      </c>
      <c r="G13" s="1">
        <v>3500</v>
      </c>
      <c r="H13" s="5">
        <f t="shared" si="0"/>
        <v>0</v>
      </c>
      <c r="I13" s="30">
        <v>600000</v>
      </c>
      <c r="J13" s="30" t="s">
        <v>435</v>
      </c>
      <c r="K13" s="51" t="s">
        <v>438</v>
      </c>
    </row>
    <row r="14" spans="1:11" ht="15" x14ac:dyDescent="0.25">
      <c r="A14" s="32">
        <v>8</v>
      </c>
      <c r="B14" s="1" t="s">
        <v>419</v>
      </c>
      <c r="C14" s="32">
        <v>4772</v>
      </c>
      <c r="D14" s="1">
        <v>22000</v>
      </c>
      <c r="E14" s="1"/>
      <c r="F14" s="1">
        <v>245</v>
      </c>
      <c r="G14" s="1">
        <v>22000</v>
      </c>
      <c r="H14" s="5">
        <f t="shared" si="0"/>
        <v>0</v>
      </c>
      <c r="I14" s="30">
        <v>700000</v>
      </c>
      <c r="J14" s="30" t="s">
        <v>436</v>
      </c>
      <c r="K14" s="51" t="s">
        <v>438</v>
      </c>
    </row>
    <row r="15" spans="1:11" ht="15" x14ac:dyDescent="0.25">
      <c r="A15" s="32">
        <v>9</v>
      </c>
      <c r="B15" s="1" t="s">
        <v>419</v>
      </c>
      <c r="C15" s="32">
        <v>8797</v>
      </c>
      <c r="D15" s="1">
        <v>24000</v>
      </c>
      <c r="E15" s="1"/>
      <c r="F15" s="1">
        <v>239</v>
      </c>
      <c r="G15" s="1">
        <v>24000</v>
      </c>
      <c r="H15" s="5">
        <f t="shared" si="0"/>
        <v>0</v>
      </c>
      <c r="I15" s="30">
        <v>600000</v>
      </c>
      <c r="J15" s="30" t="s">
        <v>437</v>
      </c>
      <c r="K15" s="51" t="s">
        <v>438</v>
      </c>
    </row>
    <row r="16" spans="1:11" ht="15" x14ac:dyDescent="0.25">
      <c r="A16" s="32">
        <v>10</v>
      </c>
      <c r="B16" s="1" t="s">
        <v>419</v>
      </c>
      <c r="C16" s="32">
        <v>7192</v>
      </c>
      <c r="D16" s="1">
        <v>13000</v>
      </c>
      <c r="E16" s="1"/>
      <c r="F16" s="1">
        <v>144.83000000000001</v>
      </c>
      <c r="G16" s="1">
        <v>13000</v>
      </c>
      <c r="H16" s="5">
        <f t="shared" si="0"/>
        <v>0</v>
      </c>
      <c r="I16" s="30">
        <v>400000</v>
      </c>
      <c r="J16" s="30" t="s">
        <v>439</v>
      </c>
      <c r="K16" s="51" t="s">
        <v>438</v>
      </c>
    </row>
    <row r="17" spans="1:13" ht="15" x14ac:dyDescent="0.25">
      <c r="A17" s="32">
        <v>11</v>
      </c>
      <c r="B17" s="1" t="s">
        <v>419</v>
      </c>
      <c r="C17" s="32">
        <v>5259</v>
      </c>
      <c r="D17" s="1">
        <v>13000</v>
      </c>
      <c r="E17" s="1"/>
      <c r="F17" s="1">
        <v>144.83000000000001</v>
      </c>
      <c r="G17" s="1">
        <v>13000</v>
      </c>
      <c r="H17" s="5">
        <f t="shared" si="0"/>
        <v>0</v>
      </c>
      <c r="I17" s="30">
        <v>500000</v>
      </c>
      <c r="J17" s="30" t="s">
        <v>441</v>
      </c>
      <c r="K17" s="51" t="s">
        <v>438</v>
      </c>
    </row>
    <row r="18" spans="1:13" ht="15" x14ac:dyDescent="0.25">
      <c r="A18" s="32">
        <v>12</v>
      </c>
      <c r="B18" s="1" t="s">
        <v>419</v>
      </c>
      <c r="C18" s="32">
        <v>4643</v>
      </c>
      <c r="D18" s="1">
        <v>32000</v>
      </c>
      <c r="E18" s="1"/>
      <c r="F18" s="1">
        <v>350</v>
      </c>
      <c r="G18" s="1">
        <v>32000</v>
      </c>
      <c r="H18" s="5">
        <f t="shared" si="0"/>
        <v>0</v>
      </c>
      <c r="I18" s="30">
        <v>600000</v>
      </c>
      <c r="J18" s="30" t="s">
        <v>443</v>
      </c>
      <c r="K18" s="51" t="s">
        <v>438</v>
      </c>
    </row>
    <row r="19" spans="1:13" ht="15" x14ac:dyDescent="0.25">
      <c r="A19" s="32">
        <v>13</v>
      </c>
      <c r="B19" s="1" t="s">
        <v>419</v>
      </c>
      <c r="C19" s="32">
        <v>5.8500000000000003E-2</v>
      </c>
      <c r="D19" s="1">
        <v>23000</v>
      </c>
      <c r="E19" s="1"/>
      <c r="F19" s="1">
        <v>256.22000000000003</v>
      </c>
      <c r="G19" s="1">
        <v>23000</v>
      </c>
      <c r="H19" s="5">
        <f t="shared" si="0"/>
        <v>0</v>
      </c>
      <c r="I19" s="30">
        <v>1000000</v>
      </c>
      <c r="J19" s="30" t="s">
        <v>445</v>
      </c>
      <c r="K19" s="51" t="s">
        <v>438</v>
      </c>
    </row>
    <row r="20" spans="1:13" ht="15" x14ac:dyDescent="0.25">
      <c r="A20" s="32">
        <v>14</v>
      </c>
      <c r="B20" s="1" t="s">
        <v>419</v>
      </c>
      <c r="C20" s="32">
        <v>7116</v>
      </c>
      <c r="D20" s="1">
        <v>17090</v>
      </c>
      <c r="E20" s="1"/>
      <c r="F20" s="1">
        <v>190.25</v>
      </c>
      <c r="G20" s="1">
        <v>17090</v>
      </c>
      <c r="H20" s="5">
        <f t="shared" si="0"/>
        <v>0</v>
      </c>
      <c r="I20" s="30">
        <v>800000</v>
      </c>
      <c r="J20" s="30" t="s">
        <v>447</v>
      </c>
      <c r="K20" s="84" t="s">
        <v>438</v>
      </c>
      <c r="L20" s="45"/>
    </row>
    <row r="21" spans="1:13" ht="15" x14ac:dyDescent="0.25">
      <c r="A21" s="32">
        <v>15</v>
      </c>
      <c r="B21" s="1" t="s">
        <v>419</v>
      </c>
      <c r="C21" s="32">
        <v>5485</v>
      </c>
      <c r="D21" s="1">
        <v>28000</v>
      </c>
      <c r="E21" s="1"/>
      <c r="F21" s="1">
        <v>300.8</v>
      </c>
      <c r="G21" s="1">
        <v>28000</v>
      </c>
      <c r="H21" s="5">
        <f t="shared" si="0"/>
        <v>0</v>
      </c>
      <c r="I21" s="30">
        <v>700000</v>
      </c>
      <c r="J21" s="30" t="s">
        <v>448</v>
      </c>
      <c r="K21" s="84" t="s">
        <v>438</v>
      </c>
      <c r="L21" s="45"/>
    </row>
    <row r="22" spans="1:13" ht="15" x14ac:dyDescent="0.25">
      <c r="A22" s="32">
        <v>16</v>
      </c>
      <c r="B22" s="1" t="s">
        <v>419</v>
      </c>
      <c r="C22" s="32">
        <v>4690</v>
      </c>
      <c r="D22" s="1">
        <v>31000</v>
      </c>
      <c r="E22" s="1"/>
      <c r="F22" s="1">
        <v>323</v>
      </c>
      <c r="G22" s="1">
        <v>31000</v>
      </c>
      <c r="H22" s="5">
        <f t="shared" si="0"/>
        <v>0</v>
      </c>
      <c r="I22" s="30">
        <v>400000</v>
      </c>
      <c r="J22" s="30" t="s">
        <v>449</v>
      </c>
      <c r="K22" s="84" t="s">
        <v>452</v>
      </c>
      <c r="L22" s="45"/>
    </row>
    <row r="23" spans="1:13" ht="15.75" x14ac:dyDescent="0.25">
      <c r="A23" s="32">
        <v>17</v>
      </c>
      <c r="B23" s="1" t="s">
        <v>419</v>
      </c>
      <c r="C23" s="32">
        <v>8218</v>
      </c>
      <c r="D23" s="1">
        <v>33000</v>
      </c>
      <c r="E23" s="1"/>
      <c r="F23" s="1">
        <v>367.23</v>
      </c>
      <c r="G23" s="1">
        <v>33000</v>
      </c>
      <c r="H23" s="5">
        <f t="shared" si="0"/>
        <v>0</v>
      </c>
      <c r="I23" s="217">
        <v>600000</v>
      </c>
      <c r="J23" s="217" t="s">
        <v>450</v>
      </c>
      <c r="K23" s="218" t="s">
        <v>457</v>
      </c>
      <c r="L23" s="219"/>
      <c r="M23" s="218"/>
    </row>
    <row r="24" spans="1:13" ht="15.75" x14ac:dyDescent="0.25">
      <c r="A24" s="32">
        <v>18</v>
      </c>
      <c r="B24" s="1" t="s">
        <v>422</v>
      </c>
      <c r="C24" s="32">
        <v>2.58E-2</v>
      </c>
      <c r="D24" s="1">
        <v>19000</v>
      </c>
      <c r="E24" s="1"/>
      <c r="F24" s="1">
        <v>211.67</v>
      </c>
      <c r="G24" s="1">
        <v>19000</v>
      </c>
      <c r="H24" s="5">
        <f t="shared" si="0"/>
        <v>0</v>
      </c>
      <c r="I24" s="217">
        <v>600000</v>
      </c>
      <c r="J24" s="217" t="s">
        <v>454</v>
      </c>
      <c r="K24" s="218" t="s">
        <v>457</v>
      </c>
      <c r="L24" s="219"/>
      <c r="M24" s="218"/>
    </row>
    <row r="25" spans="1:13" ht="15.75" x14ac:dyDescent="0.25">
      <c r="A25" s="32">
        <v>19</v>
      </c>
      <c r="B25" s="1" t="s">
        <v>422</v>
      </c>
      <c r="C25" s="32">
        <v>9250</v>
      </c>
      <c r="D25" s="1">
        <v>24000</v>
      </c>
      <c r="E25" s="1"/>
      <c r="F25" s="1">
        <v>267.33</v>
      </c>
      <c r="G25" s="1">
        <v>24000</v>
      </c>
      <c r="H25" s="5">
        <f t="shared" si="0"/>
        <v>0</v>
      </c>
      <c r="I25" s="217">
        <v>900000</v>
      </c>
      <c r="J25" s="217" t="s">
        <v>456</v>
      </c>
      <c r="K25" s="218" t="s">
        <v>457</v>
      </c>
      <c r="L25" s="219"/>
      <c r="M25" s="218"/>
    </row>
    <row r="26" spans="1:13" ht="15.75" x14ac:dyDescent="0.25">
      <c r="A26" s="32">
        <v>20</v>
      </c>
      <c r="B26" s="1" t="s">
        <v>422</v>
      </c>
      <c r="C26" s="32">
        <v>9998</v>
      </c>
      <c r="D26" s="1">
        <v>17000</v>
      </c>
      <c r="E26" s="1"/>
      <c r="F26" s="1">
        <v>189.39</v>
      </c>
      <c r="G26" s="1">
        <v>17000</v>
      </c>
      <c r="H26" s="5">
        <f t="shared" si="0"/>
        <v>0</v>
      </c>
      <c r="I26" s="217">
        <v>600000</v>
      </c>
      <c r="J26" s="217" t="s">
        <v>458</v>
      </c>
      <c r="K26" s="218" t="s">
        <v>457</v>
      </c>
      <c r="L26" s="219"/>
      <c r="M26" s="218"/>
    </row>
    <row r="27" spans="1:13" ht="15.75" x14ac:dyDescent="0.25">
      <c r="A27" s="32">
        <v>21</v>
      </c>
      <c r="B27" s="1" t="s">
        <v>422</v>
      </c>
      <c r="C27" s="32">
        <v>4282</v>
      </c>
      <c r="D27" s="1">
        <v>16000</v>
      </c>
      <c r="E27" s="1"/>
      <c r="F27" s="1">
        <v>178.25</v>
      </c>
      <c r="G27" s="1">
        <v>16000</v>
      </c>
      <c r="H27" s="5">
        <f t="shared" si="0"/>
        <v>0</v>
      </c>
      <c r="I27" s="217">
        <v>800000</v>
      </c>
      <c r="J27" s="217" t="s">
        <v>459</v>
      </c>
      <c r="K27" s="218" t="s">
        <v>457</v>
      </c>
      <c r="L27" s="219"/>
      <c r="M27" s="218"/>
    </row>
    <row r="28" spans="1:13" ht="15.75" x14ac:dyDescent="0.25">
      <c r="A28" s="32">
        <v>22</v>
      </c>
      <c r="B28" s="1" t="s">
        <v>422</v>
      </c>
      <c r="C28" s="32">
        <v>7171</v>
      </c>
      <c r="D28" s="1">
        <v>20000</v>
      </c>
      <c r="E28" s="1"/>
      <c r="F28" s="1">
        <v>222.82</v>
      </c>
      <c r="G28" s="1">
        <v>20000</v>
      </c>
      <c r="H28" s="5">
        <f t="shared" si="0"/>
        <v>0</v>
      </c>
      <c r="I28" s="217">
        <v>600000</v>
      </c>
      <c r="J28" s="217" t="s">
        <v>460</v>
      </c>
      <c r="K28" s="218" t="s">
        <v>457</v>
      </c>
      <c r="L28" s="219"/>
      <c r="M28" s="218"/>
    </row>
    <row r="29" spans="1:13" ht="15.75" x14ac:dyDescent="0.25">
      <c r="A29" s="32">
        <v>23</v>
      </c>
      <c r="B29" s="1" t="s">
        <v>422</v>
      </c>
      <c r="C29" s="32" t="s">
        <v>30</v>
      </c>
      <c r="D29" s="1">
        <v>4500</v>
      </c>
      <c r="E29" s="1"/>
      <c r="F29" s="1">
        <v>50.13</v>
      </c>
      <c r="G29" s="1">
        <v>4500</v>
      </c>
      <c r="H29" s="5">
        <f t="shared" si="0"/>
        <v>0</v>
      </c>
      <c r="I29" s="217">
        <v>600000</v>
      </c>
      <c r="J29" s="217" t="s">
        <v>464</v>
      </c>
      <c r="K29" s="218" t="s">
        <v>457</v>
      </c>
      <c r="L29" s="219"/>
      <c r="M29" s="218"/>
    </row>
    <row r="30" spans="1:13" ht="15.75" x14ac:dyDescent="0.25">
      <c r="A30" s="32">
        <v>24</v>
      </c>
      <c r="B30" s="1" t="s">
        <v>422</v>
      </c>
      <c r="C30" s="32">
        <v>1543</v>
      </c>
      <c r="D30" s="1">
        <v>21000</v>
      </c>
      <c r="E30" s="1"/>
      <c r="F30" s="1">
        <v>233</v>
      </c>
      <c r="G30" s="1">
        <v>21000</v>
      </c>
      <c r="H30" s="5">
        <f t="shared" si="0"/>
        <v>0</v>
      </c>
      <c r="I30" s="217">
        <v>500000</v>
      </c>
      <c r="J30" s="217" t="s">
        <v>466</v>
      </c>
      <c r="K30" s="218" t="s">
        <v>457</v>
      </c>
      <c r="L30" s="219"/>
      <c r="M30" s="218"/>
    </row>
    <row r="31" spans="1:13" ht="15.75" x14ac:dyDescent="0.25">
      <c r="A31" s="32">
        <v>25</v>
      </c>
      <c r="B31" s="1" t="s">
        <v>422</v>
      </c>
      <c r="C31" s="32">
        <v>4643</v>
      </c>
      <c r="D31" s="1">
        <v>30000</v>
      </c>
      <c r="E31" s="1"/>
      <c r="F31" s="1">
        <v>334.22</v>
      </c>
      <c r="G31" s="1">
        <v>30000</v>
      </c>
      <c r="H31" s="5">
        <f t="shared" si="0"/>
        <v>0</v>
      </c>
      <c r="I31" s="217">
        <v>400000</v>
      </c>
      <c r="J31" s="217" t="s">
        <v>467</v>
      </c>
      <c r="K31" s="218" t="s">
        <v>457</v>
      </c>
      <c r="L31" s="219"/>
      <c r="M31" s="218"/>
    </row>
    <row r="32" spans="1:13" x14ac:dyDescent="0.2">
      <c r="A32" s="32">
        <v>26</v>
      </c>
      <c r="B32" s="1" t="s">
        <v>422</v>
      </c>
      <c r="C32" s="32">
        <v>4463</v>
      </c>
      <c r="D32" s="1">
        <v>10000</v>
      </c>
      <c r="E32" s="1"/>
      <c r="F32" s="1">
        <v>111.41</v>
      </c>
      <c r="G32" s="1">
        <v>10000</v>
      </c>
      <c r="H32" s="5">
        <f t="shared" si="0"/>
        <v>0</v>
      </c>
      <c r="I32" s="1"/>
      <c r="J32" s="1"/>
    </row>
    <row r="33" spans="1:10" x14ac:dyDescent="0.2">
      <c r="A33" s="32">
        <v>27</v>
      </c>
      <c r="B33" s="1" t="s">
        <v>422</v>
      </c>
      <c r="C33" s="32">
        <v>4713</v>
      </c>
      <c r="D33" s="1">
        <v>20000</v>
      </c>
      <c r="E33" s="1"/>
      <c r="F33" s="1">
        <v>222.82</v>
      </c>
      <c r="G33" s="1">
        <v>20000</v>
      </c>
      <c r="H33" s="5">
        <f t="shared" si="0"/>
        <v>0</v>
      </c>
      <c r="I33" s="1"/>
      <c r="J33" s="1"/>
    </row>
    <row r="34" spans="1:10" x14ac:dyDescent="0.2">
      <c r="A34" s="32">
        <v>28</v>
      </c>
      <c r="B34" s="1" t="s">
        <v>422</v>
      </c>
      <c r="C34" s="32">
        <v>7544</v>
      </c>
      <c r="D34" s="1">
        <v>32000</v>
      </c>
      <c r="E34" s="1"/>
      <c r="F34" s="1">
        <v>332.84</v>
      </c>
      <c r="G34" s="1">
        <v>32000</v>
      </c>
      <c r="H34" s="5">
        <f t="shared" si="0"/>
        <v>0</v>
      </c>
      <c r="I34" s="1"/>
      <c r="J34" s="1"/>
    </row>
    <row r="35" spans="1:10" x14ac:dyDescent="0.2">
      <c r="A35" s="32">
        <v>29</v>
      </c>
      <c r="B35" s="1" t="s">
        <v>422</v>
      </c>
      <c r="C35" s="32">
        <v>8665</v>
      </c>
      <c r="D35" s="1">
        <v>24000</v>
      </c>
      <c r="E35" s="1"/>
      <c r="F35" s="1">
        <v>265.72000000000003</v>
      </c>
      <c r="G35" s="1">
        <v>24000</v>
      </c>
      <c r="H35" s="5">
        <f t="shared" si="0"/>
        <v>0</v>
      </c>
      <c r="I35" s="1"/>
      <c r="J35" s="1"/>
    </row>
    <row r="36" spans="1:10" x14ac:dyDescent="0.2">
      <c r="A36" s="32">
        <v>30</v>
      </c>
      <c r="B36" s="1" t="s">
        <v>422</v>
      </c>
      <c r="C36" s="32">
        <v>5278</v>
      </c>
      <c r="D36" s="1">
        <v>21000</v>
      </c>
      <c r="E36" s="1"/>
      <c r="F36" s="1">
        <v>233.38</v>
      </c>
      <c r="G36" s="1">
        <v>21000</v>
      </c>
      <c r="H36" s="5">
        <f t="shared" si="0"/>
        <v>0</v>
      </c>
      <c r="I36" s="1"/>
      <c r="J36" s="1"/>
    </row>
    <row r="37" spans="1:10" x14ac:dyDescent="0.2">
      <c r="A37" s="32">
        <v>31</v>
      </c>
      <c r="B37" s="1" t="s">
        <v>422</v>
      </c>
      <c r="C37" s="32">
        <v>6252</v>
      </c>
      <c r="D37" s="1">
        <v>23000</v>
      </c>
      <c r="E37" s="1"/>
      <c r="F37" s="1">
        <v>256</v>
      </c>
      <c r="G37" s="1">
        <v>23000</v>
      </c>
      <c r="H37" s="5">
        <f t="shared" si="0"/>
        <v>0</v>
      </c>
      <c r="I37" s="1"/>
      <c r="J37" s="1"/>
    </row>
    <row r="38" spans="1:10" x14ac:dyDescent="0.2">
      <c r="A38" s="32">
        <v>32</v>
      </c>
      <c r="B38" s="1" t="s">
        <v>422</v>
      </c>
      <c r="C38" s="32">
        <v>9389</v>
      </c>
      <c r="D38" s="1">
        <v>27000</v>
      </c>
      <c r="E38" s="1"/>
      <c r="F38" s="1">
        <v>300.25</v>
      </c>
      <c r="G38" s="1">
        <v>27000</v>
      </c>
      <c r="H38" s="5">
        <f t="shared" si="0"/>
        <v>0</v>
      </c>
      <c r="I38" s="1"/>
      <c r="J38" s="1"/>
    </row>
    <row r="39" spans="1:10" x14ac:dyDescent="0.2">
      <c r="A39" s="32">
        <v>33</v>
      </c>
      <c r="B39" s="1" t="s">
        <v>424</v>
      </c>
      <c r="C39" s="32">
        <v>3673</v>
      </c>
      <c r="D39" s="1">
        <v>31000</v>
      </c>
      <c r="E39" s="1"/>
      <c r="F39" s="1">
        <v>345</v>
      </c>
      <c r="G39" s="1">
        <v>31000</v>
      </c>
      <c r="H39" s="5">
        <f t="shared" ref="H39:H70" si="1">D39-G39</f>
        <v>0</v>
      </c>
      <c r="I39" s="1"/>
      <c r="J39" s="1"/>
    </row>
    <row r="40" spans="1:10" x14ac:dyDescent="0.2">
      <c r="A40" s="32">
        <v>34</v>
      </c>
      <c r="B40" s="1" t="s">
        <v>424</v>
      </c>
      <c r="C40" s="32">
        <v>3537</v>
      </c>
      <c r="D40" s="1">
        <v>23000</v>
      </c>
      <c r="E40" s="1"/>
      <c r="F40" s="1">
        <v>256.25</v>
      </c>
      <c r="G40" s="1">
        <v>23000</v>
      </c>
      <c r="H40" s="5">
        <f t="shared" si="1"/>
        <v>0</v>
      </c>
      <c r="I40" s="1"/>
      <c r="J40" s="1"/>
    </row>
    <row r="41" spans="1:10" x14ac:dyDescent="0.2">
      <c r="A41" s="32">
        <v>35</v>
      </c>
      <c r="B41" s="1" t="s">
        <v>424</v>
      </c>
      <c r="C41" s="32">
        <v>9330</v>
      </c>
      <c r="D41" s="1">
        <v>17000</v>
      </c>
      <c r="E41" s="1"/>
      <c r="F41" s="1">
        <v>189</v>
      </c>
      <c r="G41" s="1">
        <v>17000</v>
      </c>
      <c r="H41" s="5">
        <f t="shared" si="1"/>
        <v>0</v>
      </c>
      <c r="I41" s="1"/>
      <c r="J41" s="1"/>
    </row>
    <row r="42" spans="1:10" x14ac:dyDescent="0.2">
      <c r="A42" s="32">
        <v>36</v>
      </c>
      <c r="B42" s="1" t="s">
        <v>424</v>
      </c>
      <c r="C42" s="32">
        <v>2067</v>
      </c>
      <c r="D42" s="1">
        <v>14000</v>
      </c>
      <c r="E42" s="1"/>
      <c r="F42" s="1">
        <v>155</v>
      </c>
      <c r="G42" s="1">
        <v>14000</v>
      </c>
      <c r="H42" s="5">
        <f t="shared" si="1"/>
        <v>0</v>
      </c>
      <c r="I42" s="1"/>
      <c r="J42" s="1"/>
    </row>
    <row r="43" spans="1:10" x14ac:dyDescent="0.2">
      <c r="A43" s="32">
        <v>37</v>
      </c>
      <c r="B43" s="1" t="s">
        <v>424</v>
      </c>
      <c r="C43" s="32">
        <v>3773</v>
      </c>
      <c r="D43" s="1">
        <v>13000</v>
      </c>
      <c r="E43" s="1"/>
      <c r="F43" s="1">
        <v>144.13</v>
      </c>
      <c r="G43" s="1">
        <v>13000</v>
      </c>
      <c r="H43" s="5">
        <f t="shared" si="1"/>
        <v>0</v>
      </c>
      <c r="I43" s="1"/>
      <c r="J43" s="1"/>
    </row>
    <row r="44" spans="1:10" x14ac:dyDescent="0.2">
      <c r="A44" s="32">
        <v>38</v>
      </c>
      <c r="B44" s="1" t="s">
        <v>424</v>
      </c>
      <c r="C44" s="32">
        <v>5958</v>
      </c>
      <c r="D44" s="1">
        <v>15000</v>
      </c>
      <c r="E44" s="1"/>
      <c r="F44" s="1">
        <v>167.33</v>
      </c>
      <c r="G44" s="1">
        <v>15000</v>
      </c>
      <c r="H44" s="5">
        <f t="shared" si="1"/>
        <v>0</v>
      </c>
      <c r="I44" s="1"/>
      <c r="J44" s="1"/>
    </row>
    <row r="45" spans="1:10" x14ac:dyDescent="0.2">
      <c r="A45" s="32">
        <v>39</v>
      </c>
      <c r="B45" s="1" t="s">
        <v>424</v>
      </c>
      <c r="C45" s="32">
        <v>2973</v>
      </c>
      <c r="D45" s="1">
        <v>16000</v>
      </c>
      <c r="E45" s="1"/>
      <c r="F45" s="1">
        <v>178.22</v>
      </c>
      <c r="G45" s="1">
        <v>16000</v>
      </c>
      <c r="H45" s="5">
        <f t="shared" si="1"/>
        <v>0</v>
      </c>
      <c r="I45" s="1"/>
      <c r="J45" s="1"/>
    </row>
    <row r="46" spans="1:10" x14ac:dyDescent="0.2">
      <c r="A46" s="32">
        <v>40</v>
      </c>
      <c r="B46" s="1" t="s">
        <v>424</v>
      </c>
      <c r="C46" s="32">
        <v>1.2699999999999999E-2</v>
      </c>
      <c r="D46" s="1">
        <v>17000</v>
      </c>
      <c r="E46" s="1"/>
      <c r="F46" s="1">
        <v>189.32</v>
      </c>
      <c r="G46" s="1">
        <v>17000</v>
      </c>
      <c r="H46" s="5">
        <f t="shared" si="1"/>
        <v>0</v>
      </c>
      <c r="I46" s="1"/>
      <c r="J46" s="1"/>
    </row>
    <row r="47" spans="1:10" x14ac:dyDescent="0.2">
      <c r="A47" s="32">
        <v>41</v>
      </c>
      <c r="B47" s="1" t="s">
        <v>424</v>
      </c>
      <c r="C47" s="32">
        <v>5.1000000000000004E-3</v>
      </c>
      <c r="D47" s="1">
        <v>16000</v>
      </c>
      <c r="E47" s="1"/>
      <c r="F47" s="1">
        <v>178.22</v>
      </c>
      <c r="G47" s="1">
        <v>16000</v>
      </c>
      <c r="H47" s="5">
        <f t="shared" si="1"/>
        <v>0</v>
      </c>
      <c r="I47" s="1"/>
      <c r="J47" s="1"/>
    </row>
    <row r="48" spans="1:10" x14ac:dyDescent="0.2">
      <c r="A48" s="32">
        <v>42</v>
      </c>
      <c r="B48" s="1" t="s">
        <v>424</v>
      </c>
      <c r="C48" s="32">
        <v>6671</v>
      </c>
      <c r="D48" s="1">
        <v>15490</v>
      </c>
      <c r="E48" s="1"/>
      <c r="F48" s="1">
        <v>172.12</v>
      </c>
      <c r="G48" s="1">
        <v>15490</v>
      </c>
      <c r="H48" s="5">
        <f t="shared" si="1"/>
        <v>0</v>
      </c>
      <c r="I48" s="1"/>
      <c r="J48" s="1"/>
    </row>
    <row r="49" spans="1:10" x14ac:dyDescent="0.2">
      <c r="A49" s="32">
        <v>43</v>
      </c>
      <c r="B49" s="1" t="s">
        <v>424</v>
      </c>
      <c r="C49" s="32" t="s">
        <v>30</v>
      </c>
      <c r="D49" s="1">
        <v>5000</v>
      </c>
      <c r="E49" s="1"/>
      <c r="F49" s="1">
        <v>55.13</v>
      </c>
      <c r="G49" s="1">
        <v>5000</v>
      </c>
      <c r="H49" s="5">
        <f t="shared" si="1"/>
        <v>0</v>
      </c>
      <c r="I49" s="1"/>
      <c r="J49" s="1"/>
    </row>
    <row r="50" spans="1:10" x14ac:dyDescent="0.2">
      <c r="A50" s="32">
        <v>44</v>
      </c>
      <c r="B50" s="1" t="s">
        <v>424</v>
      </c>
      <c r="C50" s="32">
        <v>7071</v>
      </c>
      <c r="D50" s="1">
        <v>14000</v>
      </c>
      <c r="E50" s="1"/>
      <c r="F50" s="1">
        <v>155.27000000000001</v>
      </c>
      <c r="G50" s="1">
        <v>14000</v>
      </c>
      <c r="H50" s="5">
        <f t="shared" si="1"/>
        <v>0</v>
      </c>
      <c r="I50" s="1"/>
      <c r="J50" s="1"/>
    </row>
    <row r="51" spans="1:10" x14ac:dyDescent="0.2">
      <c r="A51" s="32">
        <v>45</v>
      </c>
      <c r="B51" s="1" t="s">
        <v>424</v>
      </c>
      <c r="C51" s="32">
        <v>2673</v>
      </c>
      <c r="D51" s="1">
        <v>15000</v>
      </c>
      <c r="E51" s="1"/>
      <c r="F51" s="1">
        <v>167.33</v>
      </c>
      <c r="G51" s="1">
        <v>15000</v>
      </c>
      <c r="H51" s="5">
        <f t="shared" si="1"/>
        <v>0</v>
      </c>
      <c r="I51" s="1"/>
      <c r="J51" s="1"/>
    </row>
    <row r="52" spans="1:10" x14ac:dyDescent="0.2">
      <c r="A52" s="32">
        <v>46</v>
      </c>
      <c r="B52" s="1" t="s">
        <v>424</v>
      </c>
      <c r="C52" s="32" t="s">
        <v>66</v>
      </c>
      <c r="D52" s="1">
        <v>210</v>
      </c>
      <c r="E52" s="1"/>
      <c r="F52" s="1">
        <v>2.06</v>
      </c>
      <c r="G52" s="1">
        <v>210</v>
      </c>
      <c r="H52" s="5">
        <f t="shared" si="1"/>
        <v>0</v>
      </c>
      <c r="I52" s="1"/>
      <c r="J52" s="1"/>
    </row>
    <row r="53" spans="1:10" x14ac:dyDescent="0.2">
      <c r="A53" s="32">
        <v>47</v>
      </c>
      <c r="B53" s="1" t="s">
        <v>424</v>
      </c>
      <c r="C53" s="32">
        <v>8696</v>
      </c>
      <c r="D53" s="1">
        <v>30000</v>
      </c>
      <c r="E53" s="1"/>
      <c r="F53" s="1">
        <v>334.25</v>
      </c>
      <c r="G53" s="1">
        <v>30000</v>
      </c>
      <c r="H53" s="5">
        <f t="shared" si="1"/>
        <v>0</v>
      </c>
      <c r="I53" s="1"/>
      <c r="J53" s="1"/>
    </row>
    <row r="54" spans="1:10" x14ac:dyDescent="0.2">
      <c r="A54" s="32">
        <v>48</v>
      </c>
      <c r="B54" s="1" t="s">
        <v>424</v>
      </c>
      <c r="C54" s="32">
        <v>2522</v>
      </c>
      <c r="D54" s="1">
        <v>30000</v>
      </c>
      <c r="E54" s="1"/>
      <c r="F54" s="1">
        <v>334.25</v>
      </c>
      <c r="G54" s="1">
        <v>30000</v>
      </c>
      <c r="H54" s="5">
        <f t="shared" si="1"/>
        <v>0</v>
      </c>
      <c r="I54" s="1"/>
      <c r="J54" s="1"/>
    </row>
    <row r="55" spans="1:10" x14ac:dyDescent="0.2">
      <c r="A55" s="32">
        <v>49</v>
      </c>
      <c r="B55" s="1" t="s">
        <v>424</v>
      </c>
      <c r="C55" s="32">
        <v>4738</v>
      </c>
      <c r="D55" s="1">
        <v>25000</v>
      </c>
      <c r="E55" s="1"/>
      <c r="F55" s="1">
        <v>272.22000000000003</v>
      </c>
      <c r="G55" s="1">
        <v>25000</v>
      </c>
      <c r="H55" s="5">
        <f t="shared" si="1"/>
        <v>0</v>
      </c>
      <c r="I55" s="1"/>
      <c r="J55" s="1"/>
    </row>
    <row r="56" spans="1:10" x14ac:dyDescent="0.2">
      <c r="A56" s="32">
        <v>50</v>
      </c>
      <c r="B56" s="1" t="s">
        <v>424</v>
      </c>
      <c r="C56" s="32">
        <v>8956</v>
      </c>
      <c r="D56" s="1">
        <v>19000</v>
      </c>
      <c r="E56" s="1"/>
      <c r="F56" s="1">
        <v>211.23</v>
      </c>
      <c r="G56" s="1">
        <v>19000</v>
      </c>
      <c r="H56" s="5">
        <f t="shared" si="1"/>
        <v>0</v>
      </c>
      <c r="I56" s="1"/>
      <c r="J56" s="1"/>
    </row>
    <row r="57" spans="1:10" x14ac:dyDescent="0.2">
      <c r="A57" s="32">
        <v>51</v>
      </c>
      <c r="B57" s="1" t="s">
        <v>424</v>
      </c>
      <c r="C57" s="32">
        <v>6640</v>
      </c>
      <c r="D57" s="1">
        <v>25000</v>
      </c>
      <c r="E57" s="1"/>
      <c r="F57" s="1">
        <v>278.22000000000003</v>
      </c>
      <c r="G57" s="1">
        <v>25000</v>
      </c>
      <c r="H57" s="5">
        <f t="shared" si="1"/>
        <v>0</v>
      </c>
      <c r="I57" s="1"/>
      <c r="J57" s="1"/>
    </row>
    <row r="58" spans="1:10" x14ac:dyDescent="0.2">
      <c r="A58" s="32">
        <v>52</v>
      </c>
      <c r="B58" s="1" t="s">
        <v>424</v>
      </c>
      <c r="C58" s="32">
        <v>3613</v>
      </c>
      <c r="D58" s="1">
        <v>27849</v>
      </c>
      <c r="E58" s="1"/>
      <c r="F58" s="1">
        <v>310.45</v>
      </c>
      <c r="G58" s="1">
        <v>27849</v>
      </c>
      <c r="H58" s="5">
        <f t="shared" si="1"/>
        <v>0</v>
      </c>
      <c r="I58" s="1"/>
      <c r="J58" s="1"/>
    </row>
    <row r="59" spans="1:10" x14ac:dyDescent="0.2">
      <c r="A59" s="32">
        <v>53</v>
      </c>
      <c r="B59" s="1" t="s">
        <v>424</v>
      </c>
      <c r="C59" s="32">
        <v>4138</v>
      </c>
      <c r="D59" s="1">
        <v>34000</v>
      </c>
      <c r="E59" s="1"/>
      <c r="F59" s="1">
        <v>378.22</v>
      </c>
      <c r="G59" s="1">
        <v>34000</v>
      </c>
      <c r="H59" s="5">
        <f t="shared" si="1"/>
        <v>0</v>
      </c>
      <c r="I59" s="1"/>
      <c r="J59" s="1"/>
    </row>
    <row r="60" spans="1:10" x14ac:dyDescent="0.2">
      <c r="A60" s="32">
        <v>54</v>
      </c>
      <c r="B60" s="1" t="s">
        <v>424</v>
      </c>
      <c r="C60" s="32">
        <v>2989</v>
      </c>
      <c r="D60" s="1">
        <v>27000</v>
      </c>
      <c r="E60" s="1"/>
      <c r="F60" s="1">
        <v>300.8</v>
      </c>
      <c r="G60" s="1">
        <v>27000</v>
      </c>
      <c r="H60" s="5">
        <f t="shared" si="1"/>
        <v>0</v>
      </c>
      <c r="I60" s="1"/>
      <c r="J60" s="1"/>
    </row>
    <row r="61" spans="1:10" x14ac:dyDescent="0.2">
      <c r="A61" s="32">
        <v>55</v>
      </c>
      <c r="B61" s="1" t="s">
        <v>426</v>
      </c>
      <c r="C61" s="32" t="s">
        <v>30</v>
      </c>
      <c r="D61" s="1">
        <v>4500</v>
      </c>
      <c r="E61" s="1"/>
      <c r="F61" s="1">
        <v>50.13</v>
      </c>
      <c r="G61" s="1">
        <v>4500</v>
      </c>
      <c r="H61" s="5">
        <f t="shared" si="1"/>
        <v>0</v>
      </c>
      <c r="I61" s="1"/>
      <c r="J61" s="1"/>
    </row>
    <row r="62" spans="1:10" x14ac:dyDescent="0.2">
      <c r="A62" s="32">
        <v>56</v>
      </c>
      <c r="B62" s="1" t="s">
        <v>426</v>
      </c>
      <c r="C62" s="32">
        <v>7444</v>
      </c>
      <c r="D62" s="1">
        <v>29000</v>
      </c>
      <c r="E62" s="1"/>
      <c r="F62" s="1">
        <v>303.25</v>
      </c>
      <c r="G62" s="1">
        <v>29000</v>
      </c>
      <c r="H62" s="5">
        <f t="shared" si="1"/>
        <v>0</v>
      </c>
      <c r="I62" s="1"/>
      <c r="J62" s="1"/>
    </row>
    <row r="63" spans="1:10" x14ac:dyDescent="0.2">
      <c r="A63" s="32">
        <v>57</v>
      </c>
      <c r="B63" s="1" t="s">
        <v>426</v>
      </c>
      <c r="C63" s="32">
        <v>6461</v>
      </c>
      <c r="D63" s="1">
        <v>30000</v>
      </c>
      <c r="E63" s="1"/>
      <c r="F63" s="1">
        <v>334.25</v>
      </c>
      <c r="G63" s="1">
        <v>30000</v>
      </c>
      <c r="H63" s="5">
        <f t="shared" si="1"/>
        <v>0</v>
      </c>
      <c r="I63" s="1"/>
      <c r="J63" s="1"/>
    </row>
    <row r="64" spans="1:10" x14ac:dyDescent="0.2">
      <c r="A64" s="32">
        <v>58</v>
      </c>
      <c r="B64" s="1" t="s">
        <v>426</v>
      </c>
      <c r="C64" s="32">
        <v>7491</v>
      </c>
      <c r="D64" s="1">
        <v>30000</v>
      </c>
      <c r="E64" s="1"/>
      <c r="F64" s="1">
        <v>334.25</v>
      </c>
      <c r="G64" s="1">
        <v>30000</v>
      </c>
      <c r="H64" s="5">
        <f t="shared" si="1"/>
        <v>0</v>
      </c>
      <c r="I64" s="1"/>
      <c r="J64" s="1"/>
    </row>
    <row r="65" spans="1:10" x14ac:dyDescent="0.2">
      <c r="A65" s="32">
        <v>59</v>
      </c>
      <c r="B65" s="1" t="s">
        <v>426</v>
      </c>
      <c r="C65" s="32">
        <v>5553</v>
      </c>
      <c r="D65" s="1">
        <v>30000</v>
      </c>
      <c r="E65" s="1"/>
      <c r="F65" s="1">
        <v>334.25</v>
      </c>
      <c r="G65" s="1">
        <v>30000</v>
      </c>
      <c r="H65" s="5">
        <f t="shared" si="1"/>
        <v>0</v>
      </c>
      <c r="I65" s="1"/>
      <c r="J65" s="1"/>
    </row>
    <row r="66" spans="1:10" x14ac:dyDescent="0.2">
      <c r="A66" s="32">
        <v>60</v>
      </c>
      <c r="B66" s="1" t="s">
        <v>426</v>
      </c>
      <c r="C66" s="32">
        <v>9906</v>
      </c>
      <c r="D66" s="1">
        <v>15000</v>
      </c>
      <c r="E66" s="1"/>
      <c r="F66" s="1">
        <v>167.15</v>
      </c>
      <c r="G66" s="1">
        <v>15000</v>
      </c>
      <c r="H66" s="5">
        <f t="shared" si="1"/>
        <v>0</v>
      </c>
      <c r="I66" s="1"/>
      <c r="J66" s="1"/>
    </row>
    <row r="67" spans="1:10" x14ac:dyDescent="0.2">
      <c r="A67" s="32">
        <v>61</v>
      </c>
      <c r="B67" s="1" t="s">
        <v>426</v>
      </c>
      <c r="C67" s="32">
        <v>4282</v>
      </c>
      <c r="D67" s="1">
        <v>16000</v>
      </c>
      <c r="E67" s="1"/>
      <c r="F67" s="1">
        <v>178.22</v>
      </c>
      <c r="G67" s="1">
        <v>16000</v>
      </c>
      <c r="H67" s="5">
        <f t="shared" si="1"/>
        <v>0</v>
      </c>
      <c r="I67" s="1"/>
      <c r="J67" s="1"/>
    </row>
    <row r="68" spans="1:10" x14ac:dyDescent="0.2">
      <c r="A68" s="32">
        <v>62</v>
      </c>
      <c r="B68" s="1" t="s">
        <v>426</v>
      </c>
      <c r="C68" s="32">
        <v>3.8600000000000002E-2</v>
      </c>
      <c r="D68" s="1">
        <v>17000</v>
      </c>
      <c r="E68" s="1"/>
      <c r="F68" s="1">
        <v>189.32</v>
      </c>
      <c r="G68" s="1">
        <v>17000</v>
      </c>
      <c r="H68" s="5">
        <f t="shared" si="1"/>
        <v>0</v>
      </c>
      <c r="I68" s="1"/>
      <c r="J68" s="1"/>
    </row>
    <row r="69" spans="1:10" x14ac:dyDescent="0.2">
      <c r="A69" s="32">
        <v>63</v>
      </c>
      <c r="B69" s="1" t="s">
        <v>426</v>
      </c>
      <c r="C69" s="32">
        <v>6214</v>
      </c>
      <c r="D69" s="1">
        <v>17000</v>
      </c>
      <c r="E69" s="1"/>
      <c r="F69" s="1">
        <v>189.32</v>
      </c>
      <c r="G69" s="1">
        <v>17000</v>
      </c>
      <c r="H69" s="5">
        <f t="shared" si="1"/>
        <v>0</v>
      </c>
      <c r="I69" s="1"/>
      <c r="J69" s="1"/>
    </row>
    <row r="70" spans="1:10" x14ac:dyDescent="0.2">
      <c r="A70" s="32">
        <v>64</v>
      </c>
      <c r="B70" s="1" t="s">
        <v>426</v>
      </c>
      <c r="C70" s="32">
        <v>6946</v>
      </c>
      <c r="D70" s="1">
        <v>10000</v>
      </c>
      <c r="E70" s="1"/>
      <c r="F70" s="1">
        <v>111.35</v>
      </c>
      <c r="G70" s="1">
        <v>10000</v>
      </c>
      <c r="H70" s="5">
        <f t="shared" si="1"/>
        <v>0</v>
      </c>
      <c r="I70" s="1"/>
      <c r="J70" s="1"/>
    </row>
    <row r="71" spans="1:10" x14ac:dyDescent="0.2">
      <c r="A71" s="32">
        <v>65</v>
      </c>
      <c r="B71" s="1" t="s">
        <v>426</v>
      </c>
      <c r="C71" s="32">
        <v>9905</v>
      </c>
      <c r="D71" s="1">
        <v>13000</v>
      </c>
      <c r="E71" s="1"/>
      <c r="F71" s="1">
        <v>144.12</v>
      </c>
      <c r="G71" s="1">
        <v>13000</v>
      </c>
      <c r="H71" s="5">
        <f t="shared" ref="H71:H102" si="2">D71-G71</f>
        <v>0</v>
      </c>
      <c r="I71" s="1"/>
      <c r="J71" s="1"/>
    </row>
    <row r="72" spans="1:10" x14ac:dyDescent="0.2">
      <c r="A72" s="32">
        <v>66</v>
      </c>
      <c r="B72" s="1" t="s">
        <v>426</v>
      </c>
      <c r="C72" s="32">
        <v>3317</v>
      </c>
      <c r="D72" s="1">
        <v>30000</v>
      </c>
      <c r="E72" s="1"/>
      <c r="F72" s="1">
        <v>334.45</v>
      </c>
      <c r="G72" s="1">
        <v>30000</v>
      </c>
      <c r="H72" s="5">
        <f t="shared" si="2"/>
        <v>0</v>
      </c>
      <c r="I72" s="1"/>
      <c r="J72" s="1"/>
    </row>
    <row r="73" spans="1:10" x14ac:dyDescent="0.2">
      <c r="A73" s="32">
        <v>67</v>
      </c>
      <c r="B73" s="1" t="s">
        <v>426</v>
      </c>
      <c r="C73" s="32" t="s">
        <v>30</v>
      </c>
      <c r="D73" s="1">
        <v>5000</v>
      </c>
      <c r="E73" s="1"/>
      <c r="F73" s="1">
        <v>55.13</v>
      </c>
      <c r="G73" s="1">
        <v>5000</v>
      </c>
      <c r="H73" s="5">
        <f t="shared" si="2"/>
        <v>0</v>
      </c>
      <c r="I73" s="1"/>
      <c r="J73" s="1"/>
    </row>
    <row r="74" spans="1:10" x14ac:dyDescent="0.2">
      <c r="A74" s="32">
        <v>68</v>
      </c>
      <c r="B74" s="1" t="s">
        <v>426</v>
      </c>
      <c r="C74" s="32">
        <v>5252</v>
      </c>
      <c r="D74" s="1">
        <v>16000</v>
      </c>
      <c r="E74" s="1"/>
      <c r="F74" s="1">
        <v>178.22</v>
      </c>
      <c r="G74" s="1">
        <v>16000</v>
      </c>
      <c r="H74" s="5">
        <f t="shared" si="2"/>
        <v>0</v>
      </c>
      <c r="I74" s="1"/>
      <c r="J74" s="1"/>
    </row>
    <row r="75" spans="1:10" x14ac:dyDescent="0.2">
      <c r="A75" s="32">
        <v>69</v>
      </c>
      <c r="B75" s="1" t="s">
        <v>426</v>
      </c>
      <c r="C75" s="32">
        <v>5.1999999999999998E-3</v>
      </c>
      <c r="D75" s="1">
        <v>16000</v>
      </c>
      <c r="E75" s="1"/>
      <c r="F75" s="1">
        <v>178.22</v>
      </c>
      <c r="G75" s="1">
        <v>16000</v>
      </c>
      <c r="H75" s="5">
        <f t="shared" si="2"/>
        <v>0</v>
      </c>
      <c r="I75" s="1"/>
      <c r="J75" s="1"/>
    </row>
    <row r="76" spans="1:10" x14ac:dyDescent="0.2">
      <c r="A76" s="32">
        <v>70</v>
      </c>
      <c r="B76" s="1" t="s">
        <v>426</v>
      </c>
      <c r="C76" s="32">
        <v>5151</v>
      </c>
      <c r="D76" s="1">
        <v>16000</v>
      </c>
      <c r="E76" s="1"/>
      <c r="F76" s="1">
        <v>178.22</v>
      </c>
      <c r="G76" s="1">
        <v>16000</v>
      </c>
      <c r="H76" s="5">
        <f t="shared" si="2"/>
        <v>0</v>
      </c>
      <c r="I76" s="1"/>
      <c r="J76" s="1"/>
    </row>
    <row r="77" spans="1:10" x14ac:dyDescent="0.2">
      <c r="A77" s="32">
        <v>71</v>
      </c>
      <c r="B77" s="1" t="s">
        <v>426</v>
      </c>
      <c r="C77" s="32">
        <v>9390</v>
      </c>
      <c r="D77" s="1">
        <v>25000</v>
      </c>
      <c r="E77" s="1"/>
      <c r="F77" s="1">
        <v>278.22000000000003</v>
      </c>
      <c r="G77" s="1">
        <v>25000</v>
      </c>
      <c r="H77" s="5">
        <f t="shared" si="2"/>
        <v>0</v>
      </c>
      <c r="I77" s="1"/>
      <c r="J77" s="1"/>
    </row>
    <row r="78" spans="1:10" x14ac:dyDescent="0.2">
      <c r="A78" s="32">
        <v>72</v>
      </c>
      <c r="B78" s="1" t="s">
        <v>426</v>
      </c>
      <c r="C78" s="32">
        <v>3.1300000000000001E-2</v>
      </c>
      <c r="D78" s="1">
        <v>25000</v>
      </c>
      <c r="E78" s="1"/>
      <c r="F78" s="1">
        <v>278.22000000000003</v>
      </c>
      <c r="G78" s="1">
        <v>25000</v>
      </c>
      <c r="H78" s="5">
        <f t="shared" si="2"/>
        <v>0</v>
      </c>
      <c r="I78" s="1"/>
      <c r="J78" s="1"/>
    </row>
    <row r="79" spans="1:10" x14ac:dyDescent="0.2">
      <c r="A79" s="32">
        <v>73</v>
      </c>
      <c r="B79" s="1" t="s">
        <v>426</v>
      </c>
      <c r="C79" s="32">
        <v>3475</v>
      </c>
      <c r="D79" s="1">
        <v>20000</v>
      </c>
      <c r="E79" s="1"/>
      <c r="F79" s="1">
        <v>211.52</v>
      </c>
      <c r="G79" s="1">
        <v>20000</v>
      </c>
      <c r="H79" s="5">
        <f t="shared" si="2"/>
        <v>0</v>
      </c>
      <c r="I79" s="1"/>
      <c r="J79" s="1"/>
    </row>
    <row r="80" spans="1:10" x14ac:dyDescent="0.2">
      <c r="A80" s="32">
        <v>74</v>
      </c>
      <c r="B80" s="1" t="s">
        <v>426</v>
      </c>
      <c r="C80" s="32">
        <v>3296</v>
      </c>
      <c r="D80" s="1">
        <v>20000</v>
      </c>
      <c r="E80" s="1"/>
      <c r="F80" s="1">
        <v>211.52</v>
      </c>
      <c r="G80" s="1">
        <v>20000</v>
      </c>
      <c r="H80" s="5">
        <f t="shared" si="2"/>
        <v>0</v>
      </c>
      <c r="I80" s="1"/>
      <c r="J80" s="1"/>
    </row>
    <row r="81" spans="1:10" x14ac:dyDescent="0.2">
      <c r="A81" s="32">
        <v>75</v>
      </c>
      <c r="B81" s="1" t="s">
        <v>426</v>
      </c>
      <c r="C81" s="32">
        <v>3869</v>
      </c>
      <c r="D81" s="1">
        <v>20000</v>
      </c>
      <c r="E81" s="1"/>
      <c r="F81" s="1">
        <v>211.52</v>
      </c>
      <c r="G81" s="1">
        <v>20000</v>
      </c>
      <c r="H81" s="5">
        <f t="shared" si="2"/>
        <v>0</v>
      </c>
      <c r="I81" s="1"/>
      <c r="J81" s="1"/>
    </row>
    <row r="82" spans="1:10" x14ac:dyDescent="0.2">
      <c r="A82" s="32">
        <v>76</v>
      </c>
      <c r="B82" s="1" t="s">
        <v>426</v>
      </c>
      <c r="C82" s="32">
        <v>9015</v>
      </c>
      <c r="D82" s="1">
        <v>30000</v>
      </c>
      <c r="E82" s="1"/>
      <c r="F82" s="1">
        <v>334.45</v>
      </c>
      <c r="G82" s="1">
        <v>30000</v>
      </c>
      <c r="H82" s="5">
        <f t="shared" si="2"/>
        <v>0</v>
      </c>
      <c r="I82" s="1"/>
      <c r="J82" s="1"/>
    </row>
    <row r="83" spans="1:10" x14ac:dyDescent="0.2">
      <c r="A83" s="32">
        <v>77</v>
      </c>
      <c r="B83" s="1" t="s">
        <v>426</v>
      </c>
      <c r="C83" s="32">
        <v>9092</v>
      </c>
      <c r="D83" s="1">
        <v>30000</v>
      </c>
      <c r="E83" s="1"/>
      <c r="F83" s="1">
        <v>334.45</v>
      </c>
      <c r="G83" s="1">
        <v>30000</v>
      </c>
      <c r="H83" s="5">
        <f t="shared" si="2"/>
        <v>0</v>
      </c>
      <c r="I83" s="1"/>
      <c r="J83" s="1"/>
    </row>
    <row r="84" spans="1:10" x14ac:dyDescent="0.2">
      <c r="A84" s="32">
        <v>78</v>
      </c>
      <c r="B84" s="1" t="s">
        <v>426</v>
      </c>
      <c r="C84" s="32">
        <v>1.44E-2</v>
      </c>
      <c r="D84" s="1">
        <v>30000</v>
      </c>
      <c r="E84" s="1"/>
      <c r="F84" s="1">
        <v>334.45</v>
      </c>
      <c r="G84" s="1">
        <v>30000</v>
      </c>
      <c r="H84" s="5">
        <f t="shared" si="2"/>
        <v>0</v>
      </c>
      <c r="I84" s="1"/>
      <c r="J84" s="1"/>
    </row>
    <row r="85" spans="1:10" x14ac:dyDescent="0.2">
      <c r="A85" s="32">
        <v>79</v>
      </c>
      <c r="B85" s="1" t="s">
        <v>426</v>
      </c>
      <c r="C85" s="32">
        <v>9299</v>
      </c>
      <c r="D85" s="1">
        <v>20400</v>
      </c>
      <c r="E85" s="1"/>
      <c r="F85" s="1">
        <v>227.15</v>
      </c>
      <c r="G85" s="1">
        <v>20400</v>
      </c>
      <c r="H85" s="5">
        <f t="shared" si="2"/>
        <v>0</v>
      </c>
      <c r="I85" s="1"/>
      <c r="J85" s="1"/>
    </row>
    <row r="86" spans="1:10" x14ac:dyDescent="0.2">
      <c r="A86" s="32">
        <v>80</v>
      </c>
      <c r="B86" s="1" t="s">
        <v>426</v>
      </c>
      <c r="C86" s="32">
        <v>4257</v>
      </c>
      <c r="D86" s="1">
        <v>22000</v>
      </c>
      <c r="E86" s="1"/>
      <c r="F86" s="1">
        <v>245.27</v>
      </c>
      <c r="G86" s="1">
        <v>22000</v>
      </c>
      <c r="H86" s="5">
        <f t="shared" si="2"/>
        <v>0</v>
      </c>
      <c r="I86" s="1"/>
      <c r="J86" s="1"/>
    </row>
    <row r="87" spans="1:10" x14ac:dyDescent="0.2">
      <c r="A87" s="32">
        <v>81</v>
      </c>
      <c r="B87" s="1" t="s">
        <v>426</v>
      </c>
      <c r="C87" s="32">
        <v>2192</v>
      </c>
      <c r="D87" s="1">
        <v>12000</v>
      </c>
      <c r="E87" s="1"/>
      <c r="F87" s="1">
        <v>133.25</v>
      </c>
      <c r="G87" s="1">
        <v>12000</v>
      </c>
      <c r="H87" s="5">
        <f t="shared" si="2"/>
        <v>0</v>
      </c>
      <c r="I87" s="1"/>
      <c r="J87" s="1"/>
    </row>
    <row r="88" spans="1:10" x14ac:dyDescent="0.2">
      <c r="A88" s="32">
        <v>82</v>
      </c>
      <c r="B88" s="1" t="s">
        <v>428</v>
      </c>
      <c r="C88" s="32">
        <v>2673</v>
      </c>
      <c r="D88" s="1">
        <v>15000</v>
      </c>
      <c r="E88" s="1"/>
      <c r="F88" s="1">
        <v>167.11</v>
      </c>
      <c r="G88" s="1">
        <v>15000</v>
      </c>
      <c r="H88" s="5">
        <f t="shared" si="2"/>
        <v>0</v>
      </c>
      <c r="I88" s="1"/>
      <c r="J88" s="1"/>
    </row>
    <row r="89" spans="1:10" x14ac:dyDescent="0.2">
      <c r="A89" s="32">
        <v>83</v>
      </c>
      <c r="B89" s="1" t="s">
        <v>428</v>
      </c>
      <c r="C89" s="32" t="s">
        <v>30</v>
      </c>
      <c r="D89" s="1">
        <v>5000</v>
      </c>
      <c r="E89" s="1"/>
      <c r="F89" s="1">
        <v>55.7</v>
      </c>
      <c r="G89" s="1">
        <v>5000</v>
      </c>
      <c r="H89" s="5">
        <f t="shared" si="2"/>
        <v>0</v>
      </c>
      <c r="I89" s="1"/>
      <c r="J89" s="1"/>
    </row>
    <row r="90" spans="1:10" x14ac:dyDescent="0.2">
      <c r="A90" s="32">
        <v>84</v>
      </c>
      <c r="B90" s="1" t="s">
        <v>428</v>
      </c>
      <c r="C90" s="32">
        <v>2545</v>
      </c>
      <c r="D90" s="1">
        <v>17000</v>
      </c>
      <c r="E90" s="1"/>
      <c r="F90" s="1">
        <v>189.2</v>
      </c>
      <c r="G90" s="1">
        <v>17000</v>
      </c>
      <c r="H90" s="5">
        <f t="shared" si="2"/>
        <v>0</v>
      </c>
      <c r="I90" s="1"/>
      <c r="J90" s="1"/>
    </row>
    <row r="91" spans="1:10" x14ac:dyDescent="0.2">
      <c r="A91" s="32">
        <v>85</v>
      </c>
      <c r="B91" s="1" t="s">
        <v>428</v>
      </c>
      <c r="C91" s="32">
        <v>3855</v>
      </c>
      <c r="D91" s="1">
        <v>15000</v>
      </c>
      <c r="E91" s="1"/>
      <c r="F91" s="1">
        <v>167.11</v>
      </c>
      <c r="G91" s="1">
        <v>15000</v>
      </c>
      <c r="H91" s="5">
        <f t="shared" si="2"/>
        <v>0</v>
      </c>
      <c r="I91" s="1"/>
      <c r="J91" s="1"/>
    </row>
    <row r="92" spans="1:10" x14ac:dyDescent="0.2">
      <c r="A92" s="32">
        <v>86</v>
      </c>
      <c r="B92" s="1" t="s">
        <v>428</v>
      </c>
      <c r="C92" s="32">
        <v>9544</v>
      </c>
      <c r="D92" s="1">
        <v>12000</v>
      </c>
      <c r="E92" s="1"/>
      <c r="F92" s="1">
        <v>138.69</v>
      </c>
      <c r="G92" s="1">
        <v>12000</v>
      </c>
      <c r="H92" s="5">
        <f t="shared" si="2"/>
        <v>0</v>
      </c>
      <c r="I92" s="1"/>
      <c r="J92" s="1"/>
    </row>
    <row r="93" spans="1:10" x14ac:dyDescent="0.2">
      <c r="A93" s="32">
        <v>87</v>
      </c>
      <c r="B93" s="1" t="s">
        <v>428</v>
      </c>
      <c r="C93" s="32">
        <v>4738</v>
      </c>
      <c r="D93" s="1">
        <v>6000</v>
      </c>
      <c r="E93" s="1"/>
      <c r="F93" s="1">
        <v>66.84</v>
      </c>
      <c r="G93" s="1">
        <v>6000</v>
      </c>
      <c r="H93" s="5">
        <f t="shared" si="2"/>
        <v>0</v>
      </c>
      <c r="I93" s="1"/>
      <c r="J93" s="1"/>
    </row>
    <row r="94" spans="1:10" x14ac:dyDescent="0.2">
      <c r="A94" s="32">
        <v>88</v>
      </c>
      <c r="B94" s="1" t="s">
        <v>428</v>
      </c>
      <c r="C94" s="32" t="s">
        <v>30</v>
      </c>
      <c r="D94" s="1">
        <v>3000</v>
      </c>
      <c r="E94" s="1"/>
      <c r="F94" s="1">
        <v>33.42</v>
      </c>
      <c r="G94" s="1">
        <v>3000</v>
      </c>
      <c r="H94" s="5">
        <f t="shared" si="2"/>
        <v>0</v>
      </c>
      <c r="I94" s="1"/>
      <c r="J94" s="1"/>
    </row>
    <row r="95" spans="1:10" x14ac:dyDescent="0.2">
      <c r="A95" s="32">
        <v>89</v>
      </c>
      <c r="B95" s="1" t="s">
        <v>428</v>
      </c>
      <c r="C95" s="32">
        <v>8762</v>
      </c>
      <c r="D95" s="1">
        <v>30000</v>
      </c>
      <c r="E95" s="1"/>
      <c r="F95" s="1">
        <v>334.22</v>
      </c>
      <c r="G95" s="1">
        <v>30000</v>
      </c>
      <c r="H95" s="5">
        <f t="shared" si="2"/>
        <v>0</v>
      </c>
      <c r="I95" s="1"/>
      <c r="J95" s="1"/>
    </row>
    <row r="96" spans="1:10" x14ac:dyDescent="0.2">
      <c r="A96" s="32">
        <v>90</v>
      </c>
      <c r="B96" s="1" t="s">
        <v>428</v>
      </c>
      <c r="C96" s="32">
        <v>5236</v>
      </c>
      <c r="D96" s="1">
        <v>33000</v>
      </c>
      <c r="E96" s="1"/>
      <c r="F96" s="1">
        <v>358.18</v>
      </c>
      <c r="G96" s="1">
        <v>33000</v>
      </c>
      <c r="H96" s="5">
        <f t="shared" si="2"/>
        <v>0</v>
      </c>
      <c r="I96" s="1"/>
      <c r="J96" s="1"/>
    </row>
    <row r="97" spans="1:10" x14ac:dyDescent="0.2">
      <c r="A97" s="32">
        <v>91</v>
      </c>
      <c r="B97" s="1" t="s">
        <v>428</v>
      </c>
      <c r="C97" s="32">
        <v>6251</v>
      </c>
      <c r="D97" s="1">
        <v>22000</v>
      </c>
      <c r="E97" s="1"/>
      <c r="F97" s="1">
        <v>245.12</v>
      </c>
      <c r="G97" s="1">
        <v>22000</v>
      </c>
      <c r="H97" s="5">
        <f t="shared" si="2"/>
        <v>0</v>
      </c>
      <c r="I97" s="1"/>
      <c r="J97" s="1"/>
    </row>
    <row r="98" spans="1:10" x14ac:dyDescent="0.2">
      <c r="A98" s="32">
        <v>92</v>
      </c>
      <c r="B98" s="1" t="s">
        <v>428</v>
      </c>
      <c r="C98" s="32">
        <v>8913</v>
      </c>
      <c r="D98" s="1">
        <v>22000</v>
      </c>
      <c r="E98" s="1"/>
      <c r="F98" s="1">
        <v>245.12</v>
      </c>
      <c r="G98" s="1">
        <v>22000</v>
      </c>
      <c r="H98" s="5">
        <f t="shared" si="2"/>
        <v>0</v>
      </c>
      <c r="I98" s="1"/>
      <c r="J98" s="1"/>
    </row>
    <row r="99" spans="1:10" x14ac:dyDescent="0.2">
      <c r="A99" s="32">
        <v>93</v>
      </c>
      <c r="B99" s="1" t="s">
        <v>431</v>
      </c>
      <c r="C99" s="32">
        <v>3790</v>
      </c>
      <c r="D99" s="1">
        <v>33000</v>
      </c>
      <c r="E99" s="1"/>
      <c r="F99" s="1">
        <v>358.18</v>
      </c>
      <c r="G99" s="1">
        <v>33000</v>
      </c>
      <c r="H99" s="5">
        <f t="shared" si="2"/>
        <v>0</v>
      </c>
      <c r="I99" s="1"/>
      <c r="J99" s="1"/>
    </row>
    <row r="100" spans="1:10" x14ac:dyDescent="0.2">
      <c r="A100" s="32">
        <v>94</v>
      </c>
      <c r="B100" s="1" t="s">
        <v>431</v>
      </c>
      <c r="C100" s="32">
        <v>1272</v>
      </c>
      <c r="D100" s="1">
        <v>20000</v>
      </c>
      <c r="E100" s="1"/>
      <c r="F100" s="1">
        <v>222.17</v>
      </c>
      <c r="G100" s="1">
        <v>20000</v>
      </c>
      <c r="H100" s="5">
        <f t="shared" si="2"/>
        <v>0</v>
      </c>
      <c r="I100" s="1"/>
      <c r="J100" s="1"/>
    </row>
    <row r="101" spans="1:10" x14ac:dyDescent="0.2">
      <c r="A101" s="32">
        <v>95</v>
      </c>
      <c r="B101" s="1" t="s">
        <v>431</v>
      </c>
      <c r="C101" s="32" t="s">
        <v>30</v>
      </c>
      <c r="D101" s="1">
        <v>4500</v>
      </c>
      <c r="E101" s="1"/>
      <c r="F101" s="1">
        <v>50.13</v>
      </c>
      <c r="G101" s="1">
        <v>4500</v>
      </c>
      <c r="H101" s="5">
        <f t="shared" si="2"/>
        <v>0</v>
      </c>
      <c r="I101" s="1"/>
      <c r="J101" s="1"/>
    </row>
    <row r="102" spans="1:10" x14ac:dyDescent="0.2">
      <c r="A102" s="32">
        <v>96</v>
      </c>
      <c r="B102" s="1" t="s">
        <v>431</v>
      </c>
      <c r="C102" s="32">
        <v>7071</v>
      </c>
      <c r="D102" s="1">
        <v>15000</v>
      </c>
      <c r="E102" s="1"/>
      <c r="F102" s="1">
        <v>167.15</v>
      </c>
      <c r="G102" s="1">
        <v>15000</v>
      </c>
      <c r="H102" s="5">
        <f t="shared" si="2"/>
        <v>0</v>
      </c>
      <c r="I102" s="1"/>
      <c r="J102" s="1"/>
    </row>
    <row r="103" spans="1:10" x14ac:dyDescent="0.2">
      <c r="A103" s="32">
        <v>97</v>
      </c>
      <c r="B103" s="1" t="s">
        <v>431</v>
      </c>
      <c r="C103" s="32" t="s">
        <v>30</v>
      </c>
      <c r="D103" s="1">
        <v>5000</v>
      </c>
      <c r="E103" s="1"/>
      <c r="F103" s="1">
        <v>55.7</v>
      </c>
      <c r="G103" s="1">
        <v>5000</v>
      </c>
      <c r="H103" s="5">
        <f t="shared" ref="H103:H134" si="3">D103-G103</f>
        <v>0</v>
      </c>
      <c r="I103" s="1"/>
      <c r="J103" s="1"/>
    </row>
    <row r="104" spans="1:10" x14ac:dyDescent="0.2">
      <c r="A104" s="32">
        <v>98</v>
      </c>
      <c r="B104" s="1" t="s">
        <v>431</v>
      </c>
      <c r="C104" s="32">
        <v>9398</v>
      </c>
      <c r="D104" s="1">
        <v>18000</v>
      </c>
      <c r="E104" s="1"/>
      <c r="F104" s="1">
        <v>200.24</v>
      </c>
      <c r="G104" s="1">
        <v>18000</v>
      </c>
      <c r="H104" s="5">
        <f t="shared" si="3"/>
        <v>0</v>
      </c>
      <c r="I104" s="1"/>
      <c r="J104" s="1"/>
    </row>
    <row r="105" spans="1:10" x14ac:dyDescent="0.2">
      <c r="A105" s="32">
        <v>99</v>
      </c>
      <c r="B105" s="1" t="s">
        <v>431</v>
      </c>
      <c r="C105" s="32">
        <v>2067</v>
      </c>
      <c r="D105" s="1">
        <v>14000</v>
      </c>
      <c r="E105" s="1"/>
      <c r="F105" s="1">
        <v>155.25</v>
      </c>
      <c r="G105" s="1">
        <v>14000</v>
      </c>
      <c r="H105" s="5">
        <f t="shared" si="3"/>
        <v>0</v>
      </c>
      <c r="I105" s="1"/>
      <c r="J105" s="1"/>
    </row>
    <row r="106" spans="1:10" x14ac:dyDescent="0.2">
      <c r="A106" s="32">
        <v>100</v>
      </c>
      <c r="B106" s="1" t="s">
        <v>431</v>
      </c>
      <c r="C106" s="32">
        <v>4282</v>
      </c>
      <c r="D106" s="1">
        <v>16000</v>
      </c>
      <c r="E106" s="1"/>
      <c r="F106" s="1">
        <v>178.25</v>
      </c>
      <c r="G106" s="1">
        <v>16000</v>
      </c>
      <c r="H106" s="5">
        <f t="shared" si="3"/>
        <v>0</v>
      </c>
      <c r="I106" s="1"/>
      <c r="J106" s="1"/>
    </row>
    <row r="107" spans="1:10" x14ac:dyDescent="0.2">
      <c r="A107" s="32">
        <v>101</v>
      </c>
      <c r="B107" s="1" t="s">
        <v>431</v>
      </c>
      <c r="C107" s="32" t="s">
        <v>66</v>
      </c>
      <c r="D107" s="1">
        <v>210</v>
      </c>
      <c r="E107" s="1"/>
      <c r="F107" s="1">
        <v>2.17</v>
      </c>
      <c r="G107" s="1">
        <v>210</v>
      </c>
      <c r="H107" s="5">
        <f t="shared" si="3"/>
        <v>0</v>
      </c>
      <c r="I107" s="1"/>
      <c r="J107" s="1"/>
    </row>
    <row r="108" spans="1:10" x14ac:dyDescent="0.2">
      <c r="A108" s="32">
        <v>102</v>
      </c>
      <c r="B108" s="1" t="s">
        <v>431</v>
      </c>
      <c r="C108" s="32">
        <v>7236</v>
      </c>
      <c r="D108" s="1">
        <v>5000</v>
      </c>
      <c r="E108" s="1"/>
      <c r="F108" s="1">
        <v>55.7</v>
      </c>
      <c r="G108" s="1">
        <v>5000</v>
      </c>
      <c r="H108" s="5">
        <f t="shared" si="3"/>
        <v>0</v>
      </c>
      <c r="I108" s="1"/>
      <c r="J108" s="1"/>
    </row>
    <row r="109" spans="1:10" x14ac:dyDescent="0.2">
      <c r="A109" s="32">
        <v>103</v>
      </c>
      <c r="B109" s="1" t="s">
        <v>431</v>
      </c>
      <c r="C109" s="32">
        <v>5958</v>
      </c>
      <c r="D109" s="1">
        <v>16000</v>
      </c>
      <c r="E109" s="1"/>
      <c r="F109" s="1">
        <v>178.25</v>
      </c>
      <c r="G109" s="1">
        <v>16000</v>
      </c>
      <c r="H109" s="5">
        <f t="shared" si="3"/>
        <v>0</v>
      </c>
      <c r="I109" s="1"/>
      <c r="J109" s="1"/>
    </row>
    <row r="110" spans="1:10" x14ac:dyDescent="0.2">
      <c r="A110" s="32">
        <v>104</v>
      </c>
      <c r="B110" s="1" t="s">
        <v>431</v>
      </c>
      <c r="C110" s="32">
        <v>2973</v>
      </c>
      <c r="D110" s="1">
        <v>16000</v>
      </c>
      <c r="E110" s="1"/>
      <c r="F110" s="1">
        <v>178.25</v>
      </c>
      <c r="G110" s="1">
        <v>16000</v>
      </c>
      <c r="H110" s="5">
        <f t="shared" si="3"/>
        <v>0</v>
      </c>
      <c r="I110" s="1"/>
      <c r="J110" s="1"/>
    </row>
    <row r="111" spans="1:10" x14ac:dyDescent="0.2">
      <c r="A111" s="32">
        <v>105</v>
      </c>
      <c r="B111" s="1" t="s">
        <v>431</v>
      </c>
      <c r="C111" s="32">
        <v>5981</v>
      </c>
      <c r="D111" s="1">
        <v>28000</v>
      </c>
      <c r="E111" s="1"/>
      <c r="F111" s="1">
        <v>311.94</v>
      </c>
      <c r="G111" s="1">
        <v>28000</v>
      </c>
      <c r="H111" s="5">
        <f t="shared" si="3"/>
        <v>0</v>
      </c>
      <c r="I111" s="1"/>
      <c r="J111" s="1"/>
    </row>
    <row r="112" spans="1:10" x14ac:dyDescent="0.2">
      <c r="A112" s="32">
        <v>106</v>
      </c>
      <c r="B112" s="1" t="s">
        <v>431</v>
      </c>
      <c r="C112" s="32">
        <v>9405</v>
      </c>
      <c r="D112" s="1">
        <v>10000</v>
      </c>
      <c r="E112" s="1"/>
      <c r="F112" s="1">
        <v>111.41</v>
      </c>
      <c r="G112" s="1">
        <v>10000</v>
      </c>
      <c r="H112" s="5">
        <f t="shared" si="3"/>
        <v>0</v>
      </c>
      <c r="I112" s="1"/>
      <c r="J112" s="1"/>
    </row>
    <row r="113" spans="1:10" x14ac:dyDescent="0.2">
      <c r="A113" s="32">
        <v>107</v>
      </c>
      <c r="B113" s="1" t="s">
        <v>431</v>
      </c>
      <c r="C113" s="32">
        <v>2.4400000000000002E-2</v>
      </c>
      <c r="D113" s="1">
        <v>12000</v>
      </c>
      <c r="E113" s="1"/>
      <c r="F113" s="1">
        <v>133.69</v>
      </c>
      <c r="G113" s="1">
        <v>12000</v>
      </c>
      <c r="H113" s="5">
        <f t="shared" si="3"/>
        <v>0</v>
      </c>
      <c r="I113" s="1"/>
      <c r="J113" s="1"/>
    </row>
    <row r="114" spans="1:10" x14ac:dyDescent="0.2">
      <c r="A114" s="32">
        <v>108</v>
      </c>
      <c r="B114" s="1" t="s">
        <v>431</v>
      </c>
      <c r="C114" s="32">
        <v>2864</v>
      </c>
      <c r="D114" s="1">
        <v>14000</v>
      </c>
      <c r="E114" s="1"/>
      <c r="F114" s="1">
        <v>155.24</v>
      </c>
      <c r="G114" s="1">
        <v>14000</v>
      </c>
      <c r="H114" s="5">
        <f t="shared" si="3"/>
        <v>0</v>
      </c>
      <c r="I114" s="1"/>
      <c r="J114" s="1"/>
    </row>
    <row r="115" spans="1:10" x14ac:dyDescent="0.2">
      <c r="A115" s="32">
        <v>109</v>
      </c>
      <c r="B115" s="1" t="s">
        <v>433</v>
      </c>
      <c r="C115" s="32">
        <v>3614</v>
      </c>
      <c r="D115" s="1">
        <v>18000</v>
      </c>
      <c r="E115" s="1"/>
      <c r="F115" s="1">
        <v>200.24</v>
      </c>
      <c r="G115" s="1">
        <v>18000</v>
      </c>
      <c r="H115" s="5">
        <f t="shared" si="3"/>
        <v>0</v>
      </c>
      <c r="I115" s="1"/>
      <c r="J115" s="1"/>
    </row>
    <row r="116" spans="1:10" x14ac:dyDescent="0.2">
      <c r="A116" s="32">
        <v>110</v>
      </c>
      <c r="B116" s="1" t="s">
        <v>433</v>
      </c>
      <c r="C116" s="32">
        <v>5076</v>
      </c>
      <c r="D116" s="1">
        <v>18000</v>
      </c>
      <c r="E116" s="1"/>
      <c r="F116" s="1">
        <v>200.24</v>
      </c>
      <c r="G116" s="1">
        <v>18000</v>
      </c>
      <c r="H116" s="5">
        <f t="shared" si="3"/>
        <v>0</v>
      </c>
      <c r="I116" s="1"/>
      <c r="J116" s="1"/>
    </row>
    <row r="117" spans="1:10" x14ac:dyDescent="0.2">
      <c r="A117" s="32">
        <v>111</v>
      </c>
      <c r="B117" s="1" t="s">
        <v>433</v>
      </c>
      <c r="C117" s="32">
        <v>5.1000000000000004E-3</v>
      </c>
      <c r="D117" s="1">
        <v>17000</v>
      </c>
      <c r="E117" s="1"/>
      <c r="F117" s="1">
        <v>178.52</v>
      </c>
      <c r="G117" s="1">
        <v>17000</v>
      </c>
      <c r="H117" s="5">
        <f t="shared" si="3"/>
        <v>0</v>
      </c>
      <c r="I117" s="1"/>
      <c r="J117" s="1"/>
    </row>
    <row r="118" spans="1:10" x14ac:dyDescent="0.2">
      <c r="A118" s="32">
        <v>112</v>
      </c>
      <c r="B118" s="1" t="s">
        <v>433</v>
      </c>
      <c r="C118" s="32">
        <v>3971</v>
      </c>
      <c r="D118" s="1">
        <v>16500</v>
      </c>
      <c r="E118" s="1"/>
      <c r="F118" s="1">
        <v>183.24</v>
      </c>
      <c r="G118" s="1">
        <v>16500</v>
      </c>
      <c r="H118" s="5">
        <f t="shared" si="3"/>
        <v>0</v>
      </c>
      <c r="I118" s="1"/>
      <c r="J118" s="1"/>
    </row>
    <row r="119" spans="1:10" x14ac:dyDescent="0.2">
      <c r="A119" s="32">
        <v>113</v>
      </c>
      <c r="B119" s="1" t="s">
        <v>433</v>
      </c>
      <c r="C119" s="32" t="s">
        <v>30</v>
      </c>
      <c r="D119" s="1">
        <v>5400</v>
      </c>
      <c r="E119" s="1"/>
      <c r="F119" s="1">
        <v>60.12</v>
      </c>
      <c r="G119" s="1">
        <v>5400</v>
      </c>
      <c r="H119" s="5">
        <f t="shared" si="3"/>
        <v>0</v>
      </c>
      <c r="I119" s="1"/>
      <c r="J119" s="1"/>
    </row>
    <row r="120" spans="1:10" x14ac:dyDescent="0.2">
      <c r="A120" s="32">
        <v>114</v>
      </c>
      <c r="B120" s="1" t="s">
        <v>433</v>
      </c>
      <c r="C120" s="32">
        <v>6667</v>
      </c>
      <c r="D120" s="1">
        <v>20000</v>
      </c>
      <c r="E120" s="1"/>
      <c r="F120" s="1">
        <v>220.22</v>
      </c>
      <c r="G120" s="1">
        <v>20000</v>
      </c>
      <c r="H120" s="5">
        <f t="shared" si="3"/>
        <v>0</v>
      </c>
      <c r="I120" s="1"/>
      <c r="J120" s="1"/>
    </row>
    <row r="121" spans="1:10" x14ac:dyDescent="0.2">
      <c r="A121" s="32">
        <v>115</v>
      </c>
      <c r="B121" s="1" t="s">
        <v>433</v>
      </c>
      <c r="C121" s="32">
        <v>1922</v>
      </c>
      <c r="D121" s="1">
        <v>23000</v>
      </c>
      <c r="E121" s="1"/>
      <c r="F121" s="1">
        <v>256.45</v>
      </c>
      <c r="G121" s="1">
        <v>23000</v>
      </c>
      <c r="H121" s="5">
        <f t="shared" si="3"/>
        <v>0</v>
      </c>
      <c r="I121" s="1"/>
      <c r="J121" s="1"/>
    </row>
    <row r="122" spans="1:10" x14ac:dyDescent="0.2">
      <c r="A122" s="32">
        <v>116</v>
      </c>
      <c r="B122" s="1" t="s">
        <v>433</v>
      </c>
      <c r="C122" s="32">
        <v>1842</v>
      </c>
      <c r="D122" s="1">
        <v>13000</v>
      </c>
      <c r="E122" s="1"/>
      <c r="F122" s="1">
        <v>144.12</v>
      </c>
      <c r="G122" s="1">
        <v>13000</v>
      </c>
      <c r="H122" s="5">
        <f t="shared" si="3"/>
        <v>0</v>
      </c>
      <c r="I122" s="1"/>
      <c r="J122" s="1"/>
    </row>
    <row r="123" spans="1:10" x14ac:dyDescent="0.2">
      <c r="A123" s="32">
        <v>117</v>
      </c>
      <c r="B123" s="1" t="s">
        <v>433</v>
      </c>
      <c r="C123" s="32">
        <v>9666</v>
      </c>
      <c r="D123" s="1">
        <v>13000</v>
      </c>
      <c r="E123" s="1"/>
      <c r="F123" s="1">
        <v>144.12</v>
      </c>
      <c r="G123" s="1">
        <v>13000</v>
      </c>
      <c r="H123" s="5">
        <f t="shared" si="3"/>
        <v>0</v>
      </c>
      <c r="I123" s="1"/>
      <c r="J123" s="1"/>
    </row>
    <row r="124" spans="1:10" x14ac:dyDescent="0.2">
      <c r="A124" s="32">
        <v>118</v>
      </c>
      <c r="B124" s="1" t="s">
        <v>433</v>
      </c>
      <c r="C124" s="32">
        <v>9979</v>
      </c>
      <c r="D124" s="1">
        <v>13000</v>
      </c>
      <c r="E124" s="1"/>
      <c r="F124" s="1">
        <v>144.12</v>
      </c>
      <c r="G124" s="1">
        <v>13000</v>
      </c>
      <c r="H124" s="5">
        <f t="shared" si="3"/>
        <v>0</v>
      </c>
      <c r="I124" s="1"/>
      <c r="J124" s="1"/>
    </row>
    <row r="125" spans="1:10" x14ac:dyDescent="0.2">
      <c r="A125" s="32">
        <v>119</v>
      </c>
      <c r="B125" s="1" t="s">
        <v>433</v>
      </c>
      <c r="C125" s="32">
        <v>5112</v>
      </c>
      <c r="D125" s="1">
        <v>13000</v>
      </c>
      <c r="E125" s="1"/>
      <c r="F125" s="1">
        <v>144.12</v>
      </c>
      <c r="G125" s="1">
        <v>13000</v>
      </c>
      <c r="H125" s="5">
        <f t="shared" si="3"/>
        <v>0</v>
      </c>
      <c r="I125" s="1"/>
      <c r="J125" s="1"/>
    </row>
    <row r="126" spans="1:10" x14ac:dyDescent="0.2">
      <c r="A126" s="32">
        <v>120</v>
      </c>
      <c r="B126" s="1" t="s">
        <v>433</v>
      </c>
      <c r="C126" s="32">
        <v>9669</v>
      </c>
      <c r="D126" s="1">
        <v>13000</v>
      </c>
      <c r="E126" s="1"/>
      <c r="F126" s="1">
        <v>144.12</v>
      </c>
      <c r="G126" s="1">
        <v>13000</v>
      </c>
      <c r="H126" s="5">
        <f t="shared" si="3"/>
        <v>0</v>
      </c>
      <c r="I126" s="1"/>
      <c r="J126" s="1"/>
    </row>
    <row r="127" spans="1:10" x14ac:dyDescent="0.2">
      <c r="A127" s="32">
        <v>121</v>
      </c>
      <c r="B127" s="1" t="s">
        <v>433</v>
      </c>
      <c r="C127" s="32">
        <v>9978</v>
      </c>
      <c r="D127" s="1">
        <v>13000</v>
      </c>
      <c r="E127" s="1"/>
      <c r="F127" s="1">
        <v>144.12</v>
      </c>
      <c r="G127" s="1">
        <v>13000</v>
      </c>
      <c r="H127" s="5">
        <f t="shared" si="3"/>
        <v>0</v>
      </c>
      <c r="I127" s="1"/>
      <c r="J127" s="1"/>
    </row>
    <row r="128" spans="1:10" x14ac:dyDescent="0.2">
      <c r="A128" s="32">
        <v>122</v>
      </c>
      <c r="B128" s="1" t="s">
        <v>433</v>
      </c>
      <c r="C128" s="32">
        <v>6271</v>
      </c>
      <c r="D128" s="1">
        <v>20000</v>
      </c>
      <c r="E128" s="1"/>
      <c r="F128" s="1">
        <v>220.22</v>
      </c>
      <c r="G128" s="1">
        <v>20000</v>
      </c>
      <c r="H128" s="5">
        <f t="shared" si="3"/>
        <v>0</v>
      </c>
      <c r="I128" s="1"/>
      <c r="J128" s="1"/>
    </row>
    <row r="129" spans="1:10" x14ac:dyDescent="0.2">
      <c r="A129" s="32">
        <v>123</v>
      </c>
      <c r="B129" s="1" t="s">
        <v>433</v>
      </c>
      <c r="C129" s="32">
        <v>8902</v>
      </c>
      <c r="D129" s="1">
        <v>30000</v>
      </c>
      <c r="E129" s="1"/>
      <c r="F129" s="1">
        <v>334.24</v>
      </c>
      <c r="G129" s="1">
        <v>30000</v>
      </c>
      <c r="H129" s="5">
        <f t="shared" si="3"/>
        <v>0</v>
      </c>
      <c r="I129" s="1"/>
      <c r="J129" s="1"/>
    </row>
    <row r="130" spans="1:10" x14ac:dyDescent="0.2">
      <c r="A130" s="32">
        <v>124</v>
      </c>
      <c r="B130" s="1" t="s">
        <v>433</v>
      </c>
      <c r="C130" s="32">
        <v>1.6500000000000001E-2</v>
      </c>
      <c r="D130" s="1">
        <v>13000</v>
      </c>
      <c r="E130" s="1"/>
      <c r="F130" s="1">
        <v>144.22</v>
      </c>
      <c r="G130" s="1">
        <v>13000</v>
      </c>
      <c r="H130" s="5">
        <f t="shared" si="3"/>
        <v>0</v>
      </c>
      <c r="I130" s="1"/>
      <c r="J130" s="1"/>
    </row>
    <row r="131" spans="1:10" x14ac:dyDescent="0.2">
      <c r="A131" s="32">
        <v>125</v>
      </c>
      <c r="B131" s="1" t="s">
        <v>433</v>
      </c>
      <c r="C131" s="32">
        <v>8327</v>
      </c>
      <c r="D131" s="1">
        <v>17000</v>
      </c>
      <c r="E131" s="1"/>
      <c r="F131" s="1">
        <v>189.21</v>
      </c>
      <c r="G131" s="1">
        <v>17000</v>
      </c>
      <c r="H131" s="5">
        <f t="shared" si="3"/>
        <v>0</v>
      </c>
      <c r="I131" s="1"/>
      <c r="J131" s="1"/>
    </row>
    <row r="132" spans="1:10" x14ac:dyDescent="0.2">
      <c r="A132" s="32">
        <v>126</v>
      </c>
      <c r="B132" s="1" t="s">
        <v>433</v>
      </c>
      <c r="C132" s="32">
        <v>5077</v>
      </c>
      <c r="D132" s="1">
        <v>18000</v>
      </c>
      <c r="E132" s="1"/>
      <c r="F132" s="1">
        <v>200.24</v>
      </c>
      <c r="G132" s="1">
        <v>18000</v>
      </c>
      <c r="H132" s="5">
        <f t="shared" si="3"/>
        <v>0</v>
      </c>
      <c r="I132" s="1"/>
      <c r="J132" s="1"/>
    </row>
    <row r="133" spans="1:10" x14ac:dyDescent="0.2">
      <c r="A133" s="32">
        <v>127</v>
      </c>
      <c r="B133" s="1" t="s">
        <v>433</v>
      </c>
      <c r="C133" s="32">
        <v>6035</v>
      </c>
      <c r="D133" s="1">
        <v>23000</v>
      </c>
      <c r="E133" s="1"/>
      <c r="F133" s="1">
        <v>256.45</v>
      </c>
      <c r="G133" s="1">
        <v>23000</v>
      </c>
      <c r="H133" s="5">
        <f t="shared" si="3"/>
        <v>0</v>
      </c>
      <c r="I133" s="1"/>
      <c r="J133" s="1"/>
    </row>
    <row r="134" spans="1:10" x14ac:dyDescent="0.2">
      <c r="A134" s="32">
        <v>128</v>
      </c>
      <c r="B134" s="1" t="s">
        <v>433</v>
      </c>
      <c r="C134" s="32">
        <v>3361</v>
      </c>
      <c r="D134" s="1">
        <v>10000</v>
      </c>
      <c r="E134" s="1"/>
      <c r="F134" s="1">
        <v>111.25</v>
      </c>
      <c r="G134" s="1">
        <v>10000</v>
      </c>
      <c r="H134" s="5">
        <f t="shared" si="3"/>
        <v>0</v>
      </c>
      <c r="I134" s="1"/>
      <c r="J134" s="1"/>
    </row>
    <row r="135" spans="1:10" x14ac:dyDescent="0.2">
      <c r="A135" s="32">
        <v>129</v>
      </c>
      <c r="B135" s="1" t="s">
        <v>433</v>
      </c>
      <c r="C135" s="32">
        <v>6496</v>
      </c>
      <c r="D135" s="1">
        <v>14000</v>
      </c>
      <c r="E135" s="1"/>
      <c r="F135" s="1">
        <v>155.13999999999999</v>
      </c>
      <c r="G135" s="1">
        <v>14000</v>
      </c>
      <c r="H135" s="5">
        <f t="shared" ref="H135:H166" si="4">D135-G135</f>
        <v>0</v>
      </c>
      <c r="I135" s="1"/>
      <c r="J135" s="1"/>
    </row>
    <row r="136" spans="1:10" x14ac:dyDescent="0.2">
      <c r="A136" s="32">
        <v>130</v>
      </c>
      <c r="B136" s="1" t="s">
        <v>433</v>
      </c>
      <c r="C136" s="32">
        <v>3365</v>
      </c>
      <c r="D136" s="1">
        <v>13000</v>
      </c>
      <c r="E136" s="1"/>
      <c r="F136" s="1">
        <v>144.12</v>
      </c>
      <c r="G136" s="1">
        <v>13000</v>
      </c>
      <c r="H136" s="5">
        <f t="shared" si="4"/>
        <v>0</v>
      </c>
      <c r="I136" s="1"/>
      <c r="J136" s="1"/>
    </row>
    <row r="137" spans="1:10" x14ac:dyDescent="0.2">
      <c r="A137" s="32">
        <v>131</v>
      </c>
      <c r="B137" s="1" t="s">
        <v>433</v>
      </c>
      <c r="C137" s="32">
        <v>9668</v>
      </c>
      <c r="D137" s="1">
        <v>13000</v>
      </c>
      <c r="E137" s="1"/>
      <c r="F137" s="1">
        <v>144.12</v>
      </c>
      <c r="G137" s="1">
        <v>13000</v>
      </c>
      <c r="H137" s="5">
        <f t="shared" si="4"/>
        <v>0</v>
      </c>
      <c r="I137" s="1"/>
      <c r="J137" s="1"/>
    </row>
    <row r="138" spans="1:10" x14ac:dyDescent="0.2">
      <c r="A138" s="32">
        <v>132</v>
      </c>
      <c r="B138" s="1" t="s">
        <v>433</v>
      </c>
      <c r="C138" s="32">
        <v>3862</v>
      </c>
      <c r="D138" s="1">
        <v>18000</v>
      </c>
      <c r="E138" s="1"/>
      <c r="F138" s="1">
        <v>200.24</v>
      </c>
      <c r="G138" s="1">
        <v>18000</v>
      </c>
      <c r="H138" s="5">
        <f t="shared" si="4"/>
        <v>0</v>
      </c>
      <c r="I138" s="1"/>
      <c r="J138" s="1"/>
    </row>
    <row r="139" spans="1:10" x14ac:dyDescent="0.2">
      <c r="A139" s="32">
        <v>133</v>
      </c>
      <c r="B139" s="1" t="s">
        <v>433</v>
      </c>
      <c r="C139" s="32">
        <v>9905</v>
      </c>
      <c r="D139" s="1">
        <v>5000</v>
      </c>
      <c r="E139" s="1"/>
      <c r="F139" s="1">
        <v>55.13</v>
      </c>
      <c r="G139" s="1">
        <v>5000</v>
      </c>
      <c r="H139" s="5">
        <f t="shared" si="4"/>
        <v>0</v>
      </c>
      <c r="I139" s="1"/>
      <c r="J139" s="1"/>
    </row>
    <row r="140" spans="1:10" x14ac:dyDescent="0.2">
      <c r="A140" s="32">
        <v>134</v>
      </c>
      <c r="B140" s="1" t="s">
        <v>433</v>
      </c>
      <c r="C140" s="32">
        <v>9906</v>
      </c>
      <c r="D140" s="1">
        <v>5000</v>
      </c>
      <c r="E140" s="1"/>
      <c r="F140" s="1">
        <v>55.13</v>
      </c>
      <c r="G140" s="1">
        <v>5000</v>
      </c>
      <c r="H140" s="5">
        <f t="shared" si="4"/>
        <v>0</v>
      </c>
      <c r="I140" s="1"/>
      <c r="J140" s="1"/>
    </row>
    <row r="141" spans="1:10" x14ac:dyDescent="0.2">
      <c r="A141" s="32">
        <v>135</v>
      </c>
      <c r="B141" s="1" t="s">
        <v>433</v>
      </c>
      <c r="C141" s="32">
        <v>8440</v>
      </c>
      <c r="D141" s="1">
        <v>18000</v>
      </c>
      <c r="E141" s="1"/>
      <c r="F141" s="1">
        <v>200.24</v>
      </c>
      <c r="G141" s="1">
        <v>18000</v>
      </c>
      <c r="H141" s="5">
        <f t="shared" si="4"/>
        <v>0</v>
      </c>
      <c r="I141" s="1"/>
      <c r="J141" s="1"/>
    </row>
    <row r="142" spans="1:10" x14ac:dyDescent="0.2">
      <c r="A142" s="32">
        <v>136</v>
      </c>
      <c r="B142" s="1" t="s">
        <v>433</v>
      </c>
      <c r="C142" s="32" t="s">
        <v>30</v>
      </c>
      <c r="D142" s="1">
        <v>5000</v>
      </c>
      <c r="E142" s="1"/>
      <c r="F142" s="1">
        <v>55.13</v>
      </c>
      <c r="G142" s="1">
        <v>5000</v>
      </c>
      <c r="H142" s="5">
        <f t="shared" si="4"/>
        <v>0</v>
      </c>
      <c r="I142" s="1"/>
      <c r="J142" s="1"/>
    </row>
    <row r="143" spans="1:10" x14ac:dyDescent="0.2">
      <c r="A143" s="32">
        <v>137</v>
      </c>
      <c r="B143" s="1" t="s">
        <v>433</v>
      </c>
      <c r="C143" s="32">
        <v>3665</v>
      </c>
      <c r="D143" s="1">
        <v>15000</v>
      </c>
      <c r="E143" s="1"/>
      <c r="F143" s="1">
        <v>167.15</v>
      </c>
      <c r="G143" s="1">
        <v>15000</v>
      </c>
      <c r="H143" s="5">
        <f t="shared" si="4"/>
        <v>0</v>
      </c>
      <c r="I143" s="1"/>
      <c r="J143" s="1"/>
    </row>
    <row r="144" spans="1:10" x14ac:dyDescent="0.2">
      <c r="A144" s="32">
        <v>138</v>
      </c>
      <c r="B144" s="1" t="s">
        <v>433</v>
      </c>
      <c r="C144" s="32">
        <v>4451</v>
      </c>
      <c r="D144" s="1">
        <v>18000</v>
      </c>
      <c r="E144" s="1"/>
      <c r="F144" s="1">
        <v>200.24</v>
      </c>
      <c r="G144" s="1">
        <v>18000</v>
      </c>
      <c r="H144" s="5">
        <f t="shared" si="4"/>
        <v>0</v>
      </c>
      <c r="I144" s="1"/>
      <c r="J144" s="1"/>
    </row>
    <row r="145" spans="1:10" x14ac:dyDescent="0.2">
      <c r="A145" s="32">
        <v>139</v>
      </c>
      <c r="B145" s="1" t="s">
        <v>433</v>
      </c>
      <c r="C145" s="32">
        <v>5668</v>
      </c>
      <c r="D145" s="1">
        <v>23000</v>
      </c>
      <c r="E145" s="1"/>
      <c r="F145" s="1">
        <v>256.25</v>
      </c>
      <c r="G145" s="1">
        <v>23000</v>
      </c>
      <c r="H145" s="5">
        <f t="shared" si="4"/>
        <v>0</v>
      </c>
      <c r="I145" s="1"/>
      <c r="J145" s="1"/>
    </row>
    <row r="146" spans="1:10" x14ac:dyDescent="0.2">
      <c r="A146" s="32">
        <v>140</v>
      </c>
      <c r="B146" s="1" t="s">
        <v>433</v>
      </c>
      <c r="C146" s="32">
        <v>7266</v>
      </c>
      <c r="D146" s="1">
        <v>30000</v>
      </c>
      <c r="E146" s="1"/>
      <c r="F146" s="1">
        <v>323.25</v>
      </c>
      <c r="G146" s="1">
        <v>30000</v>
      </c>
      <c r="H146" s="5">
        <f t="shared" si="4"/>
        <v>0</v>
      </c>
      <c r="I146" s="1"/>
      <c r="J146" s="1"/>
    </row>
    <row r="147" spans="1:10" x14ac:dyDescent="0.2">
      <c r="A147" s="32">
        <v>141</v>
      </c>
      <c r="B147" s="1" t="s">
        <v>433</v>
      </c>
      <c r="C147" s="32">
        <v>4124</v>
      </c>
      <c r="D147" s="1">
        <v>30000</v>
      </c>
      <c r="E147" s="1"/>
      <c r="F147" s="1">
        <v>323.25</v>
      </c>
      <c r="G147" s="1">
        <v>30000</v>
      </c>
      <c r="H147" s="5">
        <f t="shared" si="4"/>
        <v>0</v>
      </c>
      <c r="I147" s="1"/>
      <c r="J147" s="1"/>
    </row>
    <row r="148" spans="1:10" x14ac:dyDescent="0.2">
      <c r="A148" s="32">
        <v>142</v>
      </c>
      <c r="B148" s="1" t="s">
        <v>433</v>
      </c>
      <c r="C148" s="32">
        <v>5172</v>
      </c>
      <c r="D148" s="1">
        <v>40000</v>
      </c>
      <c r="E148" s="1"/>
      <c r="F148" s="1">
        <v>444.35</v>
      </c>
      <c r="G148" s="1">
        <v>40000</v>
      </c>
      <c r="H148" s="5">
        <f t="shared" si="4"/>
        <v>0</v>
      </c>
      <c r="I148" s="1"/>
      <c r="J148" s="1"/>
    </row>
    <row r="149" spans="1:10" x14ac:dyDescent="0.2">
      <c r="A149" s="32">
        <v>143</v>
      </c>
      <c r="B149" s="1" t="s">
        <v>433</v>
      </c>
      <c r="C149" s="32">
        <v>6.7199999999999996E-2</v>
      </c>
      <c r="D149" s="1">
        <v>40000</v>
      </c>
      <c r="E149" s="1"/>
      <c r="F149" s="1">
        <v>444.35</v>
      </c>
      <c r="G149" s="1">
        <v>40000</v>
      </c>
      <c r="H149" s="5">
        <f t="shared" si="4"/>
        <v>0</v>
      </c>
      <c r="I149" s="1"/>
      <c r="J149" s="1"/>
    </row>
    <row r="150" spans="1:10" x14ac:dyDescent="0.2">
      <c r="A150" s="32">
        <v>144</v>
      </c>
      <c r="B150" s="1" t="s">
        <v>433</v>
      </c>
      <c r="C150" s="32">
        <v>2131</v>
      </c>
      <c r="D150" s="1">
        <v>23000</v>
      </c>
      <c r="E150" s="1"/>
      <c r="F150" s="1">
        <v>250.56</v>
      </c>
      <c r="G150" s="1">
        <v>23000</v>
      </c>
      <c r="H150" s="5">
        <f t="shared" si="4"/>
        <v>0</v>
      </c>
      <c r="I150" s="1"/>
      <c r="J150" s="1"/>
    </row>
    <row r="151" spans="1:10" x14ac:dyDescent="0.2">
      <c r="A151" s="32">
        <v>145</v>
      </c>
      <c r="B151" s="1" t="s">
        <v>434</v>
      </c>
      <c r="C151" s="32" t="s">
        <v>30</v>
      </c>
      <c r="D151" s="1">
        <v>4500</v>
      </c>
      <c r="E151" s="1"/>
      <c r="F151" s="1">
        <v>45.12</v>
      </c>
      <c r="G151" s="1">
        <v>4500</v>
      </c>
      <c r="H151" s="5">
        <f t="shared" si="4"/>
        <v>0</v>
      </c>
      <c r="I151" s="1"/>
      <c r="J151" s="1"/>
    </row>
    <row r="152" spans="1:10" x14ac:dyDescent="0.2">
      <c r="A152" s="32">
        <v>146</v>
      </c>
      <c r="B152" s="1" t="s">
        <v>434</v>
      </c>
      <c r="C152" s="32">
        <v>3870</v>
      </c>
      <c r="D152" s="1">
        <v>20000</v>
      </c>
      <c r="E152" s="1"/>
      <c r="F152" s="1">
        <v>228.15</v>
      </c>
      <c r="G152" s="1">
        <v>20000</v>
      </c>
      <c r="H152" s="5">
        <f t="shared" si="4"/>
        <v>0</v>
      </c>
      <c r="I152" s="1"/>
      <c r="J152" s="1"/>
    </row>
    <row r="153" spans="1:10" x14ac:dyDescent="0.2">
      <c r="A153" s="32">
        <v>147</v>
      </c>
      <c r="B153" s="1" t="s">
        <v>434</v>
      </c>
      <c r="C153" s="32">
        <v>8046</v>
      </c>
      <c r="D153" s="1">
        <v>28000</v>
      </c>
      <c r="E153" s="1"/>
      <c r="F153" s="1">
        <v>344.25</v>
      </c>
      <c r="G153" s="1">
        <v>28000</v>
      </c>
      <c r="H153" s="5">
        <f t="shared" si="4"/>
        <v>0</v>
      </c>
      <c r="I153" s="1"/>
      <c r="J153" s="1"/>
    </row>
    <row r="154" spans="1:10" x14ac:dyDescent="0.2">
      <c r="A154" s="32">
        <v>148</v>
      </c>
      <c r="B154" s="1" t="s">
        <v>434</v>
      </c>
      <c r="C154" s="32">
        <v>3855</v>
      </c>
      <c r="D154" s="1">
        <v>15000</v>
      </c>
      <c r="E154" s="1"/>
      <c r="F154" s="1">
        <v>167.15</v>
      </c>
      <c r="G154" s="1">
        <v>15000</v>
      </c>
      <c r="H154" s="5">
        <f t="shared" si="4"/>
        <v>0</v>
      </c>
      <c r="I154" s="1"/>
      <c r="J154" s="1"/>
    </row>
    <row r="155" spans="1:10" x14ac:dyDescent="0.2">
      <c r="A155" s="32">
        <v>149</v>
      </c>
      <c r="B155" s="1" t="s">
        <v>434</v>
      </c>
      <c r="C155" s="32">
        <v>6214</v>
      </c>
      <c r="D155" s="1">
        <v>17000</v>
      </c>
      <c r="E155" s="1"/>
      <c r="F155" s="1">
        <v>189.25</v>
      </c>
      <c r="G155" s="1">
        <v>17000</v>
      </c>
      <c r="H155" s="5">
        <f t="shared" si="4"/>
        <v>0</v>
      </c>
      <c r="I155" s="1"/>
      <c r="J155" s="1"/>
    </row>
    <row r="156" spans="1:10" x14ac:dyDescent="0.2">
      <c r="A156" s="32">
        <v>150</v>
      </c>
      <c r="B156" s="1" t="s">
        <v>434</v>
      </c>
      <c r="C156" s="32">
        <v>2973</v>
      </c>
      <c r="D156" s="1">
        <v>16000</v>
      </c>
      <c r="E156" s="1"/>
      <c r="F156" s="1">
        <v>178.22</v>
      </c>
      <c r="G156" s="1">
        <v>16000</v>
      </c>
      <c r="H156" s="5">
        <f t="shared" si="4"/>
        <v>0</v>
      </c>
      <c r="I156" s="1"/>
      <c r="J156" s="1"/>
    </row>
    <row r="157" spans="1:10" x14ac:dyDescent="0.2">
      <c r="A157" s="32">
        <v>151</v>
      </c>
      <c r="B157" s="1" t="s">
        <v>434</v>
      </c>
      <c r="C157" s="32">
        <v>4282</v>
      </c>
      <c r="D157" s="1">
        <v>16000</v>
      </c>
      <c r="E157" s="1"/>
      <c r="F157" s="1">
        <v>178.22</v>
      </c>
      <c r="G157" s="1">
        <v>16000</v>
      </c>
      <c r="H157" s="5">
        <f t="shared" si="4"/>
        <v>0</v>
      </c>
      <c r="I157" s="1"/>
      <c r="J157" s="1"/>
    </row>
    <row r="158" spans="1:10" x14ac:dyDescent="0.2">
      <c r="A158" s="32">
        <v>152</v>
      </c>
      <c r="B158" s="1" t="s">
        <v>434</v>
      </c>
      <c r="C158" s="32">
        <v>5958</v>
      </c>
      <c r="D158" s="1">
        <v>16000</v>
      </c>
      <c r="E158" s="1"/>
      <c r="F158" s="1">
        <v>178.22</v>
      </c>
      <c r="G158" s="1">
        <v>16000</v>
      </c>
      <c r="H158" s="5">
        <f t="shared" si="4"/>
        <v>0</v>
      </c>
      <c r="I158" s="1"/>
      <c r="J158" s="1"/>
    </row>
    <row r="159" spans="1:10" x14ac:dyDescent="0.2">
      <c r="A159" s="32">
        <v>153</v>
      </c>
      <c r="B159" s="1" t="s">
        <v>434</v>
      </c>
      <c r="C159" s="32" t="s">
        <v>30</v>
      </c>
      <c r="D159" s="1">
        <v>5000</v>
      </c>
      <c r="E159" s="1"/>
      <c r="F159" s="1">
        <v>55.13</v>
      </c>
      <c r="G159" s="1">
        <v>5000</v>
      </c>
      <c r="H159" s="5">
        <f t="shared" si="4"/>
        <v>0</v>
      </c>
      <c r="I159" s="1"/>
      <c r="J159" s="1"/>
    </row>
    <row r="160" spans="1:10" x14ac:dyDescent="0.2">
      <c r="A160" s="32">
        <v>154</v>
      </c>
      <c r="B160" s="1" t="s">
        <v>434</v>
      </c>
      <c r="C160" s="32">
        <v>4371</v>
      </c>
      <c r="D160" s="1">
        <v>12000</v>
      </c>
      <c r="E160" s="1"/>
      <c r="F160" s="1">
        <v>133.24</v>
      </c>
      <c r="G160" s="1">
        <v>12000</v>
      </c>
      <c r="H160" s="5">
        <f t="shared" si="4"/>
        <v>0</v>
      </c>
      <c r="I160" s="1"/>
      <c r="J160" s="1"/>
    </row>
    <row r="161" spans="1:10" x14ac:dyDescent="0.2">
      <c r="A161" s="32">
        <v>155</v>
      </c>
      <c r="B161" s="1" t="s">
        <v>434</v>
      </c>
      <c r="C161" s="32">
        <v>1266</v>
      </c>
      <c r="D161" s="1">
        <v>13000</v>
      </c>
      <c r="E161" s="1"/>
      <c r="F161" s="1">
        <v>144.13</v>
      </c>
      <c r="G161" s="1">
        <v>13000</v>
      </c>
      <c r="H161" s="5">
        <f t="shared" si="4"/>
        <v>0</v>
      </c>
      <c r="I161" s="1"/>
      <c r="J161" s="1"/>
    </row>
    <row r="162" spans="1:10" x14ac:dyDescent="0.2">
      <c r="A162" s="32">
        <v>156</v>
      </c>
      <c r="B162" s="1" t="s">
        <v>434</v>
      </c>
      <c r="C162" s="32">
        <v>7071</v>
      </c>
      <c r="D162" s="1">
        <v>15000</v>
      </c>
      <c r="E162" s="1"/>
      <c r="F162" s="1">
        <v>167.15</v>
      </c>
      <c r="G162" s="1">
        <v>15000</v>
      </c>
      <c r="H162" s="5">
        <f t="shared" si="4"/>
        <v>0</v>
      </c>
      <c r="I162" s="1"/>
      <c r="J162" s="1"/>
    </row>
    <row r="163" spans="1:10" x14ac:dyDescent="0.2">
      <c r="A163" s="32">
        <v>157</v>
      </c>
      <c r="B163" s="1" t="s">
        <v>434</v>
      </c>
      <c r="C163" s="32">
        <v>6033</v>
      </c>
      <c r="D163" s="1">
        <v>15000</v>
      </c>
      <c r="E163" s="1"/>
      <c r="F163" s="1">
        <v>167.15</v>
      </c>
      <c r="G163" s="1">
        <v>15000</v>
      </c>
      <c r="H163" s="5">
        <f t="shared" si="4"/>
        <v>0</v>
      </c>
      <c r="I163" s="1"/>
      <c r="J163" s="1"/>
    </row>
    <row r="164" spans="1:10" x14ac:dyDescent="0.2">
      <c r="A164" s="32">
        <v>158</v>
      </c>
      <c r="B164" s="1" t="s">
        <v>434</v>
      </c>
      <c r="C164" s="32">
        <v>5252</v>
      </c>
      <c r="D164" s="1">
        <v>16000</v>
      </c>
      <c r="E164" s="1"/>
      <c r="F164" s="1">
        <v>178.22</v>
      </c>
      <c r="G164" s="1">
        <v>16000</v>
      </c>
      <c r="H164" s="5">
        <f t="shared" si="4"/>
        <v>0</v>
      </c>
      <c r="I164" s="1"/>
      <c r="J164" s="1"/>
    </row>
    <row r="165" spans="1:10" x14ac:dyDescent="0.2">
      <c r="A165" s="32">
        <v>159</v>
      </c>
      <c r="B165" s="1" t="s">
        <v>434</v>
      </c>
      <c r="C165" s="32">
        <v>5151</v>
      </c>
      <c r="D165" s="1">
        <v>17000</v>
      </c>
      <c r="E165" s="1"/>
      <c r="F165" s="1">
        <v>189.25</v>
      </c>
      <c r="G165" s="1">
        <v>17000</v>
      </c>
      <c r="H165" s="5">
        <f t="shared" si="4"/>
        <v>0</v>
      </c>
      <c r="I165" s="1"/>
      <c r="J165" s="1"/>
    </row>
    <row r="166" spans="1:10" x14ac:dyDescent="0.2">
      <c r="A166" s="32">
        <v>160</v>
      </c>
      <c r="B166" s="1" t="s">
        <v>434</v>
      </c>
      <c r="C166" s="32">
        <v>4031</v>
      </c>
      <c r="D166" s="1">
        <v>15000</v>
      </c>
      <c r="E166" s="1"/>
      <c r="F166" s="1">
        <v>167.15</v>
      </c>
      <c r="G166" s="1">
        <v>15000</v>
      </c>
      <c r="H166" s="5">
        <f t="shared" si="4"/>
        <v>0</v>
      </c>
      <c r="I166" s="1"/>
      <c r="J166" s="1"/>
    </row>
    <row r="167" spans="1:10" x14ac:dyDescent="0.2">
      <c r="A167" s="32">
        <v>161</v>
      </c>
      <c r="B167" s="1" t="s">
        <v>434</v>
      </c>
      <c r="C167" s="32">
        <v>3444</v>
      </c>
      <c r="D167" s="1">
        <v>20000</v>
      </c>
      <c r="E167" s="1"/>
      <c r="F167" s="1">
        <v>222.25</v>
      </c>
      <c r="G167" s="1">
        <v>20000</v>
      </c>
      <c r="H167" s="5">
        <f t="shared" ref="H167:H230" si="5">D167-G167</f>
        <v>0</v>
      </c>
      <c r="I167" s="1"/>
      <c r="J167" s="1"/>
    </row>
    <row r="168" spans="1:10" x14ac:dyDescent="0.2">
      <c r="A168" s="32">
        <v>162</v>
      </c>
      <c r="B168" s="1" t="s">
        <v>434</v>
      </c>
      <c r="C168" s="32">
        <v>8121</v>
      </c>
      <c r="D168" s="1">
        <v>20000</v>
      </c>
      <c r="E168" s="1"/>
      <c r="F168" s="1">
        <v>222.25</v>
      </c>
      <c r="G168" s="1">
        <v>20000</v>
      </c>
      <c r="H168" s="5">
        <f t="shared" si="5"/>
        <v>0</v>
      </c>
      <c r="I168" s="1"/>
      <c r="J168" s="1"/>
    </row>
    <row r="169" spans="1:10" x14ac:dyDescent="0.2">
      <c r="A169" s="32">
        <v>163</v>
      </c>
      <c r="B169" s="1" t="s">
        <v>434</v>
      </c>
      <c r="C169" s="32">
        <v>4936</v>
      </c>
      <c r="D169" s="1">
        <v>6000</v>
      </c>
      <c r="E169" s="1"/>
      <c r="F169" s="1">
        <v>66.84</v>
      </c>
      <c r="G169" s="1">
        <v>6000</v>
      </c>
      <c r="H169" s="5">
        <f t="shared" si="5"/>
        <v>0</v>
      </c>
      <c r="I169" s="1"/>
      <c r="J169" s="1"/>
    </row>
    <row r="170" spans="1:10" x14ac:dyDescent="0.2">
      <c r="A170" s="32">
        <v>164</v>
      </c>
      <c r="B170" s="1" t="s">
        <v>434</v>
      </c>
      <c r="C170" s="32">
        <v>8112</v>
      </c>
      <c r="D170" s="1">
        <v>27000</v>
      </c>
      <c r="E170" s="1"/>
      <c r="F170" s="1">
        <v>340.8</v>
      </c>
      <c r="G170" s="1">
        <v>27000</v>
      </c>
      <c r="H170" s="5">
        <f t="shared" si="5"/>
        <v>0</v>
      </c>
      <c r="I170" s="1"/>
      <c r="J170" s="1"/>
    </row>
    <row r="171" spans="1:10" x14ac:dyDescent="0.2">
      <c r="A171" s="32">
        <v>165</v>
      </c>
      <c r="B171" s="1" t="s">
        <v>434</v>
      </c>
      <c r="C171" s="32">
        <v>1263</v>
      </c>
      <c r="D171" s="1">
        <v>15000</v>
      </c>
      <c r="E171" s="1"/>
      <c r="F171" s="1">
        <v>167.11</v>
      </c>
      <c r="G171" s="1">
        <v>15000</v>
      </c>
      <c r="H171" s="5">
        <f t="shared" si="5"/>
        <v>0</v>
      </c>
      <c r="I171" s="1"/>
      <c r="J171" s="1"/>
    </row>
    <row r="172" spans="1:10" x14ac:dyDescent="0.2">
      <c r="A172" s="32">
        <v>166</v>
      </c>
      <c r="B172" s="1" t="s">
        <v>434</v>
      </c>
      <c r="C172" s="32" t="s">
        <v>66</v>
      </c>
      <c r="D172" s="1">
        <v>210</v>
      </c>
      <c r="E172" s="1"/>
      <c r="F172" s="1">
        <v>2.06</v>
      </c>
      <c r="G172" s="1">
        <v>210</v>
      </c>
      <c r="H172" s="5">
        <f t="shared" si="5"/>
        <v>0</v>
      </c>
      <c r="I172" s="1"/>
      <c r="J172" s="1"/>
    </row>
    <row r="173" spans="1:10" x14ac:dyDescent="0.2">
      <c r="A173" s="32">
        <v>167</v>
      </c>
      <c r="B173" s="1" t="s">
        <v>434</v>
      </c>
      <c r="C173" s="32" t="s">
        <v>66</v>
      </c>
      <c r="D173" s="1">
        <v>100</v>
      </c>
      <c r="E173" s="1"/>
      <c r="F173" s="1">
        <v>1.04</v>
      </c>
      <c r="G173" s="1">
        <v>100</v>
      </c>
      <c r="H173" s="5">
        <f t="shared" si="5"/>
        <v>0</v>
      </c>
      <c r="I173" s="1"/>
      <c r="J173" s="1"/>
    </row>
    <row r="174" spans="1:10" x14ac:dyDescent="0.2">
      <c r="A174" s="32">
        <v>168</v>
      </c>
      <c r="B174" s="1" t="s">
        <v>435</v>
      </c>
      <c r="C174" s="32">
        <v>9555</v>
      </c>
      <c r="D174" s="1">
        <v>15000</v>
      </c>
      <c r="E174" s="1"/>
      <c r="F174" s="1">
        <v>167.11</v>
      </c>
      <c r="G174" s="1">
        <v>15000</v>
      </c>
      <c r="H174" s="5">
        <f t="shared" si="5"/>
        <v>0</v>
      </c>
      <c r="I174" s="1"/>
      <c r="J174" s="1"/>
    </row>
    <row r="175" spans="1:10" x14ac:dyDescent="0.2">
      <c r="A175" s="32">
        <v>169</v>
      </c>
      <c r="B175" s="1" t="s">
        <v>435</v>
      </c>
      <c r="C175" s="32">
        <v>2067</v>
      </c>
      <c r="D175" s="1">
        <v>14000</v>
      </c>
      <c r="E175" s="1"/>
      <c r="F175" s="1">
        <v>155.12</v>
      </c>
      <c r="G175" s="1">
        <v>14000</v>
      </c>
      <c r="H175" s="5">
        <f t="shared" si="5"/>
        <v>0</v>
      </c>
      <c r="I175" s="1"/>
      <c r="J175" s="1"/>
    </row>
    <row r="176" spans="1:10" x14ac:dyDescent="0.2">
      <c r="A176" s="32">
        <v>170</v>
      </c>
      <c r="B176" s="1" t="s">
        <v>435</v>
      </c>
      <c r="C176" s="32">
        <v>3662</v>
      </c>
      <c r="D176" s="1">
        <v>18000</v>
      </c>
      <c r="E176" s="1"/>
      <c r="F176" s="1">
        <v>200.53</v>
      </c>
      <c r="G176" s="1">
        <v>18000</v>
      </c>
      <c r="H176" s="5">
        <f t="shared" si="5"/>
        <v>0</v>
      </c>
      <c r="I176" s="1"/>
    </row>
    <row r="177" spans="1:10" x14ac:dyDescent="0.2">
      <c r="A177" s="32">
        <v>171</v>
      </c>
      <c r="B177" s="1" t="s">
        <v>435</v>
      </c>
      <c r="C177" s="32">
        <v>5.1999999999999998E-3</v>
      </c>
      <c r="D177" s="1">
        <v>16000</v>
      </c>
      <c r="E177" s="1"/>
      <c r="F177" s="1">
        <v>178.52</v>
      </c>
      <c r="G177" s="1">
        <v>16000</v>
      </c>
      <c r="H177" s="5">
        <f t="shared" si="5"/>
        <v>0</v>
      </c>
      <c r="I177" s="1"/>
      <c r="J177" s="1"/>
    </row>
    <row r="178" spans="1:10" x14ac:dyDescent="0.2">
      <c r="A178" s="32">
        <v>172</v>
      </c>
      <c r="B178" s="1" t="s">
        <v>435</v>
      </c>
      <c r="C178" s="32">
        <v>3197</v>
      </c>
      <c r="D178" s="1">
        <v>15000</v>
      </c>
      <c r="E178" s="1"/>
      <c r="F178" s="1">
        <v>167.11</v>
      </c>
      <c r="G178" s="1">
        <v>15000</v>
      </c>
      <c r="H178" s="5">
        <f t="shared" si="5"/>
        <v>0</v>
      </c>
      <c r="I178" s="1"/>
      <c r="J178" s="1"/>
    </row>
    <row r="179" spans="1:10" x14ac:dyDescent="0.2">
      <c r="A179" s="32">
        <v>173</v>
      </c>
      <c r="B179" s="1" t="s">
        <v>435</v>
      </c>
      <c r="C179" s="32">
        <v>6496</v>
      </c>
      <c r="D179" s="1">
        <v>15000</v>
      </c>
      <c r="E179" s="1"/>
      <c r="F179" s="1">
        <v>167.11</v>
      </c>
      <c r="G179" s="1">
        <v>15000</v>
      </c>
      <c r="H179" s="5">
        <f t="shared" si="5"/>
        <v>0</v>
      </c>
      <c r="I179" s="1"/>
      <c r="J179" s="1"/>
    </row>
    <row r="180" spans="1:10" x14ac:dyDescent="0.2">
      <c r="A180" s="32">
        <v>174</v>
      </c>
      <c r="B180" s="1" t="s">
        <v>435</v>
      </c>
      <c r="C180" s="32">
        <v>7373</v>
      </c>
      <c r="D180" s="1">
        <v>30000</v>
      </c>
      <c r="E180" s="1"/>
      <c r="F180" s="1">
        <v>334.22</v>
      </c>
      <c r="G180" s="1">
        <v>30000</v>
      </c>
      <c r="H180" s="5">
        <f t="shared" si="5"/>
        <v>0</v>
      </c>
      <c r="I180" s="1"/>
      <c r="J180" s="1"/>
    </row>
    <row r="181" spans="1:10" x14ac:dyDescent="0.2">
      <c r="A181" s="32">
        <v>175</v>
      </c>
      <c r="B181" s="1" t="s">
        <v>435</v>
      </c>
      <c r="C181" s="32">
        <v>4965</v>
      </c>
      <c r="D181" s="1">
        <v>6000</v>
      </c>
      <c r="E181" s="1"/>
      <c r="F181" s="1">
        <v>65.12</v>
      </c>
      <c r="G181" s="1">
        <v>6000</v>
      </c>
      <c r="H181" s="5">
        <f t="shared" si="5"/>
        <v>0</v>
      </c>
      <c r="I181" s="1"/>
      <c r="J181" s="1"/>
    </row>
    <row r="182" spans="1:10" x14ac:dyDescent="0.2">
      <c r="A182" s="32">
        <v>176</v>
      </c>
      <c r="B182" s="1" t="s">
        <v>435</v>
      </c>
      <c r="C182" s="32">
        <v>5077</v>
      </c>
      <c r="D182" s="1">
        <v>18000</v>
      </c>
      <c r="E182" s="1"/>
      <c r="F182" s="1">
        <v>200.25</v>
      </c>
      <c r="G182" s="1">
        <v>18000</v>
      </c>
      <c r="H182" s="5">
        <f t="shared" si="5"/>
        <v>0</v>
      </c>
      <c r="I182" s="1"/>
      <c r="J182" s="1"/>
    </row>
    <row r="183" spans="1:10" x14ac:dyDescent="0.2">
      <c r="A183" s="32">
        <v>177</v>
      </c>
      <c r="B183" s="1" t="s">
        <v>435</v>
      </c>
      <c r="C183" s="32">
        <v>4451</v>
      </c>
      <c r="D183" s="1">
        <v>17000</v>
      </c>
      <c r="E183" s="1"/>
      <c r="F183" s="1">
        <v>189.47</v>
      </c>
      <c r="G183" s="1">
        <v>17000</v>
      </c>
      <c r="H183" s="5">
        <f t="shared" si="5"/>
        <v>0</v>
      </c>
      <c r="I183" s="1"/>
      <c r="J183" s="1"/>
    </row>
    <row r="184" spans="1:10" x14ac:dyDescent="0.2">
      <c r="A184" s="32">
        <v>178</v>
      </c>
      <c r="B184" s="1" t="s">
        <v>435</v>
      </c>
      <c r="C184" s="32">
        <v>1071</v>
      </c>
      <c r="D184" s="1">
        <v>13000</v>
      </c>
      <c r="E184" s="1"/>
      <c r="F184" s="1">
        <v>144.13999999999999</v>
      </c>
      <c r="G184" s="1">
        <v>13000</v>
      </c>
      <c r="H184" s="5">
        <f t="shared" si="5"/>
        <v>0</v>
      </c>
      <c r="I184" s="1"/>
      <c r="J184" s="1"/>
    </row>
    <row r="185" spans="1:10" x14ac:dyDescent="0.2">
      <c r="A185" s="32">
        <v>179</v>
      </c>
      <c r="B185" s="1" t="s">
        <v>435</v>
      </c>
      <c r="C185" s="32">
        <v>6.4699999999999994E-2</v>
      </c>
      <c r="D185" s="1">
        <v>14000</v>
      </c>
      <c r="E185" s="1"/>
      <c r="F185" s="1">
        <v>155.24</v>
      </c>
      <c r="G185" s="1">
        <v>14000</v>
      </c>
      <c r="H185" s="5">
        <f t="shared" si="5"/>
        <v>0</v>
      </c>
      <c r="I185" s="1"/>
      <c r="J185" s="1"/>
    </row>
    <row r="186" spans="1:10" x14ac:dyDescent="0.2">
      <c r="A186" s="32">
        <v>180</v>
      </c>
      <c r="B186" s="1" t="s">
        <v>435</v>
      </c>
      <c r="C186" s="32">
        <v>3941</v>
      </c>
      <c r="D186" s="1">
        <v>14000</v>
      </c>
      <c r="E186" s="1"/>
      <c r="F186" s="1">
        <v>155.24</v>
      </c>
      <c r="G186" s="1">
        <v>14000</v>
      </c>
      <c r="H186" s="5">
        <f t="shared" si="5"/>
        <v>0</v>
      </c>
      <c r="I186" s="1"/>
      <c r="J186" s="1"/>
    </row>
    <row r="187" spans="1:10" x14ac:dyDescent="0.2">
      <c r="A187" s="32">
        <v>181</v>
      </c>
      <c r="B187" s="1" t="s">
        <v>435</v>
      </c>
      <c r="C187" s="32">
        <v>5076</v>
      </c>
      <c r="D187" s="1">
        <v>18000</v>
      </c>
      <c r="E187" s="1"/>
      <c r="F187" s="1">
        <v>200.53</v>
      </c>
      <c r="G187" s="1">
        <v>18000</v>
      </c>
      <c r="H187" s="5">
        <f t="shared" si="5"/>
        <v>0</v>
      </c>
      <c r="I187" s="1"/>
      <c r="J187" s="1"/>
    </row>
    <row r="188" spans="1:10" x14ac:dyDescent="0.2">
      <c r="A188" s="32">
        <v>182</v>
      </c>
      <c r="B188" s="1" t="s">
        <v>435</v>
      </c>
      <c r="C188" s="32">
        <v>3614</v>
      </c>
      <c r="D188" s="1">
        <v>7000</v>
      </c>
      <c r="E188" s="1"/>
      <c r="F188" s="1">
        <v>77.489999999999995</v>
      </c>
      <c r="G188" s="1">
        <v>7000</v>
      </c>
      <c r="H188" s="5">
        <f t="shared" si="5"/>
        <v>0</v>
      </c>
      <c r="I188" s="1"/>
      <c r="J188" s="1"/>
    </row>
    <row r="189" spans="1:10" x14ac:dyDescent="0.2">
      <c r="A189" s="32">
        <v>183</v>
      </c>
      <c r="B189" s="1" t="s">
        <v>435</v>
      </c>
      <c r="C189" s="32">
        <v>4725</v>
      </c>
      <c r="D189" s="1">
        <v>28000</v>
      </c>
      <c r="E189" s="1"/>
      <c r="F189" s="1">
        <v>311.24</v>
      </c>
      <c r="G189" s="1">
        <v>28000</v>
      </c>
      <c r="H189" s="5">
        <f t="shared" si="5"/>
        <v>0</v>
      </c>
      <c r="I189" s="1"/>
      <c r="J189" s="1"/>
    </row>
    <row r="190" spans="1:10" x14ac:dyDescent="0.2">
      <c r="A190" s="32">
        <v>184</v>
      </c>
      <c r="B190" s="1" t="s">
        <v>435</v>
      </c>
      <c r="C190" s="32">
        <v>9978</v>
      </c>
      <c r="D190" s="1">
        <v>13000</v>
      </c>
      <c r="E190" s="1"/>
      <c r="F190" s="1">
        <v>144.13</v>
      </c>
      <c r="G190" s="1">
        <v>13000</v>
      </c>
      <c r="H190" s="5">
        <f t="shared" si="5"/>
        <v>0</v>
      </c>
      <c r="I190" s="1"/>
      <c r="J190" s="1"/>
    </row>
    <row r="191" spans="1:10" x14ac:dyDescent="0.2">
      <c r="A191" s="32">
        <v>185</v>
      </c>
      <c r="B191" s="1" t="s">
        <v>435</v>
      </c>
      <c r="C191" s="32">
        <v>9668</v>
      </c>
      <c r="D191" s="1">
        <v>13000</v>
      </c>
      <c r="E191" s="1"/>
      <c r="F191" s="1">
        <v>144.13</v>
      </c>
      <c r="G191" s="1">
        <v>13000</v>
      </c>
      <c r="H191" s="5">
        <f t="shared" si="5"/>
        <v>0</v>
      </c>
      <c r="I191" s="1"/>
      <c r="J191" s="1"/>
    </row>
    <row r="192" spans="1:10" x14ac:dyDescent="0.2">
      <c r="A192" s="32">
        <v>186</v>
      </c>
      <c r="B192" s="1" t="s">
        <v>435</v>
      </c>
      <c r="C192" s="32">
        <v>1.6500000000000001E-2</v>
      </c>
      <c r="D192" s="1">
        <v>13000</v>
      </c>
      <c r="E192" s="1"/>
      <c r="F192" s="1">
        <v>144.13</v>
      </c>
      <c r="G192" s="1">
        <v>13000</v>
      </c>
      <c r="H192" s="5">
        <f t="shared" si="5"/>
        <v>0</v>
      </c>
      <c r="I192" s="1"/>
      <c r="J192" s="1"/>
    </row>
    <row r="193" spans="1:10" x14ac:dyDescent="0.2">
      <c r="A193" s="32">
        <v>187</v>
      </c>
      <c r="B193" s="1" t="s">
        <v>435</v>
      </c>
      <c r="C193" s="32">
        <v>1842</v>
      </c>
      <c r="D193" s="1">
        <v>13000</v>
      </c>
      <c r="E193" s="1"/>
      <c r="F193" s="1">
        <v>144.13</v>
      </c>
      <c r="G193" s="1">
        <v>13000</v>
      </c>
      <c r="H193" s="5">
        <f t="shared" si="5"/>
        <v>0</v>
      </c>
      <c r="I193" s="1"/>
      <c r="J193" s="1"/>
    </row>
    <row r="194" spans="1:10" x14ac:dyDescent="0.2">
      <c r="A194" s="32">
        <v>188</v>
      </c>
      <c r="B194" s="1" t="s">
        <v>435</v>
      </c>
      <c r="C194" s="32">
        <v>4627</v>
      </c>
      <c r="D194" s="1">
        <v>14000</v>
      </c>
      <c r="E194" s="1"/>
      <c r="F194" s="1">
        <v>155.25</v>
      </c>
      <c r="G194" s="1">
        <v>14000</v>
      </c>
      <c r="H194" s="5">
        <f t="shared" si="5"/>
        <v>0</v>
      </c>
      <c r="I194" s="1"/>
      <c r="J194" s="1"/>
    </row>
    <row r="195" spans="1:10" x14ac:dyDescent="0.2">
      <c r="A195" s="32">
        <v>189</v>
      </c>
      <c r="B195" s="1" t="s">
        <v>435</v>
      </c>
      <c r="C195" s="32">
        <v>9998</v>
      </c>
      <c r="D195" s="1">
        <v>18000</v>
      </c>
      <c r="E195" s="1"/>
      <c r="F195" s="1">
        <v>200.53</v>
      </c>
      <c r="G195" s="1">
        <v>18000</v>
      </c>
      <c r="H195" s="5">
        <f t="shared" si="5"/>
        <v>0</v>
      </c>
      <c r="I195" s="1"/>
      <c r="J195" s="1"/>
    </row>
    <row r="196" spans="1:10" x14ac:dyDescent="0.2">
      <c r="A196" s="32">
        <v>190</v>
      </c>
      <c r="B196" s="1" t="s">
        <v>435</v>
      </c>
      <c r="C196" s="32">
        <v>4566</v>
      </c>
      <c r="D196" s="1">
        <v>17000</v>
      </c>
      <c r="E196" s="1"/>
      <c r="F196" s="1">
        <v>189.25</v>
      </c>
      <c r="G196" s="1">
        <v>17000</v>
      </c>
      <c r="H196" s="5">
        <f t="shared" si="5"/>
        <v>0</v>
      </c>
      <c r="I196" s="1"/>
      <c r="J196" s="1"/>
    </row>
    <row r="197" spans="1:10" x14ac:dyDescent="0.2">
      <c r="A197" s="32">
        <v>191</v>
      </c>
      <c r="B197" s="1" t="s">
        <v>435</v>
      </c>
      <c r="C197" s="32">
        <v>9905</v>
      </c>
      <c r="D197" s="1">
        <v>10000</v>
      </c>
      <c r="E197" s="1"/>
      <c r="F197" s="1">
        <v>111.4</v>
      </c>
      <c r="G197" s="1">
        <v>10000</v>
      </c>
      <c r="H197" s="5">
        <f t="shared" si="5"/>
        <v>0</v>
      </c>
      <c r="I197" s="1"/>
      <c r="J197" s="1"/>
    </row>
    <row r="198" spans="1:10" x14ac:dyDescent="0.2">
      <c r="A198" s="32">
        <v>192</v>
      </c>
      <c r="B198" s="1" t="s">
        <v>435</v>
      </c>
      <c r="C198" s="32">
        <v>4625</v>
      </c>
      <c r="D198" s="1">
        <v>14000</v>
      </c>
      <c r="E198" s="1"/>
      <c r="F198" s="1">
        <v>155.25</v>
      </c>
      <c r="G198" s="1">
        <v>14000</v>
      </c>
      <c r="H198" s="5">
        <f t="shared" si="5"/>
        <v>0</v>
      </c>
      <c r="I198" s="1"/>
      <c r="J198" s="1"/>
    </row>
    <row r="199" spans="1:10" x14ac:dyDescent="0.2">
      <c r="A199" s="32">
        <v>193</v>
      </c>
      <c r="B199" s="1" t="s">
        <v>435</v>
      </c>
      <c r="C199" s="32">
        <v>4935</v>
      </c>
      <c r="D199" s="1">
        <v>6000</v>
      </c>
      <c r="E199" s="1"/>
      <c r="F199" s="1">
        <v>66.150000000000006</v>
      </c>
      <c r="G199" s="1">
        <v>6000</v>
      </c>
      <c r="H199" s="5">
        <f t="shared" si="5"/>
        <v>0</v>
      </c>
      <c r="I199" s="1"/>
      <c r="J199" s="1"/>
    </row>
    <row r="200" spans="1:10" x14ac:dyDescent="0.2">
      <c r="A200" s="32">
        <v>194</v>
      </c>
      <c r="B200" s="1" t="s">
        <v>435</v>
      </c>
      <c r="C200" s="32">
        <v>5113</v>
      </c>
      <c r="D200" s="1">
        <v>14000</v>
      </c>
      <c r="E200" s="1"/>
      <c r="F200" s="1">
        <v>155.24</v>
      </c>
      <c r="G200" s="1">
        <v>14000</v>
      </c>
      <c r="H200" s="5">
        <f t="shared" si="5"/>
        <v>0</v>
      </c>
      <c r="I200" s="1"/>
      <c r="J200" s="1"/>
    </row>
    <row r="201" spans="1:10" x14ac:dyDescent="0.2">
      <c r="A201" s="32">
        <v>195</v>
      </c>
      <c r="B201" s="1" t="s">
        <v>435</v>
      </c>
      <c r="C201" s="32">
        <v>5112</v>
      </c>
      <c r="D201" s="1">
        <v>14000</v>
      </c>
      <c r="E201" s="1"/>
      <c r="F201" s="1">
        <v>155.24</v>
      </c>
      <c r="G201" s="1">
        <v>14000</v>
      </c>
      <c r="H201" s="5">
        <f t="shared" si="5"/>
        <v>0</v>
      </c>
      <c r="I201" s="1"/>
      <c r="J201" s="1"/>
    </row>
    <row r="202" spans="1:10" x14ac:dyDescent="0.2">
      <c r="A202" s="32">
        <v>196</v>
      </c>
      <c r="B202" s="1" t="s">
        <v>435</v>
      </c>
      <c r="C202" s="32">
        <v>9976</v>
      </c>
      <c r="D202" s="1">
        <v>13000</v>
      </c>
      <c r="E202" s="1"/>
      <c r="F202" s="1">
        <v>144.13</v>
      </c>
      <c r="G202" s="1">
        <v>13000</v>
      </c>
      <c r="H202" s="5">
        <f t="shared" si="5"/>
        <v>0</v>
      </c>
      <c r="I202" s="1"/>
      <c r="J202" s="1"/>
    </row>
    <row r="203" spans="1:10" x14ac:dyDescent="0.2">
      <c r="A203" s="32">
        <v>197</v>
      </c>
      <c r="B203" s="1" t="s">
        <v>435</v>
      </c>
      <c r="C203" s="32">
        <v>9906</v>
      </c>
      <c r="D203" s="1">
        <v>15000</v>
      </c>
      <c r="E203" s="1"/>
      <c r="F203" s="1">
        <v>167.11</v>
      </c>
      <c r="G203" s="1">
        <v>15000</v>
      </c>
      <c r="H203" s="5">
        <f t="shared" si="5"/>
        <v>0</v>
      </c>
      <c r="I203" s="1"/>
      <c r="J203" s="1"/>
    </row>
    <row r="204" spans="1:10" x14ac:dyDescent="0.2">
      <c r="A204" s="32">
        <v>198</v>
      </c>
      <c r="B204" s="1" t="s">
        <v>435</v>
      </c>
      <c r="C204" s="32">
        <v>4561</v>
      </c>
      <c r="D204" s="1">
        <v>20000</v>
      </c>
      <c r="E204" s="1"/>
      <c r="F204" s="1">
        <v>222.81</v>
      </c>
      <c r="G204" s="1">
        <v>20000</v>
      </c>
      <c r="H204" s="5">
        <f t="shared" si="5"/>
        <v>0</v>
      </c>
      <c r="I204" s="1"/>
      <c r="J204" s="1"/>
    </row>
    <row r="205" spans="1:10" x14ac:dyDescent="0.2">
      <c r="A205" s="32">
        <v>199</v>
      </c>
      <c r="B205" s="1" t="s">
        <v>435</v>
      </c>
      <c r="C205" s="32">
        <v>9903</v>
      </c>
      <c r="D205" s="1">
        <v>20000</v>
      </c>
      <c r="E205" s="1"/>
      <c r="F205" s="1">
        <v>222.81</v>
      </c>
      <c r="G205" s="1">
        <v>20000</v>
      </c>
      <c r="H205" s="5">
        <f t="shared" si="5"/>
        <v>0</v>
      </c>
      <c r="I205" s="1"/>
      <c r="J205" s="1"/>
    </row>
    <row r="206" spans="1:10" x14ac:dyDescent="0.2">
      <c r="A206" s="32">
        <v>200</v>
      </c>
      <c r="B206" s="1" t="s">
        <v>435</v>
      </c>
      <c r="C206" s="32">
        <v>5210</v>
      </c>
      <c r="D206" s="1">
        <v>20000</v>
      </c>
      <c r="E206" s="1"/>
      <c r="F206" s="1">
        <v>222.81</v>
      </c>
      <c r="G206" s="1">
        <v>20000</v>
      </c>
      <c r="H206" s="5">
        <f t="shared" si="5"/>
        <v>0</v>
      </c>
      <c r="I206" s="1"/>
      <c r="J206" s="1"/>
    </row>
    <row r="207" spans="1:10" x14ac:dyDescent="0.2">
      <c r="A207" s="32">
        <v>201</v>
      </c>
      <c r="B207" s="1" t="s">
        <v>435</v>
      </c>
      <c r="C207" s="32">
        <v>7393</v>
      </c>
      <c r="D207" s="1">
        <v>25000</v>
      </c>
      <c r="E207" s="1"/>
      <c r="F207" s="1">
        <v>278.22000000000003</v>
      </c>
      <c r="G207" s="1">
        <v>25000</v>
      </c>
      <c r="H207" s="5">
        <f t="shared" si="5"/>
        <v>0</v>
      </c>
      <c r="I207" s="1"/>
      <c r="J207" s="1"/>
    </row>
    <row r="208" spans="1:10" x14ac:dyDescent="0.2">
      <c r="A208" s="32">
        <v>202</v>
      </c>
      <c r="B208" s="1" t="s">
        <v>435</v>
      </c>
      <c r="C208" s="32">
        <v>6199</v>
      </c>
      <c r="D208" s="1">
        <v>25000</v>
      </c>
      <c r="E208" s="1"/>
      <c r="F208" s="1">
        <v>278.22000000000003</v>
      </c>
      <c r="G208" s="1">
        <v>25000</v>
      </c>
      <c r="H208" s="5">
        <f t="shared" si="5"/>
        <v>0</v>
      </c>
      <c r="I208" s="1"/>
      <c r="J208" s="1"/>
    </row>
    <row r="209" spans="1:10" x14ac:dyDescent="0.2">
      <c r="A209" s="32">
        <v>203</v>
      </c>
      <c r="B209" s="1" t="s">
        <v>435</v>
      </c>
      <c r="C209" s="32">
        <v>7392</v>
      </c>
      <c r="D209" s="1">
        <v>25000</v>
      </c>
      <c r="E209" s="1"/>
      <c r="F209" s="1">
        <v>278.22000000000003</v>
      </c>
      <c r="G209" s="1">
        <v>25000</v>
      </c>
      <c r="H209" s="5">
        <f t="shared" si="5"/>
        <v>0</v>
      </c>
      <c r="I209" s="1"/>
      <c r="J209" s="1"/>
    </row>
    <row r="210" spans="1:10" x14ac:dyDescent="0.2">
      <c r="A210" s="32">
        <v>204</v>
      </c>
      <c r="B210" s="1" t="s">
        <v>435</v>
      </c>
      <c r="C210" s="32">
        <v>4051</v>
      </c>
      <c r="D210" s="1">
        <v>15000</v>
      </c>
      <c r="E210" s="1"/>
      <c r="F210" s="1">
        <v>167.11</v>
      </c>
      <c r="G210" s="1">
        <v>15000</v>
      </c>
      <c r="H210" s="5">
        <f t="shared" si="5"/>
        <v>0</v>
      </c>
      <c r="I210" s="1"/>
      <c r="J210" s="1"/>
    </row>
    <row r="211" spans="1:10" x14ac:dyDescent="0.2">
      <c r="A211" s="32">
        <v>205</v>
      </c>
      <c r="B211" s="1" t="s">
        <v>435</v>
      </c>
      <c r="C211" s="32">
        <v>2587</v>
      </c>
      <c r="D211" s="1">
        <v>22000</v>
      </c>
      <c r="E211" s="1"/>
      <c r="F211" s="1">
        <v>245.28</v>
      </c>
      <c r="G211" s="1">
        <v>22000</v>
      </c>
      <c r="H211" s="5">
        <f t="shared" si="5"/>
        <v>0</v>
      </c>
      <c r="I211" s="1"/>
      <c r="J211" s="1"/>
    </row>
    <row r="212" spans="1:10" x14ac:dyDescent="0.2">
      <c r="A212" s="32">
        <v>206</v>
      </c>
      <c r="B212" s="1" t="s">
        <v>435</v>
      </c>
      <c r="C212" s="32">
        <v>8006</v>
      </c>
      <c r="D212" s="1">
        <v>22000</v>
      </c>
      <c r="E212" s="1"/>
      <c r="F212" s="1">
        <v>245.28</v>
      </c>
      <c r="G212" s="1">
        <v>22000</v>
      </c>
      <c r="H212" s="5">
        <f t="shared" si="5"/>
        <v>0</v>
      </c>
      <c r="I212" s="1"/>
      <c r="J212" s="1"/>
    </row>
    <row r="213" spans="1:10" x14ac:dyDescent="0.2">
      <c r="A213" s="32">
        <v>207</v>
      </c>
      <c r="B213" s="1" t="s">
        <v>436</v>
      </c>
      <c r="C213" s="32">
        <v>2973</v>
      </c>
      <c r="D213" s="1">
        <v>16000</v>
      </c>
      <c r="E213" s="1"/>
      <c r="F213" s="1">
        <v>178.22</v>
      </c>
      <c r="G213" s="1">
        <v>16000</v>
      </c>
      <c r="H213" s="5">
        <f t="shared" si="5"/>
        <v>0</v>
      </c>
      <c r="I213" s="1"/>
      <c r="J213" s="1"/>
    </row>
    <row r="214" spans="1:10" x14ac:dyDescent="0.2">
      <c r="A214" s="32">
        <v>208</v>
      </c>
      <c r="B214" s="1" t="s">
        <v>436</v>
      </c>
      <c r="C214" s="32">
        <v>5958</v>
      </c>
      <c r="D214" s="1">
        <v>16000</v>
      </c>
      <c r="E214" s="1"/>
      <c r="F214" s="1">
        <v>178.22</v>
      </c>
      <c r="G214" s="1">
        <v>16000</v>
      </c>
      <c r="H214" s="5">
        <f t="shared" si="5"/>
        <v>0</v>
      </c>
      <c r="I214" s="1"/>
      <c r="J214" s="1"/>
    </row>
    <row r="215" spans="1:10" x14ac:dyDescent="0.2">
      <c r="A215" s="32">
        <v>209</v>
      </c>
      <c r="B215" s="1" t="s">
        <v>436</v>
      </c>
      <c r="C215" s="32">
        <v>1263</v>
      </c>
      <c r="D215" s="1">
        <v>12000</v>
      </c>
      <c r="E215" s="1"/>
      <c r="F215" s="1">
        <v>133.12</v>
      </c>
      <c r="G215" s="1">
        <v>12000</v>
      </c>
      <c r="H215" s="5">
        <f t="shared" si="5"/>
        <v>0</v>
      </c>
      <c r="I215" s="1"/>
      <c r="J215" s="1"/>
    </row>
    <row r="216" spans="1:10" x14ac:dyDescent="0.2">
      <c r="A216" s="32">
        <v>210</v>
      </c>
      <c r="B216" s="1" t="s">
        <v>436</v>
      </c>
      <c r="C216" s="32">
        <v>3944</v>
      </c>
      <c r="D216" s="1">
        <v>8000</v>
      </c>
      <c r="E216" s="1"/>
      <c r="F216" s="1">
        <v>89.12</v>
      </c>
      <c r="G216" s="1">
        <v>8000</v>
      </c>
      <c r="H216" s="5">
        <f t="shared" si="5"/>
        <v>0</v>
      </c>
      <c r="I216" s="1"/>
      <c r="J216" s="1"/>
    </row>
    <row r="217" spans="1:10" x14ac:dyDescent="0.2">
      <c r="A217" s="32">
        <v>211</v>
      </c>
      <c r="B217" s="1" t="s">
        <v>436</v>
      </c>
      <c r="C217" s="32" t="s">
        <v>63</v>
      </c>
      <c r="D217" s="1">
        <v>3500</v>
      </c>
      <c r="E217" s="1"/>
      <c r="F217" s="1">
        <v>38.15</v>
      </c>
      <c r="G217" s="1">
        <v>3500</v>
      </c>
      <c r="H217" s="5">
        <f t="shared" si="5"/>
        <v>0</v>
      </c>
      <c r="I217" s="1"/>
      <c r="J217" s="1"/>
    </row>
    <row r="218" spans="1:10" x14ac:dyDescent="0.2">
      <c r="A218" s="32">
        <v>212</v>
      </c>
      <c r="B218" s="1" t="s">
        <v>436</v>
      </c>
      <c r="C218" s="32">
        <v>5886</v>
      </c>
      <c r="D218" s="1">
        <v>7500</v>
      </c>
      <c r="E218" s="1"/>
      <c r="F218" s="1">
        <v>83.15</v>
      </c>
      <c r="G218" s="1">
        <v>7500</v>
      </c>
      <c r="H218" s="5">
        <f t="shared" si="5"/>
        <v>0</v>
      </c>
      <c r="I218" s="1"/>
      <c r="J218" s="1"/>
    </row>
    <row r="219" spans="1:10" x14ac:dyDescent="0.2">
      <c r="A219" s="32">
        <v>213</v>
      </c>
      <c r="B219" s="1" t="s">
        <v>436</v>
      </c>
      <c r="C219" s="32">
        <v>8440</v>
      </c>
      <c r="D219" s="1">
        <v>18000</v>
      </c>
      <c r="E219" s="1"/>
      <c r="F219" s="1">
        <v>200.53</v>
      </c>
      <c r="G219" s="1">
        <v>18000</v>
      </c>
      <c r="H219" s="5">
        <f t="shared" si="5"/>
        <v>0</v>
      </c>
      <c r="I219" s="1"/>
      <c r="J219" s="1"/>
    </row>
    <row r="220" spans="1:10" x14ac:dyDescent="0.2">
      <c r="A220" s="32">
        <v>214</v>
      </c>
      <c r="B220" s="1" t="s">
        <v>436</v>
      </c>
      <c r="C220" s="32">
        <v>5657</v>
      </c>
      <c r="D220" s="1">
        <v>18000</v>
      </c>
      <c r="E220" s="1"/>
      <c r="F220" s="1">
        <v>200.53</v>
      </c>
      <c r="G220" s="1">
        <v>18000</v>
      </c>
      <c r="H220" s="5">
        <f t="shared" si="5"/>
        <v>0</v>
      </c>
      <c r="I220" s="1"/>
      <c r="J220" s="1"/>
    </row>
    <row r="221" spans="1:10" x14ac:dyDescent="0.2">
      <c r="A221" s="32">
        <v>215</v>
      </c>
      <c r="B221" s="1" t="s">
        <v>436</v>
      </c>
      <c r="C221" s="32">
        <v>7359</v>
      </c>
      <c r="D221" s="1">
        <v>8000</v>
      </c>
      <c r="E221" s="1"/>
      <c r="F221" s="1">
        <v>89.12</v>
      </c>
      <c r="G221" s="1">
        <v>8000</v>
      </c>
      <c r="H221" s="5">
        <f t="shared" si="5"/>
        <v>0</v>
      </c>
      <c r="I221" s="1"/>
      <c r="J221" s="1"/>
    </row>
    <row r="222" spans="1:10" x14ac:dyDescent="0.2">
      <c r="A222" s="32">
        <v>216</v>
      </c>
      <c r="B222" s="1" t="s">
        <v>436</v>
      </c>
      <c r="C222" s="32">
        <v>2.87E-2</v>
      </c>
      <c r="D222" s="1">
        <v>17000</v>
      </c>
      <c r="E222" s="1"/>
      <c r="F222" s="1">
        <v>189.12</v>
      </c>
      <c r="G222" s="1">
        <v>17000</v>
      </c>
      <c r="H222" s="5">
        <f t="shared" si="5"/>
        <v>0</v>
      </c>
      <c r="I222" s="1"/>
      <c r="J222" s="1"/>
    </row>
    <row r="223" spans="1:10" x14ac:dyDescent="0.2">
      <c r="A223" s="32">
        <v>217</v>
      </c>
      <c r="B223" s="1" t="s">
        <v>436</v>
      </c>
      <c r="C223" s="32">
        <v>2829</v>
      </c>
      <c r="D223" s="1">
        <v>18000</v>
      </c>
      <c r="E223" s="1"/>
      <c r="F223" s="1">
        <v>200.53</v>
      </c>
      <c r="G223" s="1">
        <v>18000</v>
      </c>
      <c r="H223" s="5">
        <f t="shared" si="5"/>
        <v>0</v>
      </c>
      <c r="I223" s="1"/>
      <c r="J223" s="1"/>
    </row>
    <row r="224" spans="1:10" x14ac:dyDescent="0.2">
      <c r="A224" s="32">
        <v>218</v>
      </c>
      <c r="B224" s="1" t="s">
        <v>436</v>
      </c>
      <c r="C224" s="32">
        <v>2777</v>
      </c>
      <c r="D224" s="1">
        <v>28000</v>
      </c>
      <c r="E224" s="1"/>
      <c r="F224" s="1">
        <v>311.52</v>
      </c>
      <c r="G224" s="1">
        <v>28000</v>
      </c>
      <c r="H224" s="5">
        <f t="shared" si="5"/>
        <v>0</v>
      </c>
      <c r="I224" s="1"/>
      <c r="J224" s="1"/>
    </row>
    <row r="225" spans="1:10" x14ac:dyDescent="0.2">
      <c r="A225" s="32">
        <v>219</v>
      </c>
      <c r="B225" s="1" t="s">
        <v>436</v>
      </c>
      <c r="C225" s="32" t="s">
        <v>30</v>
      </c>
      <c r="D225" s="1">
        <v>5000</v>
      </c>
      <c r="E225" s="1"/>
      <c r="F225" s="1">
        <v>55.12</v>
      </c>
      <c r="G225" s="1">
        <v>5000</v>
      </c>
      <c r="H225" s="5">
        <f t="shared" si="5"/>
        <v>0</v>
      </c>
      <c r="I225" s="1"/>
      <c r="J225" s="1"/>
    </row>
    <row r="226" spans="1:10" x14ac:dyDescent="0.2">
      <c r="A226" s="32">
        <v>220</v>
      </c>
      <c r="B226" s="1" t="s">
        <v>436</v>
      </c>
      <c r="C226" s="32">
        <v>4371</v>
      </c>
      <c r="D226" s="1">
        <v>12000</v>
      </c>
      <c r="E226" s="1"/>
      <c r="F226" s="1">
        <v>133.12</v>
      </c>
      <c r="G226" s="1">
        <v>12000</v>
      </c>
      <c r="H226" s="5">
        <f t="shared" si="5"/>
        <v>0</v>
      </c>
      <c r="I226" s="1"/>
      <c r="J226" s="1"/>
    </row>
    <row r="227" spans="1:10" x14ac:dyDescent="0.2">
      <c r="A227" s="32">
        <v>221</v>
      </c>
      <c r="B227" s="1" t="s">
        <v>436</v>
      </c>
      <c r="C227" s="32">
        <v>1910</v>
      </c>
      <c r="D227" s="1">
        <v>25000</v>
      </c>
      <c r="E227" s="1"/>
      <c r="F227" s="1">
        <v>278.22000000000003</v>
      </c>
      <c r="G227" s="1">
        <v>25000</v>
      </c>
      <c r="H227" s="5">
        <f t="shared" si="5"/>
        <v>0</v>
      </c>
      <c r="I227" s="1"/>
      <c r="J227" s="1"/>
    </row>
    <row r="228" spans="1:10" x14ac:dyDescent="0.2">
      <c r="A228" s="32">
        <v>222</v>
      </c>
      <c r="B228" s="1" t="s">
        <v>436</v>
      </c>
      <c r="C228" s="32">
        <v>4.7199999999999999E-2</v>
      </c>
      <c r="D228" s="1">
        <v>19000</v>
      </c>
      <c r="E228" s="1"/>
      <c r="F228" s="1">
        <v>211.25</v>
      </c>
      <c r="G228" s="1">
        <v>19000</v>
      </c>
      <c r="H228" s="5">
        <f t="shared" si="5"/>
        <v>0</v>
      </c>
      <c r="I228" s="1"/>
      <c r="J228" s="1"/>
    </row>
    <row r="229" spans="1:10" x14ac:dyDescent="0.2">
      <c r="A229" s="32">
        <v>223</v>
      </c>
      <c r="B229" s="1" t="s">
        <v>436</v>
      </c>
      <c r="C229" s="32" t="s">
        <v>30</v>
      </c>
      <c r="D229" s="1">
        <v>4500</v>
      </c>
      <c r="E229" s="1"/>
      <c r="F229" s="1">
        <v>50.13</v>
      </c>
      <c r="G229" s="1">
        <v>4500</v>
      </c>
      <c r="H229" s="5">
        <f t="shared" si="5"/>
        <v>0</v>
      </c>
      <c r="I229" s="1"/>
      <c r="J229" s="1"/>
    </row>
    <row r="230" spans="1:10" x14ac:dyDescent="0.2">
      <c r="A230" s="32">
        <v>224</v>
      </c>
      <c r="B230" s="1" t="s">
        <v>436</v>
      </c>
      <c r="C230" s="32">
        <v>2.18E-2</v>
      </c>
      <c r="D230" s="1">
        <v>27000</v>
      </c>
      <c r="E230" s="1"/>
      <c r="F230" s="1">
        <v>302.25</v>
      </c>
      <c r="G230" s="1">
        <v>27000</v>
      </c>
      <c r="H230" s="5">
        <f t="shared" si="5"/>
        <v>0</v>
      </c>
      <c r="I230" s="1"/>
      <c r="J230" s="1"/>
    </row>
    <row r="231" spans="1:10" x14ac:dyDescent="0.2">
      <c r="A231" s="32">
        <v>225</v>
      </c>
      <c r="B231" s="1" t="s">
        <v>436</v>
      </c>
      <c r="C231" s="32">
        <v>4365</v>
      </c>
      <c r="D231" s="1">
        <v>18000</v>
      </c>
      <c r="E231" s="1"/>
      <c r="F231" s="1">
        <v>200.53</v>
      </c>
      <c r="G231" s="1">
        <v>18000</v>
      </c>
      <c r="H231" s="5">
        <f t="shared" ref="H231:H294" si="6">D231-G231</f>
        <v>0</v>
      </c>
      <c r="I231" s="1"/>
      <c r="J231" s="1"/>
    </row>
    <row r="232" spans="1:10" x14ac:dyDescent="0.2">
      <c r="A232" s="32">
        <v>226</v>
      </c>
      <c r="B232" s="1" t="s">
        <v>436</v>
      </c>
      <c r="C232" s="32">
        <v>4098</v>
      </c>
      <c r="D232" s="1">
        <v>30000</v>
      </c>
      <c r="E232" s="1"/>
      <c r="F232" s="1">
        <v>329.25</v>
      </c>
      <c r="G232" s="1">
        <v>30000</v>
      </c>
      <c r="H232" s="5">
        <f t="shared" si="6"/>
        <v>0</v>
      </c>
      <c r="I232" s="1"/>
      <c r="J232" s="1"/>
    </row>
    <row r="233" spans="1:10" x14ac:dyDescent="0.2">
      <c r="A233" s="32">
        <v>227</v>
      </c>
      <c r="B233" s="1" t="s">
        <v>436</v>
      </c>
      <c r="C233" s="32">
        <v>8.7499999999999994E-2</v>
      </c>
      <c r="D233" s="1">
        <v>30000</v>
      </c>
      <c r="E233" s="1"/>
      <c r="F233" s="1">
        <v>329.25</v>
      </c>
      <c r="G233" s="1">
        <v>30000</v>
      </c>
      <c r="H233" s="5">
        <f t="shared" si="6"/>
        <v>0</v>
      </c>
      <c r="I233" s="1"/>
      <c r="J233" s="1"/>
    </row>
    <row r="234" spans="1:10" x14ac:dyDescent="0.2">
      <c r="A234" s="32">
        <v>228</v>
      </c>
      <c r="B234" s="1" t="s">
        <v>436</v>
      </c>
      <c r="C234" s="32">
        <v>4282</v>
      </c>
      <c r="D234" s="1">
        <v>16000</v>
      </c>
      <c r="E234" s="1"/>
      <c r="F234" s="1">
        <v>178.22</v>
      </c>
      <c r="G234" s="1">
        <v>16000</v>
      </c>
      <c r="H234" s="5">
        <f t="shared" si="6"/>
        <v>0</v>
      </c>
      <c r="I234" s="1"/>
      <c r="J234" s="1"/>
    </row>
    <row r="235" spans="1:10" x14ac:dyDescent="0.2">
      <c r="A235" s="32">
        <v>229</v>
      </c>
      <c r="B235" s="1" t="s">
        <v>436</v>
      </c>
      <c r="C235" s="32">
        <v>2673</v>
      </c>
      <c r="D235" s="1">
        <v>15000</v>
      </c>
      <c r="E235" s="1"/>
      <c r="F235" s="1">
        <v>167.15</v>
      </c>
      <c r="G235" s="1">
        <v>15000</v>
      </c>
      <c r="H235" s="5">
        <f t="shared" si="6"/>
        <v>0</v>
      </c>
      <c r="I235" s="1"/>
      <c r="J235" s="1"/>
    </row>
    <row r="236" spans="1:10" x14ac:dyDescent="0.2">
      <c r="A236" s="32">
        <v>230</v>
      </c>
      <c r="B236" s="1" t="s">
        <v>436</v>
      </c>
      <c r="C236" s="32">
        <v>2528</v>
      </c>
      <c r="D236" s="1">
        <v>22000</v>
      </c>
      <c r="E236" s="1"/>
      <c r="F236" s="1">
        <v>234.25</v>
      </c>
      <c r="G236" s="1">
        <v>22000</v>
      </c>
      <c r="H236" s="5">
        <f t="shared" si="6"/>
        <v>0</v>
      </c>
      <c r="I236" s="1"/>
      <c r="J236" s="1"/>
    </row>
    <row r="237" spans="1:10" x14ac:dyDescent="0.2">
      <c r="A237" s="32">
        <v>231</v>
      </c>
      <c r="B237" s="1" t="s">
        <v>436</v>
      </c>
      <c r="C237" s="32">
        <v>3097</v>
      </c>
      <c r="D237" s="1">
        <v>22000</v>
      </c>
      <c r="E237" s="1"/>
      <c r="F237" s="1">
        <v>234.25</v>
      </c>
      <c r="G237" s="1">
        <v>22000</v>
      </c>
      <c r="H237" s="5">
        <f t="shared" si="6"/>
        <v>0</v>
      </c>
      <c r="I237" s="1"/>
      <c r="J237" s="1"/>
    </row>
    <row r="238" spans="1:10" x14ac:dyDescent="0.2">
      <c r="A238" s="32">
        <v>232</v>
      </c>
      <c r="B238" s="1" t="s">
        <v>436</v>
      </c>
      <c r="C238" s="32">
        <v>9391</v>
      </c>
      <c r="D238" s="1">
        <v>22000</v>
      </c>
      <c r="E238" s="1"/>
      <c r="F238" s="1">
        <v>234.25</v>
      </c>
      <c r="G238" s="1">
        <v>22000</v>
      </c>
      <c r="H238" s="5">
        <f t="shared" si="6"/>
        <v>0</v>
      </c>
      <c r="I238" s="1"/>
      <c r="J238" s="1"/>
    </row>
    <row r="239" spans="1:10" x14ac:dyDescent="0.2">
      <c r="A239" s="32">
        <v>233</v>
      </c>
      <c r="B239" s="1" t="s">
        <v>436</v>
      </c>
      <c r="C239" s="32">
        <v>9422</v>
      </c>
      <c r="D239" s="1">
        <v>30000</v>
      </c>
      <c r="E239" s="1"/>
      <c r="F239" s="1">
        <v>329.25</v>
      </c>
      <c r="G239" s="1">
        <v>30000</v>
      </c>
      <c r="H239" s="5">
        <f t="shared" si="6"/>
        <v>0</v>
      </c>
      <c r="I239" s="1"/>
      <c r="J239" s="1"/>
    </row>
    <row r="240" spans="1:10" x14ac:dyDescent="0.2">
      <c r="A240" s="32">
        <v>234</v>
      </c>
      <c r="B240" s="1" t="s">
        <v>436</v>
      </c>
      <c r="C240" s="32">
        <v>8007</v>
      </c>
      <c r="D240" s="1">
        <v>25000</v>
      </c>
      <c r="E240" s="1"/>
      <c r="F240" s="1">
        <v>278.22000000000003</v>
      </c>
      <c r="G240" s="1">
        <v>25000</v>
      </c>
      <c r="H240" s="5">
        <f t="shared" si="6"/>
        <v>0</v>
      </c>
      <c r="I240" s="1"/>
      <c r="J240" s="1"/>
    </row>
    <row r="241" spans="1:10" x14ac:dyDescent="0.2">
      <c r="A241" s="32">
        <v>235</v>
      </c>
      <c r="B241" s="1" t="s">
        <v>436</v>
      </c>
      <c r="C241" s="32">
        <v>6979</v>
      </c>
      <c r="D241" s="1">
        <v>20000</v>
      </c>
      <c r="E241" s="1"/>
      <c r="F241" s="1">
        <v>222.25</v>
      </c>
      <c r="G241" s="1">
        <v>20000</v>
      </c>
      <c r="H241" s="5">
        <f t="shared" si="6"/>
        <v>0</v>
      </c>
      <c r="I241" s="1"/>
      <c r="J241" s="1"/>
    </row>
    <row r="242" spans="1:10" x14ac:dyDescent="0.2">
      <c r="A242" s="32">
        <v>236</v>
      </c>
      <c r="B242" s="1" t="s">
        <v>436</v>
      </c>
      <c r="C242" s="32">
        <v>9981</v>
      </c>
      <c r="D242" s="1">
        <v>15000</v>
      </c>
      <c r="E242" s="1"/>
      <c r="F242" s="1">
        <v>167.15</v>
      </c>
      <c r="G242" s="1">
        <v>15000</v>
      </c>
      <c r="H242" s="5">
        <f t="shared" si="6"/>
        <v>0</v>
      </c>
      <c r="I242" s="1"/>
      <c r="J242" s="1"/>
    </row>
    <row r="243" spans="1:10" x14ac:dyDescent="0.2">
      <c r="A243" s="32">
        <v>237</v>
      </c>
      <c r="B243" s="1" t="s">
        <v>436</v>
      </c>
      <c r="C243" s="32">
        <v>2779</v>
      </c>
      <c r="D243" s="1">
        <v>29000</v>
      </c>
      <c r="E243" s="1"/>
      <c r="F243" s="1">
        <v>323</v>
      </c>
      <c r="G243" s="1">
        <v>29000</v>
      </c>
      <c r="H243" s="5">
        <f t="shared" si="6"/>
        <v>0</v>
      </c>
      <c r="I243" s="1"/>
      <c r="J243" s="1"/>
    </row>
    <row r="244" spans="1:10" x14ac:dyDescent="0.2">
      <c r="A244" s="32">
        <v>238</v>
      </c>
      <c r="B244" s="1" t="s">
        <v>436</v>
      </c>
      <c r="C244" s="32">
        <v>2226</v>
      </c>
      <c r="D244" s="1">
        <v>15000</v>
      </c>
      <c r="E244" s="1"/>
      <c r="F244" s="1">
        <v>167.15</v>
      </c>
      <c r="G244" s="1">
        <v>15000</v>
      </c>
      <c r="H244" s="5">
        <f t="shared" si="6"/>
        <v>0</v>
      </c>
      <c r="I244" s="1"/>
      <c r="J244" s="1"/>
    </row>
    <row r="245" spans="1:10" x14ac:dyDescent="0.2">
      <c r="A245" s="32">
        <v>239</v>
      </c>
      <c r="B245" s="1" t="s">
        <v>437</v>
      </c>
      <c r="C245" s="32">
        <v>1452</v>
      </c>
      <c r="D245" s="1">
        <v>13000</v>
      </c>
      <c r="E245" s="1"/>
      <c r="F245" s="1">
        <v>144.83000000000001</v>
      </c>
      <c r="G245" s="1">
        <v>13000</v>
      </c>
      <c r="H245" s="5">
        <f t="shared" si="6"/>
        <v>0</v>
      </c>
      <c r="I245" s="1"/>
      <c r="J245" s="1"/>
    </row>
    <row r="246" spans="1:10" x14ac:dyDescent="0.2">
      <c r="A246" s="32">
        <v>240</v>
      </c>
      <c r="B246" s="1" t="s">
        <v>437</v>
      </c>
      <c r="C246" s="32">
        <v>3665</v>
      </c>
      <c r="D246" s="1">
        <v>13000</v>
      </c>
      <c r="E246" s="1"/>
      <c r="F246" s="1">
        <v>144.83000000000001</v>
      </c>
      <c r="G246" s="1">
        <v>13000</v>
      </c>
      <c r="H246" s="5">
        <f t="shared" si="6"/>
        <v>0</v>
      </c>
      <c r="I246" s="1"/>
      <c r="J246" s="1"/>
    </row>
    <row r="247" spans="1:10" x14ac:dyDescent="0.2">
      <c r="A247" s="32">
        <v>241</v>
      </c>
      <c r="B247" s="1" t="s">
        <v>437</v>
      </c>
      <c r="C247" s="32">
        <v>3662</v>
      </c>
      <c r="D247" s="1">
        <v>17000</v>
      </c>
      <c r="E247" s="1"/>
      <c r="F247" s="1">
        <v>189.3</v>
      </c>
      <c r="G247" s="1">
        <v>17000</v>
      </c>
      <c r="H247" s="5">
        <f t="shared" si="6"/>
        <v>0</v>
      </c>
      <c r="I247" s="1"/>
      <c r="J247" s="1"/>
    </row>
    <row r="248" spans="1:10" x14ac:dyDescent="0.2">
      <c r="A248" s="32">
        <v>242</v>
      </c>
      <c r="B248" s="1" t="s">
        <v>437</v>
      </c>
      <c r="C248" s="32" t="s">
        <v>30</v>
      </c>
      <c r="D248" s="1">
        <v>5000</v>
      </c>
      <c r="E248" s="1"/>
      <c r="F248" s="1">
        <v>55.15</v>
      </c>
      <c r="G248" s="1">
        <v>5000</v>
      </c>
      <c r="H248" s="5">
        <f t="shared" si="6"/>
        <v>0</v>
      </c>
      <c r="I248" s="1"/>
      <c r="J248" s="1"/>
    </row>
    <row r="249" spans="1:10" x14ac:dyDescent="0.2">
      <c r="A249" s="32">
        <v>243</v>
      </c>
      <c r="B249" s="1" t="s">
        <v>437</v>
      </c>
      <c r="C249" s="32">
        <v>4.7199999999999999E-2</v>
      </c>
      <c r="D249" s="1">
        <v>19000</v>
      </c>
      <c r="E249" s="1"/>
      <c r="F249" s="1">
        <v>211.25</v>
      </c>
      <c r="G249" s="1">
        <v>19000</v>
      </c>
      <c r="H249" s="5">
        <f t="shared" si="6"/>
        <v>0</v>
      </c>
      <c r="I249" s="1"/>
      <c r="J249" s="1"/>
    </row>
    <row r="250" spans="1:10" x14ac:dyDescent="0.2">
      <c r="A250" s="32">
        <v>244</v>
      </c>
      <c r="B250" s="1" t="s">
        <v>437</v>
      </c>
      <c r="C250" s="32">
        <v>8562</v>
      </c>
      <c r="D250" s="1">
        <v>30000</v>
      </c>
      <c r="E250" s="1"/>
      <c r="F250" s="1">
        <v>334.25</v>
      </c>
      <c r="G250" s="1">
        <v>30000</v>
      </c>
      <c r="H250" s="5">
        <f t="shared" si="6"/>
        <v>0</v>
      </c>
      <c r="I250" s="1"/>
      <c r="J250" s="1"/>
    </row>
    <row r="251" spans="1:10" x14ac:dyDescent="0.2">
      <c r="A251" s="32">
        <v>245</v>
      </c>
      <c r="B251" s="1" t="s">
        <v>437</v>
      </c>
      <c r="C251" s="32">
        <v>5965</v>
      </c>
      <c r="D251" s="1">
        <v>30000</v>
      </c>
      <c r="E251" s="1"/>
      <c r="F251" s="1">
        <v>334.25</v>
      </c>
      <c r="G251" s="1">
        <v>30000</v>
      </c>
      <c r="H251" s="5">
        <f t="shared" si="6"/>
        <v>0</v>
      </c>
      <c r="I251" s="1"/>
      <c r="J251" s="1"/>
    </row>
    <row r="252" spans="1:10" x14ac:dyDescent="0.2">
      <c r="A252" s="32">
        <v>246</v>
      </c>
      <c r="B252" s="1" t="s">
        <v>437</v>
      </c>
      <c r="C252" s="32">
        <v>5428</v>
      </c>
      <c r="D252" s="1">
        <v>30000</v>
      </c>
      <c r="E252" s="1"/>
      <c r="F252" s="1">
        <v>334.25</v>
      </c>
      <c r="G252" s="1">
        <v>30000</v>
      </c>
      <c r="H252" s="5">
        <f t="shared" si="6"/>
        <v>0</v>
      </c>
      <c r="I252" s="1"/>
      <c r="J252" s="1"/>
    </row>
    <row r="253" spans="1:10" x14ac:dyDescent="0.2">
      <c r="A253" s="32">
        <v>247</v>
      </c>
      <c r="B253" s="1" t="s">
        <v>437</v>
      </c>
      <c r="C253" s="32">
        <v>7071</v>
      </c>
      <c r="D253" s="1">
        <v>15000</v>
      </c>
      <c r="E253" s="1"/>
      <c r="F253" s="1">
        <v>167.15</v>
      </c>
      <c r="G253" s="1">
        <v>15000</v>
      </c>
      <c r="H253" s="5">
        <f t="shared" si="6"/>
        <v>0</v>
      </c>
      <c r="I253" s="1"/>
      <c r="J253" s="1"/>
    </row>
    <row r="254" spans="1:10" x14ac:dyDescent="0.2">
      <c r="A254" s="32">
        <v>248</v>
      </c>
      <c r="B254" s="1" t="s">
        <v>437</v>
      </c>
      <c r="C254" s="32" t="s">
        <v>66</v>
      </c>
      <c r="D254" s="1">
        <v>210</v>
      </c>
      <c r="E254" s="1"/>
      <c r="F254" s="1">
        <v>2.0499999999999998</v>
      </c>
      <c r="G254" s="1">
        <v>210</v>
      </c>
      <c r="H254" s="5">
        <f t="shared" si="6"/>
        <v>0</v>
      </c>
      <c r="I254" s="1"/>
      <c r="J254" s="1"/>
    </row>
    <row r="255" spans="1:10" x14ac:dyDescent="0.2">
      <c r="A255" s="32">
        <v>249</v>
      </c>
      <c r="B255" s="1" t="s">
        <v>437</v>
      </c>
      <c r="C255" s="32">
        <v>5.9299999999999999E-2</v>
      </c>
      <c r="D255" s="1">
        <v>34000</v>
      </c>
      <c r="E255" s="1"/>
      <c r="F255" s="1">
        <v>371.25</v>
      </c>
      <c r="G255" s="1">
        <v>34000</v>
      </c>
      <c r="H255" s="5">
        <f t="shared" si="6"/>
        <v>0</v>
      </c>
      <c r="I255" s="1"/>
      <c r="J255" s="1"/>
    </row>
    <row r="256" spans="1:10" x14ac:dyDescent="0.2">
      <c r="A256" s="32">
        <v>250</v>
      </c>
      <c r="B256" s="1" t="s">
        <v>437</v>
      </c>
      <c r="C256" s="32">
        <v>2152</v>
      </c>
      <c r="D256" s="1">
        <v>15000</v>
      </c>
      <c r="E256" s="1"/>
      <c r="F256" s="1">
        <v>167.15</v>
      </c>
      <c r="G256" s="1">
        <v>15000</v>
      </c>
      <c r="H256" s="5">
        <f t="shared" si="6"/>
        <v>0</v>
      </c>
      <c r="I256" s="1"/>
      <c r="J256" s="1"/>
    </row>
    <row r="257" spans="1:10" x14ac:dyDescent="0.2">
      <c r="A257" s="32">
        <v>251</v>
      </c>
      <c r="B257" s="1" t="s">
        <v>437</v>
      </c>
      <c r="C257" s="32">
        <v>1071</v>
      </c>
      <c r="D257" s="1">
        <v>18000</v>
      </c>
      <c r="E257" s="1"/>
      <c r="F257" s="1">
        <v>200.5</v>
      </c>
      <c r="G257" s="1">
        <v>18000</v>
      </c>
      <c r="H257" s="5">
        <f t="shared" si="6"/>
        <v>0</v>
      </c>
      <c r="I257" s="1"/>
      <c r="J257" s="1"/>
    </row>
    <row r="258" spans="1:10" x14ac:dyDescent="0.2">
      <c r="A258" s="32">
        <v>252</v>
      </c>
      <c r="B258" s="1" t="s">
        <v>437</v>
      </c>
      <c r="C258" s="32">
        <v>3671</v>
      </c>
      <c r="D258" s="1">
        <v>27000</v>
      </c>
      <c r="E258" s="1"/>
      <c r="F258" s="1">
        <v>300.82</v>
      </c>
      <c r="G258" s="1">
        <v>27000</v>
      </c>
      <c r="H258" s="5">
        <f t="shared" si="6"/>
        <v>0</v>
      </c>
      <c r="I258" s="1"/>
      <c r="J258" s="1"/>
    </row>
    <row r="259" spans="1:10" x14ac:dyDescent="0.2">
      <c r="A259" s="32">
        <v>253</v>
      </c>
      <c r="B259" s="1" t="s">
        <v>437</v>
      </c>
      <c r="C259" s="32">
        <v>3445</v>
      </c>
      <c r="D259" s="1">
        <v>22000</v>
      </c>
      <c r="E259" s="1"/>
      <c r="F259" s="1">
        <v>240.65</v>
      </c>
      <c r="G259" s="1">
        <v>22000</v>
      </c>
      <c r="H259" s="5">
        <f t="shared" si="6"/>
        <v>0</v>
      </c>
      <c r="I259" s="1"/>
      <c r="J259" s="1"/>
    </row>
    <row r="260" spans="1:10" x14ac:dyDescent="0.2">
      <c r="A260" s="32">
        <v>254</v>
      </c>
      <c r="B260" s="1" t="s">
        <v>437</v>
      </c>
      <c r="C260" s="32">
        <v>2.4500000000000001E-2</v>
      </c>
      <c r="D260" s="1">
        <v>40000</v>
      </c>
      <c r="E260" s="1"/>
      <c r="F260" s="1">
        <v>445.25</v>
      </c>
      <c r="G260" s="1">
        <v>40000</v>
      </c>
      <c r="H260" s="5">
        <f t="shared" si="6"/>
        <v>0</v>
      </c>
      <c r="I260" s="1"/>
      <c r="J260" s="1"/>
    </row>
    <row r="261" spans="1:10" x14ac:dyDescent="0.2">
      <c r="A261" s="32">
        <v>255</v>
      </c>
      <c r="B261" s="1" t="s">
        <v>437</v>
      </c>
      <c r="C261" s="32">
        <v>9780</v>
      </c>
      <c r="D261" s="1">
        <v>20000</v>
      </c>
      <c r="E261" s="1"/>
      <c r="F261" s="1">
        <v>222.25</v>
      </c>
      <c r="G261" s="1">
        <v>20000</v>
      </c>
      <c r="H261" s="5">
        <f t="shared" si="6"/>
        <v>0</v>
      </c>
      <c r="I261" s="1"/>
      <c r="J261" s="1"/>
    </row>
    <row r="262" spans="1:10" x14ac:dyDescent="0.2">
      <c r="A262" s="32">
        <v>256</v>
      </c>
      <c r="B262" s="1" t="s">
        <v>437</v>
      </c>
      <c r="C262" s="32">
        <v>4657</v>
      </c>
      <c r="D262" s="1">
        <v>23000</v>
      </c>
      <c r="E262" s="1"/>
      <c r="F262" s="1">
        <v>245.25</v>
      </c>
      <c r="G262" s="1">
        <v>23000</v>
      </c>
      <c r="H262" s="5">
        <f t="shared" si="6"/>
        <v>0</v>
      </c>
      <c r="I262" s="1"/>
      <c r="J262" s="1"/>
    </row>
    <row r="263" spans="1:10" x14ac:dyDescent="0.2">
      <c r="A263" s="32">
        <v>257</v>
      </c>
      <c r="B263" s="1" t="s">
        <v>439</v>
      </c>
      <c r="C263" s="32">
        <v>2067</v>
      </c>
      <c r="D263" s="1">
        <v>14000</v>
      </c>
      <c r="E263" s="1"/>
      <c r="F263" s="1">
        <v>155.12</v>
      </c>
      <c r="G263" s="1">
        <v>14000</v>
      </c>
      <c r="H263" s="5">
        <f t="shared" si="6"/>
        <v>0</v>
      </c>
      <c r="I263" s="1"/>
      <c r="J263" s="1"/>
    </row>
    <row r="264" spans="1:10" x14ac:dyDescent="0.2">
      <c r="A264" s="32">
        <v>258</v>
      </c>
      <c r="B264" s="1" t="s">
        <v>439</v>
      </c>
      <c r="C264" s="32">
        <v>9944</v>
      </c>
      <c r="D264" s="1">
        <v>14000</v>
      </c>
      <c r="E264" s="1"/>
      <c r="F264" s="1">
        <v>155.12</v>
      </c>
      <c r="G264" s="1">
        <v>14000</v>
      </c>
      <c r="H264" s="5">
        <f t="shared" si="6"/>
        <v>0</v>
      </c>
      <c r="I264" s="1"/>
      <c r="J264" s="1"/>
    </row>
    <row r="265" spans="1:10" x14ac:dyDescent="0.2">
      <c r="A265" s="32">
        <v>259</v>
      </c>
      <c r="B265" s="1" t="s">
        <v>439</v>
      </c>
      <c r="C265" s="32">
        <v>5076</v>
      </c>
      <c r="D265" s="1">
        <v>18000</v>
      </c>
      <c r="E265" s="1"/>
      <c r="F265" s="1">
        <v>200.25</v>
      </c>
      <c r="G265" s="1">
        <v>18000</v>
      </c>
      <c r="H265" s="5">
        <f t="shared" si="6"/>
        <v>0</v>
      </c>
      <c r="I265" s="1"/>
      <c r="J265" s="1"/>
    </row>
    <row r="266" spans="1:10" x14ac:dyDescent="0.2">
      <c r="A266" s="32">
        <v>260</v>
      </c>
      <c r="B266" s="1" t="s">
        <v>439</v>
      </c>
      <c r="C266" s="32">
        <v>5077</v>
      </c>
      <c r="D266" s="1">
        <v>18000</v>
      </c>
      <c r="E266" s="1"/>
      <c r="F266" s="1">
        <v>200.25</v>
      </c>
      <c r="G266" s="1">
        <v>18000</v>
      </c>
      <c r="H266" s="5">
        <f t="shared" si="6"/>
        <v>0</v>
      </c>
      <c r="I266" s="1"/>
      <c r="J266" s="1"/>
    </row>
    <row r="267" spans="1:10" x14ac:dyDescent="0.2">
      <c r="A267" s="32">
        <v>261</v>
      </c>
      <c r="B267" s="1" t="s">
        <v>439</v>
      </c>
      <c r="C267" s="32">
        <v>3614</v>
      </c>
      <c r="D267" s="1">
        <v>7000</v>
      </c>
      <c r="E267" s="1"/>
      <c r="F267" s="1">
        <v>77.150000000000006</v>
      </c>
      <c r="G267" s="1">
        <v>7000</v>
      </c>
      <c r="H267" s="5">
        <f t="shared" si="6"/>
        <v>0</v>
      </c>
      <c r="I267" s="1"/>
      <c r="J267" s="1"/>
    </row>
    <row r="268" spans="1:10" x14ac:dyDescent="0.2">
      <c r="A268" s="32">
        <v>262</v>
      </c>
      <c r="B268" s="1" t="s">
        <v>439</v>
      </c>
      <c r="C268" s="32">
        <v>7373</v>
      </c>
      <c r="D268" s="1">
        <v>17000</v>
      </c>
      <c r="E268" s="1"/>
      <c r="F268" s="1">
        <v>189.25</v>
      </c>
      <c r="G268" s="1">
        <v>17000</v>
      </c>
      <c r="H268" s="5">
        <f t="shared" si="6"/>
        <v>0</v>
      </c>
      <c r="I268" s="1"/>
      <c r="J268" s="1"/>
    </row>
    <row r="269" spans="1:10" x14ac:dyDescent="0.2">
      <c r="A269" s="32">
        <v>263</v>
      </c>
      <c r="B269" s="1" t="s">
        <v>439</v>
      </c>
      <c r="C269" s="32">
        <v>4451</v>
      </c>
      <c r="D269" s="1">
        <v>17000</v>
      </c>
      <c r="E269" s="1"/>
      <c r="F269" s="1">
        <v>189.25</v>
      </c>
      <c r="G269" s="1">
        <v>17000</v>
      </c>
      <c r="H269" s="5">
        <f t="shared" si="6"/>
        <v>0</v>
      </c>
      <c r="I269" s="1"/>
      <c r="J269" s="1"/>
    </row>
    <row r="270" spans="1:10" x14ac:dyDescent="0.2">
      <c r="A270" s="32">
        <v>264</v>
      </c>
      <c r="B270" s="1" t="s">
        <v>439</v>
      </c>
      <c r="C270" s="32">
        <v>7175</v>
      </c>
      <c r="D270" s="1">
        <v>33000</v>
      </c>
      <c r="E270" s="1"/>
      <c r="F270" s="1">
        <v>367.85</v>
      </c>
      <c r="G270" s="1">
        <v>33000</v>
      </c>
      <c r="H270" s="5">
        <f t="shared" si="6"/>
        <v>0</v>
      </c>
      <c r="I270" s="1"/>
      <c r="J270" s="1"/>
    </row>
    <row r="271" spans="1:10" x14ac:dyDescent="0.2">
      <c r="A271" s="32">
        <v>265</v>
      </c>
      <c r="B271" s="1" t="s">
        <v>439</v>
      </c>
      <c r="C271" s="32">
        <v>7004</v>
      </c>
      <c r="D271" s="1">
        <v>30000</v>
      </c>
      <c r="E271" s="1"/>
      <c r="F271" s="1">
        <v>312.25</v>
      </c>
      <c r="G271" s="1">
        <v>30000</v>
      </c>
      <c r="H271" s="5">
        <f t="shared" si="6"/>
        <v>0</v>
      </c>
      <c r="I271" s="1"/>
      <c r="J271" s="1"/>
    </row>
    <row r="272" spans="1:10" x14ac:dyDescent="0.2">
      <c r="A272" s="32">
        <v>266</v>
      </c>
      <c r="B272" s="1" t="s">
        <v>439</v>
      </c>
      <c r="C272" s="32">
        <v>6317</v>
      </c>
      <c r="D272" s="1">
        <v>30000</v>
      </c>
      <c r="E272" s="1"/>
      <c r="F272" s="1">
        <v>367.85</v>
      </c>
      <c r="G272" s="1">
        <v>30000</v>
      </c>
      <c r="H272" s="5">
        <f t="shared" si="6"/>
        <v>0</v>
      </c>
      <c r="I272" s="1"/>
      <c r="J272" s="1"/>
    </row>
    <row r="273" spans="1:10" x14ac:dyDescent="0.2">
      <c r="A273" s="32">
        <v>267</v>
      </c>
      <c r="B273" s="1" t="s">
        <v>439</v>
      </c>
      <c r="C273" s="32">
        <v>4751</v>
      </c>
      <c r="D273" s="1">
        <v>26000</v>
      </c>
      <c r="E273" s="1"/>
      <c r="F273" s="1">
        <v>276.25</v>
      </c>
      <c r="G273" s="1">
        <v>26000</v>
      </c>
      <c r="H273" s="5">
        <f t="shared" si="6"/>
        <v>0</v>
      </c>
      <c r="I273" s="1"/>
      <c r="J273" s="1"/>
    </row>
    <row r="274" spans="1:10" x14ac:dyDescent="0.2">
      <c r="A274" s="32">
        <v>268</v>
      </c>
      <c r="B274" s="1" t="s">
        <v>439</v>
      </c>
      <c r="C274" s="32">
        <v>6457</v>
      </c>
      <c r="D274" s="1">
        <v>30000</v>
      </c>
      <c r="E274" s="1"/>
      <c r="F274" s="1">
        <v>335.56</v>
      </c>
      <c r="G274" s="1">
        <v>30000</v>
      </c>
      <c r="H274" s="5">
        <f t="shared" si="6"/>
        <v>0</v>
      </c>
      <c r="I274" s="1"/>
      <c r="J274" s="1"/>
    </row>
    <row r="275" spans="1:10" x14ac:dyDescent="0.2">
      <c r="A275" s="32">
        <v>269</v>
      </c>
      <c r="B275" s="1" t="s">
        <v>439</v>
      </c>
      <c r="C275" s="32">
        <v>5.04E-2</v>
      </c>
      <c r="D275" s="1">
        <v>36000</v>
      </c>
      <c r="E275" s="1"/>
      <c r="F275" s="1">
        <v>401.07</v>
      </c>
      <c r="G275" s="1">
        <v>36000</v>
      </c>
      <c r="H275" s="5">
        <f t="shared" si="6"/>
        <v>0</v>
      </c>
      <c r="I275" s="1"/>
      <c r="J275" s="1"/>
    </row>
    <row r="276" spans="1:10" x14ac:dyDescent="0.2">
      <c r="A276" s="32">
        <v>270</v>
      </c>
      <c r="B276" s="1" t="s">
        <v>439</v>
      </c>
      <c r="C276" s="32">
        <v>4799</v>
      </c>
      <c r="D276" s="1">
        <v>9750</v>
      </c>
      <c r="E276" s="1"/>
      <c r="F276" s="1">
        <v>108.25</v>
      </c>
      <c r="G276" s="1">
        <v>9750</v>
      </c>
      <c r="H276" s="5">
        <f t="shared" si="6"/>
        <v>0</v>
      </c>
      <c r="I276" s="1"/>
      <c r="J276" s="1"/>
    </row>
    <row r="277" spans="1:10" x14ac:dyDescent="0.2">
      <c r="A277" s="32">
        <v>271</v>
      </c>
      <c r="B277" s="1" t="s">
        <v>439</v>
      </c>
      <c r="C277" s="32">
        <v>1571</v>
      </c>
      <c r="D277" s="1">
        <v>25000</v>
      </c>
      <c r="E277" s="1"/>
      <c r="F277" s="1">
        <v>278.22000000000003</v>
      </c>
      <c r="G277" s="1">
        <v>25000</v>
      </c>
      <c r="H277" s="5">
        <f t="shared" si="6"/>
        <v>0</v>
      </c>
      <c r="I277" s="1"/>
      <c r="J277" s="1"/>
    </row>
    <row r="278" spans="1:10" x14ac:dyDescent="0.2">
      <c r="A278" s="32">
        <v>272</v>
      </c>
      <c r="B278" s="1" t="s">
        <v>439</v>
      </c>
      <c r="C278" s="32">
        <v>1187</v>
      </c>
      <c r="D278" s="1">
        <v>26000</v>
      </c>
      <c r="E278" s="1"/>
      <c r="F278" s="1">
        <v>265.25</v>
      </c>
      <c r="G278" s="1">
        <v>26000</v>
      </c>
      <c r="H278" s="5">
        <f t="shared" si="6"/>
        <v>0</v>
      </c>
      <c r="I278" s="1"/>
      <c r="J278" s="1"/>
    </row>
    <row r="279" spans="1:10" x14ac:dyDescent="0.2">
      <c r="A279" s="32">
        <v>273</v>
      </c>
      <c r="B279" s="1" t="s">
        <v>439</v>
      </c>
      <c r="C279" s="32">
        <v>5252</v>
      </c>
      <c r="D279" s="1">
        <v>16000</v>
      </c>
      <c r="E279" s="1"/>
      <c r="F279" s="1">
        <v>178.22</v>
      </c>
      <c r="G279" s="1">
        <v>16000</v>
      </c>
      <c r="H279" s="5">
        <f t="shared" si="6"/>
        <v>0</v>
      </c>
      <c r="I279" s="1"/>
      <c r="J279" s="1"/>
    </row>
    <row r="280" spans="1:10" x14ac:dyDescent="0.2">
      <c r="A280" s="32">
        <v>274</v>
      </c>
      <c r="B280" s="1" t="s">
        <v>439</v>
      </c>
      <c r="C280" s="32">
        <v>5151</v>
      </c>
      <c r="D280" s="1">
        <v>16000</v>
      </c>
      <c r="E280" s="1"/>
      <c r="F280" s="1">
        <v>178.22</v>
      </c>
      <c r="G280" s="1">
        <v>16000</v>
      </c>
      <c r="H280" s="5">
        <f t="shared" si="6"/>
        <v>0</v>
      </c>
      <c r="I280" s="1"/>
      <c r="J280" s="1"/>
    </row>
    <row r="281" spans="1:10" x14ac:dyDescent="0.2">
      <c r="A281" s="32">
        <v>275</v>
      </c>
      <c r="B281" s="1" t="s">
        <v>441</v>
      </c>
      <c r="C281" s="32" t="s">
        <v>30</v>
      </c>
      <c r="D281" s="1">
        <v>5000</v>
      </c>
      <c r="E281" s="1"/>
      <c r="F281" s="1">
        <v>55.7</v>
      </c>
      <c r="G281" s="1">
        <v>5000</v>
      </c>
      <c r="H281" s="5">
        <f t="shared" si="6"/>
        <v>0</v>
      </c>
      <c r="I281" s="1"/>
      <c r="J281" s="1"/>
    </row>
    <row r="282" spans="1:10" x14ac:dyDescent="0.2">
      <c r="A282" s="32">
        <v>276</v>
      </c>
      <c r="B282" s="1" t="s">
        <v>441</v>
      </c>
      <c r="C282" s="32">
        <v>8238</v>
      </c>
      <c r="D282" s="1">
        <v>13000</v>
      </c>
      <c r="E282" s="1"/>
      <c r="F282" s="1">
        <v>144.12</v>
      </c>
      <c r="G282" s="1">
        <v>13000</v>
      </c>
      <c r="H282" s="5">
        <f t="shared" si="6"/>
        <v>0</v>
      </c>
      <c r="I282" s="1"/>
      <c r="J282" s="1"/>
    </row>
    <row r="283" spans="1:10" x14ac:dyDescent="0.2">
      <c r="A283" s="32">
        <v>277</v>
      </c>
      <c r="B283" s="1" t="s">
        <v>441</v>
      </c>
      <c r="C283" s="32" t="s">
        <v>30</v>
      </c>
      <c r="D283" s="1">
        <v>4500</v>
      </c>
      <c r="E283" s="1"/>
      <c r="F283" s="1">
        <v>50.13</v>
      </c>
      <c r="G283" s="1">
        <v>4500</v>
      </c>
      <c r="H283" s="5">
        <f t="shared" si="6"/>
        <v>0</v>
      </c>
      <c r="I283" s="1"/>
      <c r="J283" s="1"/>
    </row>
    <row r="284" spans="1:10" x14ac:dyDescent="0.2">
      <c r="A284" s="32">
        <v>278</v>
      </c>
      <c r="B284" s="1" t="s">
        <v>441</v>
      </c>
      <c r="C284" s="32">
        <v>1299</v>
      </c>
      <c r="D284" s="1">
        <v>12500</v>
      </c>
      <c r="E284" s="1"/>
      <c r="F284" s="1">
        <v>139.25</v>
      </c>
      <c r="G284" s="1">
        <v>12500</v>
      </c>
      <c r="H284" s="5">
        <f t="shared" si="6"/>
        <v>0</v>
      </c>
      <c r="I284" s="1"/>
      <c r="J284" s="1"/>
    </row>
    <row r="285" spans="1:10" x14ac:dyDescent="0.2">
      <c r="A285" s="32">
        <v>279</v>
      </c>
      <c r="B285" s="1" t="s">
        <v>441</v>
      </c>
      <c r="C285" s="32">
        <v>4092</v>
      </c>
      <c r="D285" s="1">
        <v>14000</v>
      </c>
      <c r="E285" s="1"/>
      <c r="F285" s="1">
        <v>155.12</v>
      </c>
      <c r="G285" s="1">
        <v>14000</v>
      </c>
      <c r="H285" s="5">
        <f t="shared" si="6"/>
        <v>0</v>
      </c>
      <c r="I285" s="1"/>
      <c r="J285" s="1"/>
    </row>
    <row r="286" spans="1:10" x14ac:dyDescent="0.2">
      <c r="A286" s="32">
        <v>280</v>
      </c>
      <c r="B286" s="1" t="s">
        <v>441</v>
      </c>
      <c r="C286" s="32">
        <v>3855</v>
      </c>
      <c r="D286" s="1">
        <v>15000</v>
      </c>
      <c r="E286" s="1"/>
      <c r="F286" s="1">
        <v>167.15</v>
      </c>
      <c r="G286" s="1">
        <v>15000</v>
      </c>
      <c r="H286" s="5">
        <f t="shared" si="6"/>
        <v>0</v>
      </c>
      <c r="I286" s="1"/>
      <c r="J286" s="1"/>
    </row>
    <row r="287" spans="1:10" x14ac:dyDescent="0.2">
      <c r="A287" s="32">
        <v>281</v>
      </c>
      <c r="B287" s="1" t="s">
        <v>441</v>
      </c>
      <c r="C287" s="32">
        <v>3032</v>
      </c>
      <c r="D287" s="1">
        <v>13000</v>
      </c>
      <c r="E287" s="1"/>
      <c r="F287" s="1">
        <v>144.12</v>
      </c>
      <c r="G287" s="1">
        <v>13000</v>
      </c>
      <c r="H287" s="5">
        <f t="shared" si="6"/>
        <v>0</v>
      </c>
      <c r="I287" s="1"/>
      <c r="J287" s="1"/>
    </row>
    <row r="288" spans="1:10" x14ac:dyDescent="0.2">
      <c r="A288" s="32">
        <v>282</v>
      </c>
      <c r="B288" s="1" t="s">
        <v>441</v>
      </c>
      <c r="C288" s="32">
        <v>8586</v>
      </c>
      <c r="D288" s="1">
        <v>18000</v>
      </c>
      <c r="E288" s="1"/>
      <c r="F288" s="1">
        <v>200.53</v>
      </c>
      <c r="G288" s="1">
        <v>18000</v>
      </c>
      <c r="H288" s="5">
        <f t="shared" si="6"/>
        <v>0</v>
      </c>
      <c r="I288" s="1"/>
      <c r="J288" s="1"/>
    </row>
    <row r="289" spans="1:10" x14ac:dyDescent="0.2">
      <c r="A289" s="32">
        <v>283</v>
      </c>
      <c r="B289" s="1" t="s">
        <v>441</v>
      </c>
      <c r="C289" s="32">
        <v>9259</v>
      </c>
      <c r="D289" s="1">
        <v>19000</v>
      </c>
      <c r="E289" s="1"/>
      <c r="F289" s="1">
        <v>211.12</v>
      </c>
      <c r="G289" s="1">
        <v>19000</v>
      </c>
      <c r="H289" s="5">
        <f t="shared" si="6"/>
        <v>0</v>
      </c>
      <c r="I289" s="1"/>
      <c r="J289" s="1"/>
    </row>
    <row r="290" spans="1:10" x14ac:dyDescent="0.2">
      <c r="A290" s="32">
        <v>284</v>
      </c>
      <c r="B290" s="1" t="s">
        <v>441</v>
      </c>
      <c r="C290" s="32">
        <v>3197</v>
      </c>
      <c r="D290" s="1">
        <v>15000</v>
      </c>
      <c r="E290" s="1"/>
      <c r="F290" s="1">
        <v>167.15</v>
      </c>
      <c r="G290" s="1">
        <v>15000</v>
      </c>
      <c r="H290" s="5">
        <f t="shared" si="6"/>
        <v>0</v>
      </c>
      <c r="I290" s="1"/>
      <c r="J290" s="1"/>
    </row>
    <row r="291" spans="1:10" x14ac:dyDescent="0.2">
      <c r="A291" s="32">
        <v>285</v>
      </c>
      <c r="B291" s="1" t="s">
        <v>441</v>
      </c>
      <c r="C291" s="32">
        <v>4925</v>
      </c>
      <c r="D291" s="1">
        <v>14000</v>
      </c>
      <c r="E291" s="1"/>
      <c r="F291" s="1">
        <v>155.12</v>
      </c>
      <c r="G291" s="1">
        <v>14000</v>
      </c>
      <c r="H291" s="5">
        <f t="shared" si="6"/>
        <v>0</v>
      </c>
      <c r="I291" s="1"/>
      <c r="J291" s="1"/>
    </row>
    <row r="292" spans="1:10" x14ac:dyDescent="0.2">
      <c r="A292" s="32">
        <v>286</v>
      </c>
      <c r="B292" s="1" t="s">
        <v>441</v>
      </c>
      <c r="C292" s="32">
        <v>2497</v>
      </c>
      <c r="D292" s="1">
        <v>20000</v>
      </c>
      <c r="E292" s="1"/>
      <c r="F292" s="1">
        <v>222.2</v>
      </c>
      <c r="G292" s="1">
        <v>20000</v>
      </c>
      <c r="H292" s="5">
        <f t="shared" si="6"/>
        <v>0</v>
      </c>
      <c r="I292" s="1"/>
      <c r="J292" s="1"/>
    </row>
    <row r="293" spans="1:10" x14ac:dyDescent="0.2">
      <c r="A293" s="32">
        <v>287</v>
      </c>
      <c r="B293" s="1" t="s">
        <v>441</v>
      </c>
      <c r="C293" s="32">
        <v>4.7199999999999999E-2</v>
      </c>
      <c r="D293" s="1">
        <v>18000</v>
      </c>
      <c r="E293" s="1"/>
      <c r="F293" s="1">
        <v>222.2</v>
      </c>
      <c r="G293" s="1">
        <v>18000</v>
      </c>
      <c r="H293" s="5">
        <f t="shared" si="6"/>
        <v>0</v>
      </c>
      <c r="I293" s="1"/>
      <c r="J293" s="1"/>
    </row>
    <row r="294" spans="1:10" x14ac:dyDescent="0.2">
      <c r="A294" s="32">
        <v>288</v>
      </c>
      <c r="B294" s="1" t="s">
        <v>441</v>
      </c>
      <c r="C294" s="32">
        <v>3363</v>
      </c>
      <c r="D294" s="1">
        <v>14000</v>
      </c>
      <c r="E294" s="1"/>
      <c r="F294" s="1">
        <v>155.12</v>
      </c>
      <c r="G294" s="1">
        <v>14000</v>
      </c>
      <c r="H294" s="5">
        <f t="shared" si="6"/>
        <v>0</v>
      </c>
      <c r="I294" s="1"/>
      <c r="J294" s="1"/>
    </row>
    <row r="295" spans="1:10" x14ac:dyDescent="0.2">
      <c r="A295" s="32">
        <v>289</v>
      </c>
      <c r="B295" s="1" t="s">
        <v>441</v>
      </c>
      <c r="C295" s="32">
        <v>3662</v>
      </c>
      <c r="D295" s="1">
        <v>18000</v>
      </c>
      <c r="E295" s="1"/>
      <c r="F295" s="1">
        <v>200.53</v>
      </c>
      <c r="G295" s="1">
        <v>18000</v>
      </c>
      <c r="H295" s="5">
        <f t="shared" ref="H295:H358" si="7">D295-G295</f>
        <v>0</v>
      </c>
      <c r="I295" s="1"/>
      <c r="J295" s="1"/>
    </row>
    <row r="296" spans="1:10" x14ac:dyDescent="0.2">
      <c r="A296" s="32">
        <v>290</v>
      </c>
      <c r="B296" s="1" t="s">
        <v>441</v>
      </c>
      <c r="C296" s="32">
        <v>8440</v>
      </c>
      <c r="D296" s="1">
        <v>18000</v>
      </c>
      <c r="E296" s="1"/>
      <c r="F296" s="1">
        <v>200.53</v>
      </c>
      <c r="G296" s="1">
        <v>18000</v>
      </c>
      <c r="H296" s="5">
        <f t="shared" si="7"/>
        <v>0</v>
      </c>
      <c r="I296" s="1"/>
      <c r="J296" s="1"/>
    </row>
    <row r="297" spans="1:10" x14ac:dyDescent="0.2">
      <c r="A297" s="32">
        <v>291</v>
      </c>
      <c r="B297" s="1" t="s">
        <v>441</v>
      </c>
      <c r="C297" s="32">
        <v>9606</v>
      </c>
      <c r="D297" s="1">
        <v>5000</v>
      </c>
      <c r="E297" s="1"/>
      <c r="F297" s="1">
        <v>55.12</v>
      </c>
      <c r="G297" s="1">
        <v>5000</v>
      </c>
      <c r="H297" s="5">
        <f t="shared" si="7"/>
        <v>0</v>
      </c>
      <c r="I297" s="1"/>
      <c r="J297" s="1"/>
    </row>
    <row r="298" spans="1:10" x14ac:dyDescent="0.2">
      <c r="A298" s="32">
        <v>292</v>
      </c>
      <c r="B298" s="1" t="s">
        <v>441</v>
      </c>
      <c r="C298" s="32">
        <v>8569</v>
      </c>
      <c r="D298" s="1">
        <v>11000</v>
      </c>
      <c r="E298" s="1"/>
      <c r="F298" s="1">
        <v>122.25</v>
      </c>
      <c r="G298" s="1">
        <v>11000</v>
      </c>
      <c r="H298" s="5">
        <f t="shared" si="7"/>
        <v>0</v>
      </c>
      <c r="I298" s="1"/>
      <c r="J298" s="1"/>
    </row>
    <row r="299" spans="1:10" x14ac:dyDescent="0.2">
      <c r="A299" s="32">
        <v>293</v>
      </c>
      <c r="B299" s="1" t="s">
        <v>441</v>
      </c>
      <c r="C299" s="32">
        <v>4135</v>
      </c>
      <c r="D299" s="1">
        <v>20000</v>
      </c>
      <c r="E299" s="1"/>
      <c r="F299" s="1">
        <v>222.2</v>
      </c>
      <c r="G299" s="1">
        <v>20000</v>
      </c>
      <c r="H299" s="5">
        <f t="shared" si="7"/>
        <v>0</v>
      </c>
      <c r="I299" s="1"/>
      <c r="J299" s="1"/>
    </row>
    <row r="300" spans="1:10" x14ac:dyDescent="0.2">
      <c r="A300" s="32">
        <v>294</v>
      </c>
      <c r="B300" s="1" t="s">
        <v>441</v>
      </c>
      <c r="C300" s="32">
        <v>4482</v>
      </c>
      <c r="D300" s="1">
        <v>20000</v>
      </c>
      <c r="E300" s="1"/>
      <c r="F300" s="1">
        <v>222.2</v>
      </c>
      <c r="G300" s="1">
        <v>20000</v>
      </c>
      <c r="H300" s="5">
        <f t="shared" si="7"/>
        <v>0</v>
      </c>
      <c r="I300" s="1"/>
      <c r="J300" s="1"/>
    </row>
    <row r="301" spans="1:10" x14ac:dyDescent="0.2">
      <c r="A301" s="32">
        <v>295</v>
      </c>
      <c r="B301" s="1" t="s">
        <v>441</v>
      </c>
      <c r="C301" s="32">
        <v>4579</v>
      </c>
      <c r="D301" s="1">
        <v>20000</v>
      </c>
      <c r="E301" s="1"/>
      <c r="F301" s="1">
        <v>222.2</v>
      </c>
      <c r="G301" s="1">
        <v>20000</v>
      </c>
      <c r="H301" s="5">
        <f t="shared" si="7"/>
        <v>0</v>
      </c>
      <c r="I301" s="1"/>
      <c r="J301" s="1"/>
    </row>
    <row r="302" spans="1:10" x14ac:dyDescent="0.2">
      <c r="A302" s="32">
        <v>296</v>
      </c>
      <c r="B302" s="1" t="s">
        <v>441</v>
      </c>
      <c r="C302" s="32">
        <v>6022</v>
      </c>
      <c r="D302" s="1">
        <v>20000</v>
      </c>
      <c r="E302" s="1"/>
      <c r="F302" s="1">
        <v>222.2</v>
      </c>
      <c r="G302" s="1">
        <v>20000</v>
      </c>
      <c r="H302" s="5">
        <f t="shared" si="7"/>
        <v>0</v>
      </c>
      <c r="I302" s="1"/>
      <c r="J302" s="1"/>
    </row>
    <row r="303" spans="1:10" x14ac:dyDescent="0.2">
      <c r="A303" s="32">
        <v>297</v>
      </c>
      <c r="B303" s="1" t="s">
        <v>441</v>
      </c>
      <c r="C303" s="32">
        <v>2689</v>
      </c>
      <c r="D303" s="1">
        <v>20000</v>
      </c>
      <c r="E303" s="1"/>
      <c r="F303" s="1">
        <v>222.2</v>
      </c>
      <c r="G303" s="1">
        <v>20000</v>
      </c>
      <c r="H303" s="5">
        <f t="shared" si="7"/>
        <v>0</v>
      </c>
      <c r="I303" s="1"/>
      <c r="J303" s="1"/>
    </row>
    <row r="304" spans="1:10" x14ac:dyDescent="0.2">
      <c r="A304" s="32">
        <v>298</v>
      </c>
      <c r="B304" s="1" t="s">
        <v>441</v>
      </c>
      <c r="C304" s="32">
        <v>3317</v>
      </c>
      <c r="D304" s="1">
        <v>30000</v>
      </c>
      <c r="E304" s="1"/>
      <c r="F304" s="1">
        <v>334.22</v>
      </c>
      <c r="G304" s="1">
        <v>30000</v>
      </c>
      <c r="H304" s="5">
        <f t="shared" si="7"/>
        <v>0</v>
      </c>
      <c r="I304" s="1"/>
      <c r="J304" s="1"/>
    </row>
    <row r="305" spans="1:10" x14ac:dyDescent="0.2">
      <c r="A305" s="32">
        <v>299</v>
      </c>
      <c r="B305" s="1" t="s">
        <v>441</v>
      </c>
      <c r="C305" s="32">
        <v>6461</v>
      </c>
      <c r="D305" s="1">
        <v>30000</v>
      </c>
      <c r="E305" s="1"/>
      <c r="F305" s="1">
        <v>334.22</v>
      </c>
      <c r="G305" s="1">
        <v>30000</v>
      </c>
      <c r="H305" s="5">
        <f t="shared" si="7"/>
        <v>0</v>
      </c>
      <c r="I305" s="1"/>
      <c r="J305" s="1"/>
    </row>
    <row r="306" spans="1:10" x14ac:dyDescent="0.2">
      <c r="A306" s="32">
        <v>300</v>
      </c>
      <c r="B306" s="1" t="s">
        <v>441</v>
      </c>
      <c r="C306" s="32">
        <v>3158</v>
      </c>
      <c r="D306" s="1">
        <v>30000</v>
      </c>
      <c r="E306" s="1"/>
      <c r="F306" s="1">
        <v>334.22</v>
      </c>
      <c r="G306" s="1">
        <v>30000</v>
      </c>
      <c r="H306" s="5">
        <f t="shared" si="7"/>
        <v>0</v>
      </c>
      <c r="I306" s="1"/>
      <c r="J306" s="1"/>
    </row>
    <row r="307" spans="1:10" x14ac:dyDescent="0.2">
      <c r="A307" s="32">
        <v>301</v>
      </c>
      <c r="B307" s="1" t="s">
        <v>441</v>
      </c>
      <c r="C307" s="32">
        <v>1372</v>
      </c>
      <c r="D307" s="1">
        <v>30000</v>
      </c>
      <c r="E307" s="1"/>
      <c r="F307" s="1">
        <v>334.22</v>
      </c>
      <c r="G307" s="1">
        <v>30000</v>
      </c>
      <c r="H307" s="5">
        <f t="shared" si="7"/>
        <v>0</v>
      </c>
      <c r="I307" s="1"/>
      <c r="J307" s="1"/>
    </row>
    <row r="308" spans="1:10" x14ac:dyDescent="0.2">
      <c r="A308" s="32">
        <v>302</v>
      </c>
      <c r="B308" s="1" t="s">
        <v>441</v>
      </c>
      <c r="C308" s="32">
        <v>4295</v>
      </c>
      <c r="D308" s="1">
        <v>30000</v>
      </c>
      <c r="E308" s="1"/>
      <c r="F308" s="1">
        <v>334.22</v>
      </c>
      <c r="G308" s="1">
        <v>30000</v>
      </c>
      <c r="H308" s="5">
        <f t="shared" si="7"/>
        <v>0</v>
      </c>
      <c r="I308" s="1"/>
      <c r="J308" s="1"/>
    </row>
    <row r="309" spans="1:10" x14ac:dyDescent="0.2">
      <c r="A309" s="32">
        <v>303</v>
      </c>
      <c r="B309" s="1" t="s">
        <v>441</v>
      </c>
      <c r="C309" s="32">
        <v>5.9400000000000001E-2</v>
      </c>
      <c r="D309" s="1">
        <v>34000</v>
      </c>
      <c r="E309" s="1"/>
      <c r="F309" s="1">
        <v>378.29</v>
      </c>
      <c r="G309" s="1">
        <v>34000</v>
      </c>
      <c r="H309" s="5">
        <f t="shared" si="7"/>
        <v>0</v>
      </c>
      <c r="I309" s="1"/>
      <c r="J309" s="1"/>
    </row>
    <row r="310" spans="1:10" x14ac:dyDescent="0.2">
      <c r="A310" s="32">
        <v>304</v>
      </c>
      <c r="B310" s="1" t="s">
        <v>441</v>
      </c>
      <c r="C310" s="32">
        <v>4225</v>
      </c>
      <c r="D310" s="1">
        <v>34000</v>
      </c>
      <c r="E310" s="1"/>
      <c r="F310" s="1">
        <v>378.29</v>
      </c>
      <c r="G310" s="1">
        <v>34000</v>
      </c>
      <c r="H310" s="5">
        <f t="shared" si="7"/>
        <v>0</v>
      </c>
      <c r="I310" s="1"/>
      <c r="J310" s="1"/>
    </row>
    <row r="311" spans="1:10" x14ac:dyDescent="0.2">
      <c r="A311" s="32">
        <v>305</v>
      </c>
      <c r="B311" s="1" t="s">
        <v>441</v>
      </c>
      <c r="C311" s="32">
        <v>5417</v>
      </c>
      <c r="D311" s="1">
        <v>24000</v>
      </c>
      <c r="E311" s="1"/>
      <c r="F311" s="1">
        <v>251.78</v>
      </c>
      <c r="G311" s="1">
        <v>24000</v>
      </c>
      <c r="H311" s="5">
        <f t="shared" si="7"/>
        <v>0</v>
      </c>
      <c r="I311" s="1"/>
      <c r="J311" s="1"/>
    </row>
    <row r="312" spans="1:10" x14ac:dyDescent="0.2">
      <c r="A312" s="32">
        <v>306</v>
      </c>
      <c r="B312" s="1" t="s">
        <v>441</v>
      </c>
      <c r="C312" s="32">
        <v>1256</v>
      </c>
      <c r="D312" s="1">
        <v>25000</v>
      </c>
      <c r="E312" s="1"/>
      <c r="F312" s="1">
        <v>278.22000000000003</v>
      </c>
      <c r="G312" s="1">
        <v>25000</v>
      </c>
      <c r="H312" s="5">
        <f t="shared" si="7"/>
        <v>0</v>
      </c>
      <c r="I312" s="1"/>
      <c r="J312" s="1"/>
    </row>
    <row r="313" spans="1:10" x14ac:dyDescent="0.2">
      <c r="A313" s="32">
        <v>307</v>
      </c>
      <c r="B313" s="1" t="s">
        <v>443</v>
      </c>
      <c r="C313" s="32">
        <v>1452</v>
      </c>
      <c r="D313" s="1">
        <v>13000</v>
      </c>
      <c r="E313" s="1"/>
      <c r="F313" s="1">
        <v>144.13</v>
      </c>
      <c r="G313" s="1">
        <v>13000</v>
      </c>
      <c r="H313" s="5">
        <f t="shared" si="7"/>
        <v>0</v>
      </c>
      <c r="I313" s="1"/>
      <c r="J313" s="1"/>
    </row>
    <row r="314" spans="1:10" x14ac:dyDescent="0.2">
      <c r="A314" s="32">
        <v>308</v>
      </c>
      <c r="B314" s="1" t="s">
        <v>443</v>
      </c>
      <c r="C314" s="32">
        <v>7071</v>
      </c>
      <c r="D314" s="1">
        <v>14000</v>
      </c>
      <c r="E314" s="1"/>
      <c r="F314" s="1">
        <v>155.12</v>
      </c>
      <c r="G314" s="1">
        <v>14000</v>
      </c>
      <c r="H314" s="5">
        <f t="shared" si="7"/>
        <v>0</v>
      </c>
      <c r="I314" s="1"/>
      <c r="J314" s="1"/>
    </row>
    <row r="315" spans="1:10" x14ac:dyDescent="0.2">
      <c r="A315" s="32">
        <v>309</v>
      </c>
      <c r="B315" s="1" t="s">
        <v>443</v>
      </c>
      <c r="C315" s="32">
        <v>4282</v>
      </c>
      <c r="D315" s="1">
        <v>16000</v>
      </c>
      <c r="E315" s="1"/>
      <c r="F315" s="1">
        <v>178.22</v>
      </c>
      <c r="G315" s="1">
        <v>16000</v>
      </c>
      <c r="H315" s="5">
        <f t="shared" si="7"/>
        <v>0</v>
      </c>
      <c r="I315" s="1"/>
      <c r="J315" s="1"/>
    </row>
    <row r="316" spans="1:10" x14ac:dyDescent="0.2">
      <c r="A316" s="32">
        <v>310</v>
      </c>
      <c r="B316" s="1" t="s">
        <v>443</v>
      </c>
      <c r="C316" s="32">
        <v>2973</v>
      </c>
      <c r="D316" s="1">
        <v>16000</v>
      </c>
      <c r="E316" s="1"/>
      <c r="F316" s="1">
        <v>178.22</v>
      </c>
      <c r="G316" s="1">
        <v>16000</v>
      </c>
      <c r="H316" s="5">
        <f t="shared" si="7"/>
        <v>0</v>
      </c>
      <c r="I316" s="1"/>
      <c r="J316" s="1"/>
    </row>
    <row r="317" spans="1:10" x14ac:dyDescent="0.2">
      <c r="A317" s="32">
        <v>311</v>
      </c>
      <c r="B317" s="1" t="s">
        <v>443</v>
      </c>
      <c r="C317" s="32" t="s">
        <v>63</v>
      </c>
      <c r="D317" s="1">
        <v>3500</v>
      </c>
      <c r="E317" s="1"/>
      <c r="F317" s="1">
        <v>38.130000000000003</v>
      </c>
      <c r="G317" s="1">
        <v>3500</v>
      </c>
      <c r="H317" s="5">
        <f t="shared" si="7"/>
        <v>0</v>
      </c>
      <c r="I317" s="1"/>
      <c r="J317" s="1"/>
    </row>
    <row r="318" spans="1:10" x14ac:dyDescent="0.2">
      <c r="A318" s="32">
        <v>312</v>
      </c>
      <c r="B318" s="1" t="s">
        <v>443</v>
      </c>
      <c r="C318" s="32">
        <v>1352</v>
      </c>
      <c r="D318" s="1">
        <v>13000</v>
      </c>
      <c r="E318" s="1"/>
      <c r="F318" s="1">
        <v>144.25</v>
      </c>
      <c r="G318" s="1">
        <v>13000</v>
      </c>
      <c r="H318" s="5">
        <f t="shared" si="7"/>
        <v>0</v>
      </c>
      <c r="I318" s="1"/>
      <c r="J318" s="1"/>
    </row>
    <row r="319" spans="1:10" x14ac:dyDescent="0.2">
      <c r="A319" s="32">
        <v>313</v>
      </c>
      <c r="B319" s="1" t="s">
        <v>443</v>
      </c>
      <c r="C319" s="32">
        <v>5958</v>
      </c>
      <c r="D319" s="1">
        <v>16000</v>
      </c>
      <c r="E319" s="1"/>
      <c r="F319" s="1">
        <v>178.22</v>
      </c>
      <c r="G319" s="1">
        <v>16000</v>
      </c>
      <c r="H319" s="5">
        <f t="shared" si="7"/>
        <v>0</v>
      </c>
      <c r="I319" s="1"/>
      <c r="J319" s="1"/>
    </row>
    <row r="320" spans="1:10" x14ac:dyDescent="0.2">
      <c r="A320" s="32">
        <v>314</v>
      </c>
      <c r="B320" s="1" t="s">
        <v>443</v>
      </c>
      <c r="C320" s="32">
        <v>8956</v>
      </c>
      <c r="D320" s="1">
        <v>20178</v>
      </c>
      <c r="E320" s="1"/>
      <c r="F320" s="1">
        <v>224.85</v>
      </c>
      <c r="G320" s="1">
        <v>20178</v>
      </c>
      <c r="H320" s="5">
        <f t="shared" si="7"/>
        <v>0</v>
      </c>
      <c r="I320" s="1"/>
      <c r="J320" s="1"/>
    </row>
    <row r="321" spans="1:10" x14ac:dyDescent="0.2">
      <c r="A321" s="32">
        <v>315</v>
      </c>
      <c r="B321" s="1" t="s">
        <v>443</v>
      </c>
      <c r="C321" s="32">
        <v>9905</v>
      </c>
      <c r="D321" s="1">
        <v>13000</v>
      </c>
      <c r="E321" s="1"/>
      <c r="F321" s="1">
        <v>144.25</v>
      </c>
      <c r="G321" s="1">
        <v>13000</v>
      </c>
      <c r="H321" s="5">
        <f t="shared" si="7"/>
        <v>0</v>
      </c>
      <c r="I321" s="1"/>
      <c r="J321" s="1"/>
    </row>
    <row r="322" spans="1:10" x14ac:dyDescent="0.2">
      <c r="A322" s="32">
        <v>316</v>
      </c>
      <c r="B322" s="1" t="s">
        <v>443</v>
      </c>
      <c r="C322" s="32">
        <v>1598</v>
      </c>
      <c r="D322" s="1">
        <v>12000</v>
      </c>
      <c r="E322" s="1"/>
      <c r="F322" s="1">
        <v>133.25</v>
      </c>
      <c r="G322" s="1">
        <v>12000</v>
      </c>
      <c r="H322" s="5">
        <f t="shared" si="7"/>
        <v>0</v>
      </c>
      <c r="I322" s="1"/>
      <c r="J322" s="1"/>
    </row>
    <row r="323" spans="1:10" x14ac:dyDescent="0.2">
      <c r="A323" s="32">
        <v>317</v>
      </c>
      <c r="B323" s="1" t="s">
        <v>443</v>
      </c>
      <c r="C323" s="32">
        <v>2829</v>
      </c>
      <c r="D323" s="1">
        <v>20000</v>
      </c>
      <c r="E323" s="1"/>
      <c r="F323" s="1">
        <v>222.25</v>
      </c>
      <c r="G323" s="1">
        <v>20000</v>
      </c>
      <c r="H323" s="5">
        <f t="shared" si="7"/>
        <v>0</v>
      </c>
      <c r="I323" s="1"/>
      <c r="J323" s="1"/>
    </row>
    <row r="324" spans="1:10" x14ac:dyDescent="0.2">
      <c r="A324" s="32">
        <v>318</v>
      </c>
      <c r="B324" s="1" t="s">
        <v>443</v>
      </c>
      <c r="C324" s="32">
        <v>2777</v>
      </c>
      <c r="D324" s="1">
        <v>26000</v>
      </c>
      <c r="E324" s="1"/>
      <c r="F324" s="1">
        <v>289.14999999999998</v>
      </c>
      <c r="G324" s="1">
        <v>26000</v>
      </c>
      <c r="H324" s="5">
        <f t="shared" si="7"/>
        <v>0</v>
      </c>
      <c r="I324" s="1"/>
      <c r="J324" s="1"/>
    </row>
    <row r="325" spans="1:10" x14ac:dyDescent="0.2">
      <c r="A325" s="32">
        <v>319</v>
      </c>
      <c r="B325" s="1" t="s">
        <v>443</v>
      </c>
      <c r="C325" s="32">
        <v>6596</v>
      </c>
      <c r="D325" s="1">
        <v>14000</v>
      </c>
      <c r="E325" s="1"/>
      <c r="F325" s="1">
        <v>155.25</v>
      </c>
      <c r="G325" s="1">
        <v>14000</v>
      </c>
      <c r="H325" s="5">
        <f t="shared" si="7"/>
        <v>0</v>
      </c>
      <c r="I325" s="1"/>
      <c r="J325" s="1"/>
    </row>
    <row r="326" spans="1:10" x14ac:dyDescent="0.2">
      <c r="A326" s="32">
        <v>320</v>
      </c>
      <c r="B326" s="1" t="s">
        <v>443</v>
      </c>
      <c r="C326" s="32">
        <v>4.1500000000000002E-2</v>
      </c>
      <c r="D326" s="1">
        <v>8000</v>
      </c>
      <c r="E326" s="1"/>
      <c r="F326" s="1">
        <v>89.15</v>
      </c>
      <c r="G326" s="1">
        <v>8000</v>
      </c>
      <c r="H326" s="5">
        <f t="shared" si="7"/>
        <v>0</v>
      </c>
      <c r="I326" s="1"/>
      <c r="J326" s="1"/>
    </row>
    <row r="327" spans="1:10" x14ac:dyDescent="0.2">
      <c r="A327" s="32">
        <v>321</v>
      </c>
      <c r="B327" s="1" t="s">
        <v>443</v>
      </c>
      <c r="C327" s="32">
        <v>9665</v>
      </c>
      <c r="D327" s="1">
        <v>6000</v>
      </c>
      <c r="E327" s="1"/>
      <c r="F327" s="1">
        <v>66.12</v>
      </c>
      <c r="G327" s="1">
        <v>6000</v>
      </c>
      <c r="H327" s="5">
        <f t="shared" si="7"/>
        <v>0</v>
      </c>
      <c r="I327" s="1"/>
      <c r="J327" s="1"/>
    </row>
    <row r="328" spans="1:10" x14ac:dyDescent="0.2">
      <c r="A328" s="32">
        <v>322</v>
      </c>
      <c r="B328" s="1" t="s">
        <v>443</v>
      </c>
      <c r="C328" s="32">
        <v>6496</v>
      </c>
      <c r="D328" s="1">
        <v>14000</v>
      </c>
      <c r="E328" s="1"/>
      <c r="F328" s="1">
        <v>144.15</v>
      </c>
      <c r="G328" s="1">
        <v>14000</v>
      </c>
      <c r="H328" s="5">
        <f t="shared" si="7"/>
        <v>0</v>
      </c>
      <c r="I328" s="1"/>
      <c r="J328" s="1"/>
    </row>
    <row r="329" spans="1:10" x14ac:dyDescent="0.2">
      <c r="A329" s="32">
        <v>323</v>
      </c>
      <c r="B329" s="1" t="s">
        <v>443</v>
      </c>
      <c r="C329" s="32">
        <v>3365</v>
      </c>
      <c r="D329" s="1">
        <v>7000</v>
      </c>
      <c r="E329" s="1"/>
      <c r="F329" s="1">
        <v>77.930000000000007</v>
      </c>
      <c r="G329" s="1">
        <v>7000</v>
      </c>
      <c r="H329" s="5">
        <f t="shared" si="7"/>
        <v>0</v>
      </c>
      <c r="I329" s="1"/>
      <c r="J329" s="1"/>
    </row>
    <row r="330" spans="1:10" x14ac:dyDescent="0.2">
      <c r="A330" s="32">
        <v>324</v>
      </c>
      <c r="B330" s="1" t="s">
        <v>443</v>
      </c>
      <c r="C330" s="32">
        <v>6214</v>
      </c>
      <c r="D330" s="1">
        <v>19000</v>
      </c>
      <c r="E330" s="1"/>
      <c r="F330" s="1">
        <v>211.15</v>
      </c>
      <c r="G330" s="1">
        <v>19000</v>
      </c>
      <c r="H330" s="5">
        <f t="shared" si="7"/>
        <v>0</v>
      </c>
      <c r="I330" s="1"/>
      <c r="J330" s="1"/>
    </row>
    <row r="331" spans="1:10" x14ac:dyDescent="0.2">
      <c r="A331" s="32">
        <v>325</v>
      </c>
      <c r="B331" s="1" t="s">
        <v>443</v>
      </c>
      <c r="C331" s="32">
        <v>2545</v>
      </c>
      <c r="D331" s="1">
        <v>15000</v>
      </c>
      <c r="E331" s="1"/>
      <c r="F331" s="1">
        <v>167.15</v>
      </c>
      <c r="G331" s="1">
        <v>15000</v>
      </c>
      <c r="H331" s="5">
        <f t="shared" si="7"/>
        <v>0</v>
      </c>
      <c r="I331" s="1"/>
      <c r="J331" s="1"/>
    </row>
    <row r="332" spans="1:10" x14ac:dyDescent="0.2">
      <c r="A332" s="32">
        <v>326</v>
      </c>
      <c r="B332" s="1" t="s">
        <v>443</v>
      </c>
      <c r="C332" s="32">
        <v>4371</v>
      </c>
      <c r="D332" s="1">
        <v>12000</v>
      </c>
      <c r="E332" s="1"/>
      <c r="F332" s="1">
        <v>133.25</v>
      </c>
      <c r="G332" s="1">
        <v>12000</v>
      </c>
      <c r="H332" s="5">
        <f t="shared" si="7"/>
        <v>0</v>
      </c>
      <c r="I332" s="1"/>
      <c r="J332" s="1"/>
    </row>
    <row r="333" spans="1:10" x14ac:dyDescent="0.2">
      <c r="A333" s="32">
        <v>327</v>
      </c>
      <c r="B333" s="1" t="s">
        <v>443</v>
      </c>
      <c r="C333" s="32">
        <v>1266</v>
      </c>
      <c r="D333" s="1">
        <v>13000</v>
      </c>
      <c r="E333" s="1"/>
      <c r="F333" s="1">
        <v>144.12</v>
      </c>
      <c r="G333" s="1">
        <v>13000</v>
      </c>
      <c r="H333" s="5">
        <f t="shared" si="7"/>
        <v>0</v>
      </c>
      <c r="I333" s="1"/>
      <c r="J333" s="1"/>
    </row>
    <row r="334" spans="1:10" x14ac:dyDescent="0.2">
      <c r="A334" s="32">
        <v>328</v>
      </c>
      <c r="B334" s="1" t="s">
        <v>443</v>
      </c>
      <c r="C334" s="32">
        <v>9669</v>
      </c>
      <c r="D334" s="1">
        <v>6000</v>
      </c>
      <c r="E334" s="1"/>
      <c r="F334" s="1">
        <v>66.12</v>
      </c>
      <c r="G334" s="1">
        <v>6000</v>
      </c>
      <c r="H334" s="5">
        <f t="shared" si="7"/>
        <v>0</v>
      </c>
      <c r="I334" s="1"/>
      <c r="J334" s="1"/>
    </row>
    <row r="335" spans="1:10" x14ac:dyDescent="0.2">
      <c r="A335" s="32">
        <v>329</v>
      </c>
      <c r="B335" s="1" t="s">
        <v>443</v>
      </c>
      <c r="C335" s="32">
        <v>9979</v>
      </c>
      <c r="D335" s="1">
        <v>6000</v>
      </c>
      <c r="E335" s="1"/>
      <c r="F335" s="1">
        <v>66.12</v>
      </c>
      <c r="G335" s="1">
        <v>6000</v>
      </c>
      <c r="H335" s="5">
        <f t="shared" si="7"/>
        <v>0</v>
      </c>
      <c r="I335" s="1"/>
      <c r="J335" s="1"/>
    </row>
    <row r="336" spans="1:10" x14ac:dyDescent="0.2">
      <c r="A336" s="32">
        <v>330</v>
      </c>
      <c r="B336" s="1" t="s">
        <v>443</v>
      </c>
      <c r="C336" s="32">
        <v>4437</v>
      </c>
      <c r="D336" s="1">
        <v>10000</v>
      </c>
      <c r="E336" s="1"/>
      <c r="F336" s="1">
        <v>111.25</v>
      </c>
      <c r="G336" s="1">
        <v>10000</v>
      </c>
      <c r="H336" s="5">
        <f t="shared" si="7"/>
        <v>0</v>
      </c>
      <c r="I336" s="1"/>
      <c r="J336" s="1"/>
    </row>
    <row r="337" spans="1:10" x14ac:dyDescent="0.2">
      <c r="A337" s="32">
        <v>331</v>
      </c>
      <c r="B337" s="1" t="s">
        <v>443</v>
      </c>
      <c r="C337" s="32">
        <v>1652</v>
      </c>
      <c r="D337" s="1">
        <v>14000</v>
      </c>
      <c r="E337" s="1"/>
      <c r="F337" s="1">
        <v>144.15</v>
      </c>
      <c r="G337" s="1">
        <v>14000</v>
      </c>
      <c r="H337" s="5">
        <f t="shared" si="7"/>
        <v>0</v>
      </c>
      <c r="I337" s="1"/>
      <c r="J337" s="1"/>
    </row>
    <row r="338" spans="1:10" x14ac:dyDescent="0.2">
      <c r="A338" s="32">
        <v>332</v>
      </c>
      <c r="B338" s="1" t="s">
        <v>443</v>
      </c>
      <c r="C338" s="32">
        <v>3398</v>
      </c>
      <c r="D338" s="1">
        <v>13000</v>
      </c>
      <c r="E338" s="1"/>
      <c r="F338" s="1">
        <v>144.12</v>
      </c>
      <c r="G338" s="1">
        <v>13000</v>
      </c>
      <c r="H338" s="5">
        <f t="shared" si="7"/>
        <v>0</v>
      </c>
      <c r="I338" s="1"/>
      <c r="J338" s="1"/>
    </row>
    <row r="339" spans="1:10" x14ac:dyDescent="0.2">
      <c r="A339" s="32">
        <v>333</v>
      </c>
      <c r="B339" s="1" t="s">
        <v>443</v>
      </c>
      <c r="C339" s="32">
        <v>2975</v>
      </c>
      <c r="D339" s="1">
        <v>14000</v>
      </c>
      <c r="E339" s="1"/>
      <c r="F339" s="1">
        <v>144.15</v>
      </c>
      <c r="G339" s="1">
        <v>14000</v>
      </c>
      <c r="H339" s="5">
        <f t="shared" si="7"/>
        <v>0</v>
      </c>
      <c r="I339" s="1"/>
      <c r="J339" s="1"/>
    </row>
    <row r="340" spans="1:10" x14ac:dyDescent="0.2">
      <c r="A340" s="32">
        <v>334</v>
      </c>
      <c r="B340" s="1" t="s">
        <v>443</v>
      </c>
      <c r="C340" s="32">
        <v>2.1399999999999999E-2</v>
      </c>
      <c r="D340" s="1">
        <v>19200</v>
      </c>
      <c r="E340" s="1"/>
      <c r="F340" s="1">
        <v>213.9</v>
      </c>
      <c r="G340" s="1">
        <v>19200</v>
      </c>
      <c r="H340" s="5">
        <f t="shared" si="7"/>
        <v>0</v>
      </c>
      <c r="I340" s="1"/>
      <c r="J340" s="1"/>
    </row>
    <row r="341" spans="1:10" x14ac:dyDescent="0.2">
      <c r="A341" s="32">
        <v>335</v>
      </c>
      <c r="B341" s="1" t="s">
        <v>443</v>
      </c>
      <c r="C341" s="32">
        <v>6318</v>
      </c>
      <c r="D341" s="1">
        <v>22000</v>
      </c>
      <c r="E341" s="1"/>
      <c r="F341" s="1">
        <v>245.1</v>
      </c>
      <c r="G341" s="1">
        <v>22000</v>
      </c>
      <c r="H341" s="5">
        <f t="shared" si="7"/>
        <v>0</v>
      </c>
      <c r="I341" s="1"/>
      <c r="J341" s="1"/>
    </row>
    <row r="342" spans="1:10" x14ac:dyDescent="0.2">
      <c r="A342" s="32">
        <v>336</v>
      </c>
      <c r="B342" s="1" t="s">
        <v>443</v>
      </c>
      <c r="C342" s="32">
        <v>1071</v>
      </c>
      <c r="D342" s="1">
        <v>13000</v>
      </c>
      <c r="E342" s="1"/>
      <c r="F342" s="1">
        <v>144.82</v>
      </c>
      <c r="G342" s="1">
        <v>13000</v>
      </c>
      <c r="H342" s="5">
        <f t="shared" si="7"/>
        <v>0</v>
      </c>
      <c r="I342" s="1"/>
      <c r="J342" s="1"/>
    </row>
    <row r="343" spans="1:10" x14ac:dyDescent="0.2">
      <c r="A343" s="32">
        <v>337</v>
      </c>
      <c r="B343" s="1" t="s">
        <v>443</v>
      </c>
      <c r="C343" s="32">
        <v>5956</v>
      </c>
      <c r="D343" s="1">
        <v>14000</v>
      </c>
      <c r="E343" s="1"/>
      <c r="F343" s="1">
        <v>155.97</v>
      </c>
      <c r="G343" s="1">
        <v>14000</v>
      </c>
      <c r="H343" s="5">
        <f t="shared" si="7"/>
        <v>0</v>
      </c>
      <c r="I343" s="1"/>
      <c r="J343" s="1"/>
    </row>
    <row r="344" spans="1:10" x14ac:dyDescent="0.2">
      <c r="A344" s="32">
        <v>338</v>
      </c>
      <c r="B344" s="1" t="s">
        <v>443</v>
      </c>
      <c r="C344" s="32">
        <v>1260</v>
      </c>
      <c r="D344" s="1">
        <v>25000</v>
      </c>
      <c r="E344" s="1"/>
      <c r="F344" s="1">
        <v>278.25</v>
      </c>
      <c r="G344" s="1">
        <v>25000</v>
      </c>
      <c r="H344" s="5">
        <f t="shared" si="7"/>
        <v>0</v>
      </c>
      <c r="I344" s="1"/>
      <c r="J344" s="1"/>
    </row>
    <row r="345" spans="1:10" x14ac:dyDescent="0.2">
      <c r="A345" s="32">
        <v>339</v>
      </c>
      <c r="B345" s="1" t="s">
        <v>443</v>
      </c>
      <c r="C345" s="32">
        <v>1252</v>
      </c>
      <c r="D345" s="1">
        <v>15000</v>
      </c>
      <c r="E345" s="1"/>
      <c r="F345" s="1">
        <v>167.11</v>
      </c>
      <c r="G345" s="1">
        <v>15000</v>
      </c>
      <c r="H345" s="5">
        <f t="shared" si="7"/>
        <v>0</v>
      </c>
      <c r="I345" s="1"/>
      <c r="J345" s="1"/>
    </row>
    <row r="346" spans="1:10" x14ac:dyDescent="0.2">
      <c r="A346" s="32">
        <v>340</v>
      </c>
      <c r="B346" s="1" t="s">
        <v>443</v>
      </c>
      <c r="C346" s="32">
        <v>5252</v>
      </c>
      <c r="D346" s="1">
        <v>15000</v>
      </c>
      <c r="E346" s="1"/>
      <c r="F346" s="1">
        <v>167.11</v>
      </c>
      <c r="G346" s="1">
        <v>15000</v>
      </c>
      <c r="H346" s="5">
        <f t="shared" si="7"/>
        <v>0</v>
      </c>
      <c r="I346" s="1"/>
      <c r="J346" s="1"/>
    </row>
    <row r="347" spans="1:10" x14ac:dyDescent="0.2">
      <c r="A347" s="32">
        <v>341</v>
      </c>
      <c r="B347" s="1" t="s">
        <v>443</v>
      </c>
      <c r="C347" s="32">
        <v>4863</v>
      </c>
      <c r="D347" s="1">
        <v>15000</v>
      </c>
      <c r="E347" s="1"/>
      <c r="F347" s="1">
        <v>167.11</v>
      </c>
      <c r="G347" s="1">
        <v>15000</v>
      </c>
      <c r="H347" s="5">
        <f t="shared" si="7"/>
        <v>0</v>
      </c>
      <c r="I347" s="1"/>
      <c r="J347" s="1"/>
    </row>
    <row r="348" spans="1:10" x14ac:dyDescent="0.2">
      <c r="A348" s="32">
        <v>342</v>
      </c>
      <c r="B348" s="1" t="s">
        <v>443</v>
      </c>
      <c r="C348" s="32">
        <v>4414</v>
      </c>
      <c r="D348" s="1">
        <v>20000</v>
      </c>
      <c r="E348" s="1"/>
      <c r="F348" s="1">
        <v>222.25</v>
      </c>
      <c r="G348" s="1">
        <v>20000</v>
      </c>
      <c r="H348" s="5">
        <f t="shared" si="7"/>
        <v>0</v>
      </c>
      <c r="I348" s="1"/>
      <c r="J348" s="1"/>
    </row>
    <row r="349" spans="1:10" x14ac:dyDescent="0.2">
      <c r="A349" s="32">
        <v>343</v>
      </c>
      <c r="B349" s="1" t="s">
        <v>443</v>
      </c>
      <c r="C349" s="32">
        <v>0.307</v>
      </c>
      <c r="D349" s="1">
        <v>20000</v>
      </c>
      <c r="E349" s="1"/>
      <c r="F349" s="1">
        <v>222.25</v>
      </c>
      <c r="G349" s="1">
        <v>20000</v>
      </c>
      <c r="H349" s="5">
        <f t="shared" si="7"/>
        <v>0</v>
      </c>
      <c r="I349" s="1"/>
      <c r="J349" s="1"/>
    </row>
    <row r="350" spans="1:10" x14ac:dyDescent="0.2">
      <c r="A350" s="32">
        <v>344</v>
      </c>
      <c r="B350" s="1" t="s">
        <v>443</v>
      </c>
      <c r="C350" s="32">
        <v>1.3299999999999999E-2</v>
      </c>
      <c r="D350" s="1">
        <v>20000</v>
      </c>
      <c r="E350" s="1"/>
      <c r="F350" s="1">
        <v>222.25</v>
      </c>
      <c r="G350" s="1">
        <v>20000</v>
      </c>
      <c r="H350" s="5">
        <f t="shared" si="7"/>
        <v>0</v>
      </c>
      <c r="I350" s="1"/>
      <c r="J350" s="1"/>
    </row>
    <row r="351" spans="1:10" x14ac:dyDescent="0.2">
      <c r="A351" s="32">
        <v>345</v>
      </c>
      <c r="B351" s="1" t="s">
        <v>443</v>
      </c>
      <c r="C351" s="32">
        <v>1343</v>
      </c>
      <c r="D351" s="1">
        <v>30000</v>
      </c>
      <c r="E351" s="1"/>
      <c r="F351" s="1">
        <v>334.22</v>
      </c>
      <c r="G351" s="1">
        <v>30000</v>
      </c>
      <c r="H351" s="5">
        <f t="shared" si="7"/>
        <v>0</v>
      </c>
      <c r="I351" s="1"/>
      <c r="J351" s="1"/>
    </row>
    <row r="352" spans="1:10" x14ac:dyDescent="0.2">
      <c r="A352" s="32">
        <v>346</v>
      </c>
      <c r="B352" s="1" t="s">
        <v>443</v>
      </c>
      <c r="C352" s="32">
        <v>4643</v>
      </c>
      <c r="D352" s="1">
        <v>30000</v>
      </c>
      <c r="E352" s="1"/>
      <c r="F352" s="1">
        <v>334.22</v>
      </c>
      <c r="G352" s="1">
        <v>30000</v>
      </c>
      <c r="H352" s="5">
        <f t="shared" si="7"/>
        <v>0</v>
      </c>
      <c r="I352" s="1"/>
      <c r="J352" s="1"/>
    </row>
    <row r="353" spans="1:10" x14ac:dyDescent="0.2">
      <c r="A353" s="32">
        <v>347</v>
      </c>
      <c r="B353" s="1" t="s">
        <v>443</v>
      </c>
      <c r="C353" s="32">
        <v>6126</v>
      </c>
      <c r="D353" s="1">
        <v>30000</v>
      </c>
      <c r="E353" s="1"/>
      <c r="F353" s="1">
        <v>334.22</v>
      </c>
      <c r="G353" s="1">
        <v>30000</v>
      </c>
      <c r="H353" s="5">
        <f t="shared" si="7"/>
        <v>0</v>
      </c>
      <c r="I353" s="1"/>
      <c r="J353" s="1"/>
    </row>
    <row r="354" spans="1:10" x14ac:dyDescent="0.2">
      <c r="A354" s="32">
        <v>348</v>
      </c>
      <c r="B354" s="1" t="s">
        <v>443</v>
      </c>
      <c r="C354" s="32">
        <v>8592</v>
      </c>
      <c r="D354" s="1">
        <v>30000</v>
      </c>
      <c r="E354" s="1"/>
      <c r="F354" s="1">
        <v>334.22</v>
      </c>
      <c r="G354" s="1">
        <v>30000</v>
      </c>
      <c r="H354" s="5">
        <f t="shared" si="7"/>
        <v>0</v>
      </c>
      <c r="I354" s="1"/>
      <c r="J354" s="1"/>
    </row>
    <row r="355" spans="1:10" x14ac:dyDescent="0.2">
      <c r="A355" s="32">
        <v>349</v>
      </c>
      <c r="B355" s="1" t="s">
        <v>443</v>
      </c>
      <c r="C355" s="32">
        <v>7106</v>
      </c>
      <c r="D355" s="1">
        <v>30000</v>
      </c>
      <c r="E355" s="1"/>
      <c r="F355" s="1">
        <v>334.22</v>
      </c>
      <c r="G355" s="1">
        <v>30000</v>
      </c>
      <c r="H355" s="5">
        <f t="shared" si="7"/>
        <v>0</v>
      </c>
      <c r="I355" s="1"/>
      <c r="J355" s="1"/>
    </row>
    <row r="356" spans="1:10" x14ac:dyDescent="0.2">
      <c r="A356" s="32">
        <v>350</v>
      </c>
      <c r="B356" s="1" t="s">
        <v>443</v>
      </c>
      <c r="C356" s="32">
        <v>1811</v>
      </c>
      <c r="D356" s="1">
        <v>33000</v>
      </c>
      <c r="E356" s="1"/>
      <c r="F356" s="1">
        <v>357.25</v>
      </c>
      <c r="G356" s="1">
        <v>33000</v>
      </c>
      <c r="H356" s="5">
        <f t="shared" si="7"/>
        <v>0</v>
      </c>
      <c r="I356" s="1"/>
      <c r="J356" s="1"/>
    </row>
    <row r="357" spans="1:10" x14ac:dyDescent="0.2">
      <c r="A357" s="32">
        <v>351</v>
      </c>
      <c r="B357" s="1" t="s">
        <v>443</v>
      </c>
      <c r="C357" s="32">
        <v>7605</v>
      </c>
      <c r="D357" s="1">
        <v>21000</v>
      </c>
      <c r="E357" s="1"/>
      <c r="F357" s="1">
        <v>233.25</v>
      </c>
      <c r="G357" s="1">
        <v>21000</v>
      </c>
      <c r="H357" s="5">
        <f t="shared" si="7"/>
        <v>0</v>
      </c>
      <c r="I357" s="1"/>
      <c r="J357" s="1"/>
    </row>
    <row r="358" spans="1:10" x14ac:dyDescent="0.2">
      <c r="A358" s="32">
        <v>352</v>
      </c>
      <c r="B358" s="1" t="s">
        <v>444</v>
      </c>
      <c r="C358" s="32">
        <v>1046</v>
      </c>
      <c r="D358" s="1">
        <v>13000</v>
      </c>
      <c r="E358" s="1"/>
      <c r="F358" s="1">
        <v>144.13</v>
      </c>
      <c r="G358" s="1">
        <v>13000</v>
      </c>
      <c r="H358" s="5">
        <f t="shared" si="7"/>
        <v>0</v>
      </c>
      <c r="I358" s="1"/>
      <c r="J358" s="1"/>
    </row>
    <row r="359" spans="1:10" x14ac:dyDescent="0.2">
      <c r="A359" s="32">
        <v>353</v>
      </c>
      <c r="B359" s="1" t="s">
        <v>444</v>
      </c>
      <c r="C359" s="32">
        <v>9668</v>
      </c>
      <c r="D359" s="1">
        <v>10000</v>
      </c>
      <c r="E359" s="1"/>
      <c r="F359" s="1">
        <v>111.41</v>
      </c>
      <c r="G359" s="1">
        <v>10000</v>
      </c>
      <c r="H359" s="5">
        <f t="shared" ref="H359:H422" si="8">D359-G359</f>
        <v>0</v>
      </c>
      <c r="I359" s="1"/>
      <c r="J359" s="1"/>
    </row>
    <row r="360" spans="1:10" x14ac:dyDescent="0.2">
      <c r="A360" s="32">
        <v>354</v>
      </c>
      <c r="B360" s="1" t="s">
        <v>444</v>
      </c>
      <c r="C360" s="32" t="s">
        <v>30</v>
      </c>
      <c r="D360" s="1">
        <v>4500</v>
      </c>
      <c r="E360" s="1"/>
      <c r="F360" s="1">
        <v>50.13</v>
      </c>
      <c r="G360" s="1">
        <v>4500</v>
      </c>
      <c r="H360" s="5">
        <f t="shared" si="8"/>
        <v>0</v>
      </c>
      <c r="I360" s="1"/>
      <c r="J360" s="1"/>
    </row>
    <row r="361" spans="1:10" x14ac:dyDescent="0.2">
      <c r="A361" s="32">
        <v>355</v>
      </c>
      <c r="B361" s="1" t="s">
        <v>444</v>
      </c>
      <c r="C361" s="32">
        <v>6625</v>
      </c>
      <c r="D361" s="1">
        <v>24000</v>
      </c>
      <c r="E361" s="1"/>
      <c r="F361" s="1">
        <v>267.14999999999998</v>
      </c>
      <c r="G361" s="1">
        <v>24000</v>
      </c>
      <c r="H361" s="5">
        <f t="shared" si="8"/>
        <v>0</v>
      </c>
      <c r="I361" s="1"/>
      <c r="J361" s="1"/>
    </row>
    <row r="362" spans="1:10" x14ac:dyDescent="0.2">
      <c r="A362" s="32">
        <v>356</v>
      </c>
      <c r="B362" s="1" t="s">
        <v>444</v>
      </c>
      <c r="C362" s="32">
        <v>5931</v>
      </c>
      <c r="D362" s="1">
        <v>16000</v>
      </c>
      <c r="E362" s="1"/>
      <c r="F362" s="1">
        <v>178.25</v>
      </c>
      <c r="G362" s="1">
        <v>16000</v>
      </c>
      <c r="H362" s="5">
        <f t="shared" si="8"/>
        <v>0</v>
      </c>
      <c r="I362" s="1"/>
      <c r="J362" s="1"/>
    </row>
    <row r="363" spans="1:10" x14ac:dyDescent="0.2">
      <c r="A363" s="32">
        <v>357</v>
      </c>
      <c r="B363" s="1" t="s">
        <v>444</v>
      </c>
      <c r="C363" s="32">
        <v>6048</v>
      </c>
      <c r="D363" s="1">
        <v>12000</v>
      </c>
      <c r="E363" s="1"/>
      <c r="F363" s="1">
        <v>133.25</v>
      </c>
      <c r="G363" s="1">
        <v>12000</v>
      </c>
      <c r="H363" s="5">
        <f t="shared" si="8"/>
        <v>0</v>
      </c>
      <c r="I363" s="1"/>
      <c r="J363" s="1"/>
    </row>
    <row r="364" spans="1:10" x14ac:dyDescent="0.2">
      <c r="A364" s="32">
        <v>358</v>
      </c>
      <c r="B364" s="1" t="s">
        <v>444</v>
      </c>
      <c r="C364" s="32">
        <v>1229</v>
      </c>
      <c r="D364" s="1">
        <v>20000</v>
      </c>
      <c r="E364" s="1"/>
      <c r="F364" s="1">
        <v>222.25</v>
      </c>
      <c r="G364" s="1">
        <v>20000</v>
      </c>
      <c r="H364" s="5">
        <f t="shared" si="8"/>
        <v>0</v>
      </c>
      <c r="I364" s="1"/>
      <c r="J364" s="1"/>
    </row>
    <row r="365" spans="1:10" x14ac:dyDescent="0.2">
      <c r="A365" s="32">
        <v>359</v>
      </c>
      <c r="B365" s="1" t="s">
        <v>444</v>
      </c>
      <c r="C365" s="32">
        <v>2152</v>
      </c>
      <c r="D365" s="1">
        <v>15000</v>
      </c>
      <c r="E365" s="1"/>
      <c r="F365" s="1">
        <v>167.15</v>
      </c>
      <c r="G365" s="1">
        <v>15000</v>
      </c>
      <c r="H365" s="5">
        <f t="shared" si="8"/>
        <v>0</v>
      </c>
      <c r="I365" s="1"/>
      <c r="J365" s="1"/>
    </row>
    <row r="366" spans="1:10" x14ac:dyDescent="0.2">
      <c r="A366" s="32">
        <v>360</v>
      </c>
      <c r="B366" s="1" t="s">
        <v>444</v>
      </c>
      <c r="C366" s="32">
        <v>0.47199999999999998</v>
      </c>
      <c r="D366" s="1">
        <v>18000</v>
      </c>
      <c r="E366" s="1"/>
      <c r="F366" s="1">
        <v>200.53</v>
      </c>
      <c r="G366" s="1">
        <v>18000</v>
      </c>
      <c r="H366" s="5">
        <f t="shared" si="8"/>
        <v>0</v>
      </c>
      <c r="I366" s="1"/>
      <c r="J366" s="1"/>
    </row>
    <row r="367" spans="1:10" x14ac:dyDescent="0.2">
      <c r="A367" s="32">
        <v>361</v>
      </c>
      <c r="B367" s="1" t="s">
        <v>444</v>
      </c>
      <c r="C367" s="32">
        <v>6496</v>
      </c>
      <c r="D367" s="1">
        <v>12000</v>
      </c>
      <c r="E367" s="1"/>
      <c r="F367" s="1">
        <v>133.25</v>
      </c>
      <c r="G367" s="1">
        <v>12000</v>
      </c>
      <c r="H367" s="5">
        <f t="shared" si="8"/>
        <v>0</v>
      </c>
      <c r="I367" s="1"/>
      <c r="J367" s="1"/>
    </row>
    <row r="368" spans="1:10" x14ac:dyDescent="0.2">
      <c r="A368" s="32">
        <v>362</v>
      </c>
      <c r="B368" s="1" t="s">
        <v>444</v>
      </c>
      <c r="C368" s="32">
        <v>6758</v>
      </c>
      <c r="D368" s="1">
        <v>13000</v>
      </c>
      <c r="E368" s="1"/>
      <c r="F368" s="1">
        <v>144.13</v>
      </c>
      <c r="G368" s="1">
        <v>13000</v>
      </c>
      <c r="H368" s="5">
        <f t="shared" si="8"/>
        <v>0</v>
      </c>
      <c r="I368" s="1"/>
      <c r="J368" s="1"/>
    </row>
    <row r="369" spans="1:10" x14ac:dyDescent="0.2">
      <c r="A369" s="32">
        <v>363</v>
      </c>
      <c r="B369" s="1" t="s">
        <v>444</v>
      </c>
      <c r="C369" s="32">
        <v>2681</v>
      </c>
      <c r="D369" s="1">
        <v>16000</v>
      </c>
      <c r="E369" s="1"/>
      <c r="F369" s="1">
        <v>178.22</v>
      </c>
      <c r="G369" s="1">
        <v>16000</v>
      </c>
      <c r="H369" s="5">
        <f t="shared" si="8"/>
        <v>0</v>
      </c>
      <c r="I369" s="1"/>
      <c r="J369" s="1"/>
    </row>
    <row r="370" spans="1:10" x14ac:dyDescent="0.2">
      <c r="A370" s="32">
        <v>364</v>
      </c>
      <c r="B370" s="1" t="s">
        <v>444</v>
      </c>
      <c r="C370" s="32">
        <v>3941</v>
      </c>
      <c r="D370" s="1">
        <v>12000</v>
      </c>
      <c r="E370" s="1"/>
      <c r="F370" s="1">
        <v>133.25</v>
      </c>
      <c r="G370" s="1">
        <v>12000</v>
      </c>
      <c r="H370" s="5">
        <f t="shared" si="8"/>
        <v>0</v>
      </c>
      <c r="I370" s="1"/>
      <c r="J370" s="1"/>
    </row>
    <row r="371" spans="1:10" x14ac:dyDescent="0.2">
      <c r="A371" s="32">
        <v>365</v>
      </c>
      <c r="B371" s="1" t="s">
        <v>444</v>
      </c>
      <c r="C371" s="32">
        <v>2395</v>
      </c>
      <c r="D371" s="1">
        <v>18000</v>
      </c>
      <c r="E371" s="1"/>
      <c r="F371" s="1">
        <v>200.52</v>
      </c>
      <c r="G371" s="1">
        <v>18000</v>
      </c>
      <c r="H371" s="5">
        <f t="shared" si="8"/>
        <v>0</v>
      </c>
      <c r="I371" s="1"/>
      <c r="J371" s="1"/>
    </row>
    <row r="372" spans="1:10" x14ac:dyDescent="0.2">
      <c r="A372" s="32">
        <v>366</v>
      </c>
      <c r="B372" s="1" t="s">
        <v>444</v>
      </c>
      <c r="C372" s="32" t="s">
        <v>30</v>
      </c>
      <c r="D372" s="1">
        <v>7000</v>
      </c>
      <c r="E372" s="1"/>
      <c r="F372" s="1">
        <v>77.930000000000007</v>
      </c>
      <c r="G372" s="1">
        <v>7000</v>
      </c>
      <c r="H372" s="5">
        <f t="shared" si="8"/>
        <v>0</v>
      </c>
      <c r="I372" s="1"/>
      <c r="J372" s="1"/>
    </row>
    <row r="373" spans="1:10" x14ac:dyDescent="0.2">
      <c r="A373" s="32">
        <v>367</v>
      </c>
      <c r="B373" s="1" t="s">
        <v>444</v>
      </c>
      <c r="C373" s="32">
        <v>2067</v>
      </c>
      <c r="D373" s="1">
        <v>14000</v>
      </c>
      <c r="E373" s="1"/>
      <c r="F373" s="1">
        <v>155.13999999999999</v>
      </c>
      <c r="G373" s="1">
        <v>14000</v>
      </c>
      <c r="H373" s="5">
        <f t="shared" si="8"/>
        <v>0</v>
      </c>
      <c r="I373" s="1"/>
      <c r="J373" s="1"/>
    </row>
    <row r="374" spans="1:10" x14ac:dyDescent="0.2">
      <c r="A374" s="32">
        <v>368</v>
      </c>
      <c r="B374" s="1" t="s">
        <v>444</v>
      </c>
      <c r="C374" s="32">
        <v>7411</v>
      </c>
      <c r="D374" s="1">
        <v>21350</v>
      </c>
      <c r="E374" s="1"/>
      <c r="F374" s="1">
        <v>237</v>
      </c>
      <c r="G374" s="1">
        <v>21350</v>
      </c>
      <c r="H374" s="5">
        <f t="shared" si="8"/>
        <v>0</v>
      </c>
      <c r="I374" s="1"/>
      <c r="J374" s="1"/>
    </row>
    <row r="375" spans="1:10" x14ac:dyDescent="0.2">
      <c r="A375" s="32">
        <v>369</v>
      </c>
      <c r="B375" s="1" t="s">
        <v>444</v>
      </c>
      <c r="C375" s="32">
        <v>6671</v>
      </c>
      <c r="D375" s="1">
        <v>12000</v>
      </c>
      <c r="E375" s="1"/>
      <c r="F375" s="1">
        <v>133.25</v>
      </c>
      <c r="G375" s="1">
        <v>12000</v>
      </c>
      <c r="H375" s="5">
        <f t="shared" si="8"/>
        <v>0</v>
      </c>
      <c r="I375" s="1"/>
      <c r="J375" s="1"/>
    </row>
    <row r="376" spans="1:10" x14ac:dyDescent="0.2">
      <c r="A376" s="32">
        <v>370</v>
      </c>
      <c r="B376" s="1" t="s">
        <v>444</v>
      </c>
      <c r="C376" s="32">
        <v>2995</v>
      </c>
      <c r="D376" s="1">
        <v>15000</v>
      </c>
      <c r="E376" s="1"/>
      <c r="F376" s="1">
        <v>167.11</v>
      </c>
      <c r="G376" s="1">
        <v>15000</v>
      </c>
      <c r="H376" s="5">
        <f t="shared" si="8"/>
        <v>0</v>
      </c>
      <c r="I376" s="1"/>
      <c r="J376" s="1"/>
    </row>
    <row r="377" spans="1:10" x14ac:dyDescent="0.2">
      <c r="A377" s="32">
        <v>371</v>
      </c>
      <c r="B377" s="1" t="s">
        <v>444</v>
      </c>
      <c r="C377" s="32">
        <v>2345</v>
      </c>
      <c r="D377" s="1">
        <v>5000</v>
      </c>
      <c r="E377" s="1"/>
      <c r="F377" s="1">
        <v>55.7</v>
      </c>
      <c r="G377" s="1">
        <v>5000</v>
      </c>
      <c r="H377" s="5">
        <f t="shared" si="8"/>
        <v>0</v>
      </c>
      <c r="I377" s="1"/>
      <c r="J377" s="1"/>
    </row>
    <row r="378" spans="1:10" x14ac:dyDescent="0.2">
      <c r="A378" s="32">
        <v>372</v>
      </c>
      <c r="B378" s="1" t="s">
        <v>444</v>
      </c>
      <c r="C378" s="32">
        <v>3419</v>
      </c>
      <c r="D378" s="1">
        <v>20000</v>
      </c>
      <c r="E378" s="1"/>
      <c r="F378" s="1">
        <v>212.25</v>
      </c>
      <c r="G378" s="1">
        <v>20000</v>
      </c>
      <c r="H378" s="5">
        <f t="shared" si="8"/>
        <v>0</v>
      </c>
      <c r="I378" s="1"/>
      <c r="J378" s="1"/>
    </row>
    <row r="379" spans="1:10" x14ac:dyDescent="0.2">
      <c r="A379" s="32">
        <v>373</v>
      </c>
      <c r="B379" s="1" t="s">
        <v>444</v>
      </c>
      <c r="C379" s="32">
        <v>9743</v>
      </c>
      <c r="D379" s="1">
        <v>20000</v>
      </c>
      <c r="E379" s="1"/>
      <c r="F379" s="1">
        <v>212.25</v>
      </c>
      <c r="G379" s="1">
        <v>20000</v>
      </c>
      <c r="H379" s="5">
        <f t="shared" si="8"/>
        <v>0</v>
      </c>
      <c r="I379" s="1"/>
      <c r="J379" s="1"/>
    </row>
    <row r="380" spans="1:10" x14ac:dyDescent="0.2">
      <c r="A380" s="32">
        <v>374</v>
      </c>
      <c r="B380" s="1" t="s">
        <v>444</v>
      </c>
      <c r="C380" s="32">
        <v>9935</v>
      </c>
      <c r="D380" s="1">
        <v>20000</v>
      </c>
      <c r="E380" s="1"/>
      <c r="F380" s="1">
        <v>212.25</v>
      </c>
      <c r="G380" s="1">
        <v>20000</v>
      </c>
      <c r="H380" s="5">
        <f t="shared" si="8"/>
        <v>0</v>
      </c>
      <c r="I380" s="1"/>
      <c r="J380" s="1"/>
    </row>
    <row r="381" spans="1:10" x14ac:dyDescent="0.2">
      <c r="A381" s="32">
        <v>375</v>
      </c>
      <c r="B381" s="1" t="s">
        <v>444</v>
      </c>
      <c r="C381" s="32">
        <v>3147</v>
      </c>
      <c r="D381" s="1">
        <v>20000</v>
      </c>
      <c r="E381" s="1"/>
      <c r="F381" s="1">
        <v>212.25</v>
      </c>
      <c r="G381" s="1">
        <v>20000</v>
      </c>
      <c r="H381" s="5">
        <f t="shared" si="8"/>
        <v>0</v>
      </c>
      <c r="I381" s="1"/>
      <c r="J381" s="1"/>
    </row>
    <row r="382" spans="1:10" x14ac:dyDescent="0.2">
      <c r="A382" s="32">
        <v>376</v>
      </c>
      <c r="B382" s="1" t="s">
        <v>444</v>
      </c>
      <c r="C382" s="32">
        <v>9383</v>
      </c>
      <c r="D382" s="1">
        <v>30000</v>
      </c>
      <c r="E382" s="1"/>
      <c r="F382" s="1">
        <v>305.25</v>
      </c>
      <c r="G382" s="1">
        <v>30000</v>
      </c>
      <c r="H382" s="5">
        <f t="shared" si="8"/>
        <v>0</v>
      </c>
      <c r="I382" s="1"/>
      <c r="J382" s="1"/>
    </row>
    <row r="383" spans="1:10" x14ac:dyDescent="0.2">
      <c r="A383" s="32">
        <v>377</v>
      </c>
      <c r="B383" s="1" t="s">
        <v>444</v>
      </c>
      <c r="C383" s="32">
        <v>4170</v>
      </c>
      <c r="D383" s="1">
        <v>30000</v>
      </c>
      <c r="E383" s="1"/>
      <c r="F383" s="1">
        <v>305.25</v>
      </c>
      <c r="G383" s="1">
        <v>30000</v>
      </c>
      <c r="H383" s="5">
        <f t="shared" si="8"/>
        <v>0</v>
      </c>
      <c r="I383" s="1"/>
      <c r="J383" s="1"/>
    </row>
    <row r="384" spans="1:10" x14ac:dyDescent="0.2">
      <c r="A384" s="32">
        <v>378</v>
      </c>
      <c r="B384" s="1" t="s">
        <v>444</v>
      </c>
      <c r="C384" s="32">
        <v>1121</v>
      </c>
      <c r="D384" s="1">
        <v>30000</v>
      </c>
      <c r="E384" s="1"/>
      <c r="F384" s="1">
        <v>334.42</v>
      </c>
      <c r="G384" s="1">
        <v>30000</v>
      </c>
      <c r="H384" s="5">
        <f t="shared" si="8"/>
        <v>0</v>
      </c>
      <c r="I384" s="1"/>
      <c r="J384" s="1"/>
    </row>
    <row r="385" spans="1:10" x14ac:dyDescent="0.2">
      <c r="A385" s="32">
        <v>379</v>
      </c>
      <c r="B385" s="1" t="s">
        <v>444</v>
      </c>
      <c r="C385" s="32">
        <v>8.2400000000000001E-2</v>
      </c>
      <c r="D385" s="1">
        <v>32000</v>
      </c>
      <c r="E385" s="1"/>
      <c r="F385" s="1">
        <v>334.42</v>
      </c>
      <c r="G385" s="1">
        <v>32000</v>
      </c>
      <c r="H385" s="5">
        <f t="shared" si="8"/>
        <v>0</v>
      </c>
      <c r="I385" s="1"/>
      <c r="J385" s="1"/>
    </row>
    <row r="386" spans="1:10" x14ac:dyDescent="0.2">
      <c r="A386" s="32">
        <v>380</v>
      </c>
      <c r="B386" s="1" t="s">
        <v>444</v>
      </c>
      <c r="C386" s="32" t="s">
        <v>63</v>
      </c>
      <c r="D386" s="1">
        <v>3500</v>
      </c>
      <c r="E386" s="1"/>
      <c r="F386" s="1">
        <v>35.18</v>
      </c>
      <c r="G386" s="1">
        <v>3500</v>
      </c>
      <c r="H386" s="5">
        <f t="shared" si="8"/>
        <v>0</v>
      </c>
      <c r="I386" s="1"/>
      <c r="J386" s="1"/>
    </row>
    <row r="387" spans="1:10" x14ac:dyDescent="0.2">
      <c r="A387" s="32">
        <v>381</v>
      </c>
      <c r="B387" s="1" t="s">
        <v>444</v>
      </c>
      <c r="C387" s="32">
        <v>4476</v>
      </c>
      <c r="D387" s="1">
        <v>18000</v>
      </c>
      <c r="E387" s="1"/>
      <c r="F387" s="1">
        <v>200.25</v>
      </c>
      <c r="G387" s="1">
        <v>18000</v>
      </c>
      <c r="H387" s="5">
        <f t="shared" si="8"/>
        <v>0</v>
      </c>
      <c r="I387" s="1"/>
      <c r="J387" s="1"/>
    </row>
    <row r="388" spans="1:10" x14ac:dyDescent="0.2">
      <c r="A388" s="32">
        <v>382</v>
      </c>
      <c r="B388" s="1" t="s">
        <v>444</v>
      </c>
      <c r="C388" s="32">
        <v>5728</v>
      </c>
      <c r="D388" s="1">
        <v>27000</v>
      </c>
      <c r="E388" s="1"/>
      <c r="F388" s="1">
        <v>300.81</v>
      </c>
      <c r="G388" s="1">
        <v>27000</v>
      </c>
      <c r="H388" s="5">
        <f t="shared" si="8"/>
        <v>0</v>
      </c>
      <c r="I388" s="1"/>
      <c r="J388" s="1"/>
    </row>
    <row r="389" spans="1:10" x14ac:dyDescent="0.2">
      <c r="A389" s="32">
        <v>383</v>
      </c>
      <c r="B389" s="1" t="s">
        <v>444</v>
      </c>
      <c r="C389" s="32">
        <v>6447</v>
      </c>
      <c r="D389" s="1">
        <v>27000</v>
      </c>
      <c r="E389" s="1"/>
      <c r="F389" s="1">
        <v>300.81</v>
      </c>
      <c r="G389" s="1">
        <v>27000</v>
      </c>
      <c r="H389" s="5">
        <f t="shared" si="8"/>
        <v>0</v>
      </c>
      <c r="I389" s="1"/>
      <c r="J389" s="1"/>
    </row>
    <row r="390" spans="1:10" x14ac:dyDescent="0.2">
      <c r="A390" s="32">
        <v>384</v>
      </c>
      <c r="B390" s="1" t="s">
        <v>444</v>
      </c>
      <c r="C390" s="32">
        <v>8382</v>
      </c>
      <c r="D390" s="1">
        <v>25000</v>
      </c>
      <c r="E390" s="1"/>
      <c r="F390" s="1">
        <v>278.22000000000003</v>
      </c>
      <c r="G390" s="1">
        <v>25000</v>
      </c>
      <c r="H390" s="5">
        <f t="shared" si="8"/>
        <v>0</v>
      </c>
      <c r="I390" s="1"/>
      <c r="J390" s="1"/>
    </row>
    <row r="391" spans="1:10" x14ac:dyDescent="0.2">
      <c r="A391" s="32">
        <v>385</v>
      </c>
      <c r="B391" s="1" t="s">
        <v>444</v>
      </c>
      <c r="C391" s="32">
        <v>3419</v>
      </c>
      <c r="D391" s="1">
        <v>25000</v>
      </c>
      <c r="E391" s="1"/>
      <c r="F391" s="1">
        <v>278.22000000000003</v>
      </c>
      <c r="G391" s="1">
        <v>25000</v>
      </c>
      <c r="H391" s="5">
        <f t="shared" si="8"/>
        <v>0</v>
      </c>
      <c r="I391" s="1"/>
      <c r="J391" s="1"/>
    </row>
    <row r="392" spans="1:10" x14ac:dyDescent="0.2">
      <c r="A392" s="32">
        <v>386</v>
      </c>
      <c r="B392" s="1" t="s">
        <v>444</v>
      </c>
      <c r="C392" s="32">
        <v>5015</v>
      </c>
      <c r="D392" s="1">
        <v>25000</v>
      </c>
      <c r="E392" s="1"/>
      <c r="F392" s="1">
        <v>278.22000000000003</v>
      </c>
      <c r="G392" s="1">
        <v>25000</v>
      </c>
      <c r="H392" s="5">
        <f t="shared" si="8"/>
        <v>0</v>
      </c>
      <c r="I392" s="1"/>
      <c r="J392" s="1"/>
    </row>
    <row r="393" spans="1:10" x14ac:dyDescent="0.2">
      <c r="A393" s="32">
        <v>387</v>
      </c>
      <c r="B393" s="1" t="s">
        <v>444</v>
      </c>
      <c r="C393" s="32">
        <v>4077</v>
      </c>
      <c r="D393" s="1">
        <v>25000</v>
      </c>
      <c r="E393" s="1"/>
      <c r="F393" s="1">
        <v>278.22000000000003</v>
      </c>
      <c r="G393" s="1">
        <v>25000</v>
      </c>
      <c r="H393" s="5">
        <f t="shared" si="8"/>
        <v>0</v>
      </c>
      <c r="I393" s="1"/>
      <c r="J393" s="1"/>
    </row>
    <row r="394" spans="1:10" x14ac:dyDescent="0.2">
      <c r="A394" s="32">
        <v>388</v>
      </c>
      <c r="B394" s="1" t="s">
        <v>445</v>
      </c>
      <c r="C394" s="32">
        <v>6596</v>
      </c>
      <c r="D394" s="1">
        <v>15000</v>
      </c>
      <c r="E394" s="1"/>
      <c r="F394" s="1">
        <v>167.11</v>
      </c>
      <c r="G394" s="1">
        <v>15000</v>
      </c>
      <c r="H394" s="5">
        <f t="shared" si="8"/>
        <v>0</v>
      </c>
      <c r="I394" s="1"/>
      <c r="J394" s="1"/>
    </row>
    <row r="395" spans="1:10" x14ac:dyDescent="0.2">
      <c r="A395" s="32">
        <v>389</v>
      </c>
      <c r="B395" s="1" t="s">
        <v>445</v>
      </c>
      <c r="C395" s="32">
        <v>1352</v>
      </c>
      <c r="D395" s="1">
        <v>13000</v>
      </c>
      <c r="E395" s="1"/>
      <c r="F395" s="1">
        <v>144.13</v>
      </c>
      <c r="G395" s="1">
        <v>13000</v>
      </c>
      <c r="H395" s="5">
        <f t="shared" si="8"/>
        <v>0</v>
      </c>
      <c r="I395" s="1"/>
      <c r="J395" s="1"/>
    </row>
    <row r="396" spans="1:10" x14ac:dyDescent="0.2">
      <c r="A396" s="32">
        <v>390</v>
      </c>
      <c r="B396" s="1" t="s">
        <v>445</v>
      </c>
      <c r="C396" s="32">
        <v>9669</v>
      </c>
      <c r="D396" s="1">
        <v>7000</v>
      </c>
      <c r="E396" s="1"/>
      <c r="F396" s="1">
        <v>77.2</v>
      </c>
      <c r="G396" s="1">
        <v>7000</v>
      </c>
      <c r="H396" s="5">
        <f t="shared" si="8"/>
        <v>0</v>
      </c>
      <c r="I396" s="1"/>
      <c r="J396" s="1"/>
    </row>
    <row r="397" spans="1:10" x14ac:dyDescent="0.2">
      <c r="A397" s="32">
        <v>391</v>
      </c>
      <c r="B397" s="1" t="s">
        <v>445</v>
      </c>
      <c r="C397" s="32">
        <v>1752</v>
      </c>
      <c r="D397" s="1">
        <v>14000</v>
      </c>
      <c r="E397" s="1"/>
      <c r="F397" s="1">
        <v>155.25</v>
      </c>
      <c r="G397" s="1">
        <v>14000</v>
      </c>
      <c r="H397" s="5">
        <f t="shared" si="8"/>
        <v>0</v>
      </c>
      <c r="I397" s="1"/>
      <c r="J397" s="1"/>
    </row>
    <row r="398" spans="1:10" x14ac:dyDescent="0.2">
      <c r="A398" s="32">
        <v>392</v>
      </c>
      <c r="B398" s="1" t="s">
        <v>445</v>
      </c>
      <c r="C398" s="32">
        <v>0.16500000000000001</v>
      </c>
      <c r="D398" s="1">
        <v>4000</v>
      </c>
      <c r="E398" s="1"/>
      <c r="F398" s="1">
        <v>44.83</v>
      </c>
      <c r="G398" s="1">
        <v>4000</v>
      </c>
      <c r="H398" s="5">
        <f t="shared" si="8"/>
        <v>0</v>
      </c>
      <c r="I398" s="1"/>
      <c r="J398" s="1"/>
    </row>
    <row r="399" spans="1:10" x14ac:dyDescent="0.2">
      <c r="A399" s="32">
        <v>393</v>
      </c>
      <c r="B399" s="1" t="s">
        <v>445</v>
      </c>
      <c r="C399" s="32" t="s">
        <v>66</v>
      </c>
      <c r="D399" s="1">
        <v>210</v>
      </c>
      <c r="E399" s="1"/>
      <c r="F399" s="1">
        <v>2.0499999999999998</v>
      </c>
      <c r="G399" s="1">
        <v>210</v>
      </c>
      <c r="H399" s="5">
        <f t="shared" si="8"/>
        <v>0</v>
      </c>
      <c r="I399" s="1"/>
      <c r="J399" s="1"/>
    </row>
    <row r="400" spans="1:10" x14ac:dyDescent="0.2">
      <c r="A400" s="32">
        <v>394</v>
      </c>
      <c r="B400" s="1" t="s">
        <v>445</v>
      </c>
      <c r="C400" s="32" t="s">
        <v>30</v>
      </c>
      <c r="D400" s="1">
        <v>5000</v>
      </c>
      <c r="E400" s="1"/>
      <c r="F400" s="1">
        <v>55.15</v>
      </c>
      <c r="G400" s="1">
        <v>5000</v>
      </c>
      <c r="H400" s="5">
        <f t="shared" si="8"/>
        <v>0</v>
      </c>
      <c r="I400" s="1"/>
      <c r="J400" s="1"/>
    </row>
    <row r="401" spans="1:10" x14ac:dyDescent="0.2">
      <c r="A401" s="32">
        <v>395</v>
      </c>
      <c r="B401" s="1" t="s">
        <v>445</v>
      </c>
      <c r="C401" s="32" t="s">
        <v>30</v>
      </c>
      <c r="D401" s="1">
        <v>7000</v>
      </c>
      <c r="E401" s="1"/>
      <c r="F401" s="1">
        <v>77.2</v>
      </c>
      <c r="G401" s="1">
        <v>7000</v>
      </c>
      <c r="H401" s="5">
        <f t="shared" si="8"/>
        <v>0</v>
      </c>
      <c r="I401" s="1"/>
      <c r="J401" s="1"/>
    </row>
    <row r="402" spans="1:10" x14ac:dyDescent="0.2">
      <c r="A402" s="32">
        <v>396</v>
      </c>
      <c r="B402" s="1" t="s">
        <v>445</v>
      </c>
      <c r="C402" s="32">
        <v>6496</v>
      </c>
      <c r="D402" s="1">
        <v>15000</v>
      </c>
      <c r="E402" s="1"/>
      <c r="F402" s="1">
        <v>167.15</v>
      </c>
      <c r="G402" s="1">
        <v>15000</v>
      </c>
      <c r="H402" s="5">
        <f t="shared" si="8"/>
        <v>0</v>
      </c>
      <c r="I402" s="1"/>
      <c r="J402" s="1"/>
    </row>
    <row r="403" spans="1:10" x14ac:dyDescent="0.2">
      <c r="A403" s="32">
        <v>397</v>
      </c>
      <c r="B403" s="1" t="s">
        <v>445</v>
      </c>
      <c r="C403" s="32">
        <v>6471</v>
      </c>
      <c r="D403" s="1">
        <v>20000</v>
      </c>
      <c r="E403" s="1"/>
      <c r="F403" s="1">
        <v>222.2</v>
      </c>
      <c r="G403" s="1">
        <v>20000</v>
      </c>
      <c r="H403" s="5">
        <f t="shared" si="8"/>
        <v>0</v>
      </c>
      <c r="I403" s="1"/>
      <c r="J403" s="1"/>
    </row>
    <row r="404" spans="1:10" x14ac:dyDescent="0.2">
      <c r="A404" s="32">
        <v>398</v>
      </c>
      <c r="B404" s="1" t="s">
        <v>445</v>
      </c>
      <c r="C404" s="32">
        <v>9192</v>
      </c>
      <c r="D404" s="1">
        <v>17000</v>
      </c>
      <c r="E404" s="1"/>
      <c r="F404" s="1">
        <v>189.25</v>
      </c>
      <c r="G404" s="1">
        <v>17000</v>
      </c>
      <c r="H404" s="5">
        <f t="shared" si="8"/>
        <v>0</v>
      </c>
      <c r="I404" s="1"/>
      <c r="J404" s="1"/>
    </row>
    <row r="405" spans="1:10" x14ac:dyDescent="0.2">
      <c r="A405" s="32">
        <v>399</v>
      </c>
      <c r="B405" s="1" t="s">
        <v>445</v>
      </c>
      <c r="C405" s="32">
        <v>2975</v>
      </c>
      <c r="D405" s="1">
        <v>14000</v>
      </c>
      <c r="E405" s="1"/>
      <c r="F405" s="1">
        <v>155.25</v>
      </c>
      <c r="G405" s="1">
        <v>14000</v>
      </c>
      <c r="H405" s="5">
        <f t="shared" si="8"/>
        <v>0</v>
      </c>
      <c r="I405" s="1"/>
      <c r="J405" s="1"/>
    </row>
    <row r="406" spans="1:10" x14ac:dyDescent="0.2">
      <c r="A406" s="32">
        <v>400</v>
      </c>
      <c r="B406" s="1" t="s">
        <v>445</v>
      </c>
      <c r="C406" s="32">
        <v>7171</v>
      </c>
      <c r="D406" s="1">
        <v>20000</v>
      </c>
      <c r="E406" s="1"/>
      <c r="F406" s="1">
        <v>222.25</v>
      </c>
      <c r="G406" s="1">
        <v>20000</v>
      </c>
      <c r="H406" s="5">
        <f t="shared" si="8"/>
        <v>0</v>
      </c>
      <c r="I406" s="1"/>
      <c r="J406" s="1"/>
    </row>
    <row r="407" spans="1:10" x14ac:dyDescent="0.2">
      <c r="A407" s="32">
        <v>401</v>
      </c>
      <c r="B407" s="1" t="s">
        <v>445</v>
      </c>
      <c r="C407" s="32">
        <v>8569</v>
      </c>
      <c r="D407" s="1">
        <v>13000</v>
      </c>
      <c r="E407" s="1"/>
      <c r="F407" s="1">
        <v>144.13</v>
      </c>
      <c r="G407" s="1">
        <v>13000</v>
      </c>
      <c r="H407" s="5">
        <f t="shared" si="8"/>
        <v>0</v>
      </c>
      <c r="I407" s="1"/>
      <c r="J407" s="1"/>
    </row>
    <row r="408" spans="1:10" x14ac:dyDescent="0.2">
      <c r="A408" s="32">
        <v>402</v>
      </c>
      <c r="B408" s="1" t="s">
        <v>445</v>
      </c>
      <c r="C408" s="32">
        <v>3175</v>
      </c>
      <c r="D408" s="1">
        <v>15000</v>
      </c>
      <c r="E408" s="1"/>
      <c r="F408" s="1">
        <v>167.15</v>
      </c>
      <c r="G408" s="1">
        <v>15000</v>
      </c>
      <c r="H408" s="5">
        <f t="shared" si="8"/>
        <v>0</v>
      </c>
      <c r="I408" s="1"/>
      <c r="J408" s="1"/>
    </row>
    <row r="409" spans="1:10" x14ac:dyDescent="0.2">
      <c r="A409" s="32">
        <v>403</v>
      </c>
      <c r="B409" s="1" t="s">
        <v>445</v>
      </c>
      <c r="C409" s="32">
        <v>1452</v>
      </c>
      <c r="D409" s="1">
        <v>13000</v>
      </c>
      <c r="E409" s="1"/>
      <c r="F409" s="1">
        <v>149.12</v>
      </c>
      <c r="G409" s="1">
        <v>13000</v>
      </c>
      <c r="H409" s="5">
        <f t="shared" si="8"/>
        <v>0</v>
      </c>
      <c r="I409" s="1"/>
      <c r="J409" s="1"/>
    </row>
    <row r="410" spans="1:10" x14ac:dyDescent="0.2">
      <c r="A410" s="32">
        <v>404</v>
      </c>
      <c r="B410" s="1" t="s">
        <v>445</v>
      </c>
      <c r="C410" s="32">
        <v>3848</v>
      </c>
      <c r="D410" s="1">
        <v>20000</v>
      </c>
      <c r="E410" s="1"/>
      <c r="F410" s="1">
        <v>222.25</v>
      </c>
      <c r="G410" s="1">
        <v>20000</v>
      </c>
      <c r="H410" s="5">
        <f t="shared" si="8"/>
        <v>0</v>
      </c>
      <c r="I410" s="1"/>
      <c r="J410" s="1"/>
    </row>
    <row r="411" spans="1:10" x14ac:dyDescent="0.2">
      <c r="A411" s="32">
        <v>405</v>
      </c>
      <c r="B411" s="1" t="s">
        <v>445</v>
      </c>
      <c r="C411" s="32">
        <v>4282</v>
      </c>
      <c r="D411" s="1">
        <v>16000</v>
      </c>
      <c r="E411" s="1"/>
      <c r="F411" s="1">
        <v>178.22</v>
      </c>
      <c r="G411" s="1">
        <v>16000</v>
      </c>
      <c r="H411" s="5">
        <f t="shared" si="8"/>
        <v>0</v>
      </c>
      <c r="I411" s="1"/>
      <c r="J411" s="1"/>
    </row>
    <row r="412" spans="1:10" x14ac:dyDescent="0.2">
      <c r="A412" s="32">
        <v>406</v>
      </c>
      <c r="B412" s="1" t="s">
        <v>445</v>
      </c>
      <c r="C412" s="32">
        <v>5576</v>
      </c>
      <c r="D412" s="1">
        <v>18000</v>
      </c>
      <c r="E412" s="1"/>
      <c r="F412" s="1">
        <v>185.25</v>
      </c>
      <c r="G412" s="1">
        <v>18000</v>
      </c>
      <c r="H412" s="5">
        <f t="shared" si="8"/>
        <v>0</v>
      </c>
      <c r="I412" s="1"/>
      <c r="J412" s="1"/>
    </row>
    <row r="413" spans="1:10" x14ac:dyDescent="0.2">
      <c r="A413" s="32">
        <v>407</v>
      </c>
      <c r="B413" s="1" t="s">
        <v>445</v>
      </c>
      <c r="C413" s="32">
        <v>1332</v>
      </c>
      <c r="D413" s="1">
        <v>13000</v>
      </c>
      <c r="E413" s="1"/>
      <c r="F413" s="1">
        <v>144.25</v>
      </c>
      <c r="G413" s="1">
        <v>13000</v>
      </c>
      <c r="H413" s="5">
        <f t="shared" si="8"/>
        <v>0</v>
      </c>
      <c r="I413" s="1"/>
      <c r="J413" s="1"/>
    </row>
    <row r="414" spans="1:10" x14ac:dyDescent="0.2">
      <c r="A414" s="32">
        <v>408</v>
      </c>
      <c r="B414" s="1" t="s">
        <v>445</v>
      </c>
      <c r="C414" s="32">
        <v>1212</v>
      </c>
      <c r="D414" s="1">
        <v>22000</v>
      </c>
      <c r="E414" s="1"/>
      <c r="F414" s="1">
        <v>241.2</v>
      </c>
      <c r="G414" s="1">
        <v>22000</v>
      </c>
      <c r="H414" s="5">
        <f t="shared" si="8"/>
        <v>0</v>
      </c>
      <c r="I414" s="1"/>
      <c r="J414" s="1"/>
    </row>
    <row r="415" spans="1:10" x14ac:dyDescent="0.2">
      <c r="A415" s="32">
        <v>409</v>
      </c>
      <c r="B415" s="1" t="s">
        <v>445</v>
      </c>
      <c r="C415" s="32">
        <v>6126</v>
      </c>
      <c r="D415" s="1">
        <v>30000</v>
      </c>
      <c r="E415" s="1"/>
      <c r="F415" s="1">
        <v>317.52</v>
      </c>
      <c r="G415" s="1">
        <v>30000</v>
      </c>
      <c r="H415" s="5">
        <f t="shared" si="8"/>
        <v>0</v>
      </c>
      <c r="I415" s="1"/>
      <c r="J415" s="1"/>
    </row>
    <row r="416" spans="1:10" x14ac:dyDescent="0.2">
      <c r="A416" s="32">
        <v>410</v>
      </c>
      <c r="B416" s="1" t="s">
        <v>445</v>
      </c>
      <c r="C416" s="32">
        <v>4041</v>
      </c>
      <c r="D416" s="1">
        <v>20000</v>
      </c>
      <c r="E416" s="1"/>
      <c r="F416" s="1">
        <v>222.25</v>
      </c>
      <c r="G416" s="1">
        <v>20000</v>
      </c>
      <c r="H416" s="5">
        <f t="shared" si="8"/>
        <v>0</v>
      </c>
      <c r="I416" s="1"/>
      <c r="J416" s="1"/>
    </row>
    <row r="417" spans="1:10" x14ac:dyDescent="0.2">
      <c r="A417" s="32">
        <v>411</v>
      </c>
      <c r="B417" s="1" t="s">
        <v>445</v>
      </c>
      <c r="C417" s="32">
        <v>4819</v>
      </c>
      <c r="D417" s="1">
        <v>18000</v>
      </c>
      <c r="E417" s="1"/>
      <c r="F417" s="1">
        <v>200.53</v>
      </c>
      <c r="G417" s="1">
        <v>18000</v>
      </c>
      <c r="H417" s="5">
        <f t="shared" si="8"/>
        <v>0</v>
      </c>
      <c r="I417" s="1"/>
      <c r="J417" s="1"/>
    </row>
    <row r="418" spans="1:10" x14ac:dyDescent="0.2">
      <c r="A418" s="32">
        <v>412</v>
      </c>
      <c r="B418" s="1" t="s">
        <v>445</v>
      </c>
      <c r="C418" s="32">
        <v>4105</v>
      </c>
      <c r="D418" s="1">
        <v>13000</v>
      </c>
      <c r="E418" s="1"/>
      <c r="F418" s="1">
        <v>144.83000000000001</v>
      </c>
      <c r="G418" s="1">
        <v>13000</v>
      </c>
      <c r="H418" s="5">
        <f t="shared" si="8"/>
        <v>0</v>
      </c>
      <c r="I418" s="1"/>
      <c r="J418" s="1"/>
    </row>
    <row r="419" spans="1:10" x14ac:dyDescent="0.2">
      <c r="A419" s="32">
        <v>413</v>
      </c>
      <c r="B419" s="1" t="s">
        <v>445</v>
      </c>
      <c r="C419" s="32">
        <v>1832</v>
      </c>
      <c r="D419" s="1">
        <v>12500</v>
      </c>
      <c r="E419" s="1"/>
      <c r="F419" s="1">
        <v>139.26</v>
      </c>
      <c r="G419" s="1">
        <v>12500</v>
      </c>
      <c r="H419" s="5">
        <f t="shared" si="8"/>
        <v>0</v>
      </c>
      <c r="I419" s="1"/>
      <c r="J419" s="1"/>
    </row>
    <row r="420" spans="1:10" x14ac:dyDescent="0.2">
      <c r="A420" s="32">
        <v>414</v>
      </c>
      <c r="B420" s="1" t="s">
        <v>445</v>
      </c>
      <c r="C420" s="32">
        <v>0.47399999999999998</v>
      </c>
      <c r="D420" s="1">
        <v>30000</v>
      </c>
      <c r="E420" s="1"/>
      <c r="F420" s="1">
        <v>334.22</v>
      </c>
      <c r="G420" s="1">
        <v>30000</v>
      </c>
      <c r="H420" s="5">
        <f t="shared" si="8"/>
        <v>0</v>
      </c>
      <c r="I420" s="1"/>
      <c r="J420" s="1"/>
    </row>
    <row r="421" spans="1:10" x14ac:dyDescent="0.2">
      <c r="A421" s="32">
        <v>415</v>
      </c>
      <c r="B421" s="1" t="s">
        <v>445</v>
      </c>
      <c r="C421" s="32">
        <v>4732</v>
      </c>
      <c r="D421" s="1">
        <v>20000</v>
      </c>
      <c r="E421" s="1"/>
      <c r="F421" s="1">
        <v>222.52</v>
      </c>
      <c r="G421" s="1">
        <v>20000</v>
      </c>
      <c r="H421" s="5">
        <f t="shared" si="8"/>
        <v>0</v>
      </c>
      <c r="I421" s="1"/>
      <c r="J421" s="1"/>
    </row>
    <row r="422" spans="1:10" x14ac:dyDescent="0.2">
      <c r="A422" s="32">
        <v>416</v>
      </c>
      <c r="B422" s="1" t="s">
        <v>445</v>
      </c>
      <c r="C422" s="32">
        <v>1664</v>
      </c>
      <c r="D422" s="1">
        <v>28000</v>
      </c>
      <c r="E422" s="1"/>
      <c r="F422" s="1">
        <v>291.39999999999998</v>
      </c>
      <c r="G422" s="1">
        <v>28000</v>
      </c>
      <c r="H422" s="5">
        <f t="shared" si="8"/>
        <v>0</v>
      </c>
      <c r="I422" s="1"/>
      <c r="J422" s="1"/>
    </row>
    <row r="423" spans="1:10" x14ac:dyDescent="0.2">
      <c r="A423" s="32">
        <v>417</v>
      </c>
      <c r="B423" s="1" t="s">
        <v>445</v>
      </c>
      <c r="C423" s="32">
        <v>4406</v>
      </c>
      <c r="D423" s="1">
        <v>15000</v>
      </c>
      <c r="E423" s="1"/>
      <c r="F423" s="1">
        <v>167.11</v>
      </c>
      <c r="G423" s="1">
        <v>15000</v>
      </c>
      <c r="H423" s="5">
        <f t="shared" ref="H423:H486" si="9">D423-G423</f>
        <v>0</v>
      </c>
      <c r="I423" s="1"/>
      <c r="J423" s="1"/>
    </row>
    <row r="424" spans="1:10" x14ac:dyDescent="0.2">
      <c r="A424" s="32">
        <v>418</v>
      </c>
      <c r="B424" s="1" t="s">
        <v>445</v>
      </c>
      <c r="C424" s="32">
        <v>9630</v>
      </c>
      <c r="D424" s="1">
        <v>27000</v>
      </c>
      <c r="E424" s="1"/>
      <c r="F424" s="1">
        <v>300.89999999999998</v>
      </c>
      <c r="G424" s="1">
        <v>27000</v>
      </c>
      <c r="H424" s="5">
        <f t="shared" si="9"/>
        <v>0</v>
      </c>
      <c r="I424" s="1"/>
      <c r="J424" s="1"/>
    </row>
    <row r="425" spans="1:10" x14ac:dyDescent="0.2">
      <c r="A425" s="32">
        <v>419</v>
      </c>
      <c r="B425" s="1" t="s">
        <v>445</v>
      </c>
      <c r="C425" s="32">
        <v>4730</v>
      </c>
      <c r="D425" s="1">
        <v>40000</v>
      </c>
      <c r="E425" s="1"/>
      <c r="F425" s="1">
        <v>445.63</v>
      </c>
      <c r="G425" s="1">
        <v>40000</v>
      </c>
      <c r="H425" s="5">
        <f t="shared" si="9"/>
        <v>0</v>
      </c>
      <c r="I425" s="1"/>
      <c r="J425" s="1"/>
    </row>
    <row r="426" spans="1:10" x14ac:dyDescent="0.2">
      <c r="A426" s="32">
        <v>420</v>
      </c>
      <c r="B426" s="1" t="s">
        <v>445</v>
      </c>
      <c r="C426" s="32">
        <v>1911</v>
      </c>
      <c r="D426" s="1">
        <v>25000</v>
      </c>
      <c r="E426" s="1"/>
      <c r="F426" s="1">
        <v>278.22000000000003</v>
      </c>
      <c r="G426" s="1">
        <v>25000</v>
      </c>
      <c r="H426" s="5">
        <f t="shared" si="9"/>
        <v>0</v>
      </c>
      <c r="I426" s="1"/>
      <c r="J426" s="1"/>
    </row>
    <row r="427" spans="1:10" x14ac:dyDescent="0.2">
      <c r="A427" s="32">
        <v>421</v>
      </c>
      <c r="B427" s="1" t="s">
        <v>445</v>
      </c>
      <c r="C427" s="32">
        <v>6364</v>
      </c>
      <c r="D427" s="1">
        <v>20000</v>
      </c>
      <c r="E427" s="1"/>
      <c r="F427" s="1">
        <v>222.81</v>
      </c>
      <c r="G427" s="1">
        <v>20000</v>
      </c>
      <c r="H427" s="5">
        <f t="shared" si="9"/>
        <v>0</v>
      </c>
      <c r="I427" s="1"/>
      <c r="J427" s="1"/>
    </row>
    <row r="428" spans="1:10" x14ac:dyDescent="0.2">
      <c r="A428" s="32">
        <v>422</v>
      </c>
      <c r="B428" s="1" t="s">
        <v>445</v>
      </c>
      <c r="C428" s="32">
        <v>4608</v>
      </c>
      <c r="D428" s="1">
        <v>16000</v>
      </c>
      <c r="E428" s="1"/>
      <c r="F428" s="1">
        <v>177.48</v>
      </c>
      <c r="G428" s="1">
        <v>16000</v>
      </c>
      <c r="H428" s="5">
        <f t="shared" si="9"/>
        <v>0</v>
      </c>
      <c r="I428" s="1"/>
      <c r="J428" s="1"/>
    </row>
    <row r="429" spans="1:10" x14ac:dyDescent="0.2">
      <c r="A429" s="32">
        <v>423</v>
      </c>
      <c r="B429" s="1" t="s">
        <v>445</v>
      </c>
      <c r="C429" s="32">
        <v>5857</v>
      </c>
      <c r="D429" s="1">
        <v>18000</v>
      </c>
      <c r="E429" s="1"/>
      <c r="F429" s="1">
        <v>200.53</v>
      </c>
      <c r="G429" s="1">
        <v>18000</v>
      </c>
      <c r="H429" s="5">
        <f t="shared" si="9"/>
        <v>0</v>
      </c>
      <c r="I429" s="1"/>
      <c r="J429" s="1"/>
    </row>
    <row r="430" spans="1:10" x14ac:dyDescent="0.2">
      <c r="A430" s="32">
        <v>424</v>
      </c>
      <c r="B430" s="1" t="s">
        <v>445</v>
      </c>
      <c r="C430" s="32">
        <v>1071</v>
      </c>
      <c r="D430" s="1">
        <v>13000</v>
      </c>
      <c r="E430" s="1"/>
      <c r="F430" s="1">
        <v>144.15</v>
      </c>
      <c r="G430" s="1">
        <v>13000</v>
      </c>
      <c r="H430" s="5">
        <f t="shared" si="9"/>
        <v>0</v>
      </c>
      <c r="I430" s="1"/>
      <c r="J430" s="1"/>
    </row>
    <row r="431" spans="1:10" x14ac:dyDescent="0.2">
      <c r="A431" s="32">
        <v>425</v>
      </c>
      <c r="B431" s="1" t="s">
        <v>445</v>
      </c>
      <c r="C431" s="32">
        <v>2133</v>
      </c>
      <c r="D431" s="1">
        <v>17000</v>
      </c>
      <c r="E431" s="1"/>
      <c r="F431" s="1">
        <v>188.33</v>
      </c>
      <c r="G431" s="1">
        <v>17000</v>
      </c>
      <c r="H431" s="5">
        <f t="shared" si="9"/>
        <v>0</v>
      </c>
      <c r="I431" s="1"/>
      <c r="J431" s="1"/>
    </row>
    <row r="432" spans="1:10" x14ac:dyDescent="0.2">
      <c r="A432" s="32">
        <v>426</v>
      </c>
      <c r="B432" s="1" t="s">
        <v>445</v>
      </c>
      <c r="C432" s="32">
        <v>2973</v>
      </c>
      <c r="D432" s="1">
        <v>16000</v>
      </c>
      <c r="E432" s="1"/>
      <c r="F432" s="1">
        <v>177.48</v>
      </c>
      <c r="G432" s="1">
        <v>16000</v>
      </c>
      <c r="H432" s="5">
        <f t="shared" si="9"/>
        <v>0</v>
      </c>
      <c r="I432" s="1"/>
      <c r="J432" s="1"/>
    </row>
    <row r="433" spans="1:10" x14ac:dyDescent="0.2">
      <c r="A433" s="32">
        <v>427</v>
      </c>
      <c r="B433" s="1" t="s">
        <v>445</v>
      </c>
      <c r="C433" s="32">
        <v>5.1000000000000004E-3</v>
      </c>
      <c r="D433" s="1">
        <v>16000</v>
      </c>
      <c r="E433" s="1"/>
      <c r="F433" s="1">
        <v>177.48</v>
      </c>
      <c r="G433" s="1">
        <v>16000</v>
      </c>
      <c r="H433" s="5">
        <f t="shared" si="9"/>
        <v>0</v>
      </c>
      <c r="I433" s="1"/>
      <c r="J433" s="1"/>
    </row>
    <row r="434" spans="1:10" x14ac:dyDescent="0.2">
      <c r="A434" s="32">
        <v>428</v>
      </c>
      <c r="B434" s="1" t="s">
        <v>445</v>
      </c>
      <c r="C434" s="32">
        <v>5151</v>
      </c>
      <c r="D434" s="1">
        <v>16000</v>
      </c>
      <c r="E434" s="1"/>
      <c r="F434" s="1">
        <v>177.48</v>
      </c>
      <c r="G434" s="1">
        <v>16000</v>
      </c>
      <c r="H434" s="5">
        <f t="shared" si="9"/>
        <v>0</v>
      </c>
      <c r="I434" s="1"/>
      <c r="J434" s="1"/>
    </row>
    <row r="435" spans="1:10" x14ac:dyDescent="0.2">
      <c r="A435" s="32">
        <v>429</v>
      </c>
      <c r="B435" s="1" t="s">
        <v>445</v>
      </c>
      <c r="C435" s="32">
        <v>9870</v>
      </c>
      <c r="D435" s="1">
        <v>21000</v>
      </c>
      <c r="E435" s="1"/>
      <c r="F435" s="1">
        <v>202.25</v>
      </c>
      <c r="G435" s="1">
        <v>21000</v>
      </c>
      <c r="H435" s="5">
        <f t="shared" si="9"/>
        <v>0</v>
      </c>
      <c r="I435" s="1"/>
      <c r="J435" s="1"/>
    </row>
    <row r="436" spans="1:10" x14ac:dyDescent="0.2">
      <c r="A436" s="32">
        <v>430</v>
      </c>
      <c r="B436" s="1" t="s">
        <v>445</v>
      </c>
      <c r="C436" s="32">
        <v>8282</v>
      </c>
      <c r="D436" s="1">
        <v>33000</v>
      </c>
      <c r="E436" s="1"/>
      <c r="F436" s="1">
        <v>337.94</v>
      </c>
      <c r="G436" s="1">
        <v>33000</v>
      </c>
      <c r="H436" s="5">
        <f t="shared" si="9"/>
        <v>0</v>
      </c>
      <c r="I436" s="1"/>
      <c r="J436" s="1"/>
    </row>
    <row r="437" spans="1:10" x14ac:dyDescent="0.2">
      <c r="A437" s="32">
        <v>431</v>
      </c>
      <c r="B437" s="1" t="s">
        <v>447</v>
      </c>
      <c r="C437" s="32">
        <v>9379</v>
      </c>
      <c r="D437" s="1">
        <v>27000</v>
      </c>
      <c r="E437" s="1"/>
      <c r="F437" s="1">
        <v>300.85000000000002</v>
      </c>
      <c r="G437" s="1">
        <v>27000</v>
      </c>
      <c r="H437" s="5">
        <f t="shared" si="9"/>
        <v>0</v>
      </c>
      <c r="I437" s="1"/>
      <c r="J437" s="1"/>
    </row>
    <row r="438" spans="1:10" x14ac:dyDescent="0.2">
      <c r="A438" s="32">
        <v>432</v>
      </c>
      <c r="B438" s="1" t="s">
        <v>447</v>
      </c>
      <c r="C438" s="32">
        <v>9389</v>
      </c>
      <c r="D438" s="1">
        <v>25000</v>
      </c>
      <c r="E438" s="1"/>
      <c r="F438" s="1">
        <v>270.25</v>
      </c>
      <c r="G438" s="1">
        <v>25000</v>
      </c>
      <c r="H438" s="5">
        <f t="shared" si="9"/>
        <v>0</v>
      </c>
      <c r="I438" s="1"/>
      <c r="J438" s="1"/>
    </row>
    <row r="439" spans="1:10" x14ac:dyDescent="0.2">
      <c r="A439" s="32">
        <v>433</v>
      </c>
      <c r="B439" s="1" t="s">
        <v>447</v>
      </c>
      <c r="C439" s="32">
        <v>5335</v>
      </c>
      <c r="D439" s="1">
        <v>18000</v>
      </c>
      <c r="E439" s="1"/>
      <c r="F439" s="1">
        <v>200.25</v>
      </c>
      <c r="G439" s="1">
        <v>18000</v>
      </c>
      <c r="H439" s="5">
        <f t="shared" si="9"/>
        <v>0</v>
      </c>
      <c r="I439" s="1"/>
      <c r="J439" s="1"/>
    </row>
    <row r="440" spans="1:10" x14ac:dyDescent="0.2">
      <c r="A440" s="32">
        <v>434</v>
      </c>
      <c r="B440" s="1" t="s">
        <v>447</v>
      </c>
      <c r="C440" s="32">
        <v>4092</v>
      </c>
      <c r="D440" s="1">
        <v>24000</v>
      </c>
      <c r="E440" s="1"/>
      <c r="F440" s="1">
        <v>267.58</v>
      </c>
      <c r="G440" s="1">
        <v>24000</v>
      </c>
      <c r="H440" s="5">
        <f t="shared" si="9"/>
        <v>0</v>
      </c>
      <c r="I440" s="1"/>
      <c r="J440" s="1"/>
    </row>
    <row r="441" spans="1:10" x14ac:dyDescent="0.2">
      <c r="A441" s="32">
        <v>435</v>
      </c>
      <c r="B441" s="1" t="s">
        <v>447</v>
      </c>
      <c r="C441" s="32">
        <v>5.5100000000000003E-2</v>
      </c>
      <c r="D441" s="1">
        <v>15000</v>
      </c>
      <c r="E441" s="1"/>
      <c r="F441" s="1">
        <v>167.15</v>
      </c>
      <c r="G441" s="1">
        <v>15000</v>
      </c>
      <c r="H441" s="5">
        <f t="shared" si="9"/>
        <v>0</v>
      </c>
      <c r="I441" s="1"/>
      <c r="J441" s="1"/>
    </row>
    <row r="442" spans="1:10" x14ac:dyDescent="0.2">
      <c r="A442" s="32">
        <v>436</v>
      </c>
      <c r="B442" s="1" t="s">
        <v>447</v>
      </c>
      <c r="C442" s="32" t="s">
        <v>30</v>
      </c>
      <c r="D442" s="1">
        <v>4500</v>
      </c>
      <c r="E442" s="1"/>
      <c r="F442" s="1">
        <v>50.13</v>
      </c>
      <c r="G442" s="1">
        <v>4500</v>
      </c>
      <c r="H442" s="5">
        <f t="shared" si="9"/>
        <v>0</v>
      </c>
      <c r="I442" s="1"/>
      <c r="J442" s="1"/>
    </row>
    <row r="443" spans="1:10" x14ac:dyDescent="0.2">
      <c r="A443" s="32">
        <v>437</v>
      </c>
      <c r="B443" s="1" t="s">
        <v>447</v>
      </c>
      <c r="C443" s="32">
        <v>6048</v>
      </c>
      <c r="D443" s="1">
        <v>12000</v>
      </c>
      <c r="E443" s="1"/>
      <c r="F443" s="1">
        <v>133.25</v>
      </c>
      <c r="G443" s="1">
        <v>12000</v>
      </c>
      <c r="H443" s="5">
        <f t="shared" si="9"/>
        <v>0</v>
      </c>
      <c r="I443" s="1"/>
      <c r="J443" s="1"/>
    </row>
    <row r="444" spans="1:10" x14ac:dyDescent="0.2">
      <c r="A444" s="32">
        <v>438</v>
      </c>
      <c r="B444" s="1" t="s">
        <v>447</v>
      </c>
      <c r="C444" s="32">
        <v>1266</v>
      </c>
      <c r="D444" s="1">
        <v>13000</v>
      </c>
      <c r="E444" s="1"/>
      <c r="F444" s="1">
        <v>144.15</v>
      </c>
      <c r="G444" s="1">
        <v>13000</v>
      </c>
      <c r="H444" s="5">
        <f t="shared" si="9"/>
        <v>0</v>
      </c>
      <c r="I444" s="1"/>
      <c r="J444" s="1"/>
    </row>
    <row r="445" spans="1:10" x14ac:dyDescent="0.2">
      <c r="A445" s="32">
        <v>439</v>
      </c>
      <c r="B445" s="1" t="s">
        <v>447</v>
      </c>
      <c r="C445" s="32">
        <v>3443</v>
      </c>
      <c r="D445" s="1">
        <v>16000</v>
      </c>
      <c r="E445" s="1"/>
      <c r="F445" s="1">
        <v>178.22</v>
      </c>
      <c r="G445" s="1">
        <v>16000</v>
      </c>
      <c r="H445" s="5">
        <f t="shared" si="9"/>
        <v>0</v>
      </c>
      <c r="I445" s="1"/>
      <c r="J445" s="1"/>
    </row>
    <row r="446" spans="1:10" x14ac:dyDescent="0.2">
      <c r="A446" s="32">
        <v>440</v>
      </c>
      <c r="B446" s="1" t="s">
        <v>447</v>
      </c>
      <c r="C446" s="32">
        <v>5958</v>
      </c>
      <c r="D446" s="1">
        <v>16000</v>
      </c>
      <c r="E446" s="1"/>
      <c r="F446" s="1">
        <v>178.22</v>
      </c>
      <c r="G446" s="1">
        <v>16000</v>
      </c>
      <c r="H446" s="5">
        <f t="shared" si="9"/>
        <v>0</v>
      </c>
      <c r="I446" s="1"/>
      <c r="J446" s="1"/>
    </row>
    <row r="447" spans="1:10" x14ac:dyDescent="0.2">
      <c r="A447" s="32">
        <v>441</v>
      </c>
      <c r="B447" s="1" t="s">
        <v>447</v>
      </c>
      <c r="C447" s="32">
        <v>1020</v>
      </c>
      <c r="D447" s="1">
        <v>27000</v>
      </c>
      <c r="E447" s="1"/>
      <c r="F447" s="1">
        <v>300.14999999999998</v>
      </c>
      <c r="G447" s="1">
        <v>27000</v>
      </c>
      <c r="H447" s="5">
        <f t="shared" si="9"/>
        <v>0</v>
      </c>
      <c r="I447" s="1"/>
      <c r="J447" s="1"/>
    </row>
    <row r="448" spans="1:10" x14ac:dyDescent="0.2">
      <c r="A448" s="32">
        <v>442</v>
      </c>
      <c r="B448" s="1" t="s">
        <v>447</v>
      </c>
      <c r="C448" s="32">
        <v>2681</v>
      </c>
      <c r="D448" s="1">
        <v>16000</v>
      </c>
      <c r="E448" s="1"/>
      <c r="F448" s="1">
        <v>178.22</v>
      </c>
      <c r="G448" s="1">
        <v>16000</v>
      </c>
      <c r="H448" s="5">
        <f t="shared" si="9"/>
        <v>0</v>
      </c>
      <c r="I448" s="1"/>
      <c r="J448" s="1"/>
    </row>
    <row r="449" spans="1:10" x14ac:dyDescent="0.2">
      <c r="A449" s="32">
        <v>443</v>
      </c>
      <c r="B449" s="1" t="s">
        <v>447</v>
      </c>
      <c r="C449" s="32">
        <v>6931</v>
      </c>
      <c r="D449" s="1">
        <v>18000</v>
      </c>
      <c r="E449" s="1"/>
      <c r="F449" s="1">
        <v>200.25</v>
      </c>
      <c r="G449" s="1">
        <v>18000</v>
      </c>
      <c r="H449" s="5">
        <f t="shared" si="9"/>
        <v>0</v>
      </c>
      <c r="I449" s="1"/>
      <c r="J449" s="1"/>
    </row>
    <row r="450" spans="1:10" x14ac:dyDescent="0.2">
      <c r="A450" s="32">
        <v>444</v>
      </c>
      <c r="B450" s="1" t="s">
        <v>447</v>
      </c>
      <c r="C450" s="32">
        <v>9645</v>
      </c>
      <c r="D450" s="1">
        <v>17000</v>
      </c>
      <c r="E450" s="1"/>
      <c r="F450" s="1">
        <v>189.25</v>
      </c>
      <c r="G450" s="1">
        <v>17000</v>
      </c>
      <c r="H450" s="5">
        <f t="shared" si="9"/>
        <v>0</v>
      </c>
      <c r="I450" s="1"/>
      <c r="J450" s="1"/>
    </row>
    <row r="451" spans="1:10" x14ac:dyDescent="0.2">
      <c r="A451" s="32">
        <v>445</v>
      </c>
      <c r="B451" s="1" t="s">
        <v>447</v>
      </c>
      <c r="C451" s="32">
        <v>8.6400000000000005E-2</v>
      </c>
      <c r="D451" s="1">
        <v>18000</v>
      </c>
      <c r="E451" s="1"/>
      <c r="F451" s="1">
        <v>200.25</v>
      </c>
      <c r="G451" s="1">
        <v>18000</v>
      </c>
      <c r="H451" s="5">
        <f t="shared" si="9"/>
        <v>0</v>
      </c>
      <c r="I451" s="1"/>
      <c r="J451" s="1"/>
    </row>
    <row r="452" spans="1:10" x14ac:dyDescent="0.2">
      <c r="A452" s="32">
        <v>446</v>
      </c>
      <c r="B452" s="1" t="s">
        <v>447</v>
      </c>
      <c r="C452" s="32">
        <v>6.5000000000000002E-2</v>
      </c>
      <c r="D452" s="1">
        <v>10000</v>
      </c>
      <c r="E452" s="1"/>
      <c r="F452" s="1">
        <v>111.41</v>
      </c>
      <c r="G452" s="1">
        <v>10000</v>
      </c>
      <c r="H452" s="5">
        <f t="shared" si="9"/>
        <v>0</v>
      </c>
      <c r="I452" s="1"/>
      <c r="J452" s="1"/>
    </row>
    <row r="453" spans="1:10" x14ac:dyDescent="0.2">
      <c r="A453" s="32">
        <v>447</v>
      </c>
      <c r="B453" s="1" t="s">
        <v>447</v>
      </c>
      <c r="C453" s="32">
        <v>6423</v>
      </c>
      <c r="D453" s="1">
        <v>10000</v>
      </c>
      <c r="E453" s="1"/>
      <c r="F453" s="1">
        <v>111.41</v>
      </c>
      <c r="G453" s="1">
        <v>10000</v>
      </c>
      <c r="H453" s="5">
        <f t="shared" si="9"/>
        <v>0</v>
      </c>
      <c r="I453" s="1"/>
      <c r="J453" s="1"/>
    </row>
    <row r="454" spans="1:10" x14ac:dyDescent="0.2">
      <c r="A454" s="32">
        <v>448</v>
      </c>
      <c r="B454" s="1" t="s">
        <v>447</v>
      </c>
      <c r="C454" s="32">
        <v>6014</v>
      </c>
      <c r="D454" s="1">
        <v>20000</v>
      </c>
      <c r="E454" s="1"/>
      <c r="F454" s="1">
        <v>222.82</v>
      </c>
      <c r="G454" s="1">
        <v>20000</v>
      </c>
      <c r="H454" s="5">
        <f t="shared" si="9"/>
        <v>0</v>
      </c>
      <c r="I454" s="1"/>
      <c r="J454" s="1"/>
    </row>
    <row r="455" spans="1:10" x14ac:dyDescent="0.2">
      <c r="A455" s="32">
        <v>449</v>
      </c>
      <c r="B455" s="1" t="s">
        <v>447</v>
      </c>
      <c r="C455" s="32">
        <v>9508</v>
      </c>
      <c r="D455" s="1">
        <v>20000</v>
      </c>
      <c r="E455" s="1"/>
      <c r="F455" s="1">
        <v>222.82</v>
      </c>
      <c r="G455" s="1">
        <v>20000</v>
      </c>
      <c r="H455" s="5">
        <f t="shared" si="9"/>
        <v>0</v>
      </c>
      <c r="I455" s="1"/>
      <c r="J455" s="1"/>
    </row>
    <row r="456" spans="1:10" x14ac:dyDescent="0.2">
      <c r="A456" s="32">
        <v>450</v>
      </c>
      <c r="B456" s="1" t="s">
        <v>447</v>
      </c>
      <c r="C456" s="32">
        <v>4148</v>
      </c>
      <c r="D456" s="1">
        <v>30000</v>
      </c>
      <c r="E456" s="1"/>
      <c r="F456" s="1">
        <v>334.22</v>
      </c>
      <c r="G456" s="1">
        <v>30000</v>
      </c>
      <c r="H456" s="5">
        <f t="shared" si="9"/>
        <v>0</v>
      </c>
      <c r="I456" s="1"/>
      <c r="J456" s="1"/>
    </row>
    <row r="457" spans="1:10" x14ac:dyDescent="0.2">
      <c r="A457" s="32">
        <v>451</v>
      </c>
      <c r="B457" s="1" t="s">
        <v>447</v>
      </c>
      <c r="C457" s="32">
        <v>7888</v>
      </c>
      <c r="D457" s="1">
        <v>25000</v>
      </c>
      <c r="E457" s="1"/>
      <c r="F457" s="1">
        <v>278.52</v>
      </c>
      <c r="G457" s="1">
        <v>25000</v>
      </c>
      <c r="H457" s="5">
        <f t="shared" si="9"/>
        <v>0</v>
      </c>
      <c r="I457" s="1"/>
      <c r="J457" s="1"/>
    </row>
    <row r="458" spans="1:10" x14ac:dyDescent="0.2">
      <c r="A458" s="32">
        <v>452</v>
      </c>
      <c r="B458" s="1" t="s">
        <v>447</v>
      </c>
      <c r="C458" s="32">
        <v>1403</v>
      </c>
      <c r="D458" s="1">
        <v>25000</v>
      </c>
      <c r="E458" s="1"/>
      <c r="F458" s="1">
        <v>278.52</v>
      </c>
      <c r="G458" s="1">
        <v>25000</v>
      </c>
      <c r="H458" s="5">
        <f t="shared" si="9"/>
        <v>0</v>
      </c>
      <c r="I458" s="1"/>
      <c r="J458" s="1"/>
    </row>
    <row r="459" spans="1:10" x14ac:dyDescent="0.2">
      <c r="A459" s="32">
        <v>453</v>
      </c>
      <c r="B459" s="1" t="s">
        <v>447</v>
      </c>
      <c r="C459" s="32">
        <v>3963</v>
      </c>
      <c r="D459" s="1">
        <v>15000</v>
      </c>
      <c r="E459" s="1"/>
      <c r="F459" s="1">
        <v>167.11</v>
      </c>
      <c r="G459" s="1">
        <v>15000</v>
      </c>
      <c r="H459" s="5">
        <f t="shared" si="9"/>
        <v>0</v>
      </c>
      <c r="I459" s="1"/>
      <c r="J459" s="1"/>
    </row>
    <row r="460" spans="1:10" x14ac:dyDescent="0.2">
      <c r="A460" s="32">
        <v>454</v>
      </c>
      <c r="B460" s="1" t="s">
        <v>447</v>
      </c>
      <c r="C460" s="32">
        <v>1059</v>
      </c>
      <c r="D460" s="1">
        <v>15000</v>
      </c>
      <c r="E460" s="1"/>
      <c r="F460" s="1">
        <v>167.11</v>
      </c>
      <c r="G460" s="1">
        <v>15000</v>
      </c>
      <c r="H460" s="5">
        <f t="shared" si="9"/>
        <v>0</v>
      </c>
      <c r="I460" s="1"/>
      <c r="J460" s="1"/>
    </row>
    <row r="461" spans="1:10" x14ac:dyDescent="0.2">
      <c r="A461" s="32">
        <v>455</v>
      </c>
      <c r="B461" s="1" t="s">
        <v>447</v>
      </c>
      <c r="C461" s="32">
        <v>4.7000000000000002E-3</v>
      </c>
      <c r="D461" s="1">
        <v>15000</v>
      </c>
      <c r="E461" s="1"/>
      <c r="F461" s="1">
        <v>167.11</v>
      </c>
      <c r="G461" s="1">
        <v>15000</v>
      </c>
      <c r="H461" s="5">
        <f t="shared" si="9"/>
        <v>0</v>
      </c>
      <c r="I461" s="1"/>
      <c r="J461" s="1"/>
    </row>
    <row r="462" spans="1:10" x14ac:dyDescent="0.2">
      <c r="A462" s="32">
        <v>456</v>
      </c>
      <c r="B462" s="1" t="s">
        <v>447</v>
      </c>
      <c r="C462" s="32">
        <v>4751</v>
      </c>
      <c r="D462" s="1">
        <v>22000</v>
      </c>
      <c r="E462" s="1"/>
      <c r="F462" s="1">
        <v>245.28</v>
      </c>
      <c r="G462" s="1">
        <v>22000</v>
      </c>
      <c r="H462" s="5">
        <f t="shared" si="9"/>
        <v>0</v>
      </c>
      <c r="I462" s="1"/>
      <c r="J462" s="1"/>
    </row>
    <row r="463" spans="1:10" x14ac:dyDescent="0.2">
      <c r="A463" s="32">
        <v>457</v>
      </c>
      <c r="B463" s="1" t="s">
        <v>447</v>
      </c>
      <c r="C463" s="32">
        <v>9486</v>
      </c>
      <c r="D463" s="1">
        <v>18000</v>
      </c>
      <c r="E463" s="1"/>
      <c r="F463" s="1">
        <v>200.53</v>
      </c>
      <c r="G463" s="1">
        <v>18000</v>
      </c>
      <c r="H463" s="5">
        <f t="shared" si="9"/>
        <v>0</v>
      </c>
      <c r="I463" s="1"/>
      <c r="J463" s="1"/>
    </row>
    <row r="464" spans="1:10" x14ac:dyDescent="0.2">
      <c r="A464" s="32">
        <v>458</v>
      </c>
      <c r="B464" s="1" t="s">
        <v>447</v>
      </c>
      <c r="C464" s="32">
        <v>1816</v>
      </c>
      <c r="D464" s="1">
        <v>23000</v>
      </c>
      <c r="E464" s="1"/>
      <c r="F464" s="1">
        <v>218.25</v>
      </c>
      <c r="G464" s="1">
        <v>23000</v>
      </c>
      <c r="H464" s="5">
        <f t="shared" si="9"/>
        <v>0</v>
      </c>
      <c r="I464" s="1"/>
      <c r="J464" s="1"/>
    </row>
    <row r="465" spans="1:10" x14ac:dyDescent="0.2">
      <c r="A465" s="32">
        <v>459</v>
      </c>
      <c r="B465" s="1" t="s">
        <v>447</v>
      </c>
      <c r="C465" s="32">
        <v>5252</v>
      </c>
      <c r="D465" s="1">
        <v>16000</v>
      </c>
      <c r="E465" s="1"/>
      <c r="F465" s="1">
        <v>178.22</v>
      </c>
      <c r="G465" s="1">
        <v>16000</v>
      </c>
      <c r="H465" s="5">
        <f t="shared" si="9"/>
        <v>0</v>
      </c>
      <c r="I465" s="1"/>
      <c r="J465" s="1"/>
    </row>
    <row r="466" spans="1:10" x14ac:dyDescent="0.2">
      <c r="A466" s="32">
        <v>460</v>
      </c>
      <c r="B466" s="1" t="s">
        <v>447</v>
      </c>
      <c r="C466" s="32">
        <v>9767</v>
      </c>
      <c r="D466" s="1">
        <v>13000</v>
      </c>
      <c r="E466" s="1"/>
      <c r="F466" s="1">
        <v>144.13</v>
      </c>
      <c r="G466" s="1">
        <v>13000</v>
      </c>
      <c r="H466" s="5">
        <f t="shared" si="9"/>
        <v>0</v>
      </c>
      <c r="I466" s="1"/>
      <c r="J466" s="1"/>
    </row>
    <row r="467" spans="1:10" x14ac:dyDescent="0.2">
      <c r="A467" s="32">
        <v>461</v>
      </c>
      <c r="B467" s="1" t="s">
        <v>447</v>
      </c>
      <c r="C467" s="32">
        <v>3398</v>
      </c>
      <c r="D467" s="1">
        <v>13000</v>
      </c>
      <c r="E467" s="1"/>
      <c r="F467" s="1">
        <v>144.13</v>
      </c>
      <c r="G467" s="1">
        <v>13000</v>
      </c>
      <c r="H467" s="5">
        <f t="shared" si="9"/>
        <v>0</v>
      </c>
      <c r="I467" s="1"/>
      <c r="J467" s="1"/>
    </row>
    <row r="468" spans="1:10" x14ac:dyDescent="0.2">
      <c r="A468" s="32">
        <v>462</v>
      </c>
      <c r="B468" s="1" t="s">
        <v>448</v>
      </c>
      <c r="C468" s="32">
        <v>3855</v>
      </c>
      <c r="D468" s="1">
        <v>15000</v>
      </c>
      <c r="E468" s="1"/>
      <c r="F468" s="1">
        <v>167.11</v>
      </c>
      <c r="G468" s="1">
        <v>15000</v>
      </c>
      <c r="H468" s="5">
        <f t="shared" si="9"/>
        <v>0</v>
      </c>
      <c r="I468" s="1"/>
      <c r="J468" s="1"/>
    </row>
    <row r="469" spans="1:10" x14ac:dyDescent="0.2">
      <c r="A469" s="32">
        <v>463</v>
      </c>
      <c r="B469" s="1" t="s">
        <v>448</v>
      </c>
      <c r="C469" s="32">
        <v>3137</v>
      </c>
      <c r="D469" s="1">
        <v>15000</v>
      </c>
      <c r="E469" s="1"/>
      <c r="F469" s="1">
        <v>167.11</v>
      </c>
      <c r="G469" s="1">
        <v>15000</v>
      </c>
      <c r="H469" s="5">
        <f t="shared" si="9"/>
        <v>0</v>
      </c>
      <c r="I469" s="1"/>
      <c r="J469" s="1"/>
    </row>
    <row r="470" spans="1:10" x14ac:dyDescent="0.2">
      <c r="A470" s="32">
        <v>464</v>
      </c>
      <c r="B470" s="1" t="s">
        <v>448</v>
      </c>
      <c r="C470" s="32">
        <v>1046</v>
      </c>
      <c r="D470" s="1">
        <v>13000</v>
      </c>
      <c r="E470" s="1"/>
      <c r="F470" s="1">
        <v>144.81</v>
      </c>
      <c r="G470" s="1">
        <v>13000</v>
      </c>
      <c r="H470" s="5">
        <f t="shared" si="9"/>
        <v>0</v>
      </c>
      <c r="I470" s="1"/>
      <c r="J470" s="1"/>
    </row>
    <row r="471" spans="1:10" x14ac:dyDescent="0.2">
      <c r="A471" s="32">
        <v>465</v>
      </c>
      <c r="B471" s="1" t="s">
        <v>448</v>
      </c>
      <c r="C471" s="32">
        <v>4032</v>
      </c>
      <c r="D471" s="1">
        <v>24000</v>
      </c>
      <c r="E471" s="1"/>
      <c r="F471" s="1">
        <v>267.52</v>
      </c>
      <c r="G471" s="1">
        <v>24000</v>
      </c>
      <c r="H471" s="5">
        <f t="shared" si="9"/>
        <v>0</v>
      </c>
      <c r="I471" s="1"/>
      <c r="J471" s="1"/>
    </row>
    <row r="472" spans="1:10" x14ac:dyDescent="0.2">
      <c r="A472" s="32">
        <v>466</v>
      </c>
      <c r="B472" s="1" t="s">
        <v>448</v>
      </c>
      <c r="C472" s="32">
        <v>4.1500000000000002E-2</v>
      </c>
      <c r="D472" s="1">
        <v>8000</v>
      </c>
      <c r="E472" s="1"/>
      <c r="F472" s="1">
        <v>89.99</v>
      </c>
      <c r="G472" s="1">
        <v>8000</v>
      </c>
      <c r="H472" s="5">
        <f t="shared" si="9"/>
        <v>0</v>
      </c>
      <c r="I472" s="1"/>
      <c r="J472" s="1"/>
    </row>
    <row r="473" spans="1:10" x14ac:dyDescent="0.2">
      <c r="A473" s="32">
        <v>467</v>
      </c>
      <c r="B473" s="1" t="s">
        <v>448</v>
      </c>
      <c r="C473" s="32">
        <v>5.1999999999999998E-3</v>
      </c>
      <c r="D473" s="1">
        <v>16000</v>
      </c>
      <c r="E473" s="1"/>
      <c r="F473" s="1">
        <v>178.22</v>
      </c>
      <c r="G473" s="1">
        <v>16000</v>
      </c>
      <c r="H473" s="5">
        <f t="shared" si="9"/>
        <v>0</v>
      </c>
      <c r="I473" s="1"/>
      <c r="J473" s="1"/>
    </row>
    <row r="474" spans="1:10" x14ac:dyDescent="0.2">
      <c r="A474" s="32">
        <v>468</v>
      </c>
      <c r="B474" s="1" t="s">
        <v>448</v>
      </c>
      <c r="C474" s="32" t="s">
        <v>30</v>
      </c>
      <c r="D474" s="1">
        <v>5000</v>
      </c>
      <c r="E474" s="1"/>
      <c r="F474" s="1">
        <v>55.12</v>
      </c>
      <c r="G474" s="1">
        <v>5000</v>
      </c>
      <c r="H474" s="5">
        <f t="shared" si="9"/>
        <v>0</v>
      </c>
      <c r="I474" s="1"/>
      <c r="J474" s="1"/>
    </row>
    <row r="475" spans="1:10" x14ac:dyDescent="0.2">
      <c r="A475" s="32">
        <v>469</v>
      </c>
      <c r="B475" s="1" t="s">
        <v>448</v>
      </c>
      <c r="C475" s="32" t="s">
        <v>63</v>
      </c>
      <c r="D475" s="1">
        <v>3500</v>
      </c>
      <c r="E475" s="1"/>
      <c r="F475" s="1">
        <v>38.15</v>
      </c>
      <c r="G475" s="1">
        <v>3500</v>
      </c>
      <c r="H475" s="5">
        <f t="shared" si="9"/>
        <v>0</v>
      </c>
      <c r="I475" s="1"/>
      <c r="J475" s="1"/>
    </row>
    <row r="476" spans="1:10" x14ac:dyDescent="0.2">
      <c r="A476" s="32">
        <v>470</v>
      </c>
      <c r="B476" s="1" t="s">
        <v>448</v>
      </c>
      <c r="C476" s="32" t="s">
        <v>66</v>
      </c>
      <c r="D476" s="1">
        <v>100</v>
      </c>
      <c r="E476" s="1"/>
      <c r="F476" s="1">
        <v>1.05</v>
      </c>
      <c r="G476" s="1">
        <v>100</v>
      </c>
      <c r="H476" s="5">
        <f t="shared" si="9"/>
        <v>0</v>
      </c>
      <c r="I476" s="1"/>
      <c r="J476" s="1"/>
    </row>
    <row r="477" spans="1:10" x14ac:dyDescent="0.2">
      <c r="A477" s="32">
        <v>471</v>
      </c>
      <c r="B477" s="1" t="s">
        <v>448</v>
      </c>
      <c r="C477" s="32" t="s">
        <v>30</v>
      </c>
      <c r="D477" s="1">
        <v>5000</v>
      </c>
      <c r="E477" s="1"/>
      <c r="F477" s="1">
        <v>55.13</v>
      </c>
      <c r="G477" s="1">
        <v>5000</v>
      </c>
      <c r="H477" s="5">
        <f t="shared" si="9"/>
        <v>0</v>
      </c>
      <c r="I477" s="1"/>
      <c r="J477" s="1"/>
    </row>
    <row r="478" spans="1:10" x14ac:dyDescent="0.2">
      <c r="A478" s="32">
        <v>472</v>
      </c>
      <c r="B478" s="1" t="s">
        <v>448</v>
      </c>
      <c r="C478" s="32">
        <v>2779</v>
      </c>
      <c r="D478" s="1">
        <v>20000</v>
      </c>
      <c r="E478" s="1"/>
      <c r="F478" s="1">
        <v>222.82</v>
      </c>
      <c r="G478" s="1">
        <v>20000</v>
      </c>
      <c r="H478" s="5">
        <f t="shared" si="9"/>
        <v>0</v>
      </c>
      <c r="I478" s="1"/>
      <c r="J478" s="1"/>
    </row>
    <row r="479" spans="1:10" x14ac:dyDescent="0.2">
      <c r="A479" s="32">
        <v>473</v>
      </c>
      <c r="B479" s="1" t="s">
        <v>448</v>
      </c>
      <c r="C479" s="32">
        <v>5777</v>
      </c>
      <c r="D479" s="1">
        <v>20000</v>
      </c>
      <c r="E479" s="1"/>
      <c r="F479" s="1">
        <v>222.82</v>
      </c>
      <c r="G479" s="1">
        <v>20000</v>
      </c>
      <c r="H479" s="5">
        <f t="shared" si="9"/>
        <v>0</v>
      </c>
      <c r="I479" s="1"/>
      <c r="J479" s="1"/>
    </row>
    <row r="480" spans="1:10" x14ac:dyDescent="0.2">
      <c r="A480" s="32">
        <v>474</v>
      </c>
      <c r="B480" s="1" t="s">
        <v>448</v>
      </c>
      <c r="C480" s="32">
        <v>3273</v>
      </c>
      <c r="D480" s="1">
        <v>30000</v>
      </c>
      <c r="E480" s="1"/>
      <c r="F480" s="1">
        <v>334.25</v>
      </c>
      <c r="G480" s="1">
        <v>30000</v>
      </c>
      <c r="H480" s="5">
        <f t="shared" si="9"/>
        <v>0</v>
      </c>
      <c r="I480" s="1"/>
      <c r="J480" s="1"/>
    </row>
    <row r="481" spans="1:10" x14ac:dyDescent="0.2">
      <c r="A481" s="32">
        <v>475</v>
      </c>
      <c r="B481" s="1" t="s">
        <v>448</v>
      </c>
      <c r="C481" s="32">
        <v>2593</v>
      </c>
      <c r="D481" s="1">
        <v>25000</v>
      </c>
      <c r="E481" s="1"/>
      <c r="F481" s="1">
        <v>278.22000000000003</v>
      </c>
      <c r="G481" s="1">
        <v>25000</v>
      </c>
      <c r="H481" s="5">
        <f t="shared" si="9"/>
        <v>0</v>
      </c>
      <c r="I481" s="1"/>
      <c r="J481" s="1"/>
    </row>
    <row r="482" spans="1:10" x14ac:dyDescent="0.2">
      <c r="A482" s="32">
        <v>476</v>
      </c>
      <c r="B482" s="1" t="s">
        <v>448</v>
      </c>
      <c r="C482" s="32">
        <v>3537</v>
      </c>
      <c r="D482" s="1">
        <v>26000</v>
      </c>
      <c r="E482" s="1"/>
      <c r="F482" s="1">
        <v>289.25</v>
      </c>
      <c r="G482" s="1">
        <v>26000</v>
      </c>
      <c r="H482" s="5">
        <f t="shared" si="9"/>
        <v>0</v>
      </c>
      <c r="I482" s="1"/>
      <c r="J482" s="1"/>
    </row>
    <row r="483" spans="1:10" x14ac:dyDescent="0.2">
      <c r="A483" s="32">
        <v>477</v>
      </c>
      <c r="B483" s="1" t="s">
        <v>448</v>
      </c>
      <c r="C483" s="32">
        <v>4131</v>
      </c>
      <c r="D483" s="1">
        <v>22000</v>
      </c>
      <c r="E483" s="1"/>
      <c r="F483" s="1">
        <v>245.28</v>
      </c>
      <c r="G483" s="1">
        <v>22000</v>
      </c>
      <c r="H483" s="5">
        <f t="shared" si="9"/>
        <v>0</v>
      </c>
      <c r="I483" s="1"/>
      <c r="J483" s="1"/>
    </row>
    <row r="484" spans="1:10" x14ac:dyDescent="0.2">
      <c r="A484" s="32">
        <v>478</v>
      </c>
      <c r="B484" s="1" t="s">
        <v>448</v>
      </c>
      <c r="C484" s="32">
        <v>2740</v>
      </c>
      <c r="D484" s="1">
        <v>17000</v>
      </c>
      <c r="E484" s="1"/>
      <c r="F484" s="1">
        <v>189.33</v>
      </c>
      <c r="G484" s="1">
        <v>17000</v>
      </c>
      <c r="H484" s="5">
        <f t="shared" si="9"/>
        <v>0</v>
      </c>
      <c r="I484" s="1"/>
      <c r="J484" s="1"/>
    </row>
    <row r="485" spans="1:10" x14ac:dyDescent="0.2">
      <c r="A485" s="32">
        <v>479</v>
      </c>
      <c r="B485" s="1" t="s">
        <v>448</v>
      </c>
      <c r="C485" s="32">
        <v>1781</v>
      </c>
      <c r="D485" s="1">
        <v>27000</v>
      </c>
      <c r="E485" s="1"/>
      <c r="F485" s="1">
        <v>300.27999999999997</v>
      </c>
      <c r="G485" s="1">
        <v>27000</v>
      </c>
      <c r="H485" s="5">
        <f t="shared" si="9"/>
        <v>0</v>
      </c>
      <c r="I485" s="1"/>
      <c r="J485" s="1"/>
    </row>
    <row r="486" spans="1:10" x14ac:dyDescent="0.2">
      <c r="A486" s="32">
        <v>480</v>
      </c>
      <c r="B486" s="1" t="s">
        <v>448</v>
      </c>
      <c r="C486" s="32">
        <v>5616</v>
      </c>
      <c r="D486" s="1">
        <v>28000</v>
      </c>
      <c r="E486" s="1"/>
      <c r="F486" s="1">
        <v>311.25</v>
      </c>
      <c r="G486" s="1">
        <v>28000</v>
      </c>
      <c r="H486" s="5">
        <f t="shared" si="9"/>
        <v>0</v>
      </c>
      <c r="I486" s="1"/>
      <c r="J486" s="1"/>
    </row>
    <row r="487" spans="1:10" x14ac:dyDescent="0.2">
      <c r="A487" s="32">
        <v>481</v>
      </c>
      <c r="B487" s="1" t="s">
        <v>448</v>
      </c>
      <c r="C487" s="32">
        <v>8701</v>
      </c>
      <c r="D487" s="1">
        <v>28000</v>
      </c>
      <c r="E487" s="1"/>
      <c r="F487" s="1">
        <v>311.25</v>
      </c>
      <c r="G487" s="1">
        <v>28000</v>
      </c>
      <c r="H487" s="5">
        <f t="shared" ref="H487:H550" si="10">D487-G487</f>
        <v>0</v>
      </c>
      <c r="I487" s="1"/>
      <c r="J487" s="1"/>
    </row>
    <row r="488" spans="1:10" x14ac:dyDescent="0.2">
      <c r="A488" s="32">
        <v>482</v>
      </c>
      <c r="B488" s="1" t="s">
        <v>448</v>
      </c>
      <c r="C488" s="32">
        <v>2.7199999999999998E-2</v>
      </c>
      <c r="D488" s="1">
        <v>28000</v>
      </c>
      <c r="E488" s="1"/>
      <c r="F488" s="1">
        <v>311.25</v>
      </c>
      <c r="G488" s="1">
        <v>28000</v>
      </c>
      <c r="H488" s="5">
        <f t="shared" si="10"/>
        <v>0</v>
      </c>
      <c r="I488" s="1"/>
      <c r="J488" s="1"/>
    </row>
    <row r="489" spans="1:10" x14ac:dyDescent="0.2">
      <c r="A489" s="32">
        <v>483</v>
      </c>
      <c r="B489" s="1" t="s">
        <v>448</v>
      </c>
      <c r="C489" s="32">
        <v>2995</v>
      </c>
      <c r="D489" s="1">
        <v>14000</v>
      </c>
      <c r="E489" s="1"/>
      <c r="F489" s="1">
        <v>155.97</v>
      </c>
      <c r="G489" s="1">
        <v>14000</v>
      </c>
      <c r="H489" s="5">
        <f t="shared" si="10"/>
        <v>0</v>
      </c>
      <c r="I489" s="1"/>
      <c r="J489" s="1"/>
    </row>
    <row r="490" spans="1:10" x14ac:dyDescent="0.2">
      <c r="A490" s="32">
        <v>484</v>
      </c>
      <c r="B490" s="1" t="s">
        <v>448</v>
      </c>
      <c r="C490" s="32">
        <v>1606</v>
      </c>
      <c r="D490" s="1">
        <v>29000</v>
      </c>
      <c r="E490" s="1"/>
      <c r="F490" s="1">
        <v>323.25</v>
      </c>
      <c r="G490" s="1">
        <v>29000</v>
      </c>
      <c r="H490" s="5">
        <f t="shared" si="10"/>
        <v>0</v>
      </c>
      <c r="I490" s="1"/>
      <c r="J490" s="1"/>
    </row>
    <row r="491" spans="1:10" x14ac:dyDescent="0.2">
      <c r="A491" s="32">
        <v>485</v>
      </c>
      <c r="B491" s="1" t="s">
        <v>448</v>
      </c>
      <c r="C491" s="32">
        <v>8763</v>
      </c>
      <c r="D491" s="1">
        <v>29000</v>
      </c>
      <c r="E491" s="1"/>
      <c r="F491" s="1">
        <v>323.25</v>
      </c>
      <c r="G491" s="1">
        <v>29000</v>
      </c>
      <c r="H491" s="5">
        <f t="shared" si="10"/>
        <v>0</v>
      </c>
      <c r="I491" s="1"/>
      <c r="J491" s="1"/>
    </row>
    <row r="492" spans="1:10" x14ac:dyDescent="0.2">
      <c r="A492" s="32">
        <v>486</v>
      </c>
      <c r="B492" s="1" t="s">
        <v>449</v>
      </c>
      <c r="C492" s="32">
        <v>2152</v>
      </c>
      <c r="D492" s="1">
        <v>15000</v>
      </c>
      <c r="E492" s="1"/>
      <c r="F492" s="1">
        <v>167.11</v>
      </c>
      <c r="G492" s="1">
        <v>15000</v>
      </c>
      <c r="H492" s="5">
        <f t="shared" si="10"/>
        <v>0</v>
      </c>
      <c r="I492" s="1"/>
      <c r="J492" s="1"/>
    </row>
    <row r="493" spans="1:10" x14ac:dyDescent="0.2">
      <c r="A493" s="32">
        <v>487</v>
      </c>
      <c r="B493" s="1" t="s">
        <v>449</v>
      </c>
      <c r="C493" s="32">
        <v>6214</v>
      </c>
      <c r="D493" s="1">
        <v>20000</v>
      </c>
      <c r="E493" s="1"/>
      <c r="F493" s="1">
        <v>222.82</v>
      </c>
      <c r="G493" s="1">
        <v>20000</v>
      </c>
      <c r="H493" s="5">
        <f t="shared" si="10"/>
        <v>0</v>
      </c>
      <c r="I493" s="1"/>
      <c r="J493" s="1"/>
    </row>
    <row r="494" spans="1:10" x14ac:dyDescent="0.2">
      <c r="A494" s="32">
        <v>488</v>
      </c>
      <c r="B494" s="1" t="s">
        <v>449</v>
      </c>
      <c r="C494" s="32">
        <v>4966</v>
      </c>
      <c r="D494" s="1">
        <v>6000</v>
      </c>
      <c r="E494" s="1"/>
      <c r="F494" s="1">
        <v>55.12</v>
      </c>
      <c r="G494" s="1">
        <v>6000</v>
      </c>
      <c r="H494" s="5">
        <f t="shared" si="10"/>
        <v>0</v>
      </c>
      <c r="I494" s="1"/>
      <c r="J494" s="1"/>
    </row>
    <row r="495" spans="1:10" x14ac:dyDescent="0.2">
      <c r="A495" s="32">
        <v>489</v>
      </c>
      <c r="B495" s="1" t="s">
        <v>449</v>
      </c>
      <c r="C495" s="32">
        <v>8586</v>
      </c>
      <c r="D495" s="1">
        <v>16000</v>
      </c>
      <c r="E495" s="1"/>
      <c r="F495" s="1">
        <v>178.22</v>
      </c>
      <c r="G495" s="1">
        <v>16000</v>
      </c>
      <c r="H495" s="5">
        <f t="shared" si="10"/>
        <v>0</v>
      </c>
      <c r="I495" s="1"/>
      <c r="J495" s="1"/>
    </row>
    <row r="496" spans="1:10" x14ac:dyDescent="0.2">
      <c r="A496" s="32">
        <v>490</v>
      </c>
      <c r="B496" s="1" t="s">
        <v>449</v>
      </c>
      <c r="C496" s="32">
        <v>3.3099999999999997E-2</v>
      </c>
      <c r="D496" s="1">
        <v>20000</v>
      </c>
      <c r="E496" s="1"/>
      <c r="F496" s="1">
        <v>222.82</v>
      </c>
      <c r="G496" s="1">
        <v>20000</v>
      </c>
      <c r="H496" s="5">
        <f t="shared" si="10"/>
        <v>0</v>
      </c>
      <c r="I496" s="1"/>
      <c r="J496" s="1"/>
    </row>
    <row r="497" spans="1:10" x14ac:dyDescent="0.2">
      <c r="A497" s="32">
        <v>491</v>
      </c>
      <c r="B497" s="1" t="s">
        <v>449</v>
      </c>
      <c r="C497" s="32">
        <v>6048</v>
      </c>
      <c r="D497" s="1">
        <v>12000</v>
      </c>
      <c r="E497" s="1"/>
      <c r="F497" s="1">
        <v>133.25</v>
      </c>
      <c r="G497" s="1">
        <v>12000</v>
      </c>
      <c r="H497" s="5">
        <f t="shared" si="10"/>
        <v>0</v>
      </c>
      <c r="I497" s="1"/>
      <c r="J497" s="1"/>
    </row>
    <row r="498" spans="1:10" x14ac:dyDescent="0.2">
      <c r="A498" s="32">
        <v>492</v>
      </c>
      <c r="B498" s="1" t="s">
        <v>449</v>
      </c>
      <c r="C498" s="32">
        <v>1452</v>
      </c>
      <c r="D498" s="1">
        <v>10000</v>
      </c>
      <c r="E498" s="1"/>
      <c r="F498" s="1">
        <v>111.15</v>
      </c>
      <c r="G498" s="1">
        <v>10000</v>
      </c>
      <c r="H498" s="5">
        <f t="shared" si="10"/>
        <v>0</v>
      </c>
      <c r="I498" s="1"/>
      <c r="J498" s="1"/>
    </row>
    <row r="499" spans="1:10" x14ac:dyDescent="0.2">
      <c r="A499" s="32">
        <v>493</v>
      </c>
      <c r="B499" s="1" t="s">
        <v>449</v>
      </c>
      <c r="C499" s="32">
        <v>2774</v>
      </c>
      <c r="D499" s="1">
        <v>14000</v>
      </c>
      <c r="E499" s="1"/>
      <c r="F499" s="1">
        <v>155.94999999999999</v>
      </c>
      <c r="G499" s="1">
        <v>14000</v>
      </c>
      <c r="H499" s="5">
        <f t="shared" si="10"/>
        <v>0</v>
      </c>
      <c r="I499" s="1"/>
      <c r="J499" s="1"/>
    </row>
    <row r="500" spans="1:10" x14ac:dyDescent="0.2">
      <c r="A500" s="32">
        <v>494</v>
      </c>
      <c r="B500" s="1" t="s">
        <v>449</v>
      </c>
      <c r="C500" s="32">
        <v>9977</v>
      </c>
      <c r="D500" s="1">
        <v>15000</v>
      </c>
      <c r="E500" s="1"/>
      <c r="F500" s="1">
        <v>167.11</v>
      </c>
      <c r="G500" s="1">
        <v>15000</v>
      </c>
      <c r="H500" s="5">
        <f t="shared" si="10"/>
        <v>0</v>
      </c>
      <c r="I500" s="1"/>
      <c r="J500" s="1"/>
    </row>
    <row r="501" spans="1:10" x14ac:dyDescent="0.2">
      <c r="A501" s="32">
        <v>495</v>
      </c>
      <c r="B501" s="1" t="s">
        <v>449</v>
      </c>
      <c r="C501" s="32">
        <v>6596</v>
      </c>
      <c r="D501" s="1">
        <v>14000</v>
      </c>
      <c r="E501" s="1"/>
      <c r="F501" s="1">
        <v>155.94999999999999</v>
      </c>
      <c r="G501" s="1">
        <v>14000</v>
      </c>
      <c r="H501" s="5">
        <f t="shared" si="10"/>
        <v>0</v>
      </c>
      <c r="I501" s="1"/>
      <c r="J501" s="1"/>
    </row>
    <row r="502" spans="1:10" x14ac:dyDescent="0.2">
      <c r="A502" s="32">
        <v>496</v>
      </c>
      <c r="B502" s="1" t="s">
        <v>449</v>
      </c>
      <c r="C502" s="32">
        <v>7677</v>
      </c>
      <c r="D502" s="1">
        <v>15000</v>
      </c>
      <c r="E502" s="1"/>
      <c r="F502" s="1">
        <v>167.11</v>
      </c>
      <c r="G502" s="1">
        <v>15000</v>
      </c>
      <c r="H502" s="5">
        <f t="shared" si="10"/>
        <v>0</v>
      </c>
      <c r="I502" s="1"/>
      <c r="J502" s="1"/>
    </row>
    <row r="503" spans="1:10" x14ac:dyDescent="0.2">
      <c r="A503" s="32">
        <v>497</v>
      </c>
      <c r="B503" s="1" t="s">
        <v>449</v>
      </c>
      <c r="C503" s="32">
        <v>6496</v>
      </c>
      <c r="D503" s="1">
        <v>14000</v>
      </c>
      <c r="E503" s="1"/>
      <c r="F503" s="1">
        <v>155.94999999999999</v>
      </c>
      <c r="G503" s="1">
        <v>14000</v>
      </c>
      <c r="H503" s="5">
        <f t="shared" si="10"/>
        <v>0</v>
      </c>
      <c r="I503" s="1"/>
      <c r="J503" s="1"/>
    </row>
    <row r="504" spans="1:10" x14ac:dyDescent="0.2">
      <c r="A504" s="32">
        <v>498</v>
      </c>
      <c r="B504" s="1" t="s">
        <v>449</v>
      </c>
      <c r="C504" s="32" t="s">
        <v>30</v>
      </c>
      <c r="D504" s="1">
        <v>5000</v>
      </c>
      <c r="E504" s="1"/>
      <c r="F504" s="1">
        <v>55.12</v>
      </c>
      <c r="G504" s="1">
        <v>5000</v>
      </c>
      <c r="H504" s="5">
        <f t="shared" si="10"/>
        <v>0</v>
      </c>
      <c r="I504" s="1"/>
      <c r="J504" s="1"/>
    </row>
    <row r="505" spans="1:10" x14ac:dyDescent="0.2">
      <c r="A505" s="32">
        <v>499</v>
      </c>
      <c r="B505" s="1" t="s">
        <v>449</v>
      </c>
      <c r="C505" s="32" t="s">
        <v>30</v>
      </c>
      <c r="D505" s="1">
        <v>4500</v>
      </c>
      <c r="E505" s="1"/>
      <c r="F505" s="1">
        <v>50.15</v>
      </c>
      <c r="G505" s="1">
        <v>4500</v>
      </c>
      <c r="H505" s="5">
        <f t="shared" si="10"/>
        <v>0</v>
      </c>
      <c r="I505" s="1"/>
      <c r="J505" s="1"/>
    </row>
    <row r="506" spans="1:10" x14ac:dyDescent="0.2">
      <c r="A506" s="32">
        <v>500</v>
      </c>
      <c r="B506" s="1" t="s">
        <v>449</v>
      </c>
      <c r="C506" s="32">
        <v>8665</v>
      </c>
      <c r="D506" s="1">
        <v>20000</v>
      </c>
      <c r="E506" s="1"/>
      <c r="F506" s="1">
        <v>222.82</v>
      </c>
      <c r="G506" s="1">
        <v>20000</v>
      </c>
      <c r="H506" s="5">
        <f t="shared" si="10"/>
        <v>0</v>
      </c>
      <c r="I506" s="1"/>
      <c r="J506" s="1"/>
    </row>
    <row r="507" spans="1:10" x14ac:dyDescent="0.2">
      <c r="A507" s="32">
        <v>501</v>
      </c>
      <c r="B507" s="1" t="s">
        <v>449</v>
      </c>
      <c r="C507" s="32">
        <v>3745</v>
      </c>
      <c r="D507" s="1">
        <v>15000</v>
      </c>
      <c r="E507" s="1"/>
      <c r="F507" s="1">
        <v>167.11</v>
      </c>
      <c r="G507" s="1">
        <v>15000</v>
      </c>
      <c r="H507" s="5">
        <f t="shared" si="10"/>
        <v>0</v>
      </c>
      <c r="I507" s="1"/>
      <c r="J507" s="1"/>
    </row>
    <row r="508" spans="1:10" x14ac:dyDescent="0.2">
      <c r="A508" s="32">
        <v>502</v>
      </c>
      <c r="B508" s="1" t="s">
        <v>449</v>
      </c>
      <c r="C508" s="32">
        <v>3527</v>
      </c>
      <c r="D508" s="1">
        <v>15000</v>
      </c>
      <c r="E508" s="1"/>
      <c r="F508" s="1">
        <v>167.11</v>
      </c>
      <c r="G508" s="1">
        <v>15000</v>
      </c>
      <c r="H508" s="5">
        <f t="shared" si="10"/>
        <v>0</v>
      </c>
      <c r="I508" s="1"/>
      <c r="J508" s="1"/>
    </row>
    <row r="509" spans="1:10" x14ac:dyDescent="0.2">
      <c r="A509" s="32">
        <v>503</v>
      </c>
      <c r="B509" s="1" t="s">
        <v>449</v>
      </c>
      <c r="C509" s="32">
        <v>3477</v>
      </c>
      <c r="D509" s="1">
        <v>15000</v>
      </c>
      <c r="E509" s="1"/>
      <c r="F509" s="1">
        <v>167.11</v>
      </c>
      <c r="G509" s="1">
        <v>15000</v>
      </c>
      <c r="H509" s="5">
        <f t="shared" si="10"/>
        <v>0</v>
      </c>
      <c r="I509" s="1"/>
      <c r="J509" s="1"/>
    </row>
    <row r="510" spans="1:10" x14ac:dyDescent="0.2">
      <c r="A510" s="32">
        <v>504</v>
      </c>
      <c r="B510" s="1" t="s">
        <v>449</v>
      </c>
      <c r="C510" s="32">
        <v>3326</v>
      </c>
      <c r="D510" s="1">
        <v>15000</v>
      </c>
      <c r="E510" s="1"/>
      <c r="F510" s="1">
        <v>167.11</v>
      </c>
      <c r="G510" s="1">
        <v>15000</v>
      </c>
      <c r="H510" s="5">
        <f t="shared" si="10"/>
        <v>0</v>
      </c>
      <c r="I510" s="1"/>
      <c r="J510" s="1"/>
    </row>
    <row r="511" spans="1:10" x14ac:dyDescent="0.2">
      <c r="A511" s="32">
        <v>505</v>
      </c>
      <c r="B511" s="1" t="s">
        <v>449</v>
      </c>
      <c r="C511" s="32">
        <v>8465</v>
      </c>
      <c r="D511" s="1">
        <v>5000</v>
      </c>
      <c r="E511" s="1"/>
      <c r="F511" s="1">
        <v>55.12</v>
      </c>
      <c r="G511" s="1">
        <v>5000</v>
      </c>
      <c r="H511" s="5">
        <f t="shared" si="10"/>
        <v>0</v>
      </c>
      <c r="I511" s="1"/>
      <c r="J511" s="1"/>
    </row>
    <row r="512" spans="1:10" x14ac:dyDescent="0.2">
      <c r="A512" s="32">
        <v>506</v>
      </c>
      <c r="B512" s="1" t="s">
        <v>449</v>
      </c>
      <c r="C512" s="32">
        <v>4268</v>
      </c>
      <c r="D512" s="1">
        <v>20000</v>
      </c>
      <c r="E512" s="1"/>
      <c r="F512" s="1">
        <v>222.82</v>
      </c>
      <c r="G512" s="1">
        <v>20000</v>
      </c>
      <c r="H512" s="5">
        <f t="shared" si="10"/>
        <v>0</v>
      </c>
      <c r="I512" s="1"/>
      <c r="J512" s="1"/>
    </row>
    <row r="513" spans="1:10" x14ac:dyDescent="0.2">
      <c r="A513" s="32">
        <v>507</v>
      </c>
      <c r="B513" s="1" t="s">
        <v>449</v>
      </c>
      <c r="C513" s="32">
        <v>6212</v>
      </c>
      <c r="D513" s="1">
        <v>20000</v>
      </c>
      <c r="E513" s="1"/>
      <c r="F513" s="1">
        <v>222.82</v>
      </c>
      <c r="G513" s="1">
        <v>20000</v>
      </c>
      <c r="H513" s="5">
        <f t="shared" si="10"/>
        <v>0</v>
      </c>
      <c r="I513" s="1"/>
      <c r="J513" s="1"/>
    </row>
    <row r="514" spans="1:10" x14ac:dyDescent="0.2">
      <c r="A514" s="32">
        <v>508</v>
      </c>
      <c r="B514" s="1" t="s">
        <v>449</v>
      </c>
      <c r="C514" s="32">
        <v>6924</v>
      </c>
      <c r="D514" s="1">
        <v>20000</v>
      </c>
      <c r="E514" s="1"/>
      <c r="F514" s="1">
        <v>222.82</v>
      </c>
      <c r="G514" s="1">
        <v>20000</v>
      </c>
      <c r="H514" s="5">
        <f t="shared" si="10"/>
        <v>0</v>
      </c>
      <c r="I514" s="1"/>
      <c r="J514" s="1"/>
    </row>
    <row r="515" spans="1:10" x14ac:dyDescent="0.2">
      <c r="A515" s="32">
        <v>509</v>
      </c>
      <c r="B515" s="1" t="s">
        <v>449</v>
      </c>
      <c r="C515" s="32">
        <v>4786</v>
      </c>
      <c r="D515" s="1">
        <v>28000</v>
      </c>
      <c r="E515" s="1"/>
      <c r="F515" s="1">
        <v>300.81</v>
      </c>
      <c r="G515" s="1">
        <v>28000</v>
      </c>
      <c r="H515" s="5">
        <f t="shared" si="10"/>
        <v>0</v>
      </c>
      <c r="I515" s="1"/>
      <c r="J515" s="1"/>
    </row>
    <row r="516" spans="1:10" x14ac:dyDescent="0.2">
      <c r="A516" s="32">
        <v>510</v>
      </c>
      <c r="B516" s="1" t="s">
        <v>449</v>
      </c>
      <c r="C516" s="32">
        <v>5783</v>
      </c>
      <c r="D516" s="1">
        <v>22000</v>
      </c>
      <c r="E516" s="1"/>
      <c r="F516" s="1">
        <v>241.25</v>
      </c>
      <c r="G516" s="1">
        <v>22000</v>
      </c>
      <c r="H516" s="5">
        <f t="shared" si="10"/>
        <v>0</v>
      </c>
      <c r="I516" s="1"/>
      <c r="J516" s="1"/>
    </row>
    <row r="517" spans="1:10" x14ac:dyDescent="0.2">
      <c r="A517" s="32">
        <v>511</v>
      </c>
      <c r="B517" s="1" t="s">
        <v>449</v>
      </c>
      <c r="C517" s="32">
        <v>5278</v>
      </c>
      <c r="D517" s="1">
        <v>22000</v>
      </c>
      <c r="E517" s="1"/>
      <c r="F517" s="1">
        <v>241.25</v>
      </c>
      <c r="G517" s="1">
        <v>22000</v>
      </c>
      <c r="H517" s="5">
        <f t="shared" si="10"/>
        <v>0</v>
      </c>
      <c r="I517" s="1"/>
      <c r="J517" s="1"/>
    </row>
    <row r="518" spans="1:10" x14ac:dyDescent="0.2">
      <c r="A518" s="32">
        <v>512</v>
      </c>
      <c r="B518" s="1" t="s">
        <v>449</v>
      </c>
      <c r="C518" s="32">
        <v>5.62E-2</v>
      </c>
      <c r="D518" s="1">
        <v>23000</v>
      </c>
      <c r="E518" s="1"/>
      <c r="F518" s="1">
        <v>202.25</v>
      </c>
      <c r="G518" s="1">
        <v>23000</v>
      </c>
      <c r="H518" s="5">
        <f t="shared" si="10"/>
        <v>0</v>
      </c>
      <c r="I518" s="1"/>
      <c r="J518" s="1"/>
    </row>
    <row r="519" spans="1:10" x14ac:dyDescent="0.2">
      <c r="A519" s="32">
        <v>513</v>
      </c>
      <c r="B519" s="1" t="s">
        <v>449</v>
      </c>
      <c r="C519" s="32">
        <v>3842</v>
      </c>
      <c r="D519" s="1">
        <v>26000</v>
      </c>
      <c r="E519" s="1"/>
      <c r="F519" s="1">
        <v>289.66000000000003</v>
      </c>
      <c r="G519" s="1">
        <v>26000</v>
      </c>
      <c r="H519" s="5">
        <f t="shared" si="10"/>
        <v>0</v>
      </c>
      <c r="I519" s="1"/>
      <c r="J519" s="1"/>
    </row>
    <row r="520" spans="1:10" x14ac:dyDescent="0.2">
      <c r="A520" s="32">
        <v>514</v>
      </c>
      <c r="B520" s="1" t="s">
        <v>450</v>
      </c>
      <c r="C520" s="32">
        <v>5235</v>
      </c>
      <c r="D520" s="1">
        <v>18000</v>
      </c>
      <c r="E520" s="1"/>
      <c r="F520" s="1">
        <v>200.25</v>
      </c>
      <c r="G520" s="1">
        <v>18000</v>
      </c>
      <c r="H520" s="5">
        <f t="shared" si="10"/>
        <v>0</v>
      </c>
      <c r="I520" s="1"/>
      <c r="J520" s="1"/>
    </row>
    <row r="521" spans="1:10" x14ac:dyDescent="0.2">
      <c r="A521" s="32">
        <v>515</v>
      </c>
      <c r="B521" s="1" t="s">
        <v>450</v>
      </c>
      <c r="C521" s="32">
        <v>5906</v>
      </c>
      <c r="D521" s="1">
        <v>25000</v>
      </c>
      <c r="E521" s="1"/>
      <c r="F521" s="1">
        <v>278.22000000000003</v>
      </c>
      <c r="G521" s="1">
        <v>25000</v>
      </c>
      <c r="H521" s="5">
        <f t="shared" si="10"/>
        <v>0</v>
      </c>
      <c r="I521" s="1"/>
      <c r="J521" s="1"/>
    </row>
    <row r="522" spans="1:10" x14ac:dyDescent="0.2">
      <c r="A522" s="32">
        <v>516</v>
      </c>
      <c r="B522" s="1" t="s">
        <v>450</v>
      </c>
      <c r="C522" s="32">
        <v>8981</v>
      </c>
      <c r="D522" s="1">
        <v>26000</v>
      </c>
      <c r="E522" s="1"/>
      <c r="F522" s="1">
        <v>289.25</v>
      </c>
      <c r="G522" s="1">
        <v>26000</v>
      </c>
      <c r="H522" s="5">
        <f t="shared" si="10"/>
        <v>0</v>
      </c>
      <c r="I522" s="1"/>
      <c r="J522" s="1"/>
    </row>
    <row r="523" spans="1:10" x14ac:dyDescent="0.2">
      <c r="A523" s="32">
        <v>517</v>
      </c>
      <c r="B523" s="1" t="s">
        <v>450</v>
      </c>
      <c r="C523" s="32">
        <v>3443</v>
      </c>
      <c r="D523" s="1">
        <v>16000</v>
      </c>
      <c r="E523" s="1"/>
      <c r="F523" s="1">
        <v>178.25</v>
      </c>
      <c r="G523" s="1">
        <v>16000</v>
      </c>
      <c r="H523" s="5">
        <f t="shared" si="10"/>
        <v>0</v>
      </c>
      <c r="I523" s="1"/>
      <c r="J523" s="1"/>
    </row>
    <row r="524" spans="1:10" x14ac:dyDescent="0.2">
      <c r="A524" s="32">
        <v>518</v>
      </c>
      <c r="B524" s="1" t="s">
        <v>450</v>
      </c>
      <c r="C524" s="32">
        <v>5.1000000000000004E-3</v>
      </c>
      <c r="D524" s="1">
        <v>16000</v>
      </c>
      <c r="E524" s="1"/>
      <c r="F524" s="1">
        <v>178.25</v>
      </c>
      <c r="G524" s="1">
        <v>16000</v>
      </c>
      <c r="H524" s="5">
        <f t="shared" si="10"/>
        <v>0</v>
      </c>
      <c r="I524" s="1"/>
      <c r="J524" s="1"/>
    </row>
    <row r="525" spans="1:10" x14ac:dyDescent="0.2">
      <c r="A525" s="32">
        <v>519</v>
      </c>
      <c r="B525" s="1" t="s">
        <v>450</v>
      </c>
      <c r="C525" s="32">
        <v>5151</v>
      </c>
      <c r="D525" s="1">
        <v>16000</v>
      </c>
      <c r="E525" s="1"/>
      <c r="F525" s="1">
        <v>178.25</v>
      </c>
      <c r="G525" s="1">
        <v>16000</v>
      </c>
      <c r="H525" s="5">
        <f t="shared" si="10"/>
        <v>0</v>
      </c>
      <c r="I525" s="1"/>
      <c r="J525" s="1"/>
    </row>
    <row r="526" spans="1:10" x14ac:dyDescent="0.2">
      <c r="A526" s="32">
        <v>520</v>
      </c>
      <c r="B526" s="1" t="s">
        <v>450</v>
      </c>
      <c r="C526" s="32">
        <v>6815</v>
      </c>
      <c r="D526" s="1">
        <v>18504</v>
      </c>
      <c r="E526" s="1"/>
      <c r="F526" s="1">
        <v>206.34</v>
      </c>
      <c r="G526" s="1">
        <v>18504</v>
      </c>
      <c r="H526" s="5">
        <f t="shared" si="10"/>
        <v>0</v>
      </c>
      <c r="I526" s="1"/>
      <c r="J526" s="1"/>
    </row>
    <row r="527" spans="1:10" x14ac:dyDescent="0.2">
      <c r="A527" s="32">
        <v>521</v>
      </c>
      <c r="B527" s="1" t="s">
        <v>450</v>
      </c>
      <c r="C527" s="32">
        <v>3197</v>
      </c>
      <c r="D527" s="1">
        <v>15000</v>
      </c>
      <c r="E527" s="1"/>
      <c r="F527" s="1">
        <v>167.15</v>
      </c>
      <c r="G527" s="1">
        <v>15000</v>
      </c>
      <c r="H527" s="5">
        <f t="shared" si="10"/>
        <v>0</v>
      </c>
      <c r="I527" s="1"/>
      <c r="J527" s="1"/>
    </row>
    <row r="528" spans="1:10" x14ac:dyDescent="0.2">
      <c r="A528" s="32">
        <v>522</v>
      </c>
      <c r="B528" s="1" t="s">
        <v>450</v>
      </c>
      <c r="C528" s="32">
        <v>2673</v>
      </c>
      <c r="D528" s="1">
        <v>15000</v>
      </c>
      <c r="E528" s="1"/>
      <c r="F528" s="1">
        <v>167.15</v>
      </c>
      <c r="G528" s="1">
        <v>15000</v>
      </c>
      <c r="H528" s="5">
        <f t="shared" si="10"/>
        <v>0</v>
      </c>
      <c r="I528" s="1"/>
      <c r="J528" s="1"/>
    </row>
    <row r="529" spans="1:10" x14ac:dyDescent="0.2">
      <c r="A529" s="32">
        <v>523</v>
      </c>
      <c r="B529" s="1" t="s">
        <v>450</v>
      </c>
      <c r="C529" s="32">
        <v>2067</v>
      </c>
      <c r="D529" s="1">
        <v>15000</v>
      </c>
      <c r="E529" s="1"/>
      <c r="F529" s="1">
        <v>167.15</v>
      </c>
      <c r="G529" s="1">
        <v>15000</v>
      </c>
      <c r="H529" s="5">
        <f t="shared" si="10"/>
        <v>0</v>
      </c>
      <c r="I529" s="1"/>
      <c r="J529" s="1"/>
    </row>
    <row r="530" spans="1:10" x14ac:dyDescent="0.2">
      <c r="A530" s="32">
        <v>524</v>
      </c>
      <c r="B530" s="1" t="s">
        <v>450</v>
      </c>
      <c r="C530" s="32">
        <v>3643</v>
      </c>
      <c r="D530" s="1">
        <v>32000</v>
      </c>
      <c r="E530" s="1"/>
      <c r="F530" s="1">
        <v>356.51</v>
      </c>
      <c r="G530" s="1">
        <v>32000</v>
      </c>
      <c r="H530" s="5">
        <f t="shared" si="10"/>
        <v>0</v>
      </c>
      <c r="I530" s="1"/>
      <c r="J530" s="1"/>
    </row>
    <row r="531" spans="1:10" x14ac:dyDescent="0.2">
      <c r="A531" s="32">
        <v>525</v>
      </c>
      <c r="B531" s="1" t="s">
        <v>450</v>
      </c>
      <c r="C531" s="32">
        <v>9383</v>
      </c>
      <c r="D531" s="1">
        <v>32000</v>
      </c>
      <c r="E531" s="1"/>
      <c r="F531" s="1">
        <v>356.51</v>
      </c>
      <c r="G531" s="1">
        <v>32000</v>
      </c>
      <c r="H531" s="5">
        <f t="shared" si="10"/>
        <v>0</v>
      </c>
      <c r="I531" s="1"/>
      <c r="J531" s="1"/>
    </row>
    <row r="532" spans="1:10" x14ac:dyDescent="0.2">
      <c r="A532" s="32">
        <v>526</v>
      </c>
      <c r="B532" s="1" t="s">
        <v>450</v>
      </c>
      <c r="C532" s="32">
        <v>6037</v>
      </c>
      <c r="D532" s="1">
        <v>23000</v>
      </c>
      <c r="E532" s="1"/>
      <c r="F532" s="1">
        <v>256.25</v>
      </c>
      <c r="G532" s="1">
        <v>23000</v>
      </c>
      <c r="H532" s="5">
        <f t="shared" si="10"/>
        <v>0</v>
      </c>
      <c r="I532" s="1"/>
      <c r="J532" s="1"/>
    </row>
    <row r="533" spans="1:10" x14ac:dyDescent="0.2">
      <c r="A533" s="32">
        <v>527</v>
      </c>
      <c r="B533" s="1" t="s">
        <v>450</v>
      </c>
      <c r="C533" s="32">
        <v>9356</v>
      </c>
      <c r="D533" s="1">
        <v>28300</v>
      </c>
      <c r="E533" s="1"/>
      <c r="F533" s="1">
        <v>315.25</v>
      </c>
      <c r="G533" s="1">
        <v>28300</v>
      </c>
      <c r="H533" s="5">
        <f t="shared" si="10"/>
        <v>0</v>
      </c>
      <c r="I533" s="1"/>
      <c r="J533" s="1"/>
    </row>
    <row r="534" spans="1:10" x14ac:dyDescent="0.2">
      <c r="A534" s="32">
        <v>528</v>
      </c>
      <c r="B534" s="1" t="s">
        <v>450</v>
      </c>
      <c r="C534" s="32">
        <v>5897</v>
      </c>
      <c r="D534" s="1">
        <v>20404</v>
      </c>
      <c r="E534" s="1"/>
      <c r="F534" s="1">
        <v>227.25</v>
      </c>
      <c r="G534" s="1">
        <v>20404</v>
      </c>
      <c r="H534" s="5">
        <f t="shared" si="10"/>
        <v>0</v>
      </c>
      <c r="I534" s="1"/>
      <c r="J534" s="1"/>
    </row>
    <row r="535" spans="1:10" x14ac:dyDescent="0.2">
      <c r="A535" s="32">
        <v>529</v>
      </c>
      <c r="B535" s="1" t="s">
        <v>450</v>
      </c>
      <c r="C535" s="32">
        <v>9060</v>
      </c>
      <c r="D535" s="1">
        <v>15000</v>
      </c>
      <c r="E535" s="1"/>
      <c r="F535" s="1">
        <v>167.15</v>
      </c>
      <c r="G535" s="1">
        <v>15000</v>
      </c>
      <c r="H535" s="5">
        <f t="shared" si="10"/>
        <v>0</v>
      </c>
      <c r="I535" s="1"/>
      <c r="J535" s="1"/>
    </row>
    <row r="536" spans="1:10" x14ac:dyDescent="0.2">
      <c r="A536" s="32">
        <v>530</v>
      </c>
      <c r="B536" s="1" t="s">
        <v>450</v>
      </c>
      <c r="C536" s="32">
        <v>9390</v>
      </c>
      <c r="D536" s="1">
        <v>25000</v>
      </c>
      <c r="E536" s="1"/>
      <c r="F536" s="1">
        <v>272.25</v>
      </c>
      <c r="G536" s="1">
        <v>25000</v>
      </c>
      <c r="H536" s="5">
        <f t="shared" si="10"/>
        <v>0</v>
      </c>
      <c r="I536" s="1"/>
      <c r="J536" s="1"/>
    </row>
    <row r="537" spans="1:10" x14ac:dyDescent="0.2">
      <c r="A537" s="32">
        <v>531</v>
      </c>
      <c r="B537" s="1" t="s">
        <v>450</v>
      </c>
      <c r="C537" s="32">
        <v>7186</v>
      </c>
      <c r="D537" s="1">
        <v>25000</v>
      </c>
      <c r="E537" s="1"/>
      <c r="F537" s="1">
        <v>272.25</v>
      </c>
      <c r="G537" s="1">
        <v>25000</v>
      </c>
      <c r="H537" s="5">
        <f t="shared" si="10"/>
        <v>0</v>
      </c>
      <c r="I537" s="1"/>
      <c r="J537" s="1"/>
    </row>
    <row r="538" spans="1:10" x14ac:dyDescent="0.2">
      <c r="A538" s="32">
        <v>532</v>
      </c>
      <c r="B538" s="1" t="s">
        <v>450</v>
      </c>
      <c r="C538" s="32">
        <v>2497</v>
      </c>
      <c r="D538" s="1">
        <v>6000</v>
      </c>
      <c r="E538" s="1"/>
      <c r="F538" s="1">
        <v>66.84</v>
      </c>
      <c r="G538" s="1">
        <v>6000</v>
      </c>
      <c r="H538" s="5">
        <f t="shared" si="10"/>
        <v>0</v>
      </c>
      <c r="I538" s="1"/>
      <c r="J538" s="1"/>
    </row>
    <row r="539" spans="1:10" x14ac:dyDescent="0.2">
      <c r="A539" s="32">
        <v>533</v>
      </c>
      <c r="B539" s="1" t="s">
        <v>450</v>
      </c>
      <c r="C539" s="32">
        <v>3695</v>
      </c>
      <c r="D539" s="1">
        <v>20000</v>
      </c>
      <c r="E539" s="1"/>
      <c r="F539" s="1">
        <v>222.82</v>
      </c>
      <c r="G539" s="1">
        <v>20000</v>
      </c>
      <c r="H539" s="5">
        <f t="shared" si="10"/>
        <v>0</v>
      </c>
      <c r="I539" s="1"/>
      <c r="J539" s="1"/>
    </row>
    <row r="540" spans="1:10" x14ac:dyDescent="0.2">
      <c r="A540" s="32">
        <v>534</v>
      </c>
      <c r="B540" s="1" t="s">
        <v>450</v>
      </c>
      <c r="C540" s="32">
        <v>7266</v>
      </c>
      <c r="D540" s="1">
        <v>30000</v>
      </c>
      <c r="E540" s="1"/>
      <c r="F540" s="1">
        <v>311.25</v>
      </c>
      <c r="G540" s="1">
        <v>30000</v>
      </c>
      <c r="H540" s="5">
        <f t="shared" si="10"/>
        <v>0</v>
      </c>
      <c r="I540" s="1"/>
      <c r="J540" s="1"/>
    </row>
    <row r="541" spans="1:10" x14ac:dyDescent="0.2">
      <c r="A541" s="32">
        <v>535</v>
      </c>
      <c r="B541" s="1" t="s">
        <v>450</v>
      </c>
      <c r="C541" s="32">
        <v>1336</v>
      </c>
      <c r="D541" s="1">
        <v>20000</v>
      </c>
      <c r="E541" s="1"/>
      <c r="F541" s="1">
        <v>222.82</v>
      </c>
      <c r="G541" s="1">
        <v>20000</v>
      </c>
      <c r="H541" s="5">
        <f t="shared" si="10"/>
        <v>0</v>
      </c>
      <c r="I541" s="1"/>
      <c r="J541" s="1"/>
    </row>
    <row r="542" spans="1:10" x14ac:dyDescent="0.2">
      <c r="A542" s="32">
        <v>536</v>
      </c>
      <c r="B542" s="1" t="s">
        <v>450</v>
      </c>
      <c r="C542" s="32">
        <v>9903</v>
      </c>
      <c r="D542" s="1">
        <v>20000</v>
      </c>
      <c r="E542" s="1"/>
      <c r="F542" s="1">
        <v>222.82</v>
      </c>
      <c r="G542" s="1">
        <v>20000</v>
      </c>
      <c r="H542" s="5">
        <f t="shared" si="10"/>
        <v>0</v>
      </c>
      <c r="I542" s="1"/>
      <c r="J542" s="1"/>
    </row>
    <row r="543" spans="1:10" x14ac:dyDescent="0.2">
      <c r="A543" s="32">
        <v>537</v>
      </c>
      <c r="B543" s="1" t="s">
        <v>454</v>
      </c>
      <c r="C543" s="32">
        <v>5605</v>
      </c>
      <c r="D543" s="1">
        <v>20000</v>
      </c>
      <c r="E543" s="1"/>
      <c r="F543" s="1">
        <v>222.82</v>
      </c>
      <c r="G543" s="1">
        <v>20000</v>
      </c>
      <c r="H543" s="5">
        <f t="shared" si="10"/>
        <v>0</v>
      </c>
      <c r="I543" s="1"/>
      <c r="J543" s="1"/>
    </row>
    <row r="544" spans="1:10" x14ac:dyDescent="0.2">
      <c r="A544" s="32">
        <v>538</v>
      </c>
      <c r="B544" s="1" t="s">
        <v>454</v>
      </c>
      <c r="C544" s="32">
        <v>9191</v>
      </c>
      <c r="D544" s="1">
        <v>20000</v>
      </c>
      <c r="E544" s="1"/>
      <c r="F544" s="1">
        <v>222.82</v>
      </c>
      <c r="G544" s="1">
        <v>20000</v>
      </c>
      <c r="H544" s="5">
        <f t="shared" si="10"/>
        <v>0</v>
      </c>
      <c r="I544" s="1"/>
      <c r="J544" s="1"/>
    </row>
    <row r="545" spans="1:10" x14ac:dyDescent="0.2">
      <c r="A545" s="32">
        <v>539</v>
      </c>
      <c r="B545" s="1" t="s">
        <v>454</v>
      </c>
      <c r="C545" s="32">
        <v>1113</v>
      </c>
      <c r="D545" s="1">
        <v>25000</v>
      </c>
      <c r="E545" s="1"/>
      <c r="F545" s="1">
        <v>278.22000000000003</v>
      </c>
      <c r="G545" s="1">
        <v>25000</v>
      </c>
      <c r="H545" s="5">
        <f t="shared" si="10"/>
        <v>0</v>
      </c>
      <c r="I545" s="1"/>
      <c r="J545" s="1"/>
    </row>
    <row r="546" spans="1:10" x14ac:dyDescent="0.2">
      <c r="A546" s="32">
        <v>540</v>
      </c>
      <c r="B546" s="1" t="s">
        <v>454</v>
      </c>
      <c r="C546" s="32">
        <v>3.8899999999999997E-2</v>
      </c>
      <c r="D546" s="1">
        <v>25000</v>
      </c>
      <c r="E546" s="1"/>
      <c r="F546" s="1">
        <v>278.22000000000003</v>
      </c>
      <c r="G546" s="1">
        <v>25000</v>
      </c>
      <c r="H546" s="5">
        <f t="shared" si="10"/>
        <v>0</v>
      </c>
      <c r="I546" s="1"/>
      <c r="J546" s="1"/>
    </row>
    <row r="547" spans="1:10" x14ac:dyDescent="0.2">
      <c r="A547" s="32">
        <v>541</v>
      </c>
      <c r="B547" s="1" t="s">
        <v>454</v>
      </c>
      <c r="C547" s="32" t="s">
        <v>30</v>
      </c>
      <c r="D547" s="1">
        <v>4500</v>
      </c>
      <c r="E547" s="1"/>
      <c r="F547" s="1">
        <v>50.13</v>
      </c>
      <c r="G547" s="1">
        <v>4500</v>
      </c>
      <c r="H547" s="5">
        <f t="shared" si="10"/>
        <v>0</v>
      </c>
      <c r="I547" s="1"/>
      <c r="J547" s="1"/>
    </row>
    <row r="548" spans="1:10" x14ac:dyDescent="0.2">
      <c r="A548" s="32">
        <v>542</v>
      </c>
      <c r="B548" s="1" t="s">
        <v>454</v>
      </c>
      <c r="C548" s="32">
        <v>7677</v>
      </c>
      <c r="D548" s="1">
        <v>15000</v>
      </c>
      <c r="E548" s="1"/>
      <c r="F548" s="1">
        <v>167.11</v>
      </c>
      <c r="G548" s="1">
        <v>15000</v>
      </c>
      <c r="H548" s="5">
        <f t="shared" si="10"/>
        <v>0</v>
      </c>
      <c r="I548" s="1"/>
      <c r="J548" s="1"/>
    </row>
    <row r="549" spans="1:10" x14ac:dyDescent="0.2">
      <c r="A549" s="32">
        <v>543</v>
      </c>
      <c r="B549" s="1" t="s">
        <v>454</v>
      </c>
      <c r="C549" s="32">
        <v>8859</v>
      </c>
      <c r="D549" s="1">
        <v>22000</v>
      </c>
      <c r="E549" s="1"/>
      <c r="F549" s="1">
        <v>245.25</v>
      </c>
      <c r="G549" s="1">
        <v>22000</v>
      </c>
      <c r="H549" s="5">
        <f t="shared" si="10"/>
        <v>0</v>
      </c>
      <c r="I549" s="1"/>
      <c r="J549" s="1"/>
    </row>
    <row r="550" spans="1:10" x14ac:dyDescent="0.2">
      <c r="A550" s="32">
        <v>544</v>
      </c>
      <c r="B550" s="1" t="s">
        <v>454</v>
      </c>
      <c r="C550" s="32" t="s">
        <v>63</v>
      </c>
      <c r="D550" s="1">
        <v>3500</v>
      </c>
      <c r="E550" s="1"/>
      <c r="F550" s="1">
        <v>38.97</v>
      </c>
      <c r="G550" s="1">
        <v>3500</v>
      </c>
      <c r="H550" s="5">
        <f t="shared" si="10"/>
        <v>0</v>
      </c>
      <c r="I550" s="1"/>
      <c r="J550" s="1"/>
    </row>
    <row r="551" spans="1:10" x14ac:dyDescent="0.2">
      <c r="A551" s="32">
        <v>545</v>
      </c>
      <c r="B551" s="1" t="s">
        <v>454</v>
      </c>
      <c r="C551" s="32" t="s">
        <v>30</v>
      </c>
      <c r="D551" s="1">
        <v>7000</v>
      </c>
      <c r="E551" s="1"/>
      <c r="F551" s="1">
        <v>77.97</v>
      </c>
      <c r="G551" s="1">
        <v>7000</v>
      </c>
      <c r="H551" s="5">
        <f t="shared" ref="H551:H614" si="11">D551-G551</f>
        <v>0</v>
      </c>
      <c r="I551" s="1"/>
      <c r="J551" s="1"/>
    </row>
    <row r="552" spans="1:10" x14ac:dyDescent="0.2">
      <c r="A552" s="32">
        <v>546</v>
      </c>
      <c r="B552" s="1" t="s">
        <v>454</v>
      </c>
      <c r="C552" s="32" t="s">
        <v>30</v>
      </c>
      <c r="D552" s="1">
        <v>5000</v>
      </c>
      <c r="E552" s="1"/>
      <c r="F552" s="1">
        <v>55.7</v>
      </c>
      <c r="G552" s="1">
        <v>5000</v>
      </c>
      <c r="H552" s="5">
        <f t="shared" si="11"/>
        <v>0</v>
      </c>
      <c r="I552" s="1"/>
      <c r="J552" s="1"/>
    </row>
    <row r="553" spans="1:10" x14ac:dyDescent="0.2">
      <c r="A553" s="32">
        <v>547</v>
      </c>
      <c r="B553" s="1" t="s">
        <v>454</v>
      </c>
      <c r="C553" s="32">
        <v>1000</v>
      </c>
      <c r="D553" s="1">
        <v>10000</v>
      </c>
      <c r="E553" s="1"/>
      <c r="F553" s="1">
        <v>111.41</v>
      </c>
      <c r="G553" s="1">
        <v>10000</v>
      </c>
      <c r="H553" s="5">
        <f t="shared" si="11"/>
        <v>0</v>
      </c>
      <c r="I553" s="1"/>
      <c r="J553" s="1"/>
    </row>
    <row r="554" spans="1:10" x14ac:dyDescent="0.2">
      <c r="A554" s="32">
        <v>548</v>
      </c>
      <c r="B554" s="1" t="s">
        <v>454</v>
      </c>
      <c r="C554" s="32">
        <v>1149</v>
      </c>
      <c r="D554" s="1">
        <v>10000</v>
      </c>
      <c r="E554" s="1"/>
      <c r="F554" s="1">
        <v>111.41</v>
      </c>
      <c r="G554" s="1">
        <v>10000</v>
      </c>
      <c r="H554" s="5">
        <f t="shared" si="11"/>
        <v>0</v>
      </c>
      <c r="I554" s="1"/>
      <c r="J554" s="1"/>
    </row>
    <row r="555" spans="1:10" x14ac:dyDescent="0.2">
      <c r="A555" s="32">
        <v>549</v>
      </c>
      <c r="B555" s="1" t="s">
        <v>454</v>
      </c>
      <c r="C555" s="32">
        <v>0.46700000000000003</v>
      </c>
      <c r="D555" s="1">
        <v>10000</v>
      </c>
      <c r="E555" s="1"/>
      <c r="F555" s="1">
        <v>111.41</v>
      </c>
      <c r="G555" s="1">
        <v>10000</v>
      </c>
      <c r="H555" s="5">
        <f t="shared" si="11"/>
        <v>0</v>
      </c>
      <c r="I555" s="1"/>
      <c r="J555" s="1"/>
    </row>
    <row r="556" spans="1:10" x14ac:dyDescent="0.2">
      <c r="A556" s="32">
        <v>550</v>
      </c>
      <c r="B556" s="1" t="s">
        <v>454</v>
      </c>
      <c r="C556" s="32">
        <v>2296</v>
      </c>
      <c r="D556" s="1">
        <v>30000</v>
      </c>
      <c r="E556" s="1"/>
      <c r="F556" s="1">
        <v>334.22</v>
      </c>
      <c r="G556" s="1">
        <v>30000</v>
      </c>
      <c r="H556" s="5">
        <f t="shared" si="11"/>
        <v>0</v>
      </c>
      <c r="I556" s="1"/>
      <c r="J556" s="1"/>
    </row>
    <row r="557" spans="1:10" x14ac:dyDescent="0.2">
      <c r="A557" s="32">
        <v>551</v>
      </c>
      <c r="B557" s="1" t="s">
        <v>454</v>
      </c>
      <c r="C557" s="32">
        <v>8929</v>
      </c>
      <c r="D557" s="1">
        <v>30000</v>
      </c>
      <c r="E557" s="1"/>
      <c r="F557" s="1">
        <v>334.22</v>
      </c>
      <c r="G557" s="1">
        <v>30000</v>
      </c>
      <c r="H557" s="5">
        <f t="shared" si="11"/>
        <v>0</v>
      </c>
      <c r="I557" s="1"/>
      <c r="J557" s="1"/>
    </row>
    <row r="558" spans="1:10" x14ac:dyDescent="0.2">
      <c r="A558" s="32">
        <v>552</v>
      </c>
      <c r="B558" s="1" t="s">
        <v>454</v>
      </c>
      <c r="C558" s="32">
        <v>4579</v>
      </c>
      <c r="D558" s="1">
        <v>20000</v>
      </c>
      <c r="E558" s="1"/>
      <c r="F558" s="1">
        <v>222.82</v>
      </c>
      <c r="G558" s="1">
        <v>20000</v>
      </c>
      <c r="H558" s="5">
        <f t="shared" si="11"/>
        <v>0</v>
      </c>
      <c r="I558" s="1"/>
      <c r="J558" s="1"/>
    </row>
    <row r="559" spans="1:10" x14ac:dyDescent="0.2">
      <c r="A559" s="32">
        <v>553</v>
      </c>
      <c r="B559" s="1" t="s">
        <v>454</v>
      </c>
      <c r="C559" s="32">
        <v>3391</v>
      </c>
      <c r="D559" s="1">
        <v>20000</v>
      </c>
      <c r="E559" s="1"/>
      <c r="F559" s="1">
        <v>222.82</v>
      </c>
      <c r="G559" s="1">
        <v>20000</v>
      </c>
      <c r="H559" s="5">
        <f t="shared" si="11"/>
        <v>0</v>
      </c>
      <c r="I559" s="1"/>
      <c r="J559" s="1"/>
    </row>
    <row r="560" spans="1:10" x14ac:dyDescent="0.2">
      <c r="A560" s="32">
        <v>554</v>
      </c>
      <c r="B560" s="1" t="s">
        <v>454</v>
      </c>
      <c r="C560" s="32">
        <v>5929</v>
      </c>
      <c r="D560" s="1">
        <v>20000</v>
      </c>
      <c r="E560" s="1"/>
      <c r="F560" s="1">
        <v>222.82</v>
      </c>
      <c r="G560" s="1">
        <v>20000</v>
      </c>
      <c r="H560" s="5">
        <f t="shared" si="11"/>
        <v>0</v>
      </c>
      <c r="I560" s="1"/>
      <c r="J560" s="1"/>
    </row>
    <row r="561" spans="1:10" x14ac:dyDescent="0.2">
      <c r="A561" s="32">
        <v>555</v>
      </c>
      <c r="B561" s="1" t="s">
        <v>454</v>
      </c>
      <c r="C561" s="32">
        <v>1581</v>
      </c>
      <c r="D561" s="1">
        <v>20000</v>
      </c>
      <c r="E561" s="1"/>
      <c r="F561" s="1">
        <v>222.82</v>
      </c>
      <c r="G561" s="1">
        <v>20000</v>
      </c>
      <c r="H561" s="5">
        <f t="shared" si="11"/>
        <v>0</v>
      </c>
      <c r="I561" s="1"/>
      <c r="J561" s="1"/>
    </row>
    <row r="562" spans="1:10" x14ac:dyDescent="0.2">
      <c r="A562" s="32">
        <v>556</v>
      </c>
      <c r="B562" s="1" t="s">
        <v>454</v>
      </c>
      <c r="C562" s="32">
        <v>4124</v>
      </c>
      <c r="D562" s="1">
        <v>27000</v>
      </c>
      <c r="E562" s="1"/>
      <c r="F562" s="1">
        <v>300.81</v>
      </c>
      <c r="G562" s="1">
        <v>27000</v>
      </c>
      <c r="H562" s="5">
        <f t="shared" si="11"/>
        <v>0</v>
      </c>
      <c r="I562" s="1"/>
      <c r="J562" s="1"/>
    </row>
    <row r="563" spans="1:10" x14ac:dyDescent="0.2">
      <c r="A563" s="32">
        <v>557</v>
      </c>
      <c r="B563" s="1" t="s">
        <v>454</v>
      </c>
      <c r="C563" s="32">
        <v>2995</v>
      </c>
      <c r="D563" s="1">
        <v>13000</v>
      </c>
      <c r="E563" s="1"/>
      <c r="F563" s="1">
        <v>144.83000000000001</v>
      </c>
      <c r="G563" s="1">
        <v>13000</v>
      </c>
      <c r="H563" s="5">
        <f t="shared" si="11"/>
        <v>0</v>
      </c>
      <c r="I563" s="1"/>
      <c r="J563" s="1"/>
    </row>
    <row r="564" spans="1:10" x14ac:dyDescent="0.2">
      <c r="A564" s="32">
        <v>558</v>
      </c>
      <c r="B564" s="1" t="s">
        <v>454</v>
      </c>
      <c r="C564" s="32">
        <v>8259</v>
      </c>
      <c r="D564" s="1">
        <v>17000</v>
      </c>
      <c r="E564" s="1"/>
      <c r="F564" s="1">
        <v>189.35</v>
      </c>
      <c r="G564" s="1">
        <v>17000</v>
      </c>
      <c r="H564" s="5">
        <f t="shared" si="11"/>
        <v>0</v>
      </c>
      <c r="I564" s="1"/>
      <c r="J564" s="1"/>
    </row>
    <row r="565" spans="1:10" x14ac:dyDescent="0.2">
      <c r="A565" s="32">
        <v>559</v>
      </c>
      <c r="B565" s="1" t="s">
        <v>454</v>
      </c>
      <c r="C565" s="32">
        <v>1046</v>
      </c>
      <c r="D565" s="1">
        <v>13000</v>
      </c>
      <c r="E565" s="1"/>
      <c r="F565" s="1">
        <v>144.83000000000001</v>
      </c>
      <c r="G565" s="1">
        <v>13000</v>
      </c>
      <c r="H565" s="5">
        <f t="shared" si="11"/>
        <v>0</v>
      </c>
      <c r="I565" s="1"/>
      <c r="J565" s="1"/>
    </row>
    <row r="566" spans="1:10" x14ac:dyDescent="0.2">
      <c r="A566" s="32">
        <v>560</v>
      </c>
      <c r="B566" s="1" t="s">
        <v>454</v>
      </c>
      <c r="C566" s="32">
        <v>1329</v>
      </c>
      <c r="D566" s="1">
        <v>21000</v>
      </c>
      <c r="E566" s="1"/>
      <c r="F566" s="1">
        <v>233.46</v>
      </c>
      <c r="G566" s="1">
        <v>21000</v>
      </c>
      <c r="H566" s="5">
        <f t="shared" si="11"/>
        <v>0</v>
      </c>
      <c r="I566" s="1"/>
      <c r="J566" s="1"/>
    </row>
    <row r="567" spans="1:10" x14ac:dyDescent="0.2">
      <c r="A567" s="32">
        <v>561</v>
      </c>
      <c r="B567" s="1" t="s">
        <v>454</v>
      </c>
      <c r="C567" s="32">
        <v>3826</v>
      </c>
      <c r="D567" s="1">
        <v>25896</v>
      </c>
      <c r="E567" s="1"/>
      <c r="F567" s="1">
        <v>288.5</v>
      </c>
      <c r="G567" s="1">
        <v>25896</v>
      </c>
      <c r="H567" s="5">
        <f t="shared" si="11"/>
        <v>0</v>
      </c>
      <c r="I567" s="1"/>
      <c r="J567" s="1"/>
    </row>
    <row r="568" spans="1:10" x14ac:dyDescent="0.2">
      <c r="A568" s="32">
        <v>562</v>
      </c>
      <c r="B568" s="1" t="s">
        <v>454</v>
      </c>
      <c r="C568" s="32">
        <v>7567</v>
      </c>
      <c r="D568" s="1">
        <v>27000</v>
      </c>
      <c r="E568" s="1"/>
      <c r="F568" s="1">
        <v>268.8</v>
      </c>
      <c r="G568" s="1">
        <v>27000</v>
      </c>
      <c r="H568" s="5">
        <f t="shared" si="11"/>
        <v>0</v>
      </c>
      <c r="I568" s="1"/>
      <c r="J568" s="1"/>
    </row>
    <row r="569" spans="1:10" x14ac:dyDescent="0.2">
      <c r="A569" s="32">
        <v>563</v>
      </c>
      <c r="B569" s="1" t="s">
        <v>454</v>
      </c>
      <c r="C569" s="32">
        <v>5137</v>
      </c>
      <c r="D569" s="1">
        <v>26000</v>
      </c>
      <c r="E569" s="1"/>
      <c r="F569" s="1">
        <v>289.66000000000003</v>
      </c>
      <c r="G569" s="1">
        <v>26000</v>
      </c>
      <c r="H569" s="5">
        <f t="shared" si="11"/>
        <v>0</v>
      </c>
      <c r="I569" s="1"/>
      <c r="J569" s="1"/>
    </row>
    <row r="570" spans="1:10" x14ac:dyDescent="0.2">
      <c r="A570" s="32">
        <v>564</v>
      </c>
      <c r="B570" s="1" t="s">
        <v>454</v>
      </c>
      <c r="C570" s="32">
        <v>9550</v>
      </c>
      <c r="D570" s="1">
        <v>32000</v>
      </c>
      <c r="E570" s="1"/>
      <c r="F570" s="1">
        <v>356.51</v>
      </c>
      <c r="G570" s="1">
        <v>32000</v>
      </c>
      <c r="H570" s="5">
        <f t="shared" si="11"/>
        <v>0</v>
      </c>
      <c r="I570" s="1"/>
      <c r="J570" s="1"/>
    </row>
    <row r="571" spans="1:10" x14ac:dyDescent="0.2">
      <c r="A571" s="32">
        <v>565</v>
      </c>
      <c r="B571" s="1" t="s">
        <v>454</v>
      </c>
      <c r="C571" s="32">
        <v>9384</v>
      </c>
      <c r="D571" s="1">
        <v>31000</v>
      </c>
      <c r="E571" s="1"/>
      <c r="F571" s="1">
        <v>324.25</v>
      </c>
      <c r="G571" s="1">
        <v>31000</v>
      </c>
      <c r="H571" s="5">
        <f t="shared" si="11"/>
        <v>0</v>
      </c>
      <c r="I571" s="1"/>
      <c r="J571" s="1"/>
    </row>
    <row r="572" spans="1:10" x14ac:dyDescent="0.2">
      <c r="A572" s="32">
        <v>566</v>
      </c>
      <c r="B572" s="1" t="s">
        <v>454</v>
      </c>
      <c r="C572" s="32">
        <v>2726</v>
      </c>
      <c r="D572" s="1">
        <v>15000</v>
      </c>
      <c r="E572" s="1"/>
      <c r="F572" s="1">
        <v>167.15</v>
      </c>
      <c r="G572" s="1">
        <v>15000</v>
      </c>
      <c r="H572" s="5">
        <f t="shared" si="11"/>
        <v>0</v>
      </c>
      <c r="I572" s="1"/>
      <c r="J572" s="1"/>
    </row>
    <row r="573" spans="1:10" x14ac:dyDescent="0.2">
      <c r="A573" s="32">
        <v>567</v>
      </c>
      <c r="B573" s="1" t="s">
        <v>454</v>
      </c>
      <c r="C573" s="32">
        <v>7605</v>
      </c>
      <c r="D573" s="1">
        <v>25000</v>
      </c>
      <c r="E573" s="1"/>
      <c r="F573" s="1">
        <v>278.22000000000003</v>
      </c>
      <c r="G573" s="1">
        <v>25000</v>
      </c>
      <c r="H573" s="5">
        <f t="shared" si="11"/>
        <v>0</v>
      </c>
      <c r="I573" s="1"/>
      <c r="J573" s="1"/>
    </row>
    <row r="574" spans="1:10" x14ac:dyDescent="0.2">
      <c r="A574" s="32">
        <v>568</v>
      </c>
      <c r="B574" s="1" t="s">
        <v>454</v>
      </c>
      <c r="C574" s="32">
        <v>2897</v>
      </c>
      <c r="D574" s="1">
        <v>25000</v>
      </c>
      <c r="E574" s="1"/>
      <c r="F574" s="1">
        <v>278.22000000000003</v>
      </c>
      <c r="G574" s="1">
        <v>25000</v>
      </c>
      <c r="H574" s="5">
        <f t="shared" si="11"/>
        <v>0</v>
      </c>
      <c r="I574" s="1"/>
      <c r="J574" s="1"/>
    </row>
    <row r="575" spans="1:10" x14ac:dyDescent="0.2">
      <c r="A575" s="32">
        <v>569</v>
      </c>
      <c r="B575" s="1" t="s">
        <v>454</v>
      </c>
      <c r="C575" s="32">
        <v>5487</v>
      </c>
      <c r="D575" s="1">
        <v>25000</v>
      </c>
      <c r="E575" s="1"/>
      <c r="F575" s="1">
        <v>278.22000000000003</v>
      </c>
      <c r="G575" s="1">
        <v>25000</v>
      </c>
      <c r="H575" s="5">
        <f t="shared" si="11"/>
        <v>0</v>
      </c>
      <c r="I575" s="1"/>
      <c r="J575" s="1"/>
    </row>
    <row r="576" spans="1:10" x14ac:dyDescent="0.2">
      <c r="A576" s="32">
        <v>570</v>
      </c>
      <c r="B576" s="1" t="s">
        <v>455</v>
      </c>
      <c r="C576" s="32">
        <v>6758</v>
      </c>
      <c r="D576" s="1">
        <v>13000</v>
      </c>
      <c r="E576" s="1"/>
      <c r="F576" s="1">
        <v>144.13</v>
      </c>
      <c r="G576" s="1">
        <v>13000</v>
      </c>
      <c r="H576" s="5">
        <f t="shared" si="11"/>
        <v>0</v>
      </c>
      <c r="I576" s="1"/>
      <c r="J576" s="1"/>
    </row>
    <row r="577" spans="1:10" x14ac:dyDescent="0.2">
      <c r="A577" s="32">
        <v>571</v>
      </c>
      <c r="B577" s="1" t="s">
        <v>455</v>
      </c>
      <c r="C577" s="32">
        <v>3398</v>
      </c>
      <c r="D577" s="1">
        <v>13000</v>
      </c>
      <c r="E577" s="1"/>
      <c r="F577" s="1">
        <v>144.13</v>
      </c>
      <c r="G577" s="1">
        <v>13000</v>
      </c>
      <c r="H577" s="5">
        <f t="shared" si="11"/>
        <v>0</v>
      </c>
      <c r="I577" s="1"/>
      <c r="J577" s="1"/>
    </row>
    <row r="578" spans="1:10" x14ac:dyDescent="0.2">
      <c r="A578" s="32">
        <v>572</v>
      </c>
      <c r="B578" s="1" t="s">
        <v>455</v>
      </c>
      <c r="C578" s="32">
        <v>4747</v>
      </c>
      <c r="D578" s="1">
        <v>13000</v>
      </c>
      <c r="E578" s="1"/>
      <c r="F578" s="1">
        <v>144.13</v>
      </c>
      <c r="G578" s="1">
        <v>13000</v>
      </c>
      <c r="H578" s="5">
        <f t="shared" si="11"/>
        <v>0</v>
      </c>
      <c r="I578" s="1"/>
      <c r="J578" s="1"/>
    </row>
    <row r="579" spans="1:10" x14ac:dyDescent="0.2">
      <c r="A579" s="32">
        <v>573</v>
      </c>
      <c r="B579" s="1" t="s">
        <v>455</v>
      </c>
      <c r="C579" s="32">
        <v>1452</v>
      </c>
      <c r="D579" s="1">
        <v>13000</v>
      </c>
      <c r="E579" s="1"/>
      <c r="F579" s="1">
        <v>144.13</v>
      </c>
      <c r="G579" s="1">
        <v>13000</v>
      </c>
      <c r="H579" s="5">
        <f t="shared" si="11"/>
        <v>0</v>
      </c>
      <c r="I579" s="1"/>
      <c r="J579" s="1"/>
    </row>
    <row r="580" spans="1:10" x14ac:dyDescent="0.2">
      <c r="A580" s="32">
        <v>574</v>
      </c>
      <c r="B580" s="1" t="s">
        <v>455</v>
      </c>
      <c r="C580" s="32">
        <v>2497</v>
      </c>
      <c r="D580" s="1">
        <v>13000</v>
      </c>
      <c r="E580" s="1"/>
      <c r="F580" s="1">
        <v>144.13</v>
      </c>
      <c r="G580" s="1">
        <v>13000</v>
      </c>
      <c r="H580" s="5">
        <f t="shared" si="11"/>
        <v>0</v>
      </c>
      <c r="I580" s="1"/>
      <c r="J580" s="1"/>
    </row>
    <row r="581" spans="1:10" x14ac:dyDescent="0.2">
      <c r="A581" s="32">
        <v>575</v>
      </c>
      <c r="B581" s="1" t="s">
        <v>455</v>
      </c>
      <c r="C581" s="32">
        <v>9179</v>
      </c>
      <c r="D581" s="1">
        <v>14000</v>
      </c>
      <c r="E581" s="1"/>
      <c r="F581" s="1">
        <v>155.9</v>
      </c>
      <c r="G581" s="1">
        <v>14000</v>
      </c>
      <c r="H581" s="5">
        <f t="shared" si="11"/>
        <v>0</v>
      </c>
      <c r="I581" s="1"/>
      <c r="J581" s="1"/>
    </row>
    <row r="582" spans="1:10" x14ac:dyDescent="0.2">
      <c r="A582" s="32">
        <v>576</v>
      </c>
      <c r="B582" s="1" t="s">
        <v>455</v>
      </c>
      <c r="C582" s="32">
        <v>1752</v>
      </c>
      <c r="D582" s="1">
        <v>14000</v>
      </c>
      <c r="E582" s="1"/>
      <c r="F582" s="1">
        <v>155.9</v>
      </c>
      <c r="G582" s="1">
        <v>14000</v>
      </c>
      <c r="H582" s="5">
        <f t="shared" si="11"/>
        <v>0</v>
      </c>
      <c r="I582" s="1"/>
      <c r="J582" s="1"/>
    </row>
    <row r="583" spans="1:10" x14ac:dyDescent="0.2">
      <c r="A583" s="32">
        <v>577</v>
      </c>
      <c r="B583" s="1" t="s">
        <v>455</v>
      </c>
      <c r="C583" s="32">
        <v>9977</v>
      </c>
      <c r="D583" s="1">
        <v>14000</v>
      </c>
      <c r="E583" s="1"/>
      <c r="F583" s="1">
        <v>155.9</v>
      </c>
      <c r="G583" s="1">
        <v>14000</v>
      </c>
      <c r="H583" s="5">
        <f t="shared" si="11"/>
        <v>0</v>
      </c>
      <c r="I583" s="1"/>
      <c r="J583" s="1"/>
    </row>
    <row r="584" spans="1:10" x14ac:dyDescent="0.2">
      <c r="A584" s="32">
        <v>578</v>
      </c>
      <c r="B584" s="1" t="s">
        <v>455</v>
      </c>
      <c r="C584" s="32">
        <v>1167</v>
      </c>
      <c r="D584" s="1">
        <v>14000</v>
      </c>
      <c r="E584" s="1"/>
      <c r="F584" s="1">
        <v>155.9</v>
      </c>
      <c r="G584" s="1">
        <v>14000</v>
      </c>
      <c r="H584" s="5">
        <f t="shared" si="11"/>
        <v>0</v>
      </c>
      <c r="I584" s="1"/>
      <c r="J584" s="1"/>
    </row>
    <row r="585" spans="1:10" x14ac:dyDescent="0.2">
      <c r="A585" s="32">
        <v>579</v>
      </c>
      <c r="B585" s="1" t="s">
        <v>455</v>
      </c>
      <c r="C585" s="32">
        <v>1352</v>
      </c>
      <c r="D585" s="1">
        <v>11000</v>
      </c>
      <c r="E585" s="1"/>
      <c r="F585" s="1">
        <v>122.5</v>
      </c>
      <c r="G585" s="1">
        <v>11000</v>
      </c>
      <c r="H585" s="5">
        <f t="shared" si="11"/>
        <v>0</v>
      </c>
      <c r="I585" s="1"/>
      <c r="J585" s="1"/>
    </row>
    <row r="586" spans="1:10" x14ac:dyDescent="0.2">
      <c r="A586" s="32">
        <v>580</v>
      </c>
      <c r="B586" s="1" t="s">
        <v>455</v>
      </c>
      <c r="C586" s="32">
        <v>6048</v>
      </c>
      <c r="D586" s="1">
        <v>12000</v>
      </c>
      <c r="E586" s="1"/>
      <c r="F586" s="1">
        <v>133.6</v>
      </c>
      <c r="G586" s="1">
        <v>12000</v>
      </c>
      <c r="H586" s="5">
        <f t="shared" si="11"/>
        <v>0</v>
      </c>
      <c r="I586" s="1"/>
      <c r="J586" s="1"/>
    </row>
    <row r="587" spans="1:10" x14ac:dyDescent="0.2">
      <c r="A587" s="32">
        <v>581</v>
      </c>
      <c r="B587" s="1" t="s">
        <v>455</v>
      </c>
      <c r="C587" s="32" t="s">
        <v>30</v>
      </c>
      <c r="D587" s="1">
        <v>5000</v>
      </c>
      <c r="E587" s="1"/>
      <c r="F587" s="1">
        <v>55.7</v>
      </c>
      <c r="G587" s="1">
        <v>5000</v>
      </c>
      <c r="H587" s="5">
        <f t="shared" si="11"/>
        <v>0</v>
      </c>
      <c r="I587" s="1"/>
      <c r="J587" s="1"/>
    </row>
    <row r="588" spans="1:10" x14ac:dyDescent="0.2">
      <c r="A588" s="32">
        <v>582</v>
      </c>
      <c r="B588" s="1" t="s">
        <v>455</v>
      </c>
      <c r="C588" s="32">
        <v>6931</v>
      </c>
      <c r="D588" s="1">
        <v>17000</v>
      </c>
      <c r="E588" s="1"/>
      <c r="F588" s="1">
        <v>189.32</v>
      </c>
      <c r="G588" s="1">
        <v>17000</v>
      </c>
      <c r="H588" s="5">
        <f t="shared" si="11"/>
        <v>0</v>
      </c>
      <c r="I588" s="1"/>
      <c r="J588" s="1"/>
    </row>
    <row r="589" spans="1:10" x14ac:dyDescent="0.2">
      <c r="A589" s="32">
        <v>583</v>
      </c>
      <c r="B589" s="1" t="s">
        <v>455</v>
      </c>
      <c r="C589" s="32">
        <v>3529</v>
      </c>
      <c r="D589" s="1">
        <v>17000</v>
      </c>
      <c r="E589" s="1"/>
      <c r="F589" s="1">
        <v>189.32</v>
      </c>
      <c r="G589" s="1">
        <v>17000</v>
      </c>
      <c r="H589" s="5">
        <f t="shared" si="11"/>
        <v>0</v>
      </c>
      <c r="I589" s="1"/>
      <c r="J589" s="1"/>
    </row>
    <row r="590" spans="1:10" x14ac:dyDescent="0.2">
      <c r="A590" s="32">
        <v>584</v>
      </c>
      <c r="B590" s="1" t="s">
        <v>455</v>
      </c>
      <c r="C590" s="32">
        <v>5252</v>
      </c>
      <c r="D590" s="1">
        <v>16000</v>
      </c>
      <c r="E590" s="1"/>
      <c r="F590" s="1">
        <v>178.22</v>
      </c>
      <c r="G590" s="1">
        <v>16000</v>
      </c>
      <c r="H590" s="5">
        <f t="shared" si="11"/>
        <v>0</v>
      </c>
      <c r="I590" s="1"/>
      <c r="J590" s="1"/>
    </row>
    <row r="591" spans="1:10" x14ac:dyDescent="0.2">
      <c r="A591" s="32">
        <v>585</v>
      </c>
      <c r="B591" s="1" t="s">
        <v>455</v>
      </c>
      <c r="C591" s="32">
        <v>2828</v>
      </c>
      <c r="D591" s="1">
        <v>20000</v>
      </c>
      <c r="E591" s="1"/>
      <c r="F591" s="1">
        <v>222.82</v>
      </c>
      <c r="G591" s="1">
        <v>20000</v>
      </c>
      <c r="H591" s="5">
        <f t="shared" si="11"/>
        <v>0</v>
      </c>
      <c r="I591" s="1"/>
      <c r="J591" s="1"/>
    </row>
    <row r="592" spans="1:10" x14ac:dyDescent="0.2">
      <c r="A592" s="32">
        <v>586</v>
      </c>
      <c r="B592" s="1" t="s">
        <v>455</v>
      </c>
      <c r="C592" s="32">
        <v>5657</v>
      </c>
      <c r="D592" s="1">
        <v>20000</v>
      </c>
      <c r="E592" s="1"/>
      <c r="F592" s="1">
        <v>222.82</v>
      </c>
      <c r="G592" s="1">
        <v>20000</v>
      </c>
      <c r="H592" s="5">
        <f t="shared" si="11"/>
        <v>0</v>
      </c>
      <c r="I592" s="1"/>
      <c r="J592" s="1"/>
    </row>
    <row r="593" spans="1:10" x14ac:dyDescent="0.2">
      <c r="A593" s="32">
        <v>587</v>
      </c>
      <c r="B593" s="1" t="s">
        <v>455</v>
      </c>
      <c r="C593" s="32">
        <v>3662</v>
      </c>
      <c r="D593" s="1">
        <v>20000</v>
      </c>
      <c r="E593" s="1"/>
      <c r="F593" s="1">
        <v>222.82</v>
      </c>
      <c r="G593" s="1">
        <v>20000</v>
      </c>
      <c r="H593" s="5">
        <f t="shared" si="11"/>
        <v>0</v>
      </c>
      <c r="I593" s="1"/>
      <c r="J593" s="1"/>
    </row>
    <row r="594" spans="1:10" x14ac:dyDescent="0.2">
      <c r="A594" s="32">
        <v>588</v>
      </c>
      <c r="B594" s="1" t="s">
        <v>455</v>
      </c>
      <c r="C594" s="32" t="s">
        <v>66</v>
      </c>
      <c r="D594" s="1">
        <v>210</v>
      </c>
      <c r="E594" s="1"/>
      <c r="F594" s="1">
        <v>2.08</v>
      </c>
      <c r="G594" s="1">
        <v>210</v>
      </c>
      <c r="H594" s="5">
        <f t="shared" si="11"/>
        <v>0</v>
      </c>
      <c r="I594" s="1"/>
      <c r="J594" s="1"/>
    </row>
    <row r="595" spans="1:10" x14ac:dyDescent="0.2">
      <c r="A595" s="32">
        <v>589</v>
      </c>
      <c r="B595" s="1" t="s">
        <v>455</v>
      </c>
      <c r="C595" s="32">
        <v>2192</v>
      </c>
      <c r="D595" s="1">
        <v>23000</v>
      </c>
      <c r="E595" s="1"/>
      <c r="F595" s="1">
        <v>256.24</v>
      </c>
      <c r="G595" s="1">
        <v>23000</v>
      </c>
      <c r="H595" s="5">
        <f t="shared" si="11"/>
        <v>0</v>
      </c>
      <c r="I595" s="1"/>
      <c r="J595" s="1"/>
    </row>
    <row r="596" spans="1:10" x14ac:dyDescent="0.2">
      <c r="A596" s="32">
        <v>590</v>
      </c>
      <c r="B596" s="1" t="s">
        <v>455</v>
      </c>
      <c r="C596" s="32">
        <v>6251</v>
      </c>
      <c r="D596" s="1">
        <v>23000</v>
      </c>
      <c r="E596" s="1"/>
      <c r="F596" s="1">
        <v>256.24</v>
      </c>
      <c r="G596" s="1">
        <v>23000</v>
      </c>
      <c r="H596" s="5">
        <f t="shared" si="11"/>
        <v>0</v>
      </c>
      <c r="I596" s="1"/>
      <c r="J596" s="1"/>
    </row>
    <row r="597" spans="1:10" x14ac:dyDescent="0.2">
      <c r="A597" s="32">
        <v>591</v>
      </c>
      <c r="B597" s="1" t="s">
        <v>455</v>
      </c>
      <c r="C597" s="32">
        <v>4413</v>
      </c>
      <c r="D597" s="1">
        <v>25000</v>
      </c>
      <c r="E597" s="1"/>
      <c r="F597" s="1">
        <v>278.22000000000003</v>
      </c>
      <c r="G597" s="1">
        <v>25000</v>
      </c>
      <c r="H597" s="5">
        <f t="shared" si="11"/>
        <v>0</v>
      </c>
      <c r="I597" s="1"/>
      <c r="J597" s="1"/>
    </row>
    <row r="598" spans="1:10" x14ac:dyDescent="0.2">
      <c r="A598" s="32">
        <v>592</v>
      </c>
      <c r="B598" s="1" t="s">
        <v>455</v>
      </c>
      <c r="C598" s="32">
        <v>1212</v>
      </c>
      <c r="D598" s="1">
        <v>25000</v>
      </c>
      <c r="E598" s="1"/>
      <c r="F598" s="1">
        <v>278.22000000000003</v>
      </c>
      <c r="G598" s="1">
        <v>25000</v>
      </c>
      <c r="H598" s="5">
        <f t="shared" si="11"/>
        <v>0</v>
      </c>
      <c r="I598" s="1"/>
      <c r="J598" s="1"/>
    </row>
    <row r="599" spans="1:10" x14ac:dyDescent="0.2">
      <c r="A599" s="32">
        <v>593</v>
      </c>
      <c r="B599" s="1" t="s">
        <v>455</v>
      </c>
      <c r="C599" s="32">
        <v>2153</v>
      </c>
      <c r="D599" s="1">
        <v>25000</v>
      </c>
      <c r="E599" s="1"/>
      <c r="F599" s="1">
        <v>278.22000000000003</v>
      </c>
      <c r="G599" s="1">
        <v>25000</v>
      </c>
      <c r="H599" s="5">
        <f t="shared" si="11"/>
        <v>0</v>
      </c>
      <c r="I599" s="1"/>
      <c r="J599" s="1"/>
    </row>
    <row r="600" spans="1:10" x14ac:dyDescent="0.2">
      <c r="A600" s="32">
        <v>594</v>
      </c>
      <c r="B600" s="1" t="s">
        <v>455</v>
      </c>
      <c r="C600" s="32">
        <v>5088</v>
      </c>
      <c r="D600" s="1">
        <v>30000</v>
      </c>
      <c r="E600" s="1"/>
      <c r="F600" s="1">
        <v>320.25</v>
      </c>
      <c r="G600" s="1">
        <v>30000</v>
      </c>
      <c r="H600" s="5">
        <f t="shared" si="11"/>
        <v>0</v>
      </c>
      <c r="I600" s="1"/>
      <c r="J600" s="1"/>
    </row>
    <row r="601" spans="1:10" x14ac:dyDescent="0.2">
      <c r="A601" s="32">
        <v>595</v>
      </c>
      <c r="B601" s="1" t="s">
        <v>455</v>
      </c>
      <c r="C601" s="32">
        <v>9.4000000000000004E-3</v>
      </c>
      <c r="D601" s="1">
        <v>30000</v>
      </c>
      <c r="E601" s="1"/>
      <c r="F601" s="1">
        <v>320.25</v>
      </c>
      <c r="G601" s="1">
        <v>30000</v>
      </c>
      <c r="H601" s="5">
        <f t="shared" si="11"/>
        <v>0</v>
      </c>
      <c r="I601" s="1"/>
      <c r="J601" s="1"/>
    </row>
    <row r="602" spans="1:10" x14ac:dyDescent="0.2">
      <c r="A602" s="32">
        <v>596</v>
      </c>
      <c r="B602" s="1" t="s">
        <v>455</v>
      </c>
      <c r="C602" s="32">
        <v>1235</v>
      </c>
      <c r="D602" s="1">
        <v>34000</v>
      </c>
      <c r="E602" s="1"/>
      <c r="F602" s="1">
        <v>378.25</v>
      </c>
      <c r="G602" s="1">
        <v>34000</v>
      </c>
      <c r="H602" s="5">
        <f t="shared" si="11"/>
        <v>0</v>
      </c>
      <c r="I602" s="1"/>
      <c r="J602" s="1"/>
    </row>
    <row r="603" spans="1:10" x14ac:dyDescent="0.2">
      <c r="A603" s="32">
        <v>597</v>
      </c>
      <c r="B603" s="1" t="s">
        <v>455</v>
      </c>
      <c r="C603" s="32">
        <v>8.6900000000000005E-2</v>
      </c>
      <c r="D603" s="1">
        <v>33000</v>
      </c>
      <c r="E603" s="1"/>
      <c r="F603" s="1">
        <v>356.25</v>
      </c>
      <c r="G603" s="1">
        <v>33000</v>
      </c>
      <c r="H603" s="5">
        <f t="shared" si="11"/>
        <v>0</v>
      </c>
      <c r="I603" s="1"/>
      <c r="J603" s="1"/>
    </row>
    <row r="604" spans="1:10" x14ac:dyDescent="0.2">
      <c r="A604" s="32">
        <v>598</v>
      </c>
      <c r="B604" s="1" t="s">
        <v>456</v>
      </c>
      <c r="C604" s="32">
        <v>5.1999999999999998E-3</v>
      </c>
      <c r="D604" s="1">
        <v>16000</v>
      </c>
      <c r="E604" s="1"/>
      <c r="F604" s="1">
        <v>178.22</v>
      </c>
      <c r="G604" s="1">
        <v>16000</v>
      </c>
      <c r="H604" s="5">
        <f t="shared" si="11"/>
        <v>0</v>
      </c>
      <c r="I604" s="1"/>
      <c r="J604" s="1"/>
    </row>
    <row r="605" spans="1:10" x14ac:dyDescent="0.2">
      <c r="A605" s="32">
        <v>599</v>
      </c>
      <c r="B605" s="1" t="s">
        <v>456</v>
      </c>
      <c r="C605" s="32">
        <v>2681</v>
      </c>
      <c r="D605" s="1">
        <v>16000</v>
      </c>
      <c r="E605" s="1"/>
      <c r="F605" s="1">
        <v>178.22</v>
      </c>
      <c r="G605" s="1">
        <v>16000</v>
      </c>
      <c r="H605" s="5">
        <f t="shared" si="11"/>
        <v>0</v>
      </c>
      <c r="I605" s="1"/>
      <c r="J605" s="1"/>
    </row>
    <row r="606" spans="1:10" x14ac:dyDescent="0.2">
      <c r="A606" s="32">
        <v>600</v>
      </c>
      <c r="B606" s="1" t="s">
        <v>456</v>
      </c>
      <c r="C606" s="32">
        <v>5931</v>
      </c>
      <c r="D606" s="1">
        <v>16000</v>
      </c>
      <c r="E606" s="1"/>
      <c r="F606" s="1">
        <v>178.22</v>
      </c>
      <c r="G606" s="1">
        <v>16000</v>
      </c>
      <c r="H606" s="5">
        <f t="shared" si="11"/>
        <v>0</v>
      </c>
      <c r="I606" s="1"/>
      <c r="J606" s="1"/>
    </row>
    <row r="607" spans="1:10" x14ac:dyDescent="0.2">
      <c r="A607" s="32">
        <v>601</v>
      </c>
      <c r="B607" s="1" t="s">
        <v>456</v>
      </c>
      <c r="C607" s="32">
        <v>1168</v>
      </c>
      <c r="D607" s="1">
        <v>14000</v>
      </c>
      <c r="E607" s="1"/>
      <c r="F607" s="1">
        <v>155.25</v>
      </c>
      <c r="G607" s="1">
        <v>14000</v>
      </c>
      <c r="H607" s="5">
        <f t="shared" si="11"/>
        <v>0</v>
      </c>
      <c r="I607" s="1"/>
      <c r="J607" s="1"/>
    </row>
    <row r="608" spans="1:10" x14ac:dyDescent="0.2">
      <c r="A608" s="32">
        <v>602</v>
      </c>
      <c r="B608" s="1" t="s">
        <v>456</v>
      </c>
      <c r="C608" s="32">
        <v>2152</v>
      </c>
      <c r="D608" s="1">
        <v>15000</v>
      </c>
      <c r="E608" s="1"/>
      <c r="F608" s="1">
        <v>178.22</v>
      </c>
      <c r="G608" s="1">
        <v>15000</v>
      </c>
      <c r="H608" s="5">
        <f t="shared" si="11"/>
        <v>0</v>
      </c>
      <c r="I608" s="1"/>
      <c r="J608" s="1"/>
    </row>
    <row r="609" spans="1:10" x14ac:dyDescent="0.2">
      <c r="A609" s="32">
        <v>603</v>
      </c>
      <c r="B609" s="1" t="s">
        <v>456</v>
      </c>
      <c r="C609" s="32">
        <v>3197</v>
      </c>
      <c r="D609" s="1">
        <v>15000</v>
      </c>
      <c r="E609" s="1"/>
      <c r="F609" s="1">
        <v>167.15</v>
      </c>
      <c r="G609" s="1">
        <v>15000</v>
      </c>
      <c r="H609" s="5">
        <f t="shared" si="11"/>
        <v>0</v>
      </c>
      <c r="I609" s="1"/>
      <c r="J609" s="1"/>
    </row>
    <row r="610" spans="1:10" x14ac:dyDescent="0.2">
      <c r="A610" s="32">
        <v>604</v>
      </c>
      <c r="B610" s="1" t="s">
        <v>456</v>
      </c>
      <c r="C610" s="32">
        <v>5931</v>
      </c>
      <c r="D610" s="1">
        <v>17000</v>
      </c>
      <c r="E610" s="1"/>
      <c r="F610" s="1">
        <v>189.24</v>
      </c>
      <c r="G610" s="1">
        <v>17000</v>
      </c>
      <c r="H610" s="5">
        <f t="shared" si="11"/>
        <v>0</v>
      </c>
      <c r="I610" s="1"/>
      <c r="J610" s="1"/>
    </row>
    <row r="611" spans="1:10" x14ac:dyDescent="0.2">
      <c r="A611" s="32">
        <v>605</v>
      </c>
      <c r="B611" s="1" t="s">
        <v>456</v>
      </c>
      <c r="C611" s="32">
        <v>5403</v>
      </c>
      <c r="D611" s="1">
        <v>12000</v>
      </c>
      <c r="E611" s="1"/>
      <c r="F611" s="1">
        <v>133.25</v>
      </c>
      <c r="G611" s="1">
        <v>12000</v>
      </c>
      <c r="H611" s="5">
        <f t="shared" si="11"/>
        <v>0</v>
      </c>
      <c r="I611" s="1"/>
      <c r="J611" s="1"/>
    </row>
    <row r="612" spans="1:10" x14ac:dyDescent="0.2">
      <c r="A612" s="32">
        <v>606</v>
      </c>
      <c r="B612" s="1" t="s">
        <v>456</v>
      </c>
      <c r="C612" s="32">
        <v>5681</v>
      </c>
      <c r="D612" s="1">
        <v>14000</v>
      </c>
      <c r="E612" s="1"/>
      <c r="F612" s="1">
        <v>155.25</v>
      </c>
      <c r="G612" s="1">
        <v>14000</v>
      </c>
      <c r="H612" s="5">
        <f t="shared" si="11"/>
        <v>0</v>
      </c>
      <c r="I612" s="1"/>
      <c r="J612" s="1"/>
    </row>
    <row r="613" spans="1:10" x14ac:dyDescent="0.2">
      <c r="A613" s="32">
        <v>607</v>
      </c>
      <c r="B613" s="1" t="s">
        <v>456</v>
      </c>
      <c r="C613" s="32">
        <v>5397</v>
      </c>
      <c r="D613" s="1">
        <v>15000</v>
      </c>
      <c r="E613" s="1"/>
      <c r="F613" s="1">
        <v>167.15</v>
      </c>
      <c r="G613" s="1">
        <v>15000</v>
      </c>
      <c r="H613" s="5">
        <f t="shared" si="11"/>
        <v>0</v>
      </c>
      <c r="I613" s="1"/>
      <c r="J613" s="1"/>
    </row>
    <row r="614" spans="1:10" x14ac:dyDescent="0.2">
      <c r="A614" s="32">
        <v>608</v>
      </c>
      <c r="B614" s="1" t="s">
        <v>456</v>
      </c>
      <c r="C614" s="32">
        <v>2420</v>
      </c>
      <c r="D614" s="1">
        <v>22000</v>
      </c>
      <c r="E614" s="1"/>
      <c r="F614" s="1">
        <v>245.25</v>
      </c>
      <c r="G614" s="1">
        <v>22000</v>
      </c>
      <c r="H614" s="5">
        <f t="shared" si="11"/>
        <v>0</v>
      </c>
      <c r="I614" s="1"/>
      <c r="J614" s="1"/>
    </row>
    <row r="615" spans="1:10" x14ac:dyDescent="0.2">
      <c r="A615" s="32">
        <v>609</v>
      </c>
      <c r="B615" s="1" t="s">
        <v>456</v>
      </c>
      <c r="C615" s="32">
        <v>6538</v>
      </c>
      <c r="D615" s="1">
        <v>10000</v>
      </c>
      <c r="E615" s="1"/>
      <c r="F615" s="1">
        <v>111.25</v>
      </c>
      <c r="G615" s="1">
        <v>10000</v>
      </c>
      <c r="H615" s="5">
        <f t="shared" ref="H615:H678" si="12">D615-G615</f>
        <v>0</v>
      </c>
      <c r="I615" s="1"/>
      <c r="J615" s="1"/>
    </row>
    <row r="616" spans="1:10" x14ac:dyDescent="0.2">
      <c r="A616" s="32">
        <v>610</v>
      </c>
      <c r="B616" s="1" t="s">
        <v>456</v>
      </c>
      <c r="C616" s="32" t="s">
        <v>30</v>
      </c>
      <c r="D616" s="1">
        <v>5000</v>
      </c>
      <c r="E616" s="1"/>
      <c r="F616" s="1">
        <v>55.15</v>
      </c>
      <c r="G616" s="1">
        <v>5000</v>
      </c>
      <c r="H616" s="5">
        <f t="shared" si="12"/>
        <v>0</v>
      </c>
      <c r="I616" s="1"/>
      <c r="J616" s="1"/>
    </row>
    <row r="617" spans="1:10" x14ac:dyDescent="0.2">
      <c r="A617" s="32">
        <v>611</v>
      </c>
      <c r="B617" s="1" t="s">
        <v>456</v>
      </c>
      <c r="C617" s="32" t="s">
        <v>30</v>
      </c>
      <c r="D617" s="1">
        <v>3000</v>
      </c>
      <c r="E617" s="1"/>
      <c r="F617" s="1">
        <v>33.25</v>
      </c>
      <c r="G617" s="1">
        <v>3000</v>
      </c>
      <c r="H617" s="5">
        <f t="shared" si="12"/>
        <v>0</v>
      </c>
      <c r="I617" s="1"/>
      <c r="J617" s="1"/>
    </row>
    <row r="618" spans="1:10" x14ac:dyDescent="0.2">
      <c r="A618" s="32">
        <v>612</v>
      </c>
      <c r="B618" s="1" t="s">
        <v>456</v>
      </c>
      <c r="C618" s="32" t="s">
        <v>63</v>
      </c>
      <c r="D618" s="1">
        <v>2500</v>
      </c>
      <c r="E618" s="1"/>
      <c r="F618" s="1">
        <v>27.25</v>
      </c>
      <c r="G618" s="1">
        <v>2500</v>
      </c>
      <c r="H618" s="5">
        <f t="shared" si="12"/>
        <v>0</v>
      </c>
      <c r="I618" s="1"/>
      <c r="J618" s="1"/>
    </row>
    <row r="619" spans="1:10" x14ac:dyDescent="0.2">
      <c r="A619" s="32">
        <v>613</v>
      </c>
      <c r="B619" s="1" t="s">
        <v>456</v>
      </c>
      <c r="C619" s="32">
        <v>2459</v>
      </c>
      <c r="D619" s="1">
        <v>3000</v>
      </c>
      <c r="E619" s="1"/>
      <c r="F619" s="1">
        <v>33.25</v>
      </c>
      <c r="G619" s="1">
        <v>3000</v>
      </c>
      <c r="H619" s="5">
        <f t="shared" si="12"/>
        <v>0</v>
      </c>
      <c r="I619" s="1"/>
      <c r="J619" s="1"/>
    </row>
    <row r="620" spans="1:10" x14ac:dyDescent="0.2">
      <c r="A620" s="32">
        <v>614</v>
      </c>
      <c r="B620" s="1" t="s">
        <v>456</v>
      </c>
      <c r="C620" s="32">
        <v>2765</v>
      </c>
      <c r="D620" s="1">
        <v>15000</v>
      </c>
      <c r="E620" s="1"/>
      <c r="F620" s="1">
        <v>167.15</v>
      </c>
      <c r="G620" s="1">
        <v>15000</v>
      </c>
      <c r="H620" s="5">
        <f t="shared" si="12"/>
        <v>0</v>
      </c>
      <c r="I620" s="1"/>
      <c r="J620" s="1"/>
    </row>
    <row r="621" spans="1:10" x14ac:dyDescent="0.2">
      <c r="A621" s="32">
        <v>615</v>
      </c>
      <c r="B621" s="1" t="s">
        <v>456</v>
      </c>
      <c r="C621" s="32" t="s">
        <v>30</v>
      </c>
      <c r="D621" s="1">
        <v>4500</v>
      </c>
      <c r="E621" s="1"/>
      <c r="F621" s="1">
        <v>50.13</v>
      </c>
      <c r="G621" s="1">
        <v>4500</v>
      </c>
      <c r="H621" s="5">
        <f t="shared" si="12"/>
        <v>0</v>
      </c>
      <c r="I621" s="1"/>
      <c r="J621" s="1"/>
    </row>
    <row r="622" spans="1:10" x14ac:dyDescent="0.2">
      <c r="A622" s="32">
        <v>616</v>
      </c>
      <c r="B622" s="1" t="s">
        <v>456</v>
      </c>
      <c r="C622" s="32">
        <v>5553</v>
      </c>
      <c r="D622" s="1">
        <v>27143</v>
      </c>
      <c r="E622" s="1"/>
      <c r="F622" s="1">
        <v>302.37</v>
      </c>
      <c r="G622" s="1">
        <v>27143</v>
      </c>
      <c r="H622" s="5">
        <f t="shared" si="12"/>
        <v>0</v>
      </c>
      <c r="I622" s="1"/>
      <c r="J622" s="1"/>
    </row>
    <row r="623" spans="1:10" x14ac:dyDescent="0.2">
      <c r="A623" s="32">
        <v>617</v>
      </c>
      <c r="B623" s="1" t="s">
        <v>456</v>
      </c>
      <c r="C623" s="32">
        <v>4384</v>
      </c>
      <c r="D623" s="1">
        <v>25000</v>
      </c>
      <c r="E623" s="1"/>
      <c r="F623" s="1">
        <v>278.22000000000003</v>
      </c>
      <c r="G623" s="1">
        <v>25000</v>
      </c>
      <c r="H623" s="5">
        <f t="shared" si="12"/>
        <v>0</v>
      </c>
      <c r="I623" s="1"/>
      <c r="J623" s="1"/>
    </row>
    <row r="624" spans="1:10" x14ac:dyDescent="0.2">
      <c r="A624" s="32">
        <v>618</v>
      </c>
      <c r="B624" s="1" t="s">
        <v>456</v>
      </c>
      <c r="C624" s="32">
        <v>1069</v>
      </c>
      <c r="D624" s="1">
        <v>14000</v>
      </c>
      <c r="E624" s="1"/>
      <c r="F624" s="1">
        <v>155.25</v>
      </c>
      <c r="G624" s="1">
        <v>14000</v>
      </c>
      <c r="H624" s="5">
        <f t="shared" si="12"/>
        <v>0</v>
      </c>
      <c r="I624" s="1"/>
      <c r="J624" s="1"/>
    </row>
    <row r="625" spans="1:10" x14ac:dyDescent="0.2">
      <c r="A625" s="32">
        <v>619</v>
      </c>
      <c r="B625" s="1" t="s">
        <v>456</v>
      </c>
      <c r="C625" s="32">
        <v>7472</v>
      </c>
      <c r="D625" s="1">
        <v>30000</v>
      </c>
      <c r="E625" s="1"/>
      <c r="F625" s="1">
        <v>324.35000000000002</v>
      </c>
      <c r="G625" s="1">
        <v>30000</v>
      </c>
      <c r="H625" s="5">
        <f t="shared" si="12"/>
        <v>0</v>
      </c>
      <c r="I625" s="1"/>
      <c r="J625" s="1"/>
    </row>
    <row r="626" spans="1:10" x14ac:dyDescent="0.2">
      <c r="A626" s="32">
        <v>620</v>
      </c>
      <c r="B626" s="1" t="s">
        <v>456</v>
      </c>
      <c r="C626" s="32">
        <v>8359</v>
      </c>
      <c r="D626" s="1">
        <v>30000</v>
      </c>
      <c r="E626" s="1"/>
      <c r="F626" s="1">
        <v>324.35000000000002</v>
      </c>
      <c r="G626" s="1">
        <v>30000</v>
      </c>
      <c r="H626" s="5">
        <f t="shared" si="12"/>
        <v>0</v>
      </c>
      <c r="I626" s="1"/>
      <c r="J626" s="1"/>
    </row>
    <row r="627" spans="1:10" x14ac:dyDescent="0.2">
      <c r="A627" s="32">
        <v>621</v>
      </c>
      <c r="B627" s="1" t="s">
        <v>456</v>
      </c>
      <c r="C627" s="32">
        <v>2481</v>
      </c>
      <c r="D627" s="1">
        <v>20000</v>
      </c>
      <c r="E627" s="1"/>
      <c r="F627" s="1">
        <v>222.82</v>
      </c>
      <c r="G627" s="1">
        <v>20000</v>
      </c>
      <c r="H627" s="5">
        <f t="shared" si="12"/>
        <v>0</v>
      </c>
      <c r="I627" s="1"/>
      <c r="J627" s="1"/>
    </row>
    <row r="628" spans="1:10" x14ac:dyDescent="0.2">
      <c r="A628" s="32">
        <v>622</v>
      </c>
      <c r="B628" s="1" t="s">
        <v>456</v>
      </c>
      <c r="C628" s="32" t="s">
        <v>66</v>
      </c>
      <c r="D628" s="1">
        <v>200</v>
      </c>
      <c r="E628" s="1"/>
      <c r="F628" s="1">
        <v>2.15</v>
      </c>
      <c r="G628" s="1">
        <v>200</v>
      </c>
      <c r="H628" s="5">
        <f t="shared" si="12"/>
        <v>0</v>
      </c>
      <c r="I628" s="1"/>
      <c r="J628" s="1"/>
    </row>
    <row r="629" spans="1:10" x14ac:dyDescent="0.2">
      <c r="A629" s="32">
        <v>623</v>
      </c>
      <c r="B629" s="1" t="s">
        <v>456</v>
      </c>
      <c r="C629" s="32">
        <v>6344</v>
      </c>
      <c r="D629" s="1">
        <v>25000</v>
      </c>
      <c r="E629" s="1"/>
      <c r="F629" s="1">
        <v>278.22000000000003</v>
      </c>
      <c r="G629" s="1">
        <v>25000</v>
      </c>
      <c r="H629" s="5">
        <f t="shared" si="12"/>
        <v>0</v>
      </c>
      <c r="I629" s="1"/>
      <c r="J629" s="1"/>
    </row>
    <row r="630" spans="1:10" x14ac:dyDescent="0.2">
      <c r="A630" s="32">
        <v>624</v>
      </c>
      <c r="B630" s="1" t="s">
        <v>456</v>
      </c>
      <c r="C630" s="32">
        <v>1820</v>
      </c>
      <c r="D630" s="1">
        <v>35000</v>
      </c>
      <c r="E630" s="1"/>
      <c r="F630" s="1">
        <v>389.25</v>
      </c>
      <c r="G630" s="1">
        <v>35000</v>
      </c>
      <c r="H630" s="5">
        <f t="shared" si="12"/>
        <v>0</v>
      </c>
      <c r="I630" s="1"/>
      <c r="J630" s="1"/>
    </row>
    <row r="631" spans="1:10" x14ac:dyDescent="0.2">
      <c r="A631" s="32">
        <v>625</v>
      </c>
      <c r="B631" s="1" t="s">
        <v>456</v>
      </c>
      <c r="C631" s="32">
        <v>7686</v>
      </c>
      <c r="D631" s="1">
        <v>14000</v>
      </c>
      <c r="E631" s="1"/>
      <c r="F631" s="1">
        <v>155.97</v>
      </c>
      <c r="G631" s="1">
        <v>14000</v>
      </c>
      <c r="H631" s="5">
        <f t="shared" si="12"/>
        <v>0</v>
      </c>
      <c r="I631" s="1"/>
      <c r="J631" s="1"/>
    </row>
    <row r="632" spans="1:10" x14ac:dyDescent="0.2">
      <c r="A632" s="32">
        <v>626</v>
      </c>
      <c r="B632" s="1" t="s">
        <v>456</v>
      </c>
      <c r="C632" s="32">
        <v>4.4699999999999997E-2</v>
      </c>
      <c r="D632" s="1">
        <v>23000</v>
      </c>
      <c r="E632" s="1"/>
      <c r="F632" s="1">
        <v>256.85000000000002</v>
      </c>
      <c r="G632" s="1">
        <v>23000</v>
      </c>
      <c r="H632" s="5">
        <f t="shared" si="12"/>
        <v>0</v>
      </c>
      <c r="I632" s="1"/>
      <c r="J632" s="1"/>
    </row>
    <row r="633" spans="1:10" x14ac:dyDescent="0.2">
      <c r="A633" s="32">
        <v>627</v>
      </c>
      <c r="B633" s="1" t="s">
        <v>456</v>
      </c>
      <c r="C633" s="32">
        <v>2995</v>
      </c>
      <c r="D633" s="1">
        <v>12000</v>
      </c>
      <c r="E633" s="1"/>
      <c r="F633" s="1">
        <v>133.65</v>
      </c>
      <c r="G633" s="1">
        <v>12000</v>
      </c>
      <c r="H633" s="5">
        <f t="shared" si="12"/>
        <v>0</v>
      </c>
      <c r="I633" s="1"/>
      <c r="J633" s="1"/>
    </row>
    <row r="634" spans="1:10" x14ac:dyDescent="0.2">
      <c r="A634" s="32">
        <v>628</v>
      </c>
      <c r="B634" s="1" t="s">
        <v>458</v>
      </c>
      <c r="C634" s="32" t="s">
        <v>66</v>
      </c>
      <c r="D634" s="1">
        <v>200</v>
      </c>
      <c r="E634" s="1"/>
      <c r="F634" s="1">
        <v>2.0499999999999998</v>
      </c>
      <c r="G634" s="1">
        <v>200</v>
      </c>
      <c r="H634" s="5">
        <f t="shared" si="12"/>
        <v>0</v>
      </c>
      <c r="I634" s="1"/>
      <c r="J634" s="1"/>
    </row>
    <row r="635" spans="1:10" x14ac:dyDescent="0.2">
      <c r="A635" s="32">
        <v>629</v>
      </c>
      <c r="B635" s="1" t="s">
        <v>458</v>
      </c>
      <c r="C635" s="32">
        <v>5151</v>
      </c>
      <c r="D635" s="1">
        <v>16000</v>
      </c>
      <c r="E635" s="1"/>
      <c r="F635" s="1">
        <v>178.22</v>
      </c>
      <c r="G635" s="1">
        <v>16000</v>
      </c>
      <c r="H635" s="5">
        <f t="shared" si="12"/>
        <v>0</v>
      </c>
      <c r="I635" s="1"/>
      <c r="J635" s="1"/>
    </row>
    <row r="636" spans="1:10" x14ac:dyDescent="0.2">
      <c r="A636" s="32">
        <v>630</v>
      </c>
      <c r="B636" s="1" t="s">
        <v>458</v>
      </c>
      <c r="C636" s="32">
        <v>5.1000000000000004E-3</v>
      </c>
      <c r="D636" s="1">
        <v>16000</v>
      </c>
      <c r="E636" s="1"/>
      <c r="F636" s="1">
        <v>178.22</v>
      </c>
      <c r="G636" s="1">
        <v>16000</v>
      </c>
      <c r="H636" s="5">
        <f t="shared" si="12"/>
        <v>0</v>
      </c>
      <c r="I636" s="1"/>
      <c r="J636" s="1"/>
    </row>
    <row r="637" spans="1:10" x14ac:dyDescent="0.2">
      <c r="A637" s="32">
        <v>631</v>
      </c>
      <c r="B637" s="1" t="s">
        <v>458</v>
      </c>
      <c r="C637" s="32">
        <v>1046</v>
      </c>
      <c r="D637" s="1">
        <v>14000</v>
      </c>
      <c r="E637" s="1"/>
      <c r="F637" s="1">
        <v>155.28</v>
      </c>
      <c r="G637" s="1">
        <v>14000</v>
      </c>
      <c r="H637" s="5">
        <f t="shared" si="12"/>
        <v>0</v>
      </c>
      <c r="I637" s="1"/>
      <c r="J637" s="1"/>
    </row>
    <row r="638" spans="1:10" x14ac:dyDescent="0.2">
      <c r="A638" s="32">
        <v>632</v>
      </c>
      <c r="B638" s="1" t="s">
        <v>458</v>
      </c>
      <c r="C638" s="32">
        <v>2497</v>
      </c>
      <c r="D638" s="1">
        <v>13000</v>
      </c>
      <c r="E638" s="1"/>
      <c r="F638" s="1">
        <v>144.13</v>
      </c>
      <c r="G638" s="1">
        <v>13000</v>
      </c>
      <c r="H638" s="5">
        <f t="shared" si="12"/>
        <v>0</v>
      </c>
      <c r="I638" s="1"/>
      <c r="J638" s="1"/>
    </row>
    <row r="639" spans="1:10" x14ac:dyDescent="0.2">
      <c r="A639" s="32">
        <v>633</v>
      </c>
      <c r="B639" s="1" t="s">
        <v>458</v>
      </c>
      <c r="C639" s="32">
        <v>3662</v>
      </c>
      <c r="D639" s="1">
        <v>18000</v>
      </c>
      <c r="E639" s="1"/>
      <c r="F639" s="1">
        <v>200.25</v>
      </c>
      <c r="G639" s="1">
        <v>18000</v>
      </c>
      <c r="H639" s="5">
        <f t="shared" si="12"/>
        <v>0</v>
      </c>
      <c r="I639" s="1"/>
      <c r="J639" s="1"/>
    </row>
    <row r="640" spans="1:10" x14ac:dyDescent="0.2">
      <c r="A640" s="32">
        <v>634</v>
      </c>
      <c r="B640" s="1" t="s">
        <v>458</v>
      </c>
      <c r="C640" s="32">
        <v>5359</v>
      </c>
      <c r="D640" s="1">
        <v>22000</v>
      </c>
      <c r="E640" s="1"/>
      <c r="F640" s="1">
        <v>250.25</v>
      </c>
      <c r="G640" s="1">
        <v>22000</v>
      </c>
      <c r="H640" s="5">
        <f t="shared" si="12"/>
        <v>0</v>
      </c>
      <c r="I640" s="1"/>
      <c r="J640" s="1"/>
    </row>
    <row r="641" spans="1:10" x14ac:dyDescent="0.2">
      <c r="A641" s="32">
        <v>635</v>
      </c>
      <c r="B641" s="1" t="s">
        <v>458</v>
      </c>
      <c r="C641" s="32">
        <v>7176</v>
      </c>
      <c r="D641" s="1">
        <v>15000</v>
      </c>
      <c r="E641" s="1"/>
      <c r="F641" s="1">
        <v>167.11</v>
      </c>
      <c r="G641" s="1">
        <v>15000</v>
      </c>
      <c r="H641" s="5">
        <f t="shared" si="12"/>
        <v>0</v>
      </c>
      <c r="I641" s="1"/>
      <c r="J641" s="1"/>
    </row>
    <row r="642" spans="1:10" x14ac:dyDescent="0.2">
      <c r="A642" s="32">
        <v>636</v>
      </c>
      <c r="B642" s="1" t="s">
        <v>458</v>
      </c>
      <c r="C642" s="32">
        <v>1229</v>
      </c>
      <c r="D642" s="1">
        <v>19000</v>
      </c>
      <c r="E642" s="1"/>
      <c r="F642" s="1">
        <v>211.25</v>
      </c>
      <c r="G642" s="1">
        <v>19000</v>
      </c>
      <c r="H642" s="5">
        <f t="shared" si="12"/>
        <v>0</v>
      </c>
      <c r="I642" s="1"/>
      <c r="J642" s="1"/>
    </row>
    <row r="643" spans="1:10" x14ac:dyDescent="0.2">
      <c r="A643" s="32">
        <v>637</v>
      </c>
      <c r="B643" s="1" t="s">
        <v>458</v>
      </c>
      <c r="C643" s="32">
        <v>6496</v>
      </c>
      <c r="D643" s="1">
        <v>11000</v>
      </c>
      <c r="E643" s="1"/>
      <c r="F643" s="1">
        <v>122.25</v>
      </c>
      <c r="G643" s="1">
        <v>11000</v>
      </c>
      <c r="H643" s="5">
        <f t="shared" si="12"/>
        <v>0</v>
      </c>
      <c r="I643" s="1"/>
      <c r="J643" s="1"/>
    </row>
    <row r="644" spans="1:10" x14ac:dyDescent="0.2">
      <c r="A644" s="32">
        <v>638</v>
      </c>
      <c r="B644" s="1" t="s">
        <v>458</v>
      </c>
      <c r="C644" s="32">
        <v>1166</v>
      </c>
      <c r="D644" s="1">
        <v>14000</v>
      </c>
      <c r="E644" s="1"/>
      <c r="F644" s="1">
        <v>155.25</v>
      </c>
      <c r="G644" s="1">
        <v>14000</v>
      </c>
      <c r="H644" s="5">
        <f t="shared" si="12"/>
        <v>0</v>
      </c>
      <c r="I644" s="1"/>
      <c r="J644" s="1"/>
    </row>
    <row r="645" spans="1:10" x14ac:dyDescent="0.2">
      <c r="A645" s="32">
        <v>639</v>
      </c>
      <c r="B645" s="1" t="s">
        <v>458</v>
      </c>
      <c r="C645" s="32">
        <v>6214</v>
      </c>
      <c r="D645" s="1">
        <v>15000</v>
      </c>
      <c r="E645" s="1"/>
      <c r="F645" s="1">
        <v>167.15</v>
      </c>
      <c r="G645" s="1">
        <v>15000</v>
      </c>
      <c r="H645" s="5">
        <f t="shared" si="12"/>
        <v>0</v>
      </c>
      <c r="I645" s="1"/>
      <c r="J645" s="1"/>
    </row>
    <row r="646" spans="1:10" x14ac:dyDescent="0.2">
      <c r="A646" s="32">
        <v>640</v>
      </c>
      <c r="B646" s="1" t="s">
        <v>458</v>
      </c>
      <c r="C646" s="32">
        <v>1167</v>
      </c>
      <c r="D646" s="1">
        <v>14000</v>
      </c>
      <c r="E646" s="1"/>
      <c r="F646" s="1">
        <v>155.25</v>
      </c>
      <c r="G646" s="1">
        <v>14000</v>
      </c>
      <c r="H646" s="5">
        <f t="shared" si="12"/>
        <v>0</v>
      </c>
      <c r="I646" s="1"/>
      <c r="J646" s="1"/>
    </row>
    <row r="647" spans="1:10" x14ac:dyDescent="0.2">
      <c r="A647" s="32">
        <v>641</v>
      </c>
      <c r="B647" s="1" t="s">
        <v>458</v>
      </c>
      <c r="C647" s="32" t="s">
        <v>63</v>
      </c>
      <c r="D647" s="1">
        <v>3500</v>
      </c>
      <c r="E647" s="1"/>
      <c r="F647" s="1">
        <v>38.15</v>
      </c>
      <c r="G647" s="1">
        <v>3500</v>
      </c>
      <c r="H647" s="5">
        <f t="shared" si="12"/>
        <v>0</v>
      </c>
      <c r="I647" s="1"/>
      <c r="J647" s="1"/>
    </row>
    <row r="648" spans="1:10" x14ac:dyDescent="0.2">
      <c r="A648" s="32">
        <v>642</v>
      </c>
      <c r="B648" s="1" t="s">
        <v>458</v>
      </c>
      <c r="C648" s="32">
        <v>5235</v>
      </c>
      <c r="D648" s="1">
        <v>25000</v>
      </c>
      <c r="E648" s="1"/>
      <c r="F648" s="1">
        <v>260.77999999999997</v>
      </c>
      <c r="G648" s="1">
        <v>25000</v>
      </c>
      <c r="H648" s="5">
        <f t="shared" si="12"/>
        <v>0</v>
      </c>
      <c r="I648" s="1"/>
      <c r="J648" s="1"/>
    </row>
    <row r="649" spans="1:10" x14ac:dyDescent="0.2">
      <c r="A649" s="32">
        <v>643</v>
      </c>
      <c r="B649" s="1" t="s">
        <v>458</v>
      </c>
      <c r="C649" s="32">
        <v>5906</v>
      </c>
      <c r="D649" s="1">
        <v>25000</v>
      </c>
      <c r="E649" s="1"/>
      <c r="F649" s="1">
        <v>267.14999999999998</v>
      </c>
      <c r="G649" s="1">
        <v>25000</v>
      </c>
      <c r="H649" s="5">
        <f t="shared" si="12"/>
        <v>0</v>
      </c>
      <c r="I649" s="1"/>
      <c r="J649" s="1"/>
    </row>
    <row r="650" spans="1:10" x14ac:dyDescent="0.2">
      <c r="A650" s="32">
        <v>644</v>
      </c>
      <c r="B650" s="1" t="s">
        <v>458</v>
      </c>
      <c r="C650" s="32">
        <v>4124</v>
      </c>
      <c r="D650" s="1">
        <v>28000</v>
      </c>
      <c r="E650" s="1"/>
      <c r="F650" s="1">
        <v>311.25</v>
      </c>
      <c r="G650" s="1">
        <v>28000</v>
      </c>
      <c r="H650" s="5">
        <f t="shared" si="12"/>
        <v>0</v>
      </c>
      <c r="I650" s="1"/>
      <c r="J650" s="1"/>
    </row>
    <row r="651" spans="1:10" x14ac:dyDescent="0.2">
      <c r="A651" s="32">
        <v>645</v>
      </c>
      <c r="B651" s="1" t="s">
        <v>458</v>
      </c>
      <c r="C651" s="32">
        <v>6179</v>
      </c>
      <c r="D651" s="1">
        <v>23899</v>
      </c>
      <c r="E651" s="1"/>
      <c r="F651" s="1">
        <v>266.26</v>
      </c>
      <c r="G651" s="1">
        <v>23899</v>
      </c>
      <c r="H651" s="5">
        <f t="shared" si="12"/>
        <v>0</v>
      </c>
      <c r="I651" s="1"/>
      <c r="J651" s="1"/>
    </row>
    <row r="652" spans="1:10" x14ac:dyDescent="0.2">
      <c r="A652" s="32">
        <v>646</v>
      </c>
      <c r="B652" s="1" t="s">
        <v>458</v>
      </c>
      <c r="C652" s="32">
        <v>2587</v>
      </c>
      <c r="D652" s="1">
        <v>22000</v>
      </c>
      <c r="E652" s="1"/>
      <c r="F652" s="1">
        <v>236.25</v>
      </c>
      <c r="G652" s="1">
        <v>22000</v>
      </c>
      <c r="H652" s="5">
        <f t="shared" si="12"/>
        <v>0</v>
      </c>
      <c r="I652" s="1"/>
      <c r="J652" s="1"/>
    </row>
    <row r="653" spans="1:10" x14ac:dyDescent="0.2">
      <c r="A653" s="32">
        <v>647</v>
      </c>
      <c r="B653" s="1" t="s">
        <v>458</v>
      </c>
      <c r="C653" s="32">
        <v>4367</v>
      </c>
      <c r="D653" s="1">
        <v>15000</v>
      </c>
      <c r="E653" s="1"/>
      <c r="F653" s="1">
        <v>167.15</v>
      </c>
      <c r="G653" s="1">
        <v>15000</v>
      </c>
      <c r="H653" s="5">
        <f t="shared" si="12"/>
        <v>0</v>
      </c>
      <c r="I653" s="1"/>
      <c r="J653" s="1"/>
    </row>
    <row r="654" spans="1:10" x14ac:dyDescent="0.2">
      <c r="A654" s="32">
        <v>648</v>
      </c>
      <c r="B654" s="1" t="s">
        <v>458</v>
      </c>
      <c r="C654" s="32">
        <v>6371</v>
      </c>
      <c r="D654" s="1">
        <v>20000</v>
      </c>
      <c r="E654" s="1"/>
      <c r="F654" s="1">
        <v>222.81</v>
      </c>
      <c r="G654" s="1">
        <v>20000</v>
      </c>
      <c r="H654" s="5">
        <f t="shared" si="12"/>
        <v>0</v>
      </c>
      <c r="I654" s="1"/>
      <c r="J654" s="1"/>
    </row>
    <row r="655" spans="1:10" x14ac:dyDescent="0.2">
      <c r="A655" s="32">
        <v>649</v>
      </c>
      <c r="B655" s="1" t="s">
        <v>458</v>
      </c>
      <c r="C655" s="32">
        <v>1453</v>
      </c>
      <c r="D655" s="1">
        <v>20000</v>
      </c>
      <c r="E655" s="1"/>
      <c r="F655" s="1">
        <v>222.81</v>
      </c>
      <c r="G655" s="1">
        <v>20000</v>
      </c>
      <c r="H655" s="5">
        <f t="shared" si="12"/>
        <v>0</v>
      </c>
      <c r="I655" s="1"/>
      <c r="J655" s="1"/>
    </row>
    <row r="656" spans="1:10" x14ac:dyDescent="0.2">
      <c r="A656" s="32">
        <v>650</v>
      </c>
      <c r="B656" s="1" t="s">
        <v>458</v>
      </c>
      <c r="C656" s="32">
        <v>3295</v>
      </c>
      <c r="D656" s="1">
        <v>20000</v>
      </c>
      <c r="E656" s="1"/>
      <c r="F656" s="1">
        <v>222.81</v>
      </c>
      <c r="G656" s="1">
        <v>20000</v>
      </c>
      <c r="H656" s="5">
        <f t="shared" si="12"/>
        <v>0</v>
      </c>
      <c r="I656" s="1"/>
      <c r="J656" s="1"/>
    </row>
    <row r="657" spans="1:10" x14ac:dyDescent="0.2">
      <c r="A657" s="32">
        <v>651</v>
      </c>
      <c r="B657" s="1" t="s">
        <v>458</v>
      </c>
      <c r="C657" s="32">
        <v>8996</v>
      </c>
      <c r="D657" s="1">
        <v>30000</v>
      </c>
      <c r="E657" s="1"/>
      <c r="F657" s="1">
        <v>334.22</v>
      </c>
      <c r="G657" s="1">
        <v>30000</v>
      </c>
      <c r="H657" s="5">
        <f t="shared" si="12"/>
        <v>0</v>
      </c>
      <c r="I657" s="1"/>
      <c r="J657" s="1"/>
    </row>
    <row r="658" spans="1:10" x14ac:dyDescent="0.2">
      <c r="A658" s="32">
        <v>652</v>
      </c>
      <c r="B658" s="1" t="s">
        <v>458</v>
      </c>
      <c r="C658" s="32">
        <v>5995</v>
      </c>
      <c r="D658" s="1">
        <v>20000</v>
      </c>
      <c r="E658" s="1"/>
      <c r="F658" s="1">
        <v>222.81</v>
      </c>
      <c r="G658" s="1">
        <v>20000</v>
      </c>
      <c r="H658" s="5">
        <f t="shared" si="12"/>
        <v>0</v>
      </c>
      <c r="I658" s="1"/>
      <c r="J658" s="1"/>
    </row>
    <row r="659" spans="1:10" x14ac:dyDescent="0.2">
      <c r="A659" s="32">
        <v>653</v>
      </c>
      <c r="B659" s="1" t="s">
        <v>459</v>
      </c>
      <c r="C659" s="32">
        <v>6048</v>
      </c>
      <c r="D659" s="1">
        <v>12000</v>
      </c>
      <c r="E659" s="1"/>
      <c r="F659" s="1">
        <v>139.25</v>
      </c>
      <c r="G659" s="1">
        <v>12000</v>
      </c>
      <c r="H659" s="5">
        <f t="shared" si="12"/>
        <v>0</v>
      </c>
      <c r="I659" s="1"/>
      <c r="J659" s="1"/>
    </row>
    <row r="660" spans="1:10" x14ac:dyDescent="0.2">
      <c r="A660" s="32">
        <v>654</v>
      </c>
      <c r="B660" s="1" t="s">
        <v>459</v>
      </c>
      <c r="C660" s="32" t="s">
        <v>30</v>
      </c>
      <c r="D660" s="1">
        <v>5000</v>
      </c>
      <c r="E660" s="1"/>
      <c r="F660" s="1">
        <v>55.15</v>
      </c>
      <c r="G660" s="1">
        <v>5000</v>
      </c>
      <c r="H660" s="5">
        <f t="shared" si="12"/>
        <v>0</v>
      </c>
      <c r="I660" s="1"/>
      <c r="J660" s="1"/>
    </row>
    <row r="661" spans="1:10" x14ac:dyDescent="0.2">
      <c r="A661" s="32">
        <v>655</v>
      </c>
      <c r="B661" s="1" t="s">
        <v>459</v>
      </c>
      <c r="C661" s="32">
        <v>9733</v>
      </c>
      <c r="D661" s="1">
        <v>30000</v>
      </c>
      <c r="E661" s="1"/>
      <c r="F661" s="1">
        <v>334.45</v>
      </c>
      <c r="G661" s="1">
        <v>30000</v>
      </c>
      <c r="H661" s="5">
        <f t="shared" si="12"/>
        <v>0</v>
      </c>
      <c r="I661" s="1"/>
      <c r="J661" s="1"/>
    </row>
    <row r="662" spans="1:10" x14ac:dyDescent="0.2">
      <c r="A662" s="32">
        <v>656</v>
      </c>
      <c r="B662" s="1" t="s">
        <v>459</v>
      </c>
      <c r="C662" s="32">
        <v>2681</v>
      </c>
      <c r="D662" s="1">
        <v>16000</v>
      </c>
      <c r="E662" s="1"/>
      <c r="F662" s="1">
        <v>178.22</v>
      </c>
      <c r="G662" s="1">
        <v>16000</v>
      </c>
      <c r="H662" s="5">
        <f t="shared" si="12"/>
        <v>0</v>
      </c>
      <c r="I662" s="1"/>
      <c r="J662" s="1"/>
    </row>
    <row r="663" spans="1:10" x14ac:dyDescent="0.2">
      <c r="A663" s="32">
        <v>657</v>
      </c>
      <c r="B663" s="1" t="s">
        <v>459</v>
      </c>
      <c r="C663" s="32">
        <v>9667</v>
      </c>
      <c r="D663" s="1">
        <v>8000</v>
      </c>
      <c r="E663" s="1"/>
      <c r="F663" s="1">
        <v>89.55</v>
      </c>
      <c r="G663" s="1">
        <v>8000</v>
      </c>
      <c r="H663" s="5">
        <f t="shared" si="12"/>
        <v>0</v>
      </c>
      <c r="I663" s="1"/>
      <c r="J663" s="1"/>
    </row>
    <row r="664" spans="1:10" x14ac:dyDescent="0.2">
      <c r="A664" s="32">
        <v>658</v>
      </c>
      <c r="B664" s="1" t="s">
        <v>459</v>
      </c>
      <c r="C664" s="32">
        <v>9179</v>
      </c>
      <c r="D664" s="1">
        <v>13000</v>
      </c>
      <c r="E664" s="1"/>
      <c r="F664" s="1">
        <v>144.13</v>
      </c>
      <c r="G664" s="1">
        <v>13000</v>
      </c>
      <c r="H664" s="5">
        <f t="shared" si="12"/>
        <v>0</v>
      </c>
      <c r="I664" s="1"/>
      <c r="J664" s="1"/>
    </row>
    <row r="665" spans="1:10" x14ac:dyDescent="0.2">
      <c r="A665" s="32">
        <v>659</v>
      </c>
      <c r="B665" s="1" t="s">
        <v>459</v>
      </c>
      <c r="C665" s="32">
        <v>3365</v>
      </c>
      <c r="D665" s="1">
        <v>6000</v>
      </c>
      <c r="E665" s="1"/>
      <c r="F665" s="1">
        <v>66.25</v>
      </c>
      <c r="G665" s="1">
        <v>6000</v>
      </c>
      <c r="H665" s="5">
        <f t="shared" si="12"/>
        <v>0</v>
      </c>
      <c r="I665" s="1"/>
      <c r="J665" s="1"/>
    </row>
    <row r="666" spans="1:10" x14ac:dyDescent="0.2">
      <c r="A666" s="32">
        <v>660</v>
      </c>
      <c r="B666" s="1" t="s">
        <v>459</v>
      </c>
      <c r="C666" s="32">
        <v>6496</v>
      </c>
      <c r="D666" s="1">
        <v>14000</v>
      </c>
      <c r="E666" s="1"/>
      <c r="F666" s="1">
        <v>155.35</v>
      </c>
      <c r="G666" s="1">
        <v>14000</v>
      </c>
      <c r="H666" s="5">
        <f t="shared" si="12"/>
        <v>0</v>
      </c>
      <c r="I666" s="1"/>
      <c r="J666" s="1"/>
    </row>
    <row r="667" spans="1:10" x14ac:dyDescent="0.2">
      <c r="A667" s="32">
        <v>661</v>
      </c>
      <c r="B667" s="1" t="s">
        <v>459</v>
      </c>
      <c r="C667" s="32">
        <v>4441</v>
      </c>
      <c r="D667" s="1">
        <v>16000</v>
      </c>
      <c r="E667" s="1"/>
      <c r="F667" s="1">
        <v>178.25</v>
      </c>
      <c r="G667" s="1">
        <v>16000</v>
      </c>
      <c r="H667" s="5">
        <f t="shared" si="12"/>
        <v>0</v>
      </c>
      <c r="I667" s="1"/>
      <c r="J667" s="1"/>
    </row>
    <row r="668" spans="1:10" x14ac:dyDescent="0.2">
      <c r="A668" s="32">
        <v>662</v>
      </c>
      <c r="B668" s="1" t="s">
        <v>459</v>
      </c>
      <c r="C668" s="32">
        <v>9645</v>
      </c>
      <c r="D668" s="1">
        <v>16000</v>
      </c>
      <c r="E668" s="1"/>
      <c r="F668" s="1">
        <v>178.25</v>
      </c>
      <c r="G668" s="1">
        <v>16000</v>
      </c>
      <c r="H668" s="5">
        <f t="shared" si="12"/>
        <v>0</v>
      </c>
      <c r="I668" s="1"/>
      <c r="J668" s="1"/>
    </row>
    <row r="669" spans="1:10" x14ac:dyDescent="0.2">
      <c r="A669" s="32">
        <v>663</v>
      </c>
      <c r="B669" s="1" t="s">
        <v>459</v>
      </c>
      <c r="C669" s="32">
        <v>9665</v>
      </c>
      <c r="D669" s="1">
        <v>8000</v>
      </c>
      <c r="E669" s="1"/>
      <c r="F669" s="1">
        <v>89.25</v>
      </c>
      <c r="G669" s="1">
        <v>8000</v>
      </c>
      <c r="H669" s="5">
        <f t="shared" si="12"/>
        <v>0</v>
      </c>
      <c r="I669" s="1"/>
      <c r="J669" s="1"/>
    </row>
    <row r="670" spans="1:10" x14ac:dyDescent="0.2">
      <c r="A670" s="32">
        <v>664</v>
      </c>
      <c r="B670" s="1" t="s">
        <v>459</v>
      </c>
      <c r="C670" s="32">
        <v>5819</v>
      </c>
      <c r="D670" s="1">
        <v>3000</v>
      </c>
      <c r="E670" s="1"/>
      <c r="F670" s="1">
        <v>33.25</v>
      </c>
      <c r="G670" s="1">
        <v>3000</v>
      </c>
      <c r="H670" s="5">
        <f t="shared" si="12"/>
        <v>0</v>
      </c>
      <c r="I670" s="1"/>
      <c r="J670" s="1"/>
    </row>
    <row r="671" spans="1:10" x14ac:dyDescent="0.2">
      <c r="A671" s="32">
        <v>665</v>
      </c>
      <c r="B671" s="1" t="s">
        <v>459</v>
      </c>
      <c r="C671" s="32">
        <v>8.7499999999999994E-2</v>
      </c>
      <c r="D671" s="1">
        <v>10000</v>
      </c>
      <c r="E671" s="1"/>
      <c r="F671" s="1">
        <v>111.25</v>
      </c>
      <c r="G671" s="1">
        <v>10000</v>
      </c>
      <c r="H671" s="5">
        <f t="shared" si="12"/>
        <v>0</v>
      </c>
      <c r="I671" s="1"/>
      <c r="J671" s="1"/>
    </row>
    <row r="672" spans="1:10" x14ac:dyDescent="0.2">
      <c r="A672" s="32">
        <v>666</v>
      </c>
      <c r="B672" s="1" t="s">
        <v>459</v>
      </c>
      <c r="C672" s="32">
        <v>7.1099999999999997E-2</v>
      </c>
      <c r="D672" s="1">
        <v>31000</v>
      </c>
      <c r="E672" s="1"/>
      <c r="F672" s="1">
        <v>338.45</v>
      </c>
      <c r="G672" s="1">
        <v>31000</v>
      </c>
      <c r="H672" s="5">
        <f t="shared" si="12"/>
        <v>0</v>
      </c>
      <c r="I672" s="1"/>
      <c r="J672" s="1"/>
    </row>
    <row r="673" spans="1:10" x14ac:dyDescent="0.2">
      <c r="A673" s="32">
        <v>667</v>
      </c>
      <c r="B673" s="1" t="s">
        <v>459</v>
      </c>
      <c r="C673" s="32">
        <v>4089</v>
      </c>
      <c r="D673" s="1">
        <v>25000</v>
      </c>
      <c r="E673" s="1"/>
      <c r="F673" s="1">
        <v>275.25</v>
      </c>
      <c r="G673" s="1">
        <v>25000</v>
      </c>
      <c r="H673" s="5">
        <f t="shared" si="12"/>
        <v>0</v>
      </c>
      <c r="I673" s="1"/>
      <c r="J673" s="1"/>
    </row>
    <row r="674" spans="1:10" x14ac:dyDescent="0.2">
      <c r="A674" s="32">
        <v>668</v>
      </c>
      <c r="B674" s="1" t="s">
        <v>459</v>
      </c>
      <c r="C674" s="32" t="s">
        <v>462</v>
      </c>
      <c r="D674" s="1">
        <v>28000</v>
      </c>
      <c r="E674" s="1"/>
      <c r="F674" s="1">
        <v>300.25</v>
      </c>
      <c r="G674" s="1">
        <v>28000</v>
      </c>
      <c r="H674" s="5">
        <f t="shared" si="12"/>
        <v>0</v>
      </c>
      <c r="I674" s="1"/>
      <c r="J674" s="1"/>
    </row>
    <row r="675" spans="1:10" x14ac:dyDescent="0.2">
      <c r="A675" s="32">
        <v>669</v>
      </c>
      <c r="B675" s="1" t="s">
        <v>459</v>
      </c>
      <c r="C675" s="32" t="s">
        <v>461</v>
      </c>
      <c r="D675" s="1">
        <v>31000</v>
      </c>
      <c r="E675" s="1"/>
      <c r="F675" s="1">
        <v>345.85</v>
      </c>
      <c r="G675" s="1">
        <v>31000</v>
      </c>
      <c r="H675" s="5">
        <f t="shared" si="12"/>
        <v>0</v>
      </c>
      <c r="I675" s="1"/>
      <c r="J675" s="1"/>
    </row>
    <row r="676" spans="1:10" x14ac:dyDescent="0.2">
      <c r="A676" s="32">
        <v>670</v>
      </c>
      <c r="B676" s="1" t="s">
        <v>459</v>
      </c>
      <c r="C676" s="32">
        <v>4273</v>
      </c>
      <c r="D676" s="1">
        <v>10000</v>
      </c>
      <c r="E676" s="1"/>
      <c r="F676" s="1">
        <v>111.25</v>
      </c>
      <c r="G676" s="1">
        <v>10000</v>
      </c>
      <c r="H676" s="5">
        <f t="shared" si="12"/>
        <v>0</v>
      </c>
      <c r="I676" s="1"/>
      <c r="J676" s="1"/>
    </row>
    <row r="677" spans="1:10" x14ac:dyDescent="0.2">
      <c r="A677" s="32">
        <v>671</v>
      </c>
      <c r="B677" s="1" t="s">
        <v>459</v>
      </c>
      <c r="C677" s="32" t="s">
        <v>30</v>
      </c>
      <c r="D677" s="1">
        <v>4500</v>
      </c>
      <c r="E677" s="1"/>
      <c r="F677" s="1">
        <v>50.15</v>
      </c>
      <c r="G677" s="1">
        <v>4500</v>
      </c>
      <c r="H677" s="5">
        <f t="shared" si="12"/>
        <v>0</v>
      </c>
      <c r="I677" s="1"/>
      <c r="J677" s="1"/>
    </row>
    <row r="678" spans="1:10" x14ac:dyDescent="0.2">
      <c r="A678" s="32">
        <v>672</v>
      </c>
      <c r="B678" s="1" t="s">
        <v>459</v>
      </c>
      <c r="C678" s="32">
        <v>1.77E-2</v>
      </c>
      <c r="D678" s="1">
        <v>25000</v>
      </c>
      <c r="E678" s="1"/>
      <c r="F678" s="1">
        <v>278.25</v>
      </c>
      <c r="G678" s="1">
        <v>25000</v>
      </c>
      <c r="H678" s="5">
        <f t="shared" si="12"/>
        <v>0</v>
      </c>
      <c r="I678" s="1"/>
      <c r="J678" s="1"/>
    </row>
    <row r="679" spans="1:10" x14ac:dyDescent="0.2">
      <c r="A679" s="32">
        <v>673</v>
      </c>
      <c r="B679" s="1" t="s">
        <v>459</v>
      </c>
      <c r="C679" s="32">
        <v>3398</v>
      </c>
      <c r="D679" s="1">
        <v>13000</v>
      </c>
      <c r="E679" s="1"/>
      <c r="F679" s="1">
        <v>144.13</v>
      </c>
      <c r="G679" s="1">
        <v>13000</v>
      </c>
      <c r="H679" s="5">
        <f t="shared" ref="H679:H742" si="13">D679-G679</f>
        <v>0</v>
      </c>
      <c r="I679" s="1"/>
      <c r="J679" s="1"/>
    </row>
    <row r="680" spans="1:10" x14ac:dyDescent="0.2">
      <c r="A680" s="32">
        <v>674</v>
      </c>
      <c r="B680" s="1" t="s">
        <v>459</v>
      </c>
      <c r="C680" s="32">
        <v>6758</v>
      </c>
      <c r="D680" s="1">
        <v>13000</v>
      </c>
      <c r="E680" s="1"/>
      <c r="F680" s="1">
        <v>144.13</v>
      </c>
      <c r="G680" s="1">
        <v>13000</v>
      </c>
      <c r="H680" s="5">
        <f t="shared" si="13"/>
        <v>0</v>
      </c>
      <c r="I680" s="1"/>
      <c r="J680" s="1"/>
    </row>
    <row r="681" spans="1:10" x14ac:dyDescent="0.2">
      <c r="A681" s="32">
        <v>675</v>
      </c>
      <c r="B681" s="1" t="s">
        <v>459</v>
      </c>
      <c r="C681" s="32">
        <v>3992</v>
      </c>
      <c r="D681" s="1">
        <v>15017</v>
      </c>
      <c r="E681" s="1"/>
      <c r="F681" s="1">
        <v>167.25</v>
      </c>
      <c r="G681" s="1">
        <v>15017</v>
      </c>
      <c r="H681" s="5">
        <f t="shared" si="13"/>
        <v>0</v>
      </c>
      <c r="I681" s="1"/>
      <c r="J681" s="1"/>
    </row>
    <row r="682" spans="1:10" x14ac:dyDescent="0.2">
      <c r="A682" s="32">
        <v>676</v>
      </c>
      <c r="B682" s="1" t="s">
        <v>459</v>
      </c>
      <c r="C682" s="32">
        <v>5.28E-2</v>
      </c>
      <c r="D682" s="1">
        <v>23000</v>
      </c>
      <c r="E682" s="1"/>
      <c r="F682" s="1">
        <v>256.45</v>
      </c>
      <c r="G682" s="1">
        <v>23000</v>
      </c>
      <c r="H682" s="5">
        <f t="shared" si="13"/>
        <v>0</v>
      </c>
      <c r="I682" s="1"/>
      <c r="J682" s="1"/>
    </row>
    <row r="683" spans="1:10" x14ac:dyDescent="0.2">
      <c r="A683" s="32">
        <v>677</v>
      </c>
      <c r="B683" s="1" t="s">
        <v>459</v>
      </c>
      <c r="C683" s="32">
        <v>3995</v>
      </c>
      <c r="D683" s="1">
        <v>15000</v>
      </c>
      <c r="E683" s="1"/>
      <c r="F683" s="1">
        <v>167.11</v>
      </c>
      <c r="G683" s="1">
        <v>15000</v>
      </c>
      <c r="H683" s="5">
        <f t="shared" si="13"/>
        <v>0</v>
      </c>
      <c r="I683" s="1"/>
      <c r="J683" s="1"/>
    </row>
    <row r="684" spans="1:10" x14ac:dyDescent="0.2">
      <c r="A684" s="32">
        <v>678</v>
      </c>
      <c r="B684" s="1" t="s">
        <v>459</v>
      </c>
      <c r="C684" s="32">
        <v>7874</v>
      </c>
      <c r="D684" s="1">
        <v>15000</v>
      </c>
      <c r="E684" s="1"/>
      <c r="F684" s="1">
        <v>167.11</v>
      </c>
      <c r="G684" s="1">
        <v>15000</v>
      </c>
      <c r="H684" s="5">
        <f t="shared" si="13"/>
        <v>0</v>
      </c>
      <c r="I684" s="1"/>
      <c r="J684" s="1"/>
    </row>
    <row r="685" spans="1:10" x14ac:dyDescent="0.2">
      <c r="A685" s="32">
        <v>679</v>
      </c>
      <c r="B685" s="1" t="s">
        <v>459</v>
      </c>
      <c r="C685" s="32">
        <v>2688</v>
      </c>
      <c r="D685" s="1">
        <v>15000</v>
      </c>
      <c r="E685" s="1"/>
      <c r="F685" s="1">
        <v>167.11</v>
      </c>
      <c r="G685" s="1">
        <v>15000</v>
      </c>
      <c r="H685" s="5">
        <f t="shared" si="13"/>
        <v>0</v>
      </c>
      <c r="I685" s="1"/>
      <c r="J685" s="1"/>
    </row>
    <row r="686" spans="1:10" x14ac:dyDescent="0.2">
      <c r="A686" s="32">
        <v>680</v>
      </c>
      <c r="B686" s="1" t="s">
        <v>459</v>
      </c>
      <c r="C686" s="32">
        <v>2067</v>
      </c>
      <c r="D686" s="1">
        <v>14000</v>
      </c>
      <c r="E686" s="1"/>
      <c r="F686" s="1">
        <v>155.97</v>
      </c>
      <c r="G686" s="1">
        <v>14000</v>
      </c>
      <c r="H686" s="5">
        <f t="shared" si="13"/>
        <v>0</v>
      </c>
      <c r="I686" s="1"/>
      <c r="J686" s="1"/>
    </row>
    <row r="687" spans="1:10" x14ac:dyDescent="0.2">
      <c r="A687" s="32">
        <v>681</v>
      </c>
      <c r="B687" s="1" t="s">
        <v>459</v>
      </c>
      <c r="C687" s="32">
        <v>2016</v>
      </c>
      <c r="D687" s="1">
        <v>23000</v>
      </c>
      <c r="E687" s="1"/>
      <c r="F687" s="1">
        <v>256.24</v>
      </c>
      <c r="G687" s="1">
        <v>23000</v>
      </c>
      <c r="H687" s="5">
        <f t="shared" si="13"/>
        <v>0</v>
      </c>
      <c r="I687" s="1"/>
      <c r="J687" s="1"/>
    </row>
    <row r="688" spans="1:10" x14ac:dyDescent="0.2">
      <c r="A688" s="32">
        <v>682</v>
      </c>
      <c r="B688" s="1" t="s">
        <v>459</v>
      </c>
      <c r="C688" s="32">
        <v>7225</v>
      </c>
      <c r="D688" s="1">
        <v>14600</v>
      </c>
      <c r="E688" s="1"/>
      <c r="F688" s="1">
        <v>162.66</v>
      </c>
      <c r="G688" s="1">
        <v>14600</v>
      </c>
      <c r="H688" s="5">
        <f t="shared" si="13"/>
        <v>0</v>
      </c>
      <c r="I688" s="1"/>
      <c r="J688" s="1"/>
    </row>
    <row r="689" spans="1:10" x14ac:dyDescent="0.2">
      <c r="A689" s="32">
        <v>683</v>
      </c>
      <c r="B689" s="1" t="s">
        <v>463</v>
      </c>
      <c r="C689" s="32">
        <v>8425</v>
      </c>
      <c r="D689" s="1">
        <v>14200</v>
      </c>
      <c r="E689" s="1"/>
      <c r="F689" s="1">
        <v>158.19999999999999</v>
      </c>
      <c r="G689" s="1">
        <v>14200</v>
      </c>
      <c r="H689" s="5">
        <f t="shared" si="13"/>
        <v>0</v>
      </c>
      <c r="I689" s="1"/>
      <c r="J689" s="1"/>
    </row>
    <row r="690" spans="1:10" x14ac:dyDescent="0.2">
      <c r="A690" s="32">
        <v>684</v>
      </c>
      <c r="B690" s="1" t="s">
        <v>463</v>
      </c>
      <c r="C690" s="32">
        <v>4739</v>
      </c>
      <c r="D690" s="1">
        <v>20000</v>
      </c>
      <c r="E690" s="1"/>
      <c r="F690" s="1">
        <v>222.24</v>
      </c>
      <c r="G690" s="1">
        <v>20000</v>
      </c>
      <c r="H690" s="5">
        <f t="shared" si="13"/>
        <v>0</v>
      </c>
      <c r="I690" s="1"/>
      <c r="J690" s="1"/>
    </row>
    <row r="691" spans="1:10" x14ac:dyDescent="0.2">
      <c r="A691" s="32">
        <v>685</v>
      </c>
      <c r="B691" s="1" t="s">
        <v>463</v>
      </c>
      <c r="C691" s="32">
        <v>1167</v>
      </c>
      <c r="D691" s="1">
        <v>14000</v>
      </c>
      <c r="E691" s="1"/>
      <c r="F691" s="1">
        <v>155.25</v>
      </c>
      <c r="G691" s="1">
        <v>14000</v>
      </c>
      <c r="H691" s="5">
        <f t="shared" si="13"/>
        <v>0</v>
      </c>
      <c r="I691" s="1"/>
      <c r="J691" s="1"/>
    </row>
    <row r="692" spans="1:10" x14ac:dyDescent="0.2">
      <c r="A692" s="32">
        <v>686</v>
      </c>
      <c r="B692" s="1" t="s">
        <v>463</v>
      </c>
      <c r="C692" s="32">
        <v>6496</v>
      </c>
      <c r="D692" s="1">
        <v>11000</v>
      </c>
      <c r="E692" s="1"/>
      <c r="F692" s="1">
        <v>122.25</v>
      </c>
      <c r="G692" s="1">
        <v>11000</v>
      </c>
      <c r="H692" s="5">
        <f t="shared" si="13"/>
        <v>0</v>
      </c>
      <c r="I692" s="1"/>
      <c r="J692" s="1"/>
    </row>
    <row r="693" spans="1:10" x14ac:dyDescent="0.2">
      <c r="A693" s="32">
        <v>687</v>
      </c>
      <c r="B693" s="1" t="s">
        <v>463</v>
      </c>
      <c r="C693" s="32">
        <v>1168</v>
      </c>
      <c r="D693" s="1">
        <v>14000</v>
      </c>
      <c r="E693" s="1"/>
      <c r="F693" s="1">
        <v>155.25</v>
      </c>
      <c r="G693" s="1">
        <v>14000</v>
      </c>
      <c r="H693" s="5">
        <f t="shared" si="13"/>
        <v>0</v>
      </c>
      <c r="I693" s="1"/>
      <c r="J693" s="1"/>
    </row>
    <row r="694" spans="1:10" x14ac:dyDescent="0.2">
      <c r="A694" s="32">
        <v>688</v>
      </c>
      <c r="B694" s="1" t="s">
        <v>463</v>
      </c>
      <c r="C694" s="32">
        <v>6815</v>
      </c>
      <c r="D694" s="1">
        <v>20000</v>
      </c>
      <c r="E694" s="1"/>
      <c r="F694" s="1">
        <v>206.25</v>
      </c>
      <c r="G694" s="1">
        <v>20000</v>
      </c>
      <c r="H694" s="5">
        <f t="shared" si="13"/>
        <v>0</v>
      </c>
      <c r="I694" s="1"/>
      <c r="J694" s="1"/>
    </row>
    <row r="695" spans="1:10" x14ac:dyDescent="0.2">
      <c r="A695" s="32">
        <v>689</v>
      </c>
      <c r="B695" s="1" t="s">
        <v>463</v>
      </c>
      <c r="C695" s="32">
        <v>9544</v>
      </c>
      <c r="D695" s="1">
        <v>12000</v>
      </c>
      <c r="E695" s="1"/>
      <c r="F695" s="1">
        <v>133.44999999999999</v>
      </c>
      <c r="G695" s="1">
        <v>12000</v>
      </c>
      <c r="H695" s="5">
        <f t="shared" si="13"/>
        <v>0</v>
      </c>
      <c r="I695" s="1"/>
      <c r="J695" s="1"/>
    </row>
    <row r="696" spans="1:10" x14ac:dyDescent="0.2">
      <c r="A696" s="32">
        <v>690</v>
      </c>
      <c r="B696" s="1" t="s">
        <v>463</v>
      </c>
      <c r="C696" s="32">
        <v>2497</v>
      </c>
      <c r="D696" s="1">
        <v>13000</v>
      </c>
      <c r="E696" s="1"/>
      <c r="F696" s="1">
        <v>144.13</v>
      </c>
      <c r="G696" s="1">
        <v>13000</v>
      </c>
      <c r="H696" s="5">
        <f t="shared" si="13"/>
        <v>0</v>
      </c>
      <c r="I696" s="1"/>
      <c r="J696" s="1"/>
    </row>
    <row r="697" spans="1:10" x14ac:dyDescent="0.2">
      <c r="A697" s="32">
        <v>691</v>
      </c>
      <c r="B697" s="1" t="s">
        <v>463</v>
      </c>
      <c r="C697" s="32">
        <v>4595</v>
      </c>
      <c r="D697" s="1">
        <v>20000</v>
      </c>
      <c r="E697" s="1"/>
      <c r="F697" s="1">
        <v>222.25</v>
      </c>
      <c r="G697" s="1">
        <v>20000</v>
      </c>
      <c r="H697" s="5">
        <f t="shared" si="13"/>
        <v>0</v>
      </c>
      <c r="I697" s="1"/>
      <c r="J697" s="1"/>
    </row>
    <row r="698" spans="1:10" x14ac:dyDescent="0.2">
      <c r="A698" s="32">
        <v>692</v>
      </c>
      <c r="B698" s="1" t="s">
        <v>463</v>
      </c>
      <c r="C698" s="32">
        <v>5252</v>
      </c>
      <c r="D698" s="1">
        <v>16000</v>
      </c>
      <c r="E698" s="1"/>
      <c r="F698" s="1">
        <v>178.22</v>
      </c>
      <c r="G698" s="1">
        <v>16000</v>
      </c>
      <c r="H698" s="5">
        <f t="shared" si="13"/>
        <v>0</v>
      </c>
      <c r="I698" s="1"/>
      <c r="J698" s="1"/>
    </row>
    <row r="699" spans="1:10" x14ac:dyDescent="0.2">
      <c r="A699" s="32">
        <v>693</v>
      </c>
      <c r="B699" s="1" t="s">
        <v>463</v>
      </c>
      <c r="C699" s="32">
        <v>1593</v>
      </c>
      <c r="D699" s="1">
        <v>12000</v>
      </c>
      <c r="E699" s="1"/>
      <c r="F699" s="1">
        <v>133.25</v>
      </c>
      <c r="G699" s="1">
        <v>12000</v>
      </c>
      <c r="H699" s="5">
        <f t="shared" si="13"/>
        <v>0</v>
      </c>
      <c r="I699" s="1"/>
      <c r="J699" s="1"/>
    </row>
    <row r="700" spans="1:10" x14ac:dyDescent="0.2">
      <c r="A700" s="32">
        <v>694</v>
      </c>
      <c r="B700" s="1" t="s">
        <v>463</v>
      </c>
      <c r="C700" s="32">
        <v>3877</v>
      </c>
      <c r="D700" s="1">
        <v>17773</v>
      </c>
      <c r="E700" s="1"/>
      <c r="F700" s="1">
        <v>198.25</v>
      </c>
      <c r="G700" s="1">
        <v>17773</v>
      </c>
      <c r="H700" s="5">
        <f t="shared" si="13"/>
        <v>0</v>
      </c>
      <c r="I700" s="1"/>
      <c r="J700" s="1"/>
    </row>
    <row r="701" spans="1:10" x14ac:dyDescent="0.2">
      <c r="A701" s="32">
        <v>695</v>
      </c>
      <c r="B701" s="1" t="s">
        <v>463</v>
      </c>
      <c r="C701" s="32">
        <v>4115</v>
      </c>
      <c r="D701" s="1">
        <v>15000</v>
      </c>
      <c r="E701" s="1"/>
      <c r="F701" s="1">
        <v>167.25</v>
      </c>
      <c r="G701" s="1">
        <v>15000</v>
      </c>
      <c r="H701" s="5">
        <f t="shared" si="13"/>
        <v>0</v>
      </c>
      <c r="I701" s="1"/>
      <c r="J701" s="1"/>
    </row>
    <row r="702" spans="1:10" x14ac:dyDescent="0.2">
      <c r="A702" s="32">
        <v>696</v>
      </c>
      <c r="B702" s="1" t="s">
        <v>463</v>
      </c>
      <c r="C702" s="32">
        <v>2370</v>
      </c>
      <c r="D702" s="1">
        <v>20000</v>
      </c>
      <c r="E702" s="1"/>
      <c r="F702" s="1">
        <v>245.25</v>
      </c>
      <c r="G702" s="1">
        <v>20000</v>
      </c>
      <c r="H702" s="5">
        <f t="shared" si="13"/>
        <v>0</v>
      </c>
      <c r="I702" s="1"/>
      <c r="J702" s="1"/>
    </row>
    <row r="703" spans="1:10" x14ac:dyDescent="0.2">
      <c r="A703" s="32">
        <v>697</v>
      </c>
      <c r="B703" s="1" t="s">
        <v>463</v>
      </c>
      <c r="C703" s="32">
        <v>5153</v>
      </c>
      <c r="D703" s="1">
        <v>10000</v>
      </c>
      <c r="E703" s="1"/>
      <c r="F703" s="1">
        <v>111.25</v>
      </c>
      <c r="G703" s="1">
        <v>10000</v>
      </c>
      <c r="H703" s="5">
        <f t="shared" si="13"/>
        <v>0</v>
      </c>
      <c r="I703" s="1"/>
      <c r="J703" s="1"/>
    </row>
    <row r="704" spans="1:10" x14ac:dyDescent="0.2">
      <c r="A704" s="32">
        <v>698</v>
      </c>
      <c r="B704" s="1" t="s">
        <v>463</v>
      </c>
      <c r="C704" s="32">
        <v>3634</v>
      </c>
      <c r="D704" s="1">
        <v>19500</v>
      </c>
      <c r="E704" s="1"/>
      <c r="F704" s="1">
        <v>277.85000000000002</v>
      </c>
      <c r="G704" s="1">
        <v>19500</v>
      </c>
      <c r="H704" s="5">
        <f t="shared" si="13"/>
        <v>0</v>
      </c>
      <c r="I704" s="1"/>
      <c r="J704" s="1"/>
    </row>
    <row r="705" spans="1:10" x14ac:dyDescent="0.2">
      <c r="A705" s="32">
        <v>699</v>
      </c>
      <c r="B705" s="1" t="s">
        <v>463</v>
      </c>
      <c r="C705" s="32">
        <v>5662</v>
      </c>
      <c r="D705" s="1">
        <v>18500</v>
      </c>
      <c r="E705" s="1"/>
      <c r="F705" s="1">
        <v>205.28</v>
      </c>
      <c r="G705" s="1">
        <v>18500</v>
      </c>
      <c r="H705" s="5">
        <f t="shared" si="13"/>
        <v>0</v>
      </c>
      <c r="I705" s="1"/>
      <c r="J705" s="1"/>
    </row>
    <row r="706" spans="1:10" x14ac:dyDescent="0.2">
      <c r="A706" s="32">
        <v>700</v>
      </c>
      <c r="B706" s="1" t="s">
        <v>463</v>
      </c>
      <c r="C706" s="32">
        <v>5844</v>
      </c>
      <c r="D706" s="1">
        <v>14000</v>
      </c>
      <c r="E706" s="1"/>
      <c r="F706" s="1">
        <v>155.57</v>
      </c>
      <c r="G706" s="1">
        <v>14000</v>
      </c>
      <c r="H706" s="5">
        <f t="shared" si="13"/>
        <v>0</v>
      </c>
      <c r="I706" s="1"/>
      <c r="J706" s="1"/>
    </row>
    <row r="707" spans="1:10" x14ac:dyDescent="0.2">
      <c r="A707" s="32">
        <v>701</v>
      </c>
      <c r="B707" s="1" t="s">
        <v>463</v>
      </c>
      <c r="C707" s="32">
        <v>5485</v>
      </c>
      <c r="D707" s="1">
        <v>27000</v>
      </c>
      <c r="E707" s="1"/>
      <c r="F707" s="1">
        <v>295.85000000000002</v>
      </c>
      <c r="G707" s="1">
        <v>27000</v>
      </c>
      <c r="H707" s="5">
        <f t="shared" si="13"/>
        <v>0</v>
      </c>
      <c r="I707" s="1"/>
      <c r="J707" s="1"/>
    </row>
    <row r="708" spans="1:10" x14ac:dyDescent="0.2">
      <c r="A708" s="32">
        <v>702</v>
      </c>
      <c r="B708" s="1" t="s">
        <v>463</v>
      </c>
      <c r="C708" s="32">
        <v>2802</v>
      </c>
      <c r="D708" s="1">
        <v>16000</v>
      </c>
      <c r="E708" s="1"/>
      <c r="F708" s="1">
        <v>178.24</v>
      </c>
      <c r="G708" s="1">
        <v>16000</v>
      </c>
      <c r="H708" s="5">
        <f t="shared" si="13"/>
        <v>0</v>
      </c>
      <c r="I708" s="1"/>
      <c r="J708" s="1"/>
    </row>
    <row r="709" spans="1:10" x14ac:dyDescent="0.2">
      <c r="A709" s="32">
        <v>703</v>
      </c>
      <c r="B709" s="1" t="s">
        <v>463</v>
      </c>
      <c r="C709" s="32">
        <v>8434</v>
      </c>
      <c r="D709" s="1">
        <v>24162</v>
      </c>
      <c r="E709" s="1"/>
      <c r="F709" s="1">
        <v>269.58</v>
      </c>
      <c r="G709" s="1">
        <v>24162</v>
      </c>
      <c r="H709" s="5">
        <f t="shared" si="13"/>
        <v>0</v>
      </c>
      <c r="I709" s="1"/>
      <c r="J709" s="1"/>
    </row>
    <row r="710" spans="1:10" x14ac:dyDescent="0.2">
      <c r="A710" s="32">
        <v>704</v>
      </c>
      <c r="B710" s="1" t="s">
        <v>463</v>
      </c>
      <c r="C710" s="32">
        <v>9035</v>
      </c>
      <c r="D710" s="1">
        <v>25000</v>
      </c>
      <c r="E710" s="1"/>
      <c r="F710" s="1">
        <v>278.22000000000003</v>
      </c>
      <c r="G710" s="1">
        <v>25000</v>
      </c>
      <c r="H710" s="5">
        <f t="shared" si="13"/>
        <v>0</v>
      </c>
      <c r="I710" s="1"/>
      <c r="J710" s="1"/>
    </row>
    <row r="711" spans="1:10" x14ac:dyDescent="0.2">
      <c r="A711" s="32">
        <v>705</v>
      </c>
      <c r="B711" s="1" t="s">
        <v>463</v>
      </c>
      <c r="C711" s="32">
        <v>1871</v>
      </c>
      <c r="D711" s="1">
        <v>22000</v>
      </c>
      <c r="E711" s="1"/>
      <c r="F711" s="1">
        <v>245.28</v>
      </c>
      <c r="G711" s="1">
        <v>22000</v>
      </c>
      <c r="H711" s="5">
        <f t="shared" si="13"/>
        <v>0</v>
      </c>
      <c r="I711" s="1"/>
      <c r="J711" s="1"/>
    </row>
    <row r="712" spans="1:10" x14ac:dyDescent="0.2">
      <c r="A712" s="32">
        <v>706</v>
      </c>
      <c r="B712" s="1" t="s">
        <v>463</v>
      </c>
      <c r="C712" s="32">
        <v>7896</v>
      </c>
      <c r="D712" s="1">
        <v>26000</v>
      </c>
      <c r="E712" s="1"/>
      <c r="F712" s="1">
        <v>293.85000000000002</v>
      </c>
      <c r="G712" s="1">
        <v>26000</v>
      </c>
      <c r="H712" s="5">
        <f t="shared" si="13"/>
        <v>0</v>
      </c>
      <c r="I712" s="1"/>
      <c r="J712" s="1"/>
    </row>
    <row r="713" spans="1:10" x14ac:dyDescent="0.2">
      <c r="A713" s="32">
        <v>707</v>
      </c>
      <c r="B713" s="1" t="s">
        <v>463</v>
      </c>
      <c r="C713" s="32">
        <v>2617</v>
      </c>
      <c r="D713" s="1">
        <v>31000</v>
      </c>
      <c r="E713" s="1"/>
      <c r="F713" s="1">
        <v>345.28</v>
      </c>
      <c r="G713" s="1">
        <v>31000</v>
      </c>
      <c r="H713" s="5">
        <f t="shared" si="13"/>
        <v>0</v>
      </c>
      <c r="I713" s="1"/>
      <c r="J713" s="1"/>
    </row>
    <row r="714" spans="1:10" x14ac:dyDescent="0.2">
      <c r="A714" s="32">
        <v>708</v>
      </c>
      <c r="B714" s="1" t="s">
        <v>463</v>
      </c>
      <c r="C714" s="32">
        <v>5187</v>
      </c>
      <c r="D714" s="1">
        <v>20000</v>
      </c>
      <c r="E714" s="1"/>
      <c r="F714" s="1">
        <v>229.45</v>
      </c>
      <c r="G714" s="1">
        <v>20000</v>
      </c>
      <c r="H714" s="5">
        <f t="shared" si="13"/>
        <v>0</v>
      </c>
      <c r="I714" s="1"/>
      <c r="J714" s="1"/>
    </row>
    <row r="715" spans="1:10" x14ac:dyDescent="0.2">
      <c r="A715" s="32">
        <v>709</v>
      </c>
      <c r="B715" s="1" t="s">
        <v>463</v>
      </c>
      <c r="C715" s="32">
        <v>2063</v>
      </c>
      <c r="D715" s="1">
        <v>31000</v>
      </c>
      <c r="E715" s="1"/>
      <c r="F715" s="1">
        <v>345.45</v>
      </c>
      <c r="G715" s="1">
        <v>31000</v>
      </c>
      <c r="H715" s="5">
        <f t="shared" si="13"/>
        <v>0</v>
      </c>
      <c r="I715" s="1"/>
      <c r="J715" s="1"/>
    </row>
    <row r="716" spans="1:10" x14ac:dyDescent="0.2">
      <c r="A716" s="32">
        <v>710</v>
      </c>
      <c r="B716" s="1" t="s">
        <v>463</v>
      </c>
      <c r="C716" s="32">
        <v>2928</v>
      </c>
      <c r="D716" s="1">
        <v>15000</v>
      </c>
      <c r="E716" s="1"/>
      <c r="F716" s="1">
        <v>167.45</v>
      </c>
      <c r="G716" s="1">
        <v>15000</v>
      </c>
      <c r="H716" s="5">
        <f t="shared" si="13"/>
        <v>0</v>
      </c>
      <c r="I716" s="1"/>
      <c r="J716" s="1"/>
    </row>
    <row r="717" spans="1:10" x14ac:dyDescent="0.2">
      <c r="A717" s="32">
        <v>711</v>
      </c>
      <c r="B717" s="1" t="s">
        <v>463</v>
      </c>
      <c r="C717" s="32">
        <v>2345</v>
      </c>
      <c r="D717" s="1">
        <v>5000</v>
      </c>
      <c r="E717" s="1"/>
      <c r="F717" s="1">
        <v>55.54</v>
      </c>
      <c r="G717" s="1">
        <v>5000</v>
      </c>
      <c r="H717" s="5">
        <f t="shared" si="13"/>
        <v>0</v>
      </c>
      <c r="I717" s="1"/>
      <c r="J717" s="1"/>
    </row>
    <row r="718" spans="1:10" x14ac:dyDescent="0.2">
      <c r="A718" s="32">
        <v>712</v>
      </c>
      <c r="B718" s="1" t="s">
        <v>460</v>
      </c>
      <c r="C718" s="32">
        <v>2775</v>
      </c>
      <c r="D718" s="1">
        <v>2000</v>
      </c>
      <c r="E718" s="1"/>
      <c r="F718" s="1">
        <v>22.35</v>
      </c>
      <c r="G718" s="1">
        <v>2000</v>
      </c>
      <c r="H718" s="5">
        <f t="shared" si="13"/>
        <v>0</v>
      </c>
      <c r="I718" s="1"/>
      <c r="J718" s="1"/>
    </row>
    <row r="719" spans="1:10" x14ac:dyDescent="0.2">
      <c r="A719" s="32">
        <v>713</v>
      </c>
      <c r="B719" s="1" t="s">
        <v>460</v>
      </c>
      <c r="C719" s="32" t="s">
        <v>63</v>
      </c>
      <c r="D719" s="1">
        <v>3500</v>
      </c>
      <c r="E719" s="1"/>
      <c r="F719" s="1">
        <v>39.54</v>
      </c>
      <c r="G719" s="1">
        <v>3500</v>
      </c>
      <c r="H719" s="5">
        <f t="shared" si="13"/>
        <v>0</v>
      </c>
      <c r="I719" s="1"/>
      <c r="J719" s="1"/>
    </row>
    <row r="720" spans="1:10" x14ac:dyDescent="0.2">
      <c r="A720" s="32">
        <v>714</v>
      </c>
      <c r="B720" s="1" t="s">
        <v>460</v>
      </c>
      <c r="C720" s="32">
        <v>9327</v>
      </c>
      <c r="D720" s="1">
        <v>7000</v>
      </c>
      <c r="E720" s="1"/>
      <c r="F720" s="1">
        <v>77.45</v>
      </c>
      <c r="G720" s="1">
        <v>7000</v>
      </c>
      <c r="H720" s="5">
        <f t="shared" si="13"/>
        <v>0</v>
      </c>
      <c r="I720" s="1"/>
      <c r="J720" s="1"/>
    </row>
    <row r="721" spans="1:10" x14ac:dyDescent="0.2">
      <c r="A721" s="32">
        <v>715</v>
      </c>
      <c r="B721" s="1" t="s">
        <v>460</v>
      </c>
      <c r="C721" s="32">
        <v>1416</v>
      </c>
      <c r="D721" s="1">
        <v>7000</v>
      </c>
      <c r="E721" s="1"/>
      <c r="F721" s="1">
        <v>77.45</v>
      </c>
      <c r="G721" s="1">
        <v>7000</v>
      </c>
      <c r="H721" s="5">
        <f t="shared" si="13"/>
        <v>0</v>
      </c>
      <c r="I721" s="1"/>
      <c r="J721" s="1"/>
    </row>
    <row r="722" spans="1:10" x14ac:dyDescent="0.2">
      <c r="A722" s="32">
        <v>716</v>
      </c>
      <c r="B722" s="1" t="s">
        <v>460</v>
      </c>
      <c r="C722" s="32">
        <v>3365</v>
      </c>
      <c r="D722" s="1">
        <v>7000</v>
      </c>
      <c r="E722" s="1"/>
      <c r="F722" s="1">
        <v>77.45</v>
      </c>
      <c r="G722" s="1">
        <v>7000</v>
      </c>
      <c r="H722" s="5">
        <f t="shared" si="13"/>
        <v>0</v>
      </c>
      <c r="I722" s="1"/>
      <c r="J722" s="1"/>
    </row>
    <row r="723" spans="1:10" x14ac:dyDescent="0.2">
      <c r="A723" s="32">
        <v>717</v>
      </c>
      <c r="B723" s="1" t="s">
        <v>460</v>
      </c>
      <c r="C723" s="32" t="s">
        <v>30</v>
      </c>
      <c r="D723" s="1">
        <v>7000</v>
      </c>
      <c r="E723" s="1"/>
      <c r="F723" s="1">
        <v>77.45</v>
      </c>
      <c r="G723" s="1">
        <v>7000</v>
      </c>
      <c r="H723" s="5">
        <f t="shared" si="13"/>
        <v>0</v>
      </c>
      <c r="I723" s="1"/>
      <c r="J723" s="1"/>
    </row>
    <row r="724" spans="1:10" x14ac:dyDescent="0.2">
      <c r="A724" s="32">
        <v>718</v>
      </c>
      <c r="B724" s="1" t="s">
        <v>460</v>
      </c>
      <c r="C724" s="32">
        <v>1842</v>
      </c>
      <c r="D724" s="1">
        <v>8000</v>
      </c>
      <c r="E724" s="1"/>
      <c r="F724" s="1">
        <v>89.45</v>
      </c>
      <c r="G724" s="1">
        <v>8000</v>
      </c>
      <c r="H724" s="5">
        <f t="shared" si="13"/>
        <v>0</v>
      </c>
      <c r="I724" s="1"/>
      <c r="J724" s="1"/>
    </row>
    <row r="725" spans="1:10" x14ac:dyDescent="0.2">
      <c r="A725" s="32">
        <v>719</v>
      </c>
      <c r="B725" s="1" t="s">
        <v>460</v>
      </c>
      <c r="C725" s="32">
        <v>5819</v>
      </c>
      <c r="D725" s="1">
        <v>8000</v>
      </c>
      <c r="E725" s="1"/>
      <c r="F725" s="1">
        <v>89.45</v>
      </c>
      <c r="G725" s="1">
        <v>8000</v>
      </c>
      <c r="H725" s="5">
        <f t="shared" si="13"/>
        <v>0</v>
      </c>
      <c r="I725" s="1"/>
      <c r="J725" s="1"/>
    </row>
    <row r="726" spans="1:10" x14ac:dyDescent="0.2">
      <c r="A726" s="32">
        <v>720</v>
      </c>
      <c r="B726" s="1" t="s">
        <v>460</v>
      </c>
      <c r="C726" s="32">
        <v>9665</v>
      </c>
      <c r="D726" s="1">
        <v>8000</v>
      </c>
      <c r="E726" s="1"/>
      <c r="F726" s="1">
        <v>89.45</v>
      </c>
      <c r="G726" s="1">
        <v>8000</v>
      </c>
      <c r="H726" s="5">
        <f t="shared" si="13"/>
        <v>0</v>
      </c>
      <c r="I726" s="1"/>
      <c r="J726" s="1"/>
    </row>
    <row r="727" spans="1:10" x14ac:dyDescent="0.2">
      <c r="A727" s="32">
        <v>721</v>
      </c>
      <c r="B727" s="1" t="s">
        <v>460</v>
      </c>
      <c r="C727" s="32">
        <v>9667</v>
      </c>
      <c r="D727" s="1">
        <v>9000</v>
      </c>
      <c r="E727" s="1"/>
      <c r="F727" s="1">
        <v>100.25</v>
      </c>
      <c r="G727" s="1">
        <v>9000</v>
      </c>
      <c r="H727" s="5">
        <f t="shared" si="13"/>
        <v>0</v>
      </c>
      <c r="I727" s="1"/>
      <c r="J727" s="1"/>
    </row>
    <row r="728" spans="1:10" x14ac:dyDescent="0.2">
      <c r="A728" s="32">
        <v>722</v>
      </c>
      <c r="B728" s="1" t="s">
        <v>460</v>
      </c>
      <c r="C728" s="32">
        <v>9793</v>
      </c>
      <c r="D728" s="1">
        <v>10000</v>
      </c>
      <c r="E728" s="1"/>
      <c r="F728" s="1">
        <v>111.25</v>
      </c>
      <c r="G728" s="1">
        <v>10000</v>
      </c>
      <c r="H728" s="5">
        <f t="shared" si="13"/>
        <v>0</v>
      </c>
      <c r="I728" s="1"/>
      <c r="J728" s="1"/>
    </row>
    <row r="729" spans="1:10" x14ac:dyDescent="0.2">
      <c r="A729" s="32">
        <v>723</v>
      </c>
      <c r="B729" s="1" t="s">
        <v>460</v>
      </c>
      <c r="C729" s="32">
        <v>3941</v>
      </c>
      <c r="D729" s="1">
        <v>12000</v>
      </c>
      <c r="E729" s="1"/>
      <c r="F729" s="1">
        <v>133.44999999999999</v>
      </c>
      <c r="G729" s="1">
        <v>12000</v>
      </c>
      <c r="H729" s="5">
        <f t="shared" si="13"/>
        <v>0</v>
      </c>
      <c r="I729" s="1"/>
      <c r="J729" s="1"/>
    </row>
    <row r="730" spans="1:10" x14ac:dyDescent="0.2">
      <c r="A730" s="32">
        <v>724</v>
      </c>
      <c r="B730" s="1" t="s">
        <v>460</v>
      </c>
      <c r="C730" s="32">
        <v>3007</v>
      </c>
      <c r="D730" s="1">
        <v>12000</v>
      </c>
      <c r="E730" s="1"/>
      <c r="F730" s="1">
        <v>133.44999999999999</v>
      </c>
      <c r="G730" s="1">
        <v>12000</v>
      </c>
      <c r="H730" s="5">
        <f t="shared" si="13"/>
        <v>0</v>
      </c>
      <c r="I730" s="1"/>
      <c r="J730" s="1"/>
    </row>
    <row r="731" spans="1:10" x14ac:dyDescent="0.2">
      <c r="A731" s="32">
        <v>725</v>
      </c>
      <c r="B731" s="1" t="s">
        <v>460</v>
      </c>
      <c r="C731" s="32">
        <v>2705</v>
      </c>
      <c r="D731" s="1">
        <v>12000</v>
      </c>
      <c r="E731" s="1"/>
      <c r="F731" s="1">
        <v>133.44999999999999</v>
      </c>
      <c r="G731" s="1">
        <v>12000</v>
      </c>
      <c r="H731" s="5">
        <f t="shared" si="13"/>
        <v>0</v>
      </c>
      <c r="I731" s="1"/>
      <c r="J731" s="1"/>
    </row>
    <row r="732" spans="1:10" x14ac:dyDescent="0.2">
      <c r="A732" s="32">
        <v>726</v>
      </c>
      <c r="B732" s="1" t="s">
        <v>460</v>
      </c>
      <c r="C732" s="32">
        <v>6048</v>
      </c>
      <c r="D732" s="1">
        <v>12000</v>
      </c>
      <c r="E732" s="1"/>
      <c r="F732" s="1">
        <v>133.44999999999999</v>
      </c>
      <c r="G732" s="1">
        <v>12000</v>
      </c>
      <c r="H732" s="5">
        <f t="shared" si="13"/>
        <v>0</v>
      </c>
      <c r="I732" s="1"/>
      <c r="J732" s="1"/>
    </row>
    <row r="733" spans="1:10" x14ac:dyDescent="0.2">
      <c r="A733" s="32">
        <v>727</v>
      </c>
      <c r="B733" s="1" t="s">
        <v>460</v>
      </c>
      <c r="C733" s="32">
        <v>1398</v>
      </c>
      <c r="D733" s="1">
        <v>13000</v>
      </c>
      <c r="E733" s="1"/>
      <c r="F733" s="1">
        <v>144.13</v>
      </c>
      <c r="G733" s="1">
        <v>13000</v>
      </c>
      <c r="H733" s="5">
        <f t="shared" si="13"/>
        <v>0</v>
      </c>
      <c r="I733" s="1"/>
      <c r="J733" s="1"/>
    </row>
    <row r="734" spans="1:10" x14ac:dyDescent="0.2">
      <c r="A734" s="32">
        <v>728</v>
      </c>
      <c r="B734" s="1" t="s">
        <v>460</v>
      </c>
      <c r="C734" s="32">
        <v>4.7000000000000002E-3</v>
      </c>
      <c r="D734" s="1">
        <v>13000</v>
      </c>
      <c r="E734" s="1"/>
      <c r="F734" s="1">
        <v>144.13</v>
      </c>
      <c r="G734" s="1">
        <v>13000</v>
      </c>
      <c r="H734" s="5">
        <f t="shared" si="13"/>
        <v>0</v>
      </c>
      <c r="I734" s="1"/>
      <c r="J734" s="1"/>
    </row>
    <row r="735" spans="1:10" x14ac:dyDescent="0.2">
      <c r="A735" s="32">
        <v>729</v>
      </c>
      <c r="B735" s="1" t="s">
        <v>460</v>
      </c>
      <c r="C735" s="32">
        <v>1266</v>
      </c>
      <c r="D735" s="1">
        <v>13000</v>
      </c>
      <c r="E735" s="1"/>
      <c r="F735" s="1">
        <v>144.13</v>
      </c>
      <c r="G735" s="1">
        <v>13000</v>
      </c>
      <c r="H735" s="5">
        <f t="shared" si="13"/>
        <v>0</v>
      </c>
      <c r="I735" s="1"/>
      <c r="J735" s="1"/>
    </row>
    <row r="736" spans="1:10" x14ac:dyDescent="0.2">
      <c r="A736" s="32">
        <v>730</v>
      </c>
      <c r="B736" s="1" t="s">
        <v>460</v>
      </c>
      <c r="C736" s="32">
        <v>9179</v>
      </c>
      <c r="D736" s="1">
        <v>13000</v>
      </c>
      <c r="E736" s="1"/>
      <c r="F736" s="1">
        <v>144.13</v>
      </c>
      <c r="G736" s="1">
        <v>13000</v>
      </c>
      <c r="H736" s="5">
        <f t="shared" si="13"/>
        <v>0</v>
      </c>
      <c r="I736" s="1"/>
      <c r="J736" s="1"/>
    </row>
    <row r="737" spans="1:10" x14ac:dyDescent="0.2">
      <c r="A737" s="32">
        <v>731</v>
      </c>
      <c r="B737" s="1" t="s">
        <v>460</v>
      </c>
      <c r="C737" s="32">
        <v>6758</v>
      </c>
      <c r="D737" s="1">
        <v>13000</v>
      </c>
      <c r="E737" s="1"/>
      <c r="F737" s="1">
        <v>144.13</v>
      </c>
      <c r="G737" s="1">
        <v>13000</v>
      </c>
      <c r="H737" s="5">
        <f t="shared" si="13"/>
        <v>0</v>
      </c>
      <c r="I737" s="1"/>
      <c r="J737" s="1"/>
    </row>
    <row r="738" spans="1:10" x14ac:dyDescent="0.2">
      <c r="A738" s="32">
        <v>732</v>
      </c>
      <c r="B738" s="1" t="s">
        <v>460</v>
      </c>
      <c r="C738" s="32">
        <v>3398</v>
      </c>
      <c r="D738" s="1">
        <v>13000</v>
      </c>
      <c r="E738" s="1"/>
      <c r="F738" s="1">
        <v>144.13</v>
      </c>
      <c r="G738" s="1">
        <v>13000</v>
      </c>
      <c r="H738" s="5">
        <f t="shared" si="13"/>
        <v>0</v>
      </c>
      <c r="I738" s="1"/>
      <c r="J738" s="1"/>
    </row>
    <row r="739" spans="1:10" x14ac:dyDescent="0.2">
      <c r="A739" s="32">
        <v>733</v>
      </c>
      <c r="B739" s="1" t="s">
        <v>460</v>
      </c>
      <c r="C739" s="32">
        <v>9944</v>
      </c>
      <c r="D739" s="1">
        <v>13500</v>
      </c>
      <c r="E739" s="1"/>
      <c r="F739" s="1">
        <v>150.44999999999999</v>
      </c>
      <c r="G739" s="1">
        <v>13500</v>
      </c>
      <c r="H739" s="5">
        <f t="shared" si="13"/>
        <v>0</v>
      </c>
      <c r="I739" s="1"/>
      <c r="J739" s="1"/>
    </row>
    <row r="740" spans="1:10" x14ac:dyDescent="0.2">
      <c r="A740" s="32">
        <v>734</v>
      </c>
      <c r="B740" s="1" t="s">
        <v>460</v>
      </c>
      <c r="C740" s="32">
        <v>6496</v>
      </c>
      <c r="D740" s="1">
        <v>14000</v>
      </c>
      <c r="E740" s="1"/>
      <c r="F740" s="1">
        <v>155.47</v>
      </c>
      <c r="G740" s="1">
        <v>14000</v>
      </c>
      <c r="H740" s="5">
        <f t="shared" si="13"/>
        <v>0</v>
      </c>
      <c r="I740" s="1"/>
      <c r="J740" s="1"/>
    </row>
    <row r="741" spans="1:10" x14ac:dyDescent="0.2">
      <c r="A741" s="32">
        <v>735</v>
      </c>
      <c r="B741" s="1" t="s">
        <v>460</v>
      </c>
      <c r="C741" s="32">
        <v>2067</v>
      </c>
      <c r="D741" s="1">
        <v>14000</v>
      </c>
      <c r="E741" s="1"/>
      <c r="F741" s="1">
        <v>155.47</v>
      </c>
      <c r="G741" s="1">
        <v>14000</v>
      </c>
      <c r="H741" s="5">
        <f t="shared" si="13"/>
        <v>0</v>
      </c>
      <c r="I741" s="1"/>
      <c r="J741" s="1"/>
    </row>
    <row r="742" spans="1:10" x14ac:dyDescent="0.2">
      <c r="A742" s="32">
        <v>736</v>
      </c>
      <c r="B742" s="1" t="s">
        <v>460</v>
      </c>
      <c r="C742" s="32">
        <v>1046</v>
      </c>
      <c r="D742" s="1">
        <v>14000</v>
      </c>
      <c r="E742" s="1"/>
      <c r="F742" s="1">
        <v>155.47</v>
      </c>
      <c r="G742" s="1">
        <v>14000</v>
      </c>
      <c r="H742" s="5">
        <f t="shared" si="13"/>
        <v>0</v>
      </c>
      <c r="I742" s="1"/>
      <c r="J742" s="1"/>
    </row>
    <row r="743" spans="1:10" x14ac:dyDescent="0.2">
      <c r="A743" s="32">
        <v>737</v>
      </c>
      <c r="B743" s="1" t="s">
        <v>460</v>
      </c>
      <c r="C743" s="32">
        <v>1006</v>
      </c>
      <c r="D743" s="1">
        <v>15000</v>
      </c>
      <c r="E743" s="1"/>
      <c r="F743" s="1">
        <v>167.15</v>
      </c>
      <c r="G743" s="1">
        <v>15000</v>
      </c>
      <c r="H743" s="5">
        <f t="shared" ref="H743:H806" si="14">D743-G743</f>
        <v>0</v>
      </c>
      <c r="I743" s="1"/>
      <c r="J743" s="1"/>
    </row>
    <row r="744" spans="1:10" x14ac:dyDescent="0.2">
      <c r="A744" s="32">
        <v>738</v>
      </c>
      <c r="B744" s="1" t="s">
        <v>460</v>
      </c>
      <c r="C744" s="32">
        <v>4282</v>
      </c>
      <c r="D744" s="1">
        <v>15000</v>
      </c>
      <c r="E744" s="1"/>
      <c r="F744" s="1">
        <v>167.15</v>
      </c>
      <c r="G744" s="1">
        <v>15000</v>
      </c>
      <c r="H744" s="5">
        <f t="shared" si="14"/>
        <v>0</v>
      </c>
      <c r="I744" s="1"/>
      <c r="J744" s="1"/>
    </row>
    <row r="745" spans="1:10" x14ac:dyDescent="0.2">
      <c r="A745" s="32">
        <v>739</v>
      </c>
      <c r="B745" s="1" t="s">
        <v>460</v>
      </c>
      <c r="C745" s="32">
        <v>5.1999999999999998E-3</v>
      </c>
      <c r="D745" s="1">
        <v>16000</v>
      </c>
      <c r="E745" s="1"/>
      <c r="F745" s="1">
        <v>178.22</v>
      </c>
      <c r="G745" s="1">
        <v>16000</v>
      </c>
      <c r="H745" s="5">
        <f t="shared" si="14"/>
        <v>0</v>
      </c>
      <c r="I745" s="1"/>
      <c r="J745" s="1"/>
    </row>
    <row r="746" spans="1:10" x14ac:dyDescent="0.2">
      <c r="A746" s="32">
        <v>740</v>
      </c>
      <c r="B746" s="1" t="s">
        <v>460</v>
      </c>
      <c r="C746" s="32">
        <v>3855</v>
      </c>
      <c r="D746" s="1">
        <v>18000</v>
      </c>
      <c r="E746" s="1"/>
      <c r="F746" s="1">
        <v>200.75</v>
      </c>
      <c r="G746" s="1">
        <v>18000</v>
      </c>
      <c r="H746" s="5">
        <f t="shared" si="14"/>
        <v>0</v>
      </c>
      <c r="I746" s="1"/>
      <c r="J746" s="1"/>
    </row>
    <row r="747" spans="1:10" x14ac:dyDescent="0.2">
      <c r="A747" s="32">
        <v>741</v>
      </c>
      <c r="B747" s="1" t="s">
        <v>460</v>
      </c>
      <c r="C747" s="32">
        <v>2913</v>
      </c>
      <c r="D747" s="1">
        <v>18000</v>
      </c>
      <c r="E747" s="1"/>
      <c r="F747" s="1">
        <v>200.75</v>
      </c>
      <c r="G747" s="1">
        <v>18000</v>
      </c>
      <c r="H747" s="5">
        <f t="shared" si="14"/>
        <v>0</v>
      </c>
      <c r="I747" s="1"/>
      <c r="J747" s="1"/>
    </row>
    <row r="748" spans="1:10" x14ac:dyDescent="0.2">
      <c r="A748" s="32">
        <v>742</v>
      </c>
      <c r="B748" s="1" t="s">
        <v>460</v>
      </c>
      <c r="C748" s="32">
        <v>3662</v>
      </c>
      <c r="D748" s="1">
        <v>18000</v>
      </c>
      <c r="E748" s="1"/>
      <c r="F748" s="1">
        <v>200.75</v>
      </c>
      <c r="G748" s="1">
        <v>18000</v>
      </c>
      <c r="H748" s="5">
        <f t="shared" si="14"/>
        <v>0</v>
      </c>
      <c r="I748" s="1"/>
      <c r="J748" s="1"/>
    </row>
    <row r="749" spans="1:10" x14ac:dyDescent="0.2">
      <c r="A749" s="32">
        <v>743</v>
      </c>
      <c r="B749" s="1" t="s">
        <v>460</v>
      </c>
      <c r="C749" s="32">
        <v>4243</v>
      </c>
      <c r="D749" s="1">
        <v>21000</v>
      </c>
      <c r="E749" s="1"/>
      <c r="F749" s="1">
        <v>233.45</v>
      </c>
      <c r="G749" s="1">
        <v>21000</v>
      </c>
      <c r="H749" s="5">
        <f t="shared" si="14"/>
        <v>0</v>
      </c>
      <c r="I749" s="1"/>
      <c r="J749" s="1"/>
    </row>
    <row r="750" spans="1:10" x14ac:dyDescent="0.2">
      <c r="A750" s="32">
        <v>744</v>
      </c>
      <c r="B750" s="1" t="s">
        <v>460</v>
      </c>
      <c r="C750" s="32">
        <v>5943</v>
      </c>
      <c r="D750" s="1">
        <v>30000</v>
      </c>
      <c r="E750" s="1"/>
      <c r="F750" s="1">
        <v>334.54</v>
      </c>
      <c r="G750" s="1">
        <v>30000</v>
      </c>
      <c r="H750" s="5">
        <f t="shared" si="14"/>
        <v>0</v>
      </c>
      <c r="I750" s="1"/>
      <c r="J750" s="1"/>
    </row>
    <row r="751" spans="1:10" x14ac:dyDescent="0.2">
      <c r="A751" s="32">
        <v>745</v>
      </c>
      <c r="B751" s="1" t="s">
        <v>460</v>
      </c>
      <c r="C751" s="32">
        <v>5804</v>
      </c>
      <c r="D751" s="1">
        <v>3000</v>
      </c>
      <c r="E751" s="1"/>
      <c r="F751" s="1">
        <v>36.21</v>
      </c>
      <c r="G751" s="1">
        <v>3000</v>
      </c>
      <c r="H751" s="5">
        <f t="shared" si="14"/>
        <v>0</v>
      </c>
      <c r="I751" s="1"/>
      <c r="J751" s="1"/>
    </row>
    <row r="752" spans="1:10" x14ac:dyDescent="0.2">
      <c r="A752" s="32">
        <v>746</v>
      </c>
      <c r="B752" s="1" t="s">
        <v>460</v>
      </c>
      <c r="C752" s="32">
        <v>6457</v>
      </c>
      <c r="D752" s="1">
        <v>12000</v>
      </c>
      <c r="E752" s="1"/>
      <c r="F752" s="1">
        <v>133.25</v>
      </c>
      <c r="G752" s="1">
        <v>12000</v>
      </c>
      <c r="H752" s="5">
        <f t="shared" si="14"/>
        <v>0</v>
      </c>
      <c r="I752" s="1"/>
      <c r="J752" s="1"/>
    </row>
    <row r="753" spans="1:10" x14ac:dyDescent="0.2">
      <c r="A753" s="32">
        <v>747</v>
      </c>
      <c r="B753" s="1" t="s">
        <v>460</v>
      </c>
      <c r="C753" s="32">
        <v>9259</v>
      </c>
      <c r="D753" s="1">
        <v>13000</v>
      </c>
      <c r="E753" s="1"/>
      <c r="F753" s="1">
        <v>144.13</v>
      </c>
      <c r="G753" s="1">
        <v>13000</v>
      </c>
      <c r="H753" s="5">
        <f t="shared" si="14"/>
        <v>0</v>
      </c>
      <c r="I753" s="1"/>
      <c r="J753" s="1"/>
    </row>
    <row r="754" spans="1:10" x14ac:dyDescent="0.2">
      <c r="A754" s="32">
        <v>748</v>
      </c>
      <c r="B754" s="1" t="s">
        <v>460</v>
      </c>
      <c r="C754" s="32">
        <v>1452</v>
      </c>
      <c r="D754" s="1">
        <v>13000</v>
      </c>
      <c r="E754" s="1"/>
      <c r="F754" s="1">
        <v>144.13</v>
      </c>
      <c r="G754" s="1">
        <v>13000</v>
      </c>
      <c r="H754" s="5">
        <f t="shared" si="14"/>
        <v>0</v>
      </c>
      <c r="I754" s="1"/>
      <c r="J754" s="1"/>
    </row>
    <row r="755" spans="1:10" x14ac:dyDescent="0.2">
      <c r="A755" s="32">
        <v>749</v>
      </c>
      <c r="B755" s="1" t="s">
        <v>460</v>
      </c>
      <c r="C755" s="32">
        <v>9727</v>
      </c>
      <c r="D755" s="1">
        <v>24000</v>
      </c>
      <c r="E755" s="1"/>
      <c r="F755" s="1">
        <v>267.42</v>
      </c>
      <c r="G755" s="1">
        <v>24000</v>
      </c>
      <c r="H755" s="5">
        <f t="shared" si="14"/>
        <v>0</v>
      </c>
      <c r="I755" s="1"/>
      <c r="J755" s="1"/>
    </row>
    <row r="756" spans="1:10" x14ac:dyDescent="0.2">
      <c r="A756" s="32">
        <v>750</v>
      </c>
      <c r="B756" s="1" t="s">
        <v>460</v>
      </c>
      <c r="C756" s="32">
        <v>7495</v>
      </c>
      <c r="D756" s="1">
        <v>25000</v>
      </c>
      <c r="E756" s="1"/>
      <c r="F756" s="1">
        <v>272.58</v>
      </c>
      <c r="G756" s="1">
        <v>25000</v>
      </c>
      <c r="H756" s="5">
        <f t="shared" si="14"/>
        <v>0</v>
      </c>
      <c r="I756" s="1"/>
      <c r="J756" s="1"/>
    </row>
    <row r="757" spans="1:10" x14ac:dyDescent="0.2">
      <c r="A757" s="32">
        <v>751</v>
      </c>
      <c r="B757" s="1" t="s">
        <v>460</v>
      </c>
      <c r="C757" s="32">
        <v>8.0199999999999994E-2</v>
      </c>
      <c r="D757" s="1">
        <v>25000</v>
      </c>
      <c r="E757" s="1"/>
      <c r="F757" s="1">
        <v>272.58</v>
      </c>
      <c r="G757" s="1">
        <v>25000</v>
      </c>
      <c r="H757" s="5">
        <f t="shared" si="14"/>
        <v>0</v>
      </c>
      <c r="I757" s="1"/>
      <c r="J757" s="1"/>
    </row>
    <row r="758" spans="1:10" x14ac:dyDescent="0.2">
      <c r="A758" s="32">
        <v>752</v>
      </c>
      <c r="B758" s="1" t="s">
        <v>460</v>
      </c>
      <c r="C758" s="32">
        <v>2951</v>
      </c>
      <c r="D758" s="1">
        <v>16000</v>
      </c>
      <c r="E758" s="1"/>
      <c r="F758" s="1">
        <v>168.24</v>
      </c>
      <c r="G758" s="1">
        <v>16000</v>
      </c>
      <c r="H758" s="5">
        <f t="shared" si="14"/>
        <v>0</v>
      </c>
      <c r="I758" s="1"/>
      <c r="J758" s="1"/>
    </row>
    <row r="759" spans="1:10" x14ac:dyDescent="0.2">
      <c r="A759" s="32">
        <v>753</v>
      </c>
      <c r="B759" s="1" t="s">
        <v>460</v>
      </c>
      <c r="C759" s="32">
        <v>5.0799999999999998E-2</v>
      </c>
      <c r="D759" s="1">
        <v>33927</v>
      </c>
      <c r="E759" s="1"/>
      <c r="F759" s="1">
        <v>377.45</v>
      </c>
      <c r="G759" s="1">
        <v>33927</v>
      </c>
      <c r="H759" s="5">
        <f t="shared" si="14"/>
        <v>0</v>
      </c>
      <c r="I759" s="1"/>
      <c r="J759" s="1"/>
    </row>
    <row r="760" spans="1:10" x14ac:dyDescent="0.2">
      <c r="A760" s="32">
        <v>754</v>
      </c>
      <c r="B760" s="1" t="s">
        <v>464</v>
      </c>
      <c r="C760" s="32">
        <v>5.1000000000000004E-3</v>
      </c>
      <c r="D760" s="1">
        <v>16000</v>
      </c>
      <c r="E760" s="1"/>
      <c r="F760" s="1">
        <v>178.22</v>
      </c>
      <c r="G760" s="1">
        <v>16000</v>
      </c>
      <c r="H760" s="5">
        <f t="shared" si="14"/>
        <v>0</v>
      </c>
      <c r="I760" s="1"/>
      <c r="J760" s="1"/>
    </row>
    <row r="761" spans="1:10" x14ac:dyDescent="0.2">
      <c r="A761" s="32">
        <v>755</v>
      </c>
      <c r="B761" s="1" t="s">
        <v>464</v>
      </c>
      <c r="C761" s="32">
        <v>5151</v>
      </c>
      <c r="D761" s="1">
        <v>16000</v>
      </c>
      <c r="E761" s="1"/>
      <c r="F761" s="1">
        <v>178.22</v>
      </c>
      <c r="G761" s="1">
        <v>16000</v>
      </c>
      <c r="H761" s="5">
        <f t="shared" si="14"/>
        <v>0</v>
      </c>
      <c r="I761" s="1"/>
      <c r="J761" s="1"/>
    </row>
    <row r="762" spans="1:10" x14ac:dyDescent="0.2">
      <c r="A762" s="32">
        <v>756</v>
      </c>
      <c r="B762" s="1" t="s">
        <v>464</v>
      </c>
      <c r="C762" s="32" t="s">
        <v>30</v>
      </c>
      <c r="D762" s="1">
        <v>5000</v>
      </c>
      <c r="E762" s="1"/>
      <c r="F762" s="1">
        <v>55.15</v>
      </c>
      <c r="G762" s="1">
        <v>5000</v>
      </c>
      <c r="H762" s="5">
        <f t="shared" si="14"/>
        <v>0</v>
      </c>
      <c r="I762" s="1"/>
      <c r="J762" s="1"/>
    </row>
    <row r="763" spans="1:10" x14ac:dyDescent="0.2">
      <c r="A763" s="32">
        <v>757</v>
      </c>
      <c r="B763" s="1" t="s">
        <v>464</v>
      </c>
      <c r="C763" s="32">
        <v>3.8399999999999997E-2</v>
      </c>
      <c r="D763" s="1">
        <v>10000</v>
      </c>
      <c r="E763" s="1"/>
      <c r="F763" s="1">
        <v>111.45</v>
      </c>
      <c r="G763" s="1">
        <v>10000</v>
      </c>
      <c r="H763" s="5">
        <f t="shared" si="14"/>
        <v>0</v>
      </c>
      <c r="I763" s="1"/>
      <c r="J763" s="1"/>
    </row>
    <row r="764" spans="1:10" x14ac:dyDescent="0.2">
      <c r="A764" s="32">
        <v>758</v>
      </c>
      <c r="B764" s="1" t="s">
        <v>464</v>
      </c>
      <c r="C764" s="32" t="s">
        <v>30</v>
      </c>
      <c r="D764" s="1">
        <v>4500</v>
      </c>
      <c r="E764" s="1"/>
      <c r="F764" s="1">
        <v>50.18</v>
      </c>
      <c r="G764" s="1">
        <v>4500</v>
      </c>
      <c r="H764" s="5">
        <f t="shared" si="14"/>
        <v>0</v>
      </c>
      <c r="I764" s="1"/>
      <c r="J764" s="1"/>
    </row>
    <row r="765" spans="1:10" x14ac:dyDescent="0.2">
      <c r="A765" s="32">
        <v>759</v>
      </c>
      <c r="B765" s="1" t="s">
        <v>464</v>
      </c>
      <c r="C765" s="32">
        <v>2525</v>
      </c>
      <c r="D765" s="1">
        <v>17000</v>
      </c>
      <c r="E765" s="1"/>
      <c r="F765" s="1">
        <v>189.45</v>
      </c>
      <c r="G765" s="1">
        <v>17000</v>
      </c>
      <c r="H765" s="5">
        <f t="shared" si="14"/>
        <v>0</v>
      </c>
      <c r="I765" s="1"/>
      <c r="J765" s="1"/>
    </row>
    <row r="766" spans="1:10" x14ac:dyDescent="0.2">
      <c r="A766" s="32">
        <v>760</v>
      </c>
      <c r="B766" s="1" t="s">
        <v>464</v>
      </c>
      <c r="C766" s="32">
        <v>8068</v>
      </c>
      <c r="D766" s="1">
        <v>20000</v>
      </c>
      <c r="E766" s="1"/>
      <c r="F766" s="1">
        <v>222.25</v>
      </c>
      <c r="G766" s="1">
        <v>20000</v>
      </c>
      <c r="H766" s="5">
        <f t="shared" si="14"/>
        <v>0</v>
      </c>
      <c r="I766" s="1"/>
      <c r="J766" s="1"/>
    </row>
    <row r="767" spans="1:10" x14ac:dyDescent="0.2">
      <c r="A767" s="32">
        <v>761</v>
      </c>
      <c r="B767" s="1" t="s">
        <v>464</v>
      </c>
      <c r="C767" s="32">
        <v>1121</v>
      </c>
      <c r="D767" s="1">
        <v>30000</v>
      </c>
      <c r="E767" s="1"/>
      <c r="F767" s="1">
        <v>334.47</v>
      </c>
      <c r="G767" s="1">
        <v>30000</v>
      </c>
      <c r="H767" s="5">
        <f t="shared" si="14"/>
        <v>0</v>
      </c>
      <c r="I767" s="1"/>
      <c r="J767" s="1"/>
    </row>
    <row r="768" spans="1:10" x14ac:dyDescent="0.2">
      <c r="A768" s="32">
        <v>762</v>
      </c>
      <c r="B768" s="1" t="s">
        <v>464</v>
      </c>
      <c r="C768" s="32">
        <v>6535</v>
      </c>
      <c r="D768" s="1">
        <v>22000</v>
      </c>
      <c r="E768" s="1"/>
      <c r="F768" s="1">
        <v>245.85</v>
      </c>
      <c r="G768" s="1">
        <v>22000</v>
      </c>
      <c r="H768" s="5">
        <f t="shared" si="14"/>
        <v>0</v>
      </c>
      <c r="I768" s="1"/>
      <c r="J768" s="1"/>
    </row>
    <row r="769" spans="1:10" x14ac:dyDescent="0.2">
      <c r="A769" s="32">
        <v>763</v>
      </c>
      <c r="B769" s="1" t="s">
        <v>464</v>
      </c>
      <c r="C769" s="32">
        <v>2930</v>
      </c>
      <c r="D769" s="1">
        <v>10000</v>
      </c>
      <c r="E769" s="1"/>
      <c r="F769" s="1">
        <v>111.45</v>
      </c>
      <c r="G769" s="1">
        <v>10000</v>
      </c>
      <c r="H769" s="5">
        <f t="shared" si="14"/>
        <v>0</v>
      </c>
      <c r="I769" s="1"/>
      <c r="J769" s="1"/>
    </row>
    <row r="770" spans="1:10" x14ac:dyDescent="0.2">
      <c r="A770" s="32">
        <v>764</v>
      </c>
      <c r="B770" s="1" t="s">
        <v>464</v>
      </c>
      <c r="C770" s="32">
        <v>2522</v>
      </c>
      <c r="D770" s="1">
        <v>28000</v>
      </c>
      <c r="E770" s="1"/>
      <c r="F770" s="1">
        <v>311.48</v>
      </c>
      <c r="G770" s="1">
        <v>28000</v>
      </c>
      <c r="H770" s="5">
        <f t="shared" si="14"/>
        <v>0</v>
      </c>
      <c r="I770" s="1"/>
      <c r="J770" s="1"/>
    </row>
    <row r="771" spans="1:10" x14ac:dyDescent="0.2">
      <c r="A771" s="32">
        <v>765</v>
      </c>
      <c r="B771" s="1" t="s">
        <v>464</v>
      </c>
      <c r="C771" s="32">
        <v>4928</v>
      </c>
      <c r="D771" s="1">
        <v>25000</v>
      </c>
      <c r="E771" s="1"/>
      <c r="F771" s="1">
        <v>278.22000000000003</v>
      </c>
      <c r="G771" s="1">
        <v>25000</v>
      </c>
      <c r="H771" s="5">
        <f t="shared" si="14"/>
        <v>0</v>
      </c>
      <c r="I771" s="1"/>
      <c r="J771" s="1"/>
    </row>
    <row r="772" spans="1:10" x14ac:dyDescent="0.2">
      <c r="A772" s="32">
        <v>766</v>
      </c>
      <c r="B772" s="1" t="s">
        <v>465</v>
      </c>
      <c r="C772" s="32">
        <v>4071</v>
      </c>
      <c r="D772" s="1">
        <v>20000</v>
      </c>
      <c r="E772" s="1"/>
      <c r="F772" s="1">
        <v>222.45</v>
      </c>
      <c r="G772" s="1">
        <v>20000</v>
      </c>
      <c r="H772" s="5">
        <f t="shared" si="14"/>
        <v>0</v>
      </c>
      <c r="I772" s="1"/>
      <c r="J772" s="1"/>
    </row>
    <row r="773" spans="1:10" x14ac:dyDescent="0.2">
      <c r="A773" s="32">
        <v>767</v>
      </c>
      <c r="B773" s="1" t="s">
        <v>465</v>
      </c>
      <c r="C773" s="32">
        <v>5668</v>
      </c>
      <c r="D773" s="1">
        <v>12000</v>
      </c>
      <c r="E773" s="1"/>
      <c r="F773" s="1">
        <v>133.25</v>
      </c>
      <c r="G773" s="1">
        <v>12000</v>
      </c>
      <c r="H773" s="5">
        <f t="shared" si="14"/>
        <v>0</v>
      </c>
      <c r="I773" s="1"/>
      <c r="J773" s="1"/>
    </row>
    <row r="774" spans="1:10" x14ac:dyDescent="0.2">
      <c r="A774" s="32">
        <v>768</v>
      </c>
      <c r="B774" s="1" t="s">
        <v>465</v>
      </c>
      <c r="C774" s="32">
        <v>5183</v>
      </c>
      <c r="D774" s="1">
        <v>10000</v>
      </c>
      <c r="E774" s="1"/>
      <c r="F774" s="1">
        <v>111.45</v>
      </c>
      <c r="G774" s="1">
        <v>10000</v>
      </c>
      <c r="H774" s="5">
        <f t="shared" si="14"/>
        <v>0</v>
      </c>
      <c r="I774" s="1"/>
      <c r="J774" s="1"/>
    </row>
    <row r="775" spans="1:10" x14ac:dyDescent="0.2">
      <c r="A775" s="32">
        <v>769</v>
      </c>
      <c r="B775" s="1" t="s">
        <v>465</v>
      </c>
      <c r="C775" s="32">
        <v>5403</v>
      </c>
      <c r="D775" s="1">
        <v>10000</v>
      </c>
      <c r="E775" s="1"/>
      <c r="F775" s="1">
        <v>111.45</v>
      </c>
      <c r="G775" s="1">
        <v>10000</v>
      </c>
      <c r="H775" s="5">
        <f t="shared" si="14"/>
        <v>0</v>
      </c>
      <c r="I775" s="1"/>
      <c r="J775" s="1"/>
    </row>
    <row r="776" spans="1:10" x14ac:dyDescent="0.2">
      <c r="A776" s="32">
        <v>770</v>
      </c>
      <c r="B776" s="1" t="s">
        <v>465</v>
      </c>
      <c r="C776" s="32">
        <v>2681</v>
      </c>
      <c r="D776" s="1">
        <v>16000</v>
      </c>
      <c r="E776" s="1"/>
      <c r="F776" s="1">
        <v>178.22</v>
      </c>
      <c r="G776" s="1">
        <v>16000</v>
      </c>
      <c r="H776" s="5">
        <f t="shared" si="14"/>
        <v>0</v>
      </c>
      <c r="I776" s="1"/>
      <c r="J776" s="1"/>
    </row>
    <row r="777" spans="1:10" x14ac:dyDescent="0.2">
      <c r="A777" s="32">
        <v>771</v>
      </c>
      <c r="B777" s="1" t="s">
        <v>465</v>
      </c>
      <c r="C777" s="32">
        <v>9645</v>
      </c>
      <c r="D777" s="1">
        <v>16000</v>
      </c>
      <c r="E777" s="1"/>
      <c r="F777" s="1">
        <v>178.22</v>
      </c>
      <c r="G777" s="1">
        <v>16000</v>
      </c>
      <c r="H777" s="5">
        <f t="shared" si="14"/>
        <v>0</v>
      </c>
      <c r="I777" s="1"/>
      <c r="J777" s="1"/>
    </row>
    <row r="778" spans="1:10" x14ac:dyDescent="0.2">
      <c r="A778" s="32">
        <v>772</v>
      </c>
      <c r="B778" s="1" t="s">
        <v>465</v>
      </c>
      <c r="C778" s="32" t="s">
        <v>66</v>
      </c>
      <c r="D778" s="1">
        <v>200</v>
      </c>
      <c r="E778" s="1"/>
      <c r="F778" s="1">
        <v>2.12</v>
      </c>
      <c r="G778" s="1">
        <v>200</v>
      </c>
      <c r="H778" s="5">
        <f t="shared" si="14"/>
        <v>0</v>
      </c>
      <c r="I778" s="1"/>
      <c r="J778" s="1"/>
    </row>
    <row r="779" spans="1:10" x14ac:dyDescent="0.2">
      <c r="A779" s="32">
        <v>773</v>
      </c>
      <c r="B779" s="1" t="s">
        <v>465</v>
      </c>
      <c r="C779" s="32">
        <v>4111</v>
      </c>
      <c r="D779" s="1">
        <v>25000</v>
      </c>
      <c r="E779" s="1"/>
      <c r="F779" s="1">
        <v>279.54000000000002</v>
      </c>
      <c r="G779" s="1">
        <v>25000</v>
      </c>
      <c r="H779" s="5">
        <f t="shared" si="14"/>
        <v>0</v>
      </c>
      <c r="I779" s="1"/>
      <c r="J779" s="1"/>
    </row>
    <row r="780" spans="1:10" x14ac:dyDescent="0.2">
      <c r="A780" s="32">
        <v>774</v>
      </c>
      <c r="B780" s="1" t="s">
        <v>465</v>
      </c>
      <c r="C780" s="32">
        <v>6331</v>
      </c>
      <c r="D780" s="1">
        <v>25000</v>
      </c>
      <c r="E780" s="1"/>
      <c r="F780" s="1">
        <v>278.22000000000003</v>
      </c>
      <c r="G780" s="1">
        <v>25000</v>
      </c>
      <c r="H780" s="5">
        <f t="shared" si="14"/>
        <v>0</v>
      </c>
      <c r="I780" s="1"/>
      <c r="J780" s="1"/>
    </row>
    <row r="781" spans="1:10" x14ac:dyDescent="0.2">
      <c r="A781" s="32">
        <v>775</v>
      </c>
      <c r="B781" s="1" t="s">
        <v>465</v>
      </c>
      <c r="C781" s="32" t="s">
        <v>30</v>
      </c>
      <c r="D781" s="1">
        <v>4500</v>
      </c>
      <c r="E781" s="1"/>
      <c r="F781" s="1">
        <v>50.12</v>
      </c>
      <c r="G781" s="1">
        <v>4500</v>
      </c>
      <c r="H781" s="5">
        <f t="shared" si="14"/>
        <v>0</v>
      </c>
      <c r="I781" s="1"/>
      <c r="J781" s="1"/>
    </row>
    <row r="782" spans="1:10" x14ac:dyDescent="0.2">
      <c r="A782" s="32">
        <v>776</v>
      </c>
      <c r="B782" s="1" t="s">
        <v>465</v>
      </c>
      <c r="C782" s="32">
        <v>4643</v>
      </c>
      <c r="D782" s="1">
        <v>26300</v>
      </c>
      <c r="E782" s="1"/>
      <c r="F782" s="1">
        <v>293.25</v>
      </c>
      <c r="G782" s="1">
        <v>26300</v>
      </c>
      <c r="H782" s="5">
        <f t="shared" si="14"/>
        <v>0</v>
      </c>
      <c r="I782" s="1"/>
      <c r="J782" s="1"/>
    </row>
    <row r="783" spans="1:10" x14ac:dyDescent="0.2">
      <c r="A783" s="32">
        <v>777</v>
      </c>
      <c r="B783" s="1" t="s">
        <v>465</v>
      </c>
      <c r="C783" s="32">
        <v>2943</v>
      </c>
      <c r="D783" s="1">
        <v>33000</v>
      </c>
      <c r="E783" s="1"/>
      <c r="F783" s="1">
        <v>367.48</v>
      </c>
      <c r="G783" s="1">
        <v>33000</v>
      </c>
      <c r="H783" s="5">
        <f t="shared" si="14"/>
        <v>0</v>
      </c>
      <c r="I783" s="1"/>
      <c r="J783" s="1"/>
    </row>
    <row r="784" spans="1:10" x14ac:dyDescent="0.2">
      <c r="A784" s="32">
        <v>778</v>
      </c>
      <c r="B784" s="1" t="s">
        <v>465</v>
      </c>
      <c r="C784" s="32">
        <v>1883</v>
      </c>
      <c r="D784" s="1">
        <v>24000</v>
      </c>
      <c r="E784" s="1"/>
      <c r="F784" s="1">
        <v>267.14999999999998</v>
      </c>
      <c r="G784" s="1">
        <v>24000</v>
      </c>
      <c r="H784" s="5">
        <f t="shared" si="14"/>
        <v>0</v>
      </c>
      <c r="I784" s="1"/>
      <c r="J784" s="1"/>
    </row>
    <row r="785" spans="1:10" x14ac:dyDescent="0.2">
      <c r="A785" s="32">
        <v>779</v>
      </c>
      <c r="B785" s="1" t="s">
        <v>465</v>
      </c>
      <c r="C785" s="32">
        <v>5035</v>
      </c>
      <c r="D785" s="1">
        <v>30000</v>
      </c>
      <c r="E785" s="1"/>
      <c r="F785" s="1">
        <v>334.48</v>
      </c>
      <c r="G785" s="1">
        <v>30000</v>
      </c>
      <c r="H785" s="5">
        <f t="shared" si="14"/>
        <v>0</v>
      </c>
      <c r="I785" s="1"/>
      <c r="J785" s="1"/>
    </row>
    <row r="786" spans="1:10" x14ac:dyDescent="0.2">
      <c r="A786" s="32">
        <v>780</v>
      </c>
      <c r="B786" s="1" t="s">
        <v>465</v>
      </c>
      <c r="C786" s="32">
        <v>9453</v>
      </c>
      <c r="D786" s="1">
        <v>22000</v>
      </c>
      <c r="E786" s="1"/>
      <c r="F786" s="1">
        <v>240.78</v>
      </c>
      <c r="G786" s="1">
        <v>22000</v>
      </c>
      <c r="H786" s="5">
        <f t="shared" si="14"/>
        <v>0</v>
      </c>
      <c r="I786" s="1"/>
      <c r="J786" s="1"/>
    </row>
    <row r="787" spans="1:10" x14ac:dyDescent="0.2">
      <c r="A787" s="32">
        <v>781</v>
      </c>
      <c r="B787" s="1" t="s">
        <v>465</v>
      </c>
      <c r="C787" s="32">
        <v>9989</v>
      </c>
      <c r="D787" s="1">
        <v>28000</v>
      </c>
      <c r="E787" s="1"/>
      <c r="F787" s="1">
        <v>311.58</v>
      </c>
      <c r="G787" s="1">
        <v>28000</v>
      </c>
      <c r="H787" s="5">
        <f t="shared" si="14"/>
        <v>0</v>
      </c>
      <c r="I787" s="1"/>
      <c r="J787" s="1"/>
    </row>
    <row r="788" spans="1:10" x14ac:dyDescent="0.2">
      <c r="A788" s="32">
        <v>782</v>
      </c>
      <c r="B788" s="1" t="s">
        <v>465</v>
      </c>
      <c r="C788" s="32">
        <v>9353</v>
      </c>
      <c r="D788" s="1">
        <v>22000</v>
      </c>
      <c r="E788" s="1"/>
      <c r="F788" s="1">
        <v>222.47</v>
      </c>
      <c r="G788" s="1">
        <v>22000</v>
      </c>
      <c r="H788" s="5">
        <f t="shared" si="14"/>
        <v>0</v>
      </c>
      <c r="I788" s="1"/>
      <c r="J788" s="1"/>
    </row>
    <row r="789" spans="1:10" x14ac:dyDescent="0.2">
      <c r="A789" s="32">
        <v>783</v>
      </c>
      <c r="B789" s="1" t="s">
        <v>466</v>
      </c>
      <c r="C789" s="32">
        <v>4105</v>
      </c>
      <c r="D789" s="1">
        <v>13000</v>
      </c>
      <c r="E789" s="1"/>
      <c r="F789" s="1">
        <v>144.13</v>
      </c>
      <c r="G789" s="1">
        <v>13000</v>
      </c>
      <c r="H789" s="5">
        <f t="shared" si="14"/>
        <v>0</v>
      </c>
      <c r="I789" s="1"/>
      <c r="J789" s="1"/>
    </row>
    <row r="790" spans="1:10" x14ac:dyDescent="0.2">
      <c r="A790" s="32">
        <v>784</v>
      </c>
      <c r="B790" s="1" t="s">
        <v>466</v>
      </c>
      <c r="C790" s="32">
        <v>3472</v>
      </c>
      <c r="D790" s="1">
        <v>13500</v>
      </c>
      <c r="E790" s="1"/>
      <c r="F790" s="1">
        <v>150.44999999999999</v>
      </c>
      <c r="G790" s="1">
        <v>13500</v>
      </c>
      <c r="H790" s="5">
        <f t="shared" si="14"/>
        <v>0</v>
      </c>
      <c r="I790" s="1"/>
      <c r="J790" s="1"/>
    </row>
    <row r="791" spans="1:10" x14ac:dyDescent="0.2">
      <c r="A791" s="32">
        <v>785</v>
      </c>
      <c r="B791" s="1" t="s">
        <v>466</v>
      </c>
      <c r="C791" s="32">
        <v>6538</v>
      </c>
      <c r="D791" s="1">
        <v>9000</v>
      </c>
      <c r="E791" s="1"/>
      <c r="F791" s="1">
        <v>100.45</v>
      </c>
      <c r="G791" s="1">
        <v>9000</v>
      </c>
      <c r="H791" s="5">
        <f t="shared" si="14"/>
        <v>0</v>
      </c>
      <c r="I791" s="1"/>
      <c r="J791" s="1"/>
    </row>
    <row r="792" spans="1:10" x14ac:dyDescent="0.2">
      <c r="A792" s="32">
        <v>786</v>
      </c>
      <c r="B792" s="1" t="s">
        <v>466</v>
      </c>
      <c r="C792" s="32">
        <v>9.5899999999999999E-2</v>
      </c>
      <c r="D792" s="1">
        <v>28000</v>
      </c>
      <c r="E792" s="1"/>
      <c r="F792" s="1">
        <v>310.47000000000003</v>
      </c>
      <c r="G792" s="1">
        <v>28000</v>
      </c>
      <c r="H792" s="5">
        <f t="shared" si="14"/>
        <v>0</v>
      </c>
      <c r="I792" s="1"/>
      <c r="J792" s="1"/>
    </row>
    <row r="793" spans="1:10" x14ac:dyDescent="0.2">
      <c r="A793" s="32">
        <v>787</v>
      </c>
      <c r="B793" s="1" t="s">
        <v>466</v>
      </c>
      <c r="C793" s="32">
        <v>2588</v>
      </c>
      <c r="D793" s="1">
        <v>28000</v>
      </c>
      <c r="E793" s="1"/>
      <c r="F793" s="1">
        <v>310.47000000000003</v>
      </c>
      <c r="G793" s="1">
        <v>28000</v>
      </c>
      <c r="H793" s="5">
        <f t="shared" si="14"/>
        <v>0</v>
      </c>
      <c r="I793" s="1"/>
      <c r="J793" s="1"/>
    </row>
    <row r="794" spans="1:10" x14ac:dyDescent="0.2">
      <c r="A794" s="32">
        <v>788</v>
      </c>
      <c r="B794" s="1" t="s">
        <v>466</v>
      </c>
      <c r="C794" s="32">
        <v>5931</v>
      </c>
      <c r="D794" s="1">
        <v>16000</v>
      </c>
      <c r="E794" s="1"/>
      <c r="F794" s="1">
        <v>178.22</v>
      </c>
      <c r="G794" s="1">
        <v>16000</v>
      </c>
      <c r="H794" s="5">
        <f t="shared" si="14"/>
        <v>0</v>
      </c>
      <c r="I794" s="1"/>
      <c r="J794" s="1"/>
    </row>
    <row r="795" spans="1:10" x14ac:dyDescent="0.2">
      <c r="A795" s="32">
        <v>789</v>
      </c>
      <c r="B795" s="1" t="s">
        <v>466</v>
      </c>
      <c r="C795" s="32">
        <v>4441</v>
      </c>
      <c r="D795" s="1">
        <v>16000</v>
      </c>
      <c r="E795" s="1"/>
      <c r="F795" s="1">
        <v>178.22</v>
      </c>
      <c r="G795" s="1">
        <v>16000</v>
      </c>
      <c r="H795" s="5">
        <f t="shared" si="14"/>
        <v>0</v>
      </c>
      <c r="I795" s="1"/>
      <c r="J795" s="1"/>
    </row>
    <row r="796" spans="1:10" x14ac:dyDescent="0.2">
      <c r="A796" s="32">
        <v>790</v>
      </c>
      <c r="B796" s="1" t="s">
        <v>466</v>
      </c>
      <c r="C796" s="32" t="s">
        <v>30</v>
      </c>
      <c r="D796" s="1">
        <v>5000</v>
      </c>
      <c r="E796" s="1"/>
      <c r="F796" s="1">
        <v>55.15</v>
      </c>
      <c r="G796" s="1">
        <v>5000</v>
      </c>
      <c r="H796" s="5">
        <f t="shared" si="14"/>
        <v>0</v>
      </c>
      <c r="I796" s="1"/>
      <c r="J796" s="1"/>
    </row>
    <row r="797" spans="1:10" x14ac:dyDescent="0.2">
      <c r="A797" s="32">
        <v>791</v>
      </c>
      <c r="B797" s="1" t="s">
        <v>466</v>
      </c>
      <c r="C797" s="32">
        <v>3361</v>
      </c>
      <c r="D797" s="1">
        <v>15000</v>
      </c>
      <c r="E797" s="1"/>
      <c r="F797" s="1">
        <v>167.15</v>
      </c>
      <c r="G797" s="1">
        <v>15000</v>
      </c>
      <c r="H797" s="5">
        <f t="shared" si="14"/>
        <v>0</v>
      </c>
      <c r="I797" s="1"/>
      <c r="J797" s="1"/>
    </row>
    <row r="798" spans="1:10" x14ac:dyDescent="0.2">
      <c r="A798" s="32">
        <v>792</v>
      </c>
      <c r="B798" s="1" t="s">
        <v>466</v>
      </c>
      <c r="C798" s="32" t="s">
        <v>63</v>
      </c>
      <c r="D798" s="1">
        <v>3500</v>
      </c>
      <c r="E798" s="1"/>
      <c r="F798" s="1">
        <v>38.24</v>
      </c>
      <c r="G798" s="1">
        <v>3500</v>
      </c>
      <c r="H798" s="5">
        <f t="shared" si="14"/>
        <v>0</v>
      </c>
      <c r="I798" s="1"/>
      <c r="J798" s="1"/>
    </row>
    <row r="799" spans="1:10" x14ac:dyDescent="0.2">
      <c r="A799" s="32">
        <v>793</v>
      </c>
      <c r="B799" s="1" t="s">
        <v>466</v>
      </c>
      <c r="C799" s="32" t="s">
        <v>66</v>
      </c>
      <c r="D799" s="1">
        <v>110</v>
      </c>
      <c r="E799" s="1"/>
      <c r="F799" s="1">
        <v>1.05</v>
      </c>
      <c r="G799" s="1">
        <v>110</v>
      </c>
      <c r="H799" s="5">
        <f t="shared" si="14"/>
        <v>0</v>
      </c>
      <c r="I799" s="1"/>
      <c r="J799" s="1"/>
    </row>
    <row r="800" spans="1:10" x14ac:dyDescent="0.2">
      <c r="A800" s="32">
        <v>794</v>
      </c>
      <c r="B800" s="1" t="s">
        <v>466</v>
      </c>
      <c r="C800" s="32">
        <v>5.9299999999999999E-2</v>
      </c>
      <c r="D800" s="1">
        <v>33000</v>
      </c>
      <c r="E800" s="1"/>
      <c r="F800" s="1">
        <v>367.48</v>
      </c>
      <c r="G800" s="1">
        <v>33000</v>
      </c>
      <c r="H800" s="5">
        <f t="shared" si="14"/>
        <v>0</v>
      </c>
      <c r="I800" s="1"/>
      <c r="J800" s="1"/>
    </row>
    <row r="801" spans="1:10" x14ac:dyDescent="0.2">
      <c r="A801" s="32">
        <v>795</v>
      </c>
      <c r="B801" s="1" t="s">
        <v>466</v>
      </c>
      <c r="C801" s="32">
        <v>2085</v>
      </c>
      <c r="D801" s="1">
        <v>28000</v>
      </c>
      <c r="E801" s="1"/>
      <c r="F801" s="1">
        <v>311.58</v>
      </c>
      <c r="G801" s="1">
        <v>28000</v>
      </c>
      <c r="H801" s="5">
        <f t="shared" si="14"/>
        <v>0</v>
      </c>
      <c r="I801" s="1"/>
      <c r="J801" s="1"/>
    </row>
    <row r="802" spans="1:10" x14ac:dyDescent="0.2">
      <c r="A802" s="32">
        <v>796</v>
      </c>
      <c r="B802" s="1" t="s">
        <v>466</v>
      </c>
      <c r="C802" s="32">
        <v>5359</v>
      </c>
      <c r="D802" s="1">
        <v>23000</v>
      </c>
      <c r="E802" s="1"/>
      <c r="F802" s="1">
        <v>233.45</v>
      </c>
      <c r="G802" s="1">
        <v>23000</v>
      </c>
      <c r="H802" s="5">
        <f t="shared" si="14"/>
        <v>0</v>
      </c>
      <c r="I802" s="1"/>
      <c r="J802" s="1"/>
    </row>
    <row r="803" spans="1:10" x14ac:dyDescent="0.2">
      <c r="A803" s="32">
        <v>797</v>
      </c>
      <c r="B803" s="1" t="s">
        <v>466</v>
      </c>
      <c r="C803" s="32">
        <v>5088</v>
      </c>
      <c r="D803" s="1">
        <v>25000</v>
      </c>
      <c r="E803" s="1"/>
      <c r="F803" s="1">
        <v>278.25</v>
      </c>
      <c r="G803" s="1">
        <v>25000</v>
      </c>
      <c r="H803" s="5">
        <f t="shared" si="14"/>
        <v>0</v>
      </c>
      <c r="I803" s="1"/>
      <c r="J803" s="1"/>
    </row>
    <row r="804" spans="1:10" x14ac:dyDescent="0.2">
      <c r="A804" s="32">
        <v>798</v>
      </c>
      <c r="B804" s="1" t="s">
        <v>466</v>
      </c>
      <c r="C804" s="32">
        <v>3404</v>
      </c>
      <c r="D804" s="1">
        <v>25000</v>
      </c>
      <c r="E804" s="1"/>
      <c r="F804" s="1">
        <v>278.25</v>
      </c>
      <c r="G804" s="1">
        <v>25000</v>
      </c>
      <c r="H804" s="5">
        <f t="shared" si="14"/>
        <v>0</v>
      </c>
      <c r="I804" s="1"/>
      <c r="J804" s="1"/>
    </row>
    <row r="805" spans="1:10" x14ac:dyDescent="0.2">
      <c r="A805" s="32">
        <v>799</v>
      </c>
      <c r="B805" s="1" t="s">
        <v>466</v>
      </c>
      <c r="C805" s="32">
        <v>8035</v>
      </c>
      <c r="D805" s="1">
        <v>25000</v>
      </c>
      <c r="E805" s="1"/>
      <c r="F805" s="1">
        <v>278.25</v>
      </c>
      <c r="G805" s="1">
        <v>25000</v>
      </c>
      <c r="H805" s="5">
        <f t="shared" si="14"/>
        <v>0</v>
      </c>
      <c r="I805" s="1"/>
      <c r="J805" s="1"/>
    </row>
    <row r="806" spans="1:10" x14ac:dyDescent="0.2">
      <c r="A806" s="32">
        <v>800</v>
      </c>
      <c r="B806" s="1" t="s">
        <v>466</v>
      </c>
      <c r="C806" s="32">
        <v>9655</v>
      </c>
      <c r="D806" s="1">
        <v>22000</v>
      </c>
      <c r="E806" s="1"/>
      <c r="F806" s="1">
        <v>245.47</v>
      </c>
      <c r="G806" s="1">
        <v>22000</v>
      </c>
      <c r="H806" s="5">
        <f t="shared" si="14"/>
        <v>0</v>
      </c>
      <c r="I806" s="1"/>
      <c r="J806" s="1"/>
    </row>
    <row r="807" spans="1:10" x14ac:dyDescent="0.2">
      <c r="A807" s="32">
        <v>801</v>
      </c>
      <c r="B807" s="1" t="s">
        <v>466</v>
      </c>
      <c r="C807" s="32">
        <v>2459</v>
      </c>
      <c r="D807" s="1">
        <v>6000</v>
      </c>
      <c r="E807" s="1"/>
      <c r="F807" s="1">
        <v>66.45</v>
      </c>
      <c r="G807" s="1">
        <v>6000</v>
      </c>
      <c r="H807" s="5">
        <f t="shared" ref="H807:H823" si="15">D807-G807</f>
        <v>0</v>
      </c>
      <c r="I807" s="1"/>
      <c r="J807" s="1"/>
    </row>
    <row r="808" spans="1:10" x14ac:dyDescent="0.2">
      <c r="A808" s="32">
        <v>802</v>
      </c>
      <c r="B808" s="1" t="s">
        <v>466</v>
      </c>
      <c r="C808" s="32">
        <v>7175</v>
      </c>
      <c r="D808" s="1">
        <v>15000</v>
      </c>
      <c r="E808" s="1"/>
      <c r="F808" s="1">
        <v>167.15</v>
      </c>
      <c r="G808" s="1">
        <v>15000</v>
      </c>
      <c r="H808" s="5">
        <f t="shared" si="15"/>
        <v>0</v>
      </c>
      <c r="I808" s="1"/>
      <c r="J808" s="1"/>
    </row>
    <row r="809" spans="1:10" x14ac:dyDescent="0.2">
      <c r="A809" s="32">
        <v>803</v>
      </c>
      <c r="B809" s="1" t="s">
        <v>467</v>
      </c>
      <c r="C809" s="32" t="s">
        <v>30</v>
      </c>
      <c r="D809" s="1">
        <v>5000</v>
      </c>
      <c r="E809" s="1"/>
      <c r="F809" s="1">
        <v>55.7</v>
      </c>
      <c r="G809" s="1">
        <v>5000</v>
      </c>
      <c r="H809" s="5">
        <f t="shared" si="15"/>
        <v>0</v>
      </c>
      <c r="I809" s="1"/>
      <c r="J809" s="1"/>
    </row>
    <row r="810" spans="1:10" x14ac:dyDescent="0.2">
      <c r="A810" s="32">
        <v>804</v>
      </c>
      <c r="B810" s="1" t="s">
        <v>467</v>
      </c>
      <c r="C810" s="32">
        <v>4115</v>
      </c>
      <c r="D810" s="1">
        <v>15000</v>
      </c>
      <c r="E810" s="1"/>
      <c r="F810" s="1">
        <v>167.15</v>
      </c>
      <c r="G810" s="1">
        <v>15000</v>
      </c>
      <c r="H810" s="5">
        <f t="shared" si="15"/>
        <v>0</v>
      </c>
      <c r="I810" s="1"/>
      <c r="J810" s="1"/>
    </row>
    <row r="811" spans="1:10" x14ac:dyDescent="0.2">
      <c r="A811" s="32">
        <v>805</v>
      </c>
      <c r="B811" s="1" t="s">
        <v>467</v>
      </c>
      <c r="C811" s="32">
        <v>2681</v>
      </c>
      <c r="D811" s="1">
        <v>16000</v>
      </c>
      <c r="E811" s="1"/>
      <c r="F811" s="1">
        <v>178.25</v>
      </c>
      <c r="G811" s="1">
        <v>16000</v>
      </c>
      <c r="H811" s="5">
        <f t="shared" si="15"/>
        <v>0</v>
      </c>
      <c r="I811" s="1"/>
      <c r="J811" s="1"/>
    </row>
    <row r="812" spans="1:10" x14ac:dyDescent="0.2">
      <c r="A812" s="32">
        <v>806</v>
      </c>
      <c r="B812" s="1" t="s">
        <v>467</v>
      </c>
      <c r="C812" s="32" t="s">
        <v>30</v>
      </c>
      <c r="D812" s="1">
        <v>3500</v>
      </c>
      <c r="E812" s="1"/>
      <c r="F812" s="1">
        <v>38.950000000000003</v>
      </c>
      <c r="G812" s="1">
        <v>3500</v>
      </c>
      <c r="H812" s="5">
        <f t="shared" si="15"/>
        <v>0</v>
      </c>
      <c r="I812" s="1"/>
      <c r="J812" s="1"/>
    </row>
    <row r="813" spans="1:10" x14ac:dyDescent="0.2">
      <c r="A813" s="32">
        <v>807</v>
      </c>
      <c r="B813" s="1" t="s">
        <v>467</v>
      </c>
      <c r="C813" s="32">
        <v>5196</v>
      </c>
      <c r="D813" s="1">
        <v>32000</v>
      </c>
      <c r="E813" s="1"/>
      <c r="F813" s="1">
        <v>356.51</v>
      </c>
      <c r="G813" s="1">
        <v>32000</v>
      </c>
      <c r="H813" s="5">
        <f t="shared" si="15"/>
        <v>0</v>
      </c>
      <c r="I813" s="1"/>
      <c r="J813" s="1"/>
    </row>
    <row r="814" spans="1:10" x14ac:dyDescent="0.2">
      <c r="A814" s="32">
        <v>808</v>
      </c>
      <c r="B814" s="1" t="s">
        <v>467</v>
      </c>
      <c r="C814" s="32">
        <v>3343</v>
      </c>
      <c r="D814" s="1">
        <v>32000</v>
      </c>
      <c r="E814" s="1"/>
      <c r="F814" s="1">
        <v>356.51</v>
      </c>
      <c r="G814" s="1">
        <v>32000</v>
      </c>
      <c r="H814" s="5">
        <f t="shared" si="15"/>
        <v>0</v>
      </c>
      <c r="I814" s="1"/>
      <c r="J814" s="1"/>
    </row>
    <row r="815" spans="1:10" x14ac:dyDescent="0.2">
      <c r="A815" s="32">
        <v>809</v>
      </c>
      <c r="B815" s="1" t="s">
        <v>467</v>
      </c>
      <c r="C815" s="32">
        <v>7105</v>
      </c>
      <c r="D815" s="1">
        <v>32000</v>
      </c>
      <c r="E815" s="1"/>
      <c r="F815" s="1">
        <v>356.51</v>
      </c>
      <c r="G815" s="1">
        <v>32000</v>
      </c>
      <c r="H815" s="5">
        <f t="shared" si="15"/>
        <v>0</v>
      </c>
      <c r="I815" s="1"/>
      <c r="J815" s="1"/>
    </row>
    <row r="816" spans="1:10" x14ac:dyDescent="0.2">
      <c r="A816" s="32">
        <v>810</v>
      </c>
      <c r="B816" s="1" t="s">
        <v>467</v>
      </c>
      <c r="C816" s="32">
        <v>3.2599999999999997E-2</v>
      </c>
      <c r="D816" s="1">
        <v>30000</v>
      </c>
      <c r="E816" s="1"/>
      <c r="F816" s="1">
        <v>334.22</v>
      </c>
      <c r="G816" s="1">
        <v>30000</v>
      </c>
      <c r="H816" s="5">
        <f t="shared" si="15"/>
        <v>0</v>
      </c>
      <c r="I816" s="1"/>
      <c r="J816" s="1"/>
    </row>
    <row r="817" spans="1:11" x14ac:dyDescent="0.2">
      <c r="A817" s="32">
        <v>811</v>
      </c>
      <c r="B817" s="1" t="s">
        <v>467</v>
      </c>
      <c r="C817" s="32">
        <v>5897</v>
      </c>
      <c r="D817" s="1">
        <v>25000</v>
      </c>
      <c r="E817" s="1"/>
      <c r="F817" s="1">
        <v>278.25</v>
      </c>
      <c r="G817" s="1">
        <v>25000</v>
      </c>
      <c r="H817" s="5">
        <f t="shared" si="15"/>
        <v>0</v>
      </c>
      <c r="I817" s="1"/>
      <c r="J817" s="1"/>
    </row>
    <row r="818" spans="1:11" x14ac:dyDescent="0.2">
      <c r="A818" s="32">
        <v>812</v>
      </c>
      <c r="B818" s="1" t="s">
        <v>467</v>
      </c>
      <c r="C818" s="32">
        <v>3653</v>
      </c>
      <c r="D818" s="1">
        <v>25000</v>
      </c>
      <c r="E818" s="1"/>
      <c r="F818" s="1">
        <v>278.25</v>
      </c>
      <c r="G818" s="1">
        <v>25000</v>
      </c>
      <c r="H818" s="5">
        <f t="shared" si="15"/>
        <v>0</v>
      </c>
      <c r="I818" s="1"/>
      <c r="J818" s="1"/>
    </row>
    <row r="819" spans="1:11" x14ac:dyDescent="0.2">
      <c r="A819" s="32">
        <v>813</v>
      </c>
      <c r="B819" s="1" t="s">
        <v>467</v>
      </c>
      <c r="C819" s="32">
        <v>3149</v>
      </c>
      <c r="D819" s="1">
        <v>22000</v>
      </c>
      <c r="E819" s="1"/>
      <c r="F819" s="1">
        <v>245.1</v>
      </c>
      <c r="G819" s="1">
        <v>22000</v>
      </c>
      <c r="H819" s="5">
        <f t="shared" si="15"/>
        <v>0</v>
      </c>
      <c r="I819" s="1"/>
      <c r="J819" s="1"/>
    </row>
    <row r="820" spans="1:11" x14ac:dyDescent="0.2">
      <c r="A820" s="32">
        <v>814</v>
      </c>
      <c r="B820" s="1" t="s">
        <v>467</v>
      </c>
      <c r="C820" s="32">
        <v>5252</v>
      </c>
      <c r="D820" s="1">
        <v>16000</v>
      </c>
      <c r="E820" s="1"/>
      <c r="F820" s="1">
        <v>178.22</v>
      </c>
      <c r="G820" s="1">
        <v>16000</v>
      </c>
      <c r="H820" s="5">
        <f t="shared" si="15"/>
        <v>0</v>
      </c>
      <c r="I820" s="1"/>
      <c r="J820" s="1"/>
    </row>
    <row r="821" spans="1:11" x14ac:dyDescent="0.2">
      <c r="A821" s="32">
        <v>815</v>
      </c>
      <c r="B821" s="1" t="s">
        <v>467</v>
      </c>
      <c r="C821" s="32">
        <v>4579</v>
      </c>
      <c r="D821" s="1">
        <v>15000</v>
      </c>
      <c r="E821" s="1"/>
      <c r="F821" s="1">
        <v>167.11</v>
      </c>
      <c r="G821" s="1">
        <v>15000</v>
      </c>
      <c r="H821" s="5">
        <f t="shared" si="15"/>
        <v>0</v>
      </c>
      <c r="I821" s="1"/>
      <c r="J821" s="1"/>
    </row>
    <row r="822" spans="1:11" x14ac:dyDescent="0.2">
      <c r="A822" s="32">
        <v>816</v>
      </c>
      <c r="B822" s="1" t="s">
        <v>467</v>
      </c>
      <c r="C822" s="32">
        <v>3558</v>
      </c>
      <c r="D822" s="1">
        <v>27000</v>
      </c>
      <c r="E822" s="1"/>
      <c r="F822" s="1">
        <v>300.81</v>
      </c>
      <c r="G822" s="1">
        <v>27000</v>
      </c>
      <c r="H822" s="5">
        <f t="shared" si="15"/>
        <v>0</v>
      </c>
      <c r="I822" s="1"/>
      <c r="J822" s="1"/>
    </row>
    <row r="823" spans="1:11" x14ac:dyDescent="0.2">
      <c r="A823" s="32">
        <v>817</v>
      </c>
      <c r="B823" s="1" t="s">
        <v>467</v>
      </c>
      <c r="C823" s="32">
        <v>7266</v>
      </c>
      <c r="D823" s="1">
        <v>28000</v>
      </c>
      <c r="E823" s="1"/>
      <c r="F823" s="1">
        <v>311.94</v>
      </c>
      <c r="G823" s="1">
        <v>28000</v>
      </c>
      <c r="H823" s="5">
        <f t="shared" si="15"/>
        <v>0</v>
      </c>
      <c r="I823" s="1"/>
      <c r="J823" s="1"/>
    </row>
    <row r="824" spans="1:11" ht="15" x14ac:dyDescent="0.25">
      <c r="A824" s="1"/>
      <c r="B824" s="1"/>
      <c r="C824" s="20" t="s">
        <v>9</v>
      </c>
      <c r="D824" s="21">
        <f>SUM(D5:D823)</f>
        <v>15517721</v>
      </c>
      <c r="E824" s="22"/>
      <c r="F824" s="23">
        <f>SUM(F7:F823)</f>
        <v>160278.94000000056</v>
      </c>
      <c r="G824" s="21">
        <f>SUM(G5:G823)</f>
        <v>15517721</v>
      </c>
      <c r="H824" s="22"/>
      <c r="I824" s="24">
        <f>SUM(I7:I87)</f>
        <v>14000000</v>
      </c>
      <c r="J824" s="1"/>
    </row>
    <row r="825" spans="1:11" ht="15" x14ac:dyDescent="0.25">
      <c r="A825" s="1"/>
      <c r="B825" s="1"/>
      <c r="C825" s="20" t="s">
        <v>10</v>
      </c>
      <c r="D825" s="25">
        <f>SUM(D824-I824)</f>
        <v>1517721</v>
      </c>
      <c r="E825" s="22"/>
      <c r="F825" s="22"/>
      <c r="G825" s="26" t="s">
        <v>10</v>
      </c>
      <c r="H825" s="25">
        <f>SUM(G824-I824)</f>
        <v>1517721</v>
      </c>
      <c r="I825" s="25"/>
      <c r="J825" s="1"/>
    </row>
    <row r="826" spans="1:11" ht="15" thickBot="1" x14ac:dyDescent="0.25"/>
    <row r="827" spans="1:11" ht="15" x14ac:dyDescent="0.25">
      <c r="C827" s="199"/>
      <c r="D827" s="197" t="s">
        <v>487</v>
      </c>
      <c r="E827" s="179"/>
      <c r="F827" s="179"/>
      <c r="G827" s="179"/>
      <c r="H827" s="75"/>
      <c r="I827" s="76"/>
    </row>
    <row r="828" spans="1:11" ht="15.75" thickBot="1" x14ac:dyDescent="0.3">
      <c r="C828" s="200" t="s">
        <v>423</v>
      </c>
      <c r="D828" s="198"/>
      <c r="E828" s="181"/>
      <c r="F828" s="181" t="s">
        <v>186</v>
      </c>
      <c r="G828" s="181"/>
      <c r="H828" s="183"/>
      <c r="I828" s="184"/>
    </row>
    <row r="829" spans="1:11" ht="15" x14ac:dyDescent="0.25">
      <c r="C829" s="91" t="s">
        <v>184</v>
      </c>
      <c r="D829" s="90">
        <v>15517721</v>
      </c>
      <c r="E829" s="90"/>
      <c r="F829" s="90" t="s">
        <v>187</v>
      </c>
      <c r="G829" s="90">
        <v>15552581</v>
      </c>
      <c r="H829" s="90" t="s">
        <v>364</v>
      </c>
      <c r="I829" s="187">
        <f>15552581-15503102</f>
        <v>49479</v>
      </c>
    </row>
    <row r="830" spans="1:11" ht="15" x14ac:dyDescent="0.25">
      <c r="C830" s="93" t="s">
        <v>143</v>
      </c>
      <c r="D830" s="42">
        <v>14000000</v>
      </c>
      <c r="E830" s="42"/>
      <c r="F830" s="42" t="s">
        <v>191</v>
      </c>
      <c r="G830" s="42">
        <v>13827864</v>
      </c>
      <c r="H830" s="42" t="s">
        <v>365</v>
      </c>
      <c r="I830" s="188">
        <f>14000000-13827864</f>
        <v>172136</v>
      </c>
    </row>
    <row r="831" spans="1:11" ht="18.75" x14ac:dyDescent="0.3">
      <c r="C831" s="189" t="s">
        <v>95</v>
      </c>
      <c r="D831" s="89">
        <f>15517721-14000000</f>
        <v>1517721</v>
      </c>
      <c r="E831" s="89"/>
      <c r="F831" s="89" t="s">
        <v>95</v>
      </c>
      <c r="G831" s="89">
        <f>15552581-13827864</f>
        <v>1724717</v>
      </c>
      <c r="H831" s="89" t="s">
        <v>390</v>
      </c>
      <c r="I831" s="201">
        <f>1724717-1517721</f>
        <v>206996</v>
      </c>
      <c r="K831">
        <f>21615-5315</f>
        <v>16300</v>
      </c>
    </row>
    <row r="832" spans="1:11" ht="19.5" thickBot="1" x14ac:dyDescent="0.35">
      <c r="C832" s="202"/>
      <c r="D832" s="203"/>
      <c r="E832" s="203"/>
      <c r="F832" s="204"/>
      <c r="G832" s="204"/>
      <c r="H832" s="204" t="s">
        <v>421</v>
      </c>
      <c r="I832" s="205">
        <v>205316</v>
      </c>
    </row>
    <row r="833" spans="3:9" ht="18.75" thickBot="1" x14ac:dyDescent="0.3">
      <c r="C833" s="206"/>
      <c r="D833" s="207"/>
      <c r="E833" s="207"/>
      <c r="F833" s="208" t="s">
        <v>192</v>
      </c>
      <c r="G833" s="208"/>
      <c r="H833" s="208"/>
      <c r="I833" s="209">
        <f>206996-205316</f>
        <v>1680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31"/>
  <sheetViews>
    <sheetView workbookViewId="0">
      <selection activeCell="I13" sqref="I13"/>
    </sheetView>
  </sheetViews>
  <sheetFormatPr defaultRowHeight="14.25" x14ac:dyDescent="0.2"/>
  <cols>
    <col min="1" max="1" width="6.75" customWidth="1"/>
    <col min="3" max="3" width="14.25" customWidth="1"/>
    <col min="4" max="4" width="13.5" customWidth="1"/>
    <col min="6" max="6" width="10.125" bestFit="1" customWidth="1"/>
    <col min="7" max="7" width="13.625" customWidth="1"/>
    <col min="8" max="8" width="14.75" customWidth="1"/>
    <col min="9" max="9" width="13" customWidth="1"/>
  </cols>
  <sheetData>
    <row r="2" spans="1:16" ht="21" x14ac:dyDescent="0.35">
      <c r="A2" s="1"/>
      <c r="B2" s="1"/>
      <c r="C2" s="1"/>
      <c r="D2" s="271" t="s">
        <v>331</v>
      </c>
      <c r="E2" s="271"/>
      <c r="F2" s="271"/>
      <c r="G2" s="271"/>
      <c r="H2" s="1"/>
      <c r="I2" s="1"/>
      <c r="J2" s="1"/>
      <c r="K2" s="272"/>
      <c r="L2" s="272"/>
      <c r="M2" s="272"/>
    </row>
    <row r="3" spans="1:16" ht="18" x14ac:dyDescent="0.25">
      <c r="A3" s="1"/>
      <c r="B3" s="1"/>
      <c r="C3" s="1"/>
      <c r="D3" s="61"/>
      <c r="E3" s="161">
        <v>44958</v>
      </c>
      <c r="F3" s="272"/>
      <c r="G3" s="272"/>
      <c r="H3" s="1"/>
      <c r="I3" s="1"/>
      <c r="J3" s="1"/>
      <c r="K3" s="272"/>
      <c r="L3" s="272"/>
      <c r="M3" s="272"/>
    </row>
    <row r="4" spans="1:16" ht="1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107" t="s">
        <v>8</v>
      </c>
      <c r="J4" s="107" t="s">
        <v>2</v>
      </c>
      <c r="K4" s="272"/>
      <c r="L4" s="272"/>
      <c r="M4" s="272"/>
    </row>
    <row r="5" spans="1:16" ht="15.75" x14ac:dyDescent="0.25">
      <c r="A5" s="32"/>
      <c r="B5" s="108" t="s">
        <v>467</v>
      </c>
      <c r="C5" s="162" t="s">
        <v>374</v>
      </c>
      <c r="D5" s="210">
        <v>1503102</v>
      </c>
      <c r="E5" s="162"/>
      <c r="F5" s="162"/>
      <c r="G5" s="210">
        <v>1503102</v>
      </c>
      <c r="H5" s="30"/>
      <c r="I5" s="107"/>
      <c r="J5" s="107"/>
      <c r="K5" s="272"/>
      <c r="L5" s="272"/>
      <c r="M5" s="272"/>
    </row>
    <row r="6" spans="1:16" s="316" customFormat="1" ht="15" x14ac:dyDescent="0.25">
      <c r="A6" s="33" t="s">
        <v>541</v>
      </c>
      <c r="B6" s="33"/>
      <c r="C6" s="109"/>
      <c r="D6" s="33">
        <v>11436</v>
      </c>
      <c r="E6" s="110"/>
      <c r="F6" s="33"/>
      <c r="G6" s="33">
        <v>11436</v>
      </c>
      <c r="H6" s="30"/>
      <c r="I6" s="107"/>
      <c r="J6" s="107"/>
    </row>
    <row r="7" spans="1:16" ht="15" x14ac:dyDescent="0.25">
      <c r="A7" s="32">
        <v>1</v>
      </c>
      <c r="B7" s="1" t="s">
        <v>468</v>
      </c>
      <c r="C7" s="32" t="s">
        <v>30</v>
      </c>
      <c r="D7" s="1">
        <v>4500</v>
      </c>
      <c r="E7" s="1"/>
      <c r="F7" s="1">
        <v>50.13</v>
      </c>
      <c r="G7" s="1">
        <v>4500</v>
      </c>
      <c r="H7" s="5">
        <f t="shared" ref="H7:H70" si="0">D7-G7</f>
        <v>0</v>
      </c>
      <c r="I7" s="30">
        <v>400000</v>
      </c>
      <c r="J7" s="30" t="s">
        <v>480</v>
      </c>
      <c r="K7" s="84" t="s">
        <v>482</v>
      </c>
      <c r="L7" s="84"/>
      <c r="M7" s="51"/>
      <c r="N7" s="272"/>
      <c r="O7" s="272"/>
      <c r="P7" s="272"/>
    </row>
    <row r="8" spans="1:16" ht="15" x14ac:dyDescent="0.25">
      <c r="A8" s="32">
        <v>2</v>
      </c>
      <c r="B8" s="1" t="s">
        <v>468</v>
      </c>
      <c r="C8" s="32">
        <v>3.8399999999999997E-2</v>
      </c>
      <c r="D8" s="1">
        <v>18000</v>
      </c>
      <c r="E8" s="1"/>
      <c r="F8" s="1">
        <v>200.45</v>
      </c>
      <c r="G8" s="1">
        <v>18000</v>
      </c>
      <c r="H8" s="5">
        <f t="shared" si="0"/>
        <v>0</v>
      </c>
      <c r="I8" s="30">
        <v>400000</v>
      </c>
      <c r="J8" s="30" t="s">
        <v>481</v>
      </c>
      <c r="K8" s="84" t="s">
        <v>482</v>
      </c>
      <c r="L8" s="84"/>
      <c r="M8" s="51"/>
      <c r="N8" s="272"/>
      <c r="O8" s="272"/>
      <c r="P8" s="272"/>
    </row>
    <row r="9" spans="1:16" ht="15" x14ac:dyDescent="0.25">
      <c r="A9" s="32">
        <v>3</v>
      </c>
      <c r="B9" s="1" t="s">
        <v>468</v>
      </c>
      <c r="C9" s="32">
        <v>5.1999999999999998E-3</v>
      </c>
      <c r="D9" s="1">
        <v>16000</v>
      </c>
      <c r="E9" s="1"/>
      <c r="F9" s="1">
        <v>178.22</v>
      </c>
      <c r="G9" s="1">
        <v>16000</v>
      </c>
      <c r="H9" s="5">
        <f t="shared" si="0"/>
        <v>0</v>
      </c>
      <c r="I9" s="30">
        <v>400000</v>
      </c>
      <c r="J9" s="30" t="s">
        <v>484</v>
      </c>
      <c r="K9" s="84" t="s">
        <v>482</v>
      </c>
      <c r="L9" s="84"/>
      <c r="M9" s="51"/>
      <c r="N9" s="272"/>
      <c r="O9" s="272"/>
      <c r="P9" s="272"/>
    </row>
    <row r="10" spans="1:16" ht="15" x14ac:dyDescent="0.25">
      <c r="A10" s="32">
        <v>4</v>
      </c>
      <c r="B10" s="1" t="s">
        <v>468</v>
      </c>
      <c r="C10" s="32">
        <v>5931</v>
      </c>
      <c r="D10" s="1">
        <v>20000</v>
      </c>
      <c r="E10" s="1"/>
      <c r="F10" s="1">
        <v>222.27</v>
      </c>
      <c r="G10" s="1">
        <v>20000</v>
      </c>
      <c r="H10" s="5">
        <f t="shared" si="0"/>
        <v>0</v>
      </c>
      <c r="I10" s="30">
        <v>300000</v>
      </c>
      <c r="J10" s="30" t="s">
        <v>488</v>
      </c>
      <c r="K10" s="84" t="s">
        <v>482</v>
      </c>
      <c r="L10" s="84"/>
      <c r="M10" s="51"/>
      <c r="N10" s="272"/>
      <c r="O10" s="272"/>
      <c r="P10" s="272"/>
    </row>
    <row r="11" spans="1:16" ht="15" x14ac:dyDescent="0.25">
      <c r="A11" s="32">
        <v>5</v>
      </c>
      <c r="B11" s="1" t="s">
        <v>468</v>
      </c>
      <c r="C11" s="32">
        <v>9645</v>
      </c>
      <c r="D11" s="1">
        <v>20000</v>
      </c>
      <c r="E11" s="1"/>
      <c r="F11" s="1">
        <v>222.27</v>
      </c>
      <c r="G11" s="1">
        <v>20000</v>
      </c>
      <c r="H11" s="5">
        <f t="shared" si="0"/>
        <v>0</v>
      </c>
      <c r="I11" s="30">
        <v>800000</v>
      </c>
      <c r="J11" s="30" t="s">
        <v>493</v>
      </c>
      <c r="K11" s="84" t="s">
        <v>482</v>
      </c>
      <c r="L11" s="84"/>
      <c r="M11" s="51"/>
      <c r="N11" s="272"/>
      <c r="O11" s="272"/>
      <c r="P11" s="272"/>
    </row>
    <row r="12" spans="1:16" ht="15" x14ac:dyDescent="0.25">
      <c r="A12" s="32">
        <v>6</v>
      </c>
      <c r="B12" s="1" t="s">
        <v>468</v>
      </c>
      <c r="C12" s="32">
        <v>7709</v>
      </c>
      <c r="D12" s="1">
        <v>20000</v>
      </c>
      <c r="E12" s="1"/>
      <c r="F12" s="1">
        <v>222.27</v>
      </c>
      <c r="G12" s="1">
        <v>20000</v>
      </c>
      <c r="H12" s="5">
        <f t="shared" si="0"/>
        <v>0</v>
      </c>
      <c r="I12" s="30">
        <v>400000</v>
      </c>
      <c r="J12" s="30" t="s">
        <v>495</v>
      </c>
      <c r="K12" s="84" t="s">
        <v>482</v>
      </c>
      <c r="L12" s="84"/>
      <c r="M12" s="51"/>
      <c r="N12" s="272"/>
      <c r="O12" s="272"/>
      <c r="P12" s="272"/>
    </row>
    <row r="13" spans="1:16" ht="15" x14ac:dyDescent="0.25">
      <c r="A13" s="32">
        <v>7</v>
      </c>
      <c r="B13" s="1" t="s">
        <v>468</v>
      </c>
      <c r="C13" s="32">
        <v>7349</v>
      </c>
      <c r="D13" s="1">
        <v>20000</v>
      </c>
      <c r="E13" s="1"/>
      <c r="F13" s="1">
        <v>222.27</v>
      </c>
      <c r="G13" s="1">
        <v>20000</v>
      </c>
      <c r="H13" s="5">
        <f t="shared" si="0"/>
        <v>0</v>
      </c>
      <c r="I13" s="171">
        <v>69590</v>
      </c>
      <c r="J13" s="171" t="s">
        <v>495</v>
      </c>
      <c r="K13" s="216" t="s">
        <v>498</v>
      </c>
      <c r="L13" s="216"/>
      <c r="M13" s="272"/>
      <c r="N13" s="272"/>
      <c r="O13" s="272"/>
      <c r="P13" s="272"/>
    </row>
    <row r="14" spans="1:16" ht="15" x14ac:dyDescent="0.25">
      <c r="A14" s="32">
        <v>8</v>
      </c>
      <c r="B14" s="1" t="s">
        <v>468</v>
      </c>
      <c r="C14" s="32">
        <v>6815</v>
      </c>
      <c r="D14" s="1">
        <v>20000</v>
      </c>
      <c r="E14" s="1"/>
      <c r="F14" s="1">
        <v>222.27</v>
      </c>
      <c r="G14" s="1">
        <v>20000</v>
      </c>
      <c r="H14" s="5">
        <f t="shared" si="0"/>
        <v>0</v>
      </c>
      <c r="I14" s="30">
        <v>300000</v>
      </c>
      <c r="J14" s="30" t="s">
        <v>497</v>
      </c>
      <c r="K14" s="84" t="s">
        <v>482</v>
      </c>
      <c r="L14" s="84"/>
      <c r="M14" s="51"/>
      <c r="N14" s="272"/>
      <c r="O14" s="272"/>
      <c r="P14" s="272"/>
    </row>
    <row r="15" spans="1:16" ht="15" x14ac:dyDescent="0.25">
      <c r="A15" s="32">
        <v>9</v>
      </c>
      <c r="B15" s="1" t="s">
        <v>468</v>
      </c>
      <c r="C15" s="32" t="s">
        <v>66</v>
      </c>
      <c r="D15" s="1">
        <v>200</v>
      </c>
      <c r="E15" s="1"/>
      <c r="F15" s="1">
        <v>2.04</v>
      </c>
      <c r="G15" s="1">
        <v>200</v>
      </c>
      <c r="H15" s="5">
        <f t="shared" si="0"/>
        <v>0</v>
      </c>
      <c r="I15" s="30">
        <v>200000</v>
      </c>
      <c r="J15" s="30" t="s">
        <v>500</v>
      </c>
      <c r="K15" s="84" t="s">
        <v>482</v>
      </c>
      <c r="L15" s="84"/>
      <c r="M15" s="51"/>
      <c r="N15" s="272"/>
      <c r="O15" s="272"/>
      <c r="P15" s="272"/>
    </row>
    <row r="16" spans="1:16" ht="15" x14ac:dyDescent="0.25">
      <c r="A16" s="32">
        <v>10</v>
      </c>
      <c r="B16" s="1" t="s">
        <v>468</v>
      </c>
      <c r="C16" s="32">
        <v>8.7499999999999994E-2</v>
      </c>
      <c r="D16" s="1">
        <v>10000</v>
      </c>
      <c r="E16" s="1"/>
      <c r="F16" s="1">
        <v>111.45</v>
      </c>
      <c r="G16" s="1">
        <v>10000</v>
      </c>
      <c r="H16" s="5">
        <f t="shared" si="0"/>
        <v>0</v>
      </c>
      <c r="I16" s="30">
        <v>200000</v>
      </c>
      <c r="J16" s="30" t="s">
        <v>502</v>
      </c>
      <c r="K16" s="84" t="s">
        <v>482</v>
      </c>
      <c r="L16" s="84"/>
      <c r="M16" s="51"/>
      <c r="N16" s="272"/>
      <c r="O16" s="272"/>
      <c r="P16" s="272"/>
    </row>
    <row r="17" spans="1:16" ht="15" x14ac:dyDescent="0.25">
      <c r="A17" s="32">
        <v>11</v>
      </c>
      <c r="B17" s="1" t="s">
        <v>468</v>
      </c>
      <c r="C17" s="32">
        <v>3558</v>
      </c>
      <c r="D17" s="1">
        <v>27000</v>
      </c>
      <c r="E17" s="1"/>
      <c r="F17" s="1">
        <v>300.81</v>
      </c>
      <c r="G17" s="1">
        <v>27000</v>
      </c>
      <c r="H17" s="5">
        <f t="shared" si="0"/>
        <v>0</v>
      </c>
      <c r="I17" s="114">
        <v>77264</v>
      </c>
      <c r="J17" s="114" t="s">
        <v>502</v>
      </c>
      <c r="K17" s="213" t="s">
        <v>503</v>
      </c>
      <c r="L17" s="213"/>
      <c r="M17" s="57"/>
      <c r="N17" s="272"/>
      <c r="O17" s="272"/>
      <c r="P17" s="272"/>
    </row>
    <row r="18" spans="1:16" ht="15" x14ac:dyDescent="0.25">
      <c r="A18" s="32">
        <v>12</v>
      </c>
      <c r="B18" s="1" t="s">
        <v>468</v>
      </c>
      <c r="C18" s="32">
        <v>5278</v>
      </c>
      <c r="D18" s="1">
        <v>16000</v>
      </c>
      <c r="E18" s="1"/>
      <c r="F18" s="1">
        <v>167.24</v>
      </c>
      <c r="G18" s="1">
        <v>16000</v>
      </c>
      <c r="H18" s="5">
        <f t="shared" si="0"/>
        <v>0</v>
      </c>
      <c r="I18" s="114">
        <v>23903</v>
      </c>
      <c r="J18" s="114" t="s">
        <v>502</v>
      </c>
      <c r="K18" s="213" t="s">
        <v>504</v>
      </c>
      <c r="L18" s="213"/>
      <c r="M18" s="57"/>
      <c r="N18" s="272"/>
      <c r="O18" s="272"/>
      <c r="P18" s="272"/>
    </row>
    <row r="19" spans="1:16" ht="15" x14ac:dyDescent="0.25">
      <c r="A19" s="32">
        <v>13</v>
      </c>
      <c r="B19" s="1" t="s">
        <v>468</v>
      </c>
      <c r="C19" s="32">
        <v>8665</v>
      </c>
      <c r="D19" s="1">
        <v>16000</v>
      </c>
      <c r="E19" s="1"/>
      <c r="F19" s="1">
        <v>167.24</v>
      </c>
      <c r="G19" s="1">
        <v>16000</v>
      </c>
      <c r="H19" s="5">
        <f t="shared" si="0"/>
        <v>0</v>
      </c>
      <c r="I19" s="114">
        <v>14891</v>
      </c>
      <c r="J19" s="114" t="s">
        <v>502</v>
      </c>
      <c r="K19" s="213" t="s">
        <v>505</v>
      </c>
      <c r="L19" s="213"/>
      <c r="M19" s="57"/>
      <c r="N19" s="272"/>
      <c r="O19" s="272"/>
      <c r="P19" s="272"/>
    </row>
    <row r="20" spans="1:16" ht="15" x14ac:dyDescent="0.25">
      <c r="A20" s="32">
        <v>14</v>
      </c>
      <c r="B20" s="1" t="s">
        <v>468</v>
      </c>
      <c r="C20" s="32">
        <v>1781</v>
      </c>
      <c r="D20" s="1">
        <v>30000</v>
      </c>
      <c r="E20" s="1"/>
      <c r="F20" s="1">
        <v>334.28</v>
      </c>
      <c r="G20" s="1">
        <v>30000</v>
      </c>
      <c r="H20" s="5">
        <f t="shared" si="0"/>
        <v>0</v>
      </c>
      <c r="I20" s="114">
        <v>14619</v>
      </c>
      <c r="J20" s="114" t="s">
        <v>502</v>
      </c>
      <c r="K20" s="213" t="s">
        <v>506</v>
      </c>
      <c r="L20" s="213"/>
      <c r="M20" s="57"/>
      <c r="N20" s="272"/>
      <c r="O20" s="272"/>
      <c r="P20" s="272"/>
    </row>
    <row r="21" spans="1:16" ht="15" x14ac:dyDescent="0.25">
      <c r="A21" s="32">
        <v>15</v>
      </c>
      <c r="B21" s="1" t="s">
        <v>468</v>
      </c>
      <c r="C21" s="32">
        <v>5.9400000000000001E-2</v>
      </c>
      <c r="D21" s="1">
        <v>34000</v>
      </c>
      <c r="E21" s="1"/>
      <c r="F21" s="1">
        <v>378.45</v>
      </c>
      <c r="G21" s="1">
        <v>34000</v>
      </c>
      <c r="H21" s="5">
        <f t="shared" si="0"/>
        <v>0</v>
      </c>
      <c r="I21" s="111">
        <v>37000</v>
      </c>
      <c r="J21" s="111" t="s">
        <v>502</v>
      </c>
      <c r="K21" s="112" t="s">
        <v>507</v>
      </c>
      <c r="L21" s="215"/>
      <c r="M21" s="113"/>
      <c r="N21" s="272"/>
      <c r="O21" s="272"/>
      <c r="P21" s="272"/>
    </row>
    <row r="22" spans="1:16" ht="15" x14ac:dyDescent="0.25">
      <c r="A22" s="32">
        <v>16</v>
      </c>
      <c r="B22" s="1" t="s">
        <v>468</v>
      </c>
      <c r="C22" s="32">
        <v>2111</v>
      </c>
      <c r="D22" s="1">
        <v>18000</v>
      </c>
      <c r="E22" s="1"/>
      <c r="F22" s="1">
        <v>200.45</v>
      </c>
      <c r="G22" s="1">
        <v>18000</v>
      </c>
      <c r="H22" s="5">
        <f t="shared" si="0"/>
        <v>0</v>
      </c>
      <c r="I22" s="111">
        <v>7323</v>
      </c>
      <c r="J22" s="111" t="s">
        <v>502</v>
      </c>
      <c r="K22" s="112" t="s">
        <v>508</v>
      </c>
      <c r="L22" s="215"/>
      <c r="M22" s="113"/>
      <c r="N22" s="272"/>
      <c r="O22" s="272"/>
      <c r="P22" s="272"/>
    </row>
    <row r="23" spans="1:16" ht="15" x14ac:dyDescent="0.25">
      <c r="A23" s="32">
        <v>17</v>
      </c>
      <c r="B23" s="1" t="s">
        <v>468</v>
      </c>
      <c r="C23" s="32">
        <v>5.9700000000000003E-2</v>
      </c>
      <c r="D23" s="1">
        <v>34000</v>
      </c>
      <c r="E23" s="1"/>
      <c r="F23" s="1">
        <v>378.45</v>
      </c>
      <c r="G23" s="1">
        <v>34000</v>
      </c>
      <c r="H23" s="5">
        <f t="shared" si="0"/>
        <v>0</v>
      </c>
      <c r="I23" s="30">
        <v>150000</v>
      </c>
      <c r="J23" s="30" t="s">
        <v>509</v>
      </c>
      <c r="K23" s="84" t="s">
        <v>482</v>
      </c>
      <c r="L23" s="84"/>
      <c r="M23" s="51"/>
      <c r="N23" s="272"/>
      <c r="O23" s="272"/>
      <c r="P23" s="272"/>
    </row>
    <row r="24" spans="1:16" ht="15" x14ac:dyDescent="0.25">
      <c r="A24" s="32">
        <v>18</v>
      </c>
      <c r="B24" s="1" t="s">
        <v>468</v>
      </c>
      <c r="C24" s="32">
        <v>3261</v>
      </c>
      <c r="D24" s="1">
        <v>30000</v>
      </c>
      <c r="E24" s="1"/>
      <c r="F24" s="1">
        <v>334.28</v>
      </c>
      <c r="G24" s="1">
        <v>30000</v>
      </c>
      <c r="H24" s="5">
        <f t="shared" si="0"/>
        <v>0</v>
      </c>
      <c r="I24" s="30">
        <v>200000</v>
      </c>
      <c r="J24" s="30" t="s">
        <v>511</v>
      </c>
      <c r="K24" s="84" t="s">
        <v>482</v>
      </c>
      <c r="L24" s="84"/>
      <c r="M24" s="51"/>
      <c r="N24" s="272"/>
      <c r="O24" s="272"/>
      <c r="P24" s="272"/>
    </row>
    <row r="25" spans="1:16" ht="15" x14ac:dyDescent="0.25">
      <c r="A25" s="32">
        <v>19</v>
      </c>
      <c r="B25" s="1" t="s">
        <v>468</v>
      </c>
      <c r="C25" s="32">
        <v>9891</v>
      </c>
      <c r="D25" s="1">
        <v>30000</v>
      </c>
      <c r="E25" s="1"/>
      <c r="F25" s="1">
        <v>334.28</v>
      </c>
      <c r="G25" s="1">
        <v>30000</v>
      </c>
      <c r="H25" s="5">
        <f t="shared" si="0"/>
        <v>0</v>
      </c>
      <c r="I25" s="30">
        <v>300000</v>
      </c>
      <c r="J25" s="30" t="s">
        <v>512</v>
      </c>
      <c r="K25" s="84" t="s">
        <v>482</v>
      </c>
      <c r="L25" s="84"/>
      <c r="M25" s="51"/>
      <c r="N25" s="272"/>
      <c r="O25" s="272"/>
      <c r="P25" s="272"/>
    </row>
    <row r="26" spans="1:16" ht="15" x14ac:dyDescent="0.25">
      <c r="A26" s="32">
        <v>20</v>
      </c>
      <c r="B26" s="1" t="s">
        <v>468</v>
      </c>
      <c r="C26" s="32">
        <v>8762</v>
      </c>
      <c r="D26" s="1">
        <v>33000</v>
      </c>
      <c r="E26" s="1"/>
      <c r="F26" s="1">
        <v>375.47</v>
      </c>
      <c r="G26" s="1">
        <v>33000</v>
      </c>
      <c r="H26" s="5">
        <f t="shared" si="0"/>
        <v>0</v>
      </c>
      <c r="I26" s="30">
        <v>600000</v>
      </c>
      <c r="J26" s="30" t="s">
        <v>513</v>
      </c>
      <c r="K26" s="84" t="s">
        <v>482</v>
      </c>
      <c r="L26" s="84"/>
      <c r="M26" s="51"/>
      <c r="N26" s="272"/>
      <c r="O26" s="272"/>
      <c r="P26" s="272"/>
    </row>
    <row r="27" spans="1:16" ht="15" x14ac:dyDescent="0.25">
      <c r="A27" s="32">
        <v>21</v>
      </c>
      <c r="B27" s="1" t="s">
        <v>468</v>
      </c>
      <c r="C27" s="32">
        <v>5.96E-2</v>
      </c>
      <c r="D27" s="1">
        <v>34000</v>
      </c>
      <c r="E27" s="1"/>
      <c r="F27" s="1">
        <v>378.45</v>
      </c>
      <c r="G27" s="1">
        <v>34000</v>
      </c>
      <c r="H27" s="5">
        <f t="shared" si="0"/>
        <v>0</v>
      </c>
      <c r="I27" s="30">
        <v>300000</v>
      </c>
      <c r="J27" s="30" t="s">
        <v>514</v>
      </c>
      <c r="K27" s="84" t="s">
        <v>482</v>
      </c>
      <c r="L27" s="84"/>
      <c r="M27" s="51"/>
      <c r="N27" s="272"/>
      <c r="O27" s="272"/>
      <c r="P27" s="272"/>
    </row>
    <row r="28" spans="1:16" ht="15" x14ac:dyDescent="0.25">
      <c r="A28" s="32">
        <v>22</v>
      </c>
      <c r="B28" s="1" t="s">
        <v>480</v>
      </c>
      <c r="C28" s="32">
        <v>4441</v>
      </c>
      <c r="D28" s="1">
        <v>16000</v>
      </c>
      <c r="E28" s="1"/>
      <c r="F28" s="1">
        <v>178.22</v>
      </c>
      <c r="G28" s="1">
        <v>16000</v>
      </c>
      <c r="H28" s="5">
        <f t="shared" si="0"/>
        <v>0</v>
      </c>
      <c r="I28" s="30">
        <v>1000000</v>
      </c>
      <c r="J28" s="30" t="s">
        <v>516</v>
      </c>
      <c r="K28" s="84" t="s">
        <v>482</v>
      </c>
      <c r="L28" s="84"/>
      <c r="M28" s="51"/>
      <c r="N28" s="272"/>
      <c r="O28" s="272"/>
      <c r="P28" s="272"/>
    </row>
    <row r="29" spans="1:16" ht="15" x14ac:dyDescent="0.25">
      <c r="A29" s="32">
        <v>23</v>
      </c>
      <c r="B29" s="1" t="s">
        <v>480</v>
      </c>
      <c r="C29" s="32">
        <v>3361</v>
      </c>
      <c r="D29" s="1">
        <v>15000</v>
      </c>
      <c r="E29" s="1"/>
      <c r="F29" s="1">
        <v>167.15</v>
      </c>
      <c r="G29" s="1">
        <v>15000</v>
      </c>
      <c r="H29" s="5">
        <f t="shared" si="0"/>
        <v>0</v>
      </c>
      <c r="I29" s="30">
        <v>700000</v>
      </c>
      <c r="J29" s="30" t="s">
        <v>518</v>
      </c>
      <c r="K29" s="84" t="s">
        <v>482</v>
      </c>
      <c r="L29" s="84"/>
      <c r="M29" s="51"/>
      <c r="N29" s="285"/>
      <c r="O29" s="272"/>
      <c r="P29" s="272"/>
    </row>
    <row r="30" spans="1:16" ht="15" x14ac:dyDescent="0.25">
      <c r="A30" s="32">
        <v>24</v>
      </c>
      <c r="B30" s="1" t="s">
        <v>480</v>
      </c>
      <c r="C30" s="32">
        <v>5687</v>
      </c>
      <c r="D30" s="1">
        <v>20000</v>
      </c>
      <c r="E30" s="1"/>
      <c r="F30" s="1">
        <v>222.28</v>
      </c>
      <c r="G30" s="1">
        <v>20000</v>
      </c>
      <c r="H30" s="5">
        <f t="shared" si="0"/>
        <v>0</v>
      </c>
      <c r="I30" s="30">
        <v>500000</v>
      </c>
      <c r="J30" s="30" t="s">
        <v>521</v>
      </c>
      <c r="K30" s="84" t="s">
        <v>482</v>
      </c>
      <c r="L30" s="84"/>
      <c r="M30" s="51"/>
      <c r="N30" s="285"/>
    </row>
    <row r="31" spans="1:16" ht="15" x14ac:dyDescent="0.25">
      <c r="A31" s="32">
        <v>25</v>
      </c>
      <c r="B31" s="1" t="s">
        <v>480</v>
      </c>
      <c r="C31" s="32">
        <v>4105</v>
      </c>
      <c r="D31" s="1">
        <v>20000</v>
      </c>
      <c r="E31" s="1"/>
      <c r="F31" s="1">
        <v>222.28</v>
      </c>
      <c r="G31" s="1">
        <v>20000</v>
      </c>
      <c r="H31" s="5">
        <f t="shared" si="0"/>
        <v>0</v>
      </c>
      <c r="I31" s="30">
        <v>600000</v>
      </c>
      <c r="J31" s="30" t="s">
        <v>523</v>
      </c>
      <c r="K31" s="84" t="s">
        <v>482</v>
      </c>
      <c r="L31" s="84"/>
      <c r="M31" s="51"/>
      <c r="N31" s="285"/>
    </row>
    <row r="32" spans="1:16" ht="15.75" x14ac:dyDescent="0.25">
      <c r="A32" s="32">
        <v>26</v>
      </c>
      <c r="B32" s="1" t="s">
        <v>480</v>
      </c>
      <c r="C32" s="32">
        <v>3112</v>
      </c>
      <c r="D32" s="1">
        <v>8000</v>
      </c>
      <c r="E32" s="1"/>
      <c r="F32" s="1">
        <v>89.35</v>
      </c>
      <c r="G32" s="1">
        <v>8000</v>
      </c>
      <c r="H32" s="5">
        <f t="shared" si="0"/>
        <v>0</v>
      </c>
      <c r="I32" s="217">
        <v>200000</v>
      </c>
      <c r="J32" s="217" t="s">
        <v>525</v>
      </c>
      <c r="K32" s="218" t="s">
        <v>457</v>
      </c>
      <c r="L32" s="219"/>
      <c r="M32" s="218"/>
      <c r="N32" s="285"/>
    </row>
    <row r="33" spans="1:14" ht="15.75" x14ac:dyDescent="0.25">
      <c r="A33" s="32">
        <v>27</v>
      </c>
      <c r="B33" s="1" t="s">
        <v>480</v>
      </c>
      <c r="C33" s="32">
        <v>7647</v>
      </c>
      <c r="D33" s="1">
        <v>25000</v>
      </c>
      <c r="E33" s="1"/>
      <c r="F33" s="1">
        <v>278.22000000000003</v>
      </c>
      <c r="G33" s="1">
        <v>25000</v>
      </c>
      <c r="H33" s="5">
        <f t="shared" si="0"/>
        <v>0</v>
      </c>
      <c r="I33" s="217">
        <v>800000</v>
      </c>
      <c r="J33" s="217" t="s">
        <v>527</v>
      </c>
      <c r="K33" s="218" t="s">
        <v>457</v>
      </c>
      <c r="L33" s="219"/>
      <c r="M33" s="218"/>
      <c r="N33" s="285"/>
    </row>
    <row r="34" spans="1:14" ht="15.75" x14ac:dyDescent="0.25">
      <c r="A34" s="32">
        <v>28</v>
      </c>
      <c r="B34" s="1" t="s">
        <v>480</v>
      </c>
      <c r="C34" s="32">
        <v>5951</v>
      </c>
      <c r="D34" s="1">
        <v>16000</v>
      </c>
      <c r="E34" s="1"/>
      <c r="F34" s="1">
        <v>178.22</v>
      </c>
      <c r="G34" s="1">
        <v>16000</v>
      </c>
      <c r="H34" s="5">
        <f t="shared" si="0"/>
        <v>0</v>
      </c>
      <c r="I34" s="217">
        <v>1000000</v>
      </c>
      <c r="J34" s="217" t="s">
        <v>530</v>
      </c>
      <c r="K34" s="218" t="s">
        <v>529</v>
      </c>
      <c r="L34" s="219"/>
      <c r="M34" s="218"/>
      <c r="N34" s="285"/>
    </row>
    <row r="35" spans="1:14" ht="15.75" x14ac:dyDescent="0.25">
      <c r="A35" s="32">
        <v>29</v>
      </c>
      <c r="B35" s="1" t="s">
        <v>480</v>
      </c>
      <c r="C35" s="32">
        <v>5.1000000000000004E-3</v>
      </c>
      <c r="D35" s="1">
        <v>16000</v>
      </c>
      <c r="E35" s="1"/>
      <c r="F35" s="1">
        <v>178.22</v>
      </c>
      <c r="G35" s="1">
        <v>16000</v>
      </c>
      <c r="H35" s="5">
        <f t="shared" si="0"/>
        <v>0</v>
      </c>
      <c r="I35" s="217">
        <v>500000</v>
      </c>
      <c r="J35" s="217" t="s">
        <v>531</v>
      </c>
      <c r="K35" s="218" t="s">
        <v>529</v>
      </c>
      <c r="L35" s="219"/>
      <c r="M35" s="218"/>
      <c r="N35" s="285"/>
    </row>
    <row r="36" spans="1:14" x14ac:dyDescent="0.2">
      <c r="A36" s="32">
        <v>30</v>
      </c>
      <c r="B36" s="1" t="s">
        <v>480</v>
      </c>
      <c r="C36" s="32">
        <v>3671</v>
      </c>
      <c r="D36" s="1">
        <v>27000</v>
      </c>
      <c r="E36" s="1"/>
      <c r="F36" s="1">
        <v>300.48</v>
      </c>
      <c r="G36" s="1">
        <v>27000</v>
      </c>
      <c r="H36" s="5">
        <f t="shared" si="0"/>
        <v>0</v>
      </c>
      <c r="I36" s="1"/>
      <c r="J36" s="1"/>
      <c r="K36" s="272"/>
      <c r="L36" s="272"/>
      <c r="M36" s="272"/>
    </row>
    <row r="37" spans="1:14" x14ac:dyDescent="0.2">
      <c r="A37" s="32">
        <v>31</v>
      </c>
      <c r="B37" s="1" t="s">
        <v>480</v>
      </c>
      <c r="C37" s="32">
        <v>3491</v>
      </c>
      <c r="D37" s="1">
        <v>25000</v>
      </c>
      <c r="E37" s="1"/>
      <c r="F37" s="1">
        <v>278.22000000000003</v>
      </c>
      <c r="G37" s="1">
        <v>25000</v>
      </c>
      <c r="H37" s="5">
        <f t="shared" si="0"/>
        <v>0</v>
      </c>
      <c r="I37" s="1"/>
      <c r="J37" s="1"/>
      <c r="K37" s="272"/>
      <c r="L37" s="272"/>
      <c r="M37" s="272"/>
    </row>
    <row r="38" spans="1:14" x14ac:dyDescent="0.2">
      <c r="A38" s="32">
        <v>32</v>
      </c>
      <c r="B38" s="1" t="s">
        <v>480</v>
      </c>
      <c r="C38" s="32">
        <v>8613</v>
      </c>
      <c r="D38" s="1">
        <v>20000</v>
      </c>
      <c r="E38" s="1"/>
      <c r="F38" s="1">
        <v>222.28</v>
      </c>
      <c r="G38" s="1">
        <v>20000</v>
      </c>
      <c r="H38" s="5">
        <f t="shared" si="0"/>
        <v>0</v>
      </c>
      <c r="I38" s="1"/>
      <c r="J38" s="1"/>
      <c r="K38" s="272"/>
      <c r="L38" s="272"/>
      <c r="M38" s="272"/>
    </row>
    <row r="39" spans="1:14" x14ac:dyDescent="0.2">
      <c r="A39" s="32">
        <v>33</v>
      </c>
      <c r="B39" s="1" t="s">
        <v>480</v>
      </c>
      <c r="C39" s="32">
        <v>7.1800000000000003E-2</v>
      </c>
      <c r="D39" s="1">
        <v>29000</v>
      </c>
      <c r="E39" s="1"/>
      <c r="F39" s="1">
        <v>323.48</v>
      </c>
      <c r="G39" s="1">
        <v>29000</v>
      </c>
      <c r="H39" s="5">
        <f t="shared" si="0"/>
        <v>0</v>
      </c>
      <c r="I39" s="1"/>
      <c r="J39" s="1"/>
      <c r="K39" s="272"/>
      <c r="L39" s="272"/>
      <c r="M39" s="272"/>
    </row>
    <row r="40" spans="1:14" x14ac:dyDescent="0.2">
      <c r="A40" s="32">
        <v>34</v>
      </c>
      <c r="B40" s="1" t="s">
        <v>480</v>
      </c>
      <c r="C40" s="32">
        <v>4095</v>
      </c>
      <c r="D40" s="1">
        <v>29000</v>
      </c>
      <c r="E40" s="1"/>
      <c r="F40" s="1">
        <v>323.48</v>
      </c>
      <c r="G40" s="1">
        <v>29000</v>
      </c>
      <c r="H40" s="5">
        <f t="shared" si="0"/>
        <v>0</v>
      </c>
      <c r="I40" s="1"/>
      <c r="J40" s="1"/>
      <c r="K40" s="272"/>
      <c r="L40" s="272"/>
      <c r="M40" s="272"/>
    </row>
    <row r="41" spans="1:14" x14ac:dyDescent="0.2">
      <c r="A41" s="32">
        <v>35</v>
      </c>
      <c r="B41" s="1" t="s">
        <v>480</v>
      </c>
      <c r="C41" s="32">
        <v>8112</v>
      </c>
      <c r="D41" s="1">
        <v>31000</v>
      </c>
      <c r="E41" s="1"/>
      <c r="F41" s="1">
        <v>345.48</v>
      </c>
      <c r="G41" s="1">
        <v>31000</v>
      </c>
      <c r="H41" s="5">
        <f t="shared" si="0"/>
        <v>0</v>
      </c>
      <c r="I41" s="1"/>
      <c r="J41" s="1"/>
      <c r="K41" s="272"/>
      <c r="L41" s="272"/>
      <c r="M41" s="272"/>
    </row>
    <row r="42" spans="1:14" x14ac:dyDescent="0.2">
      <c r="A42" s="32">
        <v>36</v>
      </c>
      <c r="B42" s="1" t="s">
        <v>481</v>
      </c>
      <c r="C42" s="32">
        <v>5931</v>
      </c>
      <c r="D42" s="1">
        <v>12000</v>
      </c>
      <c r="E42" s="1"/>
      <c r="F42" s="1">
        <v>133.44999999999999</v>
      </c>
      <c r="G42" s="1">
        <v>12000</v>
      </c>
      <c r="H42" s="5">
        <f t="shared" si="0"/>
        <v>0</v>
      </c>
      <c r="I42" s="1"/>
      <c r="J42" s="1"/>
      <c r="K42" s="272"/>
      <c r="L42" s="272"/>
      <c r="M42" s="272"/>
    </row>
    <row r="43" spans="1:14" x14ac:dyDescent="0.2">
      <c r="A43" s="32">
        <v>37</v>
      </c>
      <c r="B43" s="1" t="s">
        <v>481</v>
      </c>
      <c r="C43" s="32" t="s">
        <v>30</v>
      </c>
      <c r="D43" s="1">
        <v>5000</v>
      </c>
      <c r="E43" s="1"/>
      <c r="F43" s="1">
        <v>55.12</v>
      </c>
      <c r="G43" s="1">
        <v>5000</v>
      </c>
      <c r="H43" s="5">
        <f t="shared" si="0"/>
        <v>0</v>
      </c>
      <c r="I43" s="1"/>
      <c r="J43" s="1"/>
      <c r="K43" s="272"/>
      <c r="L43" s="272"/>
      <c r="M43" s="272"/>
    </row>
    <row r="44" spans="1:14" x14ac:dyDescent="0.2">
      <c r="A44" s="32">
        <v>38</v>
      </c>
      <c r="B44" s="1" t="s">
        <v>481</v>
      </c>
      <c r="C44" s="32">
        <v>8765</v>
      </c>
      <c r="D44" s="1">
        <v>39000</v>
      </c>
      <c r="E44" s="1"/>
      <c r="F44" s="1">
        <v>409.48</v>
      </c>
      <c r="G44" s="1">
        <v>39000</v>
      </c>
      <c r="H44" s="5">
        <f t="shared" si="0"/>
        <v>0</v>
      </c>
      <c r="I44" s="1"/>
      <c r="J44" s="1"/>
      <c r="K44" s="272"/>
      <c r="L44" s="272"/>
      <c r="M44" s="272"/>
    </row>
    <row r="45" spans="1:14" x14ac:dyDescent="0.2">
      <c r="A45" s="32">
        <v>39</v>
      </c>
      <c r="B45" s="1" t="s">
        <v>481</v>
      </c>
      <c r="C45" s="32">
        <v>3678</v>
      </c>
      <c r="D45" s="1">
        <v>39500</v>
      </c>
      <c r="E45" s="1"/>
      <c r="F45" s="1">
        <v>440.35</v>
      </c>
      <c r="G45" s="1">
        <v>39500</v>
      </c>
      <c r="H45" s="5">
        <f t="shared" si="0"/>
        <v>0</v>
      </c>
      <c r="I45" s="1"/>
      <c r="J45" s="1"/>
      <c r="K45" s="272"/>
      <c r="L45" s="272"/>
      <c r="M45" s="272"/>
    </row>
    <row r="46" spans="1:14" x14ac:dyDescent="0.2">
      <c r="A46" s="32">
        <v>40</v>
      </c>
      <c r="B46" s="1" t="s">
        <v>481</v>
      </c>
      <c r="C46" s="32">
        <v>2681</v>
      </c>
      <c r="D46" s="1">
        <v>16000</v>
      </c>
      <c r="E46" s="1"/>
      <c r="F46" s="1">
        <v>178.22</v>
      </c>
      <c r="G46" s="1">
        <v>16000</v>
      </c>
      <c r="H46" s="5">
        <f t="shared" si="0"/>
        <v>0</v>
      </c>
      <c r="I46" s="1"/>
      <c r="J46" s="1"/>
      <c r="K46" s="272"/>
      <c r="L46" s="272"/>
      <c r="M46" s="272"/>
    </row>
    <row r="47" spans="1:14" x14ac:dyDescent="0.2">
      <c r="A47" s="32">
        <v>41</v>
      </c>
      <c r="B47" s="1" t="s">
        <v>481</v>
      </c>
      <c r="C47" s="32" t="s">
        <v>30</v>
      </c>
      <c r="D47" s="1">
        <v>4500</v>
      </c>
      <c r="E47" s="1"/>
      <c r="F47" s="1">
        <v>50.13</v>
      </c>
      <c r="G47" s="1">
        <v>4500</v>
      </c>
      <c r="H47" s="5">
        <f t="shared" si="0"/>
        <v>0</v>
      </c>
      <c r="I47" s="1"/>
      <c r="J47" s="1"/>
      <c r="K47" s="272"/>
      <c r="L47" s="272"/>
      <c r="M47" s="272"/>
    </row>
    <row r="48" spans="1:14" x14ac:dyDescent="0.2">
      <c r="A48" s="32">
        <v>42</v>
      </c>
      <c r="B48" s="1" t="s">
        <v>481</v>
      </c>
      <c r="C48" s="32">
        <v>9.64E-2</v>
      </c>
      <c r="D48" s="1">
        <v>31000</v>
      </c>
      <c r="E48" s="1"/>
      <c r="F48" s="1">
        <v>334.45</v>
      </c>
      <c r="G48" s="1">
        <v>31000</v>
      </c>
      <c r="H48" s="5">
        <f t="shared" si="0"/>
        <v>0</v>
      </c>
      <c r="I48" s="1"/>
      <c r="J48" s="1"/>
      <c r="K48" s="272"/>
      <c r="L48" s="272"/>
      <c r="M48" s="272"/>
    </row>
    <row r="49" spans="1:13" x14ac:dyDescent="0.2">
      <c r="A49" s="32">
        <v>43</v>
      </c>
      <c r="B49" s="1" t="s">
        <v>481</v>
      </c>
      <c r="C49" s="32">
        <v>5783</v>
      </c>
      <c r="D49" s="1">
        <v>20000</v>
      </c>
      <c r="E49" s="1"/>
      <c r="F49" s="1">
        <v>222.28</v>
      </c>
      <c r="G49" s="1">
        <v>20000</v>
      </c>
      <c r="H49" s="5">
        <f t="shared" si="0"/>
        <v>0</v>
      </c>
      <c r="I49" s="1"/>
      <c r="J49" s="1"/>
      <c r="K49" s="272"/>
      <c r="L49" s="272"/>
      <c r="M49" s="272"/>
    </row>
    <row r="50" spans="1:13" x14ac:dyDescent="0.2">
      <c r="A50" s="32">
        <v>44</v>
      </c>
      <c r="B50" s="1" t="s">
        <v>481</v>
      </c>
      <c r="C50" s="32">
        <v>7171</v>
      </c>
      <c r="D50" s="1">
        <v>20000</v>
      </c>
      <c r="E50" s="1"/>
      <c r="F50" s="1">
        <v>222.28</v>
      </c>
      <c r="G50" s="1">
        <v>20000</v>
      </c>
      <c r="H50" s="5">
        <f t="shared" si="0"/>
        <v>0</v>
      </c>
      <c r="I50" s="1"/>
      <c r="J50" s="1"/>
      <c r="K50" s="272"/>
      <c r="L50" s="272"/>
      <c r="M50" s="272"/>
    </row>
    <row r="51" spans="1:13" x14ac:dyDescent="0.2">
      <c r="A51" s="32">
        <v>45</v>
      </c>
      <c r="B51" s="1" t="s">
        <v>481</v>
      </c>
      <c r="C51" s="32">
        <v>3848</v>
      </c>
      <c r="D51" s="1">
        <v>20000</v>
      </c>
      <c r="E51" s="1"/>
      <c r="F51" s="1">
        <v>222.28</v>
      </c>
      <c r="G51" s="1">
        <v>20000</v>
      </c>
      <c r="H51" s="5">
        <f t="shared" si="0"/>
        <v>0</v>
      </c>
      <c r="I51" s="1"/>
      <c r="J51" s="1"/>
      <c r="K51" s="272"/>
      <c r="L51" s="272"/>
      <c r="M51" s="272"/>
    </row>
    <row r="52" spans="1:13" x14ac:dyDescent="0.2">
      <c r="A52" s="32">
        <v>46</v>
      </c>
      <c r="B52" s="1" t="s">
        <v>481</v>
      </c>
      <c r="C52" s="32">
        <v>6371</v>
      </c>
      <c r="D52" s="1">
        <v>20000</v>
      </c>
      <c r="E52" s="1"/>
      <c r="F52" s="1">
        <v>222.28</v>
      </c>
      <c r="G52" s="1">
        <v>20000</v>
      </c>
      <c r="H52" s="5">
        <f t="shared" si="0"/>
        <v>0</v>
      </c>
      <c r="I52" s="1"/>
      <c r="J52" s="1"/>
      <c r="K52" s="272"/>
      <c r="L52" s="272"/>
      <c r="M52" s="272"/>
    </row>
    <row r="53" spans="1:13" x14ac:dyDescent="0.2">
      <c r="A53" s="32">
        <v>47</v>
      </c>
      <c r="B53" s="1" t="s">
        <v>481</v>
      </c>
      <c r="C53" s="32">
        <v>4571</v>
      </c>
      <c r="D53" s="1">
        <v>10000</v>
      </c>
      <c r="E53" s="1"/>
      <c r="F53" s="1">
        <v>111.45</v>
      </c>
      <c r="G53" s="1">
        <v>10000</v>
      </c>
      <c r="H53" s="5">
        <f t="shared" si="0"/>
        <v>0</v>
      </c>
      <c r="I53" s="1"/>
      <c r="J53" s="1"/>
      <c r="K53" s="272"/>
      <c r="L53" s="272"/>
      <c r="M53" s="272"/>
    </row>
    <row r="54" spans="1:13" x14ac:dyDescent="0.2">
      <c r="A54" s="32">
        <v>48</v>
      </c>
      <c r="B54" s="1" t="s">
        <v>481</v>
      </c>
      <c r="C54" s="32">
        <v>6364</v>
      </c>
      <c r="D54" s="1">
        <v>20000</v>
      </c>
      <c r="E54" s="1"/>
      <c r="F54" s="1">
        <v>222.28</v>
      </c>
      <c r="G54" s="1">
        <v>20000</v>
      </c>
      <c r="H54" s="5">
        <f t="shared" si="0"/>
        <v>0</v>
      </c>
      <c r="I54" s="1"/>
      <c r="J54" s="1"/>
      <c r="K54" s="272"/>
      <c r="L54" s="272"/>
      <c r="M54" s="272"/>
    </row>
    <row r="55" spans="1:13" x14ac:dyDescent="0.2">
      <c r="A55" s="32">
        <v>49</v>
      </c>
      <c r="B55" s="1" t="s">
        <v>484</v>
      </c>
      <c r="C55" s="32">
        <v>9.4899999999999998E-2</v>
      </c>
      <c r="D55" s="1">
        <v>20000</v>
      </c>
      <c r="E55" s="1"/>
      <c r="F55" s="1">
        <v>222.28</v>
      </c>
      <c r="G55" s="1">
        <v>20000</v>
      </c>
      <c r="H55" s="5">
        <f t="shared" si="0"/>
        <v>0</v>
      </c>
      <c r="I55" s="1"/>
      <c r="J55" s="1"/>
      <c r="K55" s="272"/>
      <c r="L55" s="272"/>
      <c r="M55" s="272"/>
    </row>
    <row r="56" spans="1:13" x14ac:dyDescent="0.2">
      <c r="A56" s="32">
        <v>50</v>
      </c>
      <c r="B56" s="1" t="s">
        <v>484</v>
      </c>
      <c r="C56" s="32">
        <v>8290</v>
      </c>
      <c r="D56" s="1">
        <v>30000</v>
      </c>
      <c r="E56" s="1"/>
      <c r="F56" s="1">
        <v>334.24</v>
      </c>
      <c r="G56" s="1">
        <v>30000</v>
      </c>
      <c r="H56" s="5">
        <f t="shared" si="0"/>
        <v>0</v>
      </c>
      <c r="I56" s="1"/>
      <c r="J56" s="1"/>
      <c r="K56" s="272"/>
      <c r="L56" s="272"/>
      <c r="M56" s="272"/>
    </row>
    <row r="57" spans="1:13" x14ac:dyDescent="0.2">
      <c r="A57" s="32">
        <v>51</v>
      </c>
      <c r="B57" s="1" t="s">
        <v>484</v>
      </c>
      <c r="C57" s="32" t="s">
        <v>30</v>
      </c>
      <c r="D57" s="1">
        <v>5000</v>
      </c>
      <c r="E57" s="1"/>
      <c r="F57" s="1">
        <v>55.48</v>
      </c>
      <c r="G57" s="1">
        <v>5000</v>
      </c>
      <c r="H57" s="5">
        <f t="shared" si="0"/>
        <v>0</v>
      </c>
      <c r="I57" s="1"/>
      <c r="J57" s="1"/>
      <c r="K57" s="272"/>
      <c r="L57" s="272"/>
      <c r="M57" s="272"/>
    </row>
    <row r="58" spans="1:13" x14ac:dyDescent="0.2">
      <c r="A58" s="32">
        <v>52</v>
      </c>
      <c r="B58" s="1" t="s">
        <v>484</v>
      </c>
      <c r="C58" s="32">
        <v>4645</v>
      </c>
      <c r="D58" s="1">
        <v>16000</v>
      </c>
      <c r="E58" s="1"/>
      <c r="F58" s="1">
        <v>178.2</v>
      </c>
      <c r="G58" s="1">
        <v>16000</v>
      </c>
      <c r="H58" s="5">
        <f t="shared" si="0"/>
        <v>0</v>
      </c>
      <c r="I58" s="1"/>
      <c r="J58" s="1"/>
      <c r="K58" s="272"/>
      <c r="L58" s="272"/>
      <c r="M58" s="272"/>
    </row>
    <row r="59" spans="1:13" x14ac:dyDescent="0.2">
      <c r="A59" s="32">
        <v>53</v>
      </c>
      <c r="B59" s="1" t="s">
        <v>484</v>
      </c>
      <c r="C59" s="32" t="s">
        <v>30</v>
      </c>
      <c r="D59" s="1">
        <v>5000</v>
      </c>
      <c r="E59" s="1"/>
      <c r="F59" s="1">
        <v>55.48</v>
      </c>
      <c r="G59" s="1">
        <v>5000</v>
      </c>
      <c r="H59" s="5">
        <f t="shared" si="0"/>
        <v>0</v>
      </c>
      <c r="I59" s="1"/>
      <c r="J59" s="1"/>
      <c r="K59" s="272"/>
      <c r="L59" s="272"/>
      <c r="M59" s="272"/>
    </row>
    <row r="60" spans="1:13" x14ac:dyDescent="0.2">
      <c r="A60" s="32">
        <v>54</v>
      </c>
      <c r="B60" s="1" t="s">
        <v>484</v>
      </c>
      <c r="C60" s="32">
        <v>4441</v>
      </c>
      <c r="D60" s="1">
        <v>16000</v>
      </c>
      <c r="E60" s="1"/>
      <c r="F60" s="1">
        <v>178.22</v>
      </c>
      <c r="G60" s="1">
        <v>16000</v>
      </c>
      <c r="H60" s="5">
        <f t="shared" si="0"/>
        <v>0</v>
      </c>
      <c r="I60" s="1"/>
      <c r="J60" s="1"/>
      <c r="K60" s="272"/>
      <c r="L60" s="272"/>
      <c r="M60" s="272"/>
    </row>
    <row r="61" spans="1:13" x14ac:dyDescent="0.2">
      <c r="A61" s="32">
        <v>55</v>
      </c>
      <c r="B61" s="1" t="s">
        <v>484</v>
      </c>
      <c r="C61" s="32">
        <v>7922</v>
      </c>
      <c r="D61" s="1">
        <v>15000</v>
      </c>
      <c r="E61" s="1"/>
      <c r="F61" s="1">
        <v>167.22</v>
      </c>
      <c r="G61" s="1">
        <v>15000</v>
      </c>
      <c r="H61" s="5">
        <f t="shared" si="0"/>
        <v>0</v>
      </c>
      <c r="I61" s="1"/>
      <c r="J61" s="1"/>
      <c r="K61" s="272"/>
      <c r="L61" s="272"/>
      <c r="M61" s="272"/>
    </row>
    <row r="62" spans="1:13" x14ac:dyDescent="0.2">
      <c r="A62" s="32">
        <v>56</v>
      </c>
      <c r="B62" s="1" t="s">
        <v>484</v>
      </c>
      <c r="C62" s="32">
        <v>3361</v>
      </c>
      <c r="D62" s="1">
        <v>15000</v>
      </c>
      <c r="E62" s="1"/>
      <c r="F62" s="1">
        <v>167.22</v>
      </c>
      <c r="G62" s="1">
        <v>15000</v>
      </c>
      <c r="H62" s="5">
        <f t="shared" si="0"/>
        <v>0</v>
      </c>
      <c r="I62" s="1"/>
      <c r="J62" s="1"/>
      <c r="K62" s="272"/>
      <c r="L62" s="272"/>
      <c r="M62" s="272"/>
    </row>
    <row r="63" spans="1:13" x14ac:dyDescent="0.2">
      <c r="A63" s="32">
        <v>57</v>
      </c>
      <c r="B63" s="1" t="s">
        <v>484</v>
      </c>
      <c r="C63" s="32" t="s">
        <v>63</v>
      </c>
      <c r="D63" s="1">
        <v>3500</v>
      </c>
      <c r="E63" s="1"/>
      <c r="F63" s="1">
        <v>39.450000000000003</v>
      </c>
      <c r="G63" s="1">
        <v>3500</v>
      </c>
      <c r="H63" s="5">
        <f t="shared" si="0"/>
        <v>0</v>
      </c>
      <c r="I63" s="1"/>
      <c r="J63" s="1"/>
      <c r="K63" s="272"/>
      <c r="L63" s="272"/>
      <c r="M63" s="272"/>
    </row>
    <row r="64" spans="1:13" x14ac:dyDescent="0.2">
      <c r="A64" s="32">
        <v>58</v>
      </c>
      <c r="B64" s="1" t="s">
        <v>484</v>
      </c>
      <c r="C64" s="32">
        <v>4113</v>
      </c>
      <c r="D64" s="1">
        <v>25000</v>
      </c>
      <c r="E64" s="1"/>
      <c r="F64" s="1">
        <v>278.45</v>
      </c>
      <c r="G64" s="1">
        <v>25000</v>
      </c>
      <c r="H64" s="5">
        <f t="shared" si="0"/>
        <v>0</v>
      </c>
      <c r="I64" s="1"/>
      <c r="J64" s="1"/>
      <c r="K64" s="272"/>
      <c r="L64" s="272"/>
      <c r="M64" s="272"/>
    </row>
    <row r="65" spans="1:13" x14ac:dyDescent="0.2">
      <c r="A65" s="32">
        <v>59</v>
      </c>
      <c r="B65" s="1" t="s">
        <v>484</v>
      </c>
      <c r="C65" s="32">
        <v>8890</v>
      </c>
      <c r="D65" s="1">
        <v>15000</v>
      </c>
      <c r="E65" s="1"/>
      <c r="F65" s="1">
        <v>167.22</v>
      </c>
      <c r="G65" s="1">
        <v>15000</v>
      </c>
      <c r="H65" s="5">
        <f t="shared" si="0"/>
        <v>0</v>
      </c>
      <c r="I65" s="1"/>
      <c r="J65" s="1"/>
      <c r="K65" s="272"/>
      <c r="L65" s="272"/>
      <c r="M65" s="272"/>
    </row>
    <row r="66" spans="1:13" x14ac:dyDescent="0.2">
      <c r="A66" s="32">
        <v>60</v>
      </c>
      <c r="B66" s="1" t="s">
        <v>484</v>
      </c>
      <c r="C66" s="32">
        <v>5403</v>
      </c>
      <c r="D66" s="1">
        <v>10000</v>
      </c>
      <c r="E66" s="1"/>
      <c r="F66" s="1">
        <v>111.47</v>
      </c>
      <c r="G66" s="1">
        <v>10000</v>
      </c>
      <c r="H66" s="5">
        <f t="shared" si="0"/>
        <v>0</v>
      </c>
      <c r="I66" s="1"/>
      <c r="J66" s="1"/>
      <c r="K66" s="272"/>
      <c r="L66" s="272"/>
      <c r="M66" s="272"/>
    </row>
    <row r="67" spans="1:13" x14ac:dyDescent="0.2">
      <c r="A67" s="32">
        <v>61</v>
      </c>
      <c r="B67" s="1" t="s">
        <v>484</v>
      </c>
      <c r="C67" s="32">
        <v>8796</v>
      </c>
      <c r="D67" s="1">
        <v>15000</v>
      </c>
      <c r="E67" s="1"/>
      <c r="F67" s="1">
        <v>167.22</v>
      </c>
      <c r="G67" s="1">
        <v>15000</v>
      </c>
      <c r="H67" s="5">
        <f t="shared" si="0"/>
        <v>0</v>
      </c>
      <c r="I67" s="1"/>
      <c r="J67" s="1"/>
      <c r="K67" s="272"/>
      <c r="L67" s="272"/>
      <c r="M67" s="272"/>
    </row>
    <row r="68" spans="1:13" x14ac:dyDescent="0.2">
      <c r="A68" s="32">
        <v>62</v>
      </c>
      <c r="B68" s="1" t="s">
        <v>484</v>
      </c>
      <c r="C68" s="32">
        <v>9390</v>
      </c>
      <c r="D68" s="1">
        <v>20000</v>
      </c>
      <c r="E68" s="1"/>
      <c r="F68" s="1">
        <v>222.28</v>
      </c>
      <c r="G68" s="1">
        <v>20000</v>
      </c>
      <c r="H68" s="5">
        <f t="shared" si="0"/>
        <v>0</v>
      </c>
      <c r="I68" s="1"/>
      <c r="J68" s="1"/>
      <c r="K68" s="272"/>
      <c r="L68" s="272"/>
      <c r="M68" s="272"/>
    </row>
    <row r="69" spans="1:13" x14ac:dyDescent="0.2">
      <c r="A69" s="32">
        <v>63</v>
      </c>
      <c r="B69" s="1" t="s">
        <v>484</v>
      </c>
      <c r="C69" s="32">
        <v>4938</v>
      </c>
      <c r="D69" s="1">
        <v>10000</v>
      </c>
      <c r="E69" s="1"/>
      <c r="F69" s="1">
        <v>111.25</v>
      </c>
      <c r="G69" s="1">
        <v>10000</v>
      </c>
      <c r="H69" s="5">
        <f t="shared" si="0"/>
        <v>0</v>
      </c>
      <c r="I69" s="1"/>
      <c r="J69" s="1"/>
      <c r="K69" s="272"/>
      <c r="L69" s="272"/>
      <c r="M69" s="272"/>
    </row>
    <row r="70" spans="1:13" x14ac:dyDescent="0.2">
      <c r="A70" s="32">
        <v>64</v>
      </c>
      <c r="B70" s="1" t="s">
        <v>484</v>
      </c>
      <c r="C70" s="32">
        <v>3952</v>
      </c>
      <c r="D70" s="1">
        <v>30000</v>
      </c>
      <c r="E70" s="1"/>
      <c r="F70" s="1">
        <v>334.24</v>
      </c>
      <c r="G70" s="1">
        <v>30000</v>
      </c>
      <c r="H70" s="5">
        <f t="shared" si="0"/>
        <v>0</v>
      </c>
      <c r="I70" s="1"/>
      <c r="J70" s="1"/>
      <c r="K70" s="272"/>
      <c r="L70" s="272"/>
      <c r="M70" s="272"/>
    </row>
    <row r="71" spans="1:13" x14ac:dyDescent="0.2">
      <c r="A71" s="32">
        <v>65</v>
      </c>
      <c r="B71" s="1" t="s">
        <v>484</v>
      </c>
      <c r="C71" s="32">
        <v>4111</v>
      </c>
      <c r="D71" s="1">
        <v>25000</v>
      </c>
      <c r="E71" s="1"/>
      <c r="F71" s="1">
        <v>278.22000000000003</v>
      </c>
      <c r="G71" s="1">
        <v>25000</v>
      </c>
      <c r="H71" s="5">
        <f t="shared" ref="H71:H134" si="1">D71-G71</f>
        <v>0</v>
      </c>
      <c r="I71" s="1"/>
      <c r="J71" s="1"/>
      <c r="K71" s="272"/>
      <c r="L71" s="272"/>
      <c r="M71" s="272"/>
    </row>
    <row r="72" spans="1:13" x14ac:dyDescent="0.2">
      <c r="A72" s="32">
        <v>66</v>
      </c>
      <c r="B72" s="1" t="s">
        <v>484</v>
      </c>
      <c r="C72" s="32">
        <v>2930</v>
      </c>
      <c r="D72" s="1">
        <v>10000</v>
      </c>
      <c r="E72" s="1"/>
      <c r="F72" s="1">
        <v>111.25</v>
      </c>
      <c r="G72" s="1">
        <v>10000</v>
      </c>
      <c r="H72" s="5">
        <f t="shared" si="1"/>
        <v>0</v>
      </c>
      <c r="I72" s="1"/>
      <c r="J72" s="1"/>
      <c r="K72" s="272"/>
      <c r="L72" s="272"/>
      <c r="M72" s="272"/>
    </row>
    <row r="73" spans="1:13" x14ac:dyDescent="0.2">
      <c r="A73" s="32">
        <v>67</v>
      </c>
      <c r="B73" s="1" t="s">
        <v>484</v>
      </c>
      <c r="C73" s="32">
        <v>4937</v>
      </c>
      <c r="D73" s="1">
        <v>33000</v>
      </c>
      <c r="E73" s="1"/>
      <c r="F73" s="1">
        <v>361.25</v>
      </c>
      <c r="G73" s="1">
        <v>33000</v>
      </c>
      <c r="H73" s="5">
        <f t="shared" si="1"/>
        <v>0</v>
      </c>
      <c r="I73" s="1"/>
      <c r="J73" s="1"/>
      <c r="K73" s="272"/>
      <c r="L73" s="272"/>
      <c r="M73" s="272"/>
    </row>
    <row r="74" spans="1:13" x14ac:dyDescent="0.2">
      <c r="A74" s="32">
        <v>68</v>
      </c>
      <c r="B74" s="1" t="s">
        <v>485</v>
      </c>
      <c r="C74" s="32">
        <v>5931</v>
      </c>
      <c r="D74" s="1">
        <v>16000</v>
      </c>
      <c r="E74" s="1"/>
      <c r="F74" s="1">
        <v>176.58</v>
      </c>
      <c r="G74" s="1">
        <v>16000</v>
      </c>
      <c r="H74" s="5">
        <f t="shared" si="1"/>
        <v>0</v>
      </c>
      <c r="I74" s="1"/>
      <c r="J74" s="1"/>
      <c r="K74" s="272"/>
      <c r="L74" s="272"/>
      <c r="M74" s="272"/>
    </row>
    <row r="75" spans="1:13" x14ac:dyDescent="0.2">
      <c r="A75" s="32">
        <v>69</v>
      </c>
      <c r="B75" s="1" t="s">
        <v>485</v>
      </c>
      <c r="C75" s="32">
        <v>8326</v>
      </c>
      <c r="D75" s="1">
        <v>15000</v>
      </c>
      <c r="E75" s="1"/>
      <c r="F75" s="1">
        <v>167.22</v>
      </c>
      <c r="G75" s="1">
        <v>15000</v>
      </c>
      <c r="H75" s="5">
        <f t="shared" si="1"/>
        <v>0</v>
      </c>
      <c r="I75" s="1"/>
      <c r="J75" s="1"/>
      <c r="K75" s="272"/>
      <c r="L75" s="272"/>
      <c r="M75" s="272"/>
    </row>
    <row r="76" spans="1:13" x14ac:dyDescent="0.2">
      <c r="A76" s="32">
        <v>70</v>
      </c>
      <c r="B76" s="1" t="s">
        <v>485</v>
      </c>
      <c r="C76" s="32">
        <v>7874</v>
      </c>
      <c r="D76" s="1">
        <v>15000</v>
      </c>
      <c r="E76" s="1"/>
      <c r="F76" s="1">
        <v>167.22</v>
      </c>
      <c r="G76" s="1">
        <v>15000</v>
      </c>
      <c r="H76" s="5">
        <f t="shared" si="1"/>
        <v>0</v>
      </c>
      <c r="I76" s="1"/>
      <c r="J76" s="1"/>
      <c r="K76" s="272"/>
      <c r="L76" s="272"/>
      <c r="M76" s="272"/>
    </row>
    <row r="77" spans="1:13" x14ac:dyDescent="0.2">
      <c r="A77" s="32">
        <v>71</v>
      </c>
      <c r="B77" s="1" t="s">
        <v>485</v>
      </c>
      <c r="C77" s="32">
        <v>6006</v>
      </c>
      <c r="D77" s="1">
        <v>15000</v>
      </c>
      <c r="E77" s="1"/>
      <c r="F77" s="1">
        <v>167.22</v>
      </c>
      <c r="G77" s="1">
        <v>15000</v>
      </c>
      <c r="H77" s="5">
        <f t="shared" si="1"/>
        <v>0</v>
      </c>
      <c r="I77" s="1"/>
      <c r="J77" s="1"/>
      <c r="K77" s="272"/>
      <c r="L77" s="272"/>
      <c r="M77" s="272"/>
    </row>
    <row r="78" spans="1:13" x14ac:dyDescent="0.2">
      <c r="A78" s="32">
        <v>72</v>
      </c>
      <c r="B78" s="1" t="s">
        <v>485</v>
      </c>
      <c r="C78" s="32">
        <v>6159</v>
      </c>
      <c r="D78" s="1">
        <v>15000</v>
      </c>
      <c r="E78" s="1"/>
      <c r="F78" s="1">
        <v>167.22</v>
      </c>
      <c r="G78" s="1">
        <v>15000</v>
      </c>
      <c r="H78" s="5">
        <f t="shared" si="1"/>
        <v>0</v>
      </c>
      <c r="I78" s="1"/>
      <c r="J78" s="1"/>
      <c r="K78" s="272"/>
      <c r="L78" s="272"/>
      <c r="M78" s="272"/>
    </row>
    <row r="79" spans="1:13" x14ac:dyDescent="0.2">
      <c r="A79" s="32">
        <v>73</v>
      </c>
      <c r="B79" s="1" t="s">
        <v>485</v>
      </c>
      <c r="C79" s="32" t="s">
        <v>66</v>
      </c>
      <c r="D79" s="1">
        <v>210</v>
      </c>
      <c r="E79" s="1"/>
      <c r="F79" s="1">
        <v>2.0499999999999998</v>
      </c>
      <c r="G79" s="1">
        <v>210</v>
      </c>
      <c r="H79" s="5">
        <f t="shared" si="1"/>
        <v>0</v>
      </c>
      <c r="I79" s="1"/>
      <c r="J79" s="1"/>
      <c r="K79" s="272"/>
      <c r="L79" s="272"/>
      <c r="M79" s="272"/>
    </row>
    <row r="80" spans="1:13" x14ac:dyDescent="0.2">
      <c r="A80" s="32">
        <v>74</v>
      </c>
      <c r="B80" s="1" t="s">
        <v>485</v>
      </c>
      <c r="C80" s="32">
        <v>2574</v>
      </c>
      <c r="D80" s="1">
        <v>26000</v>
      </c>
      <c r="E80" s="1"/>
      <c r="F80" s="1">
        <v>268.48</v>
      </c>
      <c r="G80" s="1">
        <v>26000</v>
      </c>
      <c r="H80" s="5">
        <f t="shared" si="1"/>
        <v>0</v>
      </c>
      <c r="I80" s="1"/>
      <c r="J80" s="1"/>
      <c r="K80" s="272"/>
      <c r="L80" s="272"/>
      <c r="M80" s="272"/>
    </row>
    <row r="81" spans="1:13" x14ac:dyDescent="0.2">
      <c r="A81" s="32">
        <v>75</v>
      </c>
      <c r="B81" s="1" t="s">
        <v>485</v>
      </c>
      <c r="C81" s="32">
        <v>9389</v>
      </c>
      <c r="D81" s="1">
        <v>30000</v>
      </c>
      <c r="E81" s="1"/>
      <c r="F81" s="1">
        <v>334.24</v>
      </c>
      <c r="G81" s="1">
        <v>30000</v>
      </c>
      <c r="H81" s="5">
        <f t="shared" si="1"/>
        <v>0</v>
      </c>
      <c r="I81" s="1"/>
      <c r="J81" s="1"/>
      <c r="K81" s="272"/>
      <c r="L81" s="272"/>
      <c r="M81" s="272"/>
    </row>
    <row r="82" spans="1:13" x14ac:dyDescent="0.2">
      <c r="A82" s="32">
        <v>76</v>
      </c>
      <c r="B82" s="1" t="s">
        <v>485</v>
      </c>
      <c r="C82" s="32">
        <v>9353</v>
      </c>
      <c r="D82" s="1">
        <v>20000</v>
      </c>
      <c r="E82" s="1"/>
      <c r="F82" s="1">
        <v>222.28</v>
      </c>
      <c r="G82" s="1">
        <v>20000</v>
      </c>
      <c r="H82" s="5">
        <f t="shared" si="1"/>
        <v>0</v>
      </c>
      <c r="I82" s="1"/>
      <c r="J82" s="1"/>
      <c r="K82" s="272"/>
      <c r="L82" s="272"/>
      <c r="M82" s="272"/>
    </row>
    <row r="83" spans="1:13" x14ac:dyDescent="0.2">
      <c r="A83" s="32">
        <v>77</v>
      </c>
      <c r="B83" s="1" t="s">
        <v>485</v>
      </c>
      <c r="C83" s="32">
        <v>4171</v>
      </c>
      <c r="D83" s="1">
        <v>12000</v>
      </c>
      <c r="E83" s="1"/>
      <c r="F83" s="1">
        <v>133.25</v>
      </c>
      <c r="G83" s="1">
        <v>12000</v>
      </c>
      <c r="H83" s="5">
        <f t="shared" si="1"/>
        <v>0</v>
      </c>
      <c r="I83" s="1"/>
      <c r="J83" s="1"/>
      <c r="K83" s="272"/>
      <c r="L83" s="272"/>
      <c r="M83" s="272"/>
    </row>
    <row r="84" spans="1:13" x14ac:dyDescent="0.2">
      <c r="A84" s="32">
        <v>78</v>
      </c>
      <c r="B84" s="1" t="s">
        <v>485</v>
      </c>
      <c r="C84" s="32">
        <v>9610</v>
      </c>
      <c r="D84" s="1">
        <v>27000</v>
      </c>
      <c r="E84" s="1"/>
      <c r="F84" s="1">
        <v>334.45</v>
      </c>
      <c r="G84" s="1">
        <v>27000</v>
      </c>
      <c r="H84" s="5">
        <f t="shared" si="1"/>
        <v>0</v>
      </c>
      <c r="I84" s="1"/>
      <c r="J84" s="1"/>
      <c r="K84" s="272"/>
      <c r="L84" s="272"/>
      <c r="M84" s="272"/>
    </row>
    <row r="85" spans="1:13" x14ac:dyDescent="0.2">
      <c r="A85" s="32">
        <v>79</v>
      </c>
      <c r="B85" s="1" t="s">
        <v>488</v>
      </c>
      <c r="C85" s="32">
        <v>6696</v>
      </c>
      <c r="D85" s="1">
        <v>16000</v>
      </c>
      <c r="E85" s="1"/>
      <c r="F85" s="1">
        <v>176.58</v>
      </c>
      <c r="G85" s="1">
        <v>16000</v>
      </c>
      <c r="H85" s="5">
        <f t="shared" si="1"/>
        <v>0</v>
      </c>
      <c r="I85" s="1"/>
      <c r="J85" s="1"/>
      <c r="K85" s="272"/>
      <c r="L85" s="272"/>
      <c r="M85" s="272"/>
    </row>
    <row r="86" spans="1:13" x14ac:dyDescent="0.2">
      <c r="A86" s="32">
        <v>80</v>
      </c>
      <c r="B86" s="1" t="s">
        <v>488</v>
      </c>
      <c r="C86" s="32">
        <v>5385</v>
      </c>
      <c r="D86" s="1">
        <v>20000</v>
      </c>
      <c r="E86" s="1"/>
      <c r="F86" s="1">
        <v>222.28</v>
      </c>
      <c r="G86" s="1">
        <v>20000</v>
      </c>
      <c r="H86" s="5">
        <f t="shared" si="1"/>
        <v>0</v>
      </c>
      <c r="I86" s="1"/>
      <c r="J86" s="1"/>
      <c r="K86" s="272"/>
      <c r="L86" s="272"/>
      <c r="M86" s="272"/>
    </row>
    <row r="87" spans="1:13" x14ac:dyDescent="0.2">
      <c r="A87" s="32">
        <v>81</v>
      </c>
      <c r="B87" s="1" t="s">
        <v>488</v>
      </c>
      <c r="C87" s="32">
        <v>6245</v>
      </c>
      <c r="D87" s="1">
        <v>15000</v>
      </c>
      <c r="E87" s="1"/>
      <c r="F87" s="1">
        <v>167.22</v>
      </c>
      <c r="G87" s="1">
        <v>15000</v>
      </c>
      <c r="H87" s="5">
        <f t="shared" si="1"/>
        <v>0</v>
      </c>
      <c r="I87" s="1"/>
      <c r="J87" s="1"/>
      <c r="K87" s="272"/>
      <c r="L87" s="272"/>
      <c r="M87" s="272"/>
    </row>
    <row r="88" spans="1:13" x14ac:dyDescent="0.2">
      <c r="A88" s="32">
        <v>82</v>
      </c>
      <c r="B88" s="1" t="s">
        <v>488</v>
      </c>
      <c r="C88" s="32">
        <v>3941</v>
      </c>
      <c r="D88" s="1">
        <v>12000</v>
      </c>
      <c r="E88" s="1"/>
      <c r="F88" s="1">
        <v>133.25</v>
      </c>
      <c r="G88" s="1">
        <v>12000</v>
      </c>
      <c r="H88" s="5">
        <f t="shared" si="1"/>
        <v>0</v>
      </c>
      <c r="I88" s="1"/>
      <c r="J88" s="1"/>
      <c r="K88" s="272"/>
      <c r="L88" s="272"/>
      <c r="M88" s="272"/>
    </row>
    <row r="89" spans="1:13" x14ac:dyDescent="0.2">
      <c r="A89" s="32">
        <v>83</v>
      </c>
      <c r="B89" s="1" t="s">
        <v>488</v>
      </c>
      <c r="C89" s="32">
        <v>3361</v>
      </c>
      <c r="D89" s="1">
        <v>15000</v>
      </c>
      <c r="E89" s="1"/>
      <c r="F89" s="1">
        <v>167.22</v>
      </c>
      <c r="G89" s="1">
        <v>15000</v>
      </c>
      <c r="H89" s="5">
        <f t="shared" si="1"/>
        <v>0</v>
      </c>
      <c r="I89" s="1"/>
      <c r="J89" s="1"/>
      <c r="K89" s="272"/>
      <c r="L89" s="272"/>
      <c r="M89" s="272"/>
    </row>
    <row r="90" spans="1:13" x14ac:dyDescent="0.2">
      <c r="A90" s="32">
        <v>84</v>
      </c>
      <c r="B90" s="1" t="s">
        <v>488</v>
      </c>
      <c r="C90" s="32">
        <v>6353</v>
      </c>
      <c r="D90" s="1">
        <v>15000</v>
      </c>
      <c r="E90" s="1"/>
      <c r="F90" s="1">
        <v>167.22</v>
      </c>
      <c r="G90" s="1">
        <v>15000</v>
      </c>
      <c r="H90" s="5">
        <f t="shared" si="1"/>
        <v>0</v>
      </c>
      <c r="I90" s="1"/>
      <c r="J90" s="1"/>
      <c r="K90" s="272"/>
      <c r="L90" s="272"/>
      <c r="M90" s="272"/>
    </row>
    <row r="91" spans="1:13" x14ac:dyDescent="0.2">
      <c r="A91" s="32">
        <v>85</v>
      </c>
      <c r="B91" s="1" t="s">
        <v>488</v>
      </c>
      <c r="C91" s="32">
        <v>3738</v>
      </c>
      <c r="D91" s="1">
        <v>25000</v>
      </c>
      <c r="E91" s="1"/>
      <c r="F91" s="1">
        <v>278.22000000000003</v>
      </c>
      <c r="G91" s="1">
        <v>25000</v>
      </c>
      <c r="H91" s="5">
        <f t="shared" si="1"/>
        <v>0</v>
      </c>
      <c r="I91" s="1"/>
      <c r="J91" s="1"/>
      <c r="K91" s="272"/>
      <c r="L91" s="272"/>
      <c r="M91" s="272"/>
    </row>
    <row r="92" spans="1:13" x14ac:dyDescent="0.2">
      <c r="A92" s="32">
        <v>86</v>
      </c>
      <c r="B92" s="1" t="s">
        <v>488</v>
      </c>
      <c r="C92" s="32">
        <v>2994</v>
      </c>
      <c r="D92" s="1">
        <v>25000</v>
      </c>
      <c r="E92" s="1"/>
      <c r="F92" s="1">
        <v>278.22000000000003</v>
      </c>
      <c r="G92" s="1">
        <v>25000</v>
      </c>
      <c r="H92" s="5">
        <f t="shared" si="1"/>
        <v>0</v>
      </c>
      <c r="I92" s="1"/>
      <c r="J92" s="1"/>
      <c r="K92" s="272"/>
      <c r="L92" s="272"/>
      <c r="M92" s="272"/>
    </row>
    <row r="93" spans="1:13" x14ac:dyDescent="0.2">
      <c r="A93" s="32">
        <v>87</v>
      </c>
      <c r="B93" s="1" t="s">
        <v>488</v>
      </c>
      <c r="C93" s="32">
        <v>6461</v>
      </c>
      <c r="D93" s="1">
        <v>30000</v>
      </c>
      <c r="E93" s="1"/>
      <c r="F93" s="1">
        <v>334.24</v>
      </c>
      <c r="G93" s="1">
        <v>30000</v>
      </c>
      <c r="H93" s="5">
        <f t="shared" si="1"/>
        <v>0</v>
      </c>
      <c r="I93" s="1"/>
      <c r="J93" s="1"/>
      <c r="K93" s="272"/>
      <c r="L93" s="272"/>
      <c r="M93" s="272"/>
    </row>
    <row r="94" spans="1:13" x14ac:dyDescent="0.2">
      <c r="A94" s="32">
        <v>88</v>
      </c>
      <c r="B94" s="1" t="s">
        <v>488</v>
      </c>
      <c r="C94" s="32">
        <v>3317</v>
      </c>
      <c r="D94" s="1">
        <v>30000</v>
      </c>
      <c r="E94" s="1"/>
      <c r="F94" s="1">
        <v>334.24</v>
      </c>
      <c r="G94" s="1">
        <v>30000</v>
      </c>
      <c r="H94" s="5">
        <f t="shared" si="1"/>
        <v>0</v>
      </c>
      <c r="I94" s="1"/>
      <c r="J94" s="1"/>
      <c r="K94" s="272"/>
      <c r="L94" s="272"/>
      <c r="M94" s="272"/>
    </row>
    <row r="95" spans="1:13" x14ac:dyDescent="0.2">
      <c r="A95" s="32">
        <v>89</v>
      </c>
      <c r="B95" s="1" t="s">
        <v>488</v>
      </c>
      <c r="C95" s="32">
        <v>1232</v>
      </c>
      <c r="D95" s="1">
        <v>29100</v>
      </c>
      <c r="E95" s="1"/>
      <c r="F95" s="1">
        <v>323.45</v>
      </c>
      <c r="G95" s="1">
        <v>29100</v>
      </c>
      <c r="H95" s="5">
        <f t="shared" si="1"/>
        <v>0</v>
      </c>
      <c r="I95" s="1"/>
      <c r="J95" s="1"/>
      <c r="K95" s="272"/>
      <c r="L95" s="272"/>
      <c r="M95" s="272"/>
    </row>
    <row r="96" spans="1:13" x14ac:dyDescent="0.2">
      <c r="A96" s="32">
        <v>90</v>
      </c>
      <c r="B96" s="1" t="s">
        <v>488</v>
      </c>
      <c r="C96" s="32">
        <v>4498</v>
      </c>
      <c r="D96" s="1">
        <v>34000</v>
      </c>
      <c r="E96" s="1"/>
      <c r="F96" s="1">
        <v>368.74</v>
      </c>
      <c r="G96" s="1">
        <v>34000</v>
      </c>
      <c r="H96" s="5">
        <f t="shared" si="1"/>
        <v>0</v>
      </c>
      <c r="I96" s="1"/>
      <c r="J96" s="1"/>
      <c r="K96" s="272"/>
      <c r="L96" s="272"/>
      <c r="M96" s="272"/>
    </row>
    <row r="97" spans="1:13" x14ac:dyDescent="0.2">
      <c r="A97" s="32">
        <v>91</v>
      </c>
      <c r="B97" s="1" t="s">
        <v>488</v>
      </c>
      <c r="C97" s="32">
        <v>6065</v>
      </c>
      <c r="D97" s="1">
        <v>10000</v>
      </c>
      <c r="E97" s="1"/>
      <c r="F97" s="1">
        <v>111.25</v>
      </c>
      <c r="G97" s="1">
        <v>10000</v>
      </c>
      <c r="H97" s="5">
        <f t="shared" si="1"/>
        <v>0</v>
      </c>
      <c r="I97" s="1"/>
      <c r="J97" s="1"/>
      <c r="K97" s="272"/>
      <c r="L97" s="272"/>
      <c r="M97" s="272"/>
    </row>
    <row r="98" spans="1:13" x14ac:dyDescent="0.2">
      <c r="A98" s="32">
        <v>92</v>
      </c>
      <c r="B98" s="1" t="s">
        <v>488</v>
      </c>
      <c r="C98" s="32">
        <v>7176</v>
      </c>
      <c r="D98" s="1">
        <v>15000</v>
      </c>
      <c r="E98" s="1"/>
      <c r="F98" s="1">
        <v>167.22</v>
      </c>
      <c r="G98" s="1">
        <v>15000</v>
      </c>
      <c r="H98" s="5">
        <f t="shared" si="1"/>
        <v>0</v>
      </c>
      <c r="I98" s="1"/>
      <c r="J98" s="1"/>
      <c r="K98" s="272"/>
      <c r="L98" s="272"/>
      <c r="M98" s="272"/>
    </row>
    <row r="99" spans="1:13" x14ac:dyDescent="0.2">
      <c r="A99" s="32">
        <v>93</v>
      </c>
      <c r="B99" s="1" t="s">
        <v>488</v>
      </c>
      <c r="C99" s="32">
        <v>4886</v>
      </c>
      <c r="D99" s="1">
        <v>35000</v>
      </c>
      <c r="E99" s="1"/>
      <c r="F99" s="1">
        <v>378.22</v>
      </c>
      <c r="G99" s="1">
        <v>35000</v>
      </c>
      <c r="H99" s="5">
        <f t="shared" si="1"/>
        <v>0</v>
      </c>
      <c r="I99" s="1"/>
      <c r="J99" s="1"/>
      <c r="K99" s="272"/>
      <c r="L99" s="272"/>
      <c r="M99" s="272"/>
    </row>
    <row r="100" spans="1:13" x14ac:dyDescent="0.2">
      <c r="A100" s="32">
        <v>94</v>
      </c>
      <c r="B100" s="1" t="s">
        <v>488</v>
      </c>
      <c r="C100" s="32">
        <v>8311</v>
      </c>
      <c r="D100" s="1">
        <v>24000</v>
      </c>
      <c r="E100" s="1"/>
      <c r="F100" s="1">
        <v>274.25</v>
      </c>
      <c r="G100" s="1">
        <v>24000</v>
      </c>
      <c r="H100" s="5">
        <f t="shared" si="1"/>
        <v>0</v>
      </c>
      <c r="I100" s="1"/>
      <c r="J100" s="1"/>
      <c r="K100" s="272"/>
      <c r="L100" s="272"/>
      <c r="M100" s="272"/>
    </row>
    <row r="101" spans="1:13" x14ac:dyDescent="0.2">
      <c r="A101" s="32">
        <v>95</v>
      </c>
      <c r="B101" s="1" t="s">
        <v>488</v>
      </c>
      <c r="C101" s="32">
        <v>2.53E-2</v>
      </c>
      <c r="D101" s="1">
        <v>15000</v>
      </c>
      <c r="E101" s="1"/>
      <c r="F101" s="1">
        <v>167.22</v>
      </c>
      <c r="G101" s="1">
        <v>15000</v>
      </c>
      <c r="H101" s="5">
        <f t="shared" si="1"/>
        <v>0</v>
      </c>
      <c r="I101" s="1"/>
      <c r="J101" s="1"/>
      <c r="K101" s="272"/>
      <c r="L101" s="272"/>
      <c r="M101" s="272"/>
    </row>
    <row r="102" spans="1:13" x14ac:dyDescent="0.2">
      <c r="A102" s="32">
        <v>96</v>
      </c>
      <c r="B102" s="1" t="s">
        <v>488</v>
      </c>
      <c r="C102" s="32" t="s">
        <v>30</v>
      </c>
      <c r="D102" s="1">
        <v>5000</v>
      </c>
      <c r="E102" s="1"/>
      <c r="F102" s="1">
        <v>55.7</v>
      </c>
      <c r="G102" s="1">
        <v>5000</v>
      </c>
      <c r="H102" s="5">
        <f t="shared" si="1"/>
        <v>0</v>
      </c>
      <c r="I102" s="1"/>
      <c r="J102" s="1"/>
      <c r="K102" s="272"/>
      <c r="L102" s="272"/>
      <c r="M102" s="272"/>
    </row>
    <row r="103" spans="1:13" x14ac:dyDescent="0.2">
      <c r="A103" s="32">
        <v>97</v>
      </c>
      <c r="B103" s="1" t="s">
        <v>488</v>
      </c>
      <c r="C103" s="32">
        <v>6449</v>
      </c>
      <c r="D103" s="1">
        <v>20000</v>
      </c>
      <c r="E103" s="1"/>
      <c r="F103" s="1">
        <v>178.22</v>
      </c>
      <c r="G103" s="1">
        <v>20000</v>
      </c>
      <c r="H103" s="5">
        <f t="shared" si="1"/>
        <v>0</v>
      </c>
      <c r="I103" s="1"/>
      <c r="J103" s="1"/>
      <c r="K103" s="272"/>
      <c r="L103" s="272"/>
      <c r="M103" s="272"/>
    </row>
    <row r="104" spans="1:13" x14ac:dyDescent="0.2">
      <c r="A104" s="32">
        <v>98</v>
      </c>
      <c r="B104" s="1" t="s">
        <v>488</v>
      </c>
      <c r="C104" s="32">
        <v>6496</v>
      </c>
      <c r="D104" s="1">
        <v>14000</v>
      </c>
      <c r="E104" s="1" t="s">
        <v>491</v>
      </c>
      <c r="F104" s="1">
        <v>155.47999999999999</v>
      </c>
      <c r="G104" s="1">
        <v>14000</v>
      </c>
      <c r="H104" s="5">
        <f t="shared" si="1"/>
        <v>0</v>
      </c>
      <c r="I104" s="1"/>
      <c r="J104" s="1"/>
      <c r="K104" s="272"/>
      <c r="L104" s="272"/>
      <c r="M104" s="272"/>
    </row>
    <row r="105" spans="1:13" x14ac:dyDescent="0.2">
      <c r="A105" s="32">
        <v>99</v>
      </c>
      <c r="B105" s="1" t="s">
        <v>488</v>
      </c>
      <c r="C105" s="32">
        <v>4282</v>
      </c>
      <c r="D105" s="1">
        <v>15000</v>
      </c>
      <c r="E105" s="1"/>
      <c r="F105" s="1">
        <v>167.22</v>
      </c>
      <c r="G105" s="1">
        <v>15000</v>
      </c>
      <c r="H105" s="5">
        <f t="shared" si="1"/>
        <v>0</v>
      </c>
      <c r="I105" s="1"/>
      <c r="J105" s="1"/>
      <c r="K105" s="272"/>
      <c r="L105" s="272"/>
      <c r="M105" s="272"/>
    </row>
    <row r="106" spans="1:13" x14ac:dyDescent="0.2">
      <c r="A106" s="32">
        <v>100</v>
      </c>
      <c r="B106" s="1" t="s">
        <v>488</v>
      </c>
      <c r="C106" s="32">
        <v>6496</v>
      </c>
      <c r="D106" s="1">
        <v>14000</v>
      </c>
      <c r="E106" s="1" t="s">
        <v>490</v>
      </c>
      <c r="F106" s="1">
        <v>155.47999999999999</v>
      </c>
      <c r="G106" s="1">
        <v>14000</v>
      </c>
      <c r="H106" s="5">
        <f t="shared" si="1"/>
        <v>0</v>
      </c>
      <c r="I106" s="1"/>
      <c r="J106" s="1"/>
      <c r="K106" s="272"/>
      <c r="L106" s="272"/>
      <c r="M106" s="272"/>
    </row>
    <row r="107" spans="1:13" x14ac:dyDescent="0.2">
      <c r="A107" s="32">
        <v>101</v>
      </c>
      <c r="B107" s="1" t="s">
        <v>488</v>
      </c>
      <c r="C107" s="32" t="s">
        <v>30</v>
      </c>
      <c r="D107" s="1">
        <v>4500</v>
      </c>
      <c r="E107" s="1"/>
      <c r="F107" s="1">
        <v>50.13</v>
      </c>
      <c r="G107" s="1">
        <v>4500</v>
      </c>
      <c r="H107" s="5">
        <f t="shared" si="1"/>
        <v>0</v>
      </c>
      <c r="I107" s="1"/>
      <c r="J107" s="1"/>
      <c r="K107" s="272"/>
      <c r="L107" s="272"/>
      <c r="M107" s="272"/>
    </row>
    <row r="108" spans="1:13" x14ac:dyDescent="0.2">
      <c r="A108" s="32">
        <v>102</v>
      </c>
      <c r="B108" s="1" t="s">
        <v>488</v>
      </c>
      <c r="C108" s="32" t="s">
        <v>63</v>
      </c>
      <c r="D108" s="1">
        <v>3500</v>
      </c>
      <c r="E108" s="1"/>
      <c r="F108" s="1">
        <v>38.99</v>
      </c>
      <c r="G108" s="1">
        <v>3500</v>
      </c>
      <c r="H108" s="5">
        <f t="shared" si="1"/>
        <v>0</v>
      </c>
      <c r="I108" s="1"/>
      <c r="J108" s="1"/>
      <c r="K108" s="272"/>
      <c r="L108" s="272"/>
      <c r="M108" s="272"/>
    </row>
    <row r="109" spans="1:13" x14ac:dyDescent="0.2">
      <c r="A109" s="32">
        <v>103</v>
      </c>
      <c r="B109" s="1" t="s">
        <v>488</v>
      </c>
      <c r="C109" s="32">
        <v>2590</v>
      </c>
      <c r="D109" s="1">
        <v>20000</v>
      </c>
      <c r="E109" s="1"/>
      <c r="F109" s="1">
        <v>222.78</v>
      </c>
      <c r="G109" s="1">
        <v>20000</v>
      </c>
      <c r="H109" s="5">
        <f t="shared" si="1"/>
        <v>0</v>
      </c>
      <c r="I109" s="1"/>
      <c r="J109" s="1"/>
      <c r="K109" s="272"/>
      <c r="L109" s="272"/>
      <c r="M109" s="272"/>
    </row>
    <row r="110" spans="1:13" x14ac:dyDescent="0.2">
      <c r="A110" s="32">
        <v>104</v>
      </c>
      <c r="B110" s="1" t="s">
        <v>492</v>
      </c>
      <c r="C110" s="32" t="s">
        <v>66</v>
      </c>
      <c r="D110" s="1">
        <v>210</v>
      </c>
      <c r="E110" s="1"/>
      <c r="F110" s="1">
        <v>2.25</v>
      </c>
      <c r="G110" s="1">
        <v>210</v>
      </c>
      <c r="H110" s="5">
        <f t="shared" si="1"/>
        <v>0</v>
      </c>
      <c r="I110" s="1"/>
      <c r="J110" s="1"/>
      <c r="K110" s="272"/>
      <c r="L110" s="272"/>
      <c r="M110" s="272"/>
    </row>
    <row r="111" spans="1:13" x14ac:dyDescent="0.2">
      <c r="A111" s="32">
        <v>105</v>
      </c>
      <c r="B111" s="1" t="s">
        <v>492</v>
      </c>
      <c r="C111" s="32">
        <v>5.1999999999999998E-3</v>
      </c>
      <c r="D111" s="1">
        <v>16000</v>
      </c>
      <c r="E111" s="1"/>
      <c r="F111" s="1">
        <v>178.52</v>
      </c>
      <c r="G111" s="1">
        <v>16000</v>
      </c>
      <c r="H111" s="5">
        <f t="shared" si="1"/>
        <v>0</v>
      </c>
      <c r="I111" s="1"/>
      <c r="J111" s="1"/>
      <c r="K111" s="272"/>
      <c r="L111" s="272"/>
      <c r="M111" s="272"/>
    </row>
    <row r="112" spans="1:13" x14ac:dyDescent="0.2">
      <c r="A112" s="32">
        <v>106</v>
      </c>
      <c r="B112" s="1" t="s">
        <v>492</v>
      </c>
      <c r="C112" s="32" t="s">
        <v>30</v>
      </c>
      <c r="D112" s="1">
        <v>5000</v>
      </c>
      <c r="E112" s="1"/>
      <c r="F112" s="1">
        <v>50.45</v>
      </c>
      <c r="G112" s="1">
        <v>5000</v>
      </c>
      <c r="H112" s="5">
        <f t="shared" si="1"/>
        <v>0</v>
      </c>
      <c r="I112" s="1"/>
      <c r="J112" s="1"/>
      <c r="K112" s="272"/>
      <c r="L112" s="272"/>
      <c r="M112" s="272"/>
    </row>
    <row r="113" spans="1:13" x14ac:dyDescent="0.2">
      <c r="A113" s="32">
        <v>107</v>
      </c>
      <c r="B113" s="1" t="s">
        <v>492</v>
      </c>
      <c r="C113" s="32">
        <v>5151</v>
      </c>
      <c r="D113" s="1">
        <v>16000</v>
      </c>
      <c r="E113" s="1"/>
      <c r="F113" s="1">
        <v>178.52</v>
      </c>
      <c r="G113" s="1">
        <v>16000</v>
      </c>
      <c r="H113" s="5">
        <f t="shared" si="1"/>
        <v>0</v>
      </c>
      <c r="I113" s="1"/>
      <c r="J113" s="1"/>
      <c r="K113" s="272"/>
      <c r="L113" s="272"/>
      <c r="M113" s="272"/>
    </row>
    <row r="114" spans="1:13" x14ac:dyDescent="0.2">
      <c r="A114" s="32">
        <v>108</v>
      </c>
      <c r="B114" s="1" t="s">
        <v>492</v>
      </c>
      <c r="C114" s="32">
        <v>5.1000000000000004E-3</v>
      </c>
      <c r="D114" s="1">
        <v>16000</v>
      </c>
      <c r="E114" s="1"/>
      <c r="F114" s="1">
        <v>178.52</v>
      </c>
      <c r="G114" s="1">
        <v>16000</v>
      </c>
      <c r="H114" s="5">
        <f t="shared" si="1"/>
        <v>0</v>
      </c>
      <c r="I114" s="1"/>
      <c r="J114" s="1"/>
      <c r="K114" s="272"/>
      <c r="L114" s="272"/>
      <c r="M114" s="272"/>
    </row>
    <row r="115" spans="1:13" x14ac:dyDescent="0.2">
      <c r="A115" s="32">
        <v>109</v>
      </c>
      <c r="B115" s="1" t="s">
        <v>492</v>
      </c>
      <c r="C115" s="32">
        <v>5252</v>
      </c>
      <c r="D115" s="1">
        <v>16000</v>
      </c>
      <c r="E115" s="1"/>
      <c r="F115" s="1">
        <v>178.52</v>
      </c>
      <c r="G115" s="1">
        <v>16000</v>
      </c>
      <c r="H115" s="5">
        <f t="shared" si="1"/>
        <v>0</v>
      </c>
      <c r="I115" s="1"/>
      <c r="J115" s="1"/>
      <c r="K115" s="272"/>
      <c r="L115" s="272"/>
      <c r="M115" s="272"/>
    </row>
    <row r="116" spans="1:13" x14ac:dyDescent="0.2">
      <c r="A116" s="32">
        <v>110</v>
      </c>
      <c r="B116" s="1" t="s">
        <v>492</v>
      </c>
      <c r="C116" s="32">
        <v>1723</v>
      </c>
      <c r="D116" s="1">
        <v>15000</v>
      </c>
      <c r="E116" s="1"/>
      <c r="F116" s="1">
        <v>167.15</v>
      </c>
      <c r="G116" s="1">
        <v>15000</v>
      </c>
      <c r="H116" s="5">
        <f t="shared" si="1"/>
        <v>0</v>
      </c>
      <c r="I116" s="1"/>
      <c r="J116" s="1"/>
      <c r="K116" s="272"/>
      <c r="L116" s="272"/>
      <c r="M116" s="272"/>
    </row>
    <row r="117" spans="1:13" x14ac:dyDescent="0.2">
      <c r="A117" s="32">
        <v>111</v>
      </c>
      <c r="B117" s="1" t="s">
        <v>492</v>
      </c>
      <c r="C117" s="32">
        <v>2810</v>
      </c>
      <c r="D117" s="1">
        <v>15000</v>
      </c>
      <c r="E117" s="1"/>
      <c r="F117" s="1">
        <v>167.15</v>
      </c>
      <c r="G117" s="1">
        <v>15000</v>
      </c>
      <c r="H117" s="5">
        <f t="shared" si="1"/>
        <v>0</v>
      </c>
      <c r="I117" s="1"/>
      <c r="J117" s="1"/>
      <c r="K117" s="272"/>
      <c r="L117" s="272"/>
      <c r="M117" s="272"/>
    </row>
    <row r="118" spans="1:13" x14ac:dyDescent="0.2">
      <c r="A118" s="32">
        <v>112</v>
      </c>
      <c r="B118" s="1" t="s">
        <v>492</v>
      </c>
      <c r="C118" s="32">
        <v>5077</v>
      </c>
      <c r="D118" s="1">
        <v>9000</v>
      </c>
      <c r="E118" s="1"/>
      <c r="F118" s="1">
        <v>100.45</v>
      </c>
      <c r="G118" s="1">
        <v>9000</v>
      </c>
      <c r="H118" s="5">
        <f t="shared" si="1"/>
        <v>0</v>
      </c>
      <c r="I118" s="1"/>
      <c r="J118" s="1"/>
      <c r="K118" s="272"/>
      <c r="L118" s="272"/>
      <c r="M118" s="272"/>
    </row>
    <row r="119" spans="1:13" x14ac:dyDescent="0.2">
      <c r="A119" s="32">
        <v>113</v>
      </c>
      <c r="B119" s="1" t="s">
        <v>492</v>
      </c>
      <c r="C119" s="32">
        <v>5931</v>
      </c>
      <c r="D119" s="1">
        <v>17000</v>
      </c>
      <c r="E119" s="1"/>
      <c r="F119" s="1">
        <v>189.45</v>
      </c>
      <c r="G119" s="1">
        <v>17000</v>
      </c>
      <c r="H119" s="5">
        <f t="shared" si="1"/>
        <v>0</v>
      </c>
      <c r="I119" s="1"/>
      <c r="J119" s="1"/>
      <c r="K119" s="272"/>
      <c r="L119" s="272"/>
      <c r="M119" s="272"/>
    </row>
    <row r="120" spans="1:13" x14ac:dyDescent="0.2">
      <c r="A120" s="32">
        <v>114</v>
      </c>
      <c r="B120" s="1" t="s">
        <v>492</v>
      </c>
      <c r="C120" s="32">
        <v>2809</v>
      </c>
      <c r="D120" s="1">
        <v>15000</v>
      </c>
      <c r="E120" s="1"/>
      <c r="F120" s="1">
        <v>167.15</v>
      </c>
      <c r="G120" s="1">
        <v>15000</v>
      </c>
      <c r="H120" s="5">
        <f t="shared" si="1"/>
        <v>0</v>
      </c>
      <c r="I120" s="1"/>
      <c r="J120" s="1"/>
      <c r="K120" s="272"/>
      <c r="L120" s="272"/>
      <c r="M120" s="272"/>
    </row>
    <row r="121" spans="1:13" x14ac:dyDescent="0.2">
      <c r="A121" s="32">
        <v>115</v>
      </c>
      <c r="B121" s="1" t="s">
        <v>492</v>
      </c>
      <c r="C121" s="32">
        <v>1722</v>
      </c>
      <c r="D121" s="1">
        <v>15000</v>
      </c>
      <c r="E121" s="1"/>
      <c r="F121" s="1">
        <v>167.15</v>
      </c>
      <c r="G121" s="1">
        <v>15000</v>
      </c>
      <c r="H121" s="5">
        <f t="shared" si="1"/>
        <v>0</v>
      </c>
      <c r="I121" s="1"/>
      <c r="J121" s="1"/>
      <c r="K121" s="272"/>
      <c r="L121" s="272"/>
      <c r="M121" s="272"/>
    </row>
    <row r="122" spans="1:13" x14ac:dyDescent="0.2">
      <c r="A122" s="32">
        <v>116</v>
      </c>
      <c r="B122" s="1" t="s">
        <v>492</v>
      </c>
      <c r="C122" s="32">
        <v>2593</v>
      </c>
      <c r="D122" s="1">
        <v>30000</v>
      </c>
      <c r="E122" s="1"/>
      <c r="F122" s="1">
        <v>323.25</v>
      </c>
      <c r="G122" s="1">
        <v>30000</v>
      </c>
      <c r="H122" s="5">
        <f t="shared" si="1"/>
        <v>0</v>
      </c>
      <c r="I122" s="1"/>
      <c r="J122" s="1"/>
      <c r="K122" s="272"/>
      <c r="L122" s="272"/>
      <c r="M122" s="272"/>
    </row>
    <row r="123" spans="1:13" x14ac:dyDescent="0.2">
      <c r="A123" s="32">
        <v>117</v>
      </c>
      <c r="B123" s="1" t="s">
        <v>492</v>
      </c>
      <c r="C123" s="32">
        <v>1794</v>
      </c>
      <c r="D123" s="1">
        <v>22000</v>
      </c>
      <c r="E123" s="1"/>
      <c r="F123" s="1">
        <v>245.78</v>
      </c>
      <c r="G123" s="1">
        <v>22000</v>
      </c>
      <c r="H123" s="5">
        <f t="shared" si="1"/>
        <v>0</v>
      </c>
      <c r="I123" s="1"/>
      <c r="J123" s="1"/>
      <c r="K123" s="272"/>
      <c r="L123" s="272"/>
      <c r="M123" s="272"/>
    </row>
    <row r="124" spans="1:13" x14ac:dyDescent="0.2">
      <c r="A124" s="32">
        <v>118</v>
      </c>
      <c r="B124" s="1" t="s">
        <v>492</v>
      </c>
      <c r="C124" s="32">
        <v>4747</v>
      </c>
      <c r="D124" s="1">
        <v>12000</v>
      </c>
      <c r="E124" s="1"/>
      <c r="F124" s="1">
        <v>133.47</v>
      </c>
      <c r="G124" s="1">
        <v>12000</v>
      </c>
      <c r="H124" s="5">
        <f t="shared" si="1"/>
        <v>0</v>
      </c>
      <c r="I124" s="1"/>
      <c r="J124" s="1"/>
      <c r="K124" s="272"/>
      <c r="L124" s="272"/>
      <c r="M124" s="272"/>
    </row>
    <row r="125" spans="1:13" x14ac:dyDescent="0.2">
      <c r="A125" s="32">
        <v>119</v>
      </c>
      <c r="B125" s="1" t="s">
        <v>492</v>
      </c>
      <c r="C125" s="32">
        <v>9500</v>
      </c>
      <c r="D125" s="1">
        <v>25000</v>
      </c>
      <c r="E125" s="1"/>
      <c r="F125" s="1">
        <v>278.22000000000003</v>
      </c>
      <c r="G125" s="1">
        <v>25000</v>
      </c>
      <c r="H125" s="5">
        <f t="shared" si="1"/>
        <v>0</v>
      </c>
      <c r="I125" s="1"/>
      <c r="J125" s="1"/>
      <c r="K125" s="272"/>
      <c r="L125" s="272"/>
      <c r="M125" s="272"/>
    </row>
    <row r="126" spans="1:13" x14ac:dyDescent="0.2">
      <c r="A126" s="32">
        <v>120</v>
      </c>
      <c r="B126" s="1" t="s">
        <v>492</v>
      </c>
      <c r="C126" s="32">
        <v>5491</v>
      </c>
      <c r="D126" s="1">
        <v>9000</v>
      </c>
      <c r="E126" s="1"/>
      <c r="F126" s="1">
        <v>100.45</v>
      </c>
      <c r="G126" s="1">
        <v>9000</v>
      </c>
      <c r="H126" s="5">
        <f t="shared" si="1"/>
        <v>0</v>
      </c>
      <c r="I126" s="1"/>
      <c r="J126" s="1"/>
      <c r="K126" s="272"/>
      <c r="L126" s="272"/>
      <c r="M126" s="272"/>
    </row>
    <row r="127" spans="1:13" x14ac:dyDescent="0.2">
      <c r="A127" s="32">
        <v>121</v>
      </c>
      <c r="B127" s="1" t="s">
        <v>492</v>
      </c>
      <c r="C127" s="32">
        <v>2111</v>
      </c>
      <c r="D127" s="1">
        <v>20000</v>
      </c>
      <c r="E127" s="1"/>
      <c r="F127" s="1">
        <v>245.78</v>
      </c>
      <c r="G127" s="1">
        <v>20000</v>
      </c>
      <c r="H127" s="5">
        <f t="shared" si="1"/>
        <v>0</v>
      </c>
      <c r="I127" s="1"/>
      <c r="J127" s="1"/>
      <c r="K127" s="272"/>
      <c r="L127" s="272"/>
      <c r="M127" s="272"/>
    </row>
    <row r="128" spans="1:13" x14ac:dyDescent="0.2">
      <c r="A128" s="32">
        <v>122</v>
      </c>
      <c r="B128" s="1" t="s">
        <v>492</v>
      </c>
      <c r="C128" s="32">
        <v>4111</v>
      </c>
      <c r="D128" s="1">
        <v>20000</v>
      </c>
      <c r="E128" s="1"/>
      <c r="F128" s="1">
        <v>245.78</v>
      </c>
      <c r="G128" s="1">
        <v>20000</v>
      </c>
      <c r="H128" s="5">
        <f t="shared" si="1"/>
        <v>0</v>
      </c>
      <c r="I128" s="1"/>
      <c r="J128" s="1"/>
      <c r="K128" s="272"/>
      <c r="L128" s="272"/>
      <c r="M128" s="272"/>
    </row>
    <row r="129" spans="1:13" x14ac:dyDescent="0.2">
      <c r="A129" s="32">
        <v>123</v>
      </c>
      <c r="B129" s="1" t="s">
        <v>492</v>
      </c>
      <c r="C129" s="32">
        <v>9422</v>
      </c>
      <c r="D129" s="1">
        <v>20000</v>
      </c>
      <c r="E129" s="1"/>
      <c r="F129" s="1">
        <v>245.78</v>
      </c>
      <c r="G129" s="1">
        <v>20000</v>
      </c>
      <c r="H129" s="5">
        <f t="shared" si="1"/>
        <v>0</v>
      </c>
      <c r="I129" s="1"/>
      <c r="J129" s="1"/>
      <c r="K129" s="272"/>
      <c r="L129" s="272"/>
      <c r="M129" s="272"/>
    </row>
    <row r="130" spans="1:13" x14ac:dyDescent="0.2">
      <c r="A130" s="32">
        <v>124</v>
      </c>
      <c r="B130" s="1" t="s">
        <v>492</v>
      </c>
      <c r="C130" s="32">
        <v>4579</v>
      </c>
      <c r="D130" s="1">
        <v>20000</v>
      </c>
      <c r="E130" s="1"/>
      <c r="F130" s="1">
        <v>222.78</v>
      </c>
      <c r="G130" s="1">
        <v>20000</v>
      </c>
      <c r="H130" s="5">
        <f t="shared" si="1"/>
        <v>0</v>
      </c>
      <c r="I130" s="1"/>
      <c r="J130" s="1"/>
      <c r="K130" s="272"/>
      <c r="L130" s="272"/>
      <c r="M130" s="272"/>
    </row>
    <row r="131" spans="1:13" x14ac:dyDescent="0.2">
      <c r="A131" s="32">
        <v>125</v>
      </c>
      <c r="B131" s="1" t="s">
        <v>492</v>
      </c>
      <c r="C131" s="32">
        <v>9903</v>
      </c>
      <c r="D131" s="1">
        <v>20000</v>
      </c>
      <c r="E131" s="1"/>
      <c r="F131" s="1">
        <v>222.78</v>
      </c>
      <c r="G131" s="1">
        <v>20000</v>
      </c>
      <c r="H131" s="5">
        <f t="shared" si="1"/>
        <v>0</v>
      </c>
      <c r="I131" s="1"/>
      <c r="J131" s="1"/>
      <c r="K131" s="272"/>
      <c r="L131" s="272"/>
      <c r="M131" s="272"/>
    </row>
    <row r="132" spans="1:13" x14ac:dyDescent="0.2">
      <c r="A132" s="32">
        <v>126</v>
      </c>
      <c r="B132" s="1" t="s">
        <v>492</v>
      </c>
      <c r="C132" s="32">
        <v>5726</v>
      </c>
      <c r="D132" s="1">
        <v>5000</v>
      </c>
      <c r="E132" s="1"/>
      <c r="F132" s="1">
        <v>55.45</v>
      </c>
      <c r="G132" s="1">
        <v>5000</v>
      </c>
      <c r="H132" s="5">
        <f t="shared" si="1"/>
        <v>0</v>
      </c>
      <c r="I132" s="1"/>
      <c r="J132" s="1"/>
      <c r="K132" s="272"/>
      <c r="L132" s="272"/>
      <c r="M132" s="272"/>
    </row>
    <row r="133" spans="1:13" x14ac:dyDescent="0.2">
      <c r="A133" s="32">
        <v>127</v>
      </c>
      <c r="B133" s="1" t="s">
        <v>492</v>
      </c>
      <c r="C133" s="32">
        <v>4132</v>
      </c>
      <c r="D133" s="1">
        <v>15000</v>
      </c>
      <c r="E133" s="1"/>
      <c r="F133" s="1">
        <v>167.15</v>
      </c>
      <c r="G133" s="1">
        <v>15000</v>
      </c>
      <c r="H133" s="5">
        <f t="shared" si="1"/>
        <v>0</v>
      </c>
      <c r="I133" s="1"/>
      <c r="J133" s="1"/>
      <c r="K133" s="272"/>
      <c r="L133" s="272"/>
      <c r="M133" s="272"/>
    </row>
    <row r="134" spans="1:13" x14ac:dyDescent="0.2">
      <c r="A134" s="32">
        <v>128</v>
      </c>
      <c r="B134" s="1" t="s">
        <v>492</v>
      </c>
      <c r="C134" s="32">
        <v>2056</v>
      </c>
      <c r="D134" s="1">
        <v>35000</v>
      </c>
      <c r="E134" s="1"/>
      <c r="F134" s="1">
        <v>389.48</v>
      </c>
      <c r="G134" s="1">
        <v>35000</v>
      </c>
      <c r="H134" s="5">
        <f t="shared" si="1"/>
        <v>0</v>
      </c>
      <c r="I134" s="1"/>
      <c r="J134" s="1"/>
      <c r="K134" s="272"/>
      <c r="L134" s="272"/>
      <c r="M134" s="272"/>
    </row>
    <row r="135" spans="1:13" x14ac:dyDescent="0.2">
      <c r="A135" s="32">
        <v>129</v>
      </c>
      <c r="B135" s="1" t="s">
        <v>492</v>
      </c>
      <c r="C135" s="32">
        <v>9917</v>
      </c>
      <c r="D135" s="1">
        <v>22000</v>
      </c>
      <c r="E135" s="1"/>
      <c r="F135" s="1">
        <v>245.78</v>
      </c>
      <c r="G135" s="1">
        <v>22000</v>
      </c>
      <c r="H135" s="5">
        <f t="shared" ref="H135:H198" si="2">D135-G135</f>
        <v>0</v>
      </c>
      <c r="I135" s="1"/>
      <c r="J135" s="1"/>
      <c r="K135" s="272"/>
      <c r="L135" s="272"/>
      <c r="M135" s="272"/>
    </row>
    <row r="136" spans="1:13" x14ac:dyDescent="0.2">
      <c r="A136" s="32">
        <v>130</v>
      </c>
      <c r="B136" s="1" t="s">
        <v>493</v>
      </c>
      <c r="C136" s="32">
        <v>1553</v>
      </c>
      <c r="D136" s="1">
        <v>25000</v>
      </c>
      <c r="E136" s="1"/>
      <c r="F136" s="1">
        <v>267.45</v>
      </c>
      <c r="G136" s="1">
        <v>25000</v>
      </c>
      <c r="H136" s="5">
        <f t="shared" si="2"/>
        <v>0</v>
      </c>
      <c r="I136" s="1"/>
      <c r="J136" s="1"/>
      <c r="K136" s="272"/>
      <c r="L136" s="272"/>
      <c r="M136" s="272"/>
    </row>
    <row r="137" spans="1:13" x14ac:dyDescent="0.2">
      <c r="A137" s="32">
        <v>131</v>
      </c>
      <c r="B137" s="1" t="s">
        <v>493</v>
      </c>
      <c r="C137" s="32">
        <v>1466</v>
      </c>
      <c r="D137" s="1">
        <v>10000</v>
      </c>
      <c r="E137" s="1"/>
      <c r="F137" s="1">
        <v>111.24</v>
      </c>
      <c r="G137" s="1">
        <v>10000</v>
      </c>
      <c r="H137" s="5">
        <f t="shared" si="2"/>
        <v>0</v>
      </c>
      <c r="I137" s="1"/>
      <c r="J137" s="1"/>
      <c r="K137" s="272"/>
      <c r="L137" s="272"/>
      <c r="M137" s="272"/>
    </row>
    <row r="138" spans="1:13" x14ac:dyDescent="0.2">
      <c r="A138" s="32">
        <v>132</v>
      </c>
      <c r="B138" s="1" t="s">
        <v>493</v>
      </c>
      <c r="C138" s="32">
        <v>4826</v>
      </c>
      <c r="D138" s="1">
        <v>20000</v>
      </c>
      <c r="E138" s="1"/>
      <c r="F138" s="1">
        <v>222.78</v>
      </c>
      <c r="G138" s="1">
        <v>20000</v>
      </c>
      <c r="H138" s="5">
        <f t="shared" si="2"/>
        <v>0</v>
      </c>
      <c r="I138" s="1"/>
      <c r="J138" s="1"/>
      <c r="K138" s="272"/>
      <c r="L138" s="272"/>
      <c r="M138" s="272"/>
    </row>
    <row r="139" spans="1:13" x14ac:dyDescent="0.2">
      <c r="A139" s="32">
        <v>133</v>
      </c>
      <c r="B139" s="1" t="s">
        <v>493</v>
      </c>
      <c r="C139" s="32">
        <v>4739</v>
      </c>
      <c r="D139" s="1">
        <v>30000</v>
      </c>
      <c r="E139" s="1"/>
      <c r="F139" s="1">
        <v>334.25</v>
      </c>
      <c r="G139" s="1">
        <v>30000</v>
      </c>
      <c r="H139" s="5">
        <f t="shared" si="2"/>
        <v>0</v>
      </c>
      <c r="I139" s="1"/>
      <c r="J139" s="1"/>
      <c r="K139" s="272"/>
      <c r="L139" s="272"/>
      <c r="M139" s="272"/>
    </row>
    <row r="140" spans="1:13" x14ac:dyDescent="0.2">
      <c r="A140" s="32">
        <v>134</v>
      </c>
      <c r="B140" s="1" t="s">
        <v>493</v>
      </c>
      <c r="C140" s="32">
        <v>7817</v>
      </c>
      <c r="D140" s="1">
        <v>30000</v>
      </c>
      <c r="E140" s="1"/>
      <c r="F140" s="1">
        <v>334.25</v>
      </c>
      <c r="G140" s="1">
        <v>30000</v>
      </c>
      <c r="H140" s="5">
        <f t="shared" si="2"/>
        <v>0</v>
      </c>
      <c r="I140" s="1"/>
      <c r="J140" s="1"/>
      <c r="K140" s="272"/>
      <c r="L140" s="272"/>
      <c r="M140" s="272"/>
    </row>
    <row r="141" spans="1:13" x14ac:dyDescent="0.2">
      <c r="A141" s="32">
        <v>135</v>
      </c>
      <c r="B141" s="1" t="s">
        <v>493</v>
      </c>
      <c r="C141" s="32">
        <v>6496</v>
      </c>
      <c r="D141" s="1">
        <v>14000</v>
      </c>
      <c r="E141" s="1"/>
      <c r="F141" s="1">
        <v>155.47</v>
      </c>
      <c r="G141" s="1">
        <v>14000</v>
      </c>
      <c r="H141" s="5">
        <f t="shared" si="2"/>
        <v>0</v>
      </c>
      <c r="I141" s="1"/>
      <c r="J141" s="1"/>
      <c r="K141" s="272"/>
      <c r="L141" s="272"/>
      <c r="M141" s="272"/>
    </row>
    <row r="142" spans="1:13" x14ac:dyDescent="0.2">
      <c r="A142" s="32">
        <v>136</v>
      </c>
      <c r="B142" s="1" t="s">
        <v>493</v>
      </c>
      <c r="C142" s="32">
        <v>6931</v>
      </c>
      <c r="D142" s="1">
        <v>17000</v>
      </c>
      <c r="E142" s="1"/>
      <c r="F142" s="1">
        <v>189.35</v>
      </c>
      <c r="G142" s="1">
        <v>17000</v>
      </c>
      <c r="H142" s="5">
        <f t="shared" si="2"/>
        <v>0</v>
      </c>
      <c r="I142" s="1"/>
      <c r="J142" s="1"/>
      <c r="K142" s="272"/>
      <c r="L142" s="272"/>
      <c r="M142" s="272"/>
    </row>
    <row r="143" spans="1:13" x14ac:dyDescent="0.2">
      <c r="A143" s="32">
        <v>137</v>
      </c>
      <c r="B143" s="1" t="s">
        <v>493</v>
      </c>
      <c r="C143" s="32">
        <v>3941</v>
      </c>
      <c r="D143" s="1">
        <v>14000</v>
      </c>
      <c r="E143" s="1"/>
      <c r="F143" s="1">
        <v>155.47999999999999</v>
      </c>
      <c r="G143" s="1">
        <v>14000</v>
      </c>
      <c r="H143" s="5">
        <f t="shared" si="2"/>
        <v>0</v>
      </c>
      <c r="I143" s="1"/>
      <c r="J143" s="1"/>
      <c r="K143" s="272"/>
      <c r="L143" s="272"/>
      <c r="M143" s="272"/>
    </row>
    <row r="144" spans="1:13" x14ac:dyDescent="0.2">
      <c r="A144" s="32">
        <v>138</v>
      </c>
      <c r="B144" s="1" t="s">
        <v>493</v>
      </c>
      <c r="C144" s="32">
        <v>3809</v>
      </c>
      <c r="D144" s="1">
        <v>15000</v>
      </c>
      <c r="E144" s="1"/>
      <c r="F144" s="1">
        <v>167.15</v>
      </c>
      <c r="G144" s="1">
        <v>15000</v>
      </c>
      <c r="H144" s="5">
        <f t="shared" si="2"/>
        <v>0</v>
      </c>
      <c r="I144" s="1"/>
      <c r="J144" s="1"/>
      <c r="K144" s="272"/>
      <c r="L144" s="272"/>
      <c r="M144" s="272"/>
    </row>
    <row r="145" spans="1:13" x14ac:dyDescent="0.2">
      <c r="A145" s="32">
        <v>139</v>
      </c>
      <c r="B145" s="1" t="s">
        <v>493</v>
      </c>
      <c r="C145" s="32">
        <v>6496</v>
      </c>
      <c r="D145" s="1">
        <v>14000</v>
      </c>
      <c r="E145" s="1"/>
      <c r="F145" s="1">
        <v>155.47999999999999</v>
      </c>
      <c r="G145" s="1">
        <v>14000</v>
      </c>
      <c r="H145" s="5">
        <f t="shared" si="2"/>
        <v>0</v>
      </c>
      <c r="I145" s="1"/>
      <c r="J145" s="1"/>
      <c r="K145" s="272"/>
      <c r="L145" s="272"/>
      <c r="M145" s="272"/>
    </row>
    <row r="146" spans="1:13" x14ac:dyDescent="0.2">
      <c r="A146" s="32">
        <v>140</v>
      </c>
      <c r="B146" s="1" t="s">
        <v>493</v>
      </c>
      <c r="C146" s="32">
        <v>8.4400000000000003E-2</v>
      </c>
      <c r="D146" s="1">
        <v>24000</v>
      </c>
      <c r="E146" s="1"/>
      <c r="F146" s="1">
        <v>246.47</v>
      </c>
      <c r="G146" s="1">
        <v>24000</v>
      </c>
      <c r="H146" s="5">
        <f t="shared" si="2"/>
        <v>0</v>
      </c>
      <c r="I146" s="1"/>
      <c r="J146" s="1"/>
      <c r="K146" s="272"/>
      <c r="L146" s="272"/>
      <c r="M146" s="272"/>
    </row>
    <row r="147" spans="1:13" x14ac:dyDescent="0.2">
      <c r="A147" s="32">
        <v>141</v>
      </c>
      <c r="B147" s="1" t="s">
        <v>493</v>
      </c>
      <c r="C147" s="32" t="s">
        <v>30</v>
      </c>
      <c r="D147" s="1">
        <v>4500</v>
      </c>
      <c r="E147" s="1"/>
      <c r="F147" s="1">
        <v>50.13</v>
      </c>
      <c r="G147" s="1">
        <v>4500</v>
      </c>
      <c r="H147" s="5">
        <f t="shared" si="2"/>
        <v>0</v>
      </c>
      <c r="I147" s="1"/>
      <c r="J147" s="1"/>
      <c r="K147" s="272"/>
      <c r="L147" s="272"/>
      <c r="M147" s="272"/>
    </row>
    <row r="148" spans="1:13" x14ac:dyDescent="0.2">
      <c r="A148" s="32">
        <v>142</v>
      </c>
      <c r="B148" s="1" t="s">
        <v>493</v>
      </c>
      <c r="C148" s="32" t="s">
        <v>30</v>
      </c>
      <c r="D148" s="1">
        <v>3500</v>
      </c>
      <c r="E148" s="1"/>
      <c r="F148" s="1">
        <v>35.450000000000003</v>
      </c>
      <c r="G148" s="1">
        <v>3500</v>
      </c>
      <c r="H148" s="5">
        <f t="shared" si="2"/>
        <v>0</v>
      </c>
      <c r="I148" s="1"/>
      <c r="J148" s="1"/>
      <c r="K148" s="272"/>
      <c r="L148" s="272"/>
      <c r="M148" s="272"/>
    </row>
    <row r="149" spans="1:13" x14ac:dyDescent="0.2">
      <c r="A149" s="32">
        <v>143</v>
      </c>
      <c r="B149" s="1" t="s">
        <v>493</v>
      </c>
      <c r="C149" s="32">
        <v>9391</v>
      </c>
      <c r="D149" s="1">
        <v>22000</v>
      </c>
      <c r="E149" s="1"/>
      <c r="F149" s="1">
        <v>245.25</v>
      </c>
      <c r="G149" s="1">
        <v>22000</v>
      </c>
      <c r="H149" s="5">
        <f t="shared" si="2"/>
        <v>0</v>
      </c>
      <c r="I149" s="1"/>
      <c r="J149" s="1"/>
      <c r="K149" s="272"/>
      <c r="L149" s="272"/>
      <c r="M149" s="272"/>
    </row>
    <row r="150" spans="1:13" x14ac:dyDescent="0.2">
      <c r="A150" s="32">
        <v>144</v>
      </c>
      <c r="B150" s="1" t="s">
        <v>493</v>
      </c>
      <c r="C150" s="32">
        <v>3051</v>
      </c>
      <c r="D150" s="1">
        <v>15000</v>
      </c>
      <c r="E150" s="1"/>
      <c r="F150" s="1">
        <v>167.15</v>
      </c>
      <c r="G150" s="1">
        <v>15000</v>
      </c>
      <c r="H150" s="5">
        <f t="shared" si="2"/>
        <v>0</v>
      </c>
      <c r="I150" s="1"/>
      <c r="J150" s="1"/>
      <c r="K150" s="272"/>
      <c r="L150" s="272"/>
      <c r="M150" s="272"/>
    </row>
    <row r="151" spans="1:13" x14ac:dyDescent="0.2">
      <c r="A151" s="32">
        <v>145</v>
      </c>
      <c r="B151" s="1" t="s">
        <v>493</v>
      </c>
      <c r="C151" s="32">
        <v>3856</v>
      </c>
      <c r="D151" s="1">
        <v>10000</v>
      </c>
      <c r="E151" s="1"/>
      <c r="F151" s="1">
        <v>111.24</v>
      </c>
      <c r="G151" s="1">
        <v>10000</v>
      </c>
      <c r="H151" s="5">
        <f t="shared" si="2"/>
        <v>0</v>
      </c>
      <c r="I151" s="1"/>
      <c r="J151" s="1"/>
      <c r="K151" s="272"/>
      <c r="L151" s="272"/>
      <c r="M151" s="272"/>
    </row>
    <row r="152" spans="1:13" x14ac:dyDescent="0.2">
      <c r="A152" s="32">
        <v>146</v>
      </c>
      <c r="B152" s="1" t="s">
        <v>493</v>
      </c>
      <c r="C152" s="32">
        <v>2953</v>
      </c>
      <c r="D152" s="1">
        <v>10000</v>
      </c>
      <c r="E152" s="1"/>
      <c r="F152" s="1">
        <v>111.24</v>
      </c>
      <c r="G152" s="1">
        <v>10000</v>
      </c>
      <c r="H152" s="5">
        <f t="shared" si="2"/>
        <v>0</v>
      </c>
      <c r="I152" s="1"/>
      <c r="J152" s="1"/>
      <c r="K152" s="272"/>
      <c r="L152" s="272"/>
      <c r="M152" s="272"/>
    </row>
    <row r="153" spans="1:13" x14ac:dyDescent="0.2">
      <c r="A153" s="32">
        <v>147</v>
      </c>
      <c r="B153" s="1" t="s">
        <v>493</v>
      </c>
      <c r="C153" s="32">
        <v>5749</v>
      </c>
      <c r="D153" s="1">
        <v>38000</v>
      </c>
      <c r="E153" s="1"/>
      <c r="F153" s="1">
        <v>423.45</v>
      </c>
      <c r="G153" s="1">
        <v>38000</v>
      </c>
      <c r="H153" s="5">
        <f t="shared" si="2"/>
        <v>0</v>
      </c>
      <c r="I153" s="1"/>
      <c r="J153" s="1"/>
      <c r="K153" s="272"/>
      <c r="L153" s="272"/>
      <c r="M153" s="272"/>
    </row>
    <row r="154" spans="1:13" x14ac:dyDescent="0.2">
      <c r="A154" s="32">
        <v>148</v>
      </c>
      <c r="B154" s="1" t="s">
        <v>493</v>
      </c>
      <c r="C154" s="32">
        <v>4.3E-3</v>
      </c>
      <c r="D154" s="1">
        <v>33000</v>
      </c>
      <c r="E154" s="1"/>
      <c r="F154" s="1">
        <v>367.57</v>
      </c>
      <c r="G154" s="1">
        <v>33000</v>
      </c>
      <c r="H154" s="5">
        <f t="shared" si="2"/>
        <v>0</v>
      </c>
      <c r="I154" s="1"/>
      <c r="J154" s="1"/>
      <c r="K154" s="272"/>
      <c r="L154" s="272"/>
      <c r="M154" s="272"/>
    </row>
    <row r="155" spans="1:13" x14ac:dyDescent="0.2">
      <c r="A155" s="32">
        <v>149</v>
      </c>
      <c r="B155" s="1" t="s">
        <v>495</v>
      </c>
      <c r="C155" s="32">
        <v>4977</v>
      </c>
      <c r="D155" s="1">
        <v>30000</v>
      </c>
      <c r="E155" s="1"/>
      <c r="F155" s="1">
        <v>334.22</v>
      </c>
      <c r="G155" s="1">
        <v>30000</v>
      </c>
      <c r="H155" s="5">
        <f t="shared" si="2"/>
        <v>0</v>
      </c>
      <c r="I155" s="1"/>
      <c r="J155" s="1"/>
      <c r="K155" s="272"/>
      <c r="L155" s="272"/>
      <c r="M155" s="272"/>
    </row>
    <row r="156" spans="1:13" x14ac:dyDescent="0.2">
      <c r="A156" s="32">
        <v>150</v>
      </c>
      <c r="B156" s="1" t="s">
        <v>495</v>
      </c>
      <c r="C156" s="32">
        <v>6574</v>
      </c>
      <c r="D156" s="1">
        <v>30000</v>
      </c>
      <c r="E156" s="1"/>
      <c r="F156" s="1">
        <v>334.22</v>
      </c>
      <c r="G156" s="1">
        <v>30000</v>
      </c>
      <c r="H156" s="5">
        <f t="shared" si="2"/>
        <v>0</v>
      </c>
      <c r="I156" s="1"/>
      <c r="J156" s="1"/>
      <c r="K156" s="272"/>
      <c r="L156" s="272"/>
      <c r="M156" s="272"/>
    </row>
    <row r="157" spans="1:13" x14ac:dyDescent="0.2">
      <c r="A157" s="32">
        <v>151</v>
      </c>
      <c r="B157" s="1" t="s">
        <v>495</v>
      </c>
      <c r="C157" s="32">
        <v>5076</v>
      </c>
      <c r="D157" s="1">
        <v>6000</v>
      </c>
      <c r="E157" s="1"/>
      <c r="F157" s="1">
        <v>66.45</v>
      </c>
      <c r="G157" s="1">
        <v>6000</v>
      </c>
      <c r="H157" s="5">
        <f t="shared" si="2"/>
        <v>0</v>
      </c>
      <c r="I157" s="1"/>
      <c r="J157" s="1"/>
      <c r="K157" s="272"/>
      <c r="L157" s="272"/>
      <c r="M157" s="272"/>
    </row>
    <row r="158" spans="1:13" x14ac:dyDescent="0.2">
      <c r="A158" s="32">
        <v>152</v>
      </c>
      <c r="B158" s="1" t="s">
        <v>495</v>
      </c>
      <c r="C158" s="32">
        <v>5077</v>
      </c>
      <c r="D158" s="1">
        <v>6000</v>
      </c>
      <c r="E158" s="1"/>
      <c r="F158" s="1">
        <v>66.45</v>
      </c>
      <c r="G158" s="1">
        <v>6000</v>
      </c>
      <c r="H158" s="5">
        <f t="shared" si="2"/>
        <v>0</v>
      </c>
      <c r="I158" s="1"/>
      <c r="J158" s="1"/>
      <c r="K158" s="272"/>
      <c r="L158" s="272"/>
      <c r="M158" s="272"/>
    </row>
    <row r="159" spans="1:13" x14ac:dyDescent="0.2">
      <c r="A159" s="32">
        <v>153</v>
      </c>
      <c r="B159" s="1" t="s">
        <v>495</v>
      </c>
      <c r="C159" s="32">
        <v>4451</v>
      </c>
      <c r="D159" s="1">
        <v>16000</v>
      </c>
      <c r="E159" s="1"/>
      <c r="F159" s="1">
        <v>178.22</v>
      </c>
      <c r="G159" s="1">
        <v>16000</v>
      </c>
      <c r="H159" s="5">
        <f t="shared" si="2"/>
        <v>0</v>
      </c>
      <c r="I159" s="1"/>
      <c r="J159" s="1"/>
      <c r="K159" s="272"/>
      <c r="L159" s="272"/>
      <c r="M159" s="272"/>
    </row>
    <row r="160" spans="1:13" x14ac:dyDescent="0.2">
      <c r="A160" s="32">
        <v>154</v>
      </c>
      <c r="B160" s="1" t="s">
        <v>495</v>
      </c>
      <c r="C160" s="32" t="s">
        <v>30</v>
      </c>
      <c r="D160" s="1">
        <v>5000</v>
      </c>
      <c r="E160" s="1"/>
      <c r="F160" s="1">
        <v>55.24</v>
      </c>
      <c r="G160" s="1">
        <v>5000</v>
      </c>
      <c r="H160" s="5">
        <f t="shared" si="2"/>
        <v>0</v>
      </c>
      <c r="I160" s="1"/>
      <c r="J160" s="1"/>
      <c r="K160" s="272"/>
      <c r="L160" s="272"/>
      <c r="M160" s="272"/>
    </row>
    <row r="161" spans="1:13" x14ac:dyDescent="0.2">
      <c r="A161" s="32">
        <v>155</v>
      </c>
      <c r="B161" s="1" t="s">
        <v>495</v>
      </c>
      <c r="C161" s="32">
        <v>5498</v>
      </c>
      <c r="D161" s="1">
        <v>20000</v>
      </c>
      <c r="E161" s="1"/>
      <c r="F161" s="1">
        <v>222.78</v>
      </c>
      <c r="G161" s="1">
        <v>20000</v>
      </c>
      <c r="H161" s="5">
        <f t="shared" si="2"/>
        <v>0</v>
      </c>
      <c r="I161" s="1"/>
      <c r="J161" s="1"/>
      <c r="K161" s="272"/>
      <c r="L161" s="272"/>
      <c r="M161" s="272"/>
    </row>
    <row r="162" spans="1:13" x14ac:dyDescent="0.2">
      <c r="A162" s="32">
        <v>156</v>
      </c>
      <c r="B162" s="1" t="s">
        <v>495</v>
      </c>
      <c r="C162" s="32">
        <v>2692</v>
      </c>
      <c r="D162" s="1">
        <v>20000</v>
      </c>
      <c r="E162" s="1"/>
      <c r="F162" s="1">
        <v>222.78</v>
      </c>
      <c r="G162" s="1">
        <v>20000</v>
      </c>
      <c r="H162" s="5">
        <f t="shared" si="2"/>
        <v>0</v>
      </c>
      <c r="I162" s="1"/>
      <c r="J162" s="1"/>
      <c r="K162" s="272"/>
      <c r="L162" s="272"/>
      <c r="M162" s="272"/>
    </row>
    <row r="163" spans="1:13" x14ac:dyDescent="0.2">
      <c r="A163" s="32">
        <v>157</v>
      </c>
      <c r="B163" s="1" t="s">
        <v>495</v>
      </c>
      <c r="C163" s="32">
        <v>7211</v>
      </c>
      <c r="D163" s="1">
        <v>24000</v>
      </c>
      <c r="E163" s="1"/>
      <c r="F163" s="1">
        <v>267.48</v>
      </c>
      <c r="G163" s="1">
        <v>24000</v>
      </c>
      <c r="H163" s="5">
        <f t="shared" si="2"/>
        <v>0</v>
      </c>
      <c r="I163" s="1"/>
      <c r="J163" s="1"/>
      <c r="K163" s="272"/>
      <c r="L163" s="272"/>
      <c r="M163" s="272"/>
    </row>
    <row r="164" spans="1:13" x14ac:dyDescent="0.2">
      <c r="A164" s="32">
        <v>158</v>
      </c>
      <c r="B164" s="1" t="s">
        <v>495</v>
      </c>
      <c r="C164" s="32">
        <v>7411</v>
      </c>
      <c r="D164" s="1">
        <v>22000</v>
      </c>
      <c r="E164" s="1"/>
      <c r="F164" s="1">
        <v>245.78</v>
      </c>
      <c r="G164" s="1">
        <v>22000</v>
      </c>
      <c r="H164" s="5">
        <f t="shared" si="2"/>
        <v>0</v>
      </c>
      <c r="I164" s="1"/>
      <c r="J164" s="1"/>
      <c r="K164" s="272"/>
      <c r="L164" s="272"/>
      <c r="M164" s="272"/>
    </row>
    <row r="165" spans="1:13" x14ac:dyDescent="0.2">
      <c r="A165" s="32">
        <v>159</v>
      </c>
      <c r="B165" s="1" t="s">
        <v>495</v>
      </c>
      <c r="C165" s="32">
        <v>2353</v>
      </c>
      <c r="D165" s="1">
        <v>25000</v>
      </c>
      <c r="E165" s="1"/>
      <c r="F165" s="1">
        <v>278.45</v>
      </c>
      <c r="G165" s="1">
        <v>25000</v>
      </c>
      <c r="H165" s="5">
        <f t="shared" si="2"/>
        <v>0</v>
      </c>
      <c r="I165" s="1"/>
      <c r="J165" s="1"/>
      <c r="K165" s="272"/>
      <c r="L165" s="272"/>
      <c r="M165" s="272"/>
    </row>
    <row r="166" spans="1:13" x14ac:dyDescent="0.2">
      <c r="A166" s="32">
        <v>160</v>
      </c>
      <c r="B166" s="1" t="s">
        <v>497</v>
      </c>
      <c r="C166" s="32" t="s">
        <v>66</v>
      </c>
      <c r="D166" s="1">
        <v>210</v>
      </c>
      <c r="E166" s="1"/>
      <c r="F166" s="1">
        <v>2.04</v>
      </c>
      <c r="G166" s="1">
        <v>210</v>
      </c>
      <c r="H166" s="5">
        <f t="shared" si="2"/>
        <v>0</v>
      </c>
      <c r="I166" s="1"/>
      <c r="J166" s="1"/>
      <c r="K166" s="272"/>
      <c r="L166" s="272"/>
      <c r="M166" s="272"/>
    </row>
    <row r="167" spans="1:13" x14ac:dyDescent="0.2">
      <c r="A167" s="32">
        <v>161</v>
      </c>
      <c r="B167" s="1" t="s">
        <v>497</v>
      </c>
      <c r="C167" s="32" t="s">
        <v>66</v>
      </c>
      <c r="D167" s="1">
        <v>210</v>
      </c>
      <c r="E167" s="1"/>
      <c r="F167" s="1">
        <v>2.04</v>
      </c>
      <c r="G167" s="1">
        <v>210</v>
      </c>
      <c r="H167" s="5">
        <f t="shared" si="2"/>
        <v>0</v>
      </c>
      <c r="I167" s="1"/>
      <c r="J167" s="1"/>
      <c r="K167" s="272"/>
      <c r="L167" s="272"/>
      <c r="M167" s="272"/>
    </row>
    <row r="168" spans="1:13" x14ac:dyDescent="0.2">
      <c r="A168" s="32">
        <v>162</v>
      </c>
      <c r="B168" s="1" t="s">
        <v>497</v>
      </c>
      <c r="C168" s="32" t="s">
        <v>30</v>
      </c>
      <c r="D168" s="1">
        <v>4500</v>
      </c>
      <c r="E168" s="1"/>
      <c r="F168" s="1">
        <v>50.13</v>
      </c>
      <c r="G168" s="1">
        <v>4500</v>
      </c>
      <c r="H168" s="5">
        <f t="shared" si="2"/>
        <v>0</v>
      </c>
      <c r="I168" s="1"/>
      <c r="J168" s="1"/>
      <c r="K168" s="272"/>
      <c r="L168" s="272"/>
      <c r="M168" s="272"/>
    </row>
    <row r="169" spans="1:13" x14ac:dyDescent="0.2">
      <c r="A169" s="32">
        <v>163</v>
      </c>
      <c r="B169" s="1" t="s">
        <v>497</v>
      </c>
      <c r="C169" s="32">
        <v>5931</v>
      </c>
      <c r="D169" s="1">
        <v>17000</v>
      </c>
      <c r="E169" s="1"/>
      <c r="F169" s="1">
        <v>189.45</v>
      </c>
      <c r="G169" s="1">
        <v>17000</v>
      </c>
      <c r="H169" s="5">
        <f t="shared" si="2"/>
        <v>0</v>
      </c>
      <c r="I169" s="1"/>
      <c r="J169" s="1"/>
      <c r="K169" s="272"/>
      <c r="L169" s="272"/>
      <c r="M169" s="272"/>
    </row>
    <row r="170" spans="1:13" x14ac:dyDescent="0.2">
      <c r="A170" s="32">
        <v>164</v>
      </c>
      <c r="B170" s="1" t="s">
        <v>497</v>
      </c>
      <c r="C170" s="32">
        <v>1416</v>
      </c>
      <c r="D170" s="1">
        <v>10000</v>
      </c>
      <c r="E170" s="1"/>
      <c r="F170" s="1">
        <v>111.47</v>
      </c>
      <c r="G170" s="1">
        <v>10000</v>
      </c>
      <c r="H170" s="5">
        <f t="shared" si="2"/>
        <v>0</v>
      </c>
      <c r="I170" s="1"/>
      <c r="J170" s="1"/>
      <c r="K170" s="272"/>
      <c r="L170" s="272"/>
      <c r="M170" s="272"/>
    </row>
    <row r="171" spans="1:13" x14ac:dyDescent="0.2">
      <c r="A171" s="32">
        <v>165</v>
      </c>
      <c r="B171" s="1" t="s">
        <v>497</v>
      </c>
      <c r="C171" s="32">
        <v>6931</v>
      </c>
      <c r="D171" s="1">
        <v>17000</v>
      </c>
      <c r="E171" s="1"/>
      <c r="F171" s="1">
        <v>189.45</v>
      </c>
      <c r="G171" s="1">
        <v>17000</v>
      </c>
      <c r="H171" s="5">
        <f t="shared" si="2"/>
        <v>0</v>
      </c>
      <c r="I171" s="1"/>
      <c r="J171" s="1"/>
      <c r="K171" s="272"/>
      <c r="L171" s="272"/>
      <c r="M171" s="272"/>
    </row>
    <row r="172" spans="1:13" x14ac:dyDescent="0.2">
      <c r="A172" s="32">
        <v>166</v>
      </c>
      <c r="B172" s="1" t="s">
        <v>497</v>
      </c>
      <c r="C172" s="32">
        <v>7446</v>
      </c>
      <c r="D172" s="1">
        <v>40000</v>
      </c>
      <c r="E172" s="1"/>
      <c r="F172" s="1">
        <v>445.78</v>
      </c>
      <c r="G172" s="1">
        <v>40000</v>
      </c>
      <c r="H172" s="5">
        <f t="shared" si="2"/>
        <v>0</v>
      </c>
      <c r="I172" s="1"/>
      <c r="J172" s="1"/>
      <c r="K172" s="272"/>
      <c r="L172" s="272"/>
      <c r="M172" s="272"/>
    </row>
    <row r="173" spans="1:13" x14ac:dyDescent="0.2">
      <c r="A173" s="32">
        <v>167</v>
      </c>
      <c r="B173" s="1" t="s">
        <v>497</v>
      </c>
      <c r="C173" s="32">
        <v>6851</v>
      </c>
      <c r="D173" s="1">
        <v>21000</v>
      </c>
      <c r="E173" s="1"/>
      <c r="F173" s="1">
        <v>233.48</v>
      </c>
      <c r="G173" s="1">
        <v>21000</v>
      </c>
      <c r="H173" s="5">
        <f t="shared" si="2"/>
        <v>0</v>
      </c>
      <c r="I173" s="1"/>
      <c r="J173" s="1"/>
      <c r="K173" s="272"/>
      <c r="L173" s="272"/>
      <c r="M173" s="272"/>
    </row>
    <row r="174" spans="1:13" x14ac:dyDescent="0.2">
      <c r="A174" s="32">
        <v>168</v>
      </c>
      <c r="B174" s="1" t="s">
        <v>497</v>
      </c>
      <c r="C174" s="32">
        <v>5252</v>
      </c>
      <c r="D174" s="1">
        <v>16000</v>
      </c>
      <c r="E174" s="1"/>
      <c r="F174" s="1">
        <v>178.22</v>
      </c>
      <c r="G174" s="1">
        <v>16000</v>
      </c>
      <c r="H174" s="5">
        <f t="shared" si="2"/>
        <v>0</v>
      </c>
      <c r="I174" s="1"/>
      <c r="J174" s="1"/>
      <c r="K174" s="272"/>
      <c r="L174" s="272"/>
      <c r="M174" s="272"/>
    </row>
    <row r="175" spans="1:13" x14ac:dyDescent="0.2">
      <c r="A175" s="32">
        <v>169</v>
      </c>
      <c r="B175" s="1" t="s">
        <v>497</v>
      </c>
      <c r="C175" s="32">
        <v>5151</v>
      </c>
      <c r="D175" s="1">
        <v>16000</v>
      </c>
      <c r="E175" s="1"/>
      <c r="F175" s="1">
        <v>178.22</v>
      </c>
      <c r="G175" s="1">
        <v>16000</v>
      </c>
      <c r="H175" s="5">
        <f t="shared" si="2"/>
        <v>0</v>
      </c>
      <c r="I175" s="1"/>
      <c r="J175" s="1"/>
      <c r="K175" s="272"/>
      <c r="L175" s="272"/>
      <c r="M175" s="272"/>
    </row>
    <row r="176" spans="1:13" x14ac:dyDescent="0.2">
      <c r="A176" s="32">
        <v>170</v>
      </c>
      <c r="B176" s="1" t="s">
        <v>497</v>
      </c>
      <c r="C176" s="32">
        <v>9682</v>
      </c>
      <c r="D176" s="1">
        <v>5000</v>
      </c>
      <c r="E176" s="1"/>
      <c r="F176" s="1">
        <v>55.45</v>
      </c>
      <c r="G176" s="1">
        <v>5000</v>
      </c>
      <c r="H176" s="5">
        <f t="shared" si="2"/>
        <v>0</v>
      </c>
      <c r="I176" s="1"/>
      <c r="J176" s="272"/>
      <c r="K176" s="272"/>
      <c r="L176" s="272"/>
      <c r="M176" s="272"/>
    </row>
    <row r="177" spans="1:13" x14ac:dyDescent="0.2">
      <c r="A177" s="32">
        <v>171</v>
      </c>
      <c r="B177" s="1" t="s">
        <v>497</v>
      </c>
      <c r="C177" s="32">
        <v>5.1000000000000004E-3</v>
      </c>
      <c r="D177" s="1">
        <v>16000</v>
      </c>
      <c r="E177" s="1"/>
      <c r="F177" s="1">
        <v>178.22</v>
      </c>
      <c r="G177" s="1">
        <v>16000</v>
      </c>
      <c r="H177" s="5">
        <f t="shared" si="2"/>
        <v>0</v>
      </c>
      <c r="I177" s="1"/>
      <c r="J177" s="1"/>
      <c r="K177" s="272"/>
      <c r="L177" s="272"/>
      <c r="M177" s="272"/>
    </row>
    <row r="178" spans="1:13" x14ac:dyDescent="0.2">
      <c r="A178" s="32">
        <v>172</v>
      </c>
      <c r="B178" s="1" t="s">
        <v>500</v>
      </c>
      <c r="C178" s="32">
        <v>2809</v>
      </c>
      <c r="D178" s="1">
        <v>15000</v>
      </c>
      <c r="E178" s="1"/>
      <c r="F178" s="1">
        <v>167.15</v>
      </c>
      <c r="G178" s="1">
        <v>15000</v>
      </c>
      <c r="H178" s="5">
        <f t="shared" si="2"/>
        <v>0</v>
      </c>
      <c r="I178" s="1"/>
      <c r="J178" s="1"/>
      <c r="K178" s="272"/>
      <c r="L178" s="272"/>
      <c r="M178" s="272"/>
    </row>
    <row r="179" spans="1:13" x14ac:dyDescent="0.2">
      <c r="A179" s="32">
        <v>173</v>
      </c>
      <c r="B179" s="1" t="s">
        <v>500</v>
      </c>
      <c r="C179" s="32">
        <v>5416</v>
      </c>
      <c r="D179" s="1">
        <v>20000</v>
      </c>
      <c r="E179" s="1"/>
      <c r="F179" s="1">
        <v>222.78</v>
      </c>
      <c r="G179" s="1">
        <v>20000</v>
      </c>
      <c r="H179" s="5">
        <f t="shared" si="2"/>
        <v>0</v>
      </c>
      <c r="I179" s="1"/>
      <c r="J179" s="1"/>
      <c r="K179" s="272"/>
      <c r="L179" s="272"/>
      <c r="M179" s="272"/>
    </row>
    <row r="180" spans="1:13" x14ac:dyDescent="0.2">
      <c r="A180" s="32">
        <v>174</v>
      </c>
      <c r="B180" s="1" t="s">
        <v>500</v>
      </c>
      <c r="C180" s="32">
        <v>8607</v>
      </c>
      <c r="D180" s="1">
        <v>25000</v>
      </c>
      <c r="E180" s="1"/>
      <c r="F180" s="1">
        <v>278.25</v>
      </c>
      <c r="G180" s="1">
        <v>25000</v>
      </c>
      <c r="H180" s="5">
        <f t="shared" si="2"/>
        <v>0</v>
      </c>
      <c r="I180" s="1"/>
      <c r="J180" s="1"/>
      <c r="K180" s="272"/>
      <c r="L180" s="272"/>
      <c r="M180" s="272"/>
    </row>
    <row r="181" spans="1:13" x14ac:dyDescent="0.2">
      <c r="A181" s="32">
        <v>175</v>
      </c>
      <c r="B181" s="1" t="s">
        <v>500</v>
      </c>
      <c r="C181" s="32">
        <v>5681</v>
      </c>
      <c r="D181" s="1">
        <v>17000</v>
      </c>
      <c r="E181" s="1"/>
      <c r="F181" s="1">
        <v>189.47</v>
      </c>
      <c r="G181" s="1">
        <v>17000</v>
      </c>
      <c r="H181" s="5">
        <f t="shared" si="2"/>
        <v>0</v>
      </c>
      <c r="I181" s="1"/>
      <c r="J181" s="1"/>
      <c r="K181" s="272"/>
      <c r="L181" s="272"/>
      <c r="M181" s="272"/>
    </row>
    <row r="182" spans="1:13" x14ac:dyDescent="0.2">
      <c r="A182" s="32">
        <v>176</v>
      </c>
      <c r="B182" s="1" t="s">
        <v>500</v>
      </c>
      <c r="C182" s="32">
        <v>5.1999999999999998E-3</v>
      </c>
      <c r="D182" s="1">
        <v>16000</v>
      </c>
      <c r="E182" s="1"/>
      <c r="F182" s="1">
        <v>178.22</v>
      </c>
      <c r="G182" s="1">
        <v>16000</v>
      </c>
      <c r="H182" s="5">
        <f t="shared" si="2"/>
        <v>0</v>
      </c>
      <c r="I182" s="1"/>
      <c r="J182" s="1"/>
      <c r="K182" s="272"/>
      <c r="L182" s="272"/>
      <c r="M182" s="272"/>
    </row>
    <row r="183" spans="1:13" x14ac:dyDescent="0.2">
      <c r="A183" s="32">
        <v>177</v>
      </c>
      <c r="B183" s="1" t="s">
        <v>500</v>
      </c>
      <c r="C183" s="32" t="s">
        <v>30</v>
      </c>
      <c r="D183" s="1">
        <v>5000</v>
      </c>
      <c r="E183" s="1"/>
      <c r="F183" s="1">
        <v>55.24</v>
      </c>
      <c r="G183" s="1">
        <v>5000</v>
      </c>
      <c r="H183" s="5">
        <f t="shared" si="2"/>
        <v>0</v>
      </c>
      <c r="I183" s="1"/>
      <c r="J183" s="1"/>
      <c r="K183" s="272"/>
      <c r="L183" s="272"/>
      <c r="M183" s="272"/>
    </row>
    <row r="184" spans="1:13" x14ac:dyDescent="0.2">
      <c r="A184" s="32">
        <v>178</v>
      </c>
      <c r="B184" s="1" t="s">
        <v>500</v>
      </c>
      <c r="C184" s="32">
        <v>1723</v>
      </c>
      <c r="D184" s="1">
        <v>15000</v>
      </c>
      <c r="E184" s="1"/>
      <c r="F184" s="1">
        <v>167.15</v>
      </c>
      <c r="G184" s="1">
        <v>15000</v>
      </c>
      <c r="H184" s="5">
        <f t="shared" si="2"/>
        <v>0</v>
      </c>
      <c r="I184" s="1"/>
      <c r="J184" s="1"/>
      <c r="K184" s="272"/>
      <c r="L184" s="272"/>
      <c r="M184" s="272"/>
    </row>
    <row r="185" spans="1:13" x14ac:dyDescent="0.2">
      <c r="A185" s="32">
        <v>179</v>
      </c>
      <c r="B185" s="1" t="s">
        <v>500</v>
      </c>
      <c r="C185" s="32" t="s">
        <v>30</v>
      </c>
      <c r="D185" s="1">
        <v>7000</v>
      </c>
      <c r="E185" s="1"/>
      <c r="F185" s="1">
        <v>77.45</v>
      </c>
      <c r="G185" s="1">
        <v>7000</v>
      </c>
      <c r="H185" s="5">
        <f t="shared" si="2"/>
        <v>0</v>
      </c>
      <c r="I185" s="1"/>
      <c r="J185" s="1"/>
      <c r="K185" s="272"/>
      <c r="L185" s="272"/>
      <c r="M185" s="272"/>
    </row>
    <row r="186" spans="1:13" x14ac:dyDescent="0.2">
      <c r="A186" s="32">
        <v>180</v>
      </c>
      <c r="B186" s="1" t="s">
        <v>500</v>
      </c>
      <c r="C186" s="32">
        <v>2810</v>
      </c>
      <c r="D186" s="1">
        <v>15000</v>
      </c>
      <c r="E186" s="1"/>
      <c r="F186" s="1">
        <v>167.15</v>
      </c>
      <c r="G186" s="1">
        <v>15000</v>
      </c>
      <c r="H186" s="5">
        <f t="shared" si="2"/>
        <v>0</v>
      </c>
      <c r="I186" s="1"/>
      <c r="J186" s="1"/>
      <c r="K186" s="272"/>
      <c r="L186" s="272"/>
      <c r="M186" s="272"/>
    </row>
    <row r="187" spans="1:13" x14ac:dyDescent="0.2">
      <c r="A187" s="32">
        <v>181</v>
      </c>
      <c r="B187" s="1" t="s">
        <v>500</v>
      </c>
      <c r="C187" s="32">
        <v>9.4000000000000004E-3</v>
      </c>
      <c r="D187" s="1">
        <v>30000</v>
      </c>
      <c r="E187" s="1"/>
      <c r="F187" s="1">
        <v>334.47</v>
      </c>
      <c r="G187" s="1">
        <v>30000</v>
      </c>
      <c r="H187" s="5">
        <f t="shared" si="2"/>
        <v>0</v>
      </c>
      <c r="I187" s="1"/>
      <c r="J187" s="1"/>
      <c r="K187" s="272"/>
      <c r="L187" s="272"/>
      <c r="M187" s="272"/>
    </row>
    <row r="188" spans="1:13" x14ac:dyDescent="0.2">
      <c r="A188" s="32">
        <v>182</v>
      </c>
      <c r="B188" s="1" t="s">
        <v>500</v>
      </c>
      <c r="C188" s="32">
        <v>7842</v>
      </c>
      <c r="D188" s="1">
        <v>20000</v>
      </c>
      <c r="E188" s="1"/>
      <c r="F188" s="1">
        <v>222.78</v>
      </c>
      <c r="G188" s="1">
        <v>20000</v>
      </c>
      <c r="H188" s="5">
        <f t="shared" si="2"/>
        <v>0</v>
      </c>
      <c r="I188" s="1"/>
      <c r="J188" s="1"/>
      <c r="K188" s="272"/>
      <c r="L188" s="272"/>
      <c r="M188" s="272"/>
    </row>
    <row r="189" spans="1:13" x14ac:dyDescent="0.2">
      <c r="A189" s="32">
        <v>183</v>
      </c>
      <c r="B189" s="1" t="s">
        <v>500</v>
      </c>
      <c r="C189" s="32">
        <v>9.7699999999999995E-2</v>
      </c>
      <c r="D189" s="1">
        <v>8000</v>
      </c>
      <c r="E189" s="1"/>
      <c r="F189" s="1">
        <v>89.48</v>
      </c>
      <c r="G189" s="1">
        <v>8000</v>
      </c>
      <c r="H189" s="5">
        <f t="shared" si="2"/>
        <v>0</v>
      </c>
      <c r="I189" s="1"/>
      <c r="J189" s="1"/>
      <c r="K189" s="272"/>
      <c r="L189" s="272"/>
      <c r="M189" s="272"/>
    </row>
    <row r="190" spans="1:13" x14ac:dyDescent="0.2">
      <c r="A190" s="32">
        <v>184</v>
      </c>
      <c r="B190" s="1" t="s">
        <v>500</v>
      </c>
      <c r="C190" s="32">
        <v>2195</v>
      </c>
      <c r="D190" s="1">
        <v>8000</v>
      </c>
      <c r="E190" s="1"/>
      <c r="F190" s="1">
        <v>89.48</v>
      </c>
      <c r="G190" s="1">
        <v>8000</v>
      </c>
      <c r="H190" s="5">
        <f t="shared" si="2"/>
        <v>0</v>
      </c>
      <c r="I190" s="1"/>
      <c r="J190" s="1"/>
      <c r="K190" s="272"/>
      <c r="L190" s="272"/>
      <c r="M190" s="272"/>
    </row>
    <row r="191" spans="1:13" x14ac:dyDescent="0.2">
      <c r="A191" s="32">
        <v>185</v>
      </c>
      <c r="B191" s="1" t="s">
        <v>501</v>
      </c>
      <c r="C191" s="32">
        <v>6526</v>
      </c>
      <c r="D191" s="1">
        <v>28000</v>
      </c>
      <c r="E191" s="1"/>
      <c r="F191" s="1">
        <v>311.48</v>
      </c>
      <c r="G191" s="1">
        <v>28000</v>
      </c>
      <c r="H191" s="5">
        <f t="shared" si="2"/>
        <v>0</v>
      </c>
      <c r="I191" s="1"/>
      <c r="J191" s="1"/>
      <c r="K191" s="272"/>
      <c r="L191" s="272"/>
      <c r="M191" s="272"/>
    </row>
    <row r="192" spans="1:13" x14ac:dyDescent="0.2">
      <c r="A192" s="32">
        <v>186</v>
      </c>
      <c r="B192" s="1" t="s">
        <v>501</v>
      </c>
      <c r="C192" s="32">
        <v>3968</v>
      </c>
      <c r="D192" s="1">
        <v>5000</v>
      </c>
      <c r="E192" s="1"/>
      <c r="F192" s="1">
        <v>55.7</v>
      </c>
      <c r="G192" s="1">
        <v>5000</v>
      </c>
      <c r="H192" s="5">
        <f t="shared" si="2"/>
        <v>0</v>
      </c>
      <c r="I192" s="1"/>
      <c r="J192" s="1"/>
      <c r="K192" s="272"/>
      <c r="L192" s="272"/>
      <c r="M192" s="272"/>
    </row>
    <row r="193" spans="1:13" x14ac:dyDescent="0.2">
      <c r="A193" s="32">
        <v>187</v>
      </c>
      <c r="B193" s="1" t="s">
        <v>501</v>
      </c>
      <c r="C193" s="32">
        <v>7121</v>
      </c>
      <c r="D193" s="1">
        <v>20000</v>
      </c>
      <c r="E193" s="1"/>
      <c r="F193" s="1">
        <v>222.78</v>
      </c>
      <c r="G193" s="1">
        <v>20000</v>
      </c>
      <c r="H193" s="5">
        <f t="shared" si="2"/>
        <v>0</v>
      </c>
      <c r="I193" s="1"/>
      <c r="J193" s="1"/>
      <c r="K193" s="272"/>
      <c r="L193" s="272"/>
      <c r="M193" s="272"/>
    </row>
    <row r="194" spans="1:13" x14ac:dyDescent="0.2">
      <c r="A194" s="32">
        <v>188</v>
      </c>
      <c r="B194" s="1" t="s">
        <v>501</v>
      </c>
      <c r="C194" s="32">
        <v>1722</v>
      </c>
      <c r="D194" s="1">
        <v>15000</v>
      </c>
      <c r="E194" s="1"/>
      <c r="F194" s="1">
        <v>167.45</v>
      </c>
      <c r="G194" s="1">
        <v>15000</v>
      </c>
      <c r="H194" s="5">
        <f t="shared" si="2"/>
        <v>0</v>
      </c>
      <c r="I194" s="1"/>
      <c r="J194" s="1"/>
      <c r="K194" s="272"/>
      <c r="L194" s="272"/>
      <c r="M194" s="272"/>
    </row>
    <row r="195" spans="1:13" x14ac:dyDescent="0.2">
      <c r="A195" s="32">
        <v>189</v>
      </c>
      <c r="B195" s="1" t="s">
        <v>502</v>
      </c>
      <c r="C195" s="32">
        <v>2809</v>
      </c>
      <c r="D195" s="1">
        <v>15000</v>
      </c>
      <c r="E195" s="1"/>
      <c r="F195" s="1">
        <v>167.45</v>
      </c>
      <c r="G195" s="1">
        <v>15000</v>
      </c>
      <c r="H195" s="5">
        <f t="shared" si="2"/>
        <v>0</v>
      </c>
      <c r="I195" s="1"/>
      <c r="J195" s="1"/>
      <c r="K195" s="272"/>
      <c r="L195" s="272"/>
      <c r="M195" s="272"/>
    </row>
    <row r="196" spans="1:13" x14ac:dyDescent="0.2">
      <c r="A196" s="32">
        <v>190</v>
      </c>
      <c r="B196" s="1" t="s">
        <v>502</v>
      </c>
      <c r="C196" s="32">
        <v>5931</v>
      </c>
      <c r="D196" s="1">
        <v>17000</v>
      </c>
      <c r="E196" s="1"/>
      <c r="F196" s="1">
        <v>189.47</v>
      </c>
      <c r="G196" s="1">
        <v>17000</v>
      </c>
      <c r="H196" s="5">
        <f t="shared" si="2"/>
        <v>0</v>
      </c>
      <c r="I196" s="1"/>
      <c r="J196" s="1"/>
      <c r="K196" s="272"/>
      <c r="L196" s="272"/>
      <c r="M196" s="272"/>
    </row>
    <row r="197" spans="1:13" x14ac:dyDescent="0.2">
      <c r="A197" s="32">
        <v>191</v>
      </c>
      <c r="B197" s="1" t="s">
        <v>502</v>
      </c>
      <c r="C197" s="32">
        <v>9286</v>
      </c>
      <c r="D197" s="1">
        <v>6000</v>
      </c>
      <c r="E197" s="1"/>
      <c r="F197" s="1">
        <v>66.84</v>
      </c>
      <c r="G197" s="1">
        <v>6000</v>
      </c>
      <c r="H197" s="5">
        <f t="shared" si="2"/>
        <v>0</v>
      </c>
      <c r="I197" s="1"/>
      <c r="J197" s="1"/>
      <c r="K197" s="272"/>
      <c r="L197" s="272"/>
      <c r="M197" s="272"/>
    </row>
    <row r="198" spans="1:13" x14ac:dyDescent="0.2">
      <c r="A198" s="32">
        <v>192</v>
      </c>
      <c r="B198" s="1" t="s">
        <v>502</v>
      </c>
      <c r="C198" s="32">
        <v>2810</v>
      </c>
      <c r="D198" s="1">
        <v>15000</v>
      </c>
      <c r="E198" s="1"/>
      <c r="F198" s="1">
        <v>167.45</v>
      </c>
      <c r="G198" s="1">
        <v>15000</v>
      </c>
      <c r="H198" s="5">
        <f t="shared" si="2"/>
        <v>0</v>
      </c>
      <c r="I198" s="1"/>
      <c r="J198" s="1"/>
      <c r="K198" s="272"/>
      <c r="L198" s="272"/>
      <c r="M198" s="272"/>
    </row>
    <row r="199" spans="1:13" x14ac:dyDescent="0.2">
      <c r="A199" s="32">
        <v>193</v>
      </c>
      <c r="B199" s="1" t="s">
        <v>502</v>
      </c>
      <c r="C199" s="32">
        <v>8311</v>
      </c>
      <c r="D199" s="1">
        <v>24000</v>
      </c>
      <c r="E199" s="1"/>
      <c r="F199" s="1">
        <v>267.48</v>
      </c>
      <c r="G199" s="1">
        <v>24000</v>
      </c>
      <c r="H199" s="5">
        <f t="shared" ref="H199:H262" si="3">D199-G199</f>
        <v>0</v>
      </c>
      <c r="I199" s="1"/>
      <c r="J199" s="1"/>
      <c r="K199" s="272"/>
      <c r="L199" s="272"/>
      <c r="M199" s="272"/>
    </row>
    <row r="200" spans="1:13" x14ac:dyDescent="0.2">
      <c r="A200" s="32">
        <v>194</v>
      </c>
      <c r="B200" s="1" t="s">
        <v>502</v>
      </c>
      <c r="C200" s="32">
        <v>4451</v>
      </c>
      <c r="D200" s="1">
        <v>16000</v>
      </c>
      <c r="E200" s="1"/>
      <c r="F200" s="1">
        <v>178.22</v>
      </c>
      <c r="G200" s="1">
        <v>16000</v>
      </c>
      <c r="H200" s="5">
        <f t="shared" si="3"/>
        <v>0</v>
      </c>
      <c r="I200" s="1"/>
      <c r="J200" s="1"/>
      <c r="K200" s="272"/>
      <c r="L200" s="272"/>
      <c r="M200" s="272"/>
    </row>
    <row r="201" spans="1:13" x14ac:dyDescent="0.2">
      <c r="A201" s="32">
        <v>195</v>
      </c>
      <c r="B201" s="1" t="s">
        <v>502</v>
      </c>
      <c r="C201" s="32">
        <v>6931</v>
      </c>
      <c r="D201" s="1">
        <v>17000</v>
      </c>
      <c r="E201" s="1"/>
      <c r="F201" s="1">
        <v>189.47</v>
      </c>
      <c r="G201" s="1">
        <v>17000</v>
      </c>
      <c r="H201" s="5">
        <f t="shared" si="3"/>
        <v>0</v>
      </c>
      <c r="I201" s="1"/>
      <c r="J201" s="1"/>
      <c r="K201" s="272"/>
      <c r="L201" s="272"/>
      <c r="M201" s="272"/>
    </row>
    <row r="202" spans="1:13" x14ac:dyDescent="0.2">
      <c r="A202" s="32">
        <v>196</v>
      </c>
      <c r="B202" s="1" t="s">
        <v>502</v>
      </c>
      <c r="C202" s="32">
        <v>6311</v>
      </c>
      <c r="D202" s="1">
        <v>24000</v>
      </c>
      <c r="E202" s="1"/>
      <c r="F202" s="1">
        <v>267.48</v>
      </c>
      <c r="G202" s="1">
        <v>24000</v>
      </c>
      <c r="H202" s="5">
        <f t="shared" si="3"/>
        <v>0</v>
      </c>
      <c r="I202" s="1"/>
      <c r="J202" s="1"/>
      <c r="K202" s="272"/>
      <c r="L202" s="272"/>
      <c r="M202" s="272"/>
    </row>
    <row r="203" spans="1:13" x14ac:dyDescent="0.2">
      <c r="A203" s="32">
        <v>197</v>
      </c>
      <c r="B203" s="1" t="s">
        <v>502</v>
      </c>
      <c r="C203" s="32" t="s">
        <v>63</v>
      </c>
      <c r="D203" s="1">
        <v>3500</v>
      </c>
      <c r="E203" s="1"/>
      <c r="F203" s="1">
        <v>38.549999999999997</v>
      </c>
      <c r="G203" s="1">
        <v>3500</v>
      </c>
      <c r="H203" s="5">
        <f t="shared" si="3"/>
        <v>0</v>
      </c>
      <c r="I203" s="1"/>
      <c r="J203" s="1"/>
      <c r="K203" s="272"/>
      <c r="L203" s="272"/>
      <c r="M203" s="272"/>
    </row>
    <row r="204" spans="1:13" x14ac:dyDescent="0.2">
      <c r="A204" s="32">
        <v>198</v>
      </c>
      <c r="B204" s="1" t="s">
        <v>502</v>
      </c>
      <c r="C204" s="32" t="s">
        <v>30</v>
      </c>
      <c r="D204" s="1">
        <v>4500</v>
      </c>
      <c r="E204" s="1"/>
      <c r="F204" s="1">
        <v>50.15</v>
      </c>
      <c r="G204" s="1">
        <v>4500</v>
      </c>
      <c r="H204" s="5">
        <f t="shared" si="3"/>
        <v>0</v>
      </c>
      <c r="I204" s="1"/>
      <c r="J204" s="1"/>
      <c r="K204" s="272"/>
      <c r="L204" s="272"/>
      <c r="M204" s="272"/>
    </row>
    <row r="205" spans="1:13" x14ac:dyDescent="0.2">
      <c r="A205" s="32">
        <v>199</v>
      </c>
      <c r="B205" s="1" t="s">
        <v>502</v>
      </c>
      <c r="C205" s="32">
        <v>3099</v>
      </c>
      <c r="D205" s="1">
        <v>13000</v>
      </c>
      <c r="E205" s="1"/>
      <c r="F205" s="1">
        <v>144.44999999999999</v>
      </c>
      <c r="G205" s="1">
        <v>13000</v>
      </c>
      <c r="H205" s="5">
        <f t="shared" si="3"/>
        <v>0</v>
      </c>
      <c r="I205" s="1"/>
      <c r="J205" s="1"/>
      <c r="K205" s="272"/>
      <c r="L205" s="272"/>
      <c r="M205" s="272"/>
    </row>
    <row r="206" spans="1:13" x14ac:dyDescent="0.2">
      <c r="A206" s="32">
        <v>200</v>
      </c>
      <c r="B206" s="1" t="s">
        <v>502</v>
      </c>
      <c r="C206" s="32" t="s">
        <v>30</v>
      </c>
      <c r="D206" s="1">
        <v>6000</v>
      </c>
      <c r="E206" s="1"/>
      <c r="F206" s="1">
        <v>68.84</v>
      </c>
      <c r="G206" s="1">
        <v>6000</v>
      </c>
      <c r="H206" s="5">
        <f t="shared" si="3"/>
        <v>0</v>
      </c>
      <c r="I206" s="1"/>
      <c r="J206" s="1"/>
      <c r="K206" s="272"/>
      <c r="L206" s="272"/>
      <c r="M206" s="272"/>
    </row>
    <row r="207" spans="1:13" x14ac:dyDescent="0.2">
      <c r="A207" s="32">
        <v>201</v>
      </c>
      <c r="B207" s="1" t="s">
        <v>502</v>
      </c>
      <c r="C207" s="32">
        <v>9319</v>
      </c>
      <c r="D207" s="1">
        <v>12000</v>
      </c>
      <c r="E207" s="1"/>
      <c r="F207" s="1">
        <v>133.44999999999999</v>
      </c>
      <c r="G207" s="1">
        <v>12000</v>
      </c>
      <c r="H207" s="5">
        <f t="shared" si="3"/>
        <v>0</v>
      </c>
      <c r="I207" s="1"/>
      <c r="J207" s="1"/>
      <c r="K207" s="272"/>
      <c r="L207" s="272"/>
      <c r="M207" s="272"/>
    </row>
    <row r="208" spans="1:13" x14ac:dyDescent="0.2">
      <c r="A208" s="32">
        <v>202</v>
      </c>
      <c r="B208" s="1" t="s">
        <v>502</v>
      </c>
      <c r="C208" s="32">
        <v>2923</v>
      </c>
      <c r="D208" s="1">
        <v>20000</v>
      </c>
      <c r="E208" s="1"/>
      <c r="F208" s="1">
        <v>222.78</v>
      </c>
      <c r="G208" s="1">
        <v>20000</v>
      </c>
      <c r="H208" s="5">
        <f t="shared" si="3"/>
        <v>0</v>
      </c>
      <c r="I208" s="1"/>
      <c r="J208" s="1"/>
      <c r="K208" s="272"/>
      <c r="L208" s="272"/>
      <c r="M208" s="272"/>
    </row>
    <row r="209" spans="1:13" x14ac:dyDescent="0.2">
      <c r="A209" s="32">
        <v>203</v>
      </c>
      <c r="B209" s="1" t="s">
        <v>502</v>
      </c>
      <c r="C209" s="32">
        <v>8094</v>
      </c>
      <c r="D209" s="1">
        <v>30000</v>
      </c>
      <c r="E209" s="1"/>
      <c r="F209" s="1">
        <v>334.78</v>
      </c>
      <c r="G209" s="1">
        <v>30000</v>
      </c>
      <c r="H209" s="5">
        <f t="shared" si="3"/>
        <v>0</v>
      </c>
      <c r="I209" s="1"/>
      <c r="J209" s="1"/>
      <c r="K209" s="272"/>
      <c r="L209" s="272"/>
      <c r="M209" s="272"/>
    </row>
    <row r="210" spans="1:13" x14ac:dyDescent="0.2">
      <c r="A210" s="32">
        <v>204</v>
      </c>
      <c r="B210" s="1" t="s">
        <v>502</v>
      </c>
      <c r="C210" s="32">
        <v>2921</v>
      </c>
      <c r="D210" s="1">
        <v>28000</v>
      </c>
      <c r="E210" s="1"/>
      <c r="F210" s="1">
        <v>311.48</v>
      </c>
      <c r="G210" s="1">
        <v>28000</v>
      </c>
      <c r="H210" s="5">
        <f t="shared" si="3"/>
        <v>0</v>
      </c>
      <c r="I210" s="1"/>
      <c r="J210" s="1"/>
      <c r="K210" s="272"/>
      <c r="L210" s="272"/>
      <c r="M210" s="272"/>
    </row>
    <row r="211" spans="1:13" x14ac:dyDescent="0.2">
      <c r="A211" s="32">
        <v>205</v>
      </c>
      <c r="B211" s="1" t="s">
        <v>502</v>
      </c>
      <c r="C211" s="32">
        <v>8291</v>
      </c>
      <c r="D211" s="1">
        <v>27000</v>
      </c>
      <c r="E211" s="1"/>
      <c r="F211" s="1">
        <v>300.47000000000003</v>
      </c>
      <c r="G211" s="1">
        <v>27000</v>
      </c>
      <c r="H211" s="5">
        <f t="shared" si="3"/>
        <v>0</v>
      </c>
      <c r="I211" s="1"/>
      <c r="J211" s="1"/>
      <c r="K211" s="272"/>
      <c r="L211" s="272"/>
      <c r="M211" s="272"/>
    </row>
    <row r="212" spans="1:13" x14ac:dyDescent="0.2">
      <c r="A212" s="32">
        <v>206</v>
      </c>
      <c r="B212" s="1" t="s">
        <v>509</v>
      </c>
      <c r="C212" s="32" t="s">
        <v>66</v>
      </c>
      <c r="D212" s="1">
        <v>210</v>
      </c>
      <c r="E212" s="1"/>
      <c r="F212" s="1">
        <v>2.08</v>
      </c>
      <c r="G212" s="1">
        <v>210</v>
      </c>
      <c r="H212" s="5">
        <f t="shared" si="3"/>
        <v>0</v>
      </c>
      <c r="I212" s="1"/>
      <c r="J212" s="1"/>
      <c r="K212" s="272"/>
      <c r="L212" s="272"/>
      <c r="M212" s="272"/>
    </row>
    <row r="213" spans="1:13" x14ac:dyDescent="0.2">
      <c r="A213" s="32">
        <v>207</v>
      </c>
      <c r="B213" s="1" t="s">
        <v>509</v>
      </c>
      <c r="C213" s="32" t="s">
        <v>66</v>
      </c>
      <c r="D213" s="1">
        <v>200</v>
      </c>
      <c r="E213" s="1"/>
      <c r="F213" s="1">
        <v>2.0499999999999998</v>
      </c>
      <c r="G213" s="1">
        <v>200</v>
      </c>
      <c r="H213" s="5">
        <f t="shared" si="3"/>
        <v>0</v>
      </c>
      <c r="I213" s="1"/>
      <c r="J213" s="1"/>
      <c r="K213" s="272"/>
      <c r="L213" s="272"/>
      <c r="M213" s="272"/>
    </row>
    <row r="214" spans="1:13" x14ac:dyDescent="0.2">
      <c r="A214" s="32">
        <v>208</v>
      </c>
      <c r="B214" s="1" t="s">
        <v>509</v>
      </c>
      <c r="C214" s="32">
        <v>7072</v>
      </c>
      <c r="D214" s="1">
        <v>30000</v>
      </c>
      <c r="E214" s="1"/>
      <c r="F214" s="1">
        <v>334.78</v>
      </c>
      <c r="G214" s="1">
        <v>30000</v>
      </c>
      <c r="H214" s="5">
        <f t="shared" si="3"/>
        <v>0</v>
      </c>
      <c r="I214" s="1"/>
      <c r="J214" s="1"/>
      <c r="K214" s="272"/>
      <c r="L214" s="272"/>
      <c r="M214" s="272"/>
    </row>
    <row r="215" spans="1:13" x14ac:dyDescent="0.2">
      <c r="A215" s="32">
        <v>209</v>
      </c>
      <c r="B215" s="1" t="s">
        <v>509</v>
      </c>
      <c r="C215" s="32">
        <v>1824</v>
      </c>
      <c r="D215" s="1">
        <v>13000</v>
      </c>
      <c r="E215" s="1"/>
      <c r="F215" s="1">
        <v>144.44999999999999</v>
      </c>
      <c r="G215" s="1">
        <v>13000</v>
      </c>
      <c r="H215" s="5">
        <f t="shared" si="3"/>
        <v>0</v>
      </c>
      <c r="I215" s="1"/>
      <c r="J215" s="1"/>
      <c r="K215" s="272"/>
      <c r="L215" s="272"/>
      <c r="M215" s="272"/>
    </row>
    <row r="216" spans="1:13" x14ac:dyDescent="0.2">
      <c r="A216" s="32">
        <v>210</v>
      </c>
      <c r="B216" s="1" t="s">
        <v>509</v>
      </c>
      <c r="C216" s="32" t="s">
        <v>30</v>
      </c>
      <c r="D216" s="1">
        <v>5000</v>
      </c>
      <c r="E216" s="1"/>
      <c r="F216" s="1">
        <v>55.48</v>
      </c>
      <c r="G216" s="1">
        <v>5000</v>
      </c>
      <c r="H216" s="5">
        <f t="shared" si="3"/>
        <v>0</v>
      </c>
      <c r="I216" s="1"/>
      <c r="J216" s="1"/>
      <c r="K216" s="272"/>
      <c r="L216" s="272"/>
      <c r="M216" s="272"/>
    </row>
    <row r="217" spans="1:13" x14ac:dyDescent="0.2">
      <c r="A217" s="32">
        <v>211</v>
      </c>
      <c r="B217" s="1" t="s">
        <v>509</v>
      </c>
      <c r="C217" s="32">
        <v>6684</v>
      </c>
      <c r="D217" s="1">
        <v>5000</v>
      </c>
      <c r="E217" s="1"/>
      <c r="F217" s="1">
        <v>55.48</v>
      </c>
      <c r="G217" s="1">
        <v>5000</v>
      </c>
      <c r="H217" s="5">
        <f t="shared" si="3"/>
        <v>0</v>
      </c>
      <c r="I217" s="1"/>
      <c r="J217" s="1"/>
      <c r="K217" s="272"/>
      <c r="L217" s="272"/>
      <c r="M217" s="272"/>
    </row>
    <row r="218" spans="1:13" x14ac:dyDescent="0.2">
      <c r="A218" s="32">
        <v>212</v>
      </c>
      <c r="B218" s="1" t="s">
        <v>509</v>
      </c>
      <c r="C218" s="32">
        <v>5.1000000000000004E-3</v>
      </c>
      <c r="D218" s="1">
        <v>16000</v>
      </c>
      <c r="E218" s="1"/>
      <c r="F218" s="1">
        <v>178.22</v>
      </c>
      <c r="G218" s="1">
        <v>16000</v>
      </c>
      <c r="H218" s="5">
        <f t="shared" si="3"/>
        <v>0</v>
      </c>
      <c r="I218" s="1"/>
      <c r="J218" s="1"/>
      <c r="K218" s="272"/>
      <c r="L218" s="272"/>
      <c r="M218" s="272"/>
    </row>
    <row r="219" spans="1:13" x14ac:dyDescent="0.2">
      <c r="A219" s="32">
        <v>213</v>
      </c>
      <c r="B219" s="1" t="s">
        <v>509</v>
      </c>
      <c r="C219" s="32">
        <v>5151</v>
      </c>
      <c r="D219" s="1">
        <v>16000</v>
      </c>
      <c r="E219" s="1"/>
      <c r="F219" s="1">
        <v>178.22</v>
      </c>
      <c r="G219" s="1">
        <v>16000</v>
      </c>
      <c r="H219" s="5">
        <f t="shared" si="3"/>
        <v>0</v>
      </c>
      <c r="I219" s="1"/>
      <c r="J219" s="1"/>
      <c r="K219" s="272"/>
      <c r="L219" s="272"/>
      <c r="M219" s="272"/>
    </row>
    <row r="220" spans="1:13" x14ac:dyDescent="0.2">
      <c r="A220" s="32">
        <v>214</v>
      </c>
      <c r="B220" s="1" t="s">
        <v>509</v>
      </c>
      <c r="C220" s="32">
        <v>5252</v>
      </c>
      <c r="D220" s="1">
        <v>16000</v>
      </c>
      <c r="E220" s="1"/>
      <c r="F220" s="1">
        <v>178.22</v>
      </c>
      <c r="G220" s="1">
        <v>16000</v>
      </c>
      <c r="H220" s="5">
        <f t="shared" si="3"/>
        <v>0</v>
      </c>
      <c r="I220" s="1"/>
      <c r="J220" s="1"/>
      <c r="K220" s="272"/>
      <c r="L220" s="272"/>
      <c r="M220" s="272"/>
    </row>
    <row r="221" spans="1:13" x14ac:dyDescent="0.2">
      <c r="A221" s="32">
        <v>215</v>
      </c>
      <c r="B221" s="1" t="s">
        <v>509</v>
      </c>
      <c r="C221" s="32">
        <v>7824</v>
      </c>
      <c r="D221" s="1">
        <v>27000</v>
      </c>
      <c r="E221" s="1"/>
      <c r="F221" s="1">
        <v>285.58</v>
      </c>
      <c r="G221" s="1">
        <v>27000</v>
      </c>
      <c r="H221" s="5">
        <f t="shared" si="3"/>
        <v>0</v>
      </c>
      <c r="I221" s="1"/>
      <c r="J221" s="1"/>
      <c r="K221" s="272"/>
      <c r="L221" s="272"/>
      <c r="M221" s="272"/>
    </row>
    <row r="222" spans="1:13" x14ac:dyDescent="0.2">
      <c r="A222" s="32">
        <v>216</v>
      </c>
      <c r="B222" s="1" t="s">
        <v>509</v>
      </c>
      <c r="C222" s="32">
        <v>9378</v>
      </c>
      <c r="D222" s="1">
        <v>18000</v>
      </c>
      <c r="E222" s="1"/>
      <c r="F222" s="1">
        <v>198.47</v>
      </c>
      <c r="G222" s="1">
        <v>18000</v>
      </c>
      <c r="H222" s="5">
        <f t="shared" si="3"/>
        <v>0</v>
      </c>
      <c r="I222" s="1"/>
      <c r="J222" s="1"/>
      <c r="K222" s="272"/>
      <c r="L222" s="272"/>
      <c r="M222" s="272"/>
    </row>
    <row r="223" spans="1:13" x14ac:dyDescent="0.2">
      <c r="A223" s="32">
        <v>217</v>
      </c>
      <c r="B223" s="1" t="s">
        <v>509</v>
      </c>
      <c r="C223" s="32">
        <v>8382</v>
      </c>
      <c r="D223" s="1">
        <v>25000</v>
      </c>
      <c r="E223" s="1"/>
      <c r="F223" s="1">
        <v>278.25</v>
      </c>
      <c r="G223" s="1">
        <v>25000</v>
      </c>
      <c r="H223" s="5">
        <f t="shared" si="3"/>
        <v>0</v>
      </c>
      <c r="I223" s="1"/>
      <c r="J223" s="1"/>
      <c r="K223" s="272"/>
      <c r="L223" s="272"/>
      <c r="M223" s="272"/>
    </row>
    <row r="224" spans="1:13" x14ac:dyDescent="0.2">
      <c r="A224" s="32">
        <v>218</v>
      </c>
      <c r="B224" s="1" t="s">
        <v>509</v>
      </c>
      <c r="C224" s="32">
        <v>8797</v>
      </c>
      <c r="D224" s="1">
        <v>5000</v>
      </c>
      <c r="E224" s="1"/>
      <c r="F224" s="1">
        <v>55.48</v>
      </c>
      <c r="G224" s="1">
        <v>5000</v>
      </c>
      <c r="H224" s="5">
        <f t="shared" si="3"/>
        <v>0</v>
      </c>
      <c r="I224" s="1"/>
      <c r="J224" s="1"/>
      <c r="K224" s="272"/>
      <c r="L224" s="272"/>
      <c r="M224" s="272"/>
    </row>
    <row r="225" spans="1:13" x14ac:dyDescent="0.2">
      <c r="A225" s="32">
        <v>219</v>
      </c>
      <c r="B225" s="1" t="s">
        <v>509</v>
      </c>
      <c r="C225" s="32">
        <v>4579</v>
      </c>
      <c r="D225" s="1">
        <v>17000</v>
      </c>
      <c r="E225" s="1"/>
      <c r="F225" s="1">
        <v>189.47</v>
      </c>
      <c r="G225" s="1">
        <v>17000</v>
      </c>
      <c r="H225" s="5">
        <f t="shared" si="3"/>
        <v>0</v>
      </c>
      <c r="I225" s="1"/>
      <c r="J225" s="1"/>
      <c r="K225" s="272"/>
      <c r="L225" s="272"/>
      <c r="M225" s="272"/>
    </row>
    <row r="226" spans="1:13" x14ac:dyDescent="0.2">
      <c r="A226" s="32">
        <v>220</v>
      </c>
      <c r="B226" s="1" t="s">
        <v>511</v>
      </c>
      <c r="C226" s="32" t="s">
        <v>30</v>
      </c>
      <c r="D226" s="1">
        <v>4500</v>
      </c>
      <c r="E226" s="1"/>
      <c r="F226" s="1">
        <v>50.33</v>
      </c>
      <c r="G226" s="1">
        <v>4500</v>
      </c>
      <c r="H226" s="5">
        <f t="shared" si="3"/>
        <v>0</v>
      </c>
      <c r="I226" s="1"/>
      <c r="J226" s="1"/>
      <c r="K226" s="272"/>
      <c r="L226" s="272"/>
      <c r="M226" s="272"/>
    </row>
    <row r="227" spans="1:13" x14ac:dyDescent="0.2">
      <c r="A227" s="32">
        <v>221</v>
      </c>
      <c r="B227" s="1" t="s">
        <v>511</v>
      </c>
      <c r="C227" s="32">
        <v>5.1999999999999998E-3</v>
      </c>
      <c r="D227" s="1">
        <v>16000</v>
      </c>
      <c r="E227" s="1"/>
      <c r="F227" s="1">
        <v>178.22</v>
      </c>
      <c r="G227" s="1">
        <v>16000</v>
      </c>
      <c r="H227" s="5">
        <f t="shared" si="3"/>
        <v>0</v>
      </c>
      <c r="I227" s="1"/>
      <c r="J227" s="1"/>
      <c r="K227" s="272"/>
      <c r="L227" s="272"/>
      <c r="M227" s="272"/>
    </row>
    <row r="228" spans="1:13" x14ac:dyDescent="0.2">
      <c r="A228" s="32">
        <v>222</v>
      </c>
      <c r="B228" s="1" t="s">
        <v>511</v>
      </c>
      <c r="C228" s="32">
        <v>2681</v>
      </c>
      <c r="D228" s="1">
        <v>16000</v>
      </c>
      <c r="E228" s="1"/>
      <c r="F228" s="1">
        <v>178.22</v>
      </c>
      <c r="G228" s="1">
        <v>16000</v>
      </c>
      <c r="H228" s="5">
        <f t="shared" si="3"/>
        <v>0</v>
      </c>
      <c r="I228" s="1"/>
      <c r="J228" s="1"/>
      <c r="K228" s="272"/>
      <c r="L228" s="272"/>
      <c r="M228" s="272"/>
    </row>
    <row r="229" spans="1:13" x14ac:dyDescent="0.2">
      <c r="A229" s="32">
        <v>223</v>
      </c>
      <c r="B229" s="1" t="s">
        <v>511</v>
      </c>
      <c r="C229" s="32">
        <v>9793</v>
      </c>
      <c r="D229" s="1">
        <v>16000</v>
      </c>
      <c r="E229" s="1"/>
      <c r="F229" s="1">
        <v>178.22</v>
      </c>
      <c r="G229" s="1">
        <v>16000</v>
      </c>
      <c r="H229" s="5">
        <f t="shared" si="3"/>
        <v>0</v>
      </c>
      <c r="I229" s="1"/>
      <c r="J229" s="1"/>
      <c r="K229" s="272"/>
      <c r="L229" s="272"/>
      <c r="M229" s="272"/>
    </row>
    <row r="230" spans="1:13" x14ac:dyDescent="0.2">
      <c r="A230" s="32">
        <v>224</v>
      </c>
      <c r="B230" s="1" t="s">
        <v>511</v>
      </c>
      <c r="C230" s="32">
        <v>9645</v>
      </c>
      <c r="D230" s="1">
        <v>16000</v>
      </c>
      <c r="E230" s="1"/>
      <c r="F230" s="1">
        <v>178.22</v>
      </c>
      <c r="G230" s="1">
        <v>16000</v>
      </c>
      <c r="H230" s="5">
        <f t="shared" si="3"/>
        <v>0</v>
      </c>
      <c r="I230" s="1"/>
      <c r="J230" s="1"/>
      <c r="K230" s="272"/>
      <c r="L230" s="272"/>
      <c r="M230" s="272"/>
    </row>
    <row r="231" spans="1:13" x14ac:dyDescent="0.2">
      <c r="A231" s="32">
        <v>225</v>
      </c>
      <c r="B231" s="1" t="s">
        <v>511</v>
      </c>
      <c r="C231" s="32">
        <v>5931</v>
      </c>
      <c r="D231" s="1">
        <v>18000</v>
      </c>
      <c r="E231" s="1"/>
      <c r="F231" s="1">
        <v>200.48</v>
      </c>
      <c r="G231" s="1">
        <v>18000</v>
      </c>
      <c r="H231" s="5">
        <f t="shared" si="3"/>
        <v>0</v>
      </c>
      <c r="I231" s="1"/>
      <c r="J231" s="1"/>
      <c r="K231" s="272"/>
      <c r="L231" s="272"/>
      <c r="M231" s="272"/>
    </row>
    <row r="232" spans="1:13" x14ac:dyDescent="0.2">
      <c r="A232" s="32">
        <v>226</v>
      </c>
      <c r="B232" s="1" t="s">
        <v>511</v>
      </c>
      <c r="C232" s="32">
        <v>3941</v>
      </c>
      <c r="D232" s="1">
        <v>14000</v>
      </c>
      <c r="E232" s="1"/>
      <c r="F232" s="1">
        <v>155.47999999999999</v>
      </c>
      <c r="G232" s="1">
        <v>14000</v>
      </c>
      <c r="H232" s="5">
        <f t="shared" si="3"/>
        <v>0</v>
      </c>
      <c r="I232" s="1"/>
      <c r="J232" s="1"/>
      <c r="K232" s="272"/>
      <c r="L232" s="272"/>
      <c r="M232" s="272"/>
    </row>
    <row r="233" spans="1:13" x14ac:dyDescent="0.2">
      <c r="A233" s="32">
        <v>227</v>
      </c>
      <c r="B233" s="1" t="s">
        <v>511</v>
      </c>
      <c r="C233" s="32">
        <v>6496</v>
      </c>
      <c r="D233" s="1">
        <v>14000</v>
      </c>
      <c r="E233" s="1"/>
      <c r="F233" s="1">
        <v>155.47999999999999</v>
      </c>
      <c r="G233" s="1">
        <v>14000</v>
      </c>
      <c r="H233" s="5">
        <f t="shared" si="3"/>
        <v>0</v>
      </c>
      <c r="I233" s="1"/>
      <c r="J233" s="1"/>
      <c r="K233" s="272"/>
      <c r="L233" s="272"/>
      <c r="M233" s="272"/>
    </row>
    <row r="234" spans="1:13" x14ac:dyDescent="0.2">
      <c r="A234" s="32">
        <v>228</v>
      </c>
      <c r="B234" s="1" t="s">
        <v>511</v>
      </c>
      <c r="C234" s="32">
        <v>2807</v>
      </c>
      <c r="D234" s="1">
        <v>15000</v>
      </c>
      <c r="E234" s="1"/>
      <c r="F234" s="1">
        <v>167.15</v>
      </c>
      <c r="G234" s="1">
        <v>15000</v>
      </c>
      <c r="H234" s="5">
        <f t="shared" si="3"/>
        <v>0</v>
      </c>
      <c r="I234" s="1"/>
      <c r="J234" s="1"/>
      <c r="K234" s="272"/>
      <c r="L234" s="272"/>
      <c r="M234" s="272"/>
    </row>
    <row r="235" spans="1:13" x14ac:dyDescent="0.2">
      <c r="A235" s="32">
        <v>229</v>
      </c>
      <c r="B235" s="1" t="s">
        <v>511</v>
      </c>
      <c r="C235" s="32">
        <v>1721</v>
      </c>
      <c r="D235" s="1">
        <v>15000</v>
      </c>
      <c r="E235" s="1"/>
      <c r="F235" s="1">
        <v>167.15</v>
      </c>
      <c r="G235" s="1">
        <v>15000</v>
      </c>
      <c r="H235" s="5">
        <f t="shared" si="3"/>
        <v>0</v>
      </c>
      <c r="I235" s="1"/>
      <c r="J235" s="1"/>
      <c r="K235" s="272"/>
      <c r="L235" s="272"/>
      <c r="M235" s="272"/>
    </row>
    <row r="236" spans="1:13" x14ac:dyDescent="0.2">
      <c r="A236" s="32">
        <v>230</v>
      </c>
      <c r="B236" s="1" t="s">
        <v>511</v>
      </c>
      <c r="C236" s="32">
        <v>9327</v>
      </c>
      <c r="D236" s="1">
        <v>10000</v>
      </c>
      <c r="E236" s="1"/>
      <c r="F236" s="1">
        <v>111.47</v>
      </c>
      <c r="G236" s="1">
        <v>10000</v>
      </c>
      <c r="H236" s="5">
        <f t="shared" si="3"/>
        <v>0</v>
      </c>
      <c r="I236" s="1"/>
      <c r="J236" s="1"/>
      <c r="K236" s="272"/>
      <c r="L236" s="272"/>
      <c r="M236" s="272"/>
    </row>
    <row r="237" spans="1:13" x14ac:dyDescent="0.2">
      <c r="A237" s="32">
        <v>231</v>
      </c>
      <c r="B237" s="1" t="s">
        <v>511</v>
      </c>
      <c r="C237" s="32">
        <v>1416</v>
      </c>
      <c r="D237" s="1">
        <v>10000</v>
      </c>
      <c r="E237" s="1"/>
      <c r="F237" s="1">
        <v>111.47</v>
      </c>
      <c r="G237" s="1">
        <v>10000</v>
      </c>
      <c r="H237" s="5">
        <f t="shared" si="3"/>
        <v>0</v>
      </c>
      <c r="I237" s="1"/>
      <c r="J237" s="1"/>
      <c r="K237" s="272"/>
      <c r="L237" s="272"/>
      <c r="M237" s="272"/>
    </row>
    <row r="238" spans="1:13" x14ac:dyDescent="0.2">
      <c r="A238" s="32">
        <v>232</v>
      </c>
      <c r="B238" s="1" t="s">
        <v>511</v>
      </c>
      <c r="C238" s="32">
        <v>6449</v>
      </c>
      <c r="D238" s="1">
        <v>30000</v>
      </c>
      <c r="E238" s="1"/>
      <c r="F238" s="1">
        <v>334.78</v>
      </c>
      <c r="G238" s="1">
        <v>30000</v>
      </c>
      <c r="H238" s="5">
        <f t="shared" si="3"/>
        <v>0</v>
      </c>
      <c r="I238" s="1"/>
      <c r="J238" s="1"/>
      <c r="K238" s="272"/>
      <c r="L238" s="272"/>
      <c r="M238" s="272"/>
    </row>
    <row r="239" spans="1:13" x14ac:dyDescent="0.2">
      <c r="A239" s="32">
        <v>233</v>
      </c>
      <c r="B239" s="1" t="s">
        <v>511</v>
      </c>
      <c r="C239" s="32">
        <v>6574</v>
      </c>
      <c r="D239" s="1">
        <v>30000</v>
      </c>
      <c r="E239" s="1"/>
      <c r="F239" s="1">
        <v>334.78</v>
      </c>
      <c r="G239" s="1">
        <v>30000</v>
      </c>
      <c r="H239" s="5">
        <f t="shared" si="3"/>
        <v>0</v>
      </c>
      <c r="I239" s="1"/>
      <c r="J239" s="1"/>
      <c r="K239" s="272"/>
      <c r="L239" s="272"/>
      <c r="M239" s="272"/>
    </row>
    <row r="240" spans="1:13" x14ac:dyDescent="0.2">
      <c r="A240" s="32">
        <v>234</v>
      </c>
      <c r="B240" s="1" t="s">
        <v>511</v>
      </c>
      <c r="C240" s="32" t="s">
        <v>66</v>
      </c>
      <c r="D240" s="1">
        <v>100</v>
      </c>
      <c r="E240" s="1"/>
      <c r="F240" s="1">
        <v>1.05</v>
      </c>
      <c r="G240" s="1">
        <v>100</v>
      </c>
      <c r="H240" s="5">
        <f t="shared" si="3"/>
        <v>0</v>
      </c>
      <c r="I240" s="1"/>
      <c r="J240" s="1"/>
      <c r="K240" s="272"/>
      <c r="L240" s="272"/>
      <c r="M240" s="272"/>
    </row>
    <row r="241" spans="1:13" x14ac:dyDescent="0.2">
      <c r="A241" s="32">
        <v>235</v>
      </c>
      <c r="B241" s="1" t="s">
        <v>511</v>
      </c>
      <c r="C241" s="32">
        <v>9122</v>
      </c>
      <c r="D241" s="1">
        <v>11000</v>
      </c>
      <c r="E241" s="1"/>
      <c r="F241" s="1">
        <v>122.48</v>
      </c>
      <c r="G241" s="1">
        <v>11000</v>
      </c>
      <c r="H241" s="5">
        <f t="shared" si="3"/>
        <v>0</v>
      </c>
      <c r="I241" s="1"/>
      <c r="J241" s="1"/>
      <c r="K241" s="272"/>
      <c r="L241" s="272"/>
      <c r="M241" s="272"/>
    </row>
    <row r="242" spans="1:13" x14ac:dyDescent="0.2">
      <c r="A242" s="32">
        <v>236</v>
      </c>
      <c r="B242" s="1" t="s">
        <v>511</v>
      </c>
      <c r="C242" s="32">
        <v>5278</v>
      </c>
      <c r="D242" s="1">
        <v>23000</v>
      </c>
      <c r="E242" s="1"/>
      <c r="F242" s="1">
        <v>250.47</v>
      </c>
      <c r="G242" s="1">
        <v>23000</v>
      </c>
      <c r="H242" s="5">
        <f t="shared" si="3"/>
        <v>0</v>
      </c>
      <c r="I242" s="1"/>
      <c r="J242" s="1"/>
      <c r="K242" s="272"/>
      <c r="L242" s="272"/>
      <c r="M242" s="272"/>
    </row>
    <row r="243" spans="1:13" x14ac:dyDescent="0.2">
      <c r="A243" s="32">
        <v>237</v>
      </c>
      <c r="B243" s="1" t="s">
        <v>511</v>
      </c>
      <c r="C243" s="32">
        <v>5498</v>
      </c>
      <c r="D243" s="1">
        <v>21000</v>
      </c>
      <c r="E243" s="1"/>
      <c r="F243" s="1">
        <v>233.48</v>
      </c>
      <c r="G243" s="1">
        <v>21000</v>
      </c>
      <c r="H243" s="5">
        <f t="shared" si="3"/>
        <v>0</v>
      </c>
      <c r="I243" s="1"/>
      <c r="J243" s="1"/>
      <c r="K243" s="272"/>
      <c r="L243" s="272"/>
      <c r="M243" s="272"/>
    </row>
    <row r="244" spans="1:13" x14ac:dyDescent="0.2">
      <c r="A244" s="32">
        <v>238</v>
      </c>
      <c r="B244" s="1" t="s">
        <v>511</v>
      </c>
      <c r="C244" s="32">
        <v>3.3700000000000001E-2</v>
      </c>
      <c r="D244" s="1">
        <v>22000</v>
      </c>
      <c r="E244" s="1"/>
      <c r="F244" s="1">
        <v>229.75</v>
      </c>
      <c r="G244" s="1">
        <v>22000</v>
      </c>
      <c r="H244" s="5">
        <f t="shared" si="3"/>
        <v>0</v>
      </c>
      <c r="I244" s="1"/>
      <c r="J244" s="1"/>
      <c r="K244" s="272"/>
      <c r="L244" s="272"/>
      <c r="M244" s="272"/>
    </row>
    <row r="245" spans="1:13" x14ac:dyDescent="0.2">
      <c r="A245" s="32">
        <v>239</v>
      </c>
      <c r="B245" s="1" t="s">
        <v>511</v>
      </c>
      <c r="C245" s="32">
        <v>4188</v>
      </c>
      <c r="D245" s="1">
        <v>17000</v>
      </c>
      <c r="E245" s="1"/>
      <c r="F245" s="1">
        <v>189.47</v>
      </c>
      <c r="G245" s="1">
        <v>17000</v>
      </c>
      <c r="H245" s="5">
        <f t="shared" si="3"/>
        <v>0</v>
      </c>
      <c r="I245" s="1"/>
      <c r="J245" s="1"/>
      <c r="K245" s="272"/>
      <c r="L245" s="272"/>
      <c r="M245" s="272"/>
    </row>
    <row r="246" spans="1:13" x14ac:dyDescent="0.2">
      <c r="A246" s="32">
        <v>240</v>
      </c>
      <c r="B246" s="1" t="s">
        <v>511</v>
      </c>
      <c r="C246" s="32">
        <v>6016</v>
      </c>
      <c r="D246" s="1">
        <v>17000</v>
      </c>
      <c r="E246" s="1"/>
      <c r="F246" s="1">
        <v>189.47</v>
      </c>
      <c r="G246" s="1">
        <v>17000</v>
      </c>
      <c r="H246" s="5">
        <f t="shared" si="3"/>
        <v>0</v>
      </c>
      <c r="I246" s="1"/>
      <c r="J246" s="1"/>
      <c r="K246" s="272"/>
      <c r="L246" s="272"/>
      <c r="M246" s="272"/>
    </row>
    <row r="247" spans="1:13" x14ac:dyDescent="0.2">
      <c r="A247" s="32">
        <v>241</v>
      </c>
      <c r="B247" s="1" t="s">
        <v>511</v>
      </c>
      <c r="C247" s="32">
        <v>9345</v>
      </c>
      <c r="D247" s="1">
        <v>18000</v>
      </c>
      <c r="E247" s="1"/>
      <c r="F247" s="1">
        <v>200.48</v>
      </c>
      <c r="G247" s="1">
        <v>18000</v>
      </c>
      <c r="H247" s="5">
        <f t="shared" si="3"/>
        <v>0</v>
      </c>
      <c r="I247" s="1"/>
      <c r="J247" s="1"/>
      <c r="K247" s="272"/>
      <c r="L247" s="272"/>
      <c r="M247" s="272"/>
    </row>
    <row r="248" spans="1:13" x14ac:dyDescent="0.2">
      <c r="A248" s="32">
        <v>242</v>
      </c>
      <c r="B248" s="1" t="s">
        <v>511</v>
      </c>
      <c r="C248" s="32">
        <v>6469</v>
      </c>
      <c r="D248" s="1">
        <v>25000</v>
      </c>
      <c r="E248" s="1"/>
      <c r="F248" s="1">
        <v>278.22000000000003</v>
      </c>
      <c r="G248" s="1">
        <v>25000</v>
      </c>
      <c r="H248" s="5">
        <f t="shared" si="3"/>
        <v>0</v>
      </c>
      <c r="I248" s="1"/>
      <c r="J248" s="1"/>
      <c r="K248" s="272"/>
      <c r="L248" s="272"/>
      <c r="M248" s="272"/>
    </row>
    <row r="249" spans="1:13" x14ac:dyDescent="0.2">
      <c r="A249" s="32">
        <v>243</v>
      </c>
      <c r="B249" s="1" t="s">
        <v>511</v>
      </c>
      <c r="C249" s="32">
        <v>7932</v>
      </c>
      <c r="D249" s="1">
        <v>25000</v>
      </c>
      <c r="E249" s="1"/>
      <c r="F249" s="1">
        <v>278.22000000000003</v>
      </c>
      <c r="G249" s="1">
        <v>25000</v>
      </c>
      <c r="H249" s="5">
        <f t="shared" si="3"/>
        <v>0</v>
      </c>
      <c r="I249" s="1"/>
      <c r="J249" s="1"/>
      <c r="K249" s="272"/>
      <c r="L249" s="272"/>
      <c r="M249" s="272"/>
    </row>
    <row r="250" spans="1:13" x14ac:dyDescent="0.2">
      <c r="A250" s="32">
        <v>244</v>
      </c>
      <c r="B250" s="1" t="s">
        <v>511</v>
      </c>
      <c r="C250" s="32">
        <v>5553</v>
      </c>
      <c r="D250" s="1">
        <v>30000</v>
      </c>
      <c r="E250" s="1"/>
      <c r="F250" s="1">
        <v>334.78</v>
      </c>
      <c r="G250" s="1">
        <v>30000</v>
      </c>
      <c r="H250" s="5">
        <f t="shared" si="3"/>
        <v>0</v>
      </c>
      <c r="I250" s="1"/>
      <c r="J250" s="1"/>
      <c r="K250" s="272"/>
      <c r="L250" s="272"/>
      <c r="M250" s="272"/>
    </row>
    <row r="251" spans="1:13" x14ac:dyDescent="0.2">
      <c r="A251" s="32">
        <v>245</v>
      </c>
      <c r="B251" s="1" t="s">
        <v>511</v>
      </c>
      <c r="C251" s="32">
        <v>9193</v>
      </c>
      <c r="D251" s="1">
        <v>20000</v>
      </c>
      <c r="E251" s="1"/>
      <c r="F251" s="1">
        <v>222.78</v>
      </c>
      <c r="G251" s="1">
        <v>20000</v>
      </c>
      <c r="H251" s="5">
        <f t="shared" si="3"/>
        <v>0</v>
      </c>
      <c r="I251" s="1"/>
      <c r="J251" s="1"/>
      <c r="K251" s="272"/>
      <c r="L251" s="272"/>
      <c r="M251" s="272"/>
    </row>
    <row r="252" spans="1:13" x14ac:dyDescent="0.2">
      <c r="A252" s="32">
        <v>246</v>
      </c>
      <c r="B252" s="1" t="s">
        <v>512</v>
      </c>
      <c r="C252" s="32" t="s">
        <v>30</v>
      </c>
      <c r="D252" s="1">
        <v>4000</v>
      </c>
      <c r="E252" s="1"/>
      <c r="F252" s="1">
        <v>44.45</v>
      </c>
      <c r="G252" s="1">
        <v>4000</v>
      </c>
      <c r="H252" s="5">
        <f t="shared" si="3"/>
        <v>0</v>
      </c>
      <c r="I252" s="1"/>
      <c r="J252" s="1"/>
      <c r="K252" s="272"/>
      <c r="L252" s="272"/>
      <c r="M252" s="272"/>
    </row>
    <row r="253" spans="1:13" x14ac:dyDescent="0.2">
      <c r="A253" s="32">
        <v>247</v>
      </c>
      <c r="B253" s="1" t="s">
        <v>512</v>
      </c>
      <c r="C253" s="32" t="s">
        <v>30</v>
      </c>
      <c r="D253" s="1">
        <v>5000</v>
      </c>
      <c r="E253" s="1"/>
      <c r="F253" s="1">
        <v>55.15</v>
      </c>
      <c r="G253" s="1">
        <v>5000</v>
      </c>
      <c r="H253" s="5">
        <f t="shared" si="3"/>
        <v>0</v>
      </c>
      <c r="I253" s="1"/>
      <c r="J253" s="1"/>
      <c r="K253" s="272"/>
      <c r="L253" s="272"/>
      <c r="M253" s="272"/>
    </row>
    <row r="254" spans="1:13" x14ac:dyDescent="0.2">
      <c r="A254" s="32">
        <v>248</v>
      </c>
      <c r="B254" s="1" t="s">
        <v>512</v>
      </c>
      <c r="C254" s="32">
        <v>3363</v>
      </c>
      <c r="D254" s="1">
        <v>14000</v>
      </c>
      <c r="E254" s="1"/>
      <c r="F254" s="1">
        <v>155.44999999999999</v>
      </c>
      <c r="G254" s="1">
        <v>14000</v>
      </c>
      <c r="H254" s="5">
        <f t="shared" si="3"/>
        <v>0</v>
      </c>
      <c r="I254" s="1"/>
      <c r="J254" s="1"/>
      <c r="K254" s="272"/>
      <c r="L254" s="272"/>
      <c r="M254" s="272"/>
    </row>
    <row r="255" spans="1:13" x14ac:dyDescent="0.2">
      <c r="A255" s="32">
        <v>249</v>
      </c>
      <c r="B255" s="1" t="s">
        <v>512</v>
      </c>
      <c r="C255" s="32">
        <v>2.53E-2</v>
      </c>
      <c r="D255" s="1">
        <v>15000</v>
      </c>
      <c r="E255" s="1"/>
      <c r="F255" s="1">
        <v>167.15</v>
      </c>
      <c r="G255" s="1">
        <v>15000</v>
      </c>
      <c r="H255" s="5">
        <f t="shared" si="3"/>
        <v>0</v>
      </c>
      <c r="I255" s="1"/>
      <c r="J255" s="1"/>
      <c r="K255" s="272"/>
      <c r="L255" s="272"/>
      <c r="M255" s="272"/>
    </row>
    <row r="256" spans="1:13" x14ac:dyDescent="0.2">
      <c r="A256" s="32">
        <v>250</v>
      </c>
      <c r="B256" s="1" t="s">
        <v>512</v>
      </c>
      <c r="C256" s="32">
        <v>1.5299999999999999E-2</v>
      </c>
      <c r="D256" s="1">
        <v>17000</v>
      </c>
      <c r="E256" s="1"/>
      <c r="F256" s="1">
        <v>189.11</v>
      </c>
      <c r="G256" s="1">
        <v>17000</v>
      </c>
      <c r="H256" s="5">
        <f t="shared" si="3"/>
        <v>0</v>
      </c>
      <c r="I256" s="1"/>
      <c r="J256" s="1"/>
      <c r="K256" s="272"/>
      <c r="L256" s="272"/>
      <c r="M256" s="272"/>
    </row>
    <row r="257" spans="1:13" x14ac:dyDescent="0.2">
      <c r="A257" s="32">
        <v>251</v>
      </c>
      <c r="B257" s="1" t="s">
        <v>512</v>
      </c>
      <c r="C257" s="32">
        <v>9981</v>
      </c>
      <c r="D257" s="1">
        <v>24000</v>
      </c>
      <c r="E257" s="1"/>
      <c r="F257" s="1">
        <v>267.48</v>
      </c>
      <c r="G257" s="1">
        <v>24000</v>
      </c>
      <c r="H257" s="5">
        <f t="shared" si="3"/>
        <v>0</v>
      </c>
      <c r="I257" s="1"/>
      <c r="J257" s="1"/>
      <c r="K257" s="272"/>
      <c r="L257" s="272"/>
      <c r="M257" s="272"/>
    </row>
    <row r="258" spans="1:13" x14ac:dyDescent="0.2">
      <c r="A258" s="32">
        <v>252</v>
      </c>
      <c r="B258" s="1" t="s">
        <v>512</v>
      </c>
      <c r="C258" s="32">
        <v>4925</v>
      </c>
      <c r="D258" s="1">
        <v>14000</v>
      </c>
      <c r="E258" s="1"/>
      <c r="F258" s="1">
        <v>155.44999999999999</v>
      </c>
      <c r="G258" s="1">
        <v>14000</v>
      </c>
      <c r="H258" s="5">
        <f t="shared" si="3"/>
        <v>0</v>
      </c>
      <c r="I258" s="1"/>
      <c r="J258" s="1"/>
      <c r="K258" s="272"/>
      <c r="L258" s="272"/>
      <c r="M258" s="272"/>
    </row>
    <row r="259" spans="1:13" x14ac:dyDescent="0.2">
      <c r="A259" s="32">
        <v>253</v>
      </c>
      <c r="B259" s="1" t="s">
        <v>512</v>
      </c>
      <c r="C259" s="32">
        <v>5931</v>
      </c>
      <c r="D259" s="1">
        <v>16000</v>
      </c>
      <c r="E259" s="1"/>
      <c r="F259" s="1">
        <v>178.22</v>
      </c>
      <c r="G259" s="1">
        <v>16000</v>
      </c>
      <c r="H259" s="5">
        <f t="shared" si="3"/>
        <v>0</v>
      </c>
      <c r="I259" s="1"/>
      <c r="J259" s="1"/>
      <c r="K259" s="272"/>
      <c r="L259" s="272"/>
      <c r="M259" s="272"/>
    </row>
    <row r="260" spans="1:13" x14ac:dyDescent="0.2">
      <c r="A260" s="32">
        <v>254</v>
      </c>
      <c r="B260" s="1" t="s">
        <v>512</v>
      </c>
      <c r="C260" s="32">
        <v>6931</v>
      </c>
      <c r="D260" s="1">
        <v>16000</v>
      </c>
      <c r="E260" s="1"/>
      <c r="F260" s="1">
        <v>178.22</v>
      </c>
      <c r="G260" s="1">
        <v>16000</v>
      </c>
      <c r="H260" s="5">
        <f t="shared" si="3"/>
        <v>0</v>
      </c>
      <c r="I260" s="1"/>
      <c r="J260" s="1"/>
      <c r="K260" s="272"/>
      <c r="L260" s="272"/>
      <c r="M260" s="272"/>
    </row>
    <row r="261" spans="1:13" x14ac:dyDescent="0.2">
      <c r="A261" s="32">
        <v>255</v>
      </c>
      <c r="B261" s="1" t="s">
        <v>512</v>
      </c>
      <c r="C261" s="32">
        <v>3614</v>
      </c>
      <c r="D261" s="1">
        <v>7000</v>
      </c>
      <c r="E261" s="1"/>
      <c r="F261" s="1">
        <v>77.48</v>
      </c>
      <c r="G261" s="1">
        <v>7000</v>
      </c>
      <c r="H261" s="5">
        <f t="shared" si="3"/>
        <v>0</v>
      </c>
      <c r="I261" s="1"/>
      <c r="J261" s="1"/>
      <c r="K261" s="272"/>
      <c r="L261" s="272"/>
      <c r="M261" s="272"/>
    </row>
    <row r="262" spans="1:13" x14ac:dyDescent="0.2">
      <c r="A262" s="32">
        <v>256</v>
      </c>
      <c r="B262" s="1" t="s">
        <v>512</v>
      </c>
      <c r="C262" s="32">
        <v>2809</v>
      </c>
      <c r="D262" s="1">
        <v>15000</v>
      </c>
      <c r="E262" s="1"/>
      <c r="F262" s="1">
        <v>167.15</v>
      </c>
      <c r="G262" s="1">
        <v>15000</v>
      </c>
      <c r="H262" s="5">
        <f t="shared" si="3"/>
        <v>0</v>
      </c>
      <c r="I262" s="1"/>
      <c r="J262" s="1"/>
      <c r="K262" s="272"/>
      <c r="L262" s="272"/>
      <c r="M262" s="272"/>
    </row>
    <row r="263" spans="1:13" x14ac:dyDescent="0.2">
      <c r="A263" s="32">
        <v>257</v>
      </c>
      <c r="B263" s="1" t="s">
        <v>512</v>
      </c>
      <c r="C263" s="32">
        <v>2802</v>
      </c>
      <c r="D263" s="1">
        <v>5000</v>
      </c>
      <c r="E263" s="1"/>
      <c r="F263" s="1">
        <v>50.24</v>
      </c>
      <c r="G263" s="1">
        <v>5000</v>
      </c>
      <c r="H263" s="5">
        <f t="shared" ref="H263:H326" si="4">D263-G263</f>
        <v>0</v>
      </c>
      <c r="I263" s="1"/>
      <c r="J263" s="1"/>
      <c r="K263" s="272"/>
      <c r="L263" s="272"/>
      <c r="M263" s="272"/>
    </row>
    <row r="264" spans="1:13" x14ac:dyDescent="0.2">
      <c r="A264" s="32">
        <v>258</v>
      </c>
      <c r="B264" s="1" t="s">
        <v>512</v>
      </c>
      <c r="C264" s="32">
        <v>5210</v>
      </c>
      <c r="D264" s="1">
        <v>15000</v>
      </c>
      <c r="E264" s="1"/>
      <c r="F264" s="1">
        <v>167.15</v>
      </c>
      <c r="G264" s="1">
        <v>15000</v>
      </c>
      <c r="H264" s="5">
        <f t="shared" si="4"/>
        <v>0</v>
      </c>
      <c r="I264" s="1"/>
      <c r="J264" s="1"/>
      <c r="K264" s="272"/>
      <c r="L264" s="272"/>
      <c r="M264" s="272"/>
    </row>
    <row r="265" spans="1:13" x14ac:dyDescent="0.2">
      <c r="A265" s="32">
        <v>259</v>
      </c>
      <c r="B265" s="1" t="s">
        <v>512</v>
      </c>
      <c r="C265" s="32">
        <v>4722</v>
      </c>
      <c r="D265" s="1">
        <v>15000</v>
      </c>
      <c r="E265" s="1"/>
      <c r="F265" s="1">
        <v>167.15</v>
      </c>
      <c r="G265" s="1">
        <v>15000</v>
      </c>
      <c r="H265" s="5">
        <f t="shared" si="4"/>
        <v>0</v>
      </c>
      <c r="I265" s="1"/>
      <c r="J265" s="1"/>
      <c r="K265" s="272"/>
      <c r="L265" s="272"/>
      <c r="M265" s="272"/>
    </row>
    <row r="266" spans="1:13" x14ac:dyDescent="0.2">
      <c r="A266" s="32">
        <v>260</v>
      </c>
      <c r="B266" s="1" t="s">
        <v>512</v>
      </c>
      <c r="C266" s="32">
        <v>6496</v>
      </c>
      <c r="D266" s="1">
        <v>14000</v>
      </c>
      <c r="E266" s="1"/>
      <c r="F266" s="1">
        <v>155.47999999999999</v>
      </c>
      <c r="G266" s="1">
        <v>14000</v>
      </c>
      <c r="H266" s="5">
        <f t="shared" si="4"/>
        <v>0</v>
      </c>
      <c r="I266" s="1"/>
      <c r="J266" s="1"/>
      <c r="K266" s="272"/>
      <c r="L266" s="272"/>
      <c r="M266" s="272"/>
    </row>
    <row r="267" spans="1:13" x14ac:dyDescent="0.2">
      <c r="A267" s="32">
        <v>261</v>
      </c>
      <c r="B267" s="1" t="s">
        <v>512</v>
      </c>
      <c r="C267" s="32">
        <v>4786</v>
      </c>
      <c r="D267" s="1">
        <v>20000</v>
      </c>
      <c r="E267" s="1"/>
      <c r="F267" s="1">
        <v>222.78</v>
      </c>
      <c r="G267" s="1">
        <v>20000</v>
      </c>
      <c r="H267" s="5">
        <f t="shared" si="4"/>
        <v>0</v>
      </c>
      <c r="I267" s="1"/>
      <c r="J267" s="1"/>
      <c r="K267" s="272"/>
      <c r="L267" s="272"/>
      <c r="M267" s="272"/>
    </row>
    <row r="268" spans="1:13" x14ac:dyDescent="0.2">
      <c r="A268" s="32">
        <v>262</v>
      </c>
      <c r="B268" s="1" t="s">
        <v>512</v>
      </c>
      <c r="C268" s="32">
        <v>1130</v>
      </c>
      <c r="D268" s="1">
        <v>25000</v>
      </c>
      <c r="E268" s="1"/>
      <c r="F268" s="1">
        <v>278.45</v>
      </c>
      <c r="G268" s="1">
        <v>25000</v>
      </c>
      <c r="H268" s="5">
        <f t="shared" si="4"/>
        <v>0</v>
      </c>
      <c r="I268" s="1"/>
      <c r="J268" s="1"/>
      <c r="K268" s="272"/>
      <c r="L268" s="272"/>
      <c r="M268" s="272"/>
    </row>
    <row r="269" spans="1:13" x14ac:dyDescent="0.2">
      <c r="A269" s="32">
        <v>263</v>
      </c>
      <c r="B269" s="1" t="s">
        <v>512</v>
      </c>
      <c r="C269" s="32">
        <v>6716</v>
      </c>
      <c r="D269" s="1">
        <v>28000</v>
      </c>
      <c r="E269" s="1"/>
      <c r="F269" s="1">
        <v>311.47000000000003</v>
      </c>
      <c r="G269" s="1">
        <v>28000</v>
      </c>
      <c r="H269" s="5">
        <f t="shared" si="4"/>
        <v>0</v>
      </c>
      <c r="I269" s="1"/>
      <c r="J269" s="1"/>
      <c r="K269" s="272"/>
      <c r="L269" s="272"/>
      <c r="M269" s="272"/>
    </row>
    <row r="270" spans="1:13" x14ac:dyDescent="0.2">
      <c r="A270" s="32">
        <v>264</v>
      </c>
      <c r="B270" s="1" t="s">
        <v>512</v>
      </c>
      <c r="C270" s="32">
        <v>8665</v>
      </c>
      <c r="D270" s="1">
        <v>16000</v>
      </c>
      <c r="E270" s="1"/>
      <c r="F270" s="1">
        <v>178.22</v>
      </c>
      <c r="G270" s="1">
        <v>16000</v>
      </c>
      <c r="H270" s="5">
        <f t="shared" si="4"/>
        <v>0</v>
      </c>
      <c r="I270" s="1"/>
      <c r="J270" s="1"/>
      <c r="K270" s="272"/>
      <c r="L270" s="272"/>
      <c r="M270" s="272"/>
    </row>
    <row r="271" spans="1:13" x14ac:dyDescent="0.2">
      <c r="A271" s="32">
        <v>265</v>
      </c>
      <c r="B271" s="1" t="s">
        <v>512</v>
      </c>
      <c r="C271" s="32">
        <v>6364</v>
      </c>
      <c r="D271" s="1">
        <v>20000</v>
      </c>
      <c r="E271" s="1"/>
      <c r="F271" s="1">
        <v>222.78</v>
      </c>
      <c r="G271" s="1">
        <v>20000</v>
      </c>
      <c r="H271" s="5">
        <f t="shared" si="4"/>
        <v>0</v>
      </c>
      <c r="I271" s="1"/>
      <c r="J271" s="1"/>
      <c r="K271" s="272"/>
      <c r="L271" s="272"/>
      <c r="M271" s="272"/>
    </row>
    <row r="272" spans="1:13" x14ac:dyDescent="0.2">
      <c r="A272" s="32">
        <v>266</v>
      </c>
      <c r="B272" s="1" t="s">
        <v>512</v>
      </c>
      <c r="C272" s="32">
        <v>4738</v>
      </c>
      <c r="D272" s="1">
        <v>20000</v>
      </c>
      <c r="E272" s="1"/>
      <c r="F272" s="1">
        <v>222.78</v>
      </c>
      <c r="G272" s="1">
        <v>20000</v>
      </c>
      <c r="H272" s="5">
        <f t="shared" si="4"/>
        <v>0</v>
      </c>
      <c r="I272" s="1"/>
      <c r="J272" s="1"/>
      <c r="K272" s="272"/>
      <c r="L272" s="272"/>
      <c r="M272" s="272"/>
    </row>
    <row r="273" spans="1:13" x14ac:dyDescent="0.2">
      <c r="A273" s="32">
        <v>267</v>
      </c>
      <c r="B273" s="1" t="s">
        <v>512</v>
      </c>
      <c r="C273" s="32">
        <v>6640</v>
      </c>
      <c r="D273" s="1">
        <v>20000</v>
      </c>
      <c r="E273" s="1"/>
      <c r="F273" s="1">
        <v>222.78</v>
      </c>
      <c r="G273" s="1">
        <v>20000</v>
      </c>
      <c r="H273" s="5">
        <f t="shared" si="4"/>
        <v>0</v>
      </c>
      <c r="I273" s="1"/>
      <c r="J273" s="1"/>
      <c r="K273" s="272"/>
      <c r="L273" s="272"/>
      <c r="M273" s="272"/>
    </row>
    <row r="274" spans="1:13" x14ac:dyDescent="0.2">
      <c r="A274" s="32">
        <v>268</v>
      </c>
      <c r="B274" s="1" t="s">
        <v>512</v>
      </c>
      <c r="C274" s="32">
        <v>2206</v>
      </c>
      <c r="D274" s="1">
        <v>20000</v>
      </c>
      <c r="E274" s="1"/>
      <c r="F274" s="1">
        <v>222.78</v>
      </c>
      <c r="G274" s="1">
        <v>20000</v>
      </c>
      <c r="H274" s="5">
        <f t="shared" si="4"/>
        <v>0</v>
      </c>
      <c r="I274" s="1"/>
      <c r="J274" s="1"/>
      <c r="K274" s="272"/>
      <c r="L274" s="272"/>
      <c r="M274" s="272"/>
    </row>
    <row r="275" spans="1:13" x14ac:dyDescent="0.2">
      <c r="A275" s="32">
        <v>269</v>
      </c>
      <c r="B275" s="1" t="s">
        <v>512</v>
      </c>
      <c r="C275" s="32">
        <v>8571</v>
      </c>
      <c r="D275" s="1">
        <v>10000</v>
      </c>
      <c r="E275" s="1"/>
      <c r="F275" s="1">
        <v>111.41</v>
      </c>
      <c r="G275" s="1">
        <v>10000</v>
      </c>
      <c r="H275" s="5">
        <f t="shared" si="4"/>
        <v>0</v>
      </c>
      <c r="I275" s="1"/>
      <c r="J275" s="1"/>
      <c r="K275" s="272"/>
      <c r="L275" s="272"/>
      <c r="M275" s="272"/>
    </row>
    <row r="276" spans="1:13" x14ac:dyDescent="0.2">
      <c r="A276" s="32">
        <v>270</v>
      </c>
      <c r="B276" s="1" t="s">
        <v>512</v>
      </c>
      <c r="C276" s="32">
        <v>5.8400000000000001E-2</v>
      </c>
      <c r="D276" s="1">
        <v>18000</v>
      </c>
      <c r="E276" s="1"/>
      <c r="F276" s="1">
        <v>200.47</v>
      </c>
      <c r="G276" s="1">
        <v>18000</v>
      </c>
      <c r="H276" s="5">
        <f t="shared" si="4"/>
        <v>0</v>
      </c>
      <c r="I276" s="1"/>
      <c r="J276" s="1"/>
      <c r="K276" s="272"/>
      <c r="L276" s="272"/>
      <c r="M276" s="272"/>
    </row>
    <row r="277" spans="1:13" x14ac:dyDescent="0.2">
      <c r="A277" s="32">
        <v>271</v>
      </c>
      <c r="B277" s="1" t="s">
        <v>512</v>
      </c>
      <c r="C277" s="32">
        <v>3.4500000000000003E-2</v>
      </c>
      <c r="D277" s="1">
        <v>19000</v>
      </c>
      <c r="E277" s="1"/>
      <c r="F277" s="1">
        <v>211.47</v>
      </c>
      <c r="G277" s="1">
        <v>19000</v>
      </c>
      <c r="H277" s="5">
        <f t="shared" si="4"/>
        <v>0</v>
      </c>
      <c r="I277" s="1"/>
      <c r="J277" s="1"/>
      <c r="K277" s="272"/>
      <c r="L277" s="272"/>
      <c r="M277" s="272"/>
    </row>
    <row r="278" spans="1:13" x14ac:dyDescent="0.2">
      <c r="A278" s="32">
        <v>272</v>
      </c>
      <c r="B278" s="1" t="s">
        <v>512</v>
      </c>
      <c r="C278" s="32">
        <v>4751</v>
      </c>
      <c r="D278" s="1">
        <v>27000</v>
      </c>
      <c r="E278" s="1"/>
      <c r="F278" s="1">
        <v>300.57</v>
      </c>
      <c r="G278" s="1">
        <v>27000</v>
      </c>
      <c r="H278" s="5">
        <f t="shared" si="4"/>
        <v>0</v>
      </c>
      <c r="I278" s="1"/>
      <c r="J278" s="1"/>
      <c r="K278" s="272"/>
      <c r="L278" s="272"/>
      <c r="M278" s="272"/>
    </row>
    <row r="279" spans="1:13" x14ac:dyDescent="0.2">
      <c r="A279" s="32">
        <v>273</v>
      </c>
      <c r="B279" s="1" t="s">
        <v>512</v>
      </c>
      <c r="C279" s="32">
        <v>8471</v>
      </c>
      <c r="D279" s="1">
        <v>28000</v>
      </c>
      <c r="E279" s="1"/>
      <c r="F279" s="1">
        <v>311.47000000000003</v>
      </c>
      <c r="G279" s="1">
        <v>28000</v>
      </c>
      <c r="H279" s="5">
        <f t="shared" si="4"/>
        <v>0</v>
      </c>
      <c r="I279" s="1"/>
      <c r="J279" s="1"/>
      <c r="K279" s="272"/>
      <c r="L279" s="272"/>
      <c r="M279" s="272"/>
    </row>
    <row r="280" spans="1:13" x14ac:dyDescent="0.2">
      <c r="A280" s="32">
        <v>274</v>
      </c>
      <c r="B280" s="1" t="s">
        <v>512</v>
      </c>
      <c r="C280" s="32">
        <v>3.8399999999999997E-2</v>
      </c>
      <c r="D280" s="1">
        <v>15000</v>
      </c>
      <c r="E280" s="1"/>
      <c r="F280" s="1">
        <v>167.15</v>
      </c>
      <c r="G280" s="1">
        <v>15000</v>
      </c>
      <c r="H280" s="5">
        <f t="shared" si="4"/>
        <v>0</v>
      </c>
      <c r="I280" s="1"/>
      <c r="J280" s="1"/>
      <c r="K280" s="272"/>
      <c r="L280" s="272"/>
      <c r="M280" s="272"/>
    </row>
    <row r="281" spans="1:13" x14ac:dyDescent="0.2">
      <c r="A281" s="32">
        <v>275</v>
      </c>
      <c r="B281" s="1" t="s">
        <v>512</v>
      </c>
      <c r="C281" s="32">
        <v>1250</v>
      </c>
      <c r="D281" s="1">
        <v>15000</v>
      </c>
      <c r="E281" s="1"/>
      <c r="F281" s="1">
        <v>167.15</v>
      </c>
      <c r="G281" s="1">
        <v>15000</v>
      </c>
      <c r="H281" s="5">
        <f t="shared" si="4"/>
        <v>0</v>
      </c>
      <c r="I281" s="1"/>
      <c r="J281" s="1"/>
      <c r="K281" s="272"/>
      <c r="L281" s="272"/>
      <c r="M281" s="272"/>
    </row>
    <row r="282" spans="1:13" x14ac:dyDescent="0.2">
      <c r="A282" s="32">
        <v>276</v>
      </c>
      <c r="B282" s="1" t="s">
        <v>512</v>
      </c>
      <c r="C282" s="32">
        <v>2764</v>
      </c>
      <c r="D282" s="1">
        <v>25000</v>
      </c>
      <c r="E282" s="1"/>
      <c r="F282" s="1">
        <v>278.22000000000003</v>
      </c>
      <c r="G282" s="1">
        <v>25000</v>
      </c>
      <c r="H282" s="5">
        <f t="shared" si="4"/>
        <v>0</v>
      </c>
      <c r="I282" s="1"/>
      <c r="J282" s="1"/>
      <c r="K282" s="272"/>
      <c r="L282" s="272"/>
      <c r="M282" s="272"/>
    </row>
    <row r="283" spans="1:13" x14ac:dyDescent="0.2">
      <c r="A283" s="32">
        <v>277</v>
      </c>
      <c r="B283" s="1" t="s">
        <v>512</v>
      </c>
      <c r="C283" s="32">
        <v>5.5199999999999999E-2</v>
      </c>
      <c r="D283" s="1">
        <v>25000</v>
      </c>
      <c r="E283" s="1"/>
      <c r="F283" s="1">
        <v>278.22000000000003</v>
      </c>
      <c r="G283" s="1">
        <v>25000</v>
      </c>
      <c r="H283" s="5">
        <f t="shared" si="4"/>
        <v>0</v>
      </c>
      <c r="I283" s="1"/>
      <c r="J283" s="1"/>
      <c r="K283" s="272"/>
      <c r="L283" s="272"/>
      <c r="M283" s="272"/>
    </row>
    <row r="284" spans="1:13" x14ac:dyDescent="0.2">
      <c r="A284" s="32">
        <v>278</v>
      </c>
      <c r="B284" s="1" t="s">
        <v>512</v>
      </c>
      <c r="C284" s="32">
        <v>8189</v>
      </c>
      <c r="D284" s="1">
        <v>20000</v>
      </c>
      <c r="E284" s="1"/>
      <c r="F284" s="1">
        <v>222.78</v>
      </c>
      <c r="G284" s="1">
        <v>20000</v>
      </c>
      <c r="H284" s="5">
        <f t="shared" si="4"/>
        <v>0</v>
      </c>
      <c r="I284" s="1"/>
      <c r="J284" s="1"/>
      <c r="K284" s="272"/>
      <c r="L284" s="272"/>
      <c r="M284" s="272"/>
    </row>
    <row r="285" spans="1:13" x14ac:dyDescent="0.2">
      <c r="A285" s="32">
        <v>279</v>
      </c>
      <c r="B285" s="1" t="s">
        <v>513</v>
      </c>
      <c r="C285" s="32">
        <v>5026</v>
      </c>
      <c r="D285" s="1">
        <v>9000</v>
      </c>
      <c r="E285" s="1"/>
      <c r="F285" s="1">
        <v>100.45</v>
      </c>
      <c r="G285" s="1">
        <v>9000</v>
      </c>
      <c r="H285" s="5">
        <f t="shared" si="4"/>
        <v>0</v>
      </c>
      <c r="I285" s="1"/>
      <c r="J285" s="1"/>
      <c r="K285" s="272"/>
      <c r="L285" s="272"/>
      <c r="M285" s="272"/>
    </row>
    <row r="286" spans="1:13" x14ac:dyDescent="0.2">
      <c r="A286" s="32">
        <v>280</v>
      </c>
      <c r="B286" s="1" t="s">
        <v>513</v>
      </c>
      <c r="C286" s="32">
        <v>2810</v>
      </c>
      <c r="D286" s="1">
        <v>15000</v>
      </c>
      <c r="E286" s="1"/>
      <c r="F286" s="1">
        <v>167.15</v>
      </c>
      <c r="G286" s="1">
        <v>15000</v>
      </c>
      <c r="H286" s="5">
        <f t="shared" si="4"/>
        <v>0</v>
      </c>
      <c r="I286" s="1"/>
      <c r="J286" s="1"/>
      <c r="K286" s="272"/>
      <c r="L286" s="272"/>
      <c r="M286" s="272"/>
    </row>
    <row r="287" spans="1:13" x14ac:dyDescent="0.2">
      <c r="A287" s="32">
        <v>281</v>
      </c>
      <c r="B287" s="1" t="s">
        <v>513</v>
      </c>
      <c r="C287" s="32">
        <v>1723</v>
      </c>
      <c r="D287" s="1">
        <v>15000</v>
      </c>
      <c r="E287" s="1"/>
      <c r="F287" s="1">
        <v>167.15</v>
      </c>
      <c r="G287" s="1">
        <v>15000</v>
      </c>
      <c r="H287" s="5">
        <f t="shared" si="4"/>
        <v>0</v>
      </c>
      <c r="I287" s="1"/>
      <c r="J287" s="1"/>
      <c r="K287" s="272"/>
      <c r="L287" s="272"/>
      <c r="M287" s="272"/>
    </row>
    <row r="288" spans="1:13" x14ac:dyDescent="0.2">
      <c r="A288" s="32">
        <v>282</v>
      </c>
      <c r="B288" s="1" t="s">
        <v>513</v>
      </c>
      <c r="C288" s="32">
        <v>4115</v>
      </c>
      <c r="D288" s="1">
        <v>15000</v>
      </c>
      <c r="E288" s="1"/>
      <c r="F288" s="1">
        <v>167.15</v>
      </c>
      <c r="G288" s="1">
        <v>15000</v>
      </c>
      <c r="H288" s="5">
        <f t="shared" si="4"/>
        <v>0</v>
      </c>
      <c r="I288" s="1"/>
      <c r="J288" s="1"/>
      <c r="K288" s="272"/>
      <c r="L288" s="272"/>
      <c r="M288" s="272"/>
    </row>
    <row r="289" spans="1:13" x14ac:dyDescent="0.2">
      <c r="A289" s="32">
        <v>283</v>
      </c>
      <c r="B289" s="1" t="s">
        <v>513</v>
      </c>
      <c r="C289" s="32" t="s">
        <v>30</v>
      </c>
      <c r="D289" s="1">
        <v>4500</v>
      </c>
      <c r="E289" s="1"/>
      <c r="F289" s="1">
        <v>50.45</v>
      </c>
      <c r="G289" s="1">
        <v>4500</v>
      </c>
      <c r="H289" s="5">
        <f t="shared" si="4"/>
        <v>0</v>
      </c>
      <c r="I289" s="1"/>
      <c r="J289" s="1"/>
      <c r="K289" s="272"/>
      <c r="L289" s="272"/>
      <c r="M289" s="272"/>
    </row>
    <row r="290" spans="1:13" x14ac:dyDescent="0.2">
      <c r="A290" s="32">
        <v>284</v>
      </c>
      <c r="B290" s="1" t="s">
        <v>513</v>
      </c>
      <c r="C290" s="32" t="s">
        <v>30</v>
      </c>
      <c r="D290" s="1">
        <v>5000</v>
      </c>
      <c r="E290" s="1"/>
      <c r="F290" s="1">
        <v>55.47</v>
      </c>
      <c r="G290" s="1">
        <v>5000</v>
      </c>
      <c r="H290" s="5">
        <f t="shared" si="4"/>
        <v>0</v>
      </c>
      <c r="I290" s="1"/>
      <c r="J290" s="1"/>
      <c r="K290" s="272"/>
      <c r="L290" s="272"/>
      <c r="M290" s="272"/>
    </row>
    <row r="291" spans="1:13" x14ac:dyDescent="0.2">
      <c r="A291" s="32">
        <v>285</v>
      </c>
      <c r="B291" s="1" t="s">
        <v>513</v>
      </c>
      <c r="C291" s="32" t="s">
        <v>66</v>
      </c>
      <c r="D291" s="1">
        <v>210</v>
      </c>
      <c r="E291" s="1"/>
      <c r="F291" s="1">
        <v>2.08</v>
      </c>
      <c r="G291" s="1">
        <v>210</v>
      </c>
      <c r="H291" s="5">
        <f t="shared" si="4"/>
        <v>0</v>
      </c>
      <c r="I291" s="1"/>
      <c r="J291" s="1"/>
      <c r="K291" s="272"/>
      <c r="L291" s="272"/>
      <c r="M291" s="272"/>
    </row>
    <row r="292" spans="1:13" x14ac:dyDescent="0.2">
      <c r="A292" s="32">
        <v>286</v>
      </c>
      <c r="B292" s="1" t="s">
        <v>513</v>
      </c>
      <c r="C292" s="32">
        <v>2195</v>
      </c>
      <c r="D292" s="1">
        <v>10000</v>
      </c>
      <c r="E292" s="1"/>
      <c r="F292" s="1">
        <v>111.41</v>
      </c>
      <c r="G292" s="1">
        <v>10000</v>
      </c>
      <c r="H292" s="5">
        <f t="shared" si="4"/>
        <v>0</v>
      </c>
      <c r="I292" s="1"/>
      <c r="J292" s="1"/>
      <c r="K292" s="272"/>
      <c r="L292" s="272"/>
      <c r="M292" s="272"/>
    </row>
    <row r="293" spans="1:13" x14ac:dyDescent="0.2">
      <c r="A293" s="32">
        <v>287</v>
      </c>
      <c r="B293" s="1" t="s">
        <v>513</v>
      </c>
      <c r="C293" s="32">
        <v>1766</v>
      </c>
      <c r="D293" s="1">
        <v>10000</v>
      </c>
      <c r="E293" s="1"/>
      <c r="F293" s="1">
        <v>111.41</v>
      </c>
      <c r="G293" s="1">
        <v>10000</v>
      </c>
      <c r="H293" s="5">
        <f t="shared" si="4"/>
        <v>0</v>
      </c>
      <c r="I293" s="1"/>
      <c r="J293" s="1"/>
      <c r="K293" s="272"/>
      <c r="L293" s="272"/>
      <c r="M293" s="272"/>
    </row>
    <row r="294" spans="1:13" x14ac:dyDescent="0.2">
      <c r="A294" s="32">
        <v>288</v>
      </c>
      <c r="B294" s="1" t="s">
        <v>513</v>
      </c>
      <c r="C294" s="32">
        <v>1871</v>
      </c>
      <c r="D294" s="1">
        <v>25000</v>
      </c>
      <c r="E294" s="1"/>
      <c r="F294" s="1">
        <v>278.22000000000003</v>
      </c>
      <c r="G294" s="1">
        <v>25000</v>
      </c>
      <c r="H294" s="5">
        <f t="shared" si="4"/>
        <v>0</v>
      </c>
      <c r="I294" s="1"/>
      <c r="J294" s="1"/>
      <c r="K294" s="272"/>
      <c r="L294" s="272"/>
      <c r="M294" s="272"/>
    </row>
    <row r="295" spans="1:13" x14ac:dyDescent="0.2">
      <c r="A295" s="32">
        <v>289</v>
      </c>
      <c r="B295" s="1" t="s">
        <v>513</v>
      </c>
      <c r="C295" s="32">
        <v>9608</v>
      </c>
      <c r="D295" s="1">
        <v>25000</v>
      </c>
      <c r="E295" s="1"/>
      <c r="F295" s="1">
        <v>278.22000000000003</v>
      </c>
      <c r="G295" s="1">
        <v>25000</v>
      </c>
      <c r="H295" s="5">
        <f t="shared" si="4"/>
        <v>0</v>
      </c>
      <c r="I295" s="1"/>
      <c r="J295" s="1"/>
      <c r="K295" s="272"/>
      <c r="L295" s="272"/>
      <c r="M295" s="272"/>
    </row>
    <row r="296" spans="1:13" x14ac:dyDescent="0.2">
      <c r="A296" s="32">
        <v>290</v>
      </c>
      <c r="B296" s="1" t="s">
        <v>513</v>
      </c>
      <c r="C296" s="32">
        <v>4192</v>
      </c>
      <c r="D296" s="1">
        <v>25000</v>
      </c>
      <c r="E296" s="1"/>
      <c r="F296" s="1">
        <v>278.22000000000003</v>
      </c>
      <c r="G296" s="1">
        <v>25000</v>
      </c>
      <c r="H296" s="5">
        <f t="shared" si="4"/>
        <v>0</v>
      </c>
      <c r="I296" s="1"/>
      <c r="J296" s="1"/>
      <c r="K296" s="272"/>
      <c r="L296" s="272"/>
      <c r="M296" s="272"/>
    </row>
    <row r="297" spans="1:13" x14ac:dyDescent="0.2">
      <c r="A297" s="32">
        <v>291</v>
      </c>
      <c r="B297" s="1" t="s">
        <v>513</v>
      </c>
      <c r="C297" s="32">
        <v>1791</v>
      </c>
      <c r="D297" s="1">
        <v>30000</v>
      </c>
      <c r="E297" s="1"/>
      <c r="F297" s="1">
        <v>334.78</v>
      </c>
      <c r="G297" s="1">
        <v>30000</v>
      </c>
      <c r="H297" s="5">
        <f t="shared" si="4"/>
        <v>0</v>
      </c>
      <c r="I297" s="1"/>
      <c r="J297" s="1"/>
      <c r="K297" s="272"/>
      <c r="L297" s="272"/>
      <c r="M297" s="272"/>
    </row>
    <row r="298" spans="1:13" x14ac:dyDescent="0.2">
      <c r="A298" s="32">
        <v>292</v>
      </c>
      <c r="B298" s="1" t="s">
        <v>513</v>
      </c>
      <c r="C298" s="32">
        <v>5247</v>
      </c>
      <c r="D298" s="1">
        <v>15000</v>
      </c>
      <c r="E298" s="1"/>
      <c r="F298" s="1">
        <v>167.15</v>
      </c>
      <c r="G298" s="1">
        <v>15000</v>
      </c>
      <c r="H298" s="5">
        <f t="shared" si="4"/>
        <v>0</v>
      </c>
      <c r="I298" s="1"/>
      <c r="J298" s="1"/>
      <c r="K298" s="272"/>
      <c r="L298" s="272"/>
      <c r="M298" s="272"/>
    </row>
    <row r="299" spans="1:13" x14ac:dyDescent="0.2">
      <c r="A299" s="32">
        <v>293</v>
      </c>
      <c r="B299" s="1" t="s">
        <v>513</v>
      </c>
      <c r="C299" s="32">
        <v>3655</v>
      </c>
      <c r="D299" s="1">
        <v>17000</v>
      </c>
      <c r="E299" s="1"/>
      <c r="F299" s="1">
        <v>189.47</v>
      </c>
      <c r="G299" s="1">
        <v>17000</v>
      </c>
      <c r="H299" s="5">
        <f t="shared" si="4"/>
        <v>0</v>
      </c>
      <c r="I299" s="1"/>
      <c r="J299" s="1"/>
      <c r="K299" s="272"/>
      <c r="L299" s="272"/>
      <c r="M299" s="272"/>
    </row>
    <row r="300" spans="1:13" x14ac:dyDescent="0.2">
      <c r="A300" s="32">
        <v>294</v>
      </c>
      <c r="B300" s="1" t="s">
        <v>513</v>
      </c>
      <c r="C300" s="32">
        <v>9903</v>
      </c>
      <c r="D300" s="1">
        <v>20000</v>
      </c>
      <c r="E300" s="1"/>
      <c r="F300" s="1">
        <v>222.78</v>
      </c>
      <c r="G300" s="1">
        <v>20000</v>
      </c>
      <c r="H300" s="5">
        <f t="shared" si="4"/>
        <v>0</v>
      </c>
      <c r="I300" s="1"/>
      <c r="J300" s="1"/>
      <c r="K300" s="272"/>
      <c r="L300" s="272"/>
      <c r="M300" s="272"/>
    </row>
    <row r="301" spans="1:13" x14ac:dyDescent="0.2">
      <c r="A301" s="32">
        <v>295</v>
      </c>
      <c r="B301" s="1" t="s">
        <v>513</v>
      </c>
      <c r="C301" s="32">
        <v>8902</v>
      </c>
      <c r="D301" s="1">
        <v>25000</v>
      </c>
      <c r="E301" s="1"/>
      <c r="F301" s="1">
        <v>278.22000000000003</v>
      </c>
      <c r="G301" s="1">
        <v>25000</v>
      </c>
      <c r="H301" s="5">
        <f t="shared" si="4"/>
        <v>0</v>
      </c>
      <c r="I301" s="1"/>
      <c r="J301" s="1"/>
      <c r="K301" s="272"/>
      <c r="L301" s="272"/>
      <c r="M301" s="272"/>
    </row>
    <row r="302" spans="1:13" x14ac:dyDescent="0.2">
      <c r="A302" s="32">
        <v>296</v>
      </c>
      <c r="B302" s="1" t="s">
        <v>513</v>
      </c>
      <c r="C302" s="32">
        <v>7632</v>
      </c>
      <c r="D302" s="1">
        <v>35000</v>
      </c>
      <c r="E302" s="1"/>
      <c r="F302" s="1">
        <v>386.47</v>
      </c>
      <c r="G302" s="1">
        <v>35000</v>
      </c>
      <c r="H302" s="5">
        <f t="shared" si="4"/>
        <v>0</v>
      </c>
      <c r="I302" s="1"/>
      <c r="J302" s="1"/>
      <c r="K302" s="272"/>
      <c r="L302" s="272"/>
      <c r="M302" s="272"/>
    </row>
    <row r="303" spans="1:13" x14ac:dyDescent="0.2">
      <c r="A303" s="32">
        <v>297</v>
      </c>
      <c r="B303" s="1" t="s">
        <v>513</v>
      </c>
      <c r="C303" s="32">
        <v>9978</v>
      </c>
      <c r="D303" s="1">
        <v>15000</v>
      </c>
      <c r="E303" s="1"/>
      <c r="F303" s="1">
        <v>167.15</v>
      </c>
      <c r="G303" s="1">
        <v>15000</v>
      </c>
      <c r="H303" s="5">
        <f t="shared" si="4"/>
        <v>0</v>
      </c>
      <c r="I303" s="1"/>
      <c r="J303" s="1"/>
      <c r="K303" s="272"/>
      <c r="L303" s="272"/>
      <c r="M303" s="272"/>
    </row>
    <row r="304" spans="1:13" x14ac:dyDescent="0.2">
      <c r="A304" s="32">
        <v>298</v>
      </c>
      <c r="B304" s="1" t="s">
        <v>513</v>
      </c>
      <c r="C304" s="32">
        <v>8131</v>
      </c>
      <c r="D304" s="1">
        <v>23000</v>
      </c>
      <c r="E304" s="1"/>
      <c r="F304" s="1">
        <v>251.48</v>
      </c>
      <c r="G304" s="1">
        <v>23000</v>
      </c>
      <c r="H304" s="5">
        <f t="shared" si="4"/>
        <v>0</v>
      </c>
      <c r="I304" s="1"/>
      <c r="J304" s="1"/>
      <c r="K304" s="272"/>
      <c r="L304" s="272"/>
      <c r="M304" s="272"/>
    </row>
    <row r="305" spans="1:13" x14ac:dyDescent="0.2">
      <c r="A305" s="32">
        <v>299</v>
      </c>
      <c r="B305" s="1" t="s">
        <v>513</v>
      </c>
      <c r="C305" s="32">
        <v>3877</v>
      </c>
      <c r="D305" s="1">
        <v>19000</v>
      </c>
      <c r="E305" s="1"/>
      <c r="F305" s="1">
        <v>211.54</v>
      </c>
      <c r="G305" s="1">
        <v>19000</v>
      </c>
      <c r="H305" s="5">
        <f t="shared" si="4"/>
        <v>0</v>
      </c>
      <c r="I305" s="1"/>
      <c r="J305" s="1"/>
      <c r="K305" s="272"/>
      <c r="L305" s="272"/>
      <c r="M305" s="272"/>
    </row>
    <row r="306" spans="1:13" x14ac:dyDescent="0.2">
      <c r="A306" s="32">
        <v>300</v>
      </c>
      <c r="B306" s="1" t="s">
        <v>513</v>
      </c>
      <c r="C306" s="32">
        <v>1080</v>
      </c>
      <c r="D306" s="1">
        <v>20000</v>
      </c>
      <c r="E306" s="1"/>
      <c r="F306" s="1">
        <v>222.78</v>
      </c>
      <c r="G306" s="1">
        <v>20000</v>
      </c>
      <c r="H306" s="5">
        <f t="shared" si="4"/>
        <v>0</v>
      </c>
      <c r="I306" s="1"/>
      <c r="J306" s="1"/>
      <c r="K306" s="272"/>
      <c r="L306" s="272"/>
      <c r="M306" s="272"/>
    </row>
    <row r="307" spans="1:13" x14ac:dyDescent="0.2">
      <c r="A307" s="32">
        <v>301</v>
      </c>
      <c r="B307" s="1" t="s">
        <v>513</v>
      </c>
      <c r="C307" s="32">
        <v>3674</v>
      </c>
      <c r="D307" s="1">
        <v>22000</v>
      </c>
      <c r="E307" s="1"/>
      <c r="F307" s="1">
        <v>221.67</v>
      </c>
      <c r="G307" s="1">
        <v>22000</v>
      </c>
      <c r="H307" s="5">
        <f t="shared" si="4"/>
        <v>0</v>
      </c>
      <c r="I307" s="1"/>
      <c r="J307" s="1"/>
      <c r="K307" s="272"/>
      <c r="L307" s="272"/>
      <c r="M307" s="272"/>
    </row>
    <row r="308" spans="1:13" x14ac:dyDescent="0.2">
      <c r="A308" s="32">
        <v>302</v>
      </c>
      <c r="B308" s="1" t="s">
        <v>514</v>
      </c>
      <c r="C308" s="32">
        <v>7735</v>
      </c>
      <c r="D308" s="1">
        <v>29000</v>
      </c>
      <c r="E308" s="1"/>
      <c r="F308" s="1">
        <v>322.77999999999997</v>
      </c>
      <c r="G308" s="1">
        <v>29000</v>
      </c>
      <c r="H308" s="5">
        <f t="shared" si="4"/>
        <v>0</v>
      </c>
      <c r="I308" s="1"/>
      <c r="J308" s="1"/>
      <c r="K308" s="272"/>
      <c r="L308" s="272"/>
      <c r="M308" s="272"/>
    </row>
    <row r="309" spans="1:13" x14ac:dyDescent="0.2">
      <c r="A309" s="32">
        <v>303</v>
      </c>
      <c r="B309" s="1" t="s">
        <v>514</v>
      </c>
      <c r="C309" s="32">
        <v>8154</v>
      </c>
      <c r="D309" s="1">
        <v>26000</v>
      </c>
      <c r="E309" s="1"/>
      <c r="F309" s="1">
        <v>272.87</v>
      </c>
      <c r="G309" s="1">
        <v>26000</v>
      </c>
      <c r="H309" s="5">
        <f t="shared" si="4"/>
        <v>0</v>
      </c>
      <c r="I309" s="1"/>
      <c r="J309" s="1"/>
      <c r="K309" s="272"/>
      <c r="L309" s="272"/>
      <c r="M309" s="272"/>
    </row>
    <row r="310" spans="1:13" x14ac:dyDescent="0.2">
      <c r="A310" s="32">
        <v>304</v>
      </c>
      <c r="B310" s="1" t="s">
        <v>514</v>
      </c>
      <c r="C310" s="32">
        <v>1416</v>
      </c>
      <c r="D310" s="1">
        <v>10000</v>
      </c>
      <c r="E310" s="1"/>
      <c r="F310" s="1">
        <v>111.41</v>
      </c>
      <c r="G310" s="1">
        <v>10000</v>
      </c>
      <c r="H310" s="5">
        <f t="shared" si="4"/>
        <v>0</v>
      </c>
      <c r="I310" s="1"/>
      <c r="J310" s="1"/>
      <c r="K310" s="272"/>
      <c r="L310" s="272"/>
      <c r="M310" s="272"/>
    </row>
    <row r="311" spans="1:13" x14ac:dyDescent="0.2">
      <c r="A311" s="32">
        <v>305</v>
      </c>
      <c r="B311" s="1" t="s">
        <v>514</v>
      </c>
      <c r="C311" s="32">
        <v>9906</v>
      </c>
      <c r="D311" s="1">
        <v>20000</v>
      </c>
      <c r="E311" s="1"/>
      <c r="F311" s="1">
        <v>222.78</v>
      </c>
      <c r="G311" s="1">
        <v>20000</v>
      </c>
      <c r="H311" s="5">
        <f t="shared" si="4"/>
        <v>0</v>
      </c>
      <c r="I311" s="1"/>
      <c r="J311" s="1"/>
      <c r="K311" s="272"/>
      <c r="L311" s="272"/>
      <c r="M311" s="272"/>
    </row>
    <row r="312" spans="1:13" x14ac:dyDescent="0.2">
      <c r="A312" s="32">
        <v>306</v>
      </c>
      <c r="B312" s="1" t="s">
        <v>514</v>
      </c>
      <c r="C312" s="32">
        <v>9377</v>
      </c>
      <c r="D312" s="1">
        <v>12000</v>
      </c>
      <c r="E312" s="1"/>
      <c r="F312" s="1">
        <v>133.47</v>
      </c>
      <c r="G312" s="1">
        <v>12000</v>
      </c>
      <c r="H312" s="5">
        <f t="shared" si="4"/>
        <v>0</v>
      </c>
      <c r="I312" s="1"/>
      <c r="J312" s="1"/>
      <c r="K312" s="272"/>
      <c r="L312" s="272"/>
      <c r="M312" s="272"/>
    </row>
    <row r="313" spans="1:13" x14ac:dyDescent="0.2">
      <c r="A313" s="32">
        <v>307</v>
      </c>
      <c r="B313" s="1" t="s">
        <v>514</v>
      </c>
      <c r="C313" s="32">
        <v>6321</v>
      </c>
      <c r="D313" s="1">
        <v>30000</v>
      </c>
      <c r="E313" s="1"/>
      <c r="F313" s="1">
        <v>334.78</v>
      </c>
      <c r="G313" s="1">
        <v>30000</v>
      </c>
      <c r="H313" s="5">
        <f t="shared" si="4"/>
        <v>0</v>
      </c>
      <c r="I313" s="1"/>
      <c r="J313" s="1"/>
      <c r="K313" s="272"/>
      <c r="L313" s="272"/>
      <c r="M313" s="272"/>
    </row>
    <row r="314" spans="1:13" x14ac:dyDescent="0.2">
      <c r="A314" s="32">
        <v>308</v>
      </c>
      <c r="B314" s="1" t="s">
        <v>514</v>
      </c>
      <c r="C314" s="32">
        <v>6289</v>
      </c>
      <c r="D314" s="1">
        <v>30000</v>
      </c>
      <c r="E314" s="1"/>
      <c r="F314" s="1">
        <v>334.78</v>
      </c>
      <c r="G314" s="1">
        <v>30000</v>
      </c>
      <c r="H314" s="5">
        <f t="shared" si="4"/>
        <v>0</v>
      </c>
      <c r="I314" s="1"/>
      <c r="J314" s="1"/>
      <c r="K314" s="272"/>
      <c r="L314" s="272"/>
      <c r="M314" s="272"/>
    </row>
    <row r="315" spans="1:13" x14ac:dyDescent="0.2">
      <c r="A315" s="32">
        <v>309</v>
      </c>
      <c r="B315" s="1" t="s">
        <v>514</v>
      </c>
      <c r="C315" s="32">
        <v>5239</v>
      </c>
      <c r="D315" s="1">
        <v>20000</v>
      </c>
      <c r="E315" s="1"/>
      <c r="F315" s="1">
        <v>222.78</v>
      </c>
      <c r="G315" s="1">
        <v>20000</v>
      </c>
      <c r="H315" s="5">
        <f t="shared" si="4"/>
        <v>0</v>
      </c>
      <c r="I315" s="1"/>
      <c r="J315" s="1"/>
      <c r="K315" s="272"/>
      <c r="L315" s="272"/>
      <c r="M315" s="272"/>
    </row>
    <row r="316" spans="1:13" x14ac:dyDescent="0.2">
      <c r="A316" s="32">
        <v>310</v>
      </c>
      <c r="B316" s="1" t="s">
        <v>514</v>
      </c>
      <c r="C316" s="32">
        <v>9651</v>
      </c>
      <c r="D316" s="1">
        <v>20000</v>
      </c>
      <c r="E316" s="1"/>
      <c r="F316" s="1">
        <v>222.78</v>
      </c>
      <c r="G316" s="1">
        <v>20000</v>
      </c>
      <c r="H316" s="5">
        <f t="shared" si="4"/>
        <v>0</v>
      </c>
      <c r="I316" s="1"/>
      <c r="J316" s="1"/>
      <c r="K316" s="272"/>
      <c r="L316" s="272"/>
      <c r="M316" s="272"/>
    </row>
    <row r="317" spans="1:13" x14ac:dyDescent="0.2">
      <c r="A317" s="32">
        <v>311</v>
      </c>
      <c r="B317" s="1" t="s">
        <v>514</v>
      </c>
      <c r="C317" s="32">
        <v>3047</v>
      </c>
      <c r="D317" s="1">
        <v>19000</v>
      </c>
      <c r="E317" s="1"/>
      <c r="F317" s="1">
        <v>211.47</v>
      </c>
      <c r="G317" s="1">
        <v>19000</v>
      </c>
      <c r="H317" s="5">
        <f t="shared" si="4"/>
        <v>0</v>
      </c>
      <c r="I317" s="1"/>
      <c r="J317" s="1"/>
      <c r="K317" s="272"/>
      <c r="L317" s="272"/>
      <c r="M317" s="272"/>
    </row>
    <row r="318" spans="1:13" x14ac:dyDescent="0.2">
      <c r="A318" s="32">
        <v>312</v>
      </c>
      <c r="B318" s="1" t="s">
        <v>514</v>
      </c>
      <c r="C318" s="32">
        <v>5250</v>
      </c>
      <c r="D318" s="1">
        <v>17000</v>
      </c>
      <c r="E318" s="1"/>
      <c r="F318" s="1">
        <v>189.47</v>
      </c>
      <c r="G318" s="1">
        <v>17000</v>
      </c>
      <c r="H318" s="5">
        <f t="shared" si="4"/>
        <v>0</v>
      </c>
      <c r="I318" s="1"/>
      <c r="J318" s="1"/>
      <c r="K318" s="272"/>
      <c r="L318" s="272"/>
      <c r="M318" s="272"/>
    </row>
    <row r="319" spans="1:13" x14ac:dyDescent="0.2">
      <c r="A319" s="32">
        <v>313</v>
      </c>
      <c r="B319" s="1" t="s">
        <v>514</v>
      </c>
      <c r="C319" s="32">
        <v>5931</v>
      </c>
      <c r="D319" s="1">
        <v>16000</v>
      </c>
      <c r="E319" s="1"/>
      <c r="F319" s="1">
        <v>178.22</v>
      </c>
      <c r="G319" s="1">
        <v>16000</v>
      </c>
      <c r="H319" s="5">
        <f t="shared" si="4"/>
        <v>0</v>
      </c>
      <c r="I319" s="1"/>
      <c r="J319" s="1"/>
      <c r="K319" s="272"/>
      <c r="L319" s="272"/>
      <c r="M319" s="272"/>
    </row>
    <row r="320" spans="1:13" x14ac:dyDescent="0.2">
      <c r="A320" s="32">
        <v>314</v>
      </c>
      <c r="B320" s="1" t="s">
        <v>514</v>
      </c>
      <c r="C320" s="32">
        <v>9645</v>
      </c>
      <c r="D320" s="1">
        <v>15000</v>
      </c>
      <c r="E320" s="1"/>
      <c r="F320" s="1">
        <v>167.15</v>
      </c>
      <c r="G320" s="1">
        <v>15000</v>
      </c>
      <c r="H320" s="5">
        <f t="shared" si="4"/>
        <v>0</v>
      </c>
      <c r="I320" s="1"/>
      <c r="J320" s="1"/>
      <c r="K320" s="272"/>
      <c r="L320" s="272"/>
      <c r="M320" s="272"/>
    </row>
    <row r="321" spans="1:13" x14ac:dyDescent="0.2">
      <c r="A321" s="32">
        <v>315</v>
      </c>
      <c r="B321" s="1" t="s">
        <v>514</v>
      </c>
      <c r="C321" s="32">
        <v>6945</v>
      </c>
      <c r="D321" s="1">
        <v>15000</v>
      </c>
      <c r="E321" s="1"/>
      <c r="F321" s="1">
        <v>167.15</v>
      </c>
      <c r="G321" s="1">
        <v>15000</v>
      </c>
      <c r="H321" s="5">
        <f t="shared" si="4"/>
        <v>0</v>
      </c>
      <c r="I321" s="1"/>
      <c r="J321" s="1"/>
      <c r="K321" s="272"/>
      <c r="L321" s="272"/>
      <c r="M321" s="272"/>
    </row>
    <row r="322" spans="1:13" x14ac:dyDescent="0.2">
      <c r="A322" s="32">
        <v>316</v>
      </c>
      <c r="B322" s="1" t="s">
        <v>514</v>
      </c>
      <c r="C322" s="32">
        <v>7894</v>
      </c>
      <c r="D322" s="1">
        <v>15000</v>
      </c>
      <c r="E322" s="1"/>
      <c r="F322" s="1">
        <v>167.15</v>
      </c>
      <c r="G322" s="1">
        <v>15000</v>
      </c>
      <c r="H322" s="5">
        <f t="shared" si="4"/>
        <v>0</v>
      </c>
      <c r="I322" s="1"/>
      <c r="J322" s="1"/>
      <c r="K322" s="272"/>
      <c r="L322" s="272"/>
      <c r="M322" s="272"/>
    </row>
    <row r="323" spans="1:13" x14ac:dyDescent="0.2">
      <c r="A323" s="32">
        <v>317</v>
      </c>
      <c r="B323" s="1" t="s">
        <v>514</v>
      </c>
      <c r="C323" s="32">
        <v>8777</v>
      </c>
      <c r="D323" s="1">
        <v>30000</v>
      </c>
      <c r="E323" s="1"/>
      <c r="F323" s="1">
        <v>334.78</v>
      </c>
      <c r="G323" s="1">
        <v>30000</v>
      </c>
      <c r="H323" s="5">
        <f t="shared" si="4"/>
        <v>0</v>
      </c>
      <c r="I323" s="1"/>
      <c r="J323" s="1"/>
      <c r="K323" s="272"/>
      <c r="L323" s="272"/>
      <c r="M323" s="272"/>
    </row>
    <row r="324" spans="1:13" x14ac:dyDescent="0.2">
      <c r="A324" s="32">
        <v>318</v>
      </c>
      <c r="B324" s="1" t="s">
        <v>514</v>
      </c>
      <c r="C324" s="32">
        <v>4115</v>
      </c>
      <c r="D324" s="1">
        <v>27000</v>
      </c>
      <c r="E324" s="1"/>
      <c r="F324" s="1">
        <v>300.48</v>
      </c>
      <c r="G324" s="1">
        <v>27000</v>
      </c>
      <c r="H324" s="5">
        <f t="shared" si="4"/>
        <v>0</v>
      </c>
      <c r="I324" s="1"/>
      <c r="J324" s="1"/>
      <c r="K324" s="272"/>
      <c r="L324" s="272"/>
      <c r="M324" s="272"/>
    </row>
    <row r="325" spans="1:13" x14ac:dyDescent="0.2">
      <c r="A325" s="32">
        <v>319</v>
      </c>
      <c r="B325" s="1" t="s">
        <v>514</v>
      </c>
      <c r="C325" s="32">
        <v>4951</v>
      </c>
      <c r="D325" s="1">
        <v>15000</v>
      </c>
      <c r="E325" s="1"/>
      <c r="F325" s="1">
        <v>167.15</v>
      </c>
      <c r="G325" s="1">
        <v>15000</v>
      </c>
      <c r="H325" s="5">
        <f t="shared" si="4"/>
        <v>0</v>
      </c>
      <c r="I325" s="1"/>
      <c r="J325" s="1"/>
      <c r="K325" s="272"/>
      <c r="L325" s="272"/>
      <c r="M325" s="272"/>
    </row>
    <row r="326" spans="1:13" x14ac:dyDescent="0.2">
      <c r="A326" s="32">
        <v>320</v>
      </c>
      <c r="B326" s="1" t="s">
        <v>514</v>
      </c>
      <c r="C326" s="32">
        <v>9659</v>
      </c>
      <c r="D326" s="1">
        <v>33000</v>
      </c>
      <c r="E326" s="1"/>
      <c r="F326" s="1">
        <v>367.48</v>
      </c>
      <c r="G326" s="1">
        <v>33000</v>
      </c>
      <c r="H326" s="5">
        <f t="shared" si="4"/>
        <v>0</v>
      </c>
      <c r="I326" s="1"/>
      <c r="J326" s="1"/>
      <c r="K326" s="272"/>
      <c r="L326" s="272"/>
      <c r="M326" s="272"/>
    </row>
    <row r="327" spans="1:13" x14ac:dyDescent="0.2">
      <c r="A327" s="32">
        <v>321</v>
      </c>
      <c r="B327" s="1" t="s">
        <v>514</v>
      </c>
      <c r="C327" s="32">
        <v>7086</v>
      </c>
      <c r="D327" s="1">
        <v>30000</v>
      </c>
      <c r="E327" s="1"/>
      <c r="F327" s="1">
        <v>356.47</v>
      </c>
      <c r="G327" s="1">
        <v>30000</v>
      </c>
      <c r="H327" s="5">
        <f t="shared" ref="H327:H390" si="5">D327-G327</f>
        <v>0</v>
      </c>
      <c r="I327" s="1"/>
      <c r="J327" s="1"/>
      <c r="K327" s="272"/>
      <c r="L327" s="272"/>
      <c r="M327" s="272"/>
    </row>
    <row r="328" spans="1:13" x14ac:dyDescent="0.2">
      <c r="A328" s="32">
        <v>322</v>
      </c>
      <c r="B328" s="1" t="s">
        <v>514</v>
      </c>
      <c r="C328" s="32">
        <v>8956</v>
      </c>
      <c r="D328" s="1">
        <v>23239</v>
      </c>
      <c r="E328" s="1"/>
      <c r="F328" s="1">
        <v>258.47000000000003</v>
      </c>
      <c r="G328" s="1">
        <v>23239</v>
      </c>
      <c r="H328" s="5">
        <f t="shared" si="5"/>
        <v>0</v>
      </c>
      <c r="I328" s="1"/>
      <c r="J328" s="1"/>
      <c r="K328" s="272"/>
      <c r="L328" s="272"/>
      <c r="M328" s="272"/>
    </row>
    <row r="329" spans="1:13" x14ac:dyDescent="0.2">
      <c r="A329" s="32">
        <v>323</v>
      </c>
      <c r="B329" s="1" t="s">
        <v>514</v>
      </c>
      <c r="C329" s="32">
        <v>2165</v>
      </c>
      <c r="D329" s="1">
        <v>13000</v>
      </c>
      <c r="E329" s="1"/>
      <c r="F329" s="1">
        <v>144.16999999999999</v>
      </c>
      <c r="G329" s="1">
        <v>13000</v>
      </c>
      <c r="H329" s="5">
        <f t="shared" si="5"/>
        <v>0</v>
      </c>
      <c r="I329" s="1"/>
      <c r="J329" s="1"/>
      <c r="K329" s="272"/>
      <c r="L329" s="272"/>
      <c r="M329" s="272"/>
    </row>
    <row r="330" spans="1:13" x14ac:dyDescent="0.2">
      <c r="A330" s="32">
        <v>324</v>
      </c>
      <c r="B330" s="1" t="s">
        <v>515</v>
      </c>
      <c r="C330" s="32" t="s">
        <v>30</v>
      </c>
      <c r="D330" s="1">
        <v>5000</v>
      </c>
      <c r="E330" s="1"/>
      <c r="F330" s="1">
        <v>55.45</v>
      </c>
      <c r="G330" s="1">
        <v>5000</v>
      </c>
      <c r="H330" s="5">
        <f t="shared" si="5"/>
        <v>0</v>
      </c>
      <c r="I330" s="1"/>
      <c r="J330" s="1"/>
      <c r="K330" s="272"/>
      <c r="L330" s="272"/>
      <c r="M330" s="272"/>
    </row>
    <row r="331" spans="1:13" x14ac:dyDescent="0.2">
      <c r="A331" s="32">
        <v>325</v>
      </c>
      <c r="B331" s="1" t="s">
        <v>515</v>
      </c>
      <c r="C331" s="32" t="s">
        <v>30</v>
      </c>
      <c r="D331" s="1">
        <v>7000</v>
      </c>
      <c r="E331" s="1"/>
      <c r="F331" s="1">
        <v>77.45</v>
      </c>
      <c r="G331" s="1">
        <v>7000</v>
      </c>
      <c r="H331" s="5">
        <f t="shared" si="5"/>
        <v>0</v>
      </c>
      <c r="I331" s="1"/>
      <c r="J331" s="1"/>
      <c r="K331" s="272"/>
      <c r="L331" s="272"/>
      <c r="M331" s="272"/>
    </row>
    <row r="332" spans="1:13" x14ac:dyDescent="0.2">
      <c r="A332" s="32">
        <v>326</v>
      </c>
      <c r="B332" s="1" t="s">
        <v>515</v>
      </c>
      <c r="C332" s="32">
        <v>2807</v>
      </c>
      <c r="D332" s="1">
        <v>15000</v>
      </c>
      <c r="E332" s="1"/>
      <c r="F332" s="1">
        <v>167.15</v>
      </c>
      <c r="G332" s="1">
        <v>15000</v>
      </c>
      <c r="H332" s="5">
        <f t="shared" si="5"/>
        <v>0</v>
      </c>
      <c r="I332" s="1"/>
      <c r="J332" s="1"/>
      <c r="K332" s="272"/>
      <c r="L332" s="272"/>
      <c r="M332" s="272"/>
    </row>
    <row r="333" spans="1:13" x14ac:dyDescent="0.2">
      <c r="A333" s="32">
        <v>327</v>
      </c>
      <c r="B333" s="1" t="s">
        <v>515</v>
      </c>
      <c r="C333" s="32">
        <v>1771</v>
      </c>
      <c r="D333" s="1">
        <v>15000</v>
      </c>
      <c r="E333" s="1"/>
      <c r="F333" s="1">
        <v>167.15</v>
      </c>
      <c r="G333" s="1">
        <v>15000</v>
      </c>
      <c r="H333" s="5">
        <f t="shared" si="5"/>
        <v>0</v>
      </c>
      <c r="I333" s="1"/>
      <c r="J333" s="1"/>
      <c r="K333" s="272"/>
      <c r="L333" s="272"/>
      <c r="M333" s="272"/>
    </row>
    <row r="334" spans="1:13" x14ac:dyDescent="0.2">
      <c r="A334" s="32">
        <v>328</v>
      </c>
      <c r="B334" s="1" t="s">
        <v>515</v>
      </c>
      <c r="C334" s="32">
        <v>6659</v>
      </c>
      <c r="D334" s="1">
        <v>15000</v>
      </c>
      <c r="E334" s="1"/>
      <c r="F334" s="1">
        <v>167.15</v>
      </c>
      <c r="G334" s="1">
        <v>15000</v>
      </c>
      <c r="H334" s="5">
        <f t="shared" si="5"/>
        <v>0</v>
      </c>
      <c r="I334" s="1"/>
      <c r="J334" s="1"/>
      <c r="K334" s="272"/>
      <c r="L334" s="272"/>
      <c r="M334" s="272"/>
    </row>
    <row r="335" spans="1:13" x14ac:dyDescent="0.2">
      <c r="A335" s="32">
        <v>329</v>
      </c>
      <c r="B335" s="1" t="s">
        <v>515</v>
      </c>
      <c r="C335" s="32">
        <v>2809</v>
      </c>
      <c r="D335" s="1">
        <v>15000</v>
      </c>
      <c r="E335" s="1"/>
      <c r="F335" s="1">
        <v>167.15</v>
      </c>
      <c r="G335" s="1">
        <v>15000</v>
      </c>
      <c r="H335" s="5">
        <f t="shared" si="5"/>
        <v>0</v>
      </c>
      <c r="I335" s="1"/>
      <c r="J335" s="1"/>
      <c r="K335" s="272"/>
      <c r="L335" s="272"/>
      <c r="M335" s="272"/>
    </row>
    <row r="336" spans="1:13" x14ac:dyDescent="0.2">
      <c r="A336" s="32">
        <v>330</v>
      </c>
      <c r="B336" s="1" t="s">
        <v>515</v>
      </c>
      <c r="C336" s="32">
        <v>1075</v>
      </c>
      <c r="D336" s="1">
        <v>25000</v>
      </c>
      <c r="E336" s="1"/>
      <c r="F336" s="1">
        <v>278.22000000000003</v>
      </c>
      <c r="G336" s="1">
        <v>25000</v>
      </c>
      <c r="H336" s="5">
        <f t="shared" si="5"/>
        <v>0</v>
      </c>
      <c r="I336" s="1"/>
      <c r="J336" s="1"/>
      <c r="K336" s="272"/>
      <c r="L336" s="272"/>
      <c r="M336" s="272"/>
    </row>
    <row r="337" spans="1:13" x14ac:dyDescent="0.2">
      <c r="A337" s="32">
        <v>331</v>
      </c>
      <c r="B337" s="1" t="s">
        <v>515</v>
      </c>
      <c r="C337" s="32">
        <v>1212</v>
      </c>
      <c r="D337" s="1">
        <v>17000</v>
      </c>
      <c r="E337" s="1"/>
      <c r="F337" s="1">
        <v>189.47</v>
      </c>
      <c r="G337" s="1">
        <v>17000</v>
      </c>
      <c r="H337" s="5">
        <f t="shared" si="5"/>
        <v>0</v>
      </c>
      <c r="I337" s="1"/>
      <c r="J337" s="1"/>
      <c r="K337" s="272"/>
      <c r="L337" s="272"/>
      <c r="M337" s="272"/>
    </row>
    <row r="338" spans="1:13" x14ac:dyDescent="0.2">
      <c r="A338" s="32">
        <v>332</v>
      </c>
      <c r="B338" s="1" t="s">
        <v>515</v>
      </c>
      <c r="C338" s="32">
        <v>8386</v>
      </c>
      <c r="D338" s="1">
        <v>25000</v>
      </c>
      <c r="E338" s="1"/>
      <c r="F338" s="1">
        <v>278.22000000000003</v>
      </c>
      <c r="G338" s="1">
        <v>25000</v>
      </c>
      <c r="H338" s="5">
        <f t="shared" si="5"/>
        <v>0</v>
      </c>
      <c r="I338" s="1"/>
      <c r="J338" s="1"/>
      <c r="K338" s="272"/>
      <c r="L338" s="272"/>
      <c r="M338" s="272"/>
    </row>
    <row r="339" spans="1:13" x14ac:dyDescent="0.2">
      <c r="A339" s="32">
        <v>333</v>
      </c>
      <c r="B339" s="1" t="s">
        <v>515</v>
      </c>
      <c r="C339" s="32">
        <v>4441</v>
      </c>
      <c r="D339" s="1">
        <v>16000</v>
      </c>
      <c r="E339" s="1"/>
      <c r="F339" s="1">
        <v>178.42</v>
      </c>
      <c r="G339" s="1">
        <v>16000</v>
      </c>
      <c r="H339" s="5">
        <f t="shared" si="5"/>
        <v>0</v>
      </c>
      <c r="I339" s="1"/>
      <c r="J339" s="1"/>
      <c r="K339" s="272"/>
      <c r="L339" s="272"/>
      <c r="M339" s="272"/>
    </row>
    <row r="340" spans="1:13" x14ac:dyDescent="0.2">
      <c r="A340" s="32">
        <v>334</v>
      </c>
      <c r="B340" s="1" t="s">
        <v>515</v>
      </c>
      <c r="C340" s="32" t="s">
        <v>30</v>
      </c>
      <c r="D340" s="1">
        <v>4500</v>
      </c>
      <c r="E340" s="1"/>
      <c r="F340" s="1">
        <v>50.15</v>
      </c>
      <c r="G340" s="1">
        <v>4500</v>
      </c>
      <c r="H340" s="5">
        <f t="shared" si="5"/>
        <v>0</v>
      </c>
      <c r="I340" s="1"/>
      <c r="J340" s="1"/>
      <c r="K340" s="272"/>
      <c r="L340" s="272"/>
      <c r="M340" s="272"/>
    </row>
    <row r="341" spans="1:13" x14ac:dyDescent="0.2">
      <c r="A341" s="32">
        <v>335</v>
      </c>
      <c r="B341" s="1" t="s">
        <v>515</v>
      </c>
      <c r="C341" s="32">
        <v>8484</v>
      </c>
      <c r="D341" s="1">
        <v>25000</v>
      </c>
      <c r="E341" s="1"/>
      <c r="F341" s="1">
        <v>278.22000000000003</v>
      </c>
      <c r="G341" s="1">
        <v>25000</v>
      </c>
      <c r="H341" s="5">
        <f t="shared" si="5"/>
        <v>0</v>
      </c>
      <c r="I341" s="1"/>
      <c r="J341" s="1"/>
      <c r="K341" s="272"/>
      <c r="L341" s="272"/>
      <c r="M341" s="272"/>
    </row>
    <row r="342" spans="1:13" x14ac:dyDescent="0.2">
      <c r="A342" s="32">
        <v>336</v>
      </c>
      <c r="B342" s="1" t="s">
        <v>515</v>
      </c>
      <c r="C342" s="32">
        <v>7575</v>
      </c>
      <c r="D342" s="1">
        <v>17000</v>
      </c>
      <c r="E342" s="1"/>
      <c r="F342" s="1">
        <v>189.47</v>
      </c>
      <c r="G342" s="1">
        <v>17000</v>
      </c>
      <c r="H342" s="5">
        <f t="shared" si="5"/>
        <v>0</v>
      </c>
      <c r="I342" s="1"/>
      <c r="J342" s="1"/>
      <c r="K342" s="272"/>
      <c r="L342" s="272"/>
      <c r="M342" s="272"/>
    </row>
    <row r="343" spans="1:13" x14ac:dyDescent="0.2">
      <c r="A343" s="32">
        <v>337</v>
      </c>
      <c r="B343" s="1" t="s">
        <v>515</v>
      </c>
      <c r="C343" s="32">
        <v>6037</v>
      </c>
      <c r="D343" s="1">
        <v>23000</v>
      </c>
      <c r="E343" s="1"/>
      <c r="F343" s="1">
        <v>267.48</v>
      </c>
      <c r="G343" s="1">
        <v>23000</v>
      </c>
      <c r="H343" s="5">
        <f t="shared" si="5"/>
        <v>0</v>
      </c>
      <c r="I343" s="1"/>
      <c r="J343" s="1"/>
      <c r="K343" s="272"/>
      <c r="L343" s="272"/>
      <c r="M343" s="272"/>
    </row>
    <row r="344" spans="1:13" x14ac:dyDescent="0.2">
      <c r="A344" s="32">
        <v>338</v>
      </c>
      <c r="B344" s="1" t="s">
        <v>515</v>
      </c>
      <c r="C344" s="32">
        <v>3336</v>
      </c>
      <c r="D344" s="1">
        <v>20000</v>
      </c>
      <c r="E344" s="1"/>
      <c r="F344" s="1">
        <v>222.78</v>
      </c>
      <c r="G344" s="1">
        <v>20000</v>
      </c>
      <c r="H344" s="5">
        <f t="shared" si="5"/>
        <v>0</v>
      </c>
      <c r="I344" s="1"/>
      <c r="J344" s="1"/>
      <c r="K344" s="272"/>
      <c r="L344" s="272"/>
      <c r="M344" s="272"/>
    </row>
    <row r="345" spans="1:13" x14ac:dyDescent="0.2">
      <c r="A345" s="32">
        <v>339</v>
      </c>
      <c r="B345" s="1" t="s">
        <v>515</v>
      </c>
      <c r="C345" s="32">
        <v>4.1000000000000003E-3</v>
      </c>
      <c r="D345" s="1">
        <v>29095</v>
      </c>
      <c r="E345" s="1"/>
      <c r="F345" s="1">
        <v>324.57</v>
      </c>
      <c r="G345" s="1">
        <v>29095</v>
      </c>
      <c r="H345" s="5">
        <f t="shared" si="5"/>
        <v>0</v>
      </c>
      <c r="I345" s="1"/>
      <c r="J345" s="1"/>
      <c r="K345" s="272"/>
      <c r="L345" s="272"/>
      <c r="M345" s="272"/>
    </row>
    <row r="346" spans="1:13" x14ac:dyDescent="0.2">
      <c r="A346" s="32">
        <v>340</v>
      </c>
      <c r="B346" s="1" t="s">
        <v>515</v>
      </c>
      <c r="C346" s="32">
        <v>8986</v>
      </c>
      <c r="D346" s="1">
        <v>26000</v>
      </c>
      <c r="E346" s="1"/>
      <c r="F346" s="1">
        <v>289.77999999999997</v>
      </c>
      <c r="G346" s="1">
        <v>26000</v>
      </c>
      <c r="H346" s="5">
        <f t="shared" si="5"/>
        <v>0</v>
      </c>
      <c r="I346" s="1"/>
      <c r="J346" s="1"/>
      <c r="K346" s="272"/>
      <c r="L346" s="272"/>
      <c r="M346" s="272"/>
    </row>
    <row r="347" spans="1:13" x14ac:dyDescent="0.2">
      <c r="A347" s="32">
        <v>341</v>
      </c>
      <c r="B347" s="1" t="s">
        <v>515</v>
      </c>
      <c r="C347" s="32">
        <v>3876</v>
      </c>
      <c r="D347" s="1">
        <v>28000</v>
      </c>
      <c r="E347" s="1"/>
      <c r="F347" s="1">
        <v>311.48</v>
      </c>
      <c r="G347" s="1">
        <v>28000</v>
      </c>
      <c r="H347" s="5">
        <f t="shared" si="5"/>
        <v>0</v>
      </c>
      <c r="I347" s="1"/>
      <c r="J347" s="1"/>
      <c r="K347" s="272"/>
      <c r="L347" s="272"/>
      <c r="M347" s="272"/>
    </row>
    <row r="348" spans="1:13" x14ac:dyDescent="0.2">
      <c r="A348" s="32">
        <v>342</v>
      </c>
      <c r="B348" s="1" t="s">
        <v>515</v>
      </c>
      <c r="C348" s="32">
        <v>1911</v>
      </c>
      <c r="D348" s="1">
        <v>28000</v>
      </c>
      <c r="E348" s="1"/>
      <c r="F348" s="1">
        <v>311.48</v>
      </c>
      <c r="G348" s="1">
        <v>28000</v>
      </c>
      <c r="H348" s="5">
        <f t="shared" si="5"/>
        <v>0</v>
      </c>
      <c r="I348" s="1"/>
      <c r="J348" s="1"/>
      <c r="K348" s="272"/>
      <c r="L348" s="272"/>
      <c r="M348" s="272"/>
    </row>
    <row r="349" spans="1:13" x14ac:dyDescent="0.2">
      <c r="A349" s="32">
        <v>343</v>
      </c>
      <c r="B349" s="1" t="s">
        <v>515</v>
      </c>
      <c r="C349" s="32">
        <v>7146</v>
      </c>
      <c r="D349" s="1">
        <v>50000</v>
      </c>
      <c r="E349" s="1"/>
      <c r="F349" s="1">
        <v>557.48</v>
      </c>
      <c r="G349" s="1">
        <v>50000</v>
      </c>
      <c r="H349" s="5">
        <f t="shared" si="5"/>
        <v>0</v>
      </c>
      <c r="I349" s="1"/>
      <c r="J349" s="1"/>
      <c r="K349" s="272"/>
      <c r="L349" s="272"/>
      <c r="M349" s="272"/>
    </row>
    <row r="350" spans="1:13" x14ac:dyDescent="0.2">
      <c r="A350" s="32">
        <v>344</v>
      </c>
      <c r="B350" s="1" t="s">
        <v>515</v>
      </c>
      <c r="C350" s="32">
        <v>6867</v>
      </c>
      <c r="D350" s="1">
        <v>25000</v>
      </c>
      <c r="E350" s="1"/>
      <c r="F350" s="1">
        <v>278.22000000000003</v>
      </c>
      <c r="G350" s="1">
        <v>25000</v>
      </c>
      <c r="H350" s="5">
        <f t="shared" si="5"/>
        <v>0</v>
      </c>
      <c r="I350" s="1"/>
      <c r="J350" s="1"/>
      <c r="K350" s="272"/>
      <c r="L350" s="272"/>
      <c r="M350" s="272"/>
    </row>
    <row r="351" spans="1:13" x14ac:dyDescent="0.2">
      <c r="A351" s="32">
        <v>345</v>
      </c>
      <c r="B351" s="1" t="s">
        <v>515</v>
      </c>
      <c r="C351" s="32">
        <v>1224</v>
      </c>
      <c r="D351" s="1">
        <v>18000</v>
      </c>
      <c r="E351" s="1"/>
      <c r="F351" s="1">
        <v>194.58</v>
      </c>
      <c r="G351" s="1">
        <v>18000</v>
      </c>
      <c r="H351" s="5">
        <f t="shared" si="5"/>
        <v>0</v>
      </c>
      <c r="I351" s="1"/>
      <c r="J351" s="1"/>
      <c r="K351" s="272"/>
      <c r="L351" s="272"/>
      <c r="M351" s="272"/>
    </row>
    <row r="352" spans="1:13" x14ac:dyDescent="0.2">
      <c r="A352" s="32">
        <v>346</v>
      </c>
      <c r="B352" s="1" t="s">
        <v>515</v>
      </c>
      <c r="C352" s="32">
        <v>9825</v>
      </c>
      <c r="D352" s="1">
        <v>18000</v>
      </c>
      <c r="E352" s="1"/>
      <c r="F352" s="1">
        <v>194.58</v>
      </c>
      <c r="G352" s="1">
        <v>18000</v>
      </c>
      <c r="H352" s="5">
        <f t="shared" si="5"/>
        <v>0</v>
      </c>
      <c r="I352" s="1"/>
      <c r="J352" s="1"/>
      <c r="K352" s="272"/>
      <c r="L352" s="272"/>
      <c r="M352" s="272"/>
    </row>
    <row r="353" spans="1:13" x14ac:dyDescent="0.2">
      <c r="A353" s="32">
        <v>347</v>
      </c>
      <c r="B353" s="1" t="s">
        <v>515</v>
      </c>
      <c r="C353" s="32">
        <v>9824</v>
      </c>
      <c r="D353" s="1">
        <v>18000</v>
      </c>
      <c r="E353" s="1"/>
      <c r="F353" s="1">
        <v>194.58</v>
      </c>
      <c r="G353" s="1">
        <v>18000</v>
      </c>
      <c r="H353" s="5">
        <f t="shared" si="5"/>
        <v>0</v>
      </c>
      <c r="I353" s="1"/>
      <c r="J353" s="1"/>
      <c r="K353" s="272"/>
      <c r="L353" s="272"/>
      <c r="M353" s="272"/>
    </row>
    <row r="354" spans="1:13" x14ac:dyDescent="0.2">
      <c r="A354" s="32">
        <v>348</v>
      </c>
      <c r="B354" s="1" t="s">
        <v>515</v>
      </c>
      <c r="C354" s="32">
        <v>7615</v>
      </c>
      <c r="D354" s="1">
        <v>10000</v>
      </c>
      <c r="E354" s="1"/>
      <c r="F354" s="1">
        <v>111.47</v>
      </c>
      <c r="G354" s="1">
        <v>10000</v>
      </c>
      <c r="H354" s="5">
        <f t="shared" si="5"/>
        <v>0</v>
      </c>
      <c r="I354" s="1"/>
      <c r="J354" s="1"/>
      <c r="K354" s="272"/>
      <c r="L354" s="272"/>
      <c r="M354" s="272"/>
    </row>
    <row r="355" spans="1:13" x14ac:dyDescent="0.2">
      <c r="A355" s="32">
        <v>349</v>
      </c>
      <c r="B355" s="1" t="s">
        <v>515</v>
      </c>
      <c r="C355" s="32">
        <v>5748</v>
      </c>
      <c r="D355" s="1">
        <v>23000</v>
      </c>
      <c r="E355" s="1"/>
      <c r="F355" s="1">
        <v>256.48</v>
      </c>
      <c r="G355" s="1">
        <v>23000</v>
      </c>
      <c r="H355" s="5">
        <f t="shared" si="5"/>
        <v>0</v>
      </c>
      <c r="I355" s="1"/>
      <c r="J355" s="1"/>
      <c r="K355" s="272"/>
      <c r="L355" s="272"/>
      <c r="M355" s="272"/>
    </row>
    <row r="356" spans="1:13" x14ac:dyDescent="0.2">
      <c r="A356" s="32">
        <v>350</v>
      </c>
      <c r="B356" s="1" t="s">
        <v>515</v>
      </c>
      <c r="C356" s="32">
        <v>5572</v>
      </c>
      <c r="D356" s="1">
        <v>25000</v>
      </c>
      <c r="E356" s="1"/>
      <c r="F356" s="1">
        <v>278.22000000000003</v>
      </c>
      <c r="G356" s="1">
        <v>25000</v>
      </c>
      <c r="H356" s="5">
        <f t="shared" si="5"/>
        <v>0</v>
      </c>
      <c r="I356" s="1"/>
      <c r="J356" s="1"/>
      <c r="K356" s="272"/>
      <c r="L356" s="272"/>
      <c r="M356" s="272"/>
    </row>
    <row r="357" spans="1:13" x14ac:dyDescent="0.2">
      <c r="A357" s="32">
        <v>351</v>
      </c>
      <c r="B357" s="1" t="s">
        <v>515</v>
      </c>
      <c r="C357" s="32">
        <v>1223</v>
      </c>
      <c r="D357" s="1">
        <v>18000</v>
      </c>
      <c r="E357" s="1"/>
      <c r="F357" s="1">
        <v>194.58</v>
      </c>
      <c r="G357" s="1">
        <v>18000</v>
      </c>
      <c r="H357" s="5">
        <f t="shared" si="5"/>
        <v>0</v>
      </c>
      <c r="I357" s="1"/>
      <c r="J357" s="1"/>
      <c r="K357" s="272"/>
      <c r="L357" s="272"/>
      <c r="M357" s="272"/>
    </row>
    <row r="358" spans="1:13" x14ac:dyDescent="0.2">
      <c r="A358" s="32">
        <v>352</v>
      </c>
      <c r="B358" s="1" t="s">
        <v>515</v>
      </c>
      <c r="C358" s="32">
        <v>8.77E-2</v>
      </c>
      <c r="D358" s="1">
        <v>13000</v>
      </c>
      <c r="E358" s="1"/>
      <c r="F358" s="1">
        <v>144.13</v>
      </c>
      <c r="G358" s="1">
        <v>13000</v>
      </c>
      <c r="H358" s="5">
        <f t="shared" si="5"/>
        <v>0</v>
      </c>
      <c r="I358" s="1"/>
      <c r="J358" s="1"/>
      <c r="K358" s="272"/>
      <c r="L358" s="272"/>
      <c r="M358" s="272"/>
    </row>
    <row r="359" spans="1:13" x14ac:dyDescent="0.2">
      <c r="A359" s="32">
        <v>353</v>
      </c>
      <c r="B359" s="1" t="s">
        <v>515</v>
      </c>
      <c r="C359" s="32">
        <v>4926</v>
      </c>
      <c r="D359" s="1">
        <v>15000</v>
      </c>
      <c r="E359" s="1"/>
      <c r="F359" s="1">
        <v>167.15</v>
      </c>
      <c r="G359" s="1">
        <v>15000</v>
      </c>
      <c r="H359" s="5">
        <f t="shared" si="5"/>
        <v>0</v>
      </c>
      <c r="I359" s="1"/>
      <c r="J359" s="1"/>
      <c r="K359" s="272"/>
      <c r="L359" s="272"/>
      <c r="M359" s="272"/>
    </row>
    <row r="360" spans="1:13" x14ac:dyDescent="0.2">
      <c r="A360" s="32">
        <v>354</v>
      </c>
      <c r="B360" s="1" t="s">
        <v>515</v>
      </c>
      <c r="C360" s="32">
        <v>3363</v>
      </c>
      <c r="D360" s="1">
        <v>15000</v>
      </c>
      <c r="E360" s="1"/>
      <c r="F360" s="1">
        <v>167.15</v>
      </c>
      <c r="G360" s="1">
        <v>15000</v>
      </c>
      <c r="H360" s="5">
        <f t="shared" si="5"/>
        <v>0</v>
      </c>
      <c r="I360" s="1"/>
      <c r="J360" s="1"/>
      <c r="K360" s="272"/>
      <c r="L360" s="272"/>
      <c r="M360" s="272"/>
    </row>
    <row r="361" spans="1:13" x14ac:dyDescent="0.2">
      <c r="A361" s="32">
        <v>355</v>
      </c>
      <c r="B361" s="1" t="s">
        <v>515</v>
      </c>
      <c r="C361" s="32">
        <v>6.93E-2</v>
      </c>
      <c r="D361" s="1">
        <v>17000</v>
      </c>
      <c r="E361" s="1"/>
      <c r="F361" s="1">
        <v>189.47</v>
      </c>
      <c r="G361" s="1">
        <v>17000</v>
      </c>
      <c r="H361" s="5">
        <f t="shared" si="5"/>
        <v>0</v>
      </c>
      <c r="I361" s="1"/>
      <c r="J361" s="1"/>
      <c r="K361" s="272"/>
      <c r="L361" s="272"/>
      <c r="M361" s="272"/>
    </row>
    <row r="362" spans="1:13" x14ac:dyDescent="0.2">
      <c r="A362" s="32">
        <v>356</v>
      </c>
      <c r="B362" s="1" t="s">
        <v>515</v>
      </c>
      <c r="C362" s="32">
        <v>3263</v>
      </c>
      <c r="D362" s="1">
        <v>25000</v>
      </c>
      <c r="E362" s="1"/>
      <c r="F362" s="1">
        <v>278.22000000000003</v>
      </c>
      <c r="G362" s="1">
        <v>25000</v>
      </c>
      <c r="H362" s="5">
        <f t="shared" si="5"/>
        <v>0</v>
      </c>
      <c r="I362" s="1"/>
      <c r="J362" s="1"/>
      <c r="K362" s="272"/>
      <c r="L362" s="272"/>
      <c r="M362" s="272"/>
    </row>
    <row r="363" spans="1:13" x14ac:dyDescent="0.2">
      <c r="A363" s="32">
        <v>357</v>
      </c>
      <c r="B363" s="1" t="s">
        <v>515</v>
      </c>
      <c r="C363" s="32">
        <v>5668</v>
      </c>
      <c r="D363" s="1">
        <v>15000</v>
      </c>
      <c r="E363" s="1"/>
      <c r="F363" s="1">
        <v>167.15</v>
      </c>
      <c r="G363" s="1">
        <v>15000</v>
      </c>
      <c r="H363" s="5">
        <f t="shared" si="5"/>
        <v>0</v>
      </c>
      <c r="I363" s="1"/>
      <c r="J363" s="1"/>
      <c r="K363" s="272"/>
      <c r="L363" s="272"/>
      <c r="M363" s="272"/>
    </row>
    <row r="364" spans="1:13" x14ac:dyDescent="0.2">
      <c r="A364" s="32">
        <v>358</v>
      </c>
      <c r="B364" s="1" t="s">
        <v>515</v>
      </c>
      <c r="C364" s="32">
        <v>6035</v>
      </c>
      <c r="D364" s="1">
        <v>10000</v>
      </c>
      <c r="E364" s="1"/>
      <c r="F364" s="1">
        <v>111.47</v>
      </c>
      <c r="G364" s="1">
        <v>10000</v>
      </c>
      <c r="H364" s="5">
        <f t="shared" si="5"/>
        <v>0</v>
      </c>
      <c r="I364" s="1"/>
      <c r="J364" s="1"/>
      <c r="K364" s="272"/>
      <c r="L364" s="272"/>
      <c r="M364" s="272"/>
    </row>
    <row r="365" spans="1:13" x14ac:dyDescent="0.2">
      <c r="A365" s="32">
        <v>359</v>
      </c>
      <c r="B365" s="1" t="s">
        <v>515</v>
      </c>
      <c r="C365" s="32">
        <v>6152</v>
      </c>
      <c r="D365" s="1">
        <v>25000</v>
      </c>
      <c r="E365" s="1"/>
      <c r="F365" s="1">
        <v>278.22000000000003</v>
      </c>
      <c r="G365" s="1">
        <v>25000</v>
      </c>
      <c r="H365" s="5">
        <f t="shared" si="5"/>
        <v>0</v>
      </c>
      <c r="I365" s="1"/>
      <c r="J365" s="1"/>
      <c r="K365" s="272"/>
      <c r="L365" s="272"/>
      <c r="M365" s="272"/>
    </row>
    <row r="366" spans="1:13" x14ac:dyDescent="0.2">
      <c r="A366" s="32">
        <v>360</v>
      </c>
      <c r="B366" s="1" t="s">
        <v>515</v>
      </c>
      <c r="C366" s="32">
        <v>5385</v>
      </c>
      <c r="D366" s="1">
        <v>20000</v>
      </c>
      <c r="E366" s="1"/>
      <c r="F366" s="1">
        <v>222.78</v>
      </c>
      <c r="G366" s="1">
        <v>20000</v>
      </c>
      <c r="H366" s="5">
        <f t="shared" si="5"/>
        <v>0</v>
      </c>
      <c r="I366" s="1"/>
      <c r="J366" s="1"/>
      <c r="K366" s="272"/>
      <c r="L366" s="272"/>
      <c r="M366" s="272"/>
    </row>
    <row r="367" spans="1:13" x14ac:dyDescent="0.2">
      <c r="A367" s="32">
        <v>361</v>
      </c>
      <c r="B367" s="1" t="s">
        <v>515</v>
      </c>
      <c r="C367" s="32">
        <v>7991</v>
      </c>
      <c r="D367" s="1">
        <v>33000</v>
      </c>
      <c r="E367" s="1"/>
      <c r="F367" s="1">
        <v>334.78</v>
      </c>
      <c r="G367" s="1">
        <v>33000</v>
      </c>
      <c r="H367" s="5">
        <f t="shared" si="5"/>
        <v>0</v>
      </c>
      <c r="I367" s="1"/>
      <c r="J367" s="1"/>
      <c r="K367" s="272"/>
      <c r="L367" s="272"/>
      <c r="M367" s="272"/>
    </row>
    <row r="368" spans="1:13" x14ac:dyDescent="0.2">
      <c r="A368" s="32">
        <v>362</v>
      </c>
      <c r="B368" s="1" t="s">
        <v>515</v>
      </c>
      <c r="C368" s="32">
        <v>4199</v>
      </c>
      <c r="D368" s="1">
        <v>30000</v>
      </c>
      <c r="E368" s="1"/>
      <c r="F368" s="1">
        <v>334.78</v>
      </c>
      <c r="G368" s="1">
        <v>30000</v>
      </c>
      <c r="H368" s="5">
        <f t="shared" si="5"/>
        <v>0</v>
      </c>
      <c r="I368" s="1"/>
      <c r="J368" s="1"/>
      <c r="K368" s="272"/>
      <c r="L368" s="272"/>
      <c r="M368" s="272"/>
    </row>
    <row r="369" spans="1:13" x14ac:dyDescent="0.2">
      <c r="A369" s="32">
        <v>363</v>
      </c>
      <c r="B369" s="1" t="s">
        <v>515</v>
      </c>
      <c r="C369" s="32">
        <v>8.6400000000000005E-2</v>
      </c>
      <c r="D369" s="1">
        <v>20000</v>
      </c>
      <c r="E369" s="1"/>
      <c r="F369" s="1">
        <v>222.78</v>
      </c>
      <c r="G369" s="1">
        <v>20000</v>
      </c>
      <c r="H369" s="5">
        <f t="shared" si="5"/>
        <v>0</v>
      </c>
      <c r="I369" s="1"/>
      <c r="J369" s="1"/>
      <c r="K369" s="272"/>
      <c r="L369" s="272"/>
      <c r="M369" s="272"/>
    </row>
    <row r="370" spans="1:13" x14ac:dyDescent="0.2">
      <c r="A370" s="32">
        <v>364</v>
      </c>
      <c r="B370" s="1" t="s">
        <v>515</v>
      </c>
      <c r="C370" s="32">
        <v>3286</v>
      </c>
      <c r="D370" s="1">
        <v>30000</v>
      </c>
      <c r="E370" s="1"/>
      <c r="F370" s="1">
        <v>334.78</v>
      </c>
      <c r="G370" s="1">
        <v>30000</v>
      </c>
      <c r="H370" s="5">
        <f t="shared" si="5"/>
        <v>0</v>
      </c>
      <c r="I370" s="1"/>
      <c r="J370" s="1"/>
      <c r="K370" s="272"/>
      <c r="L370" s="272"/>
      <c r="M370" s="272"/>
    </row>
    <row r="371" spans="1:13" x14ac:dyDescent="0.2">
      <c r="A371" s="32">
        <v>365</v>
      </c>
      <c r="B371" s="1" t="s">
        <v>515</v>
      </c>
      <c r="C371" s="32">
        <v>5953</v>
      </c>
      <c r="D371" s="1">
        <v>10000</v>
      </c>
      <c r="E371" s="1"/>
      <c r="F371" s="1">
        <v>111.47</v>
      </c>
      <c r="G371" s="1">
        <v>10000</v>
      </c>
      <c r="H371" s="5">
        <f t="shared" si="5"/>
        <v>0</v>
      </c>
      <c r="I371" s="1"/>
      <c r="J371" s="1"/>
      <c r="K371" s="272"/>
      <c r="L371" s="272"/>
      <c r="M371" s="272"/>
    </row>
    <row r="372" spans="1:13" x14ac:dyDescent="0.2">
      <c r="A372" s="32">
        <v>366</v>
      </c>
      <c r="B372" s="1" t="s">
        <v>515</v>
      </c>
      <c r="C372" s="32">
        <v>3992</v>
      </c>
      <c r="D372" s="1">
        <v>22000</v>
      </c>
      <c r="E372" s="1"/>
      <c r="F372" s="1">
        <v>245.78</v>
      </c>
      <c r="G372" s="1">
        <v>22000</v>
      </c>
      <c r="H372" s="5">
        <f t="shared" si="5"/>
        <v>0</v>
      </c>
      <c r="I372" s="1"/>
      <c r="J372" s="1"/>
      <c r="K372" s="272"/>
      <c r="L372" s="272"/>
      <c r="M372" s="272"/>
    </row>
    <row r="373" spans="1:13" x14ac:dyDescent="0.2">
      <c r="A373" s="32">
        <v>367</v>
      </c>
      <c r="B373" s="1" t="s">
        <v>516</v>
      </c>
      <c r="C373" s="32">
        <v>2316</v>
      </c>
      <c r="D373" s="1">
        <v>26000</v>
      </c>
      <c r="E373" s="1"/>
      <c r="F373" s="1">
        <v>295.77999999999997</v>
      </c>
      <c r="G373" s="1">
        <v>26000</v>
      </c>
      <c r="H373" s="5">
        <f t="shared" si="5"/>
        <v>0</v>
      </c>
      <c r="I373" s="1"/>
      <c r="J373" s="1"/>
      <c r="K373" s="272"/>
      <c r="L373" s="272"/>
      <c r="M373" s="272"/>
    </row>
    <row r="374" spans="1:13" x14ac:dyDescent="0.2">
      <c r="A374" s="32">
        <v>368</v>
      </c>
      <c r="B374" s="1" t="s">
        <v>516</v>
      </c>
      <c r="C374" s="32">
        <v>2810</v>
      </c>
      <c r="D374" s="1">
        <v>15000</v>
      </c>
      <c r="E374" s="1"/>
      <c r="F374" s="1">
        <v>167.15</v>
      </c>
      <c r="G374" s="1">
        <v>15000</v>
      </c>
      <c r="H374" s="5">
        <f t="shared" si="5"/>
        <v>0</v>
      </c>
      <c r="I374" s="1"/>
      <c r="J374" s="1"/>
      <c r="K374" s="272"/>
      <c r="L374" s="272"/>
      <c r="M374" s="272"/>
    </row>
    <row r="375" spans="1:13" x14ac:dyDescent="0.2">
      <c r="A375" s="32">
        <v>369</v>
      </c>
      <c r="B375" s="1" t="s">
        <v>516</v>
      </c>
      <c r="C375" s="32" t="s">
        <v>30</v>
      </c>
      <c r="D375" s="1">
        <v>4000</v>
      </c>
      <c r="E375" s="1"/>
      <c r="F375" s="1">
        <v>44.48</v>
      </c>
      <c r="G375" s="1">
        <v>4000</v>
      </c>
      <c r="H375" s="5">
        <f t="shared" si="5"/>
        <v>0</v>
      </c>
      <c r="I375" s="1"/>
      <c r="J375" s="1"/>
      <c r="K375" s="272"/>
      <c r="L375" s="272"/>
      <c r="M375" s="272"/>
    </row>
    <row r="376" spans="1:13" x14ac:dyDescent="0.2">
      <c r="A376" s="32">
        <v>370</v>
      </c>
      <c r="B376" s="1" t="s">
        <v>516</v>
      </c>
      <c r="C376" s="32">
        <v>9327</v>
      </c>
      <c r="D376" s="1">
        <v>15000</v>
      </c>
      <c r="E376" s="1"/>
      <c r="F376" s="1">
        <v>167.15</v>
      </c>
      <c r="G376" s="1">
        <v>15000</v>
      </c>
      <c r="H376" s="5">
        <f t="shared" si="5"/>
        <v>0</v>
      </c>
      <c r="I376" s="1"/>
      <c r="J376" s="1"/>
      <c r="K376" s="272"/>
      <c r="L376" s="272"/>
      <c r="M376" s="272"/>
    </row>
    <row r="377" spans="1:13" x14ac:dyDescent="0.2">
      <c r="A377" s="32">
        <v>371</v>
      </c>
      <c r="B377" s="1" t="s">
        <v>516</v>
      </c>
      <c r="C377" s="32">
        <v>5681</v>
      </c>
      <c r="D377" s="1">
        <v>16000</v>
      </c>
      <c r="E377" s="1"/>
      <c r="F377" s="1">
        <v>178.22</v>
      </c>
      <c r="G377" s="1">
        <v>16000</v>
      </c>
      <c r="H377" s="5">
        <f t="shared" si="5"/>
        <v>0</v>
      </c>
      <c r="I377" s="1"/>
      <c r="J377" s="1"/>
      <c r="K377" s="272"/>
      <c r="L377" s="272"/>
      <c r="M377" s="272"/>
    </row>
    <row r="378" spans="1:13" x14ac:dyDescent="0.2">
      <c r="A378" s="32">
        <v>372</v>
      </c>
      <c r="B378" s="1" t="s">
        <v>516</v>
      </c>
      <c r="C378" s="32">
        <v>4451</v>
      </c>
      <c r="D378" s="1">
        <v>16000</v>
      </c>
      <c r="E378" s="1"/>
      <c r="F378" s="1">
        <v>178.22</v>
      </c>
      <c r="G378" s="1">
        <v>16000</v>
      </c>
      <c r="H378" s="5">
        <f t="shared" si="5"/>
        <v>0</v>
      </c>
      <c r="I378" s="1"/>
      <c r="J378" s="1"/>
      <c r="K378" s="272"/>
      <c r="L378" s="272"/>
      <c r="M378" s="272"/>
    </row>
    <row r="379" spans="1:13" x14ac:dyDescent="0.2">
      <c r="A379" s="32">
        <v>373</v>
      </c>
      <c r="B379" s="1" t="s">
        <v>516</v>
      </c>
      <c r="C379" s="32">
        <v>6931</v>
      </c>
      <c r="D379" s="1">
        <v>16000</v>
      </c>
      <c r="E379" s="1"/>
      <c r="F379" s="1">
        <v>178.22</v>
      </c>
      <c r="G379" s="1">
        <v>16000</v>
      </c>
      <c r="H379" s="5">
        <f t="shared" si="5"/>
        <v>0</v>
      </c>
      <c r="I379" s="1"/>
      <c r="J379" s="1"/>
      <c r="K379" s="272"/>
      <c r="L379" s="272"/>
      <c r="M379" s="272"/>
    </row>
    <row r="380" spans="1:13" x14ac:dyDescent="0.2">
      <c r="A380" s="32">
        <v>374</v>
      </c>
      <c r="B380" s="1" t="s">
        <v>516</v>
      </c>
      <c r="C380" s="32">
        <v>5931</v>
      </c>
      <c r="D380" s="1">
        <v>16000</v>
      </c>
      <c r="E380" s="1"/>
      <c r="F380" s="1">
        <v>178.22</v>
      </c>
      <c r="G380" s="1">
        <v>16000</v>
      </c>
      <c r="H380" s="5">
        <f t="shared" si="5"/>
        <v>0</v>
      </c>
      <c r="I380" s="1"/>
      <c r="J380" s="1"/>
      <c r="K380" s="272"/>
      <c r="L380" s="272"/>
      <c r="M380" s="272"/>
    </row>
    <row r="381" spans="1:13" x14ac:dyDescent="0.2">
      <c r="A381" s="32">
        <v>375</v>
      </c>
      <c r="B381" s="1" t="s">
        <v>516</v>
      </c>
      <c r="C381" s="32">
        <v>1416</v>
      </c>
      <c r="D381" s="1">
        <v>10000</v>
      </c>
      <c r="E381" s="1"/>
      <c r="F381" s="1">
        <v>111.47</v>
      </c>
      <c r="G381" s="1">
        <v>10000</v>
      </c>
      <c r="H381" s="5">
        <f t="shared" si="5"/>
        <v>0</v>
      </c>
      <c r="I381" s="1"/>
      <c r="J381" s="1"/>
      <c r="K381" s="272"/>
      <c r="L381" s="272"/>
      <c r="M381" s="272"/>
    </row>
    <row r="382" spans="1:13" x14ac:dyDescent="0.2">
      <c r="A382" s="32">
        <v>376</v>
      </c>
      <c r="B382" s="1" t="s">
        <v>516</v>
      </c>
      <c r="C382" s="32">
        <v>4137</v>
      </c>
      <c r="D382" s="1">
        <v>22000</v>
      </c>
      <c r="E382" s="1"/>
      <c r="F382" s="1">
        <v>245.48</v>
      </c>
      <c r="G382" s="1">
        <v>22000</v>
      </c>
      <c r="H382" s="5">
        <f t="shared" si="5"/>
        <v>0</v>
      </c>
      <c r="I382" s="1"/>
      <c r="J382" s="1"/>
      <c r="K382" s="272"/>
      <c r="L382" s="272"/>
      <c r="M382" s="272"/>
    </row>
    <row r="383" spans="1:13" x14ac:dyDescent="0.2">
      <c r="A383" s="32">
        <v>377</v>
      </c>
      <c r="B383" s="1" t="s">
        <v>516</v>
      </c>
      <c r="C383" s="32">
        <v>2112</v>
      </c>
      <c r="D383" s="1">
        <v>20000</v>
      </c>
      <c r="E383" s="1"/>
      <c r="F383" s="1">
        <v>222.78</v>
      </c>
      <c r="G383" s="1">
        <v>20000</v>
      </c>
      <c r="H383" s="5">
        <f t="shared" si="5"/>
        <v>0</v>
      </c>
      <c r="I383" s="1"/>
      <c r="J383" s="1"/>
      <c r="K383" s="272"/>
      <c r="L383" s="272"/>
      <c r="M383" s="272"/>
    </row>
    <row r="384" spans="1:13" x14ac:dyDescent="0.2">
      <c r="A384" s="32">
        <v>378</v>
      </c>
      <c r="B384" s="1" t="s">
        <v>516</v>
      </c>
      <c r="C384" s="32">
        <v>5931</v>
      </c>
      <c r="D384" s="1">
        <v>17000</v>
      </c>
      <c r="E384" s="1"/>
      <c r="F384" s="1">
        <v>189.47</v>
      </c>
      <c r="G384" s="1">
        <v>17000</v>
      </c>
      <c r="H384" s="5">
        <f t="shared" si="5"/>
        <v>0</v>
      </c>
      <c r="I384" s="1"/>
      <c r="J384" s="1"/>
      <c r="K384" s="272"/>
      <c r="L384" s="272"/>
      <c r="M384" s="272"/>
    </row>
    <row r="385" spans="1:13" x14ac:dyDescent="0.2">
      <c r="A385" s="32">
        <v>379</v>
      </c>
      <c r="B385" s="1" t="s">
        <v>516</v>
      </c>
      <c r="C385" s="32">
        <v>9645</v>
      </c>
      <c r="D385" s="1">
        <v>15000</v>
      </c>
      <c r="E385" s="1"/>
      <c r="F385" s="1">
        <v>167.15</v>
      </c>
      <c r="G385" s="1">
        <v>15000</v>
      </c>
      <c r="H385" s="5">
        <f t="shared" si="5"/>
        <v>0</v>
      </c>
      <c r="I385" s="1"/>
      <c r="J385" s="1"/>
      <c r="K385" s="272"/>
      <c r="L385" s="272"/>
      <c r="M385" s="272"/>
    </row>
    <row r="386" spans="1:13" x14ac:dyDescent="0.2">
      <c r="A386" s="32">
        <v>380</v>
      </c>
      <c r="B386" s="1" t="s">
        <v>516</v>
      </c>
      <c r="C386" s="32" t="s">
        <v>66</v>
      </c>
      <c r="D386" s="1">
        <v>210</v>
      </c>
      <c r="E386" s="1"/>
      <c r="F386" s="1">
        <v>2.0499999999999998</v>
      </c>
      <c r="G386" s="1">
        <v>210</v>
      </c>
      <c r="H386" s="5">
        <f t="shared" si="5"/>
        <v>0</v>
      </c>
      <c r="I386" s="1"/>
      <c r="J386" s="1"/>
      <c r="K386" s="272"/>
      <c r="L386" s="272"/>
      <c r="M386" s="272"/>
    </row>
    <row r="387" spans="1:13" x14ac:dyDescent="0.2">
      <c r="A387" s="32">
        <v>381</v>
      </c>
      <c r="B387" s="1" t="s">
        <v>516</v>
      </c>
      <c r="C387" s="32">
        <v>3348</v>
      </c>
      <c r="D387" s="1">
        <v>23000</v>
      </c>
      <c r="E387" s="1"/>
      <c r="F387" s="1">
        <v>222.57</v>
      </c>
      <c r="G387" s="1">
        <v>23000</v>
      </c>
      <c r="H387" s="5">
        <f t="shared" si="5"/>
        <v>0</v>
      </c>
      <c r="I387" s="1"/>
      <c r="J387" s="1"/>
      <c r="K387" s="272"/>
      <c r="L387" s="272"/>
      <c r="M387" s="272"/>
    </row>
    <row r="388" spans="1:13" x14ac:dyDescent="0.2">
      <c r="A388" s="32">
        <v>382</v>
      </c>
      <c r="B388" s="1" t="s">
        <v>516</v>
      </c>
      <c r="C388" s="32">
        <v>2076</v>
      </c>
      <c r="D388" s="1">
        <v>18000</v>
      </c>
      <c r="E388" s="1"/>
      <c r="F388" s="1">
        <v>200.87</v>
      </c>
      <c r="G388" s="1">
        <v>18000</v>
      </c>
      <c r="H388" s="5">
        <f t="shared" si="5"/>
        <v>0</v>
      </c>
      <c r="I388" s="1"/>
      <c r="J388" s="1"/>
      <c r="K388" s="272"/>
      <c r="L388" s="272"/>
      <c r="M388" s="272"/>
    </row>
    <row r="389" spans="1:13" x14ac:dyDescent="0.2">
      <c r="A389" s="32">
        <v>383</v>
      </c>
      <c r="B389" s="1" t="s">
        <v>516</v>
      </c>
      <c r="C389" s="32">
        <v>1143</v>
      </c>
      <c r="D389" s="1">
        <v>22000</v>
      </c>
      <c r="E389" s="1"/>
      <c r="F389" s="1">
        <v>243.5</v>
      </c>
      <c r="G389" s="1">
        <v>22000</v>
      </c>
      <c r="H389" s="5">
        <f t="shared" si="5"/>
        <v>0</v>
      </c>
      <c r="I389" s="1"/>
      <c r="J389" s="1"/>
      <c r="K389" s="272"/>
      <c r="L389" s="272"/>
      <c r="M389" s="272"/>
    </row>
    <row r="390" spans="1:13" x14ac:dyDescent="0.2">
      <c r="A390" s="32">
        <v>384</v>
      </c>
      <c r="B390" s="1" t="s">
        <v>516</v>
      </c>
      <c r="C390" s="32">
        <v>4273</v>
      </c>
      <c r="D390" s="1">
        <v>15000</v>
      </c>
      <c r="E390" s="1"/>
      <c r="F390" s="1">
        <v>167.15</v>
      </c>
      <c r="G390" s="1">
        <v>15000</v>
      </c>
      <c r="H390" s="5">
        <f t="shared" si="5"/>
        <v>0</v>
      </c>
      <c r="I390" s="1"/>
      <c r="J390" s="1"/>
      <c r="K390" s="272"/>
      <c r="L390" s="272"/>
      <c r="M390" s="272"/>
    </row>
    <row r="391" spans="1:13" x14ac:dyDescent="0.2">
      <c r="A391" s="32">
        <v>385</v>
      </c>
      <c r="B391" s="1" t="s">
        <v>516</v>
      </c>
      <c r="C391" s="32">
        <v>5981</v>
      </c>
      <c r="D391" s="1">
        <v>25000</v>
      </c>
      <c r="E391" s="1"/>
      <c r="F391" s="1">
        <v>323.58</v>
      </c>
      <c r="G391" s="1">
        <v>25000</v>
      </c>
      <c r="H391" s="5">
        <f t="shared" ref="H391:H454" si="6">D391-G391</f>
        <v>0</v>
      </c>
      <c r="I391" s="1"/>
      <c r="J391" s="1"/>
      <c r="K391" s="272"/>
      <c r="L391" s="272"/>
      <c r="M391" s="272"/>
    </row>
    <row r="392" spans="1:13" x14ac:dyDescent="0.2">
      <c r="A392" s="32">
        <v>386</v>
      </c>
      <c r="B392" s="1" t="s">
        <v>516</v>
      </c>
      <c r="C392" s="32">
        <v>3438</v>
      </c>
      <c r="D392" s="1">
        <v>25000</v>
      </c>
      <c r="E392" s="1"/>
      <c r="F392" s="1">
        <v>323.58</v>
      </c>
      <c r="G392" s="1">
        <v>25000</v>
      </c>
      <c r="H392" s="5">
        <f t="shared" si="6"/>
        <v>0</v>
      </c>
      <c r="I392" s="1"/>
      <c r="J392" s="1"/>
      <c r="K392" s="272"/>
      <c r="L392" s="272"/>
      <c r="M392" s="272"/>
    </row>
    <row r="393" spans="1:13" x14ac:dyDescent="0.2">
      <c r="A393" s="32">
        <v>387</v>
      </c>
      <c r="B393" s="1" t="s">
        <v>516</v>
      </c>
      <c r="C393" s="32">
        <v>3391</v>
      </c>
      <c r="D393" s="1">
        <v>30000</v>
      </c>
      <c r="E393" s="1"/>
      <c r="F393" s="1">
        <v>334.78</v>
      </c>
      <c r="G393" s="1">
        <v>30000</v>
      </c>
      <c r="H393" s="5">
        <f t="shared" si="6"/>
        <v>0</v>
      </c>
      <c r="I393" s="1"/>
      <c r="J393" s="1"/>
      <c r="K393" s="272"/>
      <c r="L393" s="272"/>
      <c r="M393" s="272"/>
    </row>
    <row r="394" spans="1:13" x14ac:dyDescent="0.2">
      <c r="A394" s="32">
        <v>388</v>
      </c>
      <c r="B394" s="1" t="s">
        <v>516</v>
      </c>
      <c r="C394" s="32">
        <v>5.3800000000000001E-2</v>
      </c>
      <c r="D394" s="1">
        <v>32000</v>
      </c>
      <c r="E394" s="1"/>
      <c r="F394" s="1">
        <v>356.74</v>
      </c>
      <c r="G394" s="1">
        <v>32000</v>
      </c>
      <c r="H394" s="5">
        <f t="shared" si="6"/>
        <v>0</v>
      </c>
      <c r="I394" s="1"/>
      <c r="J394" s="1"/>
      <c r="K394" s="272"/>
      <c r="L394" s="272"/>
      <c r="M394" s="272"/>
    </row>
    <row r="395" spans="1:13" x14ac:dyDescent="0.2">
      <c r="A395" s="32">
        <v>389</v>
      </c>
      <c r="B395" s="1" t="s">
        <v>516</v>
      </c>
      <c r="C395" s="32">
        <v>9989</v>
      </c>
      <c r="D395" s="1">
        <v>25000</v>
      </c>
      <c r="E395" s="1"/>
      <c r="F395" s="1">
        <v>323.58</v>
      </c>
      <c r="G395" s="1">
        <v>25000</v>
      </c>
      <c r="H395" s="5">
        <f t="shared" si="6"/>
        <v>0</v>
      </c>
      <c r="I395" s="1"/>
      <c r="J395" s="1"/>
      <c r="K395" s="272"/>
      <c r="L395" s="272"/>
      <c r="M395" s="272"/>
    </row>
    <row r="396" spans="1:13" x14ac:dyDescent="0.2">
      <c r="A396" s="32">
        <v>390</v>
      </c>
      <c r="B396" s="1" t="s">
        <v>516</v>
      </c>
      <c r="C396" s="32">
        <v>8555</v>
      </c>
      <c r="D396" s="1">
        <v>25000</v>
      </c>
      <c r="E396" s="1"/>
      <c r="F396" s="1">
        <v>323.58</v>
      </c>
      <c r="G396" s="1">
        <v>25000</v>
      </c>
      <c r="H396" s="5">
        <f t="shared" si="6"/>
        <v>0</v>
      </c>
      <c r="I396" s="1"/>
      <c r="J396" s="1"/>
      <c r="K396" s="272"/>
      <c r="L396" s="272"/>
      <c r="M396" s="272"/>
    </row>
    <row r="397" spans="1:13" x14ac:dyDescent="0.2">
      <c r="A397" s="32">
        <v>391</v>
      </c>
      <c r="B397" s="1" t="s">
        <v>516</v>
      </c>
      <c r="C397" s="32">
        <v>9378</v>
      </c>
      <c r="D397" s="1">
        <v>21000</v>
      </c>
      <c r="E397" s="1"/>
      <c r="F397" s="1">
        <v>226.47</v>
      </c>
      <c r="G397" s="1">
        <v>21000</v>
      </c>
      <c r="H397" s="5">
        <f t="shared" si="6"/>
        <v>0</v>
      </c>
      <c r="I397" s="1"/>
      <c r="J397" s="1"/>
      <c r="K397" s="272"/>
      <c r="L397" s="272"/>
      <c r="M397" s="272"/>
    </row>
    <row r="398" spans="1:13" x14ac:dyDescent="0.2">
      <c r="A398" s="32">
        <v>392</v>
      </c>
      <c r="B398" s="1" t="s">
        <v>516</v>
      </c>
      <c r="C398" s="32">
        <v>4829</v>
      </c>
      <c r="D398" s="1">
        <v>10000</v>
      </c>
      <c r="E398" s="1"/>
      <c r="F398" s="1">
        <v>111.47</v>
      </c>
      <c r="G398" s="1">
        <v>10000</v>
      </c>
      <c r="H398" s="5">
        <f t="shared" si="6"/>
        <v>0</v>
      </c>
      <c r="I398" s="1"/>
      <c r="J398" s="1"/>
      <c r="K398" s="272"/>
      <c r="L398" s="272"/>
      <c r="M398" s="272"/>
    </row>
    <row r="399" spans="1:13" x14ac:dyDescent="0.2">
      <c r="A399" s="32">
        <v>393</v>
      </c>
      <c r="B399" s="1" t="s">
        <v>516</v>
      </c>
      <c r="C399" s="32">
        <v>2353</v>
      </c>
      <c r="D399" s="1">
        <v>25000</v>
      </c>
      <c r="E399" s="1"/>
      <c r="F399" s="1">
        <v>323.58</v>
      </c>
      <c r="G399" s="1">
        <v>25000</v>
      </c>
      <c r="H399" s="5">
        <f t="shared" si="6"/>
        <v>0</v>
      </c>
      <c r="I399" s="1"/>
      <c r="J399" s="1"/>
      <c r="K399" s="272"/>
      <c r="L399" s="272"/>
      <c r="M399" s="272"/>
    </row>
    <row r="400" spans="1:13" s="279" customFormat="1" x14ac:dyDescent="0.2">
      <c r="A400" s="32"/>
      <c r="B400" s="1" t="s">
        <v>518</v>
      </c>
      <c r="C400" s="32">
        <v>6573</v>
      </c>
      <c r="D400" s="1">
        <v>13000</v>
      </c>
      <c r="E400" s="1"/>
      <c r="F400" s="1">
        <v>144.78</v>
      </c>
      <c r="G400" s="1">
        <v>13000</v>
      </c>
      <c r="H400" s="5">
        <f t="shared" si="6"/>
        <v>0</v>
      </c>
      <c r="I400" s="1"/>
      <c r="J400" s="1"/>
    </row>
    <row r="401" spans="1:10" s="279" customFormat="1" x14ac:dyDescent="0.2">
      <c r="A401" s="32"/>
      <c r="B401" s="1" t="s">
        <v>518</v>
      </c>
      <c r="C401" s="32">
        <v>6659</v>
      </c>
      <c r="D401" s="1">
        <v>15000</v>
      </c>
      <c r="E401" s="1"/>
      <c r="F401" s="1">
        <v>167.15</v>
      </c>
      <c r="G401" s="1">
        <v>15000</v>
      </c>
      <c r="H401" s="5">
        <f t="shared" si="6"/>
        <v>0</v>
      </c>
      <c r="I401" s="1"/>
      <c r="J401" s="1"/>
    </row>
    <row r="402" spans="1:10" s="279" customFormat="1" x14ac:dyDescent="0.2">
      <c r="A402" s="32"/>
      <c r="B402" s="1" t="s">
        <v>518</v>
      </c>
      <c r="C402" s="32">
        <v>8192</v>
      </c>
      <c r="D402" s="1">
        <v>28000</v>
      </c>
      <c r="E402" s="1"/>
      <c r="F402" s="1">
        <v>311.54000000000002</v>
      </c>
      <c r="G402" s="1">
        <v>28000</v>
      </c>
      <c r="H402" s="5">
        <f t="shared" si="6"/>
        <v>0</v>
      </c>
      <c r="I402" s="1"/>
      <c r="J402" s="1"/>
    </row>
    <row r="403" spans="1:10" s="279" customFormat="1" x14ac:dyDescent="0.2">
      <c r="A403" s="32"/>
      <c r="B403" s="1" t="s">
        <v>518</v>
      </c>
      <c r="C403" s="32">
        <v>7808</v>
      </c>
      <c r="D403" s="1">
        <v>16000</v>
      </c>
      <c r="E403" s="1"/>
      <c r="F403" s="1">
        <v>178.22</v>
      </c>
      <c r="G403" s="1">
        <v>16000</v>
      </c>
      <c r="H403" s="5">
        <f t="shared" si="6"/>
        <v>0</v>
      </c>
      <c r="I403" s="1"/>
      <c r="J403" s="1"/>
    </row>
    <row r="404" spans="1:10" s="279" customFormat="1" x14ac:dyDescent="0.2">
      <c r="A404" s="32"/>
      <c r="B404" s="1" t="s">
        <v>518</v>
      </c>
      <c r="C404" s="32">
        <v>8666</v>
      </c>
      <c r="D404" s="1">
        <v>15500</v>
      </c>
      <c r="E404" s="1"/>
      <c r="F404" s="1">
        <v>173.87</v>
      </c>
      <c r="G404" s="1">
        <v>15500</v>
      </c>
      <c r="H404" s="5">
        <f t="shared" si="6"/>
        <v>0</v>
      </c>
      <c r="I404" s="1"/>
      <c r="J404" s="1"/>
    </row>
    <row r="405" spans="1:10" s="279" customFormat="1" x14ac:dyDescent="0.2">
      <c r="A405" s="32"/>
      <c r="B405" s="1" t="s">
        <v>518</v>
      </c>
      <c r="C405" s="32">
        <v>5152</v>
      </c>
      <c r="D405" s="1">
        <v>16200</v>
      </c>
      <c r="E405" s="1"/>
      <c r="F405" s="1">
        <v>180.47</v>
      </c>
      <c r="G405" s="1">
        <v>16200</v>
      </c>
      <c r="H405" s="5">
        <f t="shared" si="6"/>
        <v>0</v>
      </c>
      <c r="I405" s="1"/>
      <c r="J405" s="1"/>
    </row>
    <row r="406" spans="1:10" s="279" customFormat="1" x14ac:dyDescent="0.2">
      <c r="A406" s="32"/>
      <c r="B406" s="1" t="s">
        <v>518</v>
      </c>
      <c r="C406" s="32" t="s">
        <v>30</v>
      </c>
      <c r="D406" s="1">
        <v>5000</v>
      </c>
      <c r="E406" s="1"/>
      <c r="F406" s="1">
        <v>55.47</v>
      </c>
      <c r="G406" s="1">
        <v>5000</v>
      </c>
      <c r="H406" s="5">
        <f t="shared" si="6"/>
        <v>0</v>
      </c>
      <c r="I406" s="1"/>
      <c r="J406" s="1"/>
    </row>
    <row r="407" spans="1:10" s="279" customFormat="1" x14ac:dyDescent="0.2">
      <c r="A407" s="32"/>
      <c r="B407" s="1" t="s">
        <v>518</v>
      </c>
      <c r="C407" s="32">
        <v>9025</v>
      </c>
      <c r="D407" s="1">
        <v>27000</v>
      </c>
      <c r="E407" s="1"/>
      <c r="F407" s="1">
        <v>297.75</v>
      </c>
      <c r="G407" s="1">
        <v>27000</v>
      </c>
      <c r="H407" s="5">
        <f t="shared" si="6"/>
        <v>0</v>
      </c>
      <c r="I407" s="1"/>
      <c r="J407" s="1"/>
    </row>
    <row r="408" spans="1:10" s="279" customFormat="1" x14ac:dyDescent="0.2">
      <c r="A408" s="32"/>
      <c r="B408" s="1" t="s">
        <v>518</v>
      </c>
      <c r="C408" s="32">
        <v>2809</v>
      </c>
      <c r="D408" s="1">
        <v>15000</v>
      </c>
      <c r="E408" s="1"/>
      <c r="F408" s="1">
        <v>167.15</v>
      </c>
      <c r="G408" s="1">
        <v>15000</v>
      </c>
      <c r="H408" s="5">
        <f t="shared" si="6"/>
        <v>0</v>
      </c>
      <c r="I408" s="1"/>
      <c r="J408" s="1"/>
    </row>
    <row r="409" spans="1:10" s="279" customFormat="1" x14ac:dyDescent="0.2">
      <c r="A409" s="32"/>
      <c r="B409" s="1" t="s">
        <v>518</v>
      </c>
      <c r="C409" s="32">
        <v>9906</v>
      </c>
      <c r="D409" s="1">
        <v>13000</v>
      </c>
      <c r="E409" s="1"/>
      <c r="F409" s="1">
        <v>144.78</v>
      </c>
      <c r="G409" s="1">
        <v>13000</v>
      </c>
      <c r="H409" s="5">
        <f t="shared" si="6"/>
        <v>0</v>
      </c>
      <c r="I409" s="1"/>
      <c r="J409" s="1"/>
    </row>
    <row r="410" spans="1:10" s="279" customFormat="1" x14ac:dyDescent="0.2">
      <c r="A410" s="32"/>
      <c r="B410" s="1" t="s">
        <v>518</v>
      </c>
      <c r="C410" s="32">
        <v>6432</v>
      </c>
      <c r="D410" s="1">
        <v>15000</v>
      </c>
      <c r="E410" s="1"/>
      <c r="F410" s="1">
        <v>167.15</v>
      </c>
      <c r="G410" s="1">
        <v>15000</v>
      </c>
      <c r="H410" s="5">
        <f t="shared" si="6"/>
        <v>0</v>
      </c>
      <c r="I410" s="1"/>
      <c r="J410" s="1"/>
    </row>
    <row r="411" spans="1:10" s="279" customFormat="1" x14ac:dyDescent="0.2">
      <c r="A411" s="32"/>
      <c r="B411" s="1" t="s">
        <v>518</v>
      </c>
      <c r="C411" s="32">
        <v>2459</v>
      </c>
      <c r="D411" s="1">
        <v>15000</v>
      </c>
      <c r="E411" s="1"/>
      <c r="F411" s="1">
        <v>167.15</v>
      </c>
      <c r="G411" s="1">
        <v>15000</v>
      </c>
      <c r="H411" s="5">
        <f t="shared" si="6"/>
        <v>0</v>
      </c>
      <c r="I411" s="1"/>
      <c r="J411" s="1"/>
    </row>
    <row r="412" spans="1:10" s="279" customFormat="1" x14ac:dyDescent="0.2">
      <c r="A412" s="32"/>
      <c r="B412" s="1" t="s">
        <v>518</v>
      </c>
      <c r="C412" s="32">
        <v>5240</v>
      </c>
      <c r="D412" s="1">
        <v>20000</v>
      </c>
      <c r="E412" s="1"/>
      <c r="F412" s="1">
        <v>222.78</v>
      </c>
      <c r="G412" s="1">
        <v>20000</v>
      </c>
      <c r="H412" s="5">
        <f t="shared" si="6"/>
        <v>0</v>
      </c>
      <c r="I412" s="1"/>
      <c r="J412" s="1"/>
    </row>
    <row r="413" spans="1:10" s="279" customFormat="1" x14ac:dyDescent="0.2">
      <c r="A413" s="32"/>
      <c r="B413" s="1" t="s">
        <v>518</v>
      </c>
      <c r="C413" s="32" t="s">
        <v>30</v>
      </c>
      <c r="D413" s="1">
        <v>4500</v>
      </c>
      <c r="E413" s="1"/>
      <c r="F413" s="1">
        <v>50.48</v>
      </c>
      <c r="G413" s="1">
        <v>4500</v>
      </c>
      <c r="H413" s="5">
        <f t="shared" si="6"/>
        <v>0</v>
      </c>
      <c r="I413" s="1"/>
      <c r="J413" s="1"/>
    </row>
    <row r="414" spans="1:10" s="279" customFormat="1" x14ac:dyDescent="0.2">
      <c r="A414" s="32"/>
      <c r="B414" s="1" t="s">
        <v>518</v>
      </c>
      <c r="C414" s="32" t="s">
        <v>66</v>
      </c>
      <c r="D414" s="1">
        <v>210</v>
      </c>
      <c r="E414" s="1"/>
      <c r="F414" s="1">
        <v>2.0699999999999998</v>
      </c>
      <c r="G414" s="1">
        <v>210</v>
      </c>
      <c r="H414" s="5">
        <f t="shared" si="6"/>
        <v>0</v>
      </c>
      <c r="I414" s="1"/>
      <c r="J414" s="1"/>
    </row>
    <row r="415" spans="1:10" s="279" customFormat="1" x14ac:dyDescent="0.2">
      <c r="A415" s="32"/>
      <c r="B415" s="1" t="s">
        <v>518</v>
      </c>
      <c r="C415" s="32">
        <v>8382</v>
      </c>
      <c r="D415" s="1">
        <v>21108</v>
      </c>
      <c r="E415" s="1"/>
      <c r="F415" s="1">
        <v>235.78</v>
      </c>
      <c r="G415" s="1">
        <v>21108</v>
      </c>
      <c r="H415" s="5">
        <f t="shared" si="6"/>
        <v>0</v>
      </c>
      <c r="I415" s="1"/>
      <c r="J415" s="1"/>
    </row>
    <row r="416" spans="1:10" s="279" customFormat="1" x14ac:dyDescent="0.2">
      <c r="A416" s="32"/>
      <c r="B416" s="1" t="s">
        <v>518</v>
      </c>
      <c r="C416" s="32">
        <v>3.8399999999999997E-2</v>
      </c>
      <c r="D416" s="1">
        <v>18000</v>
      </c>
      <c r="E416" s="1"/>
      <c r="F416" s="1">
        <v>200.87</v>
      </c>
      <c r="G416" s="1">
        <v>18000</v>
      </c>
      <c r="H416" s="5">
        <f t="shared" si="6"/>
        <v>0</v>
      </c>
      <c r="I416" s="1"/>
      <c r="J416" s="1"/>
    </row>
    <row r="417" spans="1:10" s="279" customFormat="1" x14ac:dyDescent="0.2">
      <c r="A417" s="32"/>
      <c r="B417" s="1" t="s">
        <v>518</v>
      </c>
      <c r="C417" s="32">
        <v>7151</v>
      </c>
      <c r="D417" s="1">
        <v>15000</v>
      </c>
      <c r="E417" s="1"/>
      <c r="F417" s="1">
        <v>167.15</v>
      </c>
      <c r="G417" s="1">
        <v>15000</v>
      </c>
      <c r="H417" s="5">
        <f t="shared" si="6"/>
        <v>0</v>
      </c>
      <c r="I417" s="1"/>
      <c r="J417" s="1"/>
    </row>
    <row r="418" spans="1:10" s="279" customFormat="1" x14ac:dyDescent="0.2">
      <c r="A418" s="32"/>
      <c r="B418" s="1" t="s">
        <v>518</v>
      </c>
      <c r="C418" s="32">
        <v>5744</v>
      </c>
      <c r="D418" s="1">
        <v>25000</v>
      </c>
      <c r="E418" s="1"/>
      <c r="F418" s="1">
        <v>278.22000000000003</v>
      </c>
      <c r="G418" s="1">
        <v>25000</v>
      </c>
      <c r="H418" s="5">
        <f t="shared" si="6"/>
        <v>0</v>
      </c>
      <c r="I418" s="1"/>
      <c r="J418" s="1"/>
    </row>
    <row r="419" spans="1:10" s="279" customFormat="1" x14ac:dyDescent="0.2">
      <c r="A419" s="32"/>
      <c r="B419" s="1" t="s">
        <v>518</v>
      </c>
      <c r="C419" s="32">
        <v>2420</v>
      </c>
      <c r="D419" s="1">
        <v>23000</v>
      </c>
      <c r="E419" s="1"/>
      <c r="F419" s="1">
        <v>259.47000000000003</v>
      </c>
      <c r="G419" s="1">
        <v>23000</v>
      </c>
      <c r="H419" s="5">
        <f t="shared" si="6"/>
        <v>0</v>
      </c>
      <c r="I419" s="1"/>
      <c r="J419" s="1"/>
    </row>
    <row r="420" spans="1:10" s="279" customFormat="1" x14ac:dyDescent="0.2">
      <c r="A420" s="32"/>
      <c r="B420" s="1" t="s">
        <v>518</v>
      </c>
      <c r="C420" s="32">
        <v>1936</v>
      </c>
      <c r="D420" s="1">
        <v>25000</v>
      </c>
      <c r="E420" s="1"/>
      <c r="F420" s="1">
        <v>278.22000000000003</v>
      </c>
      <c r="G420" s="1">
        <v>25000</v>
      </c>
      <c r="H420" s="5">
        <f t="shared" si="6"/>
        <v>0</v>
      </c>
      <c r="I420" s="1"/>
      <c r="J420" s="1"/>
    </row>
    <row r="421" spans="1:10" s="279" customFormat="1" x14ac:dyDescent="0.2">
      <c r="A421" s="32"/>
      <c r="B421" s="1" t="s">
        <v>518</v>
      </c>
      <c r="C421" s="32">
        <v>1020</v>
      </c>
      <c r="D421" s="1">
        <v>25000</v>
      </c>
      <c r="E421" s="1"/>
      <c r="F421" s="1">
        <v>278.22000000000003</v>
      </c>
      <c r="G421" s="1">
        <v>25000</v>
      </c>
      <c r="H421" s="5">
        <f t="shared" si="6"/>
        <v>0</v>
      </c>
      <c r="I421" s="1"/>
      <c r="J421" s="1"/>
    </row>
    <row r="422" spans="1:10" s="279" customFormat="1" x14ac:dyDescent="0.2">
      <c r="A422" s="32"/>
      <c r="B422" s="1" t="s">
        <v>518</v>
      </c>
      <c r="C422" s="32">
        <v>4683</v>
      </c>
      <c r="D422" s="1">
        <v>25000</v>
      </c>
      <c r="E422" s="1"/>
      <c r="F422" s="1">
        <v>278.22000000000003</v>
      </c>
      <c r="G422" s="1">
        <v>25000</v>
      </c>
      <c r="H422" s="5">
        <f t="shared" si="6"/>
        <v>0</v>
      </c>
      <c r="I422" s="1"/>
      <c r="J422" s="1"/>
    </row>
    <row r="423" spans="1:10" s="279" customFormat="1" x14ac:dyDescent="0.2">
      <c r="A423" s="32"/>
      <c r="B423" s="1" t="s">
        <v>518</v>
      </c>
      <c r="C423" s="32">
        <v>1598</v>
      </c>
      <c r="D423" s="1">
        <v>22000</v>
      </c>
      <c r="E423" s="1"/>
      <c r="F423" s="1">
        <v>237.87</v>
      </c>
      <c r="G423" s="1">
        <v>22000</v>
      </c>
      <c r="H423" s="5">
        <f t="shared" si="6"/>
        <v>0</v>
      </c>
      <c r="I423" s="1"/>
      <c r="J423" s="1"/>
    </row>
    <row r="424" spans="1:10" s="279" customFormat="1" x14ac:dyDescent="0.2">
      <c r="A424" s="32"/>
      <c r="B424" s="1" t="s">
        <v>518</v>
      </c>
      <c r="C424" s="32">
        <v>6461</v>
      </c>
      <c r="D424" s="1">
        <v>30000</v>
      </c>
      <c r="E424" s="1"/>
      <c r="F424" s="1">
        <v>329.78</v>
      </c>
      <c r="G424" s="1">
        <v>30000</v>
      </c>
      <c r="H424" s="5">
        <f t="shared" si="6"/>
        <v>0</v>
      </c>
      <c r="I424" s="1"/>
      <c r="J424" s="1"/>
    </row>
    <row r="425" spans="1:10" s="279" customFormat="1" x14ac:dyDescent="0.2">
      <c r="A425" s="32"/>
      <c r="B425" s="1" t="s">
        <v>518</v>
      </c>
      <c r="C425" s="32">
        <v>8.8700000000000001E-2</v>
      </c>
      <c r="D425" s="1">
        <v>10000</v>
      </c>
      <c r="E425" s="1"/>
      <c r="F425" s="1">
        <v>111.47</v>
      </c>
      <c r="G425" s="1">
        <v>10000</v>
      </c>
      <c r="H425" s="5">
        <f t="shared" si="6"/>
        <v>0</v>
      </c>
      <c r="I425" s="1"/>
      <c r="J425" s="1"/>
    </row>
    <row r="426" spans="1:10" s="279" customFormat="1" x14ac:dyDescent="0.2">
      <c r="A426" s="32"/>
      <c r="B426" s="1" t="s">
        <v>518</v>
      </c>
      <c r="C426" s="32">
        <v>4279</v>
      </c>
      <c r="D426" s="1">
        <v>20000</v>
      </c>
      <c r="E426" s="1"/>
      <c r="F426" s="1">
        <v>222.78</v>
      </c>
      <c r="G426" s="1">
        <v>20000</v>
      </c>
      <c r="H426" s="5">
        <f t="shared" si="6"/>
        <v>0</v>
      </c>
      <c r="I426" s="1"/>
      <c r="J426" s="1"/>
    </row>
    <row r="427" spans="1:10" s="279" customFormat="1" x14ac:dyDescent="0.2">
      <c r="A427" s="32"/>
      <c r="B427" s="1" t="s">
        <v>521</v>
      </c>
      <c r="C427" s="32">
        <v>5498</v>
      </c>
      <c r="D427" s="1">
        <v>21000</v>
      </c>
      <c r="E427" s="1"/>
      <c r="F427" s="1">
        <v>233.47</v>
      </c>
      <c r="G427" s="1">
        <v>21000</v>
      </c>
      <c r="H427" s="5">
        <f t="shared" si="6"/>
        <v>0</v>
      </c>
      <c r="I427" s="1"/>
      <c r="J427" s="1"/>
    </row>
    <row r="428" spans="1:10" s="279" customFormat="1" x14ac:dyDescent="0.2">
      <c r="A428" s="32"/>
      <c r="B428" s="1" t="s">
        <v>521</v>
      </c>
      <c r="C428" s="32">
        <v>5077</v>
      </c>
      <c r="D428" s="1">
        <v>10000</v>
      </c>
      <c r="E428" s="1"/>
      <c r="F428" s="1">
        <v>111.47</v>
      </c>
      <c r="G428" s="1">
        <v>10000</v>
      </c>
      <c r="H428" s="5">
        <f t="shared" si="6"/>
        <v>0</v>
      </c>
      <c r="I428" s="1"/>
      <c r="J428" s="1"/>
    </row>
    <row r="429" spans="1:10" s="279" customFormat="1" x14ac:dyDescent="0.2">
      <c r="A429" s="32"/>
      <c r="B429" s="1" t="s">
        <v>521</v>
      </c>
      <c r="C429" s="32">
        <v>5931</v>
      </c>
      <c r="D429" s="1">
        <v>16000</v>
      </c>
      <c r="E429" s="1"/>
      <c r="F429" s="1">
        <v>178.22</v>
      </c>
      <c r="G429" s="1">
        <v>16000</v>
      </c>
      <c r="H429" s="5">
        <f t="shared" si="6"/>
        <v>0</v>
      </c>
      <c r="I429" s="1"/>
      <c r="J429" s="1"/>
    </row>
    <row r="430" spans="1:10" s="279" customFormat="1" x14ac:dyDescent="0.2">
      <c r="A430" s="32"/>
      <c r="B430" s="1" t="s">
        <v>521</v>
      </c>
      <c r="C430" s="32">
        <v>9645</v>
      </c>
      <c r="D430" s="1">
        <v>16000</v>
      </c>
      <c r="E430" s="1"/>
      <c r="F430" s="1">
        <v>178.22</v>
      </c>
      <c r="G430" s="1">
        <v>16000</v>
      </c>
      <c r="H430" s="5">
        <f t="shared" si="6"/>
        <v>0</v>
      </c>
      <c r="I430" s="1"/>
      <c r="J430" s="1"/>
    </row>
    <row r="431" spans="1:10" s="279" customFormat="1" x14ac:dyDescent="0.2">
      <c r="A431" s="32"/>
      <c r="B431" s="1" t="s">
        <v>521</v>
      </c>
      <c r="C431" s="32">
        <v>1722</v>
      </c>
      <c r="D431" s="1">
        <v>15000</v>
      </c>
      <c r="E431" s="1"/>
      <c r="F431" s="1">
        <v>167.45</v>
      </c>
      <c r="G431" s="1">
        <v>15000</v>
      </c>
      <c r="H431" s="5">
        <f t="shared" si="6"/>
        <v>0</v>
      </c>
      <c r="I431" s="1"/>
      <c r="J431" s="1"/>
    </row>
    <row r="432" spans="1:10" s="279" customFormat="1" x14ac:dyDescent="0.2">
      <c r="A432" s="32"/>
      <c r="B432" s="1" t="s">
        <v>521</v>
      </c>
      <c r="C432" s="32">
        <v>4945</v>
      </c>
      <c r="D432" s="1">
        <v>18000</v>
      </c>
      <c r="E432" s="1"/>
      <c r="F432" s="1">
        <v>200.48</v>
      </c>
      <c r="G432" s="1">
        <v>18000</v>
      </c>
      <c r="H432" s="5">
        <f t="shared" si="6"/>
        <v>0</v>
      </c>
      <c r="I432" s="1"/>
      <c r="J432" s="1"/>
    </row>
    <row r="433" spans="1:10" s="279" customFormat="1" x14ac:dyDescent="0.2">
      <c r="A433" s="32"/>
      <c r="B433" s="1" t="s">
        <v>521</v>
      </c>
      <c r="C433" s="32">
        <v>4441</v>
      </c>
      <c r="D433" s="1">
        <v>16000</v>
      </c>
      <c r="E433" s="1"/>
      <c r="F433" s="1">
        <v>178.22</v>
      </c>
      <c r="G433" s="1">
        <v>16000</v>
      </c>
      <c r="H433" s="5">
        <f t="shared" si="6"/>
        <v>0</v>
      </c>
      <c r="I433" s="1"/>
      <c r="J433" s="1"/>
    </row>
    <row r="434" spans="1:10" s="279" customFormat="1" x14ac:dyDescent="0.2">
      <c r="A434" s="32"/>
      <c r="B434" s="1" t="s">
        <v>521</v>
      </c>
      <c r="C434" s="32">
        <v>9109</v>
      </c>
      <c r="D434" s="1">
        <v>14000</v>
      </c>
      <c r="E434" s="1"/>
      <c r="F434" s="1">
        <v>155.78</v>
      </c>
      <c r="G434" s="1">
        <v>14000</v>
      </c>
      <c r="H434" s="5">
        <f t="shared" si="6"/>
        <v>0</v>
      </c>
      <c r="I434" s="1"/>
      <c r="J434" s="1"/>
    </row>
    <row r="435" spans="1:10" s="279" customFormat="1" x14ac:dyDescent="0.2">
      <c r="A435" s="32"/>
      <c r="B435" s="1" t="s">
        <v>521</v>
      </c>
      <c r="C435" s="32">
        <v>6026</v>
      </c>
      <c r="D435" s="1">
        <v>24000</v>
      </c>
      <c r="E435" s="1"/>
      <c r="F435" s="1">
        <v>267.47000000000003</v>
      </c>
      <c r="G435" s="1">
        <v>24000</v>
      </c>
      <c r="H435" s="5">
        <f t="shared" si="6"/>
        <v>0</v>
      </c>
      <c r="I435" s="1"/>
      <c r="J435" s="1"/>
    </row>
    <row r="436" spans="1:10" s="279" customFormat="1" x14ac:dyDescent="0.2">
      <c r="A436" s="32"/>
      <c r="B436" s="1" t="s">
        <v>521</v>
      </c>
      <c r="C436" s="32">
        <v>1307</v>
      </c>
      <c r="D436" s="1">
        <v>18000</v>
      </c>
      <c r="E436" s="1"/>
      <c r="F436" s="1">
        <v>200.87</v>
      </c>
      <c r="G436" s="1">
        <v>18000</v>
      </c>
      <c r="H436" s="5">
        <f t="shared" si="6"/>
        <v>0</v>
      </c>
      <c r="I436" s="1"/>
      <c r="J436" s="1"/>
    </row>
    <row r="437" spans="1:10" s="279" customFormat="1" x14ac:dyDescent="0.2">
      <c r="A437" s="32"/>
      <c r="B437" s="1" t="s">
        <v>521</v>
      </c>
      <c r="C437" s="32">
        <v>2972</v>
      </c>
      <c r="D437" s="1">
        <v>22000</v>
      </c>
      <c r="E437" s="1"/>
      <c r="F437" s="1">
        <v>245.64</v>
      </c>
      <c r="G437" s="1">
        <v>22000</v>
      </c>
      <c r="H437" s="5">
        <f t="shared" si="6"/>
        <v>0</v>
      </c>
      <c r="I437" s="1"/>
      <c r="J437" s="1"/>
    </row>
    <row r="438" spans="1:10" s="279" customFormat="1" x14ac:dyDescent="0.2">
      <c r="A438" s="32"/>
      <c r="B438" s="1" t="s">
        <v>521</v>
      </c>
      <c r="C438" s="32" t="s">
        <v>30</v>
      </c>
      <c r="D438" s="1">
        <v>3500</v>
      </c>
      <c r="E438" s="1"/>
      <c r="F438" s="1">
        <v>38.450000000000003</v>
      </c>
      <c r="G438" s="1">
        <v>3500</v>
      </c>
      <c r="H438" s="5">
        <f t="shared" si="6"/>
        <v>0</v>
      </c>
      <c r="I438" s="1"/>
      <c r="J438" s="1"/>
    </row>
    <row r="439" spans="1:10" s="279" customFormat="1" x14ac:dyDescent="0.2">
      <c r="A439" s="32"/>
      <c r="B439" s="1" t="s">
        <v>521</v>
      </c>
      <c r="C439" s="32" t="s">
        <v>30</v>
      </c>
      <c r="D439" s="1">
        <v>7000</v>
      </c>
      <c r="E439" s="1"/>
      <c r="F439" s="1">
        <v>77.45</v>
      </c>
      <c r="G439" s="1">
        <v>7000</v>
      </c>
      <c r="H439" s="5">
        <f t="shared" si="6"/>
        <v>0</v>
      </c>
      <c r="I439" s="1"/>
      <c r="J439" s="1"/>
    </row>
    <row r="440" spans="1:10" s="279" customFormat="1" x14ac:dyDescent="0.2">
      <c r="A440" s="32"/>
      <c r="B440" s="1" t="s">
        <v>521</v>
      </c>
      <c r="C440" s="32">
        <v>2806</v>
      </c>
      <c r="D440" s="1">
        <v>15000</v>
      </c>
      <c r="E440" s="1"/>
      <c r="F440" s="1">
        <v>167.45</v>
      </c>
      <c r="G440" s="1">
        <v>15000</v>
      </c>
      <c r="H440" s="5">
        <f t="shared" si="6"/>
        <v>0</v>
      </c>
      <c r="I440" s="1"/>
      <c r="J440" s="1"/>
    </row>
    <row r="441" spans="1:10" s="279" customFormat="1" x14ac:dyDescent="0.2">
      <c r="A441" s="32"/>
      <c r="B441" s="1" t="s">
        <v>521</v>
      </c>
      <c r="C441" s="32">
        <v>8311</v>
      </c>
      <c r="D441" s="1">
        <v>24000</v>
      </c>
      <c r="E441" s="1"/>
      <c r="F441" s="1">
        <v>267.87</v>
      </c>
      <c r="G441" s="1">
        <v>24000</v>
      </c>
      <c r="H441" s="5">
        <f t="shared" si="6"/>
        <v>0</v>
      </c>
      <c r="I441" s="1"/>
      <c r="J441" s="1"/>
    </row>
    <row r="442" spans="1:10" s="279" customFormat="1" x14ac:dyDescent="0.2">
      <c r="A442" s="32"/>
      <c r="B442" s="1" t="s">
        <v>521</v>
      </c>
      <c r="C442" s="32">
        <v>6311</v>
      </c>
      <c r="D442" s="1">
        <v>24000</v>
      </c>
      <c r="E442" s="1"/>
      <c r="F442" s="1">
        <v>267.87</v>
      </c>
      <c r="G442" s="1">
        <v>24000</v>
      </c>
      <c r="H442" s="5">
        <f t="shared" si="6"/>
        <v>0</v>
      </c>
      <c r="I442" s="1"/>
      <c r="J442" s="1"/>
    </row>
    <row r="443" spans="1:10" s="279" customFormat="1" x14ac:dyDescent="0.2">
      <c r="A443" s="32"/>
      <c r="B443" s="1" t="s">
        <v>521</v>
      </c>
      <c r="C443" s="32">
        <v>2593</v>
      </c>
      <c r="D443" s="1">
        <v>25000</v>
      </c>
      <c r="E443" s="1"/>
      <c r="F443" s="1">
        <v>278.22000000000003</v>
      </c>
      <c r="G443" s="1">
        <v>25000</v>
      </c>
      <c r="H443" s="5">
        <f t="shared" si="6"/>
        <v>0</v>
      </c>
      <c r="I443" s="1"/>
      <c r="J443" s="1"/>
    </row>
    <row r="444" spans="1:10" s="279" customFormat="1" x14ac:dyDescent="0.2">
      <c r="A444" s="32"/>
      <c r="B444" s="1" t="s">
        <v>521</v>
      </c>
      <c r="C444" s="32">
        <v>7770</v>
      </c>
      <c r="D444" s="1">
        <v>24000</v>
      </c>
      <c r="E444" s="1"/>
      <c r="F444" s="1">
        <v>301.94</v>
      </c>
      <c r="G444" s="1">
        <v>24000</v>
      </c>
      <c r="H444" s="5">
        <f t="shared" si="6"/>
        <v>0</v>
      </c>
      <c r="I444" s="1"/>
      <c r="J444" s="1"/>
    </row>
    <row r="445" spans="1:10" s="279" customFormat="1" x14ac:dyDescent="0.2">
      <c r="A445" s="32"/>
      <c r="B445" s="1" t="s">
        <v>521</v>
      </c>
      <c r="C445" s="32">
        <v>3837</v>
      </c>
      <c r="D445" s="1">
        <v>20000</v>
      </c>
      <c r="E445" s="1"/>
      <c r="F445" s="1">
        <v>222.78</v>
      </c>
      <c r="G445" s="1">
        <v>20000</v>
      </c>
      <c r="H445" s="5">
        <f t="shared" si="6"/>
        <v>0</v>
      </c>
      <c r="I445" s="1"/>
      <c r="J445" s="1"/>
    </row>
    <row r="446" spans="1:10" s="279" customFormat="1" x14ac:dyDescent="0.2">
      <c r="A446" s="32"/>
      <c r="B446" s="1" t="s">
        <v>521</v>
      </c>
      <c r="C446" s="32">
        <v>6455</v>
      </c>
      <c r="D446" s="1">
        <v>28000</v>
      </c>
      <c r="E446" s="1"/>
      <c r="F446" s="1">
        <v>311.87</v>
      </c>
      <c r="G446" s="1">
        <v>28000</v>
      </c>
      <c r="H446" s="5">
        <f t="shared" si="6"/>
        <v>0</v>
      </c>
      <c r="I446" s="1"/>
      <c r="J446" s="1"/>
    </row>
    <row r="447" spans="1:10" s="279" customFormat="1" x14ac:dyDescent="0.2">
      <c r="A447" s="32"/>
      <c r="B447" s="1" t="s">
        <v>521</v>
      </c>
      <c r="C447" s="32">
        <v>2943</v>
      </c>
      <c r="D447" s="1">
        <v>32000</v>
      </c>
      <c r="E447" s="1"/>
      <c r="F447" s="1">
        <v>356.72</v>
      </c>
      <c r="G447" s="1">
        <v>32000</v>
      </c>
      <c r="H447" s="5">
        <f t="shared" si="6"/>
        <v>0</v>
      </c>
      <c r="I447" s="1"/>
      <c r="J447" s="1"/>
    </row>
    <row r="448" spans="1:10" s="279" customFormat="1" x14ac:dyDescent="0.2">
      <c r="A448" s="32"/>
      <c r="B448" s="1" t="s">
        <v>521</v>
      </c>
      <c r="C448" s="32">
        <v>3933</v>
      </c>
      <c r="D448" s="1">
        <v>24000</v>
      </c>
      <c r="E448" s="1"/>
      <c r="F448" s="1">
        <v>294.74</v>
      </c>
      <c r="G448" s="1">
        <v>24000</v>
      </c>
      <c r="H448" s="5">
        <f t="shared" si="6"/>
        <v>0</v>
      </c>
      <c r="I448" s="1"/>
      <c r="J448" s="1"/>
    </row>
    <row r="449" spans="1:10" s="279" customFormat="1" x14ac:dyDescent="0.2">
      <c r="A449" s="32"/>
      <c r="B449" s="1" t="s">
        <v>521</v>
      </c>
      <c r="C449" s="32">
        <v>7.2900000000000006E-2</v>
      </c>
      <c r="D449" s="1">
        <v>20000</v>
      </c>
      <c r="E449" s="1"/>
      <c r="F449" s="1">
        <v>222.78</v>
      </c>
      <c r="G449" s="1">
        <v>20000</v>
      </c>
      <c r="H449" s="5">
        <f t="shared" si="6"/>
        <v>0</v>
      </c>
      <c r="I449" s="1"/>
      <c r="J449" s="1"/>
    </row>
    <row r="450" spans="1:10" s="279" customFormat="1" x14ac:dyDescent="0.2">
      <c r="A450" s="32"/>
      <c r="B450" s="1" t="s">
        <v>521</v>
      </c>
      <c r="C450" s="32">
        <v>5943</v>
      </c>
      <c r="D450" s="1">
        <v>32000</v>
      </c>
      <c r="E450" s="1"/>
      <c r="F450" s="1">
        <v>356.72</v>
      </c>
      <c r="G450" s="1">
        <v>32000</v>
      </c>
      <c r="H450" s="5">
        <f t="shared" si="6"/>
        <v>0</v>
      </c>
      <c r="I450" s="1"/>
      <c r="J450" s="1"/>
    </row>
    <row r="451" spans="1:10" s="279" customFormat="1" x14ac:dyDescent="0.2">
      <c r="A451" s="32"/>
      <c r="B451" s="1" t="s">
        <v>521</v>
      </c>
      <c r="C451" s="32">
        <v>4160</v>
      </c>
      <c r="D451" s="1">
        <v>10000</v>
      </c>
      <c r="E451" s="1"/>
      <c r="F451" s="1">
        <v>111.47</v>
      </c>
      <c r="G451" s="1">
        <v>10000</v>
      </c>
      <c r="H451" s="5">
        <f t="shared" si="6"/>
        <v>0</v>
      </c>
      <c r="I451" s="1"/>
      <c r="J451" s="1"/>
    </row>
    <row r="452" spans="1:10" s="279" customFormat="1" x14ac:dyDescent="0.2">
      <c r="A452" s="32"/>
      <c r="B452" s="1" t="s">
        <v>521</v>
      </c>
      <c r="C452" s="32">
        <v>2955</v>
      </c>
      <c r="D452" s="1">
        <v>21000</v>
      </c>
      <c r="E452" s="1"/>
      <c r="F452" s="1">
        <v>233.47</v>
      </c>
      <c r="G452" s="1">
        <v>21000</v>
      </c>
      <c r="H452" s="5">
        <f t="shared" si="6"/>
        <v>0</v>
      </c>
      <c r="I452" s="1"/>
      <c r="J452" s="1"/>
    </row>
    <row r="453" spans="1:10" s="279" customFormat="1" x14ac:dyDescent="0.2">
      <c r="A453" s="32"/>
      <c r="B453" s="1" t="s">
        <v>521</v>
      </c>
      <c r="C453" s="32">
        <v>8213</v>
      </c>
      <c r="D453" s="1">
        <v>20000</v>
      </c>
      <c r="E453" s="1"/>
      <c r="F453" s="1">
        <v>222.78</v>
      </c>
      <c r="G453" s="1">
        <v>20000</v>
      </c>
      <c r="H453" s="5">
        <f t="shared" si="6"/>
        <v>0</v>
      </c>
      <c r="I453" s="1"/>
      <c r="J453" s="1"/>
    </row>
    <row r="454" spans="1:10" s="279" customFormat="1" x14ac:dyDescent="0.2">
      <c r="A454" s="32"/>
      <c r="B454" s="1" t="s">
        <v>521</v>
      </c>
      <c r="C454" s="32">
        <v>7381</v>
      </c>
      <c r="D454" s="1">
        <v>24000</v>
      </c>
      <c r="E454" s="1"/>
      <c r="F454" s="1">
        <v>267.47000000000003</v>
      </c>
      <c r="G454" s="1">
        <v>24000</v>
      </c>
      <c r="H454" s="5">
        <f t="shared" si="6"/>
        <v>0</v>
      </c>
      <c r="I454" s="1"/>
      <c r="J454" s="1"/>
    </row>
    <row r="455" spans="1:10" s="279" customFormat="1" x14ac:dyDescent="0.2">
      <c r="A455" s="32"/>
      <c r="B455" s="1" t="s">
        <v>521</v>
      </c>
      <c r="C455" s="32">
        <v>5449</v>
      </c>
      <c r="D455" s="1">
        <v>15000</v>
      </c>
      <c r="E455" s="1"/>
      <c r="F455" s="1">
        <v>167.45</v>
      </c>
      <c r="G455" s="1">
        <v>15000</v>
      </c>
      <c r="H455" s="5">
        <f t="shared" ref="H455:H518" si="7">D455-G455</f>
        <v>0</v>
      </c>
      <c r="I455" s="1"/>
      <c r="J455" s="1"/>
    </row>
    <row r="456" spans="1:10" s="279" customFormat="1" x14ac:dyDescent="0.2">
      <c r="A456" s="32"/>
      <c r="B456" s="1" t="s">
        <v>521</v>
      </c>
      <c r="C456" s="32">
        <v>1793</v>
      </c>
      <c r="D456" s="1">
        <v>28000</v>
      </c>
      <c r="E456" s="1"/>
      <c r="F456" s="1">
        <v>311.87</v>
      </c>
      <c r="G456" s="1">
        <v>28000</v>
      </c>
      <c r="H456" s="5">
        <f t="shared" si="7"/>
        <v>0</v>
      </c>
      <c r="I456" s="1"/>
      <c r="J456" s="1"/>
    </row>
    <row r="457" spans="1:10" s="285" customFormat="1" x14ac:dyDescent="0.2">
      <c r="A457" s="32"/>
      <c r="B457" s="1" t="s">
        <v>523</v>
      </c>
      <c r="C457" s="32" t="s">
        <v>30</v>
      </c>
      <c r="D457" s="1">
        <v>5000</v>
      </c>
      <c r="E457" s="1"/>
      <c r="F457" s="1">
        <v>55.45</v>
      </c>
      <c r="G457" s="1">
        <v>5000</v>
      </c>
      <c r="H457" s="5">
        <f t="shared" si="7"/>
        <v>0</v>
      </c>
      <c r="I457" s="1"/>
      <c r="J457" s="1"/>
    </row>
    <row r="458" spans="1:10" s="285" customFormat="1" x14ac:dyDescent="0.2">
      <c r="A458" s="32"/>
      <c r="B458" s="1" t="s">
        <v>523</v>
      </c>
      <c r="C458" s="32" t="s">
        <v>30</v>
      </c>
      <c r="D458" s="1">
        <v>4500</v>
      </c>
      <c r="E458" s="1"/>
      <c r="F458" s="1">
        <v>50.15</v>
      </c>
      <c r="G458" s="1">
        <v>4500</v>
      </c>
      <c r="H458" s="5">
        <f t="shared" si="7"/>
        <v>0</v>
      </c>
      <c r="I458" s="1"/>
      <c r="J458" s="1"/>
    </row>
    <row r="459" spans="1:10" s="285" customFormat="1" x14ac:dyDescent="0.2">
      <c r="A459" s="32"/>
      <c r="B459" s="1" t="s">
        <v>523</v>
      </c>
      <c r="C459" s="32">
        <v>1723</v>
      </c>
      <c r="D459" s="1">
        <v>15000</v>
      </c>
      <c r="E459" s="1"/>
      <c r="F459" s="1">
        <v>167.15</v>
      </c>
      <c r="G459" s="1">
        <v>15000</v>
      </c>
      <c r="H459" s="5">
        <f t="shared" si="7"/>
        <v>0</v>
      </c>
      <c r="I459" s="1"/>
      <c r="J459" s="1"/>
    </row>
    <row r="460" spans="1:10" s="285" customFormat="1" x14ac:dyDescent="0.2">
      <c r="A460" s="32"/>
      <c r="B460" s="1" t="s">
        <v>523</v>
      </c>
      <c r="C460" s="32">
        <v>5385</v>
      </c>
      <c r="D460" s="1">
        <v>24000</v>
      </c>
      <c r="E460" s="1"/>
      <c r="F460" s="1">
        <v>267.47000000000003</v>
      </c>
      <c r="G460" s="1">
        <v>24000</v>
      </c>
      <c r="H460" s="5">
        <f t="shared" si="7"/>
        <v>0</v>
      </c>
      <c r="I460" s="1"/>
      <c r="J460" s="1"/>
    </row>
    <row r="461" spans="1:10" s="285" customFormat="1" x14ac:dyDescent="0.2">
      <c r="A461" s="32"/>
      <c r="B461" s="1" t="s">
        <v>523</v>
      </c>
      <c r="C461" s="32">
        <v>6651</v>
      </c>
      <c r="D461" s="1">
        <v>24000</v>
      </c>
      <c r="E461" s="1"/>
      <c r="F461" s="1">
        <v>267.47000000000003</v>
      </c>
      <c r="G461" s="1">
        <v>24000</v>
      </c>
      <c r="H461" s="5">
        <f t="shared" si="7"/>
        <v>0</v>
      </c>
      <c r="I461" s="1"/>
      <c r="J461" s="1"/>
    </row>
    <row r="462" spans="1:10" s="285" customFormat="1" x14ac:dyDescent="0.2">
      <c r="A462" s="32"/>
      <c r="B462" s="1" t="s">
        <v>523</v>
      </c>
      <c r="C462" s="32">
        <v>2681</v>
      </c>
      <c r="D462" s="1">
        <v>16000</v>
      </c>
      <c r="E462" s="1"/>
      <c r="F462" s="1">
        <v>178.22</v>
      </c>
      <c r="G462" s="1">
        <v>16000</v>
      </c>
      <c r="H462" s="5">
        <f t="shared" si="7"/>
        <v>0</v>
      </c>
      <c r="I462" s="1"/>
      <c r="J462" s="1"/>
    </row>
    <row r="463" spans="1:10" s="285" customFormat="1" x14ac:dyDescent="0.2">
      <c r="A463" s="32"/>
      <c r="B463" s="1" t="s">
        <v>523</v>
      </c>
      <c r="C463" s="32">
        <v>8313</v>
      </c>
      <c r="D463" s="1">
        <v>23000</v>
      </c>
      <c r="E463" s="1"/>
      <c r="F463" s="1">
        <v>239.57</v>
      </c>
      <c r="G463" s="1">
        <v>23000</v>
      </c>
      <c r="H463" s="5">
        <f t="shared" si="7"/>
        <v>0</v>
      </c>
      <c r="I463" s="1"/>
      <c r="J463" s="1"/>
    </row>
    <row r="464" spans="1:10" s="285" customFormat="1" x14ac:dyDescent="0.2">
      <c r="A464" s="32"/>
      <c r="B464" s="1" t="s">
        <v>523</v>
      </c>
      <c r="C464" s="32">
        <v>1677</v>
      </c>
      <c r="D464" s="1">
        <v>26000</v>
      </c>
      <c r="E464" s="1"/>
      <c r="F464" s="1">
        <v>287.77999999999997</v>
      </c>
      <c r="G464" s="1">
        <v>26000</v>
      </c>
      <c r="H464" s="5">
        <f t="shared" si="7"/>
        <v>0</v>
      </c>
      <c r="I464" s="1"/>
      <c r="J464" s="1"/>
    </row>
    <row r="465" spans="1:10" s="285" customFormat="1" x14ac:dyDescent="0.2">
      <c r="A465" s="32"/>
      <c r="B465" s="1" t="s">
        <v>523</v>
      </c>
      <c r="C465" s="32">
        <v>9969</v>
      </c>
      <c r="D465" s="1">
        <v>33000</v>
      </c>
      <c r="E465" s="1"/>
      <c r="F465" s="1">
        <v>362.67</v>
      </c>
      <c r="G465" s="1">
        <v>33000</v>
      </c>
      <c r="H465" s="5">
        <f t="shared" si="7"/>
        <v>0</v>
      </c>
      <c r="I465" s="1"/>
      <c r="J465" s="1"/>
    </row>
    <row r="466" spans="1:10" s="285" customFormat="1" x14ac:dyDescent="0.2">
      <c r="A466" s="32"/>
      <c r="B466" s="1" t="s">
        <v>523</v>
      </c>
      <c r="C466" s="32">
        <v>4770</v>
      </c>
      <c r="D466" s="1">
        <v>12000</v>
      </c>
      <c r="E466" s="1"/>
      <c r="F466" s="1">
        <v>133.47</v>
      </c>
      <c r="G466" s="1">
        <v>12000</v>
      </c>
      <c r="H466" s="5">
        <f t="shared" si="7"/>
        <v>0</v>
      </c>
      <c r="I466" s="1"/>
      <c r="J466" s="1"/>
    </row>
    <row r="467" spans="1:10" s="285" customFormat="1" x14ac:dyDescent="0.2">
      <c r="A467" s="32"/>
      <c r="B467" s="1" t="s">
        <v>523</v>
      </c>
      <c r="C467" s="32">
        <v>3955</v>
      </c>
      <c r="D467" s="1">
        <v>29000</v>
      </c>
      <c r="E467" s="1"/>
      <c r="F467" s="1">
        <v>323.41000000000003</v>
      </c>
      <c r="G467" s="1">
        <v>29000</v>
      </c>
      <c r="H467" s="5">
        <f t="shared" si="7"/>
        <v>0</v>
      </c>
      <c r="I467" s="1"/>
      <c r="J467" s="1"/>
    </row>
    <row r="468" spans="1:10" s="285" customFormat="1" x14ac:dyDescent="0.2">
      <c r="A468" s="32"/>
      <c r="B468" s="1" t="s">
        <v>523</v>
      </c>
      <c r="C468" s="32">
        <v>6153</v>
      </c>
      <c r="D468" s="1">
        <v>20000</v>
      </c>
      <c r="E468" s="1"/>
      <c r="F468" s="1">
        <v>222.78</v>
      </c>
      <c r="G468" s="1">
        <v>20000</v>
      </c>
      <c r="H468" s="5">
        <f t="shared" si="7"/>
        <v>0</v>
      </c>
      <c r="I468" s="1"/>
      <c r="J468" s="1"/>
    </row>
    <row r="469" spans="1:10" s="285" customFormat="1" x14ac:dyDescent="0.2">
      <c r="A469" s="32"/>
      <c r="B469" s="1" t="s">
        <v>523</v>
      </c>
      <c r="C469" s="32">
        <v>6511</v>
      </c>
      <c r="D469" s="1">
        <v>20000</v>
      </c>
      <c r="E469" s="1"/>
      <c r="F469" s="1">
        <v>222.78</v>
      </c>
      <c r="G469" s="1">
        <v>20000</v>
      </c>
      <c r="H469" s="5">
        <f t="shared" si="7"/>
        <v>0</v>
      </c>
      <c r="I469" s="1"/>
      <c r="J469" s="1"/>
    </row>
    <row r="470" spans="1:10" s="285" customFormat="1" x14ac:dyDescent="0.2">
      <c r="A470" s="32"/>
      <c r="B470" s="1" t="s">
        <v>523</v>
      </c>
      <c r="C470" s="32">
        <v>9610</v>
      </c>
      <c r="D470" s="1">
        <v>15000</v>
      </c>
      <c r="E470" s="1"/>
      <c r="F470" s="1">
        <v>167.15</v>
      </c>
      <c r="G470" s="1">
        <v>15000</v>
      </c>
      <c r="H470" s="5">
        <f t="shared" si="7"/>
        <v>0</v>
      </c>
      <c r="I470" s="1"/>
      <c r="J470" s="1"/>
    </row>
    <row r="471" spans="1:10" s="285" customFormat="1" x14ac:dyDescent="0.2">
      <c r="A471" s="32"/>
      <c r="B471" s="1" t="s">
        <v>523</v>
      </c>
      <c r="C471" s="32">
        <v>3693</v>
      </c>
      <c r="D471" s="1">
        <v>15000</v>
      </c>
      <c r="E471" s="1"/>
      <c r="F471" s="1">
        <v>167.15</v>
      </c>
      <c r="G471" s="1">
        <v>15000</v>
      </c>
      <c r="H471" s="5">
        <f t="shared" si="7"/>
        <v>0</v>
      </c>
      <c r="I471" s="1"/>
      <c r="J471" s="1"/>
    </row>
    <row r="472" spans="1:10" s="285" customFormat="1" x14ac:dyDescent="0.2">
      <c r="A472" s="32"/>
      <c r="B472" s="1" t="s">
        <v>523</v>
      </c>
      <c r="C472" s="32">
        <v>9077</v>
      </c>
      <c r="D472" s="1">
        <v>20000</v>
      </c>
      <c r="E472" s="1"/>
      <c r="F472" s="1">
        <v>222.78</v>
      </c>
      <c r="G472" s="1">
        <v>20000</v>
      </c>
      <c r="H472" s="5">
        <f t="shared" si="7"/>
        <v>0</v>
      </c>
      <c r="I472" s="1"/>
      <c r="J472" s="1"/>
    </row>
    <row r="473" spans="1:10" s="285" customFormat="1" x14ac:dyDescent="0.2">
      <c r="A473" s="32"/>
      <c r="B473" s="1" t="s">
        <v>523</v>
      </c>
      <c r="C473" s="32">
        <v>1085</v>
      </c>
      <c r="D473" s="1">
        <v>25000</v>
      </c>
      <c r="E473" s="1"/>
      <c r="F473" s="1">
        <v>278.22000000000003</v>
      </c>
      <c r="G473" s="1">
        <v>25000</v>
      </c>
      <c r="H473" s="5">
        <f t="shared" si="7"/>
        <v>0</v>
      </c>
      <c r="I473" s="1"/>
      <c r="J473" s="1"/>
    </row>
    <row r="474" spans="1:10" s="285" customFormat="1" x14ac:dyDescent="0.2">
      <c r="A474" s="32"/>
      <c r="B474" s="1" t="s">
        <v>523</v>
      </c>
      <c r="C474" s="32">
        <v>3.15E-2</v>
      </c>
      <c r="D474" s="1">
        <v>7000</v>
      </c>
      <c r="E474" s="1"/>
      <c r="F474" s="1">
        <v>77.84</v>
      </c>
      <c r="G474" s="1">
        <v>7000</v>
      </c>
      <c r="H474" s="5">
        <f t="shared" si="7"/>
        <v>0</v>
      </c>
      <c r="I474" s="1"/>
      <c r="J474" s="1"/>
    </row>
    <row r="475" spans="1:10" s="285" customFormat="1" x14ac:dyDescent="0.2">
      <c r="A475" s="32"/>
      <c r="B475" s="1" t="s">
        <v>523</v>
      </c>
      <c r="C475" s="32">
        <v>9393</v>
      </c>
      <c r="D475" s="1">
        <v>20000</v>
      </c>
      <c r="E475" s="1"/>
      <c r="F475" s="1">
        <v>222.78</v>
      </c>
      <c r="G475" s="1">
        <v>20000</v>
      </c>
      <c r="H475" s="5">
        <f t="shared" si="7"/>
        <v>0</v>
      </c>
      <c r="I475" s="1"/>
      <c r="J475" s="1"/>
    </row>
    <row r="476" spans="1:10" s="285" customFormat="1" x14ac:dyDescent="0.2">
      <c r="A476" s="32"/>
      <c r="B476" s="1" t="s">
        <v>523</v>
      </c>
      <c r="C476" s="32">
        <v>2384</v>
      </c>
      <c r="D476" s="1">
        <v>25000</v>
      </c>
      <c r="E476" s="1"/>
      <c r="F476" s="1">
        <v>278.22000000000003</v>
      </c>
      <c r="G476" s="1">
        <v>25000</v>
      </c>
      <c r="H476" s="5">
        <f t="shared" si="7"/>
        <v>0</v>
      </c>
      <c r="I476" s="1"/>
      <c r="J476" s="1"/>
    </row>
    <row r="477" spans="1:10" s="285" customFormat="1" x14ac:dyDescent="0.2">
      <c r="A477" s="32"/>
      <c r="B477" s="1" t="s">
        <v>523</v>
      </c>
      <c r="C477" s="32">
        <v>1022</v>
      </c>
      <c r="D477" s="1">
        <v>20000</v>
      </c>
      <c r="E477" s="1"/>
      <c r="F477" s="1">
        <v>222.78</v>
      </c>
      <c r="G477" s="1">
        <v>20000</v>
      </c>
      <c r="H477" s="5">
        <f t="shared" si="7"/>
        <v>0</v>
      </c>
      <c r="I477" s="1"/>
      <c r="J477" s="1"/>
    </row>
    <row r="478" spans="1:10" s="285" customFormat="1" x14ac:dyDescent="0.2">
      <c r="A478" s="32"/>
      <c r="B478" s="1" t="s">
        <v>523</v>
      </c>
      <c r="C478" s="32">
        <v>1155</v>
      </c>
      <c r="D478" s="1">
        <v>30000</v>
      </c>
      <c r="E478" s="1"/>
      <c r="F478" s="1">
        <v>334.74</v>
      </c>
      <c r="G478" s="1">
        <v>30000</v>
      </c>
      <c r="H478" s="5">
        <f t="shared" si="7"/>
        <v>0</v>
      </c>
      <c r="I478" s="1"/>
      <c r="J478" s="1"/>
    </row>
    <row r="479" spans="1:10" s="285" customFormat="1" x14ac:dyDescent="0.2">
      <c r="A479" s="32"/>
      <c r="B479" s="1" t="s">
        <v>525</v>
      </c>
      <c r="C479" s="32" t="s">
        <v>63</v>
      </c>
      <c r="D479" s="1">
        <v>4000</v>
      </c>
      <c r="E479" s="1"/>
      <c r="F479" s="1">
        <v>44.15</v>
      </c>
      <c r="G479" s="1">
        <v>4000</v>
      </c>
      <c r="H479" s="5">
        <f t="shared" si="7"/>
        <v>0</v>
      </c>
      <c r="I479" s="1"/>
      <c r="J479" s="1"/>
    </row>
    <row r="480" spans="1:10" s="285" customFormat="1" x14ac:dyDescent="0.2">
      <c r="A480" s="32"/>
      <c r="B480" s="1" t="s">
        <v>525</v>
      </c>
      <c r="C480" s="32">
        <v>2677</v>
      </c>
      <c r="D480" s="1">
        <v>27000</v>
      </c>
      <c r="E480" s="1"/>
      <c r="F480" s="1">
        <v>300.48</v>
      </c>
      <c r="G480" s="1">
        <v>27000</v>
      </c>
      <c r="H480" s="5">
        <f t="shared" si="7"/>
        <v>0</v>
      </c>
      <c r="I480" s="1"/>
      <c r="J480" s="1"/>
    </row>
    <row r="481" spans="1:10" s="285" customFormat="1" x14ac:dyDescent="0.2">
      <c r="A481" s="32"/>
      <c r="B481" s="1" t="s">
        <v>525</v>
      </c>
      <c r="C481" s="32">
        <v>2810</v>
      </c>
      <c r="D481" s="1">
        <v>15000</v>
      </c>
      <c r="E481" s="1"/>
      <c r="F481" s="1">
        <v>167.15</v>
      </c>
      <c r="G481" s="1">
        <v>15000</v>
      </c>
      <c r="H481" s="5">
        <f t="shared" si="7"/>
        <v>0</v>
      </c>
      <c r="I481" s="1"/>
      <c r="J481" s="1"/>
    </row>
    <row r="482" spans="1:10" s="285" customFormat="1" x14ac:dyDescent="0.2">
      <c r="A482" s="32"/>
      <c r="B482" s="1" t="s">
        <v>525</v>
      </c>
      <c r="C482" s="32">
        <v>5931</v>
      </c>
      <c r="D482" s="1">
        <v>16000</v>
      </c>
      <c r="E482" s="1"/>
      <c r="F482" s="1">
        <v>178.22</v>
      </c>
      <c r="G482" s="1">
        <v>16000</v>
      </c>
      <c r="H482" s="5">
        <f t="shared" si="7"/>
        <v>0</v>
      </c>
      <c r="I482" s="1"/>
      <c r="J482" s="1"/>
    </row>
    <row r="483" spans="1:10" s="285" customFormat="1" x14ac:dyDescent="0.2">
      <c r="A483" s="32"/>
      <c r="B483" s="1" t="s">
        <v>525</v>
      </c>
      <c r="C483" s="32" t="s">
        <v>66</v>
      </c>
      <c r="D483" s="1">
        <v>210</v>
      </c>
      <c r="E483" s="1"/>
      <c r="F483" s="1">
        <v>2.08</v>
      </c>
      <c r="G483" s="1">
        <v>210</v>
      </c>
      <c r="H483" s="5">
        <f t="shared" si="7"/>
        <v>0</v>
      </c>
      <c r="I483" s="1"/>
      <c r="J483" s="1"/>
    </row>
    <row r="484" spans="1:10" s="285" customFormat="1" x14ac:dyDescent="0.2">
      <c r="A484" s="32"/>
      <c r="B484" s="1" t="s">
        <v>525</v>
      </c>
      <c r="C484" s="32">
        <v>2643</v>
      </c>
      <c r="D484" s="1">
        <v>20000</v>
      </c>
      <c r="E484" s="1"/>
      <c r="F484" s="1">
        <v>222.78</v>
      </c>
      <c r="G484" s="1">
        <v>20000</v>
      </c>
      <c r="H484" s="5">
        <f t="shared" si="7"/>
        <v>0</v>
      </c>
      <c r="I484" s="1"/>
      <c r="J484" s="1"/>
    </row>
    <row r="485" spans="1:10" s="285" customFormat="1" x14ac:dyDescent="0.2">
      <c r="A485" s="32"/>
      <c r="B485" s="1" t="s">
        <v>525</v>
      </c>
      <c r="C485" s="32">
        <v>7897</v>
      </c>
      <c r="D485" s="1">
        <v>27000</v>
      </c>
      <c r="E485" s="1"/>
      <c r="F485" s="1">
        <v>300.48</v>
      </c>
      <c r="G485" s="1">
        <v>27000</v>
      </c>
      <c r="H485" s="5">
        <f t="shared" si="7"/>
        <v>0</v>
      </c>
      <c r="I485" s="1"/>
      <c r="J485" s="1"/>
    </row>
    <row r="486" spans="1:10" s="285" customFormat="1" x14ac:dyDescent="0.2">
      <c r="A486" s="32"/>
      <c r="B486" s="1" t="s">
        <v>525</v>
      </c>
      <c r="C486" s="32">
        <v>4925</v>
      </c>
      <c r="D486" s="1">
        <v>15000</v>
      </c>
      <c r="E486" s="1"/>
      <c r="F486" s="1">
        <v>167.15</v>
      </c>
      <c r="G486" s="1">
        <v>15000</v>
      </c>
      <c r="H486" s="5">
        <f t="shared" si="7"/>
        <v>0</v>
      </c>
      <c r="I486" s="1"/>
      <c r="J486" s="1"/>
    </row>
    <row r="487" spans="1:10" s="285" customFormat="1" x14ac:dyDescent="0.2">
      <c r="A487" s="32"/>
      <c r="B487" s="1" t="s">
        <v>525</v>
      </c>
      <c r="C487" s="32">
        <v>3363</v>
      </c>
      <c r="D487" s="1">
        <v>15000</v>
      </c>
      <c r="E487" s="1"/>
      <c r="F487" s="1">
        <v>167.15</v>
      </c>
      <c r="G487" s="1">
        <v>15000</v>
      </c>
      <c r="H487" s="5">
        <f t="shared" si="7"/>
        <v>0</v>
      </c>
      <c r="I487" s="1"/>
      <c r="J487" s="1"/>
    </row>
    <row r="488" spans="1:10" s="285" customFormat="1" x14ac:dyDescent="0.2">
      <c r="A488" s="32"/>
      <c r="B488" s="1" t="s">
        <v>525</v>
      </c>
      <c r="C488" s="32" t="s">
        <v>30</v>
      </c>
      <c r="D488" s="1">
        <v>7000</v>
      </c>
      <c r="E488" s="1"/>
      <c r="F488" s="1">
        <v>77.48</v>
      </c>
      <c r="G488" s="1">
        <v>7000</v>
      </c>
      <c r="H488" s="5">
        <f t="shared" si="7"/>
        <v>0</v>
      </c>
      <c r="I488" s="1"/>
      <c r="J488" s="1"/>
    </row>
    <row r="489" spans="1:10" s="285" customFormat="1" x14ac:dyDescent="0.2">
      <c r="A489" s="32"/>
      <c r="B489" s="1" t="s">
        <v>525</v>
      </c>
      <c r="C489" s="32">
        <v>7393</v>
      </c>
      <c r="D489" s="1">
        <v>30000</v>
      </c>
      <c r="E489" s="1"/>
      <c r="F489" s="1">
        <v>334.74</v>
      </c>
      <c r="G489" s="1">
        <v>30000</v>
      </c>
      <c r="H489" s="5">
        <f t="shared" si="7"/>
        <v>0</v>
      </c>
      <c r="I489" s="1"/>
      <c r="J489" s="1"/>
    </row>
    <row r="490" spans="1:10" s="285" customFormat="1" x14ac:dyDescent="0.2">
      <c r="A490" s="32"/>
      <c r="B490" s="1" t="s">
        <v>525</v>
      </c>
      <c r="C490" s="32">
        <v>9.8699999999999996E-2</v>
      </c>
      <c r="D490" s="1">
        <v>25000</v>
      </c>
      <c r="E490" s="1"/>
      <c r="F490" s="1">
        <v>278.22000000000003</v>
      </c>
      <c r="G490" s="1">
        <v>25000</v>
      </c>
      <c r="H490" s="5">
        <f t="shared" si="7"/>
        <v>0</v>
      </c>
      <c r="I490" s="1"/>
      <c r="J490" s="1"/>
    </row>
    <row r="491" spans="1:10" s="285" customFormat="1" x14ac:dyDescent="0.2">
      <c r="A491" s="32"/>
      <c r="B491" s="1" t="s">
        <v>525</v>
      </c>
      <c r="C491" s="32">
        <v>2237</v>
      </c>
      <c r="D491" s="1">
        <v>22000</v>
      </c>
      <c r="E491" s="1"/>
      <c r="F491" s="1">
        <v>245.64</v>
      </c>
      <c r="G491" s="1">
        <v>22000</v>
      </c>
      <c r="H491" s="5">
        <f t="shared" si="7"/>
        <v>0</v>
      </c>
      <c r="I491" s="1"/>
      <c r="J491" s="1"/>
    </row>
    <row r="492" spans="1:10" s="285" customFormat="1" x14ac:dyDescent="0.2">
      <c r="A492" s="32"/>
      <c r="B492" s="1" t="s">
        <v>525</v>
      </c>
      <c r="C492" s="32">
        <v>7896</v>
      </c>
      <c r="D492" s="1">
        <v>30000</v>
      </c>
      <c r="E492" s="1"/>
      <c r="F492" s="1">
        <v>334.74</v>
      </c>
      <c r="G492" s="1">
        <v>30000</v>
      </c>
      <c r="H492" s="5">
        <f t="shared" si="7"/>
        <v>0</v>
      </c>
      <c r="I492" s="1"/>
      <c r="J492" s="1"/>
    </row>
    <row r="493" spans="1:10" s="285" customFormat="1" x14ac:dyDescent="0.2">
      <c r="A493" s="32"/>
      <c r="B493" s="1" t="s">
        <v>525</v>
      </c>
      <c r="C493" s="32">
        <v>3411</v>
      </c>
      <c r="D493" s="1">
        <v>25000</v>
      </c>
      <c r="E493" s="1"/>
      <c r="F493" s="1">
        <v>278.22000000000003</v>
      </c>
      <c r="G493" s="1">
        <v>25000</v>
      </c>
      <c r="H493" s="5">
        <f t="shared" si="7"/>
        <v>0</v>
      </c>
      <c r="I493" s="1"/>
      <c r="J493" s="1"/>
    </row>
    <row r="494" spans="1:10" s="285" customFormat="1" x14ac:dyDescent="0.2">
      <c r="A494" s="32"/>
      <c r="B494" s="1" t="s">
        <v>525</v>
      </c>
      <c r="C494" s="32">
        <v>3419</v>
      </c>
      <c r="D494" s="1">
        <v>35000</v>
      </c>
      <c r="E494" s="1"/>
      <c r="F494" s="1">
        <v>382.87</v>
      </c>
      <c r="G494" s="1">
        <v>35000</v>
      </c>
      <c r="H494" s="5">
        <f t="shared" si="7"/>
        <v>0</v>
      </c>
      <c r="I494" s="1"/>
      <c r="J494" s="1"/>
    </row>
    <row r="495" spans="1:10" s="285" customFormat="1" x14ac:dyDescent="0.2">
      <c r="A495" s="32"/>
      <c r="B495" s="1" t="s">
        <v>525</v>
      </c>
      <c r="C495" s="32">
        <v>5.8400000000000001E-2</v>
      </c>
      <c r="D495" s="1">
        <v>20000</v>
      </c>
      <c r="E495" s="1" t="s">
        <v>526</v>
      </c>
      <c r="F495" s="1">
        <v>222.78</v>
      </c>
      <c r="G495" s="1">
        <v>20000</v>
      </c>
      <c r="H495" s="5">
        <f t="shared" si="7"/>
        <v>0</v>
      </c>
      <c r="I495" s="1"/>
      <c r="J495" s="1"/>
    </row>
    <row r="496" spans="1:10" s="285" customFormat="1" x14ac:dyDescent="0.2">
      <c r="A496" s="32"/>
      <c r="B496" s="1" t="s">
        <v>525</v>
      </c>
      <c r="C496" s="32">
        <v>5.8400000000000001E-2</v>
      </c>
      <c r="D496" s="1">
        <v>25000</v>
      </c>
      <c r="E496" s="1" t="s">
        <v>490</v>
      </c>
      <c r="F496" s="1">
        <v>222.78</v>
      </c>
      <c r="G496" s="1">
        <v>25000</v>
      </c>
      <c r="H496" s="5">
        <f t="shared" si="7"/>
        <v>0</v>
      </c>
      <c r="I496" s="1"/>
      <c r="J496" s="1"/>
    </row>
    <row r="497" spans="1:10" s="285" customFormat="1" x14ac:dyDescent="0.2">
      <c r="A497" s="32"/>
      <c r="B497" s="1" t="s">
        <v>525</v>
      </c>
      <c r="C497" s="32">
        <v>9378</v>
      </c>
      <c r="D497" s="1">
        <v>23000</v>
      </c>
      <c r="E497" s="1"/>
      <c r="F497" s="1">
        <v>262.74</v>
      </c>
      <c r="G497" s="1">
        <v>23000</v>
      </c>
      <c r="H497" s="5">
        <f t="shared" si="7"/>
        <v>0</v>
      </c>
      <c r="I497" s="1"/>
      <c r="J497" s="1"/>
    </row>
    <row r="498" spans="1:10" s="285" customFormat="1" x14ac:dyDescent="0.2">
      <c r="A498" s="32"/>
      <c r="B498" s="1" t="s">
        <v>525</v>
      </c>
      <c r="C498" s="32">
        <v>9705</v>
      </c>
      <c r="D498" s="1">
        <v>15000</v>
      </c>
      <c r="E498" s="1"/>
      <c r="F498" s="1">
        <v>167.15</v>
      </c>
      <c r="G498" s="1">
        <v>15000</v>
      </c>
      <c r="H498" s="5">
        <f t="shared" si="7"/>
        <v>0</v>
      </c>
      <c r="I498" s="1"/>
      <c r="J498" s="1"/>
    </row>
    <row r="499" spans="1:10" s="285" customFormat="1" x14ac:dyDescent="0.2">
      <c r="A499" s="32"/>
      <c r="B499" s="1" t="s">
        <v>525</v>
      </c>
      <c r="C499" s="32">
        <v>9172</v>
      </c>
      <c r="D499" s="1">
        <v>13000</v>
      </c>
      <c r="E499" s="1"/>
      <c r="F499" s="1">
        <v>144.15</v>
      </c>
      <c r="G499" s="1">
        <v>13000</v>
      </c>
      <c r="H499" s="5">
        <f t="shared" si="7"/>
        <v>0</v>
      </c>
      <c r="I499" s="1"/>
      <c r="J499" s="1"/>
    </row>
    <row r="500" spans="1:10" s="285" customFormat="1" x14ac:dyDescent="0.2">
      <c r="A500" s="32"/>
      <c r="B500" s="1" t="s">
        <v>525</v>
      </c>
      <c r="C500" s="32">
        <v>4115</v>
      </c>
      <c r="D500" s="1">
        <v>28000</v>
      </c>
      <c r="E500" s="1"/>
      <c r="F500" s="1">
        <v>324.54000000000002</v>
      </c>
      <c r="G500" s="1">
        <v>28000</v>
      </c>
      <c r="H500" s="5">
        <f t="shared" si="7"/>
        <v>0</v>
      </c>
      <c r="I500" s="1"/>
      <c r="J500" s="1"/>
    </row>
    <row r="501" spans="1:10" s="285" customFormat="1" x14ac:dyDescent="0.2">
      <c r="A501" s="32"/>
      <c r="B501" s="1" t="s">
        <v>525</v>
      </c>
      <c r="C501" s="32">
        <v>7.2800000000000004E-2</v>
      </c>
      <c r="D501" s="1">
        <v>20000</v>
      </c>
      <c r="E501" s="1"/>
      <c r="F501" s="1">
        <v>222.78</v>
      </c>
      <c r="G501" s="1">
        <v>20000</v>
      </c>
      <c r="H501" s="5">
        <f t="shared" si="7"/>
        <v>0</v>
      </c>
      <c r="I501" s="1"/>
      <c r="J501" s="1"/>
    </row>
    <row r="502" spans="1:10" s="285" customFormat="1" x14ac:dyDescent="0.2">
      <c r="A502" s="32"/>
      <c r="B502" s="1" t="s">
        <v>525</v>
      </c>
      <c r="C502" s="32">
        <v>9494</v>
      </c>
      <c r="D502" s="1">
        <v>25000</v>
      </c>
      <c r="E502" s="1"/>
      <c r="F502" s="1">
        <v>222.78</v>
      </c>
      <c r="G502" s="1">
        <v>25000</v>
      </c>
      <c r="H502" s="5">
        <f t="shared" si="7"/>
        <v>0</v>
      </c>
      <c r="I502" s="1"/>
      <c r="J502" s="1"/>
    </row>
    <row r="503" spans="1:10" s="285" customFormat="1" x14ac:dyDescent="0.2">
      <c r="A503" s="32"/>
      <c r="B503" s="1" t="s">
        <v>525</v>
      </c>
      <c r="C503" s="32">
        <v>1425</v>
      </c>
      <c r="D503" s="1">
        <v>13140</v>
      </c>
      <c r="E503" s="1"/>
      <c r="F503" s="1">
        <v>144.87</v>
      </c>
      <c r="G503" s="1">
        <v>13140</v>
      </c>
      <c r="H503" s="5">
        <f t="shared" si="7"/>
        <v>0</v>
      </c>
      <c r="I503" s="1"/>
      <c r="J503" s="1"/>
    </row>
    <row r="504" spans="1:10" s="285" customFormat="1" x14ac:dyDescent="0.2">
      <c r="A504" s="32"/>
      <c r="B504" s="1" t="s">
        <v>527</v>
      </c>
      <c r="C504" s="32">
        <v>5976</v>
      </c>
      <c r="D504" s="1">
        <v>13000</v>
      </c>
      <c r="E504" s="1"/>
      <c r="F504" s="1">
        <v>144.13</v>
      </c>
      <c r="G504" s="1">
        <v>13000</v>
      </c>
      <c r="H504" s="5">
        <f t="shared" si="7"/>
        <v>0</v>
      </c>
      <c r="I504" s="1"/>
      <c r="J504" s="1"/>
    </row>
    <row r="505" spans="1:10" s="285" customFormat="1" x14ac:dyDescent="0.2">
      <c r="A505" s="32"/>
      <c r="B505" s="1" t="s">
        <v>527</v>
      </c>
      <c r="C505" s="32">
        <v>4441</v>
      </c>
      <c r="D505" s="1">
        <v>16000</v>
      </c>
      <c r="E505" s="1"/>
      <c r="F505" s="1">
        <v>178.22</v>
      </c>
      <c r="G505" s="1">
        <v>16000</v>
      </c>
      <c r="H505" s="5">
        <f t="shared" si="7"/>
        <v>0</v>
      </c>
      <c r="I505" s="1"/>
      <c r="J505" s="1"/>
    </row>
    <row r="506" spans="1:10" s="285" customFormat="1" x14ac:dyDescent="0.2">
      <c r="A506" s="32"/>
      <c r="B506" s="1" t="s">
        <v>527</v>
      </c>
      <c r="C506" s="32">
        <v>4451</v>
      </c>
      <c r="D506" s="1">
        <v>15000</v>
      </c>
      <c r="E506" s="1"/>
      <c r="F506" s="1">
        <v>167.15</v>
      </c>
      <c r="G506" s="1">
        <v>15000</v>
      </c>
      <c r="H506" s="5">
        <f t="shared" si="7"/>
        <v>0</v>
      </c>
      <c r="I506" s="1"/>
      <c r="J506" s="1"/>
    </row>
    <row r="507" spans="1:10" s="285" customFormat="1" x14ac:dyDescent="0.2">
      <c r="A507" s="32"/>
      <c r="B507" s="1" t="s">
        <v>527</v>
      </c>
      <c r="C507" s="32">
        <v>2459</v>
      </c>
      <c r="D507" s="1">
        <v>15000</v>
      </c>
      <c r="E507" s="1"/>
      <c r="F507" s="1">
        <v>167.15</v>
      </c>
      <c r="G507" s="1">
        <v>15000</v>
      </c>
      <c r="H507" s="5">
        <f t="shared" si="7"/>
        <v>0</v>
      </c>
      <c r="I507" s="1"/>
      <c r="J507" s="1"/>
    </row>
    <row r="508" spans="1:10" s="285" customFormat="1" x14ac:dyDescent="0.2">
      <c r="A508" s="32"/>
      <c r="B508" s="1" t="s">
        <v>527</v>
      </c>
      <c r="C508" s="32">
        <v>4945</v>
      </c>
      <c r="D508" s="1">
        <v>17000</v>
      </c>
      <c r="E508" s="1"/>
      <c r="F508" s="1">
        <v>192.78</v>
      </c>
      <c r="G508" s="1">
        <v>17000</v>
      </c>
      <c r="H508" s="5">
        <f t="shared" si="7"/>
        <v>0</v>
      </c>
      <c r="I508" s="1"/>
      <c r="J508" s="1"/>
    </row>
    <row r="509" spans="1:10" s="285" customFormat="1" x14ac:dyDescent="0.2">
      <c r="A509" s="32"/>
      <c r="B509" s="1" t="s">
        <v>527</v>
      </c>
      <c r="C509" s="32">
        <v>4856</v>
      </c>
      <c r="D509" s="1">
        <v>15000</v>
      </c>
      <c r="E509" s="1"/>
      <c r="F509" s="1">
        <v>167.15</v>
      </c>
      <c r="G509" s="1">
        <v>15000</v>
      </c>
      <c r="H509" s="5">
        <f t="shared" si="7"/>
        <v>0</v>
      </c>
      <c r="I509" s="1"/>
      <c r="J509" s="1"/>
    </row>
    <row r="510" spans="1:10" s="285" customFormat="1" x14ac:dyDescent="0.2">
      <c r="A510" s="32"/>
      <c r="B510" s="1" t="s">
        <v>527</v>
      </c>
      <c r="C510" s="32">
        <v>8559</v>
      </c>
      <c r="D510" s="1">
        <v>15000</v>
      </c>
      <c r="E510" s="1"/>
      <c r="F510" s="1">
        <v>167.15</v>
      </c>
      <c r="G510" s="1">
        <v>15000</v>
      </c>
      <c r="H510" s="5">
        <f t="shared" si="7"/>
        <v>0</v>
      </c>
      <c r="I510" s="1"/>
      <c r="J510" s="1"/>
    </row>
    <row r="511" spans="1:10" s="285" customFormat="1" x14ac:dyDescent="0.2">
      <c r="A511" s="32"/>
      <c r="B511" s="1" t="s">
        <v>527</v>
      </c>
      <c r="C511" s="32">
        <v>2809</v>
      </c>
      <c r="D511" s="1">
        <v>15000</v>
      </c>
      <c r="E511" s="1"/>
      <c r="F511" s="1">
        <v>167.15</v>
      </c>
      <c r="G511" s="1">
        <v>15000</v>
      </c>
      <c r="H511" s="5">
        <f t="shared" si="7"/>
        <v>0</v>
      </c>
      <c r="I511" s="1"/>
      <c r="J511" s="1"/>
    </row>
    <row r="512" spans="1:10" s="285" customFormat="1" x14ac:dyDescent="0.2">
      <c r="A512" s="32"/>
      <c r="B512" s="1" t="s">
        <v>527</v>
      </c>
      <c r="C512" s="32">
        <v>7527</v>
      </c>
      <c r="D512" s="1">
        <v>15000</v>
      </c>
      <c r="E512" s="1"/>
      <c r="F512" s="1">
        <v>167.15</v>
      </c>
      <c r="G512" s="1">
        <v>15000</v>
      </c>
      <c r="H512" s="5">
        <f t="shared" si="7"/>
        <v>0</v>
      </c>
      <c r="I512" s="1"/>
      <c r="J512" s="1"/>
    </row>
    <row r="513" spans="1:10" s="285" customFormat="1" x14ac:dyDescent="0.2">
      <c r="A513" s="32"/>
      <c r="B513" s="1" t="s">
        <v>527</v>
      </c>
      <c r="C513" s="32" t="s">
        <v>30</v>
      </c>
      <c r="D513" s="1">
        <v>4500</v>
      </c>
      <c r="E513" s="1"/>
      <c r="F513" s="1">
        <v>50.17</v>
      </c>
      <c r="G513" s="1">
        <v>4500</v>
      </c>
      <c r="H513" s="5">
        <f t="shared" si="7"/>
        <v>0</v>
      </c>
      <c r="I513" s="1"/>
      <c r="J513" s="1"/>
    </row>
    <row r="514" spans="1:10" s="285" customFormat="1" x14ac:dyDescent="0.2">
      <c r="A514" s="32"/>
      <c r="B514" s="1" t="s">
        <v>527</v>
      </c>
      <c r="C514" s="32">
        <v>7021</v>
      </c>
      <c r="D514" s="1">
        <v>24000</v>
      </c>
      <c r="E514" s="1"/>
      <c r="F514" s="1">
        <v>251.47</v>
      </c>
      <c r="G514" s="1">
        <v>24000</v>
      </c>
      <c r="H514" s="5">
        <f t="shared" si="7"/>
        <v>0</v>
      </c>
      <c r="I514" s="1"/>
      <c r="J514" s="1"/>
    </row>
    <row r="515" spans="1:10" s="285" customFormat="1" x14ac:dyDescent="0.2">
      <c r="A515" s="32"/>
      <c r="B515" s="1" t="s">
        <v>527</v>
      </c>
      <c r="C515" s="32">
        <v>9289</v>
      </c>
      <c r="D515" s="1">
        <v>25000</v>
      </c>
      <c r="E515" s="1"/>
      <c r="F515" s="1">
        <v>278.64999999999998</v>
      </c>
      <c r="G515" s="1">
        <v>25000</v>
      </c>
      <c r="H515" s="5">
        <f t="shared" si="7"/>
        <v>0</v>
      </c>
      <c r="I515" s="1"/>
      <c r="J515" s="1"/>
    </row>
    <row r="516" spans="1:10" s="285" customFormat="1" x14ac:dyDescent="0.2">
      <c r="A516" s="32"/>
      <c r="B516" s="1" t="s">
        <v>527</v>
      </c>
      <c r="C516" s="32">
        <v>5239</v>
      </c>
      <c r="D516" s="1">
        <v>20000</v>
      </c>
      <c r="E516" s="1"/>
      <c r="F516" s="1">
        <v>222.74</v>
      </c>
      <c r="G516" s="1">
        <v>20000</v>
      </c>
      <c r="H516" s="5">
        <f t="shared" si="7"/>
        <v>0</v>
      </c>
      <c r="I516" s="1"/>
      <c r="J516" s="1"/>
    </row>
    <row r="517" spans="1:10" s="285" customFormat="1" x14ac:dyDescent="0.2">
      <c r="A517" s="32"/>
      <c r="B517" s="1" t="s">
        <v>527</v>
      </c>
      <c r="C517" s="32">
        <v>1751</v>
      </c>
      <c r="D517" s="1">
        <v>22000</v>
      </c>
      <c r="E517" s="1"/>
      <c r="F517" s="1">
        <v>245.87</v>
      </c>
      <c r="G517" s="1">
        <v>22000</v>
      </c>
      <c r="H517" s="5">
        <f t="shared" si="7"/>
        <v>0</v>
      </c>
      <c r="I517" s="1"/>
      <c r="J517" s="1"/>
    </row>
    <row r="518" spans="1:10" s="285" customFormat="1" x14ac:dyDescent="0.2">
      <c r="A518" s="32"/>
      <c r="B518" s="1" t="s">
        <v>527</v>
      </c>
      <c r="C518" s="32">
        <v>1224</v>
      </c>
      <c r="D518" s="1">
        <v>10000</v>
      </c>
      <c r="E518" s="1"/>
      <c r="F518" s="1">
        <v>111.47</v>
      </c>
      <c r="G518" s="1">
        <v>10000</v>
      </c>
      <c r="H518" s="5">
        <f t="shared" si="7"/>
        <v>0</v>
      </c>
      <c r="I518" s="1"/>
      <c r="J518" s="1"/>
    </row>
    <row r="519" spans="1:10" s="285" customFormat="1" x14ac:dyDescent="0.2">
      <c r="A519" s="32"/>
      <c r="B519" s="1" t="s">
        <v>527</v>
      </c>
      <c r="C519" s="32">
        <v>4106</v>
      </c>
      <c r="D519" s="1">
        <v>20000</v>
      </c>
      <c r="E519" s="1"/>
      <c r="F519" s="1">
        <v>222.97</v>
      </c>
      <c r="G519" s="1">
        <v>20000</v>
      </c>
      <c r="H519" s="5">
        <f t="shared" ref="H519:H621" si="8">D519-G519</f>
        <v>0</v>
      </c>
      <c r="I519" s="1"/>
      <c r="J519" s="1"/>
    </row>
    <row r="520" spans="1:10" s="285" customFormat="1" x14ac:dyDescent="0.2">
      <c r="A520" s="32"/>
      <c r="B520" s="1" t="s">
        <v>527</v>
      </c>
      <c r="C520" s="32" t="s">
        <v>66</v>
      </c>
      <c r="D520" s="1">
        <v>210</v>
      </c>
      <c r="E520" s="1"/>
      <c r="F520" s="1">
        <v>2.08</v>
      </c>
      <c r="G520" s="1">
        <v>210</v>
      </c>
      <c r="H520" s="5">
        <f t="shared" si="8"/>
        <v>0</v>
      </c>
      <c r="I520" s="1"/>
      <c r="J520" s="1"/>
    </row>
    <row r="521" spans="1:10" s="285" customFormat="1" x14ac:dyDescent="0.2">
      <c r="A521" s="32"/>
      <c r="B521" s="1" t="s">
        <v>527</v>
      </c>
      <c r="C521" s="32">
        <v>4.1000000000000003E-3</v>
      </c>
      <c r="D521" s="1">
        <v>23000</v>
      </c>
      <c r="E521" s="1"/>
      <c r="F521" s="1">
        <v>239.87</v>
      </c>
      <c r="G521" s="1">
        <v>23000</v>
      </c>
      <c r="H521" s="5">
        <f t="shared" si="8"/>
        <v>0</v>
      </c>
      <c r="I521" s="1"/>
      <c r="J521" s="1"/>
    </row>
    <row r="522" spans="1:10" s="285" customFormat="1" x14ac:dyDescent="0.2">
      <c r="A522" s="32"/>
      <c r="B522" s="1" t="s">
        <v>527</v>
      </c>
      <c r="C522" s="32">
        <v>7807</v>
      </c>
      <c r="D522" s="1">
        <v>16000</v>
      </c>
      <c r="E522" s="1"/>
      <c r="F522" s="1">
        <v>178.22</v>
      </c>
      <c r="G522" s="1">
        <v>16000</v>
      </c>
      <c r="H522" s="5">
        <f t="shared" si="8"/>
        <v>0</v>
      </c>
      <c r="I522" s="1"/>
      <c r="J522" s="1"/>
    </row>
    <row r="523" spans="1:10" s="285" customFormat="1" x14ac:dyDescent="0.2">
      <c r="A523" s="32"/>
      <c r="B523" s="1" t="s">
        <v>527</v>
      </c>
      <c r="C523" s="32">
        <v>9500</v>
      </c>
      <c r="D523" s="1">
        <v>24000</v>
      </c>
      <c r="E523" s="1"/>
      <c r="F523" s="1">
        <v>267.87</v>
      </c>
      <c r="G523" s="1">
        <v>24000</v>
      </c>
      <c r="H523" s="5">
        <f t="shared" si="8"/>
        <v>0</v>
      </c>
      <c r="I523" s="1"/>
      <c r="J523" s="1"/>
    </row>
    <row r="524" spans="1:10" s="285" customFormat="1" x14ac:dyDescent="0.2">
      <c r="A524" s="32"/>
      <c r="B524" s="1" t="s">
        <v>527</v>
      </c>
      <c r="C524" s="32">
        <v>2779</v>
      </c>
      <c r="D524" s="1">
        <v>22000</v>
      </c>
      <c r="E524" s="1"/>
      <c r="F524" s="1">
        <v>245.78</v>
      </c>
      <c r="G524" s="1">
        <v>22000</v>
      </c>
      <c r="H524" s="5">
        <f t="shared" si="8"/>
        <v>0</v>
      </c>
      <c r="I524" s="1"/>
      <c r="J524" s="1"/>
    </row>
    <row r="525" spans="1:10" s="285" customFormat="1" x14ac:dyDescent="0.2">
      <c r="A525" s="32"/>
      <c r="B525" s="1" t="s">
        <v>527</v>
      </c>
      <c r="C525" s="32">
        <v>2806</v>
      </c>
      <c r="D525" s="1">
        <v>15000</v>
      </c>
      <c r="E525" s="1"/>
      <c r="F525" s="1">
        <v>167.15</v>
      </c>
      <c r="G525" s="1">
        <v>15000</v>
      </c>
      <c r="H525" s="5">
        <f t="shared" si="8"/>
        <v>0</v>
      </c>
      <c r="I525" s="1"/>
      <c r="J525" s="1"/>
    </row>
    <row r="526" spans="1:10" s="285" customFormat="1" x14ac:dyDescent="0.2">
      <c r="A526" s="32"/>
      <c r="B526" s="1" t="s">
        <v>527</v>
      </c>
      <c r="C526" s="32">
        <v>8719</v>
      </c>
      <c r="D526" s="1">
        <v>33000</v>
      </c>
      <c r="E526" s="1"/>
      <c r="F526" s="1">
        <v>367.57</v>
      </c>
      <c r="G526" s="1">
        <v>33000</v>
      </c>
      <c r="H526" s="5">
        <f t="shared" si="8"/>
        <v>0</v>
      </c>
      <c r="I526" s="1"/>
      <c r="J526" s="1"/>
    </row>
    <row r="527" spans="1:10" s="285" customFormat="1" x14ac:dyDescent="0.2">
      <c r="A527" s="32"/>
      <c r="B527" s="1" t="s">
        <v>527</v>
      </c>
      <c r="C527" s="32">
        <v>9356</v>
      </c>
      <c r="D527" s="1">
        <v>28164</v>
      </c>
      <c r="E527" s="1"/>
      <c r="F527" s="1">
        <v>363.78</v>
      </c>
      <c r="G527" s="1">
        <v>28164</v>
      </c>
      <c r="H527" s="5">
        <f t="shared" si="8"/>
        <v>0</v>
      </c>
      <c r="I527" s="1"/>
      <c r="J527" s="1"/>
    </row>
    <row r="528" spans="1:10" s="285" customFormat="1" x14ac:dyDescent="0.2">
      <c r="A528" s="32"/>
      <c r="B528" s="1" t="s">
        <v>527</v>
      </c>
      <c r="C528" s="32" t="s">
        <v>30</v>
      </c>
      <c r="D528" s="1">
        <v>6000</v>
      </c>
      <c r="E528" s="1"/>
      <c r="F528" s="1">
        <v>66.48</v>
      </c>
      <c r="G528" s="1">
        <v>6000</v>
      </c>
      <c r="H528" s="5">
        <f t="shared" si="8"/>
        <v>0</v>
      </c>
      <c r="I528" s="1"/>
      <c r="J528" s="1"/>
    </row>
    <row r="529" spans="1:10" s="285" customFormat="1" x14ac:dyDescent="0.2">
      <c r="A529" s="32"/>
      <c r="B529" s="1" t="s">
        <v>527</v>
      </c>
      <c r="C529" s="32">
        <v>9422</v>
      </c>
      <c r="D529" s="1">
        <v>30000</v>
      </c>
      <c r="E529" s="1"/>
      <c r="F529" s="1">
        <v>334.74</v>
      </c>
      <c r="G529" s="1">
        <v>30000</v>
      </c>
      <c r="H529" s="5">
        <f t="shared" si="8"/>
        <v>0</v>
      </c>
      <c r="I529" s="1"/>
      <c r="J529" s="1"/>
    </row>
    <row r="530" spans="1:10" s="285" customFormat="1" x14ac:dyDescent="0.2">
      <c r="A530" s="32"/>
      <c r="B530" s="1" t="s">
        <v>527</v>
      </c>
      <c r="C530" s="32">
        <v>7497</v>
      </c>
      <c r="D530" s="1">
        <v>24000</v>
      </c>
      <c r="E530" s="1"/>
      <c r="F530" s="1">
        <v>251.47</v>
      </c>
      <c r="G530" s="1">
        <v>24000</v>
      </c>
      <c r="H530" s="5">
        <f t="shared" si="8"/>
        <v>0</v>
      </c>
      <c r="I530" s="1"/>
      <c r="J530" s="1"/>
    </row>
    <row r="531" spans="1:10" s="285" customFormat="1" x14ac:dyDescent="0.2">
      <c r="A531" s="32"/>
      <c r="B531" s="1" t="s">
        <v>527</v>
      </c>
      <c r="C531" s="32">
        <v>4688</v>
      </c>
      <c r="D531" s="1">
        <v>29000</v>
      </c>
      <c r="E531" s="1"/>
      <c r="F531" s="1">
        <v>323.87</v>
      </c>
      <c r="G531" s="1">
        <v>29000</v>
      </c>
      <c r="H531" s="5">
        <f t="shared" si="8"/>
        <v>0</v>
      </c>
      <c r="I531" s="1"/>
      <c r="J531" s="1"/>
    </row>
    <row r="532" spans="1:10" s="285" customFormat="1" x14ac:dyDescent="0.2">
      <c r="A532" s="32"/>
      <c r="B532" s="1" t="s">
        <v>527</v>
      </c>
      <c r="C532" s="32">
        <v>8.6900000000000005E-2</v>
      </c>
      <c r="D532" s="1">
        <v>25000</v>
      </c>
      <c r="E532" s="1"/>
      <c r="F532" s="1">
        <v>278.22000000000003</v>
      </c>
      <c r="G532" s="1">
        <v>25000</v>
      </c>
      <c r="H532" s="5">
        <f t="shared" si="8"/>
        <v>0</v>
      </c>
      <c r="I532" s="1"/>
      <c r="J532" s="1"/>
    </row>
    <row r="533" spans="1:10" s="285" customFormat="1" x14ac:dyDescent="0.2">
      <c r="A533" s="32"/>
      <c r="B533" s="1" t="s">
        <v>527</v>
      </c>
      <c r="C533" s="32">
        <v>3497</v>
      </c>
      <c r="D533" s="1">
        <v>19500</v>
      </c>
      <c r="E533" s="1"/>
      <c r="F533" s="1">
        <v>217.45</v>
      </c>
      <c r="G533" s="1">
        <v>19500</v>
      </c>
      <c r="H533" s="5">
        <f t="shared" si="8"/>
        <v>0</v>
      </c>
      <c r="I533" s="1"/>
      <c r="J533" s="1"/>
    </row>
    <row r="534" spans="1:10" s="285" customFormat="1" x14ac:dyDescent="0.2">
      <c r="A534" s="32"/>
      <c r="B534" s="1" t="s">
        <v>527</v>
      </c>
      <c r="C534" s="32">
        <v>2528</v>
      </c>
      <c r="D534" s="1">
        <v>20000</v>
      </c>
      <c r="E534" s="1"/>
      <c r="F534" s="1">
        <v>222.54</v>
      </c>
      <c r="G534" s="1">
        <v>20000</v>
      </c>
      <c r="H534" s="5">
        <f t="shared" si="8"/>
        <v>0</v>
      </c>
      <c r="I534" s="1"/>
      <c r="J534" s="1"/>
    </row>
    <row r="535" spans="1:10" s="285" customFormat="1" x14ac:dyDescent="0.2">
      <c r="A535" s="32"/>
      <c r="B535" s="1" t="s">
        <v>527</v>
      </c>
      <c r="C535" s="32">
        <v>5847</v>
      </c>
      <c r="D535" s="1">
        <v>28000</v>
      </c>
      <c r="E535" s="1"/>
      <c r="F535" s="1">
        <v>311.57</v>
      </c>
      <c r="G535" s="1">
        <v>28000</v>
      </c>
      <c r="H535" s="5">
        <f t="shared" si="8"/>
        <v>0</v>
      </c>
      <c r="I535" s="1"/>
      <c r="J535" s="1"/>
    </row>
    <row r="536" spans="1:10" s="285" customFormat="1" x14ac:dyDescent="0.2">
      <c r="A536" s="32"/>
      <c r="B536" s="1" t="s">
        <v>527</v>
      </c>
      <c r="C536" s="32">
        <v>8228</v>
      </c>
      <c r="D536" s="1">
        <v>30000</v>
      </c>
      <c r="E536" s="1"/>
      <c r="F536" s="1">
        <v>334.74</v>
      </c>
      <c r="G536" s="1">
        <v>30000</v>
      </c>
      <c r="H536" s="5">
        <f t="shared" si="8"/>
        <v>0</v>
      </c>
      <c r="I536" s="1"/>
      <c r="J536" s="1"/>
    </row>
    <row r="537" spans="1:10" s="285" customFormat="1" x14ac:dyDescent="0.2">
      <c r="A537" s="32"/>
      <c r="B537" s="1" t="s">
        <v>528</v>
      </c>
      <c r="C537" s="32">
        <v>4315</v>
      </c>
      <c r="D537" s="1">
        <v>15000</v>
      </c>
      <c r="E537" s="1"/>
      <c r="F537" s="1">
        <v>167.15</v>
      </c>
      <c r="G537" s="1">
        <v>15000</v>
      </c>
      <c r="H537" s="5">
        <f t="shared" si="8"/>
        <v>0</v>
      </c>
      <c r="I537" s="1"/>
      <c r="J537" s="1"/>
    </row>
    <row r="538" spans="1:10" s="285" customFormat="1" x14ac:dyDescent="0.2">
      <c r="A538" s="32"/>
      <c r="B538" s="1" t="s">
        <v>528</v>
      </c>
      <c r="C538" s="32" t="s">
        <v>63</v>
      </c>
      <c r="D538" s="1">
        <v>2500</v>
      </c>
      <c r="E538" s="1"/>
      <c r="F538" s="1">
        <v>27.48</v>
      </c>
      <c r="G538" s="1">
        <v>2500</v>
      </c>
      <c r="H538" s="5">
        <f t="shared" si="8"/>
        <v>0</v>
      </c>
      <c r="I538" s="1"/>
      <c r="J538" s="1"/>
    </row>
    <row r="539" spans="1:10" s="285" customFormat="1" x14ac:dyDescent="0.2">
      <c r="A539" s="32"/>
      <c r="B539" s="1" t="s">
        <v>528</v>
      </c>
      <c r="C539" s="32">
        <v>4059</v>
      </c>
      <c r="D539" s="1">
        <v>15000</v>
      </c>
      <c r="E539" s="1"/>
      <c r="F539" s="1">
        <v>167.15</v>
      </c>
      <c r="G539" s="1">
        <v>15000</v>
      </c>
      <c r="H539" s="5">
        <f t="shared" si="8"/>
        <v>0</v>
      </c>
      <c r="I539" s="1"/>
      <c r="J539" s="1"/>
    </row>
    <row r="540" spans="1:10" s="285" customFormat="1" x14ac:dyDescent="0.2">
      <c r="A540" s="32"/>
      <c r="B540" s="1" t="s">
        <v>528</v>
      </c>
      <c r="C540" s="32">
        <v>9360</v>
      </c>
      <c r="D540" s="1">
        <v>14000</v>
      </c>
      <c r="E540" s="1"/>
      <c r="F540" s="1">
        <v>156.47999999999999</v>
      </c>
      <c r="G540" s="1">
        <v>14000</v>
      </c>
      <c r="H540" s="5">
        <f t="shared" si="8"/>
        <v>0</v>
      </c>
      <c r="I540" s="1"/>
      <c r="J540" s="1"/>
    </row>
    <row r="541" spans="1:10" s="285" customFormat="1" x14ac:dyDescent="0.2">
      <c r="A541" s="32"/>
      <c r="B541" s="1" t="s">
        <v>528</v>
      </c>
      <c r="C541" s="32">
        <v>6659</v>
      </c>
      <c r="D541" s="1">
        <v>16000</v>
      </c>
      <c r="E541" s="1"/>
      <c r="F541" s="1">
        <v>178.22</v>
      </c>
      <c r="G541" s="1">
        <v>16000</v>
      </c>
      <c r="H541" s="5">
        <f t="shared" si="8"/>
        <v>0</v>
      </c>
      <c r="I541" s="1"/>
      <c r="J541" s="1"/>
    </row>
    <row r="542" spans="1:10" s="285" customFormat="1" x14ac:dyDescent="0.2">
      <c r="A542" s="32"/>
      <c r="B542" s="1" t="s">
        <v>528</v>
      </c>
      <c r="C542" s="32">
        <v>5077</v>
      </c>
      <c r="D542" s="1">
        <v>15000</v>
      </c>
      <c r="E542" s="1"/>
      <c r="F542" s="1">
        <v>167.15</v>
      </c>
      <c r="G542" s="1">
        <v>15000</v>
      </c>
      <c r="H542" s="5">
        <f t="shared" si="8"/>
        <v>0</v>
      </c>
      <c r="I542" s="1"/>
      <c r="J542" s="1"/>
    </row>
    <row r="543" spans="1:10" s="285" customFormat="1" x14ac:dyDescent="0.2">
      <c r="A543" s="32"/>
      <c r="B543" s="1" t="s">
        <v>528</v>
      </c>
      <c r="C543" s="32">
        <v>6573</v>
      </c>
      <c r="D543" s="1">
        <v>15000</v>
      </c>
      <c r="E543" s="1"/>
      <c r="F543" s="1">
        <v>167.15</v>
      </c>
      <c r="G543" s="1">
        <v>15000</v>
      </c>
      <c r="H543" s="5">
        <f t="shared" si="8"/>
        <v>0</v>
      </c>
      <c r="I543" s="1"/>
      <c r="J543" s="1"/>
    </row>
    <row r="544" spans="1:10" s="285" customFormat="1" x14ac:dyDescent="0.2">
      <c r="A544" s="32"/>
      <c r="B544" s="1" t="s">
        <v>528</v>
      </c>
      <c r="C544" s="32">
        <v>9906</v>
      </c>
      <c r="D544" s="1">
        <v>20000</v>
      </c>
      <c r="E544" s="1"/>
      <c r="F544" s="1">
        <v>222.54</v>
      </c>
      <c r="G544" s="1">
        <v>20000</v>
      </c>
      <c r="H544" s="5">
        <f t="shared" si="8"/>
        <v>0</v>
      </c>
      <c r="I544" s="1"/>
      <c r="J544" s="1"/>
    </row>
    <row r="545" spans="1:10" s="285" customFormat="1" x14ac:dyDescent="0.2">
      <c r="A545" s="32"/>
      <c r="B545" s="1" t="s">
        <v>528</v>
      </c>
      <c r="C545" s="32" t="s">
        <v>30</v>
      </c>
      <c r="D545" s="1">
        <v>5000</v>
      </c>
      <c r="E545" s="1"/>
      <c r="F545" s="1">
        <v>55.45</v>
      </c>
      <c r="G545" s="1">
        <v>5000</v>
      </c>
      <c r="H545" s="5">
        <f t="shared" si="8"/>
        <v>0</v>
      </c>
      <c r="I545" s="1"/>
      <c r="J545" s="1"/>
    </row>
    <row r="546" spans="1:10" s="285" customFormat="1" x14ac:dyDescent="0.2">
      <c r="A546" s="32"/>
      <c r="B546" s="1" t="s">
        <v>528</v>
      </c>
      <c r="C546" s="32">
        <v>4058</v>
      </c>
      <c r="D546" s="1">
        <v>15000</v>
      </c>
      <c r="E546" s="1"/>
      <c r="F546" s="1">
        <v>167.15</v>
      </c>
      <c r="G546" s="1">
        <v>15000</v>
      </c>
      <c r="H546" s="5">
        <f t="shared" si="8"/>
        <v>0</v>
      </c>
      <c r="I546" s="1"/>
      <c r="J546" s="1"/>
    </row>
    <row r="547" spans="1:10" s="285" customFormat="1" x14ac:dyDescent="0.2">
      <c r="A547" s="32"/>
      <c r="B547" s="1" t="s">
        <v>528</v>
      </c>
      <c r="C547" s="32">
        <v>2673</v>
      </c>
      <c r="D547" s="1">
        <v>15000</v>
      </c>
      <c r="E547" s="1"/>
      <c r="F547" s="1">
        <v>167.15</v>
      </c>
      <c r="G547" s="1">
        <v>15000</v>
      </c>
      <c r="H547" s="5">
        <f t="shared" si="8"/>
        <v>0</v>
      </c>
      <c r="I547" s="1"/>
      <c r="J547" s="1"/>
    </row>
    <row r="548" spans="1:10" s="285" customFormat="1" x14ac:dyDescent="0.2">
      <c r="A548" s="32"/>
      <c r="B548" s="1" t="s">
        <v>528</v>
      </c>
      <c r="C548" s="32">
        <v>5.1000000000000004E-3</v>
      </c>
      <c r="D548" s="1">
        <v>16000</v>
      </c>
      <c r="E548" s="1"/>
      <c r="F548" s="1">
        <v>178.22</v>
      </c>
      <c r="G548" s="1">
        <v>16000</v>
      </c>
      <c r="H548" s="5">
        <f t="shared" si="8"/>
        <v>0</v>
      </c>
      <c r="I548" s="1"/>
      <c r="J548" s="1"/>
    </row>
    <row r="549" spans="1:10" s="285" customFormat="1" x14ac:dyDescent="0.2">
      <c r="A549" s="32"/>
      <c r="B549" s="1" t="s">
        <v>528</v>
      </c>
      <c r="C549" s="32">
        <v>8109</v>
      </c>
      <c r="D549" s="1">
        <v>28000</v>
      </c>
      <c r="E549" s="1"/>
      <c r="F549" s="1">
        <v>311.48</v>
      </c>
      <c r="G549" s="1">
        <v>28000</v>
      </c>
      <c r="H549" s="5">
        <f t="shared" si="8"/>
        <v>0</v>
      </c>
      <c r="I549" s="1"/>
      <c r="J549" s="1"/>
    </row>
    <row r="550" spans="1:10" s="285" customFormat="1" x14ac:dyDescent="0.2">
      <c r="A550" s="32"/>
      <c r="B550" s="1" t="s">
        <v>528</v>
      </c>
      <c r="C550" s="32">
        <v>1.54E-2</v>
      </c>
      <c r="D550" s="1">
        <v>25000</v>
      </c>
      <c r="E550" s="1"/>
      <c r="F550" s="1">
        <v>278.22000000000003</v>
      </c>
      <c r="G550" s="1">
        <v>25000</v>
      </c>
      <c r="H550" s="5">
        <f t="shared" si="8"/>
        <v>0</v>
      </c>
      <c r="I550" s="1"/>
      <c r="J550" s="1"/>
    </row>
    <row r="551" spans="1:10" s="285" customFormat="1" x14ac:dyDescent="0.2">
      <c r="A551" s="32"/>
      <c r="B551" s="1" t="s">
        <v>528</v>
      </c>
      <c r="C551" s="32">
        <v>7365</v>
      </c>
      <c r="D551" s="1">
        <v>22000</v>
      </c>
      <c r="E551" s="1"/>
      <c r="F551" s="1">
        <v>247.64</v>
      </c>
      <c r="G551" s="1">
        <v>22000</v>
      </c>
      <c r="H551" s="5">
        <f t="shared" si="8"/>
        <v>0</v>
      </c>
      <c r="I551" s="1"/>
      <c r="J551" s="1"/>
    </row>
    <row r="552" spans="1:10" s="279" customFormat="1" x14ac:dyDescent="0.2">
      <c r="A552" s="32"/>
      <c r="B552" s="1" t="s">
        <v>528</v>
      </c>
      <c r="C552" s="32">
        <v>1910</v>
      </c>
      <c r="D552" s="1">
        <v>25000</v>
      </c>
      <c r="E552" s="1"/>
      <c r="F552" s="1">
        <v>278.22000000000003</v>
      </c>
      <c r="G552" s="1">
        <v>25000</v>
      </c>
      <c r="H552" s="5">
        <f t="shared" si="8"/>
        <v>0</v>
      </c>
      <c r="I552" s="1"/>
      <c r="J552" s="1"/>
    </row>
    <row r="553" spans="1:10" s="279" customFormat="1" x14ac:dyDescent="0.2">
      <c r="A553" s="32"/>
      <c r="B553" s="1" t="s">
        <v>528</v>
      </c>
      <c r="C553" s="32">
        <v>7615</v>
      </c>
      <c r="D553" s="1">
        <v>30000</v>
      </c>
      <c r="E553" s="1"/>
      <c r="F553" s="1">
        <v>334.74</v>
      </c>
      <c r="G553" s="1">
        <v>30000</v>
      </c>
      <c r="H553" s="5">
        <f t="shared" si="8"/>
        <v>0</v>
      </c>
      <c r="I553" s="1"/>
      <c r="J553" s="1"/>
    </row>
    <row r="554" spans="1:10" s="279" customFormat="1" x14ac:dyDescent="0.2">
      <c r="A554" s="32"/>
      <c r="B554" s="1" t="s">
        <v>528</v>
      </c>
      <c r="C554" s="32">
        <v>3317</v>
      </c>
      <c r="D554" s="1">
        <v>30000</v>
      </c>
      <c r="E554" s="1"/>
      <c r="F554" s="1">
        <v>334.74</v>
      </c>
      <c r="G554" s="1">
        <v>30000</v>
      </c>
      <c r="H554" s="5">
        <f t="shared" si="8"/>
        <v>0</v>
      </c>
      <c r="I554" s="1"/>
      <c r="J554" s="1"/>
    </row>
    <row r="555" spans="1:10" s="279" customFormat="1" x14ac:dyDescent="0.2">
      <c r="A555" s="32"/>
      <c r="B555" s="1" t="s">
        <v>528</v>
      </c>
      <c r="C555" s="32">
        <v>8784</v>
      </c>
      <c r="D555" s="1">
        <v>30000</v>
      </c>
      <c r="E555" s="1"/>
      <c r="F555" s="1">
        <v>334.74</v>
      </c>
      <c r="G555" s="1">
        <v>30000</v>
      </c>
      <c r="H555" s="5">
        <f t="shared" si="8"/>
        <v>0</v>
      </c>
      <c r="I555" s="1"/>
      <c r="J555" s="1"/>
    </row>
    <row r="556" spans="1:10" s="285" customFormat="1" x14ac:dyDescent="0.2">
      <c r="A556" s="32"/>
      <c r="B556" s="1" t="s">
        <v>528</v>
      </c>
      <c r="C556" s="32">
        <v>7.1099999999999997E-2</v>
      </c>
      <c r="D556" s="1">
        <v>30000</v>
      </c>
      <c r="E556" s="1"/>
      <c r="F556" s="1">
        <v>334.74</v>
      </c>
      <c r="G556" s="1">
        <v>30000</v>
      </c>
      <c r="H556" s="5">
        <f t="shared" si="8"/>
        <v>0</v>
      </c>
      <c r="I556" s="1"/>
      <c r="J556" s="1"/>
    </row>
    <row r="557" spans="1:10" s="285" customFormat="1" x14ac:dyDescent="0.2">
      <c r="A557" s="32"/>
      <c r="B557" s="1" t="s">
        <v>528</v>
      </c>
      <c r="C557" s="32">
        <v>5.7799999999999997E-2</v>
      </c>
      <c r="D557" s="1">
        <v>21000</v>
      </c>
      <c r="E557" s="1"/>
      <c r="F557" s="1">
        <v>233.57</v>
      </c>
      <c r="G557" s="1">
        <v>21000</v>
      </c>
      <c r="H557" s="5">
        <f t="shared" si="8"/>
        <v>0</v>
      </c>
      <c r="I557" s="1"/>
      <c r="J557" s="1"/>
    </row>
    <row r="558" spans="1:10" s="285" customFormat="1" x14ac:dyDescent="0.2">
      <c r="A558" s="32"/>
      <c r="B558" s="1" t="s">
        <v>528</v>
      </c>
      <c r="C558" s="32">
        <v>6393</v>
      </c>
      <c r="D558" s="1">
        <v>20000</v>
      </c>
      <c r="E558" s="1"/>
      <c r="F558" s="1">
        <v>232.57</v>
      </c>
      <c r="G558" s="1">
        <v>20000</v>
      </c>
      <c r="H558" s="5">
        <f t="shared" si="8"/>
        <v>0</v>
      </c>
      <c r="I558" s="1"/>
      <c r="J558" s="1"/>
    </row>
    <row r="559" spans="1:10" s="285" customFormat="1" x14ac:dyDescent="0.2">
      <c r="A559" s="32"/>
      <c r="B559" s="1" t="s">
        <v>528</v>
      </c>
      <c r="C559" s="32">
        <v>5.7000000000000002E-3</v>
      </c>
      <c r="D559" s="1">
        <v>20000</v>
      </c>
      <c r="E559" s="1"/>
      <c r="F559" s="1">
        <v>278.22000000000003</v>
      </c>
      <c r="G559" s="1">
        <v>20000</v>
      </c>
      <c r="H559" s="5">
        <f t="shared" si="8"/>
        <v>0</v>
      </c>
      <c r="I559" s="1"/>
      <c r="J559" s="1"/>
    </row>
    <row r="560" spans="1:10" s="285" customFormat="1" x14ac:dyDescent="0.2">
      <c r="A560" s="32"/>
      <c r="B560" s="1" t="s">
        <v>528</v>
      </c>
      <c r="C560" s="32">
        <v>9383</v>
      </c>
      <c r="D560" s="1">
        <v>30000</v>
      </c>
      <c r="E560" s="1"/>
      <c r="F560" s="1">
        <v>334.74</v>
      </c>
      <c r="G560" s="1">
        <v>30000</v>
      </c>
      <c r="H560" s="5">
        <f t="shared" si="8"/>
        <v>0</v>
      </c>
      <c r="I560" s="1"/>
      <c r="J560" s="1"/>
    </row>
    <row r="561" spans="1:10" s="285" customFormat="1" x14ac:dyDescent="0.2">
      <c r="A561" s="32"/>
      <c r="B561" s="1" t="s">
        <v>528</v>
      </c>
      <c r="C561" s="32">
        <v>3330</v>
      </c>
      <c r="D561" s="1">
        <v>19000</v>
      </c>
      <c r="E561" s="1"/>
      <c r="F561" s="1">
        <v>257.54000000000002</v>
      </c>
      <c r="G561" s="1">
        <v>19000</v>
      </c>
      <c r="H561" s="5">
        <f t="shared" si="8"/>
        <v>0</v>
      </c>
      <c r="I561" s="1"/>
      <c r="J561" s="1"/>
    </row>
    <row r="562" spans="1:10" s="285" customFormat="1" x14ac:dyDescent="0.2">
      <c r="A562" s="32"/>
      <c r="B562" s="1" t="s">
        <v>528</v>
      </c>
      <c r="C562" s="32">
        <v>3505</v>
      </c>
      <c r="D562" s="1">
        <v>20000</v>
      </c>
      <c r="E562" s="1"/>
      <c r="F562" s="1">
        <v>278.22000000000003</v>
      </c>
      <c r="G562" s="1">
        <v>20000</v>
      </c>
      <c r="H562" s="5">
        <f t="shared" si="8"/>
        <v>0</v>
      </c>
      <c r="I562" s="1"/>
      <c r="J562" s="1"/>
    </row>
    <row r="563" spans="1:10" s="285" customFormat="1" x14ac:dyDescent="0.2">
      <c r="A563" s="32"/>
      <c r="B563" s="1" t="s">
        <v>528</v>
      </c>
      <c r="C563" s="32">
        <v>8676</v>
      </c>
      <c r="D563" s="1">
        <v>21000</v>
      </c>
      <c r="E563" s="1"/>
      <c r="F563" s="1">
        <v>233.57</v>
      </c>
      <c r="G563" s="1">
        <v>21000</v>
      </c>
      <c r="H563" s="5">
        <f t="shared" si="8"/>
        <v>0</v>
      </c>
      <c r="I563" s="1"/>
      <c r="J563" s="1"/>
    </row>
    <row r="564" spans="1:10" s="285" customFormat="1" x14ac:dyDescent="0.2">
      <c r="A564" s="32"/>
      <c r="B564" s="1" t="s">
        <v>528</v>
      </c>
      <c r="C564" s="32">
        <v>9701</v>
      </c>
      <c r="D564" s="1">
        <v>20000</v>
      </c>
      <c r="E564" s="1"/>
      <c r="F564" s="1">
        <v>222.74</v>
      </c>
      <c r="G564" s="1">
        <v>20000</v>
      </c>
      <c r="H564" s="5">
        <f t="shared" si="8"/>
        <v>0</v>
      </c>
      <c r="I564" s="1"/>
      <c r="J564" s="1"/>
    </row>
    <row r="565" spans="1:10" s="285" customFormat="1" x14ac:dyDescent="0.2">
      <c r="A565" s="32"/>
      <c r="B565" s="1" t="s">
        <v>528</v>
      </c>
      <c r="C565" s="32">
        <v>7605</v>
      </c>
      <c r="D565" s="1">
        <v>25000</v>
      </c>
      <c r="E565" s="1"/>
      <c r="F565" s="1">
        <v>278.22000000000003</v>
      </c>
      <c r="G565" s="1">
        <v>25000</v>
      </c>
      <c r="H565" s="5">
        <f t="shared" si="8"/>
        <v>0</v>
      </c>
      <c r="I565" s="1"/>
      <c r="J565" s="1"/>
    </row>
    <row r="566" spans="1:10" s="285" customFormat="1" x14ac:dyDescent="0.2">
      <c r="A566" s="32"/>
      <c r="B566" s="1" t="s">
        <v>528</v>
      </c>
      <c r="C566" s="32">
        <v>7877</v>
      </c>
      <c r="D566" s="1">
        <v>25021</v>
      </c>
      <c r="E566" s="1"/>
      <c r="F566" s="1">
        <v>278.54000000000002</v>
      </c>
      <c r="G566" s="1">
        <v>25021</v>
      </c>
      <c r="H566" s="5">
        <f t="shared" si="8"/>
        <v>0</v>
      </c>
      <c r="I566" s="1"/>
      <c r="J566" s="1"/>
    </row>
    <row r="567" spans="1:10" s="285" customFormat="1" x14ac:dyDescent="0.2">
      <c r="A567" s="32"/>
      <c r="B567" s="1" t="s">
        <v>528</v>
      </c>
      <c r="C567" s="32">
        <v>6777</v>
      </c>
      <c r="D567" s="1">
        <v>23210</v>
      </c>
      <c r="E567" s="1"/>
      <c r="F567" s="1">
        <v>258.97000000000003</v>
      </c>
      <c r="G567" s="1">
        <v>23210</v>
      </c>
      <c r="H567" s="5">
        <f t="shared" si="8"/>
        <v>0</v>
      </c>
      <c r="I567" s="1"/>
      <c r="J567" s="1"/>
    </row>
    <row r="568" spans="1:10" s="285" customFormat="1" x14ac:dyDescent="0.2">
      <c r="A568" s="32"/>
      <c r="B568" s="1" t="s">
        <v>530</v>
      </c>
      <c r="C568" s="32" t="s">
        <v>30</v>
      </c>
      <c r="D568" s="1">
        <v>4500</v>
      </c>
      <c r="E568" s="1"/>
      <c r="F568" s="1">
        <v>50.15</v>
      </c>
      <c r="G568" s="1">
        <v>4500</v>
      </c>
      <c r="H568" s="5">
        <f t="shared" si="8"/>
        <v>0</v>
      </c>
      <c r="I568" s="1"/>
      <c r="J568" s="1"/>
    </row>
    <row r="569" spans="1:10" s="285" customFormat="1" x14ac:dyDescent="0.2">
      <c r="A569" s="32"/>
      <c r="B569" s="1" t="s">
        <v>530</v>
      </c>
      <c r="C569" s="32">
        <v>5931</v>
      </c>
      <c r="D569" s="1">
        <v>16000</v>
      </c>
      <c r="E569" s="1"/>
      <c r="F569" s="1">
        <v>178.22</v>
      </c>
      <c r="G569" s="1">
        <v>16000</v>
      </c>
      <c r="H569" s="5">
        <f t="shared" si="8"/>
        <v>0</v>
      </c>
      <c r="I569" s="1"/>
      <c r="J569" s="1"/>
    </row>
    <row r="570" spans="1:10" s="285" customFormat="1" x14ac:dyDescent="0.2">
      <c r="A570" s="32"/>
      <c r="B570" s="1" t="s">
        <v>530</v>
      </c>
      <c r="C570" s="32">
        <v>3558</v>
      </c>
      <c r="D570" s="1">
        <v>30000</v>
      </c>
      <c r="E570" s="1"/>
      <c r="F570" s="1">
        <v>334.74</v>
      </c>
      <c r="G570" s="1">
        <v>30000</v>
      </c>
      <c r="H570" s="5">
        <f t="shared" si="8"/>
        <v>0</v>
      </c>
      <c r="I570" s="1"/>
      <c r="J570" s="1"/>
    </row>
    <row r="571" spans="1:10" s="285" customFormat="1" x14ac:dyDescent="0.2">
      <c r="A571" s="32"/>
      <c r="B571" s="1" t="s">
        <v>530</v>
      </c>
      <c r="C571" s="32">
        <v>2295</v>
      </c>
      <c r="D571" s="1">
        <v>30000</v>
      </c>
      <c r="E571" s="1"/>
      <c r="F571" s="1">
        <v>334.74</v>
      </c>
      <c r="G571" s="1">
        <v>30000</v>
      </c>
      <c r="H571" s="5">
        <f t="shared" si="8"/>
        <v>0</v>
      </c>
      <c r="I571" s="1"/>
      <c r="J571" s="1"/>
    </row>
    <row r="572" spans="1:10" s="285" customFormat="1" x14ac:dyDescent="0.2">
      <c r="A572" s="32"/>
      <c r="B572" s="1" t="s">
        <v>530</v>
      </c>
      <c r="C572" s="32">
        <v>5278</v>
      </c>
      <c r="D572" s="1">
        <v>20000</v>
      </c>
      <c r="E572" s="1"/>
      <c r="F572" s="1">
        <v>278.22000000000003</v>
      </c>
      <c r="G572" s="1">
        <v>20000</v>
      </c>
      <c r="H572" s="5">
        <f t="shared" si="8"/>
        <v>0</v>
      </c>
      <c r="I572" s="1"/>
      <c r="J572" s="1"/>
    </row>
    <row r="573" spans="1:10" s="285" customFormat="1" x14ac:dyDescent="0.2">
      <c r="A573" s="32"/>
      <c r="B573" s="1" t="s">
        <v>530</v>
      </c>
      <c r="C573" s="32">
        <v>3247</v>
      </c>
      <c r="D573" s="1">
        <v>20000</v>
      </c>
      <c r="E573" s="1"/>
      <c r="F573" s="1">
        <v>278.22000000000003</v>
      </c>
      <c r="G573" s="1">
        <v>20000</v>
      </c>
      <c r="H573" s="5">
        <f t="shared" si="8"/>
        <v>0</v>
      </c>
      <c r="I573" s="1"/>
      <c r="J573" s="1"/>
    </row>
    <row r="574" spans="1:10" s="285" customFormat="1" x14ac:dyDescent="0.2">
      <c r="A574" s="32"/>
      <c r="B574" s="1" t="s">
        <v>530</v>
      </c>
      <c r="C574" s="32">
        <v>8288</v>
      </c>
      <c r="D574" s="1">
        <v>20000</v>
      </c>
      <c r="E574" s="1"/>
      <c r="F574" s="1">
        <v>278.22000000000003</v>
      </c>
      <c r="G574" s="1">
        <v>20000</v>
      </c>
      <c r="H574" s="5">
        <f t="shared" si="8"/>
        <v>0</v>
      </c>
      <c r="I574" s="1"/>
      <c r="J574" s="1"/>
    </row>
    <row r="575" spans="1:10" s="285" customFormat="1" x14ac:dyDescent="0.2">
      <c r="A575" s="32"/>
      <c r="B575" s="1" t="s">
        <v>530</v>
      </c>
      <c r="C575" s="32">
        <v>8154</v>
      </c>
      <c r="D575" s="1">
        <v>26000</v>
      </c>
      <c r="E575" s="1"/>
      <c r="F575" s="1">
        <v>289.74</v>
      </c>
      <c r="G575" s="1">
        <v>26000</v>
      </c>
      <c r="H575" s="5">
        <f t="shared" si="8"/>
        <v>0</v>
      </c>
      <c r="I575" s="1"/>
      <c r="J575" s="1"/>
    </row>
    <row r="576" spans="1:10" s="285" customFormat="1" x14ac:dyDescent="0.2">
      <c r="A576" s="32"/>
      <c r="B576" s="1" t="s">
        <v>530</v>
      </c>
      <c r="C576" s="32">
        <v>1403</v>
      </c>
      <c r="D576" s="1">
        <v>26000</v>
      </c>
      <c r="E576" s="1"/>
      <c r="F576" s="1">
        <v>289.74</v>
      </c>
      <c r="G576" s="1">
        <v>26000</v>
      </c>
      <c r="H576" s="5">
        <f t="shared" si="8"/>
        <v>0</v>
      </c>
      <c r="I576" s="1"/>
      <c r="J576" s="1"/>
    </row>
    <row r="577" spans="1:10" s="285" customFormat="1" x14ac:dyDescent="0.2">
      <c r="A577" s="32"/>
      <c r="B577" s="1" t="s">
        <v>530</v>
      </c>
      <c r="C577" s="32">
        <v>3383</v>
      </c>
      <c r="D577" s="1">
        <v>24000</v>
      </c>
      <c r="E577" s="1"/>
      <c r="F577" s="1">
        <v>258.87</v>
      </c>
      <c r="G577" s="1">
        <v>24000</v>
      </c>
      <c r="H577" s="5">
        <f t="shared" si="8"/>
        <v>0</v>
      </c>
      <c r="I577" s="1"/>
      <c r="J577" s="1"/>
    </row>
    <row r="578" spans="1:10" s="285" customFormat="1" x14ac:dyDescent="0.2">
      <c r="A578" s="32"/>
      <c r="B578" s="1" t="s">
        <v>530</v>
      </c>
      <c r="C578" s="32">
        <v>8094</v>
      </c>
      <c r="D578" s="1">
        <v>24000</v>
      </c>
      <c r="E578" s="1"/>
      <c r="F578" s="1">
        <v>258.87</v>
      </c>
      <c r="G578" s="1">
        <v>24000</v>
      </c>
      <c r="H578" s="5">
        <f t="shared" si="8"/>
        <v>0</v>
      </c>
      <c r="I578" s="1"/>
      <c r="J578" s="1"/>
    </row>
    <row r="579" spans="1:10" s="285" customFormat="1" x14ac:dyDescent="0.2">
      <c r="A579" s="32"/>
      <c r="B579" s="1" t="s">
        <v>530</v>
      </c>
      <c r="C579" s="32">
        <v>1329</v>
      </c>
      <c r="D579" s="1">
        <v>24000</v>
      </c>
      <c r="E579" s="1"/>
      <c r="F579" s="1">
        <v>258.87</v>
      </c>
      <c r="G579" s="1">
        <v>24000</v>
      </c>
      <c r="H579" s="5">
        <f t="shared" si="8"/>
        <v>0</v>
      </c>
      <c r="I579" s="1"/>
      <c r="J579" s="1"/>
    </row>
    <row r="580" spans="1:10" s="285" customFormat="1" x14ac:dyDescent="0.2">
      <c r="A580" s="32"/>
      <c r="B580" s="1" t="s">
        <v>530</v>
      </c>
      <c r="C580" s="32">
        <v>5943</v>
      </c>
      <c r="D580" s="1">
        <v>32000</v>
      </c>
      <c r="E580" s="1"/>
      <c r="F580" s="1">
        <v>356.42</v>
      </c>
      <c r="G580" s="1">
        <v>32000</v>
      </c>
      <c r="H580" s="5">
        <f t="shared" si="8"/>
        <v>0</v>
      </c>
      <c r="I580" s="1"/>
      <c r="J580" s="1"/>
    </row>
    <row r="581" spans="1:10" s="285" customFormat="1" x14ac:dyDescent="0.2">
      <c r="A581" s="32"/>
      <c r="B581" s="1" t="s">
        <v>530</v>
      </c>
      <c r="C581" s="32">
        <v>8382</v>
      </c>
      <c r="D581" s="1">
        <v>22000</v>
      </c>
      <c r="E581" s="1"/>
      <c r="F581" s="1">
        <v>254.84</v>
      </c>
      <c r="G581" s="1">
        <v>22000</v>
      </c>
      <c r="H581" s="5">
        <f t="shared" si="8"/>
        <v>0</v>
      </c>
      <c r="I581" s="1"/>
      <c r="J581" s="1"/>
    </row>
    <row r="582" spans="1:10" s="285" customFormat="1" x14ac:dyDescent="0.2">
      <c r="A582" s="32"/>
      <c r="B582" s="1" t="s">
        <v>530</v>
      </c>
      <c r="C582" s="32">
        <v>1.77E-2</v>
      </c>
      <c r="D582" s="1">
        <v>25000</v>
      </c>
      <c r="E582" s="1"/>
      <c r="F582" s="1">
        <v>278.22000000000003</v>
      </c>
      <c r="G582" s="1">
        <v>25000</v>
      </c>
      <c r="H582" s="5">
        <f t="shared" si="8"/>
        <v>0</v>
      </c>
      <c r="I582" s="1"/>
      <c r="J582" s="1"/>
    </row>
    <row r="583" spans="1:10" s="285" customFormat="1" x14ac:dyDescent="0.2">
      <c r="A583" s="32"/>
      <c r="B583" s="1" t="s">
        <v>530</v>
      </c>
      <c r="C583" s="32" t="s">
        <v>30</v>
      </c>
      <c r="D583" s="1">
        <v>5000</v>
      </c>
      <c r="E583" s="1"/>
      <c r="F583" s="1">
        <v>55.47</v>
      </c>
      <c r="G583" s="1">
        <v>5000</v>
      </c>
      <c r="H583" s="5">
        <f t="shared" si="8"/>
        <v>0</v>
      </c>
      <c r="I583" s="1"/>
      <c r="J583" s="1"/>
    </row>
    <row r="584" spans="1:10" s="285" customFormat="1" x14ac:dyDescent="0.2">
      <c r="A584" s="32"/>
      <c r="B584" s="1" t="s">
        <v>530</v>
      </c>
      <c r="C584" s="32">
        <v>2810</v>
      </c>
      <c r="D584" s="1">
        <v>15000</v>
      </c>
      <c r="E584" s="1"/>
      <c r="F584" s="1">
        <v>167.11</v>
      </c>
      <c r="G584" s="1">
        <v>15000</v>
      </c>
      <c r="H584" s="5">
        <f t="shared" si="8"/>
        <v>0</v>
      </c>
      <c r="I584" s="1"/>
      <c r="J584" s="1"/>
    </row>
    <row r="585" spans="1:10" s="285" customFormat="1" x14ac:dyDescent="0.2">
      <c r="A585" s="32"/>
      <c r="B585" s="1" t="s">
        <v>530</v>
      </c>
      <c r="C585" s="32">
        <v>1722</v>
      </c>
      <c r="D585" s="1">
        <v>15000</v>
      </c>
      <c r="E585" s="1"/>
      <c r="F585" s="1">
        <v>167.11</v>
      </c>
      <c r="G585" s="1">
        <v>15000</v>
      </c>
      <c r="H585" s="5">
        <f t="shared" si="8"/>
        <v>0</v>
      </c>
      <c r="I585" s="1"/>
      <c r="J585" s="1"/>
    </row>
    <row r="586" spans="1:10" s="285" customFormat="1" x14ac:dyDescent="0.2">
      <c r="A586" s="32"/>
      <c r="B586" s="1" t="s">
        <v>530</v>
      </c>
      <c r="C586" s="32">
        <v>8213</v>
      </c>
      <c r="D586" s="1">
        <v>17000</v>
      </c>
      <c r="E586" s="1"/>
      <c r="F586" s="1">
        <v>189.54</v>
      </c>
      <c r="G586" s="1">
        <v>17000</v>
      </c>
      <c r="H586" s="5">
        <f t="shared" si="8"/>
        <v>0</v>
      </c>
      <c r="I586" s="1"/>
      <c r="J586" s="1"/>
    </row>
    <row r="587" spans="1:10" s="285" customFormat="1" x14ac:dyDescent="0.2">
      <c r="A587" s="32"/>
      <c r="B587" s="1" t="s">
        <v>530</v>
      </c>
      <c r="C587" s="32">
        <v>3002</v>
      </c>
      <c r="D587" s="1">
        <v>24770</v>
      </c>
      <c r="E587" s="1"/>
      <c r="F587" s="1">
        <v>275.64999999999998</v>
      </c>
      <c r="G587" s="1">
        <v>24770</v>
      </c>
      <c r="H587" s="5">
        <f t="shared" si="8"/>
        <v>0</v>
      </c>
      <c r="I587" s="1"/>
      <c r="J587" s="1"/>
    </row>
    <row r="588" spans="1:10" s="285" customFormat="1" x14ac:dyDescent="0.2">
      <c r="A588" s="32"/>
      <c r="B588" s="1" t="s">
        <v>530</v>
      </c>
      <c r="C588" s="32">
        <v>4384</v>
      </c>
      <c r="D588" s="1">
        <v>27000</v>
      </c>
      <c r="E588" s="1"/>
      <c r="F588" s="1">
        <v>300.83999999999997</v>
      </c>
      <c r="G588" s="1">
        <v>27000</v>
      </c>
      <c r="H588" s="5">
        <f t="shared" si="8"/>
        <v>0</v>
      </c>
      <c r="I588" s="1"/>
      <c r="J588" s="1"/>
    </row>
    <row r="589" spans="1:10" s="285" customFormat="1" x14ac:dyDescent="0.2">
      <c r="A589" s="32"/>
      <c r="B589" s="1" t="s">
        <v>530</v>
      </c>
      <c r="C589" s="32">
        <v>6233</v>
      </c>
      <c r="D589" s="1">
        <v>18000</v>
      </c>
      <c r="E589" s="1"/>
      <c r="F589" s="1">
        <v>200.53</v>
      </c>
      <c r="G589" s="1">
        <v>18000</v>
      </c>
      <c r="H589" s="5">
        <f t="shared" si="8"/>
        <v>0</v>
      </c>
      <c r="I589" s="1"/>
      <c r="J589" s="1"/>
    </row>
    <row r="590" spans="1:10" s="285" customFormat="1" x14ac:dyDescent="0.2">
      <c r="A590" s="32"/>
      <c r="B590" s="1" t="s">
        <v>531</v>
      </c>
      <c r="C590" s="32">
        <v>4451</v>
      </c>
      <c r="D590" s="1">
        <v>15000</v>
      </c>
      <c r="E590" s="1"/>
      <c r="F590" s="1">
        <v>167.15</v>
      </c>
      <c r="G590" s="1">
        <v>15000</v>
      </c>
      <c r="H590" s="5">
        <f t="shared" si="8"/>
        <v>0</v>
      </c>
      <c r="I590" s="1"/>
      <c r="J590" s="1"/>
    </row>
    <row r="591" spans="1:10" s="285" customFormat="1" x14ac:dyDescent="0.2">
      <c r="A591" s="32"/>
      <c r="B591" s="1" t="s">
        <v>531</v>
      </c>
      <c r="C591" s="32">
        <v>6566</v>
      </c>
      <c r="D591" s="1">
        <v>15000</v>
      </c>
      <c r="E591" s="1"/>
      <c r="F591" s="1">
        <v>167.15</v>
      </c>
      <c r="G591" s="1">
        <v>15000</v>
      </c>
      <c r="H591" s="5">
        <f t="shared" si="8"/>
        <v>0</v>
      </c>
      <c r="I591" s="1"/>
      <c r="J591" s="1"/>
    </row>
    <row r="592" spans="1:10" s="285" customFormat="1" x14ac:dyDescent="0.2">
      <c r="A592" s="32"/>
      <c r="B592" s="1" t="s">
        <v>531</v>
      </c>
      <c r="C592" s="32">
        <v>8559</v>
      </c>
      <c r="D592" s="1">
        <v>15000</v>
      </c>
      <c r="E592" s="1"/>
      <c r="F592" s="1">
        <v>167.15</v>
      </c>
      <c r="G592" s="1">
        <v>15000</v>
      </c>
      <c r="H592" s="5">
        <f t="shared" si="8"/>
        <v>0</v>
      </c>
      <c r="I592" s="1"/>
      <c r="J592" s="1"/>
    </row>
    <row r="593" spans="1:10" s="285" customFormat="1" x14ac:dyDescent="0.2">
      <c r="A593" s="32"/>
      <c r="B593" s="1" t="s">
        <v>531</v>
      </c>
      <c r="C593" s="32">
        <v>1721</v>
      </c>
      <c r="D593" s="1">
        <v>15000</v>
      </c>
      <c r="E593" s="1"/>
      <c r="F593" s="1">
        <v>167.15</v>
      </c>
      <c r="G593" s="1">
        <v>15000</v>
      </c>
      <c r="H593" s="5">
        <f t="shared" si="8"/>
        <v>0</v>
      </c>
      <c r="I593" s="1"/>
      <c r="J593" s="1"/>
    </row>
    <row r="594" spans="1:10" s="285" customFormat="1" x14ac:dyDescent="0.2">
      <c r="A594" s="32"/>
      <c r="B594" s="1" t="s">
        <v>531</v>
      </c>
      <c r="C594" s="32">
        <v>2808</v>
      </c>
      <c r="D594" s="1">
        <v>15000</v>
      </c>
      <c r="E594" s="1"/>
      <c r="F594" s="1">
        <v>167.15</v>
      </c>
      <c r="G594" s="1">
        <v>15000</v>
      </c>
      <c r="H594" s="5">
        <f t="shared" si="8"/>
        <v>0</v>
      </c>
      <c r="I594" s="1"/>
      <c r="J594" s="1"/>
    </row>
    <row r="595" spans="1:10" s="285" customFormat="1" x14ac:dyDescent="0.2">
      <c r="A595" s="32"/>
      <c r="B595" s="1" t="s">
        <v>531</v>
      </c>
      <c r="C595" s="32">
        <v>9905</v>
      </c>
      <c r="D595" s="1">
        <v>15000</v>
      </c>
      <c r="E595" s="1"/>
      <c r="F595" s="1">
        <v>167.15</v>
      </c>
      <c r="G595" s="1">
        <v>15000</v>
      </c>
      <c r="H595" s="5">
        <f t="shared" si="8"/>
        <v>0</v>
      </c>
      <c r="I595" s="1"/>
      <c r="J595" s="1"/>
    </row>
    <row r="596" spans="1:10" s="285" customFormat="1" x14ac:dyDescent="0.2">
      <c r="A596" s="32"/>
      <c r="B596" s="1" t="s">
        <v>531</v>
      </c>
      <c r="C596" s="32">
        <v>4856</v>
      </c>
      <c r="D596" s="1">
        <v>15000</v>
      </c>
      <c r="E596" s="1"/>
      <c r="F596" s="1">
        <v>167.15</v>
      </c>
      <c r="G596" s="1">
        <v>15000</v>
      </c>
      <c r="H596" s="5">
        <f t="shared" si="8"/>
        <v>0</v>
      </c>
      <c r="I596" s="1"/>
      <c r="J596" s="1"/>
    </row>
    <row r="597" spans="1:10" s="285" customFormat="1" x14ac:dyDescent="0.2">
      <c r="A597" s="32"/>
      <c r="B597" s="1" t="s">
        <v>531</v>
      </c>
      <c r="C597" s="32">
        <v>8308</v>
      </c>
      <c r="D597" s="1">
        <v>24000</v>
      </c>
      <c r="E597" s="1"/>
      <c r="F597" s="1">
        <v>267.47000000000003</v>
      </c>
      <c r="G597" s="1">
        <v>24000</v>
      </c>
      <c r="H597" s="5">
        <f t="shared" si="8"/>
        <v>0</v>
      </c>
      <c r="I597" s="1"/>
      <c r="J597" s="1"/>
    </row>
    <row r="598" spans="1:10" s="285" customFormat="1" x14ac:dyDescent="0.2">
      <c r="A598" s="32"/>
      <c r="B598" s="1" t="s">
        <v>531</v>
      </c>
      <c r="C598" s="32">
        <v>2806</v>
      </c>
      <c r="D598" s="1">
        <v>16000</v>
      </c>
      <c r="E598" s="1"/>
      <c r="F598" s="1">
        <v>178.54</v>
      </c>
      <c r="G598" s="1">
        <v>16000</v>
      </c>
      <c r="H598" s="5">
        <f t="shared" si="8"/>
        <v>0</v>
      </c>
      <c r="I598" s="1"/>
      <c r="J598" s="1"/>
    </row>
    <row r="599" spans="1:10" s="285" customFormat="1" x14ac:dyDescent="0.2">
      <c r="A599" s="32"/>
      <c r="B599" s="1" t="s">
        <v>531</v>
      </c>
      <c r="C599" s="32">
        <v>6617</v>
      </c>
      <c r="D599" s="1">
        <v>10000</v>
      </c>
      <c r="E599" s="1"/>
      <c r="F599" s="1">
        <v>111.47</v>
      </c>
      <c r="G599" s="1">
        <v>10000</v>
      </c>
      <c r="H599" s="5">
        <f t="shared" si="8"/>
        <v>0</v>
      </c>
      <c r="I599" s="1"/>
      <c r="J599" s="1"/>
    </row>
    <row r="600" spans="1:10" s="285" customFormat="1" x14ac:dyDescent="0.2">
      <c r="A600" s="32"/>
      <c r="B600" s="1" t="s">
        <v>531</v>
      </c>
      <c r="C600" s="32" t="s">
        <v>30</v>
      </c>
      <c r="D600" s="1">
        <v>4000</v>
      </c>
      <c r="E600" s="1"/>
      <c r="F600" s="1">
        <v>44.48</v>
      </c>
      <c r="G600" s="1">
        <v>4000</v>
      </c>
      <c r="H600" s="5">
        <f t="shared" si="8"/>
        <v>0</v>
      </c>
      <c r="I600" s="1"/>
      <c r="J600" s="1"/>
    </row>
    <row r="601" spans="1:10" s="285" customFormat="1" x14ac:dyDescent="0.2">
      <c r="A601" s="32"/>
      <c r="B601" s="1" t="s">
        <v>531</v>
      </c>
      <c r="C601" s="32" t="s">
        <v>30</v>
      </c>
      <c r="D601" s="1">
        <v>5000</v>
      </c>
      <c r="E601" s="1"/>
      <c r="F601" s="1">
        <v>55.47</v>
      </c>
      <c r="G601" s="1">
        <v>5000</v>
      </c>
      <c r="H601" s="5">
        <f t="shared" si="8"/>
        <v>0</v>
      </c>
      <c r="I601" s="1"/>
      <c r="J601" s="1"/>
    </row>
    <row r="602" spans="1:10" s="285" customFormat="1" x14ac:dyDescent="0.2">
      <c r="A602" s="32"/>
      <c r="B602" s="1" t="s">
        <v>531</v>
      </c>
      <c r="C602" s="32" t="s">
        <v>66</v>
      </c>
      <c r="D602" s="1">
        <v>210</v>
      </c>
      <c r="E602" s="1"/>
      <c r="F602" s="1">
        <v>2.04</v>
      </c>
      <c r="G602" s="1">
        <v>210</v>
      </c>
      <c r="H602" s="5">
        <f t="shared" si="8"/>
        <v>0</v>
      </c>
      <c r="I602" s="1"/>
      <c r="J602" s="1"/>
    </row>
    <row r="603" spans="1:10" s="285" customFormat="1" x14ac:dyDescent="0.2">
      <c r="A603" s="32"/>
      <c r="B603" s="1" t="s">
        <v>531</v>
      </c>
      <c r="C603" s="32">
        <v>3877</v>
      </c>
      <c r="D603" s="1">
        <v>15000</v>
      </c>
      <c r="E603" s="1"/>
      <c r="F603" s="1">
        <v>167.15</v>
      </c>
      <c r="G603" s="1">
        <v>15000</v>
      </c>
      <c r="H603" s="5">
        <f t="shared" si="8"/>
        <v>0</v>
      </c>
      <c r="I603" s="1"/>
      <c r="J603" s="1"/>
    </row>
    <row r="604" spans="1:10" s="285" customFormat="1" x14ac:dyDescent="0.2">
      <c r="A604" s="32"/>
      <c r="B604" s="1" t="s">
        <v>531</v>
      </c>
      <c r="C604" s="32">
        <v>9477</v>
      </c>
      <c r="D604" s="1">
        <v>25000</v>
      </c>
      <c r="E604" s="1"/>
      <c r="F604" s="1">
        <v>278.25</v>
      </c>
      <c r="G604" s="1">
        <v>25000</v>
      </c>
      <c r="H604" s="5">
        <f t="shared" si="8"/>
        <v>0</v>
      </c>
      <c r="I604" s="1"/>
      <c r="J604" s="1"/>
    </row>
    <row r="605" spans="1:10" s="285" customFormat="1" x14ac:dyDescent="0.2">
      <c r="A605" s="32"/>
      <c r="B605" s="1" t="s">
        <v>531</v>
      </c>
      <c r="C605" s="32">
        <v>4.0099999999999997E-2</v>
      </c>
      <c r="D605" s="1">
        <v>25000</v>
      </c>
      <c r="E605" s="1"/>
      <c r="F605" s="1">
        <v>278.25</v>
      </c>
      <c r="G605" s="1">
        <v>25000</v>
      </c>
      <c r="H605" s="5">
        <f t="shared" si="8"/>
        <v>0</v>
      </c>
      <c r="I605" s="1"/>
      <c r="J605" s="1"/>
    </row>
    <row r="606" spans="1:10" s="285" customFormat="1" x14ac:dyDescent="0.2">
      <c r="A606" s="32"/>
      <c r="B606" s="1" t="s">
        <v>531</v>
      </c>
      <c r="C606" s="32">
        <v>6006</v>
      </c>
      <c r="D606" s="1">
        <v>10000</v>
      </c>
      <c r="E606" s="1"/>
      <c r="F606" s="1">
        <v>111.47</v>
      </c>
      <c r="G606" s="1">
        <v>10000</v>
      </c>
      <c r="H606" s="5">
        <f t="shared" si="8"/>
        <v>0</v>
      </c>
      <c r="I606" s="1"/>
      <c r="J606" s="1"/>
    </row>
    <row r="607" spans="1:10" s="285" customFormat="1" x14ac:dyDescent="0.2">
      <c r="A607" s="32"/>
      <c r="B607" s="1" t="s">
        <v>531</v>
      </c>
      <c r="C607" s="32">
        <v>2486</v>
      </c>
      <c r="D607" s="1">
        <v>20000</v>
      </c>
      <c r="E607" s="1"/>
      <c r="F607" s="1">
        <v>222.64</v>
      </c>
      <c r="G607" s="1">
        <v>20000</v>
      </c>
      <c r="H607" s="5">
        <f t="shared" si="8"/>
        <v>0</v>
      </c>
      <c r="I607" s="1"/>
      <c r="J607" s="1"/>
    </row>
    <row r="608" spans="1:10" s="285" customFormat="1" x14ac:dyDescent="0.2">
      <c r="A608" s="32"/>
      <c r="B608" s="1" t="s">
        <v>531</v>
      </c>
      <c r="C608" s="32">
        <v>4730</v>
      </c>
      <c r="D608" s="1">
        <v>30000</v>
      </c>
      <c r="E608" s="1"/>
      <c r="F608" s="1">
        <v>334.74</v>
      </c>
      <c r="G608" s="1">
        <v>30000</v>
      </c>
      <c r="H608" s="5">
        <f t="shared" si="8"/>
        <v>0</v>
      </c>
      <c r="I608" s="1"/>
      <c r="J608" s="1"/>
    </row>
    <row r="609" spans="1:13" s="285" customFormat="1" x14ac:dyDescent="0.2">
      <c r="A609" s="32"/>
      <c r="B609" s="1" t="s">
        <v>531</v>
      </c>
      <c r="C609" s="32">
        <v>3286</v>
      </c>
      <c r="D609" s="1">
        <v>30000</v>
      </c>
      <c r="E609" s="1"/>
      <c r="F609" s="1">
        <v>334.74</v>
      </c>
      <c r="G609" s="1">
        <v>30000</v>
      </c>
      <c r="H609" s="5">
        <f t="shared" si="8"/>
        <v>0</v>
      </c>
      <c r="I609" s="1"/>
      <c r="J609" s="1"/>
    </row>
    <row r="610" spans="1:13" s="285" customFormat="1" x14ac:dyDescent="0.2">
      <c r="A610" s="32"/>
      <c r="B610" s="1" t="s">
        <v>531</v>
      </c>
      <c r="C610" s="32">
        <v>6086</v>
      </c>
      <c r="D610" s="1">
        <v>21000</v>
      </c>
      <c r="E610" s="1"/>
      <c r="F610" s="1">
        <v>233.87</v>
      </c>
      <c r="G610" s="1">
        <v>21000</v>
      </c>
      <c r="H610" s="5">
        <f t="shared" si="8"/>
        <v>0</v>
      </c>
      <c r="I610" s="1"/>
      <c r="J610" s="1"/>
    </row>
    <row r="611" spans="1:13" s="285" customFormat="1" x14ac:dyDescent="0.2">
      <c r="A611" s="32"/>
      <c r="B611" s="1" t="s">
        <v>531</v>
      </c>
      <c r="C611" s="32">
        <v>9606</v>
      </c>
      <c r="D611" s="1">
        <v>21000</v>
      </c>
      <c r="E611" s="1"/>
      <c r="F611" s="1">
        <v>233.87</v>
      </c>
      <c r="G611" s="1">
        <v>21000</v>
      </c>
      <c r="H611" s="5">
        <f t="shared" si="8"/>
        <v>0</v>
      </c>
      <c r="I611" s="1"/>
      <c r="J611" s="1"/>
    </row>
    <row r="612" spans="1:13" s="285" customFormat="1" x14ac:dyDescent="0.2">
      <c r="A612" s="32"/>
      <c r="B612" s="1" t="s">
        <v>531</v>
      </c>
      <c r="C612" s="32">
        <v>5498</v>
      </c>
      <c r="D612" s="1">
        <v>21000</v>
      </c>
      <c r="E612" s="1"/>
      <c r="F612" s="1">
        <v>233.87</v>
      </c>
      <c r="G612" s="1">
        <v>21000</v>
      </c>
      <c r="H612" s="5">
        <f t="shared" si="8"/>
        <v>0</v>
      </c>
      <c r="I612" s="1"/>
      <c r="J612" s="1"/>
    </row>
    <row r="613" spans="1:13" s="285" customFormat="1" x14ac:dyDescent="0.2">
      <c r="A613" s="32"/>
      <c r="B613" s="1" t="s">
        <v>531</v>
      </c>
      <c r="C613" s="32">
        <v>2.5499999999999998E-2</v>
      </c>
      <c r="D613" s="1">
        <v>23000</v>
      </c>
      <c r="E613" s="1"/>
      <c r="F613" s="1">
        <v>256.74</v>
      </c>
      <c r="G613" s="1">
        <v>23000</v>
      </c>
      <c r="H613" s="5">
        <f t="shared" si="8"/>
        <v>0</v>
      </c>
      <c r="I613" s="1"/>
      <c r="J613" s="1"/>
    </row>
    <row r="614" spans="1:13" s="285" customFormat="1" x14ac:dyDescent="0.2">
      <c r="A614" s="32"/>
      <c r="B614" s="1" t="s">
        <v>531</v>
      </c>
      <c r="C614" s="32">
        <v>8311</v>
      </c>
      <c r="D614" s="1">
        <v>24000</v>
      </c>
      <c r="E614" s="1"/>
      <c r="F614" s="1">
        <v>267.47000000000003</v>
      </c>
      <c r="G614" s="1">
        <v>24000</v>
      </c>
      <c r="H614" s="5">
        <f t="shared" si="8"/>
        <v>0</v>
      </c>
      <c r="I614" s="1"/>
      <c r="J614" s="1"/>
    </row>
    <row r="615" spans="1:13" s="285" customFormat="1" x14ac:dyDescent="0.2">
      <c r="A615" s="32"/>
      <c r="B615" s="1" t="s">
        <v>531</v>
      </c>
      <c r="C615" s="32">
        <v>6311</v>
      </c>
      <c r="D615" s="1">
        <v>24000</v>
      </c>
      <c r="E615" s="1"/>
      <c r="F615" s="1">
        <v>267.47000000000003</v>
      </c>
      <c r="G615" s="1">
        <v>24000</v>
      </c>
      <c r="H615" s="5">
        <f t="shared" si="8"/>
        <v>0</v>
      </c>
      <c r="I615" s="1"/>
      <c r="J615" s="1"/>
    </row>
    <row r="616" spans="1:13" s="285" customFormat="1" x14ac:dyDescent="0.2">
      <c r="A616" s="32"/>
      <c r="B616" s="1" t="s">
        <v>531</v>
      </c>
      <c r="C616" s="32">
        <v>3158</v>
      </c>
      <c r="D616" s="1">
        <v>24000</v>
      </c>
      <c r="E616" s="1"/>
      <c r="F616" s="1">
        <v>267.47000000000003</v>
      </c>
      <c r="G616" s="1">
        <v>24000</v>
      </c>
      <c r="H616" s="5">
        <f t="shared" si="8"/>
        <v>0</v>
      </c>
      <c r="I616" s="1"/>
      <c r="J616" s="1"/>
    </row>
    <row r="617" spans="1:13" s="285" customFormat="1" x14ac:dyDescent="0.2">
      <c r="A617" s="32"/>
      <c r="B617" s="1" t="s">
        <v>531</v>
      </c>
      <c r="C617" s="32">
        <v>1155</v>
      </c>
      <c r="D617" s="1">
        <v>32000</v>
      </c>
      <c r="E617" s="1"/>
      <c r="F617" s="1">
        <v>335.84</v>
      </c>
      <c r="G617" s="1">
        <v>32000</v>
      </c>
      <c r="H617" s="5">
        <f t="shared" si="8"/>
        <v>0</v>
      </c>
      <c r="I617" s="1"/>
      <c r="J617" s="1"/>
    </row>
    <row r="618" spans="1:13" s="285" customFormat="1" x14ac:dyDescent="0.2">
      <c r="A618" s="32"/>
      <c r="B618" s="1" t="s">
        <v>531</v>
      </c>
      <c r="C618" s="32">
        <v>2.4299999999999999E-2</v>
      </c>
      <c r="D618" s="1">
        <v>18000</v>
      </c>
      <c r="E618" s="1"/>
      <c r="F618" s="1">
        <v>200.53</v>
      </c>
      <c r="G618" s="1">
        <v>18000</v>
      </c>
      <c r="H618" s="5">
        <f t="shared" si="8"/>
        <v>0</v>
      </c>
      <c r="I618" s="1"/>
      <c r="J618" s="1"/>
    </row>
    <row r="619" spans="1:13" s="285" customFormat="1" x14ac:dyDescent="0.2">
      <c r="A619" s="32"/>
      <c r="B619" s="1" t="s">
        <v>531</v>
      </c>
      <c r="C619" s="32">
        <v>9378</v>
      </c>
      <c r="D619" s="1">
        <v>22000</v>
      </c>
      <c r="E619" s="1"/>
      <c r="F619" s="1">
        <v>243.41</v>
      </c>
      <c r="G619" s="1">
        <v>22000</v>
      </c>
      <c r="H619" s="5">
        <f t="shared" si="8"/>
        <v>0</v>
      </c>
      <c r="I619" s="1"/>
      <c r="J619" s="1"/>
    </row>
    <row r="620" spans="1:13" s="285" customFormat="1" x14ac:dyDescent="0.2">
      <c r="A620" s="32"/>
      <c r="B620" s="1" t="s">
        <v>531</v>
      </c>
      <c r="C620" s="32">
        <v>8665</v>
      </c>
      <c r="D620" s="1">
        <v>22000</v>
      </c>
      <c r="E620" s="1"/>
      <c r="F620" s="1">
        <v>243.41</v>
      </c>
      <c r="G620" s="1">
        <v>22000</v>
      </c>
      <c r="H620" s="5">
        <f t="shared" si="8"/>
        <v>0</v>
      </c>
      <c r="I620" s="1"/>
      <c r="J620" s="1"/>
    </row>
    <row r="621" spans="1:13" s="285" customFormat="1" x14ac:dyDescent="0.2">
      <c r="A621" s="32"/>
      <c r="B621" s="1" t="s">
        <v>531</v>
      </c>
      <c r="C621" s="32">
        <v>6050</v>
      </c>
      <c r="D621" s="1">
        <v>22000</v>
      </c>
      <c r="E621" s="1"/>
      <c r="F621" s="1">
        <v>243.41</v>
      </c>
      <c r="G621" s="1">
        <v>22000</v>
      </c>
      <c r="H621" s="5">
        <f t="shared" si="8"/>
        <v>0</v>
      </c>
      <c r="I621" s="1"/>
      <c r="J621" s="1"/>
    </row>
    <row r="622" spans="1:13" ht="15" x14ac:dyDescent="0.25">
      <c r="A622" s="1"/>
      <c r="B622" s="1"/>
      <c r="C622" s="20" t="s">
        <v>9</v>
      </c>
      <c r="D622" s="21">
        <f>SUM(D5:D621)</f>
        <v>12935395</v>
      </c>
      <c r="E622" s="22"/>
      <c r="F622" s="23">
        <f>SUM(F7:F621)</f>
        <v>127427.65999999987</v>
      </c>
      <c r="G622" s="21">
        <f>SUM(G5:G621)</f>
        <v>12935395</v>
      </c>
      <c r="H622" s="22"/>
      <c r="I622" s="24">
        <f>SUM(I7:I87)</f>
        <v>10494590</v>
      </c>
      <c r="J622" s="1"/>
      <c r="K622" s="272"/>
      <c r="L622" s="272"/>
      <c r="M622" s="272"/>
    </row>
    <row r="623" spans="1:13" ht="15" x14ac:dyDescent="0.25">
      <c r="A623" s="1"/>
      <c r="B623" s="1"/>
      <c r="C623" s="20" t="s">
        <v>10</v>
      </c>
      <c r="D623" s="25">
        <f>SUM(D622-I622)</f>
        <v>2440805</v>
      </c>
      <c r="E623" s="22"/>
      <c r="F623" s="22"/>
      <c r="G623" s="26" t="s">
        <v>10</v>
      </c>
      <c r="H623" s="25">
        <f>SUM(G622-I622)</f>
        <v>2440805</v>
      </c>
      <c r="I623" s="25"/>
      <c r="J623" s="1"/>
      <c r="K623" s="272"/>
      <c r="L623" s="272"/>
      <c r="M623" s="272"/>
    </row>
    <row r="624" spans="1:13" ht="15" thickBot="1" x14ac:dyDescent="0.25"/>
    <row r="625" spans="3:9" ht="15" x14ac:dyDescent="0.25">
      <c r="C625" s="42"/>
      <c r="D625" s="197" t="s">
        <v>519</v>
      </c>
      <c r="E625" s="179"/>
      <c r="F625" s="179"/>
      <c r="G625" s="179"/>
      <c r="H625" s="75"/>
      <c r="I625" s="76"/>
    </row>
    <row r="626" spans="3:9" ht="15.75" thickBot="1" x14ac:dyDescent="0.3">
      <c r="C626" s="320" t="s">
        <v>423</v>
      </c>
      <c r="D626" s="198"/>
      <c r="E626" s="181"/>
      <c r="F626" s="181" t="s">
        <v>186</v>
      </c>
      <c r="G626" s="181"/>
      <c r="H626" s="183"/>
      <c r="I626" s="184"/>
    </row>
    <row r="627" spans="3:9" ht="15" x14ac:dyDescent="0.25">
      <c r="C627" s="91" t="s">
        <v>184</v>
      </c>
      <c r="D627" s="321">
        <v>12935395</v>
      </c>
      <c r="E627" s="90"/>
      <c r="F627" s="90" t="s">
        <v>187</v>
      </c>
      <c r="G627" s="321">
        <v>13175243</v>
      </c>
      <c r="H627" s="90" t="s">
        <v>364</v>
      </c>
      <c r="I627" s="187">
        <f>13175243-12935395</f>
        <v>239848</v>
      </c>
    </row>
    <row r="628" spans="3:9" ht="15" x14ac:dyDescent="0.25">
      <c r="C628" s="93" t="s">
        <v>143</v>
      </c>
      <c r="D628" s="322">
        <v>10494590</v>
      </c>
      <c r="E628" s="42"/>
      <c r="F628" s="42" t="s">
        <v>191</v>
      </c>
      <c r="G628" s="322">
        <v>10675342</v>
      </c>
      <c r="H628" s="42" t="s">
        <v>365</v>
      </c>
      <c r="I628" s="188">
        <f>10675342-10494590</f>
        <v>180752</v>
      </c>
    </row>
    <row r="629" spans="3:9" ht="18.75" x14ac:dyDescent="0.3">
      <c r="C629" s="189" t="s">
        <v>95</v>
      </c>
      <c r="D629" s="323">
        <f>12935395-10494590</f>
        <v>2440805</v>
      </c>
      <c r="E629" s="89"/>
      <c r="F629" s="89" t="s">
        <v>95</v>
      </c>
      <c r="G629" s="89">
        <f>13175243-10675342</f>
        <v>2499901</v>
      </c>
      <c r="H629" s="89" t="s">
        <v>390</v>
      </c>
      <c r="I629" s="201">
        <f>2499901-2440805</f>
        <v>59096</v>
      </c>
    </row>
    <row r="630" spans="3:9" ht="19.5" thickBot="1" x14ac:dyDescent="0.35">
      <c r="C630" s="202"/>
      <c r="D630" s="203"/>
      <c r="E630" s="203"/>
      <c r="F630" s="204"/>
      <c r="G630" s="204"/>
      <c r="H630" s="204" t="s">
        <v>421</v>
      </c>
      <c r="I630" s="205"/>
    </row>
    <row r="631" spans="3:9" ht="18.75" thickBot="1" x14ac:dyDescent="0.3">
      <c r="C631" s="206"/>
      <c r="D631" s="207"/>
      <c r="E631" s="207"/>
      <c r="F631" s="208" t="s">
        <v>192</v>
      </c>
      <c r="G631" s="208"/>
      <c r="H631" s="208"/>
      <c r="I631" s="20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38"/>
  <sheetViews>
    <sheetView topLeftCell="A264" workbookViewId="0">
      <selection activeCell="F6" sqref="F6:F252"/>
    </sheetView>
  </sheetViews>
  <sheetFormatPr defaultRowHeight="14.25" x14ac:dyDescent="0.2"/>
  <cols>
    <col min="1" max="1" width="6.375" customWidth="1"/>
    <col min="3" max="3" width="14.5" customWidth="1"/>
    <col min="4" max="4" width="14" customWidth="1"/>
    <col min="5" max="5" width="9.125" bestFit="1" customWidth="1"/>
    <col min="6" max="6" width="13.875" customWidth="1"/>
    <col min="7" max="7" width="14" customWidth="1"/>
    <col min="8" max="8" width="16.25" customWidth="1"/>
    <col min="9" max="9" width="13.25" customWidth="1"/>
  </cols>
  <sheetData>
    <row r="2" spans="1:16" ht="21" x14ac:dyDescent="0.35">
      <c r="A2" s="1"/>
      <c r="B2" s="1"/>
      <c r="C2" s="1"/>
      <c r="D2" s="315" t="s">
        <v>331</v>
      </c>
      <c r="E2" s="315"/>
      <c r="F2" s="315"/>
      <c r="G2" s="315"/>
      <c r="H2" s="1"/>
      <c r="I2" s="1"/>
      <c r="J2" s="1"/>
    </row>
    <row r="3" spans="1:16" ht="18" x14ac:dyDescent="0.25">
      <c r="A3" s="1"/>
      <c r="B3" s="1"/>
      <c r="C3" s="1"/>
      <c r="D3" s="61"/>
      <c r="E3" s="161">
        <v>44986</v>
      </c>
      <c r="F3" s="316"/>
      <c r="G3" s="316"/>
      <c r="H3" s="1"/>
      <c r="I3" s="1"/>
      <c r="J3" s="1"/>
    </row>
    <row r="4" spans="1:16" ht="1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107" t="s">
        <v>8</v>
      </c>
      <c r="J4" s="107" t="s">
        <v>2</v>
      </c>
    </row>
    <row r="5" spans="1:16" ht="15.75" x14ac:dyDescent="0.25">
      <c r="A5" s="32"/>
      <c r="B5" s="108" t="s">
        <v>531</v>
      </c>
      <c r="C5" s="162" t="s">
        <v>374</v>
      </c>
      <c r="D5" s="210">
        <v>2440805</v>
      </c>
      <c r="E5" s="162"/>
      <c r="F5" s="162"/>
      <c r="G5" s="210">
        <v>2440805</v>
      </c>
      <c r="H5" s="30"/>
      <c r="I5" s="107"/>
      <c r="J5" s="107"/>
    </row>
    <row r="6" spans="1:16" ht="15" x14ac:dyDescent="0.25">
      <c r="A6" s="32">
        <v>1</v>
      </c>
      <c r="B6" s="1" t="s">
        <v>532</v>
      </c>
      <c r="C6" s="32">
        <v>6659</v>
      </c>
      <c r="D6" s="1">
        <v>16000</v>
      </c>
      <c r="E6" s="1"/>
      <c r="F6" s="1">
        <v>178.22</v>
      </c>
      <c r="G6" s="1">
        <v>16000</v>
      </c>
      <c r="H6" s="5">
        <f t="shared" ref="H6:H69" si="0">D6-G6</f>
        <v>0</v>
      </c>
      <c r="I6" s="30">
        <v>600000</v>
      </c>
      <c r="J6" s="30" t="s">
        <v>532</v>
      </c>
      <c r="K6" s="84" t="s">
        <v>482</v>
      </c>
      <c r="L6" s="84"/>
      <c r="M6" s="51"/>
      <c r="N6" s="316"/>
      <c r="O6" s="316"/>
      <c r="P6" s="316"/>
    </row>
    <row r="7" spans="1:16" ht="15" x14ac:dyDescent="0.25">
      <c r="A7" s="32">
        <v>2</v>
      </c>
      <c r="B7" s="1" t="s">
        <v>532</v>
      </c>
      <c r="C7" s="32">
        <v>2807</v>
      </c>
      <c r="D7" s="1">
        <v>16000</v>
      </c>
      <c r="E7" s="1"/>
      <c r="F7" s="1">
        <v>178.22</v>
      </c>
      <c r="G7" s="1">
        <v>16000</v>
      </c>
      <c r="H7" s="5">
        <f t="shared" si="0"/>
        <v>0</v>
      </c>
      <c r="I7" s="30">
        <v>500000</v>
      </c>
      <c r="J7" s="30" t="s">
        <v>534</v>
      </c>
      <c r="K7" s="84" t="s">
        <v>482</v>
      </c>
      <c r="L7" s="84"/>
      <c r="M7" s="51"/>
      <c r="N7" s="316"/>
      <c r="O7" s="316"/>
      <c r="P7" s="316"/>
    </row>
    <row r="8" spans="1:16" ht="15" x14ac:dyDescent="0.25">
      <c r="A8" s="32">
        <v>3</v>
      </c>
      <c r="B8" s="1" t="s">
        <v>532</v>
      </c>
      <c r="C8" s="32">
        <v>5077</v>
      </c>
      <c r="D8" s="1">
        <v>17000</v>
      </c>
      <c r="E8" s="1"/>
      <c r="F8" s="1">
        <v>189.47</v>
      </c>
      <c r="G8" s="1">
        <v>17000</v>
      </c>
      <c r="H8" s="5">
        <f t="shared" si="0"/>
        <v>0</v>
      </c>
      <c r="I8" s="30">
        <v>400000</v>
      </c>
      <c r="J8" s="30" t="s">
        <v>535</v>
      </c>
      <c r="K8" s="84" t="s">
        <v>482</v>
      </c>
      <c r="L8" s="84"/>
      <c r="M8" s="51"/>
      <c r="N8" s="316"/>
      <c r="O8" s="316"/>
      <c r="P8" s="316"/>
    </row>
    <row r="9" spans="1:16" ht="15" x14ac:dyDescent="0.25">
      <c r="A9" s="32">
        <v>4</v>
      </c>
      <c r="B9" s="1" t="s">
        <v>532</v>
      </c>
      <c r="C9" s="32" t="s">
        <v>30</v>
      </c>
      <c r="D9" s="1">
        <v>4500</v>
      </c>
      <c r="E9" s="1"/>
      <c r="F9" s="1">
        <v>50.23</v>
      </c>
      <c r="G9" s="1">
        <v>4500</v>
      </c>
      <c r="H9" s="5">
        <f t="shared" si="0"/>
        <v>0</v>
      </c>
      <c r="I9" s="30">
        <v>500000</v>
      </c>
      <c r="J9" s="30" t="s">
        <v>537</v>
      </c>
      <c r="K9" s="84" t="s">
        <v>482</v>
      </c>
      <c r="L9" s="84"/>
      <c r="M9" s="51"/>
      <c r="N9" s="316"/>
      <c r="O9" s="316"/>
      <c r="P9" s="316"/>
    </row>
    <row r="10" spans="1:16" ht="15" x14ac:dyDescent="0.25">
      <c r="A10" s="32">
        <v>5</v>
      </c>
      <c r="B10" s="1" t="s">
        <v>532</v>
      </c>
      <c r="C10" s="32">
        <v>9906</v>
      </c>
      <c r="D10" s="1">
        <v>13000</v>
      </c>
      <c r="E10" s="1"/>
      <c r="F10" s="1">
        <v>144.13</v>
      </c>
      <c r="G10" s="1">
        <v>13000</v>
      </c>
      <c r="H10" s="5">
        <f t="shared" si="0"/>
        <v>0</v>
      </c>
      <c r="I10" s="30">
        <v>1000000</v>
      </c>
      <c r="J10" s="30" t="s">
        <v>539</v>
      </c>
      <c r="K10" s="84" t="s">
        <v>548</v>
      </c>
      <c r="L10" s="84"/>
      <c r="M10" s="51"/>
      <c r="N10" s="316"/>
      <c r="O10" s="316"/>
      <c r="P10" s="316"/>
    </row>
    <row r="11" spans="1:16" ht="15" x14ac:dyDescent="0.25">
      <c r="A11" s="32">
        <v>6</v>
      </c>
      <c r="B11" s="1" t="s">
        <v>532</v>
      </c>
      <c r="C11" s="32">
        <v>5978</v>
      </c>
      <c r="D11" s="1">
        <v>15000</v>
      </c>
      <c r="E11" s="1"/>
      <c r="F11" s="1">
        <v>167.15</v>
      </c>
      <c r="G11" s="1">
        <v>15000</v>
      </c>
      <c r="H11" s="5">
        <f t="shared" si="0"/>
        <v>0</v>
      </c>
      <c r="I11" s="30">
        <v>300000</v>
      </c>
      <c r="J11" s="30" t="s">
        <v>543</v>
      </c>
      <c r="K11" s="84" t="s">
        <v>548</v>
      </c>
      <c r="L11" s="84"/>
      <c r="M11" s="51"/>
      <c r="N11" s="316"/>
      <c r="O11" s="316"/>
      <c r="P11" s="316"/>
    </row>
    <row r="12" spans="1:16" ht="15" x14ac:dyDescent="0.25">
      <c r="A12" s="32">
        <v>7</v>
      </c>
      <c r="B12" s="1" t="s">
        <v>532</v>
      </c>
      <c r="C12" s="32">
        <v>4059</v>
      </c>
      <c r="D12" s="1">
        <v>15000</v>
      </c>
      <c r="E12" s="1"/>
      <c r="F12" s="1">
        <v>167.15</v>
      </c>
      <c r="G12" s="1">
        <v>15000</v>
      </c>
      <c r="H12" s="5">
        <f t="shared" si="0"/>
        <v>0</v>
      </c>
      <c r="I12" s="30">
        <v>400000</v>
      </c>
      <c r="J12" s="30" t="s">
        <v>544</v>
      </c>
      <c r="K12" s="84" t="s">
        <v>548</v>
      </c>
      <c r="L12" s="84"/>
      <c r="M12" s="51"/>
      <c r="N12" s="316"/>
      <c r="O12" s="316"/>
      <c r="P12" s="316"/>
    </row>
    <row r="13" spans="1:16" ht="15" x14ac:dyDescent="0.25">
      <c r="A13" s="32">
        <v>8</v>
      </c>
      <c r="B13" s="1" t="s">
        <v>532</v>
      </c>
      <c r="C13" s="32">
        <v>4513</v>
      </c>
      <c r="D13" s="1">
        <v>15000</v>
      </c>
      <c r="E13" s="1"/>
      <c r="F13" s="1">
        <v>167.15</v>
      </c>
      <c r="G13" s="1">
        <v>15000</v>
      </c>
      <c r="H13" s="5">
        <f t="shared" si="0"/>
        <v>0</v>
      </c>
      <c r="I13" s="30">
        <v>800000</v>
      </c>
      <c r="J13" s="30" t="s">
        <v>547</v>
      </c>
      <c r="K13" s="84" t="s">
        <v>482</v>
      </c>
      <c r="L13" s="84"/>
      <c r="M13" s="51"/>
      <c r="N13" s="316"/>
      <c r="O13" s="316"/>
      <c r="P13" s="316"/>
    </row>
    <row r="14" spans="1:16" ht="15" x14ac:dyDescent="0.25">
      <c r="A14" s="32">
        <v>9</v>
      </c>
      <c r="B14" s="1" t="s">
        <v>532</v>
      </c>
      <c r="C14" s="32">
        <v>6573</v>
      </c>
      <c r="D14" s="1">
        <v>15000</v>
      </c>
      <c r="E14" s="1"/>
      <c r="F14" s="1">
        <v>167.15</v>
      </c>
      <c r="G14" s="1">
        <v>15000</v>
      </c>
      <c r="H14" s="5">
        <f t="shared" si="0"/>
        <v>0</v>
      </c>
      <c r="I14" s="30">
        <v>400000</v>
      </c>
      <c r="J14" s="30" t="s">
        <v>556</v>
      </c>
      <c r="K14" s="84" t="s">
        <v>482</v>
      </c>
      <c r="L14" s="84"/>
      <c r="M14" s="51"/>
      <c r="N14" s="316"/>
      <c r="O14" s="316"/>
      <c r="P14" s="316"/>
    </row>
    <row r="15" spans="1:16" ht="15" x14ac:dyDescent="0.25">
      <c r="A15" s="32">
        <v>10</v>
      </c>
      <c r="B15" s="1" t="s">
        <v>532</v>
      </c>
      <c r="C15" s="32">
        <v>4058</v>
      </c>
      <c r="D15" s="1">
        <v>15000</v>
      </c>
      <c r="E15" s="1"/>
      <c r="F15" s="1">
        <v>167.15</v>
      </c>
      <c r="G15" s="1">
        <v>15000</v>
      </c>
      <c r="H15" s="5">
        <f t="shared" si="0"/>
        <v>0</v>
      </c>
      <c r="I15" s="30">
        <v>400000</v>
      </c>
      <c r="J15" s="30" t="s">
        <v>558</v>
      </c>
      <c r="K15" s="84" t="s">
        <v>482</v>
      </c>
      <c r="L15" s="84"/>
      <c r="M15" s="51"/>
      <c r="N15" s="316"/>
      <c r="O15" s="316"/>
      <c r="P15" s="316"/>
    </row>
    <row r="16" spans="1:16" ht="15" x14ac:dyDescent="0.25">
      <c r="A16" s="32">
        <v>11</v>
      </c>
      <c r="B16" s="1" t="s">
        <v>532</v>
      </c>
      <c r="C16" s="32">
        <v>3963</v>
      </c>
      <c r="D16" s="1">
        <v>15000</v>
      </c>
      <c r="E16" s="1"/>
      <c r="F16" s="1">
        <v>167.15</v>
      </c>
      <c r="G16" s="1">
        <v>15000</v>
      </c>
      <c r="H16" s="5">
        <f t="shared" si="0"/>
        <v>0</v>
      </c>
      <c r="I16" s="30">
        <v>400000</v>
      </c>
      <c r="J16" s="30" t="s">
        <v>559</v>
      </c>
      <c r="K16" s="84" t="s">
        <v>548</v>
      </c>
      <c r="L16" s="84"/>
      <c r="M16" s="51"/>
      <c r="N16" s="316"/>
      <c r="O16" s="316"/>
      <c r="P16" s="316"/>
    </row>
    <row r="17" spans="1:16" ht="15" x14ac:dyDescent="0.25">
      <c r="A17" s="32">
        <v>12</v>
      </c>
      <c r="B17" s="1" t="s">
        <v>532</v>
      </c>
      <c r="C17" s="32">
        <v>6451</v>
      </c>
      <c r="D17" s="1">
        <v>10000</v>
      </c>
      <c r="E17" s="1"/>
      <c r="F17" s="1">
        <v>111.41</v>
      </c>
      <c r="G17" s="1">
        <v>10000</v>
      </c>
      <c r="H17" s="5">
        <f t="shared" si="0"/>
        <v>0</v>
      </c>
      <c r="I17" s="30">
        <v>300000</v>
      </c>
      <c r="J17" s="30" t="s">
        <v>561</v>
      </c>
      <c r="K17" s="84" t="s">
        <v>548</v>
      </c>
      <c r="L17" s="84"/>
      <c r="M17" s="51"/>
      <c r="N17" s="316"/>
      <c r="O17" s="316"/>
      <c r="P17" s="316"/>
    </row>
    <row r="18" spans="1:16" ht="15" x14ac:dyDescent="0.25">
      <c r="A18" s="32">
        <v>13</v>
      </c>
      <c r="B18" s="1" t="s">
        <v>532</v>
      </c>
      <c r="C18" s="32">
        <v>5535</v>
      </c>
      <c r="D18" s="1">
        <v>10000</v>
      </c>
      <c r="E18" s="1"/>
      <c r="F18" s="1">
        <v>111.41</v>
      </c>
      <c r="G18" s="1">
        <v>10000</v>
      </c>
      <c r="H18" s="5">
        <f t="shared" si="0"/>
        <v>0</v>
      </c>
      <c r="I18" s="30">
        <v>500000</v>
      </c>
      <c r="J18" s="30" t="s">
        <v>566</v>
      </c>
      <c r="K18" s="84" t="s">
        <v>482</v>
      </c>
      <c r="L18" s="84"/>
      <c r="M18" s="51"/>
      <c r="N18" s="316"/>
      <c r="O18" s="316"/>
      <c r="P18" s="316"/>
    </row>
    <row r="19" spans="1:16" ht="15" x14ac:dyDescent="0.25">
      <c r="A19" s="32">
        <v>14</v>
      </c>
      <c r="B19" s="1" t="s">
        <v>532</v>
      </c>
      <c r="C19" s="32">
        <v>1467</v>
      </c>
      <c r="D19" s="1">
        <v>20000</v>
      </c>
      <c r="E19" s="1"/>
      <c r="F19" s="1">
        <v>222.64</v>
      </c>
      <c r="G19" s="1">
        <v>20000</v>
      </c>
      <c r="H19" s="5">
        <f t="shared" si="0"/>
        <v>0</v>
      </c>
      <c r="I19" s="30">
        <v>300000</v>
      </c>
      <c r="J19" s="30" t="s">
        <v>567</v>
      </c>
      <c r="K19" s="84" t="s">
        <v>548</v>
      </c>
      <c r="L19" s="84"/>
      <c r="M19" s="51"/>
      <c r="N19" s="316"/>
      <c r="O19" s="316"/>
      <c r="P19" s="316"/>
    </row>
    <row r="20" spans="1:16" ht="15" x14ac:dyDescent="0.25">
      <c r="A20" s="32">
        <v>15</v>
      </c>
      <c r="B20" s="1" t="s">
        <v>532</v>
      </c>
      <c r="C20" s="32">
        <v>3468</v>
      </c>
      <c r="D20" s="1">
        <v>20000</v>
      </c>
      <c r="E20" s="1"/>
      <c r="F20" s="1">
        <v>222.64</v>
      </c>
      <c r="G20" s="1">
        <v>20000</v>
      </c>
      <c r="H20" s="5">
        <f t="shared" si="0"/>
        <v>0</v>
      </c>
      <c r="I20" s="30">
        <v>200000</v>
      </c>
      <c r="J20" s="30" t="s">
        <v>568</v>
      </c>
      <c r="K20" s="84" t="s">
        <v>482</v>
      </c>
      <c r="L20" s="84"/>
      <c r="M20" s="51"/>
      <c r="N20" s="316"/>
      <c r="O20" s="316"/>
      <c r="P20" s="316"/>
    </row>
    <row r="21" spans="1:16" ht="15" x14ac:dyDescent="0.25">
      <c r="A21" s="32">
        <v>16</v>
      </c>
      <c r="B21" s="1" t="s">
        <v>532</v>
      </c>
      <c r="C21" s="32">
        <v>7925</v>
      </c>
      <c r="D21" s="1">
        <v>20000</v>
      </c>
      <c r="E21" s="1"/>
      <c r="F21" s="1">
        <v>222.64</v>
      </c>
      <c r="G21" s="1">
        <v>20000</v>
      </c>
      <c r="H21" s="5">
        <f t="shared" si="0"/>
        <v>0</v>
      </c>
      <c r="I21" s="30">
        <v>200000</v>
      </c>
      <c r="J21" s="30" t="s">
        <v>569</v>
      </c>
      <c r="K21" s="84" t="s">
        <v>482</v>
      </c>
      <c r="L21" s="84"/>
      <c r="M21" s="51"/>
      <c r="N21" s="316"/>
      <c r="O21" s="316"/>
      <c r="P21" s="316"/>
    </row>
    <row r="22" spans="1:16" ht="15" x14ac:dyDescent="0.25">
      <c r="A22" s="32">
        <v>17</v>
      </c>
      <c r="B22" s="1" t="s">
        <v>532</v>
      </c>
      <c r="C22" s="32">
        <v>5.2200000000000003E-2</v>
      </c>
      <c r="D22" s="1">
        <v>23000</v>
      </c>
      <c r="E22" s="1"/>
      <c r="F22" s="1">
        <v>256.83999999999997</v>
      </c>
      <c r="G22" s="1">
        <v>23000</v>
      </c>
      <c r="H22" s="5">
        <f t="shared" si="0"/>
        <v>0</v>
      </c>
      <c r="I22" s="30">
        <v>200000</v>
      </c>
      <c r="J22" s="30" t="s">
        <v>570</v>
      </c>
      <c r="K22" s="84" t="s">
        <v>482</v>
      </c>
      <c r="L22" s="84"/>
      <c r="M22" s="51"/>
      <c r="N22" s="316"/>
      <c r="O22" s="316"/>
      <c r="P22" s="316"/>
    </row>
    <row r="23" spans="1:16" ht="15" x14ac:dyDescent="0.25">
      <c r="A23" s="32">
        <v>18</v>
      </c>
      <c r="B23" s="1" t="s">
        <v>532</v>
      </c>
      <c r="C23" s="32">
        <v>1234</v>
      </c>
      <c r="D23" s="1">
        <v>23000</v>
      </c>
      <c r="E23" s="1"/>
      <c r="F23" s="1">
        <v>256.83999999999997</v>
      </c>
      <c r="G23" s="1">
        <v>23000</v>
      </c>
      <c r="H23" s="5">
        <f t="shared" si="0"/>
        <v>0</v>
      </c>
      <c r="I23" s="30">
        <v>700000</v>
      </c>
      <c r="J23" s="30" t="s">
        <v>574</v>
      </c>
      <c r="K23" s="84" t="s">
        <v>482</v>
      </c>
      <c r="L23" s="84"/>
      <c r="M23" s="51"/>
      <c r="N23" s="316"/>
      <c r="O23" s="316"/>
      <c r="P23" s="316"/>
    </row>
    <row r="24" spans="1:16" ht="15" x14ac:dyDescent="0.25">
      <c r="A24" s="32">
        <v>19</v>
      </c>
      <c r="B24" s="1" t="s">
        <v>532</v>
      </c>
      <c r="C24" s="32">
        <v>8690</v>
      </c>
      <c r="D24" s="1">
        <v>18000</v>
      </c>
      <c r="E24" s="1"/>
      <c r="F24" s="1">
        <v>200.53</v>
      </c>
      <c r="G24" s="1">
        <v>18000</v>
      </c>
      <c r="H24" s="5">
        <f t="shared" si="0"/>
        <v>0</v>
      </c>
      <c r="I24" s="30">
        <v>300000</v>
      </c>
      <c r="J24" s="30" t="s">
        <v>576</v>
      </c>
      <c r="K24" s="84" t="s">
        <v>482</v>
      </c>
      <c r="L24" s="84"/>
      <c r="M24" s="51"/>
    </row>
    <row r="25" spans="1:16" ht="15" x14ac:dyDescent="0.25">
      <c r="A25" s="32">
        <v>20</v>
      </c>
      <c r="B25" s="1" t="s">
        <v>532</v>
      </c>
      <c r="C25" s="32">
        <v>5856</v>
      </c>
      <c r="D25" s="1">
        <v>19000</v>
      </c>
      <c r="E25" s="1"/>
      <c r="F25" s="1">
        <v>211.74</v>
      </c>
      <c r="G25" s="1">
        <v>19000</v>
      </c>
      <c r="H25" s="5">
        <f t="shared" si="0"/>
        <v>0</v>
      </c>
      <c r="I25" s="30">
        <v>600000</v>
      </c>
      <c r="J25" s="30" t="s">
        <v>578</v>
      </c>
      <c r="K25" s="84" t="s">
        <v>482</v>
      </c>
      <c r="L25" s="84"/>
      <c r="M25" s="51"/>
    </row>
    <row r="26" spans="1:16" ht="15" x14ac:dyDescent="0.25">
      <c r="A26" s="32">
        <v>21</v>
      </c>
      <c r="B26" s="1" t="s">
        <v>532</v>
      </c>
      <c r="C26" s="32">
        <v>8471</v>
      </c>
      <c r="D26" s="1">
        <v>24000</v>
      </c>
      <c r="E26" s="1"/>
      <c r="F26" s="1">
        <v>267.64999999999998</v>
      </c>
      <c r="G26" s="1">
        <v>24000</v>
      </c>
      <c r="H26" s="5">
        <f t="shared" si="0"/>
        <v>0</v>
      </c>
      <c r="I26" s="30">
        <v>400000</v>
      </c>
      <c r="J26" s="30" t="s">
        <v>579</v>
      </c>
      <c r="K26" s="84" t="s">
        <v>482</v>
      </c>
      <c r="L26" s="84"/>
      <c r="M26" s="51"/>
    </row>
    <row r="27" spans="1:16" ht="15" x14ac:dyDescent="0.25">
      <c r="A27" s="32">
        <v>22</v>
      </c>
      <c r="B27" s="1" t="s">
        <v>532</v>
      </c>
      <c r="C27" s="32">
        <v>6447</v>
      </c>
      <c r="D27" s="1">
        <v>25000</v>
      </c>
      <c r="E27" s="1"/>
      <c r="F27" s="1">
        <v>278.74</v>
      </c>
      <c r="G27" s="1">
        <v>25000</v>
      </c>
      <c r="H27" s="5">
        <f t="shared" si="0"/>
        <v>0</v>
      </c>
      <c r="I27" s="30">
        <v>600000</v>
      </c>
      <c r="J27" s="30" t="s">
        <v>581</v>
      </c>
      <c r="K27" s="84" t="s">
        <v>482</v>
      </c>
      <c r="L27" s="84"/>
      <c r="M27" s="51"/>
    </row>
    <row r="28" spans="1:16" ht="15" x14ac:dyDescent="0.25">
      <c r="A28" s="32">
        <v>23</v>
      </c>
      <c r="B28" s="1" t="s">
        <v>534</v>
      </c>
      <c r="C28" s="32">
        <v>2677</v>
      </c>
      <c r="D28" s="1">
        <v>15000</v>
      </c>
      <c r="E28" s="1"/>
      <c r="F28" s="1">
        <v>167.15</v>
      </c>
      <c r="G28" s="1">
        <v>15000</v>
      </c>
      <c r="H28" s="5">
        <f t="shared" si="0"/>
        <v>0</v>
      </c>
      <c r="I28" s="30"/>
      <c r="J28" s="30"/>
    </row>
    <row r="29" spans="1:16" ht="15" x14ac:dyDescent="0.25">
      <c r="A29" s="32">
        <v>24</v>
      </c>
      <c r="B29" s="1" t="s">
        <v>534</v>
      </c>
      <c r="C29" s="32">
        <v>5252</v>
      </c>
      <c r="D29" s="1">
        <v>16000</v>
      </c>
      <c r="E29" s="1"/>
      <c r="F29" s="1">
        <v>178.22</v>
      </c>
      <c r="G29" s="1">
        <v>16000</v>
      </c>
      <c r="H29" s="5">
        <f t="shared" si="0"/>
        <v>0</v>
      </c>
      <c r="I29" s="30"/>
      <c r="J29" s="30"/>
    </row>
    <row r="30" spans="1:16" ht="15" x14ac:dyDescent="0.25">
      <c r="A30" s="32">
        <v>25</v>
      </c>
      <c r="B30" s="1" t="s">
        <v>534</v>
      </c>
      <c r="C30" s="32" t="s">
        <v>30</v>
      </c>
      <c r="D30" s="1">
        <v>5000</v>
      </c>
      <c r="E30" s="1"/>
      <c r="F30" s="1">
        <v>55.15</v>
      </c>
      <c r="G30" s="1">
        <v>5000</v>
      </c>
      <c r="H30" s="5">
        <f t="shared" si="0"/>
        <v>0</v>
      </c>
      <c r="I30" s="30"/>
      <c r="J30" s="30"/>
    </row>
    <row r="31" spans="1:16" ht="15.75" x14ac:dyDescent="0.25">
      <c r="A31" s="32">
        <v>26</v>
      </c>
      <c r="B31" s="1" t="s">
        <v>534</v>
      </c>
      <c r="C31" s="32" t="s">
        <v>66</v>
      </c>
      <c r="D31" s="1">
        <v>210</v>
      </c>
      <c r="E31" s="1"/>
      <c r="F31" s="1">
        <v>2.0499999999999998</v>
      </c>
      <c r="G31" s="1">
        <v>210</v>
      </c>
      <c r="H31" s="5">
        <f t="shared" si="0"/>
        <v>0</v>
      </c>
      <c r="I31" s="217"/>
      <c r="J31" s="217"/>
    </row>
    <row r="32" spans="1:16" ht="15.75" x14ac:dyDescent="0.25">
      <c r="A32" s="32">
        <v>27</v>
      </c>
      <c r="B32" s="1" t="s">
        <v>534</v>
      </c>
      <c r="C32" s="32" t="s">
        <v>30</v>
      </c>
      <c r="D32" s="1">
        <v>3500</v>
      </c>
      <c r="E32" s="1"/>
      <c r="F32" s="1">
        <v>38.450000000000003</v>
      </c>
      <c r="G32" s="1">
        <v>3500</v>
      </c>
      <c r="H32" s="5">
        <f t="shared" si="0"/>
        <v>0</v>
      </c>
      <c r="I32" s="217"/>
      <c r="J32" s="217"/>
    </row>
    <row r="33" spans="1:10" ht="15.75" x14ac:dyDescent="0.25">
      <c r="A33" s="32">
        <v>28</v>
      </c>
      <c r="B33" s="1" t="s">
        <v>534</v>
      </c>
      <c r="C33" s="32" t="s">
        <v>66</v>
      </c>
      <c r="D33" s="1">
        <v>100</v>
      </c>
      <c r="E33" s="1"/>
      <c r="F33" s="1">
        <v>1.05</v>
      </c>
      <c r="G33" s="1">
        <v>100</v>
      </c>
      <c r="H33" s="5">
        <f t="shared" si="0"/>
        <v>0</v>
      </c>
      <c r="I33" s="217"/>
      <c r="J33" s="217"/>
    </row>
    <row r="34" spans="1:10" ht="15.75" x14ac:dyDescent="0.25">
      <c r="A34" s="32">
        <v>29</v>
      </c>
      <c r="B34" s="1" t="s">
        <v>534</v>
      </c>
      <c r="C34" s="32">
        <v>3745</v>
      </c>
      <c r="D34" s="1">
        <v>10000</v>
      </c>
      <c r="E34" s="1"/>
      <c r="F34" s="1">
        <v>111.41</v>
      </c>
      <c r="G34" s="1">
        <v>10000</v>
      </c>
      <c r="H34" s="5">
        <f t="shared" si="0"/>
        <v>0</v>
      </c>
      <c r="I34" s="217"/>
      <c r="J34" s="217"/>
    </row>
    <row r="35" spans="1:10" x14ac:dyDescent="0.2">
      <c r="A35" s="32">
        <v>30</v>
      </c>
      <c r="B35" s="1" t="s">
        <v>534</v>
      </c>
      <c r="C35" s="32">
        <v>8531</v>
      </c>
      <c r="D35" s="1">
        <v>30000</v>
      </c>
      <c r="E35" s="1"/>
      <c r="F35" s="1">
        <v>319.74</v>
      </c>
      <c r="G35" s="1">
        <v>30000</v>
      </c>
      <c r="H35" s="5">
        <f t="shared" si="0"/>
        <v>0</v>
      </c>
      <c r="I35" s="1"/>
      <c r="J35" s="1"/>
    </row>
    <row r="36" spans="1:10" x14ac:dyDescent="0.2">
      <c r="A36" s="32">
        <v>31</v>
      </c>
      <c r="B36" s="1" t="s">
        <v>534</v>
      </c>
      <c r="C36" s="32">
        <v>6461</v>
      </c>
      <c r="D36" s="1">
        <v>25000</v>
      </c>
      <c r="E36" s="1"/>
      <c r="F36" s="1">
        <v>278.57</v>
      </c>
      <c r="G36" s="1">
        <v>25000</v>
      </c>
      <c r="H36" s="5">
        <f t="shared" si="0"/>
        <v>0</v>
      </c>
      <c r="I36" s="1"/>
      <c r="J36" s="1"/>
    </row>
    <row r="37" spans="1:10" x14ac:dyDescent="0.2">
      <c r="A37" s="32">
        <v>32</v>
      </c>
      <c r="B37" s="1" t="s">
        <v>534</v>
      </c>
      <c r="C37" s="32">
        <v>4856</v>
      </c>
      <c r="D37" s="1">
        <v>16000</v>
      </c>
      <c r="E37" s="1"/>
      <c r="F37" s="1">
        <v>178.54</v>
      </c>
      <c r="G37" s="1">
        <v>16000</v>
      </c>
      <c r="H37" s="5">
        <f t="shared" si="0"/>
        <v>0</v>
      </c>
      <c r="I37" s="1"/>
      <c r="J37" s="1"/>
    </row>
    <row r="38" spans="1:10" x14ac:dyDescent="0.2">
      <c r="A38" s="32">
        <v>33</v>
      </c>
      <c r="B38" s="1" t="s">
        <v>534</v>
      </c>
      <c r="C38" s="32">
        <v>8559</v>
      </c>
      <c r="D38" s="1">
        <v>16000</v>
      </c>
      <c r="E38" s="1"/>
      <c r="F38" s="1">
        <v>178.54</v>
      </c>
      <c r="G38" s="1">
        <v>16000</v>
      </c>
      <c r="H38" s="5">
        <f t="shared" si="0"/>
        <v>0</v>
      </c>
      <c r="I38" s="1"/>
      <c r="J38" s="1"/>
    </row>
    <row r="39" spans="1:10" x14ac:dyDescent="0.2">
      <c r="A39" s="32">
        <v>34</v>
      </c>
      <c r="B39" s="1" t="s">
        <v>534</v>
      </c>
      <c r="C39" s="32">
        <v>2806</v>
      </c>
      <c r="D39" s="1">
        <v>16000</v>
      </c>
      <c r="E39" s="1"/>
      <c r="F39" s="1">
        <v>178.54</v>
      </c>
      <c r="G39" s="1">
        <v>16000</v>
      </c>
      <c r="H39" s="5">
        <f t="shared" si="0"/>
        <v>0</v>
      </c>
      <c r="I39" s="1"/>
      <c r="J39" s="1"/>
    </row>
    <row r="40" spans="1:10" x14ac:dyDescent="0.2">
      <c r="A40" s="32">
        <v>35</v>
      </c>
      <c r="B40" s="1" t="s">
        <v>534</v>
      </c>
      <c r="C40" s="32">
        <v>2810</v>
      </c>
      <c r="D40" s="1">
        <v>15000</v>
      </c>
      <c r="E40" s="1"/>
      <c r="F40" s="1">
        <v>167.15</v>
      </c>
      <c r="G40" s="1">
        <v>15000</v>
      </c>
      <c r="H40" s="5">
        <f t="shared" si="0"/>
        <v>0</v>
      </c>
      <c r="I40" s="1"/>
      <c r="J40" s="1"/>
    </row>
    <row r="41" spans="1:10" x14ac:dyDescent="0.2">
      <c r="A41" s="32">
        <v>36</v>
      </c>
      <c r="B41" s="1" t="s">
        <v>534</v>
      </c>
      <c r="C41" s="32">
        <v>5681</v>
      </c>
      <c r="D41" s="1">
        <v>17000</v>
      </c>
      <c r="E41" s="1"/>
      <c r="F41" s="1">
        <v>189.74</v>
      </c>
      <c r="G41" s="1">
        <v>17000</v>
      </c>
      <c r="H41" s="5">
        <f t="shared" si="0"/>
        <v>0</v>
      </c>
      <c r="I41" s="1"/>
      <c r="J41" s="1"/>
    </row>
    <row r="42" spans="1:10" x14ac:dyDescent="0.2">
      <c r="A42" s="32">
        <v>37</v>
      </c>
      <c r="B42" s="1" t="s">
        <v>534</v>
      </c>
      <c r="C42" s="32">
        <v>5931</v>
      </c>
      <c r="D42" s="1">
        <v>16000</v>
      </c>
      <c r="E42" s="1"/>
      <c r="F42" s="1">
        <v>178.22</v>
      </c>
      <c r="G42" s="1">
        <v>16000</v>
      </c>
      <c r="H42" s="5">
        <f t="shared" si="0"/>
        <v>0</v>
      </c>
      <c r="I42" s="1"/>
      <c r="J42" s="1"/>
    </row>
    <row r="43" spans="1:10" x14ac:dyDescent="0.2">
      <c r="A43" s="32">
        <v>38</v>
      </c>
      <c r="B43" s="1" t="s">
        <v>534</v>
      </c>
      <c r="C43" s="32">
        <v>4115</v>
      </c>
      <c r="D43" s="1">
        <v>20000</v>
      </c>
      <c r="E43" s="1"/>
      <c r="F43" s="1">
        <v>222.74</v>
      </c>
      <c r="G43" s="1">
        <v>20000</v>
      </c>
      <c r="H43" s="5">
        <f t="shared" si="0"/>
        <v>0</v>
      </c>
      <c r="I43" s="1"/>
      <c r="J43" s="1"/>
    </row>
    <row r="44" spans="1:10" x14ac:dyDescent="0.2">
      <c r="A44" s="32">
        <v>39</v>
      </c>
      <c r="B44" s="1" t="s">
        <v>534</v>
      </c>
      <c r="C44" s="32">
        <v>9629</v>
      </c>
      <c r="D44" s="1">
        <v>22000</v>
      </c>
      <c r="E44" s="1"/>
      <c r="F44" s="1">
        <v>284.74</v>
      </c>
      <c r="G44" s="1">
        <v>22000</v>
      </c>
      <c r="H44" s="5">
        <f t="shared" si="0"/>
        <v>0</v>
      </c>
      <c r="I44" s="1"/>
      <c r="J44" s="1"/>
    </row>
    <row r="45" spans="1:10" x14ac:dyDescent="0.2">
      <c r="A45" s="32">
        <v>40</v>
      </c>
      <c r="B45" s="1" t="s">
        <v>534</v>
      </c>
      <c r="C45" s="32">
        <v>5.8400000000000001E-2</v>
      </c>
      <c r="D45" s="1">
        <v>20000</v>
      </c>
      <c r="E45" s="1"/>
      <c r="F45" s="1">
        <v>222.74</v>
      </c>
      <c r="G45" s="1">
        <v>20000</v>
      </c>
      <c r="H45" s="5">
        <f t="shared" si="0"/>
        <v>0</v>
      </c>
      <c r="I45" s="1"/>
      <c r="J45" s="1"/>
    </row>
    <row r="46" spans="1:10" x14ac:dyDescent="0.2">
      <c r="A46" s="32">
        <v>41</v>
      </c>
      <c r="B46" s="1" t="s">
        <v>534</v>
      </c>
      <c r="C46" s="32">
        <v>5729</v>
      </c>
      <c r="D46" s="1">
        <v>25000</v>
      </c>
      <c r="E46" s="1"/>
      <c r="F46" s="1">
        <v>278.57</v>
      </c>
      <c r="G46" s="1">
        <v>25000</v>
      </c>
      <c r="H46" s="5">
        <f t="shared" si="0"/>
        <v>0</v>
      </c>
      <c r="I46" s="1"/>
      <c r="J46" s="1"/>
    </row>
    <row r="47" spans="1:10" x14ac:dyDescent="0.2">
      <c r="A47" s="32">
        <v>42</v>
      </c>
      <c r="B47" s="1" t="s">
        <v>534</v>
      </c>
      <c r="C47" s="32">
        <v>2258</v>
      </c>
      <c r="D47" s="1">
        <v>24000</v>
      </c>
      <c r="E47" s="1"/>
      <c r="F47" s="1">
        <v>267.74</v>
      </c>
      <c r="G47" s="1">
        <v>24000</v>
      </c>
      <c r="H47" s="5">
        <f t="shared" si="0"/>
        <v>0</v>
      </c>
      <c r="I47" s="1"/>
      <c r="J47" s="1"/>
    </row>
    <row r="48" spans="1:10" x14ac:dyDescent="0.2">
      <c r="A48" s="32">
        <v>43</v>
      </c>
      <c r="B48" s="1" t="s">
        <v>534</v>
      </c>
      <c r="C48" s="32">
        <v>4866</v>
      </c>
      <c r="D48" s="1">
        <v>20000</v>
      </c>
      <c r="E48" s="1"/>
      <c r="F48" s="1">
        <v>222.74</v>
      </c>
      <c r="G48" s="1">
        <v>20000</v>
      </c>
      <c r="H48" s="5">
        <f t="shared" si="0"/>
        <v>0</v>
      </c>
      <c r="I48" s="1"/>
      <c r="J48" s="1"/>
    </row>
    <row r="49" spans="1:10" x14ac:dyDescent="0.2">
      <c r="A49" s="32">
        <v>44</v>
      </c>
      <c r="B49" s="1" t="s">
        <v>534</v>
      </c>
      <c r="C49" s="32">
        <v>5889</v>
      </c>
      <c r="D49" s="1">
        <v>20000</v>
      </c>
      <c r="E49" s="1"/>
      <c r="F49" s="1">
        <v>222.74</v>
      </c>
      <c r="G49" s="1">
        <v>20000</v>
      </c>
      <c r="H49" s="5">
        <f t="shared" si="0"/>
        <v>0</v>
      </c>
      <c r="I49" s="1"/>
      <c r="J49" s="1"/>
    </row>
    <row r="50" spans="1:10" x14ac:dyDescent="0.2">
      <c r="A50" s="32">
        <v>45</v>
      </c>
      <c r="B50" s="1" t="s">
        <v>534</v>
      </c>
      <c r="C50" s="32">
        <v>8948</v>
      </c>
      <c r="D50" s="1">
        <v>20000</v>
      </c>
      <c r="E50" s="1"/>
      <c r="F50" s="1">
        <v>222.74</v>
      </c>
      <c r="G50" s="1">
        <v>20000</v>
      </c>
      <c r="H50" s="5">
        <f t="shared" si="0"/>
        <v>0</v>
      </c>
      <c r="I50" s="1"/>
      <c r="J50" s="1"/>
    </row>
    <row r="51" spans="1:10" x14ac:dyDescent="0.2">
      <c r="A51" s="32">
        <v>46</v>
      </c>
      <c r="B51" s="1" t="s">
        <v>534</v>
      </c>
      <c r="C51" s="32">
        <v>7182</v>
      </c>
      <c r="D51" s="1">
        <v>10000</v>
      </c>
      <c r="E51" s="1"/>
      <c r="F51" s="1">
        <v>111.41</v>
      </c>
      <c r="G51" s="1">
        <v>10000</v>
      </c>
      <c r="H51" s="5">
        <f t="shared" si="0"/>
        <v>0</v>
      </c>
      <c r="I51" s="1"/>
      <c r="J51" s="1"/>
    </row>
    <row r="52" spans="1:10" x14ac:dyDescent="0.2">
      <c r="A52" s="32">
        <v>47</v>
      </c>
      <c r="B52" s="1" t="s">
        <v>535</v>
      </c>
      <c r="C52" s="32" t="s">
        <v>30</v>
      </c>
      <c r="D52" s="1">
        <v>4500</v>
      </c>
      <c r="E52" s="1"/>
      <c r="F52" s="1">
        <v>50.47</v>
      </c>
      <c r="G52" s="1">
        <v>4500</v>
      </c>
      <c r="H52" s="5">
        <f t="shared" si="0"/>
        <v>0</v>
      </c>
      <c r="I52" s="1"/>
      <c r="J52" s="1"/>
    </row>
    <row r="53" spans="1:10" x14ac:dyDescent="0.2">
      <c r="A53" s="32">
        <v>48</v>
      </c>
      <c r="B53" s="1" t="s">
        <v>535</v>
      </c>
      <c r="C53" s="32">
        <v>5250</v>
      </c>
      <c r="D53" s="1">
        <v>17000</v>
      </c>
      <c r="E53" s="1"/>
      <c r="F53" s="1">
        <v>189.74</v>
      </c>
      <c r="G53" s="1">
        <v>17000</v>
      </c>
      <c r="H53" s="5">
        <f t="shared" si="0"/>
        <v>0</v>
      </c>
      <c r="I53" s="1"/>
      <c r="J53" s="1"/>
    </row>
    <row r="54" spans="1:10" x14ac:dyDescent="0.2">
      <c r="A54" s="32">
        <v>49</v>
      </c>
      <c r="B54" s="1" t="s">
        <v>535</v>
      </c>
      <c r="C54" s="293">
        <v>5.1000000000000004E-4</v>
      </c>
      <c r="D54" s="1">
        <v>16000</v>
      </c>
      <c r="E54" s="1"/>
      <c r="F54" s="1">
        <v>178.22</v>
      </c>
      <c r="G54" s="1">
        <v>16000</v>
      </c>
      <c r="H54" s="5">
        <f t="shared" si="0"/>
        <v>0</v>
      </c>
      <c r="I54" s="1"/>
      <c r="J54" s="1"/>
    </row>
    <row r="55" spans="1:10" x14ac:dyDescent="0.2">
      <c r="A55" s="32">
        <v>50</v>
      </c>
      <c r="B55" s="1" t="s">
        <v>535</v>
      </c>
      <c r="C55" s="32" t="s">
        <v>30</v>
      </c>
      <c r="D55" s="1">
        <v>5000</v>
      </c>
      <c r="E55" s="1"/>
      <c r="F55" s="1">
        <v>55.45</v>
      </c>
      <c r="G55" s="1">
        <v>5000</v>
      </c>
      <c r="H55" s="5">
        <f t="shared" si="0"/>
        <v>0</v>
      </c>
      <c r="I55" s="1"/>
      <c r="J55" s="1"/>
    </row>
    <row r="56" spans="1:10" x14ac:dyDescent="0.2">
      <c r="A56" s="32">
        <v>51</v>
      </c>
      <c r="B56" s="1" t="s">
        <v>535</v>
      </c>
      <c r="C56" s="32">
        <v>5.1999999999999998E-3</v>
      </c>
      <c r="D56" s="294">
        <v>16000</v>
      </c>
      <c r="E56" s="1"/>
      <c r="F56" s="1">
        <v>178.22</v>
      </c>
      <c r="G56" s="1">
        <v>16000</v>
      </c>
      <c r="H56" s="5">
        <f t="shared" si="0"/>
        <v>0</v>
      </c>
      <c r="I56" s="1"/>
      <c r="J56" s="1"/>
    </row>
    <row r="57" spans="1:10" x14ac:dyDescent="0.2">
      <c r="A57" s="32">
        <v>52</v>
      </c>
      <c r="B57" s="1" t="s">
        <v>535</v>
      </c>
      <c r="C57" s="32">
        <v>6573</v>
      </c>
      <c r="D57" s="295">
        <v>16000</v>
      </c>
      <c r="E57" s="1"/>
      <c r="F57" s="1">
        <v>178.22</v>
      </c>
      <c r="G57" s="1">
        <v>16000</v>
      </c>
      <c r="H57" s="5">
        <f t="shared" si="0"/>
        <v>0</v>
      </c>
      <c r="I57" s="1"/>
      <c r="J57" s="1"/>
    </row>
    <row r="58" spans="1:10" x14ac:dyDescent="0.2">
      <c r="A58" s="32">
        <v>53</v>
      </c>
      <c r="B58" s="1" t="s">
        <v>535</v>
      </c>
      <c r="C58" s="32">
        <v>4513</v>
      </c>
      <c r="D58" s="1">
        <v>16000</v>
      </c>
      <c r="E58" s="1"/>
      <c r="F58" s="1">
        <v>178.22</v>
      </c>
      <c r="G58" s="1">
        <v>16000</v>
      </c>
      <c r="H58" s="5">
        <f t="shared" si="0"/>
        <v>0</v>
      </c>
      <c r="I58" s="1"/>
      <c r="J58" s="1"/>
    </row>
    <row r="59" spans="1:10" x14ac:dyDescent="0.2">
      <c r="A59" s="32">
        <v>54</v>
      </c>
      <c r="B59" s="1" t="s">
        <v>535</v>
      </c>
      <c r="C59" s="32">
        <v>1416</v>
      </c>
      <c r="D59" s="1">
        <v>10000</v>
      </c>
      <c r="E59" s="1"/>
      <c r="F59" s="1">
        <v>111.41</v>
      </c>
      <c r="G59" s="1">
        <v>10000</v>
      </c>
      <c r="H59" s="5">
        <f t="shared" si="0"/>
        <v>0</v>
      </c>
      <c r="I59" s="1"/>
      <c r="J59" s="1"/>
    </row>
    <row r="60" spans="1:10" x14ac:dyDescent="0.2">
      <c r="A60" s="32">
        <v>55</v>
      </c>
      <c r="B60" s="1" t="s">
        <v>535</v>
      </c>
      <c r="C60" s="32">
        <v>4059</v>
      </c>
      <c r="D60" s="1">
        <v>16000</v>
      </c>
      <c r="E60" s="1"/>
      <c r="F60" s="1">
        <v>178.22</v>
      </c>
      <c r="G60" s="1">
        <v>16000</v>
      </c>
      <c r="H60" s="5">
        <f t="shared" si="0"/>
        <v>0</v>
      </c>
      <c r="I60" s="1"/>
      <c r="J60" s="1"/>
    </row>
    <row r="61" spans="1:10" x14ac:dyDescent="0.2">
      <c r="A61" s="32">
        <v>56</v>
      </c>
      <c r="B61" s="1" t="s">
        <v>535</v>
      </c>
      <c r="C61" s="32">
        <v>2702</v>
      </c>
      <c r="D61" s="1">
        <v>19000</v>
      </c>
      <c r="E61" s="1"/>
      <c r="F61" s="1">
        <v>211.74</v>
      </c>
      <c r="G61" s="1">
        <v>19000</v>
      </c>
      <c r="H61" s="5">
        <f t="shared" si="0"/>
        <v>0</v>
      </c>
      <c r="I61" s="1"/>
      <c r="J61" s="1"/>
    </row>
    <row r="62" spans="1:10" x14ac:dyDescent="0.2">
      <c r="A62" s="32">
        <v>57</v>
      </c>
      <c r="B62" s="1" t="s">
        <v>535</v>
      </c>
      <c r="C62" s="32">
        <v>2.9499999999999998E-2</v>
      </c>
      <c r="D62" s="1">
        <v>20000</v>
      </c>
      <c r="E62" s="1"/>
      <c r="F62" s="1">
        <v>222.74</v>
      </c>
      <c r="G62" s="1">
        <v>20000</v>
      </c>
      <c r="H62" s="5">
        <f t="shared" si="0"/>
        <v>0</v>
      </c>
      <c r="I62" s="1"/>
      <c r="J62" s="1"/>
    </row>
    <row r="63" spans="1:10" x14ac:dyDescent="0.2">
      <c r="A63" s="32">
        <v>58</v>
      </c>
      <c r="B63" s="1" t="s">
        <v>535</v>
      </c>
      <c r="C63" s="32">
        <v>3800</v>
      </c>
      <c r="D63" s="1">
        <v>20000</v>
      </c>
      <c r="E63" s="1"/>
      <c r="F63" s="1">
        <v>222.74</v>
      </c>
      <c r="G63" s="1">
        <v>20000</v>
      </c>
      <c r="H63" s="5">
        <f t="shared" si="0"/>
        <v>0</v>
      </c>
      <c r="I63" s="1"/>
      <c r="J63" s="1"/>
    </row>
    <row r="64" spans="1:10" x14ac:dyDescent="0.2">
      <c r="A64" s="32">
        <v>59</v>
      </c>
      <c r="B64" s="1" t="s">
        <v>535</v>
      </c>
      <c r="C64" s="32">
        <v>5247</v>
      </c>
      <c r="D64" s="1">
        <v>14000</v>
      </c>
      <c r="E64" s="1"/>
      <c r="F64" s="1">
        <v>155.74</v>
      </c>
      <c r="G64" s="1">
        <v>14000</v>
      </c>
      <c r="H64" s="5">
        <f t="shared" si="0"/>
        <v>0</v>
      </c>
      <c r="I64" s="1"/>
      <c r="J64" s="1"/>
    </row>
    <row r="65" spans="1:10" x14ac:dyDescent="0.2">
      <c r="A65" s="32">
        <v>60</v>
      </c>
      <c r="B65" s="1" t="s">
        <v>535</v>
      </c>
      <c r="C65" s="32">
        <v>9327</v>
      </c>
      <c r="D65" s="1">
        <v>15000</v>
      </c>
      <c r="E65" s="1"/>
      <c r="F65" s="1">
        <v>167.84</v>
      </c>
      <c r="G65" s="1">
        <v>15000</v>
      </c>
      <c r="H65" s="5">
        <f t="shared" si="0"/>
        <v>0</v>
      </c>
      <c r="I65" s="1"/>
      <c r="J65" s="1"/>
    </row>
    <row r="66" spans="1:10" x14ac:dyDescent="0.2">
      <c r="A66" s="32">
        <v>61</v>
      </c>
      <c r="B66" s="1" t="s">
        <v>535</v>
      </c>
      <c r="C66" s="32">
        <v>4058</v>
      </c>
      <c r="D66" s="1">
        <v>16000</v>
      </c>
      <c r="E66" s="1"/>
      <c r="F66" s="1">
        <v>178.22</v>
      </c>
      <c r="G66" s="1">
        <v>16000</v>
      </c>
      <c r="H66" s="5">
        <f t="shared" si="0"/>
        <v>0</v>
      </c>
      <c r="I66" s="1"/>
      <c r="J66" s="1"/>
    </row>
    <row r="67" spans="1:10" x14ac:dyDescent="0.2">
      <c r="A67" s="32">
        <v>62</v>
      </c>
      <c r="B67" s="1" t="s">
        <v>535</v>
      </c>
      <c r="C67" s="32">
        <v>7878</v>
      </c>
      <c r="D67" s="1">
        <v>16500</v>
      </c>
      <c r="E67" s="1"/>
      <c r="F67" s="1">
        <v>153.74</v>
      </c>
      <c r="G67" s="1">
        <v>16500</v>
      </c>
      <c r="H67" s="5">
        <f t="shared" si="0"/>
        <v>0</v>
      </c>
      <c r="I67" s="1"/>
      <c r="J67" s="1"/>
    </row>
    <row r="68" spans="1:10" x14ac:dyDescent="0.2">
      <c r="A68" s="32">
        <v>63</v>
      </c>
      <c r="B68" s="1" t="s">
        <v>535</v>
      </c>
      <c r="C68" s="32">
        <v>1101</v>
      </c>
      <c r="D68" s="1">
        <v>20000</v>
      </c>
      <c r="E68" s="1"/>
      <c r="F68" s="1">
        <v>222.87</v>
      </c>
      <c r="G68" s="1">
        <v>20000</v>
      </c>
      <c r="H68" s="5">
        <f t="shared" si="0"/>
        <v>0</v>
      </c>
      <c r="I68" s="1"/>
      <c r="J68" s="1"/>
    </row>
    <row r="69" spans="1:10" x14ac:dyDescent="0.2">
      <c r="A69" s="32">
        <v>64</v>
      </c>
      <c r="B69" s="1" t="s">
        <v>535</v>
      </c>
      <c r="C69" s="32">
        <v>2809</v>
      </c>
      <c r="D69" s="1">
        <v>15000</v>
      </c>
      <c r="E69" s="1"/>
      <c r="F69" s="1">
        <v>167.15</v>
      </c>
      <c r="G69" s="1">
        <v>15000</v>
      </c>
      <c r="H69" s="5">
        <f t="shared" si="0"/>
        <v>0</v>
      </c>
      <c r="I69" s="1"/>
      <c r="J69" s="1"/>
    </row>
    <row r="70" spans="1:10" x14ac:dyDescent="0.2">
      <c r="A70" s="32">
        <v>65</v>
      </c>
      <c r="B70" s="1" t="s">
        <v>535</v>
      </c>
      <c r="C70" s="32">
        <v>6659</v>
      </c>
      <c r="D70" s="1">
        <v>15000</v>
      </c>
      <c r="E70" s="1"/>
      <c r="F70" s="1">
        <v>167.15</v>
      </c>
      <c r="G70" s="1">
        <v>15000</v>
      </c>
      <c r="H70" s="5">
        <f t="shared" ref="H70:H133" si="1">D70-G70</f>
        <v>0</v>
      </c>
      <c r="I70" s="1"/>
      <c r="J70" s="1"/>
    </row>
    <row r="71" spans="1:10" x14ac:dyDescent="0.2">
      <c r="A71" s="32">
        <v>66</v>
      </c>
      <c r="B71" s="1" t="s">
        <v>535</v>
      </c>
      <c r="C71" s="32">
        <v>8815</v>
      </c>
      <c r="D71" s="1">
        <v>26000</v>
      </c>
      <c r="E71" s="1"/>
      <c r="F71" s="1">
        <v>289.54000000000002</v>
      </c>
      <c r="G71" s="1">
        <v>26000</v>
      </c>
      <c r="H71" s="5">
        <f t="shared" si="1"/>
        <v>0</v>
      </c>
      <c r="I71" s="1"/>
      <c r="J71" s="1"/>
    </row>
    <row r="72" spans="1:10" x14ac:dyDescent="0.2">
      <c r="A72" s="32">
        <v>67</v>
      </c>
      <c r="B72" s="1" t="s">
        <v>535</v>
      </c>
      <c r="C72" s="32">
        <v>8411</v>
      </c>
      <c r="D72" s="1">
        <v>23000</v>
      </c>
      <c r="E72" s="1"/>
      <c r="F72" s="1">
        <v>256.87</v>
      </c>
      <c r="G72" s="1">
        <v>23000</v>
      </c>
      <c r="H72" s="5">
        <f t="shared" si="1"/>
        <v>0</v>
      </c>
      <c r="I72" s="1"/>
      <c r="J72" s="1"/>
    </row>
    <row r="73" spans="1:10" x14ac:dyDescent="0.2">
      <c r="A73" s="32">
        <v>68</v>
      </c>
      <c r="B73" s="1" t="s">
        <v>535</v>
      </c>
      <c r="C73" s="32">
        <v>9607</v>
      </c>
      <c r="D73" s="1">
        <v>25000</v>
      </c>
      <c r="E73" s="1"/>
      <c r="F73" s="1">
        <v>278.22000000000003</v>
      </c>
      <c r="G73" s="1">
        <v>25000</v>
      </c>
      <c r="H73" s="5">
        <f t="shared" si="1"/>
        <v>0</v>
      </c>
      <c r="I73" s="1"/>
      <c r="J73" s="1"/>
    </row>
    <row r="74" spans="1:10" x14ac:dyDescent="0.2">
      <c r="A74" s="32">
        <v>69</v>
      </c>
      <c r="B74" s="1" t="s">
        <v>535</v>
      </c>
      <c r="C74" s="32">
        <v>9786</v>
      </c>
      <c r="D74" s="1">
        <v>18000</v>
      </c>
      <c r="E74" s="1"/>
      <c r="F74" s="1">
        <v>200.53</v>
      </c>
      <c r="G74" s="1">
        <v>18000</v>
      </c>
      <c r="H74" s="5">
        <f t="shared" si="1"/>
        <v>0</v>
      </c>
      <c r="I74" s="1"/>
      <c r="J74" s="1"/>
    </row>
    <row r="75" spans="1:10" x14ac:dyDescent="0.2">
      <c r="A75" s="32">
        <v>70</v>
      </c>
      <c r="B75" s="1" t="s">
        <v>535</v>
      </c>
      <c r="C75" s="32">
        <v>3286</v>
      </c>
      <c r="D75" s="1">
        <v>20000</v>
      </c>
      <c r="E75" s="1"/>
      <c r="F75" s="1">
        <v>222.78</v>
      </c>
      <c r="G75" s="1">
        <v>20000</v>
      </c>
      <c r="H75" s="5">
        <f t="shared" si="1"/>
        <v>0</v>
      </c>
      <c r="I75" s="1"/>
      <c r="J75" s="1"/>
    </row>
    <row r="76" spans="1:10" x14ac:dyDescent="0.2">
      <c r="A76" s="32">
        <v>71</v>
      </c>
      <c r="B76" s="1" t="s">
        <v>537</v>
      </c>
      <c r="C76" s="32" t="s">
        <v>63</v>
      </c>
      <c r="D76" s="1">
        <v>3339</v>
      </c>
      <c r="E76" s="1"/>
      <c r="F76" s="1">
        <v>37.71</v>
      </c>
      <c r="G76" s="1">
        <v>3339</v>
      </c>
      <c r="H76" s="5">
        <f t="shared" si="1"/>
        <v>0</v>
      </c>
      <c r="I76" s="1"/>
      <c r="J76" s="1"/>
    </row>
    <row r="77" spans="1:10" x14ac:dyDescent="0.2">
      <c r="A77" s="32">
        <v>72</v>
      </c>
      <c r="B77" s="1" t="s">
        <v>537</v>
      </c>
      <c r="C77" s="32">
        <v>5240</v>
      </c>
      <c r="D77" s="1">
        <v>10000</v>
      </c>
      <c r="E77" s="1"/>
      <c r="F77" s="1">
        <v>111.41</v>
      </c>
      <c r="G77" s="1">
        <v>10000</v>
      </c>
      <c r="H77" s="5">
        <f t="shared" si="1"/>
        <v>0</v>
      </c>
      <c r="I77" s="1"/>
      <c r="J77" s="1"/>
    </row>
    <row r="78" spans="1:10" x14ac:dyDescent="0.2">
      <c r="A78" s="32">
        <v>73</v>
      </c>
      <c r="B78" s="1" t="s">
        <v>537</v>
      </c>
      <c r="C78" s="32">
        <v>6.4399999999999999E-2</v>
      </c>
      <c r="D78" s="1">
        <v>28500</v>
      </c>
      <c r="E78" s="1"/>
      <c r="F78" s="1">
        <v>316.75</v>
      </c>
      <c r="G78" s="1">
        <v>28500</v>
      </c>
      <c r="H78" s="5">
        <f t="shared" si="1"/>
        <v>0</v>
      </c>
      <c r="I78" s="1"/>
      <c r="J78" s="1"/>
    </row>
    <row r="79" spans="1:10" x14ac:dyDescent="0.2">
      <c r="A79" s="32">
        <v>74</v>
      </c>
      <c r="B79" s="1" t="s">
        <v>537</v>
      </c>
      <c r="C79" s="32">
        <v>2259</v>
      </c>
      <c r="D79" s="1">
        <v>31500</v>
      </c>
      <c r="E79" s="1"/>
      <c r="F79" s="1">
        <v>350.74</v>
      </c>
      <c r="G79" s="1">
        <v>31500</v>
      </c>
      <c r="H79" s="5">
        <f t="shared" si="1"/>
        <v>0</v>
      </c>
      <c r="I79" s="1"/>
      <c r="J79" s="1"/>
    </row>
    <row r="80" spans="1:10" x14ac:dyDescent="0.2">
      <c r="A80" s="32">
        <v>75</v>
      </c>
      <c r="B80" s="1" t="s">
        <v>537</v>
      </c>
      <c r="C80" s="32">
        <v>7686</v>
      </c>
      <c r="D80" s="1">
        <v>15000</v>
      </c>
      <c r="E80" s="1"/>
      <c r="F80" s="1">
        <v>167.45</v>
      </c>
      <c r="G80" s="1">
        <v>15000</v>
      </c>
      <c r="H80" s="5">
        <f t="shared" si="1"/>
        <v>0</v>
      </c>
      <c r="I80" s="1"/>
      <c r="J80" s="1"/>
    </row>
    <row r="81" spans="1:10" x14ac:dyDescent="0.2">
      <c r="A81" s="32">
        <v>76</v>
      </c>
      <c r="B81" s="1" t="s">
        <v>537</v>
      </c>
      <c r="C81" s="32">
        <v>2810</v>
      </c>
      <c r="D81" s="1">
        <v>15000</v>
      </c>
      <c r="E81" s="1"/>
      <c r="F81" s="1">
        <v>167.45</v>
      </c>
      <c r="G81" s="1">
        <v>15000</v>
      </c>
      <c r="H81" s="5">
        <f t="shared" si="1"/>
        <v>0</v>
      </c>
      <c r="I81" s="1"/>
      <c r="J81" s="1"/>
    </row>
    <row r="82" spans="1:10" x14ac:dyDescent="0.2">
      <c r="A82" s="32">
        <v>77</v>
      </c>
      <c r="B82" s="1" t="s">
        <v>537</v>
      </c>
      <c r="C82" s="32">
        <v>3505</v>
      </c>
      <c r="D82" s="1">
        <v>20000</v>
      </c>
      <c r="E82" s="1"/>
      <c r="F82" s="1">
        <v>222.42</v>
      </c>
      <c r="G82" s="1">
        <v>20000</v>
      </c>
      <c r="H82" s="5">
        <f t="shared" si="1"/>
        <v>0</v>
      </c>
      <c r="I82" s="1"/>
      <c r="J82" s="1"/>
    </row>
    <row r="83" spans="1:10" x14ac:dyDescent="0.2">
      <c r="A83" s="32">
        <v>78</v>
      </c>
      <c r="B83" s="1" t="s">
        <v>537</v>
      </c>
      <c r="C83" s="32">
        <v>8676</v>
      </c>
      <c r="D83" s="1">
        <v>20000</v>
      </c>
      <c r="E83" s="1"/>
      <c r="F83" s="1">
        <v>222.42</v>
      </c>
      <c r="G83" s="1">
        <v>20000</v>
      </c>
      <c r="H83" s="5">
        <f t="shared" si="1"/>
        <v>0</v>
      </c>
      <c r="I83" s="1"/>
      <c r="J83" s="1"/>
    </row>
    <row r="84" spans="1:10" x14ac:dyDescent="0.2">
      <c r="A84" s="32">
        <v>79</v>
      </c>
      <c r="B84" s="1" t="s">
        <v>537</v>
      </c>
      <c r="C84" s="32">
        <v>9660</v>
      </c>
      <c r="D84" s="1">
        <v>25000</v>
      </c>
      <c r="E84" s="1"/>
      <c r="F84" s="1">
        <v>242.74</v>
      </c>
      <c r="G84" s="1">
        <v>25000</v>
      </c>
      <c r="H84" s="5">
        <f t="shared" si="1"/>
        <v>0</v>
      </c>
      <c r="I84" s="1"/>
      <c r="J84" s="1"/>
    </row>
    <row r="85" spans="1:10" x14ac:dyDescent="0.2">
      <c r="A85" s="32">
        <v>80</v>
      </c>
      <c r="B85" s="1" t="s">
        <v>537</v>
      </c>
      <c r="C85" s="32">
        <v>6318</v>
      </c>
      <c r="D85" s="1">
        <v>23000</v>
      </c>
      <c r="E85" s="1"/>
      <c r="F85" s="1">
        <v>227.84</v>
      </c>
      <c r="G85" s="1">
        <v>23000</v>
      </c>
      <c r="H85" s="5">
        <f t="shared" si="1"/>
        <v>0</v>
      </c>
      <c r="I85" s="1"/>
      <c r="J85" s="1"/>
    </row>
    <row r="86" spans="1:10" x14ac:dyDescent="0.2">
      <c r="A86" s="32">
        <v>81</v>
      </c>
      <c r="B86" s="1" t="s">
        <v>537</v>
      </c>
      <c r="C86" s="32">
        <v>1811</v>
      </c>
      <c r="D86" s="1">
        <v>33000</v>
      </c>
      <c r="E86" s="1"/>
      <c r="F86" s="1">
        <v>336.54</v>
      </c>
      <c r="G86" s="1">
        <v>33000</v>
      </c>
      <c r="H86" s="5">
        <f t="shared" si="1"/>
        <v>0</v>
      </c>
      <c r="I86" s="1"/>
      <c r="J86" s="1"/>
    </row>
    <row r="87" spans="1:10" x14ac:dyDescent="0.2">
      <c r="A87" s="32">
        <v>82</v>
      </c>
      <c r="B87" s="1" t="s">
        <v>537</v>
      </c>
      <c r="C87" s="32">
        <v>6366</v>
      </c>
      <c r="D87" s="1">
        <v>26000</v>
      </c>
      <c r="E87" s="1"/>
      <c r="F87" s="1">
        <v>289.83999999999997</v>
      </c>
      <c r="G87" s="1">
        <v>26000</v>
      </c>
      <c r="H87" s="5">
        <f t="shared" si="1"/>
        <v>0</v>
      </c>
      <c r="I87" s="1"/>
      <c r="J87" s="1"/>
    </row>
    <row r="88" spans="1:10" x14ac:dyDescent="0.2">
      <c r="A88" s="32">
        <v>83</v>
      </c>
      <c r="B88" s="1" t="s">
        <v>537</v>
      </c>
      <c r="C88" s="32">
        <v>6049</v>
      </c>
      <c r="D88" s="1">
        <v>18000</v>
      </c>
      <c r="E88" s="1"/>
      <c r="F88" s="1">
        <v>200.54</v>
      </c>
      <c r="G88" s="1">
        <v>18000</v>
      </c>
      <c r="H88" s="5">
        <f t="shared" si="1"/>
        <v>0</v>
      </c>
      <c r="I88" s="1"/>
      <c r="J88" s="1"/>
    </row>
    <row r="89" spans="1:10" x14ac:dyDescent="0.2">
      <c r="A89" s="32">
        <v>84</v>
      </c>
      <c r="B89" s="1" t="s">
        <v>537</v>
      </c>
      <c r="C89" s="32">
        <v>1896</v>
      </c>
      <c r="D89" s="1">
        <v>20000</v>
      </c>
      <c r="E89" s="1"/>
      <c r="F89" s="1">
        <v>222.42</v>
      </c>
      <c r="G89" s="1">
        <v>20000</v>
      </c>
      <c r="H89" s="5">
        <f t="shared" si="1"/>
        <v>0</v>
      </c>
      <c r="I89" s="1"/>
      <c r="J89" s="1"/>
    </row>
    <row r="90" spans="1:10" x14ac:dyDescent="0.2">
      <c r="A90" s="32">
        <v>85</v>
      </c>
      <c r="B90" s="1" t="s">
        <v>537</v>
      </c>
      <c r="C90" s="32">
        <v>4819</v>
      </c>
      <c r="D90" s="1">
        <v>20000</v>
      </c>
      <c r="E90" s="1"/>
      <c r="F90" s="1">
        <v>222.42</v>
      </c>
      <c r="G90" s="1">
        <v>20000</v>
      </c>
      <c r="H90" s="5">
        <f t="shared" si="1"/>
        <v>0</v>
      </c>
      <c r="I90" s="1"/>
      <c r="J90" s="1"/>
    </row>
    <row r="91" spans="1:10" x14ac:dyDescent="0.2">
      <c r="A91" s="32">
        <v>86</v>
      </c>
      <c r="B91" s="1" t="s">
        <v>537</v>
      </c>
      <c r="C91" s="32">
        <v>7886</v>
      </c>
      <c r="D91" s="1">
        <v>15000</v>
      </c>
      <c r="E91" s="1"/>
      <c r="F91" s="1">
        <v>167.15</v>
      </c>
      <c r="G91" s="1">
        <v>15000</v>
      </c>
      <c r="H91" s="5">
        <f t="shared" si="1"/>
        <v>0</v>
      </c>
      <c r="I91" s="1"/>
      <c r="J91" s="1"/>
    </row>
    <row r="92" spans="1:10" x14ac:dyDescent="0.2">
      <c r="A92" s="32">
        <v>87</v>
      </c>
      <c r="B92" s="1" t="s">
        <v>537</v>
      </c>
      <c r="C92" s="32">
        <v>8519</v>
      </c>
      <c r="D92" s="1">
        <v>30000</v>
      </c>
      <c r="E92" s="1"/>
      <c r="F92" s="1">
        <v>334.74</v>
      </c>
      <c r="G92" s="1">
        <v>30000</v>
      </c>
      <c r="H92" s="5">
        <f t="shared" si="1"/>
        <v>0</v>
      </c>
      <c r="I92" s="1"/>
      <c r="J92" s="1"/>
    </row>
    <row r="93" spans="1:10" x14ac:dyDescent="0.2">
      <c r="A93" s="32">
        <v>88</v>
      </c>
      <c r="B93" s="1" t="s">
        <v>537</v>
      </c>
      <c r="C93" s="32">
        <v>1455</v>
      </c>
      <c r="D93" s="1">
        <v>30000</v>
      </c>
      <c r="E93" s="1"/>
      <c r="F93" s="1">
        <v>334.74</v>
      </c>
      <c r="G93" s="1">
        <v>30000</v>
      </c>
      <c r="H93" s="5">
        <f t="shared" si="1"/>
        <v>0</v>
      </c>
      <c r="I93" s="1"/>
      <c r="J93" s="1"/>
    </row>
    <row r="94" spans="1:10" x14ac:dyDescent="0.2">
      <c r="A94" s="32">
        <v>89</v>
      </c>
      <c r="B94" s="1" t="s">
        <v>537</v>
      </c>
      <c r="C94" s="32">
        <v>3137</v>
      </c>
      <c r="D94" s="1">
        <v>30000</v>
      </c>
      <c r="E94" s="1"/>
      <c r="F94" s="1">
        <v>334.74</v>
      </c>
      <c r="G94" s="1">
        <v>30000</v>
      </c>
      <c r="H94" s="5">
        <f t="shared" si="1"/>
        <v>0</v>
      </c>
      <c r="I94" s="1"/>
      <c r="J94" s="1"/>
    </row>
    <row r="95" spans="1:10" x14ac:dyDescent="0.2">
      <c r="A95" s="32">
        <v>90</v>
      </c>
      <c r="B95" s="1" t="s">
        <v>537</v>
      </c>
      <c r="C95" s="32" t="s">
        <v>30</v>
      </c>
      <c r="D95" s="1">
        <v>7000</v>
      </c>
      <c r="E95" s="1"/>
      <c r="F95" s="1">
        <v>77.23</v>
      </c>
      <c r="G95" s="1">
        <v>7000</v>
      </c>
      <c r="H95" s="5">
        <f t="shared" si="1"/>
        <v>0</v>
      </c>
      <c r="I95" s="1"/>
      <c r="J95" s="1"/>
    </row>
    <row r="96" spans="1:10" x14ac:dyDescent="0.2">
      <c r="A96" s="32">
        <v>91</v>
      </c>
      <c r="B96" s="1" t="s">
        <v>537</v>
      </c>
      <c r="C96" s="32">
        <v>4579</v>
      </c>
      <c r="D96" s="1">
        <v>12000</v>
      </c>
      <c r="E96" s="1"/>
      <c r="F96" s="1">
        <v>133.74</v>
      </c>
      <c r="G96" s="1">
        <v>12000</v>
      </c>
      <c r="H96" s="5">
        <f t="shared" si="1"/>
        <v>0</v>
      </c>
      <c r="I96" s="1"/>
      <c r="J96" s="1"/>
    </row>
    <row r="97" spans="1:10" x14ac:dyDescent="0.2">
      <c r="A97" s="32">
        <v>92</v>
      </c>
      <c r="B97" s="1" t="s">
        <v>537</v>
      </c>
      <c r="C97" s="32">
        <v>7247</v>
      </c>
      <c r="D97" s="1">
        <v>20000</v>
      </c>
      <c r="E97" s="1"/>
      <c r="F97" s="1">
        <v>222.42</v>
      </c>
      <c r="G97" s="1">
        <v>20000</v>
      </c>
      <c r="H97" s="5">
        <f t="shared" si="1"/>
        <v>0</v>
      </c>
      <c r="I97" s="1"/>
      <c r="J97" s="1"/>
    </row>
    <row r="98" spans="1:10" x14ac:dyDescent="0.2">
      <c r="A98" s="32">
        <v>93</v>
      </c>
      <c r="B98" s="1" t="s">
        <v>537</v>
      </c>
      <c r="C98" s="32">
        <v>5686</v>
      </c>
      <c r="D98" s="1">
        <v>20000</v>
      </c>
      <c r="E98" s="1"/>
      <c r="F98" s="1">
        <v>222.42</v>
      </c>
      <c r="G98" s="1">
        <v>20000</v>
      </c>
      <c r="H98" s="5">
        <f t="shared" si="1"/>
        <v>0</v>
      </c>
      <c r="I98" s="1"/>
      <c r="J98" s="1"/>
    </row>
    <row r="99" spans="1:10" x14ac:dyDescent="0.2">
      <c r="A99" s="32">
        <v>94</v>
      </c>
      <c r="B99" s="1" t="s">
        <v>537</v>
      </c>
      <c r="C99" s="32">
        <v>3945</v>
      </c>
      <c r="D99" s="1">
        <v>25000</v>
      </c>
      <c r="E99" s="1"/>
      <c r="F99" s="1">
        <v>307.87</v>
      </c>
      <c r="G99" s="1">
        <v>25000</v>
      </c>
      <c r="H99" s="5">
        <f t="shared" si="1"/>
        <v>0</v>
      </c>
      <c r="I99" s="1"/>
      <c r="J99" s="1"/>
    </row>
    <row r="100" spans="1:10" x14ac:dyDescent="0.2">
      <c r="A100" s="32">
        <v>95</v>
      </c>
      <c r="B100" s="1" t="s">
        <v>538</v>
      </c>
      <c r="C100" s="32" t="s">
        <v>66</v>
      </c>
      <c r="D100" s="1">
        <v>100</v>
      </c>
      <c r="E100" s="1"/>
      <c r="F100" s="1">
        <v>1.05</v>
      </c>
      <c r="G100" s="1">
        <v>100</v>
      </c>
      <c r="H100" s="5">
        <f t="shared" si="1"/>
        <v>0</v>
      </c>
      <c r="I100" s="1"/>
      <c r="J100" s="1"/>
    </row>
    <row r="101" spans="1:10" x14ac:dyDescent="0.2">
      <c r="A101" s="32">
        <v>96</v>
      </c>
      <c r="B101" s="1" t="s">
        <v>538</v>
      </c>
      <c r="C101" s="32" t="s">
        <v>30</v>
      </c>
      <c r="D101" s="1">
        <v>4500</v>
      </c>
      <c r="E101" s="1"/>
      <c r="F101" s="1">
        <v>50.54</v>
      </c>
      <c r="G101" s="1">
        <v>4500</v>
      </c>
      <c r="H101" s="5">
        <f t="shared" si="1"/>
        <v>0</v>
      </c>
      <c r="I101" s="1"/>
      <c r="J101" s="1"/>
    </row>
    <row r="102" spans="1:10" x14ac:dyDescent="0.2">
      <c r="A102" s="32">
        <v>97</v>
      </c>
      <c r="B102" s="1" t="s">
        <v>538</v>
      </c>
      <c r="C102" s="32">
        <v>9.4399999999999998E-2</v>
      </c>
      <c r="D102" s="1">
        <v>28000</v>
      </c>
      <c r="E102" s="1"/>
      <c r="F102" s="1">
        <v>311.83999999999997</v>
      </c>
      <c r="G102" s="1">
        <v>28000</v>
      </c>
      <c r="H102" s="5">
        <f t="shared" si="1"/>
        <v>0</v>
      </c>
      <c r="I102" s="1"/>
      <c r="J102" s="1"/>
    </row>
    <row r="103" spans="1:10" x14ac:dyDescent="0.2">
      <c r="A103" s="32">
        <v>98</v>
      </c>
      <c r="B103" s="1" t="s">
        <v>538</v>
      </c>
      <c r="C103" s="32" t="s">
        <v>30</v>
      </c>
      <c r="D103" s="1">
        <v>5000</v>
      </c>
      <c r="E103" s="1"/>
      <c r="F103" s="1">
        <v>55.42</v>
      </c>
      <c r="G103" s="1">
        <v>5000</v>
      </c>
      <c r="H103" s="5">
        <f t="shared" si="1"/>
        <v>0</v>
      </c>
      <c r="I103" s="1"/>
      <c r="J103" s="1"/>
    </row>
    <row r="104" spans="1:10" x14ac:dyDescent="0.2">
      <c r="A104" s="32">
        <v>99</v>
      </c>
      <c r="B104" s="1" t="s">
        <v>538</v>
      </c>
      <c r="C104" s="32" t="s">
        <v>66</v>
      </c>
      <c r="D104" s="1">
        <v>210</v>
      </c>
      <c r="E104" s="1"/>
      <c r="F104" s="1">
        <v>2.08</v>
      </c>
      <c r="G104" s="1">
        <v>210</v>
      </c>
      <c r="H104" s="5">
        <f t="shared" si="1"/>
        <v>0</v>
      </c>
      <c r="I104" s="1"/>
      <c r="J104" s="1"/>
    </row>
    <row r="105" spans="1:10" x14ac:dyDescent="0.2">
      <c r="A105" s="32">
        <v>100</v>
      </c>
      <c r="B105" s="1" t="s">
        <v>538</v>
      </c>
      <c r="C105" s="32">
        <v>1.6899999999999998E-2</v>
      </c>
      <c r="D105" s="1">
        <v>28000</v>
      </c>
      <c r="E105" s="1"/>
      <c r="F105" s="1">
        <v>311.83999999999997</v>
      </c>
      <c r="G105" s="1">
        <v>28000</v>
      </c>
      <c r="H105" s="5">
        <f t="shared" si="1"/>
        <v>0</v>
      </c>
      <c r="I105" s="1"/>
      <c r="J105" s="1"/>
    </row>
    <row r="106" spans="1:10" x14ac:dyDescent="0.2">
      <c r="A106" s="32">
        <v>101</v>
      </c>
      <c r="B106" s="1" t="s">
        <v>538</v>
      </c>
      <c r="C106" s="32">
        <v>4.02E-2</v>
      </c>
      <c r="D106" s="1">
        <v>28000</v>
      </c>
      <c r="E106" s="1"/>
      <c r="F106" s="1">
        <v>311.83999999999997</v>
      </c>
      <c r="G106" s="1">
        <v>28000</v>
      </c>
      <c r="H106" s="5">
        <f t="shared" si="1"/>
        <v>0</v>
      </c>
      <c r="I106" s="1"/>
      <c r="J106" s="1"/>
    </row>
    <row r="107" spans="1:10" x14ac:dyDescent="0.2">
      <c r="A107" s="32">
        <v>102</v>
      </c>
      <c r="B107" s="1" t="s">
        <v>538</v>
      </c>
      <c r="C107" s="32">
        <v>3527</v>
      </c>
      <c r="D107" s="1">
        <v>25000</v>
      </c>
      <c r="E107" s="1"/>
      <c r="F107" s="1">
        <v>272.74</v>
      </c>
      <c r="G107" s="1">
        <v>25000</v>
      </c>
      <c r="H107" s="5">
        <f t="shared" si="1"/>
        <v>0</v>
      </c>
      <c r="I107" s="1"/>
      <c r="J107" s="1"/>
    </row>
    <row r="108" spans="1:10" x14ac:dyDescent="0.2">
      <c r="A108" s="32">
        <v>103</v>
      </c>
      <c r="B108" s="1" t="s">
        <v>538</v>
      </c>
      <c r="C108" s="32">
        <v>2.4299999999999999E-2</v>
      </c>
      <c r="D108" s="1">
        <v>24000</v>
      </c>
      <c r="E108" s="1"/>
      <c r="F108" s="1">
        <v>267.83999999999997</v>
      </c>
      <c r="G108" s="1">
        <v>24000</v>
      </c>
      <c r="H108" s="5">
        <f t="shared" si="1"/>
        <v>0</v>
      </c>
      <c r="I108" s="1"/>
      <c r="J108" s="1"/>
    </row>
    <row r="109" spans="1:10" x14ac:dyDescent="0.2">
      <c r="A109" s="32">
        <v>104</v>
      </c>
      <c r="B109" s="1" t="s">
        <v>538</v>
      </c>
      <c r="C109" s="32">
        <v>9378</v>
      </c>
      <c r="D109" s="1">
        <v>24000</v>
      </c>
      <c r="E109" s="1"/>
      <c r="F109" s="1">
        <v>267.83999999999997</v>
      </c>
      <c r="G109" s="1">
        <v>24000</v>
      </c>
      <c r="H109" s="5">
        <f t="shared" si="1"/>
        <v>0</v>
      </c>
      <c r="I109" s="1"/>
      <c r="J109" s="1"/>
    </row>
    <row r="110" spans="1:10" x14ac:dyDescent="0.2">
      <c r="A110" s="32">
        <v>105</v>
      </c>
      <c r="B110" s="1" t="s">
        <v>538</v>
      </c>
      <c r="C110" s="32">
        <v>2.5499999999999998E-2</v>
      </c>
      <c r="D110" s="1">
        <v>24000</v>
      </c>
      <c r="E110" s="1"/>
      <c r="F110" s="1">
        <v>267.83999999999997</v>
      </c>
      <c r="G110" s="1">
        <v>24000</v>
      </c>
      <c r="H110" s="5">
        <f t="shared" si="1"/>
        <v>0</v>
      </c>
      <c r="I110" s="1"/>
      <c r="J110" s="1"/>
    </row>
    <row r="111" spans="1:10" x14ac:dyDescent="0.2">
      <c r="A111" s="32">
        <v>106</v>
      </c>
      <c r="B111" s="1" t="s">
        <v>538</v>
      </c>
      <c r="C111" s="32" t="s">
        <v>30</v>
      </c>
      <c r="D111" s="1">
        <v>5000</v>
      </c>
      <c r="E111" s="1"/>
      <c r="F111" s="1">
        <v>55.45</v>
      </c>
      <c r="G111" s="1">
        <v>5000</v>
      </c>
      <c r="H111" s="5">
        <f t="shared" si="1"/>
        <v>0</v>
      </c>
      <c r="I111" s="1"/>
      <c r="J111" s="1"/>
    </row>
    <row r="112" spans="1:10" x14ac:dyDescent="0.2">
      <c r="A112" s="32">
        <v>107</v>
      </c>
      <c r="B112" s="1" t="s">
        <v>538</v>
      </c>
      <c r="C112" s="32">
        <v>1677</v>
      </c>
      <c r="D112" s="1">
        <v>20000</v>
      </c>
      <c r="E112" s="1"/>
      <c r="F112" s="1">
        <v>222.42</v>
      </c>
      <c r="G112" s="1">
        <v>20000</v>
      </c>
      <c r="H112" s="5">
        <f t="shared" si="1"/>
        <v>0</v>
      </c>
      <c r="I112" s="1"/>
      <c r="J112" s="1"/>
    </row>
    <row r="113" spans="1:10" x14ac:dyDescent="0.2">
      <c r="A113" s="32">
        <v>108</v>
      </c>
      <c r="B113" s="1" t="s">
        <v>538</v>
      </c>
      <c r="C113" s="32">
        <v>2.01E-2</v>
      </c>
      <c r="D113" s="1">
        <v>22000</v>
      </c>
      <c r="E113" s="1"/>
      <c r="F113" s="1">
        <v>245.64</v>
      </c>
      <c r="G113" s="1">
        <v>22000</v>
      </c>
      <c r="H113" s="5">
        <f t="shared" si="1"/>
        <v>0</v>
      </c>
      <c r="I113" s="1"/>
      <c r="J113" s="1"/>
    </row>
    <row r="114" spans="1:10" x14ac:dyDescent="0.2">
      <c r="A114" s="32">
        <v>109</v>
      </c>
      <c r="B114" s="1" t="s">
        <v>538</v>
      </c>
      <c r="C114" s="32">
        <v>9351</v>
      </c>
      <c r="D114" s="1">
        <v>15000</v>
      </c>
      <c r="E114" s="1"/>
      <c r="F114" s="1">
        <v>167.15</v>
      </c>
      <c r="G114" s="1">
        <v>15000</v>
      </c>
      <c r="H114" s="5">
        <f t="shared" si="1"/>
        <v>0</v>
      </c>
      <c r="I114" s="1"/>
      <c r="J114" s="1"/>
    </row>
    <row r="115" spans="1:10" x14ac:dyDescent="0.2">
      <c r="A115" s="32">
        <v>110</v>
      </c>
      <c r="B115" s="1" t="s">
        <v>538</v>
      </c>
      <c r="C115" s="32">
        <v>8382</v>
      </c>
      <c r="D115" s="1">
        <v>19000</v>
      </c>
      <c r="E115" s="1"/>
      <c r="F115" s="1">
        <v>211.64</v>
      </c>
      <c r="G115" s="1">
        <v>19000</v>
      </c>
      <c r="H115" s="5">
        <f t="shared" si="1"/>
        <v>0</v>
      </c>
      <c r="I115" s="1"/>
      <c r="J115" s="1"/>
    </row>
    <row r="116" spans="1:10" x14ac:dyDescent="0.2">
      <c r="A116" s="32">
        <v>111</v>
      </c>
      <c r="B116" s="1" t="s">
        <v>538</v>
      </c>
      <c r="C116" s="32">
        <v>4.3999999999999997E-2</v>
      </c>
      <c r="D116" s="1">
        <v>29000</v>
      </c>
      <c r="E116" s="1"/>
      <c r="F116" s="1">
        <v>323.87</v>
      </c>
      <c r="G116" s="1">
        <v>29000</v>
      </c>
      <c r="H116" s="5">
        <f t="shared" si="1"/>
        <v>0</v>
      </c>
      <c r="I116" s="1"/>
      <c r="J116" s="1"/>
    </row>
    <row r="117" spans="1:10" x14ac:dyDescent="0.2">
      <c r="A117" s="32">
        <v>112</v>
      </c>
      <c r="B117" s="1" t="s">
        <v>538</v>
      </c>
      <c r="C117" s="32">
        <v>2344</v>
      </c>
      <c r="D117" s="1">
        <v>24000</v>
      </c>
      <c r="E117" s="1"/>
      <c r="F117" s="1">
        <v>267.83999999999997</v>
      </c>
      <c r="G117" s="1">
        <v>24000</v>
      </c>
      <c r="H117" s="5">
        <f t="shared" si="1"/>
        <v>0</v>
      </c>
      <c r="I117" s="1"/>
      <c r="J117" s="1"/>
    </row>
    <row r="118" spans="1:10" x14ac:dyDescent="0.2">
      <c r="A118" s="32">
        <v>113</v>
      </c>
      <c r="B118" s="1" t="s">
        <v>538</v>
      </c>
      <c r="C118" s="32">
        <v>2338</v>
      </c>
      <c r="D118" s="1">
        <v>21369</v>
      </c>
      <c r="E118" s="1"/>
      <c r="F118" s="1">
        <v>238.74</v>
      </c>
      <c r="G118" s="1">
        <v>21369</v>
      </c>
      <c r="H118" s="5">
        <f t="shared" si="1"/>
        <v>0</v>
      </c>
      <c r="I118" s="1"/>
      <c r="J118" s="1"/>
    </row>
    <row r="119" spans="1:10" x14ac:dyDescent="0.2">
      <c r="A119" s="32">
        <v>114</v>
      </c>
      <c r="B119" s="1" t="s">
        <v>538</v>
      </c>
      <c r="C119" s="32">
        <v>5656</v>
      </c>
      <c r="D119" s="1">
        <v>15000</v>
      </c>
      <c r="E119" s="1"/>
      <c r="F119" s="1">
        <v>167.15</v>
      </c>
      <c r="G119" s="1">
        <v>15000</v>
      </c>
      <c r="H119" s="5">
        <f t="shared" si="1"/>
        <v>0</v>
      </c>
      <c r="I119" s="1"/>
      <c r="J119" s="1"/>
    </row>
    <row r="120" spans="1:10" x14ac:dyDescent="0.2">
      <c r="A120" s="32">
        <v>115</v>
      </c>
      <c r="B120" s="1" t="s">
        <v>538</v>
      </c>
      <c r="C120" s="32">
        <v>8833</v>
      </c>
      <c r="D120" s="1">
        <v>28000</v>
      </c>
      <c r="E120" s="1"/>
      <c r="F120" s="1">
        <v>311.54000000000002</v>
      </c>
      <c r="G120" s="1">
        <v>28000</v>
      </c>
      <c r="H120" s="5">
        <f t="shared" si="1"/>
        <v>0</v>
      </c>
      <c r="I120" s="1"/>
      <c r="J120" s="1"/>
    </row>
    <row r="121" spans="1:10" x14ac:dyDescent="0.2">
      <c r="A121" s="32">
        <v>116</v>
      </c>
      <c r="B121" s="1" t="s">
        <v>538</v>
      </c>
      <c r="C121" s="32">
        <v>9124</v>
      </c>
      <c r="D121" s="1">
        <v>15000</v>
      </c>
      <c r="E121" s="1"/>
      <c r="F121" s="1">
        <v>167.15</v>
      </c>
      <c r="G121" s="1">
        <v>15000</v>
      </c>
      <c r="H121" s="5">
        <f t="shared" si="1"/>
        <v>0</v>
      </c>
      <c r="I121" s="1"/>
      <c r="J121" s="1"/>
    </row>
    <row r="122" spans="1:10" x14ac:dyDescent="0.2">
      <c r="A122" s="32">
        <v>117</v>
      </c>
      <c r="B122" s="1" t="s">
        <v>539</v>
      </c>
      <c r="C122" s="32">
        <v>1223</v>
      </c>
      <c r="D122" s="1">
        <v>16000</v>
      </c>
      <c r="E122" s="1"/>
      <c r="F122" s="1">
        <v>178.22</v>
      </c>
      <c r="G122" s="1">
        <v>16000</v>
      </c>
      <c r="H122" s="5">
        <f t="shared" si="1"/>
        <v>0</v>
      </c>
      <c r="I122" s="1"/>
      <c r="J122" s="1"/>
    </row>
    <row r="123" spans="1:10" x14ac:dyDescent="0.2">
      <c r="A123" s="32">
        <v>118</v>
      </c>
      <c r="B123" s="1" t="s">
        <v>539</v>
      </c>
      <c r="C123" s="32">
        <v>5151</v>
      </c>
      <c r="D123" s="1">
        <v>16000</v>
      </c>
      <c r="E123" s="1"/>
      <c r="F123" s="1">
        <v>178.22</v>
      </c>
      <c r="G123" s="1">
        <v>16000</v>
      </c>
      <c r="H123" s="5">
        <f t="shared" si="1"/>
        <v>0</v>
      </c>
      <c r="I123" s="1"/>
      <c r="J123" s="1"/>
    </row>
    <row r="124" spans="1:10" x14ac:dyDescent="0.2">
      <c r="A124" s="32">
        <v>119</v>
      </c>
      <c r="B124" s="1" t="s">
        <v>539</v>
      </c>
      <c r="C124" s="32">
        <v>5252</v>
      </c>
      <c r="D124" s="1">
        <v>16000</v>
      </c>
      <c r="E124" s="1"/>
      <c r="F124" s="1">
        <v>178.22</v>
      </c>
      <c r="G124" s="1">
        <v>16000</v>
      </c>
      <c r="H124" s="5">
        <f t="shared" si="1"/>
        <v>0</v>
      </c>
      <c r="I124" s="1"/>
      <c r="J124" s="1"/>
    </row>
    <row r="125" spans="1:10" x14ac:dyDescent="0.2">
      <c r="A125" s="32">
        <v>120</v>
      </c>
      <c r="B125" s="1" t="s">
        <v>539</v>
      </c>
      <c r="C125" s="32">
        <v>9825</v>
      </c>
      <c r="D125" s="1">
        <v>17000</v>
      </c>
      <c r="E125" s="1"/>
      <c r="F125" s="1">
        <v>189.74</v>
      </c>
      <c r="G125" s="1">
        <v>17000</v>
      </c>
      <c r="H125" s="5">
        <f t="shared" si="1"/>
        <v>0</v>
      </c>
      <c r="I125" s="1"/>
      <c r="J125" s="1"/>
    </row>
    <row r="126" spans="1:10" x14ac:dyDescent="0.2">
      <c r="A126" s="32">
        <v>121</v>
      </c>
      <c r="B126" s="1" t="s">
        <v>539</v>
      </c>
      <c r="C126" s="32">
        <v>1224</v>
      </c>
      <c r="D126" s="1">
        <v>18000</v>
      </c>
      <c r="E126" s="1"/>
      <c r="F126" s="1">
        <v>200.42</v>
      </c>
      <c r="G126" s="1">
        <v>18000</v>
      </c>
      <c r="H126" s="5">
        <f t="shared" si="1"/>
        <v>0</v>
      </c>
      <c r="I126" s="1"/>
      <c r="J126" s="1"/>
    </row>
    <row r="127" spans="1:10" x14ac:dyDescent="0.2">
      <c r="A127" s="32">
        <v>122</v>
      </c>
      <c r="B127" s="1" t="s">
        <v>539</v>
      </c>
      <c r="C127" s="32">
        <v>6659</v>
      </c>
      <c r="D127" s="1">
        <v>6000</v>
      </c>
      <c r="E127" s="1"/>
      <c r="F127" s="1">
        <v>66.48</v>
      </c>
      <c r="G127" s="1">
        <v>6000</v>
      </c>
      <c r="H127" s="5">
        <f t="shared" si="1"/>
        <v>0</v>
      </c>
      <c r="I127" s="1"/>
      <c r="J127" s="1"/>
    </row>
    <row r="128" spans="1:10" x14ac:dyDescent="0.2">
      <c r="A128" s="32">
        <v>123</v>
      </c>
      <c r="B128" s="1" t="s">
        <v>539</v>
      </c>
      <c r="C128" s="32">
        <v>6573</v>
      </c>
      <c r="D128" s="1">
        <v>6000</v>
      </c>
      <c r="E128" s="1"/>
      <c r="F128" s="1">
        <v>66.48</v>
      </c>
      <c r="G128" s="1">
        <v>6000</v>
      </c>
      <c r="H128" s="5">
        <f t="shared" si="1"/>
        <v>0</v>
      </c>
      <c r="I128" s="1"/>
      <c r="J128" s="1"/>
    </row>
    <row r="129" spans="1:10" x14ac:dyDescent="0.2">
      <c r="A129" s="32">
        <v>124</v>
      </c>
      <c r="B129" s="1" t="s">
        <v>539</v>
      </c>
      <c r="C129" s="32">
        <v>2810</v>
      </c>
      <c r="D129" s="1">
        <v>6000</v>
      </c>
      <c r="E129" s="1"/>
      <c r="F129" s="1">
        <v>66.48</v>
      </c>
      <c r="G129" s="1">
        <v>6000</v>
      </c>
      <c r="H129" s="5">
        <f t="shared" si="1"/>
        <v>0</v>
      </c>
      <c r="I129" s="1"/>
      <c r="J129" s="1"/>
    </row>
    <row r="130" spans="1:10" x14ac:dyDescent="0.2">
      <c r="A130" s="32">
        <v>125</v>
      </c>
      <c r="B130" s="1" t="s">
        <v>539</v>
      </c>
      <c r="C130" s="32">
        <v>2809</v>
      </c>
      <c r="D130" s="1">
        <v>6000</v>
      </c>
      <c r="E130" s="1"/>
      <c r="F130" s="1">
        <v>66.48</v>
      </c>
      <c r="G130" s="1">
        <v>6000</v>
      </c>
      <c r="H130" s="5">
        <f t="shared" si="1"/>
        <v>0</v>
      </c>
      <c r="I130" s="1"/>
      <c r="J130" s="1"/>
    </row>
    <row r="131" spans="1:10" x14ac:dyDescent="0.2">
      <c r="A131" s="32">
        <v>126</v>
      </c>
      <c r="B131" s="1" t="s">
        <v>539</v>
      </c>
      <c r="C131" s="32">
        <v>4514</v>
      </c>
      <c r="D131" s="1">
        <v>6000</v>
      </c>
      <c r="E131" s="1"/>
      <c r="F131" s="1">
        <v>66.48</v>
      </c>
      <c r="G131" s="1">
        <v>6000</v>
      </c>
      <c r="H131" s="5">
        <f t="shared" si="1"/>
        <v>0</v>
      </c>
      <c r="I131" s="1"/>
      <c r="J131" s="1"/>
    </row>
    <row r="132" spans="1:10" x14ac:dyDescent="0.2">
      <c r="A132" s="32">
        <v>127</v>
      </c>
      <c r="B132" s="1" t="s">
        <v>539</v>
      </c>
      <c r="C132" s="32">
        <v>1722</v>
      </c>
      <c r="D132" s="1">
        <v>6000</v>
      </c>
      <c r="E132" s="1"/>
      <c r="F132" s="1">
        <v>66.48</v>
      </c>
      <c r="G132" s="1">
        <v>6000</v>
      </c>
      <c r="H132" s="5">
        <f t="shared" si="1"/>
        <v>0</v>
      </c>
      <c r="I132" s="1"/>
      <c r="J132" s="1"/>
    </row>
    <row r="133" spans="1:10" x14ac:dyDescent="0.2">
      <c r="A133" s="32">
        <v>128</v>
      </c>
      <c r="B133" s="1" t="s">
        <v>539</v>
      </c>
      <c r="C133" s="32">
        <v>4513</v>
      </c>
      <c r="D133" s="1">
        <v>6000</v>
      </c>
      <c r="E133" s="1"/>
      <c r="F133" s="1">
        <v>66.48</v>
      </c>
      <c r="G133" s="1">
        <v>6000</v>
      </c>
      <c r="H133" s="5">
        <f t="shared" si="1"/>
        <v>0</v>
      </c>
      <c r="I133" s="1"/>
      <c r="J133" s="1"/>
    </row>
    <row r="134" spans="1:10" x14ac:dyDescent="0.2">
      <c r="A134" s="32">
        <v>129</v>
      </c>
      <c r="B134" s="1" t="s">
        <v>539</v>
      </c>
      <c r="C134" s="32">
        <v>2227</v>
      </c>
      <c r="D134" s="1">
        <v>30000</v>
      </c>
      <c r="E134" s="1"/>
      <c r="F134" s="1">
        <v>334.84</v>
      </c>
      <c r="G134" s="1">
        <v>30000</v>
      </c>
      <c r="H134" s="5">
        <f t="shared" ref="H134:H198" si="2">D134-G134</f>
        <v>0</v>
      </c>
      <c r="I134" s="1"/>
      <c r="J134" s="1"/>
    </row>
    <row r="135" spans="1:10" x14ac:dyDescent="0.2">
      <c r="A135" s="32">
        <v>130</v>
      </c>
      <c r="B135" s="1" t="s">
        <v>539</v>
      </c>
      <c r="C135" s="32">
        <v>4856</v>
      </c>
      <c r="D135" s="1">
        <v>14000</v>
      </c>
      <c r="E135" s="1"/>
      <c r="F135" s="1">
        <v>155.87</v>
      </c>
      <c r="G135" s="1">
        <v>14000</v>
      </c>
      <c r="H135" s="5">
        <f t="shared" si="2"/>
        <v>0</v>
      </c>
      <c r="I135" s="1"/>
      <c r="J135" s="1"/>
    </row>
    <row r="136" spans="1:10" x14ac:dyDescent="0.2">
      <c r="A136" s="32">
        <v>131</v>
      </c>
      <c r="B136" s="1" t="s">
        <v>539</v>
      </c>
      <c r="C136" s="32">
        <v>8559</v>
      </c>
      <c r="D136" s="1">
        <v>15000</v>
      </c>
      <c r="E136" s="1"/>
      <c r="F136" s="1">
        <v>167.15</v>
      </c>
      <c r="G136" s="1">
        <v>15000</v>
      </c>
      <c r="H136" s="5">
        <f t="shared" si="2"/>
        <v>0</v>
      </c>
      <c r="I136" s="1"/>
      <c r="J136" s="1"/>
    </row>
    <row r="137" spans="1:10" x14ac:dyDescent="0.2">
      <c r="A137" s="32">
        <v>132</v>
      </c>
      <c r="B137" s="1" t="s">
        <v>539</v>
      </c>
      <c r="C137" s="32">
        <v>6892</v>
      </c>
      <c r="D137" s="1">
        <v>27886</v>
      </c>
      <c r="E137" s="1"/>
      <c r="F137" s="1">
        <v>310.87</v>
      </c>
      <c r="G137" s="1">
        <v>27886</v>
      </c>
      <c r="H137" s="5">
        <f t="shared" si="2"/>
        <v>0</v>
      </c>
      <c r="I137" s="1"/>
      <c r="J137" s="1"/>
    </row>
    <row r="138" spans="1:10" x14ac:dyDescent="0.2">
      <c r="A138" s="32">
        <v>133</v>
      </c>
      <c r="B138" s="1" t="s">
        <v>539</v>
      </c>
      <c r="C138" s="32">
        <v>3728</v>
      </c>
      <c r="D138" s="1">
        <v>25000</v>
      </c>
      <c r="E138" s="1"/>
      <c r="F138" s="1">
        <v>315.74</v>
      </c>
      <c r="G138" s="1">
        <v>25000</v>
      </c>
      <c r="H138" s="5">
        <f t="shared" si="2"/>
        <v>0</v>
      </c>
      <c r="I138" s="1"/>
      <c r="J138" s="1"/>
    </row>
    <row r="139" spans="1:10" x14ac:dyDescent="0.2">
      <c r="A139" s="32">
        <v>134</v>
      </c>
      <c r="B139" s="1" t="s">
        <v>539</v>
      </c>
      <c r="C139" s="32">
        <v>1628</v>
      </c>
      <c r="D139" s="1">
        <v>18000</v>
      </c>
      <c r="E139" s="1"/>
      <c r="F139" s="1">
        <v>200.42</v>
      </c>
      <c r="G139" s="1">
        <v>18000</v>
      </c>
      <c r="H139" s="5">
        <f t="shared" si="2"/>
        <v>0</v>
      </c>
      <c r="I139" s="1"/>
      <c r="J139" s="1"/>
    </row>
    <row r="140" spans="1:10" x14ac:dyDescent="0.2">
      <c r="A140" s="32">
        <v>135</v>
      </c>
      <c r="B140" s="1" t="s">
        <v>539</v>
      </c>
      <c r="C140" s="32">
        <v>9355</v>
      </c>
      <c r="D140" s="1">
        <v>20000</v>
      </c>
      <c r="E140" s="1"/>
      <c r="F140" s="1">
        <v>222.42</v>
      </c>
      <c r="G140" s="1">
        <v>20000</v>
      </c>
      <c r="H140" s="5">
        <f t="shared" si="2"/>
        <v>0</v>
      </c>
      <c r="I140" s="1"/>
      <c r="J140" s="1"/>
    </row>
    <row r="141" spans="1:10" x14ac:dyDescent="0.2">
      <c r="A141" s="32">
        <v>136</v>
      </c>
      <c r="B141" s="1" t="s">
        <v>539</v>
      </c>
      <c r="C141" s="32">
        <v>3045</v>
      </c>
      <c r="D141" s="1">
        <v>33000</v>
      </c>
      <c r="E141" s="1"/>
      <c r="F141" s="1">
        <v>383.65</v>
      </c>
      <c r="G141" s="1">
        <v>33000</v>
      </c>
      <c r="H141" s="5">
        <f t="shared" si="2"/>
        <v>0</v>
      </c>
      <c r="I141" s="1"/>
      <c r="J141" s="1"/>
    </row>
    <row r="142" spans="1:10" x14ac:dyDescent="0.2">
      <c r="A142" s="32">
        <v>137</v>
      </c>
      <c r="B142" s="1" t="s">
        <v>539</v>
      </c>
      <c r="C142" s="32">
        <v>4980</v>
      </c>
      <c r="D142" s="1">
        <v>17000</v>
      </c>
      <c r="E142" s="1"/>
      <c r="F142" s="1">
        <v>189.74</v>
      </c>
      <c r="G142" s="1">
        <v>17000</v>
      </c>
      <c r="H142" s="5">
        <f t="shared" si="2"/>
        <v>0</v>
      </c>
      <c r="I142" s="1"/>
      <c r="J142" s="1"/>
    </row>
    <row r="143" spans="1:10" x14ac:dyDescent="0.2">
      <c r="A143" s="32">
        <v>138</v>
      </c>
      <c r="B143" s="1" t="s">
        <v>539</v>
      </c>
      <c r="C143" s="32">
        <v>3450</v>
      </c>
      <c r="D143" s="1">
        <v>20000</v>
      </c>
      <c r="E143" s="1"/>
      <c r="F143" s="1">
        <v>222.42</v>
      </c>
      <c r="G143" s="1">
        <v>20000</v>
      </c>
      <c r="H143" s="5">
        <f t="shared" si="2"/>
        <v>0</v>
      </c>
      <c r="I143" s="1"/>
      <c r="J143" s="1"/>
    </row>
    <row r="144" spans="1:10" x14ac:dyDescent="0.2">
      <c r="A144" s="32">
        <v>139</v>
      </c>
      <c r="B144" s="1" t="s">
        <v>539</v>
      </c>
      <c r="C144" s="32">
        <v>2208</v>
      </c>
      <c r="D144" s="1">
        <v>26000</v>
      </c>
      <c r="E144" s="1"/>
      <c r="F144" s="1">
        <v>215.87</v>
      </c>
      <c r="G144" s="1">
        <v>26000</v>
      </c>
      <c r="H144" s="5">
        <f t="shared" si="2"/>
        <v>0</v>
      </c>
      <c r="I144" s="1"/>
      <c r="J144" s="1"/>
    </row>
    <row r="145" spans="1:10" x14ac:dyDescent="0.2">
      <c r="A145" s="32">
        <v>140</v>
      </c>
      <c r="B145" s="1" t="s">
        <v>539</v>
      </c>
      <c r="C145" s="32">
        <v>6.1699999999999998E-2</v>
      </c>
      <c r="D145" s="1">
        <v>15000</v>
      </c>
      <c r="E145" s="1"/>
      <c r="F145" s="1">
        <v>167.15</v>
      </c>
      <c r="G145" s="1">
        <v>15000</v>
      </c>
      <c r="H145" s="5">
        <f t="shared" si="2"/>
        <v>0</v>
      </c>
      <c r="I145" s="1"/>
      <c r="J145" s="1"/>
    </row>
    <row r="146" spans="1:10" x14ac:dyDescent="0.2">
      <c r="A146" s="32">
        <v>141</v>
      </c>
      <c r="B146" s="1" t="s">
        <v>539</v>
      </c>
      <c r="C146" s="32">
        <v>5488</v>
      </c>
      <c r="D146" s="1">
        <v>35000</v>
      </c>
      <c r="E146" s="1"/>
      <c r="F146" s="1">
        <v>379.41</v>
      </c>
      <c r="G146" s="1">
        <v>35000</v>
      </c>
      <c r="H146" s="5">
        <f t="shared" si="2"/>
        <v>0</v>
      </c>
      <c r="I146" s="1"/>
      <c r="J146" s="1"/>
    </row>
    <row r="147" spans="1:10" x14ac:dyDescent="0.2">
      <c r="A147" s="32">
        <v>142</v>
      </c>
      <c r="B147" s="1" t="s">
        <v>539</v>
      </c>
      <c r="C147" s="32">
        <v>8772</v>
      </c>
      <c r="D147" s="1">
        <v>20000</v>
      </c>
      <c r="E147" s="1"/>
      <c r="F147" s="1">
        <v>222.42</v>
      </c>
      <c r="G147" s="1">
        <v>20000</v>
      </c>
      <c r="H147" s="5">
        <f t="shared" si="2"/>
        <v>0</v>
      </c>
      <c r="I147" s="1"/>
      <c r="J147" s="1"/>
    </row>
    <row r="148" spans="1:10" x14ac:dyDescent="0.2">
      <c r="A148" s="32">
        <v>143</v>
      </c>
      <c r="B148" s="1" t="s">
        <v>539</v>
      </c>
      <c r="C148" s="32">
        <v>7851</v>
      </c>
      <c r="D148" s="1">
        <v>28000</v>
      </c>
      <c r="E148" s="1"/>
      <c r="F148" s="1">
        <v>311.83999999999997</v>
      </c>
      <c r="G148" s="1">
        <v>28000</v>
      </c>
      <c r="H148" s="5">
        <f t="shared" si="2"/>
        <v>0</v>
      </c>
      <c r="I148" s="1"/>
      <c r="J148" s="1"/>
    </row>
    <row r="149" spans="1:10" x14ac:dyDescent="0.2">
      <c r="A149" s="32">
        <v>144</v>
      </c>
      <c r="B149" s="1" t="s">
        <v>539</v>
      </c>
      <c r="C149" s="32">
        <v>8349</v>
      </c>
      <c r="D149" s="1">
        <v>30000</v>
      </c>
      <c r="E149" s="1"/>
      <c r="F149" s="1">
        <v>334.74</v>
      </c>
      <c r="G149" s="1">
        <v>30000</v>
      </c>
      <c r="H149" s="5">
        <f t="shared" si="2"/>
        <v>0</v>
      </c>
      <c r="I149" s="1"/>
      <c r="J149" s="1"/>
    </row>
    <row r="150" spans="1:10" x14ac:dyDescent="0.2">
      <c r="A150" s="32">
        <v>145</v>
      </c>
      <c r="B150" s="1" t="s">
        <v>540</v>
      </c>
      <c r="C150" s="32">
        <v>9952</v>
      </c>
      <c r="D150" s="1">
        <v>15000</v>
      </c>
      <c r="E150" s="1"/>
      <c r="F150" s="1">
        <v>167.15</v>
      </c>
      <c r="G150" s="1">
        <v>15000</v>
      </c>
      <c r="H150" s="5">
        <f t="shared" si="2"/>
        <v>0</v>
      </c>
      <c r="I150" s="1"/>
      <c r="J150" s="1"/>
    </row>
    <row r="151" spans="1:10" x14ac:dyDescent="0.2">
      <c r="A151" s="32">
        <v>146</v>
      </c>
      <c r="B151" s="1" t="s">
        <v>540</v>
      </c>
      <c r="C151" s="32">
        <v>4572</v>
      </c>
      <c r="D151" s="1">
        <v>15000</v>
      </c>
      <c r="E151" s="1"/>
      <c r="F151" s="1">
        <v>167.15</v>
      </c>
      <c r="G151" s="1">
        <v>15000</v>
      </c>
      <c r="H151" s="5">
        <f t="shared" si="2"/>
        <v>0</v>
      </c>
      <c r="I151" s="1"/>
      <c r="J151" s="1"/>
    </row>
    <row r="152" spans="1:10" x14ac:dyDescent="0.2">
      <c r="A152" s="32">
        <v>147</v>
      </c>
      <c r="B152" s="1" t="s">
        <v>540</v>
      </c>
      <c r="C152" s="32">
        <v>5.8400000000000001E-2</v>
      </c>
      <c r="D152" s="1">
        <v>24000</v>
      </c>
      <c r="E152" s="1"/>
      <c r="F152" s="1">
        <v>267.64</v>
      </c>
      <c r="G152" s="1">
        <v>24000</v>
      </c>
      <c r="H152" s="5">
        <f t="shared" si="2"/>
        <v>0</v>
      </c>
      <c r="I152" s="1"/>
      <c r="J152" s="1"/>
    </row>
    <row r="153" spans="1:10" x14ac:dyDescent="0.2">
      <c r="A153" s="32">
        <v>148</v>
      </c>
      <c r="B153" s="1" t="s">
        <v>540</v>
      </c>
      <c r="C153" s="32">
        <v>2516</v>
      </c>
      <c r="D153" s="1">
        <v>25000</v>
      </c>
      <c r="E153" s="1"/>
      <c r="F153" s="1">
        <v>278.22000000000003</v>
      </c>
      <c r="G153" s="1">
        <v>25000</v>
      </c>
      <c r="H153" s="5">
        <f t="shared" si="2"/>
        <v>0</v>
      </c>
      <c r="I153" s="1"/>
      <c r="J153" s="1"/>
    </row>
    <row r="154" spans="1:10" x14ac:dyDescent="0.2">
      <c r="A154" s="32">
        <v>149</v>
      </c>
      <c r="B154" s="1" t="s">
        <v>540</v>
      </c>
      <c r="C154" s="32">
        <v>5.1000000000000004E-3</v>
      </c>
      <c r="D154" s="1">
        <v>16000</v>
      </c>
      <c r="E154" s="1"/>
      <c r="F154" s="1">
        <v>178.22</v>
      </c>
      <c r="G154" s="1">
        <v>16000</v>
      </c>
      <c r="H154" s="5">
        <f t="shared" si="2"/>
        <v>0</v>
      </c>
      <c r="I154" s="1"/>
      <c r="J154" s="1"/>
    </row>
    <row r="155" spans="1:10" x14ac:dyDescent="0.2">
      <c r="A155" s="32">
        <v>150</v>
      </c>
      <c r="B155" s="1" t="s">
        <v>540</v>
      </c>
      <c r="C155" s="32">
        <v>9824</v>
      </c>
      <c r="D155" s="1">
        <v>17000</v>
      </c>
      <c r="E155" s="1"/>
      <c r="F155" s="1">
        <v>189.74</v>
      </c>
      <c r="G155" s="1">
        <v>17000</v>
      </c>
      <c r="H155" s="5">
        <f t="shared" si="2"/>
        <v>0</v>
      </c>
      <c r="I155" s="1"/>
      <c r="J155" s="1"/>
    </row>
    <row r="156" spans="1:10" x14ac:dyDescent="0.2">
      <c r="A156" s="32">
        <v>151</v>
      </c>
      <c r="B156" s="1" t="s">
        <v>540</v>
      </c>
      <c r="C156" s="32">
        <v>3317</v>
      </c>
      <c r="D156" s="1">
        <v>27000</v>
      </c>
      <c r="E156" s="1"/>
      <c r="F156" s="1">
        <v>300.83999999999997</v>
      </c>
      <c r="G156" s="1">
        <v>27000</v>
      </c>
      <c r="H156" s="5">
        <f t="shared" si="2"/>
        <v>0</v>
      </c>
      <c r="I156" s="1"/>
      <c r="J156" s="1"/>
    </row>
    <row r="157" spans="1:10" x14ac:dyDescent="0.2">
      <c r="A157" s="32">
        <v>152</v>
      </c>
      <c r="B157" s="1" t="s">
        <v>540</v>
      </c>
      <c r="C157" s="32" t="s">
        <v>30</v>
      </c>
      <c r="D157" s="1">
        <v>5000</v>
      </c>
      <c r="E157" s="1"/>
      <c r="F157" s="1">
        <v>55.48</v>
      </c>
      <c r="G157" s="1">
        <v>5000</v>
      </c>
      <c r="H157" s="5">
        <f t="shared" si="2"/>
        <v>0</v>
      </c>
      <c r="I157" s="1"/>
      <c r="J157" s="1"/>
    </row>
    <row r="158" spans="1:10" x14ac:dyDescent="0.2">
      <c r="A158" s="32">
        <v>153</v>
      </c>
      <c r="B158" s="1" t="s">
        <v>540</v>
      </c>
      <c r="C158" s="32" t="s">
        <v>63</v>
      </c>
      <c r="D158" s="1">
        <v>4500</v>
      </c>
      <c r="E158" s="1"/>
      <c r="F158" s="1">
        <v>50.47</v>
      </c>
      <c r="G158" s="1">
        <v>4500</v>
      </c>
      <c r="H158" s="5">
        <f t="shared" si="2"/>
        <v>0</v>
      </c>
      <c r="I158" s="1"/>
      <c r="J158" s="1"/>
    </row>
    <row r="159" spans="1:10" x14ac:dyDescent="0.2">
      <c r="A159" s="32">
        <v>154</v>
      </c>
      <c r="B159" s="1" t="s">
        <v>540</v>
      </c>
      <c r="C159" s="32" t="s">
        <v>66</v>
      </c>
      <c r="D159" s="1">
        <v>210</v>
      </c>
      <c r="E159" s="1"/>
      <c r="F159" s="1">
        <v>2.08</v>
      </c>
      <c r="G159" s="1">
        <v>210</v>
      </c>
      <c r="H159" s="5">
        <f t="shared" si="2"/>
        <v>0</v>
      </c>
      <c r="I159" s="1"/>
      <c r="J159" s="1"/>
    </row>
    <row r="160" spans="1:10" x14ac:dyDescent="0.2">
      <c r="A160" s="32">
        <v>155</v>
      </c>
      <c r="B160" s="1" t="s">
        <v>540</v>
      </c>
      <c r="C160" s="32">
        <v>9760</v>
      </c>
      <c r="D160" s="1">
        <v>15000</v>
      </c>
      <c r="E160" s="1"/>
      <c r="F160" s="1">
        <v>167.15</v>
      </c>
      <c r="G160" s="6">
        <v>15000</v>
      </c>
      <c r="H160" s="5">
        <f t="shared" si="2"/>
        <v>0</v>
      </c>
      <c r="I160" s="1"/>
      <c r="J160" s="1"/>
    </row>
    <row r="161" spans="1:10" x14ac:dyDescent="0.2">
      <c r="A161" s="32">
        <v>156</v>
      </c>
      <c r="B161" s="1" t="s">
        <v>542</v>
      </c>
      <c r="C161" s="32">
        <v>9.3100000000000002E-2</v>
      </c>
      <c r="D161" s="1">
        <v>25000</v>
      </c>
      <c r="E161" s="1"/>
      <c r="F161" s="1">
        <v>278.22000000000003</v>
      </c>
      <c r="G161" s="1">
        <v>25000</v>
      </c>
      <c r="H161" s="5">
        <f t="shared" si="2"/>
        <v>0</v>
      </c>
      <c r="I161" s="1"/>
      <c r="J161" s="1"/>
    </row>
    <row r="162" spans="1:10" x14ac:dyDescent="0.2">
      <c r="A162" s="32">
        <v>157</v>
      </c>
      <c r="B162" s="1" t="s">
        <v>544</v>
      </c>
      <c r="C162" s="32" t="s">
        <v>30</v>
      </c>
      <c r="D162" s="1">
        <v>5000</v>
      </c>
      <c r="E162" s="1"/>
      <c r="F162" s="1">
        <v>55.45</v>
      </c>
      <c r="G162" s="1">
        <v>5000</v>
      </c>
      <c r="H162" s="5">
        <f t="shared" si="2"/>
        <v>0</v>
      </c>
      <c r="I162" s="1"/>
      <c r="J162" s="1"/>
    </row>
    <row r="163" spans="1:10" x14ac:dyDescent="0.2">
      <c r="A163" s="32">
        <v>158</v>
      </c>
      <c r="B163" s="1" t="s">
        <v>544</v>
      </c>
      <c r="C163" s="32" t="s">
        <v>30</v>
      </c>
      <c r="D163" s="1">
        <v>8000</v>
      </c>
      <c r="E163" s="1"/>
      <c r="F163" s="1">
        <v>89.12</v>
      </c>
      <c r="G163" s="1">
        <v>8000</v>
      </c>
      <c r="H163" s="5">
        <f t="shared" si="2"/>
        <v>0</v>
      </c>
      <c r="I163" s="1"/>
      <c r="J163" s="1"/>
    </row>
    <row r="164" spans="1:10" x14ac:dyDescent="0.2">
      <c r="A164" s="32">
        <v>159</v>
      </c>
      <c r="B164" s="1" t="s">
        <v>544</v>
      </c>
      <c r="C164" s="32">
        <v>9330</v>
      </c>
      <c r="D164" s="1">
        <v>30000</v>
      </c>
      <c r="E164" s="1"/>
      <c r="F164" s="1">
        <v>334.84</v>
      </c>
      <c r="G164" s="1">
        <v>30000</v>
      </c>
      <c r="H164" s="5">
        <f t="shared" si="2"/>
        <v>0</v>
      </c>
      <c r="I164" s="1"/>
      <c r="J164" s="1"/>
    </row>
    <row r="165" spans="1:10" x14ac:dyDescent="0.2">
      <c r="A165" s="32">
        <v>160</v>
      </c>
      <c r="B165" s="1" t="s">
        <v>544</v>
      </c>
      <c r="C165" s="32">
        <v>9705</v>
      </c>
      <c r="D165" s="1">
        <v>15000</v>
      </c>
      <c r="E165" s="1"/>
      <c r="F165" s="1">
        <v>167.22</v>
      </c>
      <c r="G165" s="1">
        <v>15000</v>
      </c>
      <c r="H165" s="5">
        <f t="shared" si="2"/>
        <v>0</v>
      </c>
      <c r="I165" s="1"/>
      <c r="J165" s="1"/>
    </row>
    <row r="166" spans="1:10" x14ac:dyDescent="0.2">
      <c r="A166" s="32">
        <v>161</v>
      </c>
      <c r="B166" s="1" t="s">
        <v>544</v>
      </c>
      <c r="C166" s="32">
        <v>4148</v>
      </c>
      <c r="D166" s="1">
        <v>25000</v>
      </c>
      <c r="E166" s="1"/>
      <c r="F166" s="1">
        <v>278.22000000000003</v>
      </c>
      <c r="G166" s="1">
        <v>25000</v>
      </c>
      <c r="H166" s="5">
        <f t="shared" si="2"/>
        <v>0</v>
      </c>
      <c r="I166" s="1"/>
      <c r="J166" s="1"/>
    </row>
    <row r="167" spans="1:10" x14ac:dyDescent="0.2">
      <c r="A167" s="32">
        <v>162</v>
      </c>
      <c r="B167" s="1" t="s">
        <v>544</v>
      </c>
      <c r="C167" s="32">
        <v>2929</v>
      </c>
      <c r="D167" s="1">
        <v>15000</v>
      </c>
      <c r="E167" s="1"/>
      <c r="F167" s="1">
        <v>233.74</v>
      </c>
      <c r="G167" s="1">
        <v>15000</v>
      </c>
      <c r="H167" s="5">
        <f t="shared" si="2"/>
        <v>0</v>
      </c>
      <c r="I167" s="1"/>
      <c r="J167" s="1"/>
    </row>
    <row r="168" spans="1:10" x14ac:dyDescent="0.2">
      <c r="A168" s="32">
        <v>163</v>
      </c>
      <c r="B168" s="1" t="s">
        <v>544</v>
      </c>
      <c r="C168" s="32">
        <v>5455</v>
      </c>
      <c r="D168" s="1">
        <v>25000</v>
      </c>
      <c r="E168" s="1"/>
      <c r="F168" s="1">
        <v>278.22000000000003</v>
      </c>
      <c r="G168" s="1">
        <v>25000</v>
      </c>
      <c r="H168" s="5">
        <f t="shared" si="2"/>
        <v>0</v>
      </c>
      <c r="I168" s="1"/>
      <c r="J168" s="1"/>
    </row>
    <row r="169" spans="1:10" x14ac:dyDescent="0.2">
      <c r="A169" s="32">
        <v>164</v>
      </c>
      <c r="B169" s="1" t="s">
        <v>544</v>
      </c>
      <c r="C169" s="32">
        <v>2063</v>
      </c>
      <c r="D169" s="1">
        <v>25000</v>
      </c>
      <c r="E169" s="1"/>
      <c r="F169" s="1">
        <v>278.22000000000003</v>
      </c>
      <c r="G169" s="1">
        <v>25000</v>
      </c>
      <c r="H169" s="5">
        <f t="shared" si="2"/>
        <v>0</v>
      </c>
      <c r="I169" s="1"/>
      <c r="J169" s="1"/>
    </row>
    <row r="170" spans="1:10" x14ac:dyDescent="0.2">
      <c r="A170" s="32">
        <v>165</v>
      </c>
      <c r="B170" s="1" t="s">
        <v>544</v>
      </c>
      <c r="C170" s="32">
        <v>2638</v>
      </c>
      <c r="D170" s="1">
        <v>22000</v>
      </c>
      <c r="E170" s="1"/>
      <c r="F170" s="1">
        <v>225.42</v>
      </c>
      <c r="G170" s="1">
        <v>22000</v>
      </c>
      <c r="H170" s="5">
        <f t="shared" si="2"/>
        <v>0</v>
      </c>
      <c r="I170" s="1"/>
      <c r="J170" s="1"/>
    </row>
    <row r="171" spans="1:10" x14ac:dyDescent="0.2">
      <c r="A171" s="32">
        <v>166</v>
      </c>
      <c r="B171" s="1" t="s">
        <v>544</v>
      </c>
      <c r="C171" s="32">
        <v>6540</v>
      </c>
      <c r="D171" s="1">
        <v>34000</v>
      </c>
      <c r="E171" s="1"/>
      <c r="F171" s="1">
        <v>362.94</v>
      </c>
      <c r="G171" s="1">
        <v>34000</v>
      </c>
      <c r="H171" s="5">
        <f t="shared" si="2"/>
        <v>0</v>
      </c>
      <c r="I171" s="1"/>
      <c r="J171" s="1"/>
    </row>
    <row r="172" spans="1:10" x14ac:dyDescent="0.2">
      <c r="A172" s="32">
        <v>167</v>
      </c>
      <c r="B172" s="1" t="s">
        <v>544</v>
      </c>
      <c r="C172" s="32">
        <v>6199</v>
      </c>
      <c r="D172" s="1">
        <v>40000</v>
      </c>
      <c r="E172" s="1"/>
      <c r="F172" s="1">
        <v>436.84</v>
      </c>
      <c r="G172" s="1">
        <v>40000</v>
      </c>
      <c r="H172" s="5">
        <f t="shared" si="2"/>
        <v>0</v>
      </c>
      <c r="I172" s="1"/>
      <c r="J172" s="1"/>
    </row>
    <row r="173" spans="1:10" x14ac:dyDescent="0.2">
      <c r="A173" s="32">
        <v>168</v>
      </c>
      <c r="B173" s="1" t="s">
        <v>544</v>
      </c>
      <c r="C173" s="32">
        <v>6459</v>
      </c>
      <c r="D173" s="1">
        <v>27000</v>
      </c>
      <c r="E173" s="1"/>
      <c r="F173" s="1">
        <v>300.83999999999997</v>
      </c>
      <c r="G173" s="1">
        <v>27000</v>
      </c>
      <c r="H173" s="5">
        <f t="shared" si="2"/>
        <v>0</v>
      </c>
      <c r="I173" s="1"/>
      <c r="J173" s="1"/>
    </row>
    <row r="174" spans="1:10" x14ac:dyDescent="0.2">
      <c r="A174" s="32">
        <v>169</v>
      </c>
      <c r="B174" s="1" t="s">
        <v>544</v>
      </c>
      <c r="C174" s="32">
        <v>8360</v>
      </c>
      <c r="D174" s="1">
        <v>27000</v>
      </c>
      <c r="E174" s="1"/>
      <c r="F174" s="1">
        <v>300.83999999999997</v>
      </c>
      <c r="G174" s="1">
        <v>27000</v>
      </c>
      <c r="H174" s="5">
        <f t="shared" si="2"/>
        <v>0</v>
      </c>
      <c r="I174" s="1"/>
      <c r="J174" s="1"/>
    </row>
    <row r="175" spans="1:10" x14ac:dyDescent="0.2">
      <c r="A175" s="32">
        <v>170</v>
      </c>
      <c r="B175" s="1" t="s">
        <v>544</v>
      </c>
      <c r="C175" s="32">
        <v>2486</v>
      </c>
      <c r="D175" s="1">
        <v>18000</v>
      </c>
      <c r="E175" s="1"/>
      <c r="F175" s="1">
        <v>201.74</v>
      </c>
      <c r="G175" s="1">
        <v>18000</v>
      </c>
      <c r="H175" s="5">
        <f t="shared" si="2"/>
        <v>0</v>
      </c>
      <c r="I175" s="1"/>
      <c r="J175" s="316"/>
    </row>
    <row r="176" spans="1:10" x14ac:dyDescent="0.2">
      <c r="A176" s="32">
        <v>171</v>
      </c>
      <c r="B176" s="1" t="s">
        <v>544</v>
      </c>
      <c r="C176" s="32">
        <v>3145</v>
      </c>
      <c r="D176" s="1">
        <v>10000</v>
      </c>
      <c r="E176" s="1"/>
      <c r="F176" s="1">
        <v>111.41</v>
      </c>
      <c r="G176" s="1">
        <v>10000</v>
      </c>
      <c r="H176" s="5">
        <f t="shared" si="2"/>
        <v>0</v>
      </c>
      <c r="I176" s="1"/>
      <c r="J176" s="1"/>
    </row>
    <row r="177" spans="1:10" x14ac:dyDescent="0.2">
      <c r="A177" s="32">
        <v>172</v>
      </c>
      <c r="B177" s="1" t="s">
        <v>544</v>
      </c>
      <c r="C177" s="32">
        <v>1169</v>
      </c>
      <c r="D177" s="1">
        <v>25000</v>
      </c>
      <c r="E177" s="1"/>
      <c r="F177" s="1">
        <v>278.22000000000003</v>
      </c>
      <c r="G177" s="1">
        <v>25000</v>
      </c>
      <c r="H177" s="5">
        <f t="shared" si="2"/>
        <v>0</v>
      </c>
      <c r="I177" s="1"/>
      <c r="J177" s="1"/>
    </row>
    <row r="178" spans="1:10" x14ac:dyDescent="0.2">
      <c r="A178" s="32">
        <v>173</v>
      </c>
      <c r="B178" s="1" t="s">
        <v>544</v>
      </c>
      <c r="C178" s="32">
        <v>7860</v>
      </c>
      <c r="D178" s="1">
        <v>20000</v>
      </c>
      <c r="E178" s="1"/>
      <c r="F178" s="1">
        <v>222.42</v>
      </c>
      <c r="G178" s="1">
        <v>20000</v>
      </c>
      <c r="H178" s="5">
        <f t="shared" si="2"/>
        <v>0</v>
      </c>
      <c r="I178" s="1"/>
      <c r="J178" s="1"/>
    </row>
    <row r="179" spans="1:10" x14ac:dyDescent="0.2">
      <c r="A179" s="32">
        <v>174</v>
      </c>
      <c r="B179" s="1" t="s">
        <v>544</v>
      </c>
      <c r="C179" s="32">
        <v>2793</v>
      </c>
      <c r="D179" s="1">
        <v>48000</v>
      </c>
      <c r="E179" s="1"/>
      <c r="F179" s="1">
        <v>840.54</v>
      </c>
      <c r="G179" s="1">
        <v>48000</v>
      </c>
      <c r="H179" s="5">
        <f t="shared" si="2"/>
        <v>0</v>
      </c>
      <c r="I179" s="1"/>
      <c r="J179" s="1"/>
    </row>
    <row r="180" spans="1:10" x14ac:dyDescent="0.2">
      <c r="A180" s="32">
        <v>175</v>
      </c>
      <c r="B180" s="1" t="s">
        <v>544</v>
      </c>
      <c r="C180" s="32" t="s">
        <v>66</v>
      </c>
      <c r="D180" s="1">
        <v>100</v>
      </c>
      <c r="E180" s="1"/>
      <c r="F180" s="1">
        <v>1.05</v>
      </c>
      <c r="G180" s="1">
        <v>100</v>
      </c>
      <c r="H180" s="5">
        <f t="shared" si="2"/>
        <v>0</v>
      </c>
      <c r="I180" s="1"/>
      <c r="J180" s="1"/>
    </row>
    <row r="181" spans="1:10" x14ac:dyDescent="0.2">
      <c r="A181" s="32">
        <v>176</v>
      </c>
      <c r="B181" s="1" t="s">
        <v>545</v>
      </c>
      <c r="C181" s="32">
        <v>5.1999999999999998E-3</v>
      </c>
      <c r="D181" s="1">
        <v>16000</v>
      </c>
      <c r="E181" s="1"/>
      <c r="F181" s="1">
        <v>178.22</v>
      </c>
      <c r="G181" s="1">
        <v>16000</v>
      </c>
      <c r="H181" s="5">
        <f t="shared" si="2"/>
        <v>0</v>
      </c>
      <c r="I181" s="1"/>
      <c r="J181" s="1"/>
    </row>
    <row r="182" spans="1:10" x14ac:dyDescent="0.2">
      <c r="A182" s="32">
        <v>177</v>
      </c>
      <c r="B182" s="1" t="s">
        <v>545</v>
      </c>
      <c r="C182" s="32" t="s">
        <v>30</v>
      </c>
      <c r="D182" s="1">
        <v>4500</v>
      </c>
      <c r="E182" s="1"/>
      <c r="F182" s="1">
        <v>50.45</v>
      </c>
      <c r="G182" s="1">
        <v>4500</v>
      </c>
      <c r="H182" s="5">
        <f t="shared" si="2"/>
        <v>0</v>
      </c>
      <c r="I182" s="1"/>
      <c r="J182" s="1"/>
    </row>
    <row r="183" spans="1:10" x14ac:dyDescent="0.2">
      <c r="A183" s="32">
        <v>178</v>
      </c>
      <c r="B183" s="1" t="s">
        <v>545</v>
      </c>
      <c r="C183" s="32">
        <v>2227</v>
      </c>
      <c r="D183" s="1">
        <v>31600</v>
      </c>
      <c r="E183" s="1"/>
      <c r="F183" s="1">
        <v>352.85</v>
      </c>
      <c r="G183" s="1">
        <v>31600</v>
      </c>
      <c r="H183" s="5">
        <f t="shared" si="2"/>
        <v>0</v>
      </c>
      <c r="I183" s="1"/>
      <c r="J183" s="1"/>
    </row>
    <row r="184" spans="1:10" x14ac:dyDescent="0.2">
      <c r="A184" s="32">
        <v>179</v>
      </c>
      <c r="B184" s="1" t="s">
        <v>545</v>
      </c>
      <c r="C184" s="32">
        <v>8863</v>
      </c>
      <c r="D184" s="1">
        <v>26000</v>
      </c>
      <c r="E184" s="1"/>
      <c r="F184" s="1">
        <v>260.44</v>
      </c>
      <c r="G184" s="1">
        <v>26000</v>
      </c>
      <c r="H184" s="5">
        <f t="shared" si="2"/>
        <v>0</v>
      </c>
      <c r="I184" s="1"/>
      <c r="J184" s="1"/>
    </row>
    <row r="185" spans="1:10" x14ac:dyDescent="0.2">
      <c r="A185" s="32">
        <v>180</v>
      </c>
      <c r="B185" s="1" t="s">
        <v>545</v>
      </c>
      <c r="C185" s="32">
        <v>2316</v>
      </c>
      <c r="D185" s="1">
        <v>27000</v>
      </c>
      <c r="E185" s="1"/>
      <c r="F185" s="1">
        <v>299.74</v>
      </c>
      <c r="G185" s="1">
        <v>27000</v>
      </c>
      <c r="H185" s="5">
        <f t="shared" si="2"/>
        <v>0</v>
      </c>
      <c r="I185" s="1"/>
      <c r="J185" s="1"/>
    </row>
    <row r="186" spans="1:10" x14ac:dyDescent="0.2">
      <c r="A186" s="32">
        <v>181</v>
      </c>
      <c r="B186" s="1" t="s">
        <v>545</v>
      </c>
      <c r="C186" s="32">
        <v>9025</v>
      </c>
      <c r="D186" s="1">
        <v>26000</v>
      </c>
      <c r="E186" s="1"/>
      <c r="F186" s="1">
        <v>260.44</v>
      </c>
      <c r="G186" s="1">
        <v>26000</v>
      </c>
      <c r="H186" s="5">
        <f t="shared" si="2"/>
        <v>0</v>
      </c>
      <c r="I186" s="1"/>
      <c r="J186" s="1"/>
    </row>
    <row r="187" spans="1:10" x14ac:dyDescent="0.2">
      <c r="A187" s="32">
        <v>182</v>
      </c>
      <c r="B187" s="1" t="s">
        <v>545</v>
      </c>
      <c r="C187" s="32">
        <v>8154</v>
      </c>
      <c r="D187" s="1">
        <v>27000</v>
      </c>
      <c r="E187" s="1"/>
      <c r="F187" s="1">
        <v>289.64</v>
      </c>
      <c r="G187" s="1">
        <v>27000</v>
      </c>
      <c r="H187" s="5">
        <f t="shared" si="2"/>
        <v>0</v>
      </c>
      <c r="I187" s="1"/>
      <c r="J187" s="1"/>
    </row>
    <row r="188" spans="1:10" x14ac:dyDescent="0.2">
      <c r="A188" s="32">
        <v>183</v>
      </c>
      <c r="B188" s="1" t="s">
        <v>545</v>
      </c>
      <c r="C188" s="32" t="s">
        <v>30</v>
      </c>
      <c r="D188" s="1">
        <v>5000</v>
      </c>
      <c r="E188" s="1"/>
      <c r="F188" s="1">
        <v>55.15</v>
      </c>
      <c r="G188" s="1">
        <v>5000</v>
      </c>
      <c r="H188" s="5">
        <f t="shared" si="2"/>
        <v>0</v>
      </c>
      <c r="I188" s="1"/>
      <c r="J188" s="1"/>
    </row>
    <row r="189" spans="1:10" x14ac:dyDescent="0.2">
      <c r="A189" s="32">
        <v>184</v>
      </c>
      <c r="B189" s="1" t="s">
        <v>545</v>
      </c>
      <c r="C189" s="32">
        <v>7848</v>
      </c>
      <c r="D189" s="1">
        <v>19000</v>
      </c>
      <c r="E189" s="1"/>
      <c r="F189" s="1">
        <v>250.82</v>
      </c>
      <c r="G189" s="1">
        <v>19000</v>
      </c>
      <c r="H189" s="5">
        <f t="shared" si="2"/>
        <v>0</v>
      </c>
      <c r="I189" s="1"/>
      <c r="J189" s="1"/>
    </row>
    <row r="190" spans="1:10" x14ac:dyDescent="0.2">
      <c r="A190" s="32">
        <v>185</v>
      </c>
      <c r="B190" s="1" t="s">
        <v>545</v>
      </c>
      <c r="C190" s="32">
        <v>1796</v>
      </c>
      <c r="D190" s="1">
        <v>30000</v>
      </c>
      <c r="E190" s="1"/>
      <c r="F190" s="1">
        <v>317.45</v>
      </c>
      <c r="G190" s="1">
        <v>30000</v>
      </c>
      <c r="H190" s="5">
        <f t="shared" si="2"/>
        <v>0</v>
      </c>
      <c r="I190" s="1"/>
      <c r="J190" s="1"/>
    </row>
    <row r="191" spans="1:10" x14ac:dyDescent="0.2">
      <c r="A191" s="32">
        <v>186</v>
      </c>
      <c r="B191" s="1" t="s">
        <v>545</v>
      </c>
      <c r="C191" s="32">
        <v>6474</v>
      </c>
      <c r="D191" s="1">
        <v>25000</v>
      </c>
      <c r="E191" s="1"/>
      <c r="F191" s="1">
        <v>278.22000000000003</v>
      </c>
      <c r="G191" s="1">
        <v>25000</v>
      </c>
      <c r="H191" s="5">
        <f t="shared" si="2"/>
        <v>0</v>
      </c>
      <c r="I191" s="1"/>
      <c r="J191" s="1"/>
    </row>
    <row r="192" spans="1:10" x14ac:dyDescent="0.2">
      <c r="A192" s="32">
        <v>187</v>
      </c>
      <c r="B192" s="1" t="s">
        <v>545</v>
      </c>
      <c r="C192" s="32">
        <v>5.8400000000000001E-2</v>
      </c>
      <c r="D192" s="1">
        <v>23000</v>
      </c>
      <c r="E192" s="1"/>
      <c r="F192" s="1">
        <v>228.62</v>
      </c>
      <c r="G192" s="1">
        <v>23000</v>
      </c>
      <c r="H192" s="5">
        <f t="shared" si="2"/>
        <v>0</v>
      </c>
      <c r="I192" s="1"/>
      <c r="J192" s="1"/>
    </row>
    <row r="193" spans="1:10" x14ac:dyDescent="0.2">
      <c r="A193" s="32">
        <v>188</v>
      </c>
      <c r="B193" s="1" t="s">
        <v>545</v>
      </c>
      <c r="C193" s="32">
        <v>1403</v>
      </c>
      <c r="D193" s="1">
        <v>26000</v>
      </c>
      <c r="E193" s="1"/>
      <c r="F193" s="1">
        <v>271.83999999999997</v>
      </c>
      <c r="G193" s="1">
        <v>26000</v>
      </c>
      <c r="H193" s="5">
        <f t="shared" si="2"/>
        <v>0</v>
      </c>
      <c r="I193" s="1"/>
      <c r="J193" s="1"/>
    </row>
    <row r="194" spans="1:10" x14ac:dyDescent="0.2">
      <c r="A194" s="32">
        <v>189</v>
      </c>
      <c r="B194" s="1" t="s">
        <v>545</v>
      </c>
      <c r="C194" s="32">
        <v>4115</v>
      </c>
      <c r="D194" s="1">
        <v>24000</v>
      </c>
      <c r="E194" s="1"/>
      <c r="F194" s="1">
        <v>267.62</v>
      </c>
      <c r="G194" s="1">
        <v>24000</v>
      </c>
      <c r="H194" s="5">
        <f t="shared" si="2"/>
        <v>0</v>
      </c>
      <c r="I194" s="1"/>
      <c r="J194" s="1"/>
    </row>
    <row r="195" spans="1:10" x14ac:dyDescent="0.2">
      <c r="A195" s="32">
        <v>190</v>
      </c>
      <c r="B195" s="1" t="s">
        <v>545</v>
      </c>
      <c r="C195" s="32">
        <v>6302</v>
      </c>
      <c r="D195" s="1">
        <v>22000</v>
      </c>
      <c r="E195" s="1"/>
      <c r="F195" s="1">
        <v>245.74</v>
      </c>
      <c r="G195" s="1">
        <v>22000</v>
      </c>
      <c r="H195" s="5">
        <f t="shared" si="2"/>
        <v>0</v>
      </c>
      <c r="I195" s="1"/>
      <c r="J195" s="1"/>
    </row>
    <row r="196" spans="1:10" x14ac:dyDescent="0.2">
      <c r="A196" s="32">
        <v>191</v>
      </c>
      <c r="B196" s="1" t="s">
        <v>545</v>
      </c>
      <c r="C196" s="32">
        <v>2258</v>
      </c>
      <c r="D196" s="1">
        <v>22000</v>
      </c>
      <c r="E196" s="1"/>
      <c r="F196" s="1">
        <v>245.74</v>
      </c>
      <c r="G196" s="1">
        <v>22000</v>
      </c>
      <c r="H196" s="5">
        <f t="shared" si="2"/>
        <v>0</v>
      </c>
      <c r="I196" s="1"/>
      <c r="J196" s="1"/>
    </row>
    <row r="197" spans="1:10" x14ac:dyDescent="0.2">
      <c r="A197" s="32">
        <v>192</v>
      </c>
      <c r="B197" s="1" t="s">
        <v>545</v>
      </c>
      <c r="C197" s="32">
        <v>7446</v>
      </c>
      <c r="D197" s="1">
        <v>18000</v>
      </c>
      <c r="E197" s="1"/>
      <c r="F197" s="1">
        <v>200.37</v>
      </c>
      <c r="G197" s="1">
        <v>18000</v>
      </c>
      <c r="H197" s="5">
        <f t="shared" si="2"/>
        <v>0</v>
      </c>
      <c r="I197" s="1"/>
      <c r="J197" s="1"/>
    </row>
    <row r="198" spans="1:10" x14ac:dyDescent="0.2">
      <c r="A198" s="32">
        <v>193</v>
      </c>
      <c r="B198" s="1" t="s">
        <v>545</v>
      </c>
      <c r="C198" s="32">
        <v>7253</v>
      </c>
      <c r="D198" s="1">
        <v>27000</v>
      </c>
      <c r="E198" s="1"/>
      <c r="F198" s="1">
        <v>300.18</v>
      </c>
      <c r="G198" s="1">
        <v>27000</v>
      </c>
      <c r="H198" s="5">
        <f t="shared" si="2"/>
        <v>0</v>
      </c>
      <c r="I198" s="1"/>
      <c r="J198" s="1"/>
    </row>
    <row r="199" spans="1:10" x14ac:dyDescent="0.2">
      <c r="A199" s="32">
        <v>194</v>
      </c>
      <c r="B199" s="1" t="s">
        <v>545</v>
      </c>
      <c r="C199" s="32">
        <v>3330</v>
      </c>
      <c r="D199" s="1">
        <v>15000</v>
      </c>
      <c r="E199" s="1"/>
      <c r="F199" s="1">
        <v>167.22</v>
      </c>
      <c r="G199" s="1">
        <v>15000</v>
      </c>
      <c r="H199" s="5">
        <f t="shared" ref="H199:H262" si="3">D199-G199</f>
        <v>0</v>
      </c>
      <c r="I199" s="1"/>
      <c r="J199" s="1"/>
    </row>
    <row r="200" spans="1:10" x14ac:dyDescent="0.2">
      <c r="A200" s="32">
        <v>195</v>
      </c>
      <c r="B200" s="1" t="s">
        <v>545</v>
      </c>
      <c r="C200" s="32">
        <v>2414</v>
      </c>
      <c r="D200" s="1">
        <v>19000</v>
      </c>
      <c r="E200" s="1"/>
      <c r="F200" s="1">
        <v>206.54</v>
      </c>
      <c r="G200" s="1">
        <v>19000</v>
      </c>
      <c r="H200" s="5">
        <f t="shared" si="3"/>
        <v>0</v>
      </c>
      <c r="I200" s="1"/>
      <c r="J200" s="1"/>
    </row>
    <row r="201" spans="1:10" x14ac:dyDescent="0.2">
      <c r="A201" s="32">
        <v>196</v>
      </c>
      <c r="B201" s="1" t="s">
        <v>546</v>
      </c>
      <c r="C201" s="32" t="s">
        <v>30</v>
      </c>
      <c r="D201" s="1">
        <v>6000</v>
      </c>
      <c r="E201" s="1"/>
      <c r="F201" s="1">
        <v>66.239999999999995</v>
      </c>
      <c r="G201" s="1">
        <v>6000</v>
      </c>
      <c r="H201" s="5">
        <f t="shared" si="3"/>
        <v>0</v>
      </c>
      <c r="I201" s="1"/>
      <c r="J201" s="1"/>
    </row>
    <row r="202" spans="1:10" x14ac:dyDescent="0.2">
      <c r="A202" s="32">
        <v>197</v>
      </c>
      <c r="B202" s="1" t="s">
        <v>546</v>
      </c>
      <c r="C202" s="32">
        <v>4751</v>
      </c>
      <c r="D202" s="1">
        <v>28000</v>
      </c>
      <c r="E202" s="1"/>
      <c r="F202" s="1">
        <v>282.76</v>
      </c>
      <c r="G202" s="1">
        <v>28000</v>
      </c>
      <c r="H202" s="5">
        <f t="shared" si="3"/>
        <v>0</v>
      </c>
      <c r="I202" s="1"/>
      <c r="J202" s="1"/>
    </row>
    <row r="203" spans="1:10" x14ac:dyDescent="0.2">
      <c r="A203" s="32">
        <v>198</v>
      </c>
      <c r="B203" s="1" t="s">
        <v>546</v>
      </c>
      <c r="C203" s="32">
        <v>9001</v>
      </c>
      <c r="D203" s="1">
        <v>15000</v>
      </c>
      <c r="E203" s="1"/>
      <c r="F203" s="1">
        <v>178.22</v>
      </c>
      <c r="G203" s="1">
        <v>15000</v>
      </c>
      <c r="H203" s="5">
        <f t="shared" si="3"/>
        <v>0</v>
      </c>
      <c r="I203" s="1"/>
      <c r="J203" s="1"/>
    </row>
    <row r="204" spans="1:10" x14ac:dyDescent="0.2">
      <c r="A204" s="32">
        <v>199</v>
      </c>
      <c r="B204" s="1" t="s">
        <v>546</v>
      </c>
      <c r="C204" s="32">
        <v>9903</v>
      </c>
      <c r="D204" s="1">
        <v>20000</v>
      </c>
      <c r="E204" s="1"/>
      <c r="F204" s="1">
        <v>222.67</v>
      </c>
      <c r="G204" s="1">
        <v>20000</v>
      </c>
      <c r="H204" s="5">
        <f t="shared" si="3"/>
        <v>0</v>
      </c>
      <c r="I204" s="1"/>
      <c r="J204" s="1"/>
    </row>
    <row r="205" spans="1:10" x14ac:dyDescent="0.2">
      <c r="A205" s="32">
        <v>200</v>
      </c>
      <c r="B205" s="1" t="s">
        <v>546</v>
      </c>
      <c r="C205" s="32">
        <v>1692</v>
      </c>
      <c r="D205" s="1">
        <v>23000</v>
      </c>
      <c r="E205" s="1"/>
      <c r="F205" s="1">
        <v>256.83999999999997</v>
      </c>
      <c r="G205" s="1">
        <v>23000</v>
      </c>
      <c r="H205" s="5">
        <f t="shared" si="3"/>
        <v>0</v>
      </c>
      <c r="I205" s="1"/>
      <c r="J205" s="1"/>
    </row>
    <row r="206" spans="1:10" x14ac:dyDescent="0.2">
      <c r="A206" s="32">
        <v>201</v>
      </c>
      <c r="B206" s="1" t="s">
        <v>546</v>
      </c>
      <c r="C206" s="32">
        <v>6351</v>
      </c>
      <c r="D206" s="1">
        <v>17000</v>
      </c>
      <c r="E206" s="1"/>
      <c r="F206" s="1">
        <v>189.67</v>
      </c>
      <c r="G206" s="1">
        <v>17000</v>
      </c>
      <c r="H206" s="5">
        <f t="shared" si="3"/>
        <v>0</v>
      </c>
      <c r="I206" s="1"/>
      <c r="J206" s="1"/>
    </row>
    <row r="207" spans="1:10" x14ac:dyDescent="0.2">
      <c r="A207" s="32">
        <v>202</v>
      </c>
      <c r="B207" s="1" t="s">
        <v>546</v>
      </c>
      <c r="C207" s="32">
        <v>1953</v>
      </c>
      <c r="D207" s="1">
        <v>30000</v>
      </c>
      <c r="E207" s="1"/>
      <c r="F207" s="1">
        <v>345.42</v>
      </c>
      <c r="G207" s="1">
        <v>30000</v>
      </c>
      <c r="H207" s="5">
        <f t="shared" si="3"/>
        <v>0</v>
      </c>
      <c r="I207" s="1"/>
      <c r="J207" s="1"/>
    </row>
    <row r="208" spans="1:10" x14ac:dyDescent="0.2">
      <c r="A208" s="32">
        <v>203</v>
      </c>
      <c r="B208" s="1" t="s">
        <v>546</v>
      </c>
      <c r="C208" s="32">
        <v>7192</v>
      </c>
      <c r="D208" s="1">
        <v>30000</v>
      </c>
      <c r="E208" s="1"/>
      <c r="F208" s="1">
        <v>345.42</v>
      </c>
      <c r="G208" s="1">
        <v>30000</v>
      </c>
      <c r="H208" s="5">
        <f t="shared" si="3"/>
        <v>0</v>
      </c>
      <c r="I208" s="1"/>
      <c r="J208" s="1"/>
    </row>
    <row r="209" spans="1:10" x14ac:dyDescent="0.2">
      <c r="A209" s="32">
        <v>204</v>
      </c>
      <c r="B209" s="1" t="s">
        <v>546</v>
      </c>
      <c r="C209" s="32">
        <v>7816</v>
      </c>
      <c r="D209" s="1">
        <v>25000</v>
      </c>
      <c r="E209" s="1"/>
      <c r="F209" s="1">
        <v>278.22000000000003</v>
      </c>
      <c r="G209" s="1">
        <v>25000</v>
      </c>
      <c r="H209" s="5">
        <f t="shared" si="3"/>
        <v>0</v>
      </c>
      <c r="I209" s="1"/>
      <c r="J209" s="1"/>
    </row>
    <row r="210" spans="1:10" x14ac:dyDescent="0.2">
      <c r="A210" s="32">
        <v>205</v>
      </c>
      <c r="B210" s="1" t="s">
        <v>546</v>
      </c>
      <c r="C210" s="32">
        <v>8617</v>
      </c>
      <c r="D210" s="1">
        <v>25000</v>
      </c>
      <c r="E210" s="1"/>
      <c r="F210" s="1">
        <v>278.22000000000003</v>
      </c>
      <c r="G210" s="1">
        <v>25000</v>
      </c>
      <c r="H210" s="5">
        <f t="shared" si="3"/>
        <v>0</v>
      </c>
      <c r="I210" s="1"/>
      <c r="J210" s="1"/>
    </row>
    <row r="211" spans="1:10" x14ac:dyDescent="0.2">
      <c r="A211" s="32">
        <v>206</v>
      </c>
      <c r="B211" s="1" t="s">
        <v>546</v>
      </c>
      <c r="C211" s="32">
        <v>9500</v>
      </c>
      <c r="D211" s="1">
        <v>24000</v>
      </c>
      <c r="E211" s="1"/>
      <c r="F211" s="1">
        <v>265.94</v>
      </c>
      <c r="G211" s="1">
        <v>24000</v>
      </c>
      <c r="H211" s="5">
        <f t="shared" si="3"/>
        <v>0</v>
      </c>
      <c r="I211" s="1"/>
      <c r="J211" s="1"/>
    </row>
    <row r="212" spans="1:10" x14ac:dyDescent="0.2">
      <c r="A212" s="32">
        <v>207</v>
      </c>
      <c r="B212" s="1" t="s">
        <v>546</v>
      </c>
      <c r="C212" s="32">
        <v>6311</v>
      </c>
      <c r="D212" s="1">
        <v>24000</v>
      </c>
      <c r="E212" s="1"/>
      <c r="F212" s="1">
        <v>264.94</v>
      </c>
      <c r="G212" s="1">
        <v>24000</v>
      </c>
      <c r="H212" s="5">
        <f t="shared" si="3"/>
        <v>0</v>
      </c>
      <c r="I212" s="1"/>
      <c r="J212" s="1"/>
    </row>
    <row r="213" spans="1:10" x14ac:dyDescent="0.2">
      <c r="A213" s="32">
        <v>208</v>
      </c>
      <c r="B213" s="1" t="s">
        <v>546</v>
      </c>
      <c r="C213" s="32">
        <v>8311</v>
      </c>
      <c r="D213" s="1">
        <v>24000</v>
      </c>
      <c r="E213" s="1"/>
      <c r="F213" s="1">
        <v>264.94</v>
      </c>
      <c r="G213" s="1">
        <v>24000</v>
      </c>
      <c r="H213" s="5">
        <f t="shared" si="3"/>
        <v>0</v>
      </c>
      <c r="I213" s="1"/>
      <c r="J213" s="1"/>
    </row>
    <row r="214" spans="1:10" x14ac:dyDescent="0.2">
      <c r="A214" s="32">
        <v>209</v>
      </c>
      <c r="B214" s="1" t="s">
        <v>547</v>
      </c>
      <c r="C214" s="32" t="s">
        <v>30</v>
      </c>
      <c r="D214" s="1">
        <v>4500</v>
      </c>
      <c r="E214" s="1"/>
      <c r="F214" s="1">
        <v>50.24</v>
      </c>
      <c r="G214" s="1">
        <v>4500</v>
      </c>
      <c r="H214" s="5">
        <f t="shared" si="3"/>
        <v>0</v>
      </c>
      <c r="I214" s="1"/>
      <c r="J214" s="1"/>
    </row>
    <row r="215" spans="1:10" x14ac:dyDescent="0.2">
      <c r="A215" s="32">
        <v>210</v>
      </c>
      <c r="B215" s="1" t="s">
        <v>547</v>
      </c>
      <c r="C215" s="32" t="s">
        <v>30</v>
      </c>
      <c r="D215" s="1">
        <v>5000</v>
      </c>
      <c r="E215" s="1"/>
      <c r="F215" s="1">
        <v>55.47</v>
      </c>
      <c r="G215" s="1">
        <v>5000</v>
      </c>
      <c r="H215" s="5">
        <f t="shared" si="3"/>
        <v>0</v>
      </c>
      <c r="I215" s="1"/>
      <c r="J215" s="1"/>
    </row>
    <row r="216" spans="1:10" x14ac:dyDescent="0.2">
      <c r="A216" s="32">
        <v>211</v>
      </c>
      <c r="B216" s="1" t="s">
        <v>547</v>
      </c>
      <c r="C216" s="32">
        <v>1871</v>
      </c>
      <c r="D216" s="1">
        <v>23000</v>
      </c>
      <c r="E216" s="1"/>
      <c r="F216" s="1">
        <v>256.87</v>
      </c>
      <c r="G216" s="1">
        <v>23000</v>
      </c>
      <c r="H216" s="5">
        <f t="shared" si="3"/>
        <v>0</v>
      </c>
      <c r="I216" s="1"/>
      <c r="J216" s="1"/>
    </row>
    <row r="217" spans="1:10" x14ac:dyDescent="0.2">
      <c r="A217" s="32">
        <v>212</v>
      </c>
      <c r="B217" s="1" t="s">
        <v>547</v>
      </c>
      <c r="C217" s="32">
        <v>3537</v>
      </c>
      <c r="D217" s="1">
        <v>18000</v>
      </c>
      <c r="E217" s="1"/>
      <c r="F217" s="1">
        <v>195.74</v>
      </c>
      <c r="G217" s="1">
        <v>18000</v>
      </c>
      <c r="H217" s="5">
        <f t="shared" si="3"/>
        <v>0</v>
      </c>
      <c r="I217" s="1"/>
      <c r="J217" s="1"/>
    </row>
    <row r="218" spans="1:10" x14ac:dyDescent="0.2">
      <c r="A218" s="32">
        <v>213</v>
      </c>
      <c r="B218" s="1" t="s">
        <v>547</v>
      </c>
      <c r="C218" s="32">
        <v>6659</v>
      </c>
      <c r="D218" s="1">
        <v>28000</v>
      </c>
      <c r="E218" s="1"/>
      <c r="F218" s="1">
        <v>312.62</v>
      </c>
      <c r="G218" s="1">
        <v>28000</v>
      </c>
      <c r="H218" s="5">
        <f t="shared" si="3"/>
        <v>0</v>
      </c>
      <c r="I218" s="1"/>
      <c r="J218" s="1"/>
    </row>
    <row r="219" spans="1:10" x14ac:dyDescent="0.2">
      <c r="A219" s="32">
        <v>214</v>
      </c>
      <c r="B219" s="1" t="s">
        <v>547</v>
      </c>
      <c r="C219" s="32">
        <v>4535</v>
      </c>
      <c r="D219" s="1">
        <v>29000</v>
      </c>
      <c r="E219" s="1"/>
      <c r="F219" s="1">
        <v>323.41000000000003</v>
      </c>
      <c r="G219" s="1">
        <v>29000</v>
      </c>
      <c r="H219" s="5">
        <f t="shared" si="3"/>
        <v>0</v>
      </c>
      <c r="I219" s="1"/>
      <c r="J219" s="1"/>
    </row>
    <row r="220" spans="1:10" x14ac:dyDescent="0.2">
      <c r="A220" s="32">
        <v>215</v>
      </c>
      <c r="B220" s="1" t="s">
        <v>547</v>
      </c>
      <c r="C220" s="32">
        <v>4076</v>
      </c>
      <c r="D220" s="1">
        <v>14000</v>
      </c>
      <c r="E220" s="1"/>
      <c r="F220" s="1">
        <v>155.94</v>
      </c>
      <c r="G220" s="1">
        <v>14000</v>
      </c>
      <c r="H220" s="5">
        <f t="shared" si="3"/>
        <v>0</v>
      </c>
      <c r="I220" s="1"/>
      <c r="J220" s="1"/>
    </row>
    <row r="221" spans="1:10" x14ac:dyDescent="0.2">
      <c r="A221" s="32">
        <v>216</v>
      </c>
      <c r="B221" s="1" t="s">
        <v>547</v>
      </c>
      <c r="C221" s="32">
        <v>6393</v>
      </c>
      <c r="D221" s="1">
        <v>22000</v>
      </c>
      <c r="E221" s="1"/>
      <c r="F221" s="1">
        <v>233.61</v>
      </c>
      <c r="G221" s="1">
        <v>22000</v>
      </c>
      <c r="H221" s="5">
        <f t="shared" si="3"/>
        <v>0</v>
      </c>
      <c r="I221" s="1"/>
      <c r="J221" s="1"/>
    </row>
    <row r="222" spans="1:10" x14ac:dyDescent="0.2">
      <c r="A222" s="32">
        <v>217</v>
      </c>
      <c r="B222" s="1" t="s">
        <v>547</v>
      </c>
      <c r="C222" s="32">
        <v>9378</v>
      </c>
      <c r="D222" s="1">
        <v>22000</v>
      </c>
      <c r="E222" s="1"/>
      <c r="F222" s="1">
        <v>233.61</v>
      </c>
      <c r="G222" s="1">
        <v>22000</v>
      </c>
      <c r="H222" s="5">
        <f t="shared" si="3"/>
        <v>0</v>
      </c>
      <c r="I222" s="1"/>
      <c r="J222" s="1"/>
    </row>
    <row r="223" spans="1:10" x14ac:dyDescent="0.2">
      <c r="A223" s="32">
        <v>218</v>
      </c>
      <c r="B223" s="1" t="s">
        <v>547</v>
      </c>
      <c r="C223" s="32">
        <v>6037</v>
      </c>
      <c r="D223" s="1">
        <v>22000</v>
      </c>
      <c r="E223" s="1"/>
      <c r="F223" s="1">
        <v>233.61</v>
      </c>
      <c r="G223" s="1">
        <v>22000</v>
      </c>
      <c r="H223" s="5">
        <f t="shared" si="3"/>
        <v>0</v>
      </c>
      <c r="I223" s="1"/>
      <c r="J223" s="1"/>
    </row>
    <row r="224" spans="1:10" x14ac:dyDescent="0.2">
      <c r="A224" s="32">
        <v>219</v>
      </c>
      <c r="B224" s="1" t="s">
        <v>547</v>
      </c>
      <c r="C224" s="32">
        <v>4629</v>
      </c>
      <c r="D224" s="1">
        <v>20000</v>
      </c>
      <c r="E224" s="1"/>
      <c r="F224" s="1">
        <v>222.67</v>
      </c>
      <c r="G224" s="1">
        <v>20000</v>
      </c>
      <c r="H224" s="5">
        <f t="shared" si="3"/>
        <v>0</v>
      </c>
      <c r="I224" s="1"/>
      <c r="J224" s="1"/>
    </row>
    <row r="225" spans="1:10" x14ac:dyDescent="0.2">
      <c r="A225" s="32">
        <v>220</v>
      </c>
      <c r="B225" s="1" t="s">
        <v>547</v>
      </c>
      <c r="C225" s="32">
        <v>7.1000000000000004E-3</v>
      </c>
      <c r="D225" s="1">
        <v>15000</v>
      </c>
      <c r="E225" s="1"/>
      <c r="F225" s="1">
        <v>178.22</v>
      </c>
      <c r="G225" s="1">
        <v>15000</v>
      </c>
      <c r="H225" s="5">
        <f t="shared" si="3"/>
        <v>0</v>
      </c>
      <c r="I225" s="1"/>
      <c r="J225" s="1"/>
    </row>
    <row r="226" spans="1:10" x14ac:dyDescent="0.2">
      <c r="A226" s="32">
        <v>221</v>
      </c>
      <c r="B226" s="1" t="s">
        <v>547</v>
      </c>
      <c r="C226" s="32">
        <v>7.6E-3</v>
      </c>
      <c r="D226" s="1">
        <v>15000</v>
      </c>
      <c r="E226" s="1"/>
      <c r="F226" s="1">
        <v>178.22</v>
      </c>
      <c r="G226" s="1">
        <v>15000</v>
      </c>
      <c r="H226" s="5">
        <f t="shared" si="3"/>
        <v>0</v>
      </c>
      <c r="I226" s="1"/>
      <c r="J226" s="1"/>
    </row>
    <row r="227" spans="1:10" x14ac:dyDescent="0.2">
      <c r="A227" s="32">
        <v>222</v>
      </c>
      <c r="B227" s="1" t="s">
        <v>547</v>
      </c>
      <c r="C227" s="32">
        <v>4913</v>
      </c>
      <c r="D227" s="1">
        <v>25000</v>
      </c>
      <c r="E227" s="1"/>
      <c r="F227" s="1">
        <v>278.45</v>
      </c>
      <c r="G227" s="1">
        <v>25000</v>
      </c>
      <c r="H227" s="5">
        <f t="shared" si="3"/>
        <v>0</v>
      </c>
      <c r="I227" s="1"/>
      <c r="J227" s="1"/>
    </row>
    <row r="228" spans="1:10" x14ac:dyDescent="0.2">
      <c r="A228" s="32">
        <v>223</v>
      </c>
      <c r="B228" s="1" t="s">
        <v>547</v>
      </c>
      <c r="C228" s="32">
        <v>7045</v>
      </c>
      <c r="D228" s="1">
        <v>22000</v>
      </c>
      <c r="E228" s="1"/>
      <c r="F228" s="1">
        <v>233.61</v>
      </c>
      <c r="G228" s="1">
        <v>22000</v>
      </c>
      <c r="H228" s="5">
        <f t="shared" si="3"/>
        <v>0</v>
      </c>
      <c r="I228" s="1"/>
      <c r="J228" s="1"/>
    </row>
    <row r="229" spans="1:10" x14ac:dyDescent="0.2">
      <c r="A229" s="32">
        <v>224</v>
      </c>
      <c r="B229" s="1" t="s">
        <v>556</v>
      </c>
      <c r="C229" s="32">
        <v>7.6300000000000007E-2</v>
      </c>
      <c r="D229" s="1">
        <v>15000</v>
      </c>
      <c r="E229" s="1"/>
      <c r="F229" s="1">
        <v>167.15</v>
      </c>
      <c r="G229" s="1">
        <v>15000</v>
      </c>
      <c r="H229" s="5">
        <f t="shared" si="3"/>
        <v>0</v>
      </c>
      <c r="I229" s="1"/>
      <c r="J229" s="1"/>
    </row>
    <row r="230" spans="1:10" x14ac:dyDescent="0.2">
      <c r="A230" s="32">
        <v>225</v>
      </c>
      <c r="B230" s="1" t="s">
        <v>556</v>
      </c>
      <c r="C230" s="32">
        <v>5498</v>
      </c>
      <c r="D230" s="1">
        <v>21000</v>
      </c>
      <c r="E230" s="1"/>
      <c r="F230" s="1">
        <v>233.84</v>
      </c>
      <c r="G230" s="1">
        <v>21000</v>
      </c>
      <c r="H230" s="5">
        <f t="shared" si="3"/>
        <v>0</v>
      </c>
      <c r="I230" s="1"/>
      <c r="J230" s="1"/>
    </row>
    <row r="231" spans="1:10" x14ac:dyDescent="0.2">
      <c r="A231" s="32">
        <v>226</v>
      </c>
      <c r="B231" s="1" t="s">
        <v>556</v>
      </c>
      <c r="C231" s="32">
        <v>5841</v>
      </c>
      <c r="D231" s="1">
        <v>29000</v>
      </c>
      <c r="E231" s="1"/>
      <c r="F231" s="1">
        <v>323.75</v>
      </c>
      <c r="G231" s="1">
        <v>29000</v>
      </c>
      <c r="H231" s="5">
        <f t="shared" si="3"/>
        <v>0</v>
      </c>
      <c r="I231" s="1"/>
      <c r="J231" s="1"/>
    </row>
    <row r="232" spans="1:10" x14ac:dyDescent="0.2">
      <c r="A232" s="32">
        <v>227</v>
      </c>
      <c r="B232" s="1" t="s">
        <v>556</v>
      </c>
      <c r="C232" s="32">
        <v>1666</v>
      </c>
      <c r="D232" s="1">
        <v>20000</v>
      </c>
      <c r="E232" s="1"/>
      <c r="F232" s="1">
        <v>222.65</v>
      </c>
      <c r="G232" s="1">
        <v>20000</v>
      </c>
      <c r="H232" s="5">
        <f t="shared" si="3"/>
        <v>0</v>
      </c>
      <c r="I232" s="1"/>
      <c r="J232" s="1"/>
    </row>
    <row r="233" spans="1:10" x14ac:dyDescent="0.2">
      <c r="A233" s="32">
        <v>228</v>
      </c>
      <c r="B233" s="1" t="s">
        <v>556</v>
      </c>
      <c r="C233" s="32">
        <v>9109</v>
      </c>
      <c r="D233" s="1">
        <v>15000</v>
      </c>
      <c r="E233" s="1"/>
      <c r="F233" s="1">
        <v>167.15</v>
      </c>
      <c r="G233" s="1">
        <v>15000</v>
      </c>
      <c r="H233" s="5">
        <f t="shared" si="3"/>
        <v>0</v>
      </c>
      <c r="I233" s="1"/>
      <c r="J233" s="1"/>
    </row>
    <row r="234" spans="1:10" x14ac:dyDescent="0.2">
      <c r="A234" s="32">
        <v>229</v>
      </c>
      <c r="B234" s="1" t="s">
        <v>556</v>
      </c>
      <c r="C234" s="32">
        <v>5686</v>
      </c>
      <c r="D234" s="1">
        <v>20000</v>
      </c>
      <c r="E234" s="1"/>
      <c r="F234" s="1">
        <v>222.65</v>
      </c>
      <c r="G234" s="1">
        <v>20000</v>
      </c>
      <c r="H234" s="5">
        <f t="shared" si="3"/>
        <v>0</v>
      </c>
      <c r="I234" s="1"/>
      <c r="J234" s="1"/>
    </row>
    <row r="235" spans="1:10" x14ac:dyDescent="0.2">
      <c r="A235" s="32">
        <v>230</v>
      </c>
      <c r="B235" s="1" t="s">
        <v>556</v>
      </c>
      <c r="C235" s="32">
        <v>1028</v>
      </c>
      <c r="D235" s="1">
        <v>15000</v>
      </c>
      <c r="E235" s="1"/>
      <c r="F235" s="1">
        <v>167.15</v>
      </c>
      <c r="G235" s="1">
        <v>15000</v>
      </c>
      <c r="H235" s="5">
        <f t="shared" si="3"/>
        <v>0</v>
      </c>
      <c r="I235" s="1"/>
      <c r="J235" s="1"/>
    </row>
    <row r="236" spans="1:10" x14ac:dyDescent="0.2">
      <c r="A236" s="32">
        <v>231</v>
      </c>
      <c r="B236" s="1" t="s">
        <v>556</v>
      </c>
      <c r="C236" s="32">
        <v>2178</v>
      </c>
      <c r="D236" s="1">
        <v>15000</v>
      </c>
      <c r="E236" s="1"/>
      <c r="F236" s="1">
        <v>167.15</v>
      </c>
      <c r="G236" s="1">
        <v>15000</v>
      </c>
      <c r="H236" s="5">
        <f t="shared" si="3"/>
        <v>0</v>
      </c>
      <c r="I236" s="1"/>
      <c r="J236" s="1"/>
    </row>
    <row r="237" spans="1:10" x14ac:dyDescent="0.2">
      <c r="A237" s="32">
        <v>232</v>
      </c>
      <c r="B237" s="1" t="s">
        <v>556</v>
      </c>
      <c r="C237" s="32">
        <v>6.7400000000000002E-2</v>
      </c>
      <c r="D237" s="1">
        <v>27000</v>
      </c>
      <c r="E237" s="1"/>
      <c r="F237" s="1">
        <v>294.92</v>
      </c>
      <c r="G237" s="1">
        <v>27000</v>
      </c>
      <c r="H237" s="5">
        <f t="shared" si="3"/>
        <v>0</v>
      </c>
      <c r="I237" s="1"/>
      <c r="J237" s="1"/>
    </row>
    <row r="238" spans="1:10" x14ac:dyDescent="0.2">
      <c r="A238" s="32">
        <v>233</v>
      </c>
      <c r="B238" s="1" t="s">
        <v>556</v>
      </c>
      <c r="C238" s="32">
        <v>8047</v>
      </c>
      <c r="D238" s="1">
        <v>25000</v>
      </c>
      <c r="E238" s="1"/>
      <c r="F238" s="1">
        <v>278.33999999999997</v>
      </c>
      <c r="G238" s="1">
        <v>25000</v>
      </c>
      <c r="H238" s="5">
        <f t="shared" si="3"/>
        <v>0</v>
      </c>
      <c r="I238" s="1"/>
      <c r="J238" s="1"/>
    </row>
    <row r="239" spans="1:10" x14ac:dyDescent="0.2">
      <c r="A239" s="32">
        <v>234</v>
      </c>
      <c r="B239" s="1" t="s">
        <v>556</v>
      </c>
      <c r="C239" s="32">
        <v>2422</v>
      </c>
      <c r="D239" s="1">
        <v>23000</v>
      </c>
      <c r="E239" s="1"/>
      <c r="F239" s="1">
        <v>242.57</v>
      </c>
      <c r="G239" s="1">
        <v>23000</v>
      </c>
      <c r="H239" s="5">
        <f t="shared" si="3"/>
        <v>0</v>
      </c>
      <c r="I239" s="1"/>
      <c r="J239" s="1"/>
    </row>
    <row r="240" spans="1:10" x14ac:dyDescent="0.2">
      <c r="A240" s="32">
        <v>235</v>
      </c>
      <c r="B240" s="1" t="s">
        <v>556</v>
      </c>
      <c r="C240" s="32">
        <v>1751</v>
      </c>
      <c r="D240" s="1">
        <v>22000</v>
      </c>
      <c r="E240" s="1"/>
      <c r="F240" s="1">
        <v>233.61</v>
      </c>
      <c r="G240" s="1">
        <v>22000</v>
      </c>
      <c r="H240" s="5">
        <f t="shared" si="3"/>
        <v>0</v>
      </c>
      <c r="I240" s="1"/>
      <c r="J240" s="1"/>
    </row>
    <row r="241" spans="1:10" x14ac:dyDescent="0.2">
      <c r="A241" s="32">
        <v>236</v>
      </c>
      <c r="B241" s="1" t="s">
        <v>556</v>
      </c>
      <c r="C241" s="32">
        <v>8291</v>
      </c>
      <c r="D241" s="1">
        <v>23000</v>
      </c>
      <c r="E241" s="1"/>
      <c r="F241" s="1">
        <v>256.52</v>
      </c>
      <c r="G241" s="1">
        <v>23000</v>
      </c>
      <c r="H241" s="5">
        <f t="shared" si="3"/>
        <v>0</v>
      </c>
      <c r="I241" s="1"/>
      <c r="J241" s="1"/>
    </row>
    <row r="242" spans="1:10" x14ac:dyDescent="0.2">
      <c r="A242" s="32">
        <v>237</v>
      </c>
      <c r="B242" s="1" t="s">
        <v>556</v>
      </c>
      <c r="C242" s="32">
        <v>7488</v>
      </c>
      <c r="D242" s="1">
        <v>30000</v>
      </c>
      <c r="E242" s="1"/>
      <c r="F242" s="1">
        <v>365.35</v>
      </c>
      <c r="G242" s="1">
        <v>30000</v>
      </c>
      <c r="H242" s="5">
        <f t="shared" si="3"/>
        <v>0</v>
      </c>
      <c r="I242" s="1"/>
      <c r="J242" s="1"/>
    </row>
    <row r="243" spans="1:10" x14ac:dyDescent="0.2">
      <c r="A243" s="32">
        <v>238</v>
      </c>
      <c r="B243" s="1" t="s">
        <v>556</v>
      </c>
      <c r="C243" s="32">
        <v>4572</v>
      </c>
      <c r="D243" s="1">
        <v>17000</v>
      </c>
      <c r="E243" s="1"/>
      <c r="F243" s="1">
        <v>187.21</v>
      </c>
      <c r="G243" s="1">
        <v>17000</v>
      </c>
      <c r="H243" s="5">
        <f t="shared" si="3"/>
        <v>0</v>
      </c>
      <c r="I243" s="1"/>
      <c r="J243" s="1"/>
    </row>
    <row r="244" spans="1:10" x14ac:dyDescent="0.2">
      <c r="A244" s="32">
        <v>239</v>
      </c>
      <c r="B244" s="1" t="s">
        <v>556</v>
      </c>
      <c r="C244" s="32">
        <v>3077</v>
      </c>
      <c r="D244" s="1">
        <v>17000</v>
      </c>
      <c r="E244" s="1"/>
      <c r="F244" s="1">
        <v>187.21</v>
      </c>
      <c r="G244" s="1">
        <v>17000</v>
      </c>
      <c r="H244" s="5">
        <f t="shared" si="3"/>
        <v>0</v>
      </c>
      <c r="I244" s="1"/>
      <c r="J244" s="1"/>
    </row>
    <row r="245" spans="1:10" x14ac:dyDescent="0.2">
      <c r="A245" s="32">
        <v>240</v>
      </c>
      <c r="B245" s="1" t="s">
        <v>556</v>
      </c>
      <c r="C245" s="32">
        <v>2.01E-2</v>
      </c>
      <c r="D245" s="1">
        <v>22000</v>
      </c>
      <c r="E245" s="1"/>
      <c r="F245" s="1">
        <v>233.61</v>
      </c>
      <c r="G245" s="1">
        <v>22000</v>
      </c>
      <c r="H245" s="5">
        <f t="shared" si="3"/>
        <v>0</v>
      </c>
      <c r="I245" s="1"/>
      <c r="J245" s="1"/>
    </row>
    <row r="246" spans="1:10" x14ac:dyDescent="0.2">
      <c r="A246" s="32">
        <v>241</v>
      </c>
      <c r="B246" s="1" t="s">
        <v>556</v>
      </c>
      <c r="C246" s="32">
        <v>9743</v>
      </c>
      <c r="D246" s="1">
        <v>18000</v>
      </c>
      <c r="E246" s="1"/>
      <c r="F246" s="1">
        <v>200.37</v>
      </c>
      <c r="G246" s="1">
        <v>18000</v>
      </c>
      <c r="H246" s="5">
        <f t="shared" si="3"/>
        <v>0</v>
      </c>
      <c r="I246" s="1"/>
      <c r="J246" s="1"/>
    </row>
    <row r="247" spans="1:10" x14ac:dyDescent="0.2">
      <c r="A247" s="32">
        <v>242</v>
      </c>
      <c r="B247" s="1" t="s">
        <v>556</v>
      </c>
      <c r="C247" s="32">
        <v>9384</v>
      </c>
      <c r="D247" s="1">
        <v>26700</v>
      </c>
      <c r="E247" s="1"/>
      <c r="F247" s="1">
        <v>297.85000000000002</v>
      </c>
      <c r="G247" s="1">
        <v>26700</v>
      </c>
      <c r="H247" s="5">
        <f t="shared" si="3"/>
        <v>0</v>
      </c>
      <c r="I247" s="1"/>
      <c r="J247" s="1"/>
    </row>
    <row r="248" spans="1:10" x14ac:dyDescent="0.2">
      <c r="A248" s="32">
        <v>243</v>
      </c>
      <c r="B248" s="1" t="s">
        <v>556</v>
      </c>
      <c r="C248" s="32">
        <v>6013</v>
      </c>
      <c r="D248" s="1">
        <v>20000</v>
      </c>
      <c r="E248" s="1"/>
      <c r="F248" s="1">
        <v>222.65</v>
      </c>
      <c r="G248" s="1">
        <v>20000</v>
      </c>
      <c r="H248" s="5">
        <f t="shared" si="3"/>
        <v>0</v>
      </c>
      <c r="I248" s="1"/>
      <c r="J248" s="1"/>
    </row>
    <row r="249" spans="1:10" x14ac:dyDescent="0.2">
      <c r="A249" s="32">
        <v>244</v>
      </c>
      <c r="B249" s="1" t="s">
        <v>556</v>
      </c>
      <c r="C249" s="32">
        <v>6.2E-2</v>
      </c>
      <c r="D249" s="1">
        <v>15000</v>
      </c>
      <c r="E249" s="1"/>
      <c r="F249" s="1">
        <v>167.15</v>
      </c>
      <c r="G249" s="1">
        <v>15000</v>
      </c>
      <c r="H249" s="5">
        <f t="shared" si="3"/>
        <v>0</v>
      </c>
      <c r="I249" s="1"/>
      <c r="J249" s="1"/>
    </row>
    <row r="250" spans="1:10" x14ac:dyDescent="0.2">
      <c r="A250" s="32">
        <v>245</v>
      </c>
      <c r="B250" s="1" t="s">
        <v>556</v>
      </c>
      <c r="C250" s="32">
        <v>1606</v>
      </c>
      <c r="D250" s="1">
        <v>21000</v>
      </c>
      <c r="E250" s="1"/>
      <c r="F250" s="1">
        <v>233.61</v>
      </c>
      <c r="G250" s="1">
        <v>21000</v>
      </c>
      <c r="H250" s="5">
        <f t="shared" si="3"/>
        <v>0</v>
      </c>
      <c r="I250" s="1"/>
      <c r="J250" s="1"/>
    </row>
    <row r="251" spans="1:10" s="316" customFormat="1" x14ac:dyDescent="0.2">
      <c r="A251" s="32">
        <v>246</v>
      </c>
      <c r="B251" s="1" t="s">
        <v>556</v>
      </c>
      <c r="C251" s="32">
        <v>6217</v>
      </c>
      <c r="D251" s="1">
        <v>20000</v>
      </c>
      <c r="E251" s="1"/>
      <c r="F251" s="1">
        <v>278.22000000000003</v>
      </c>
      <c r="G251" s="1">
        <v>20000</v>
      </c>
      <c r="H251" s="5">
        <f t="shared" si="3"/>
        <v>0</v>
      </c>
      <c r="I251" s="1"/>
      <c r="J251" s="1"/>
    </row>
    <row r="252" spans="1:10" s="316" customFormat="1" x14ac:dyDescent="0.2">
      <c r="A252" s="32">
        <v>247</v>
      </c>
      <c r="B252" s="1" t="s">
        <v>556</v>
      </c>
      <c r="C252" s="32">
        <v>6385</v>
      </c>
      <c r="D252" s="1">
        <v>20000</v>
      </c>
      <c r="E252" s="1"/>
      <c r="F252" s="1">
        <v>278.22000000000003</v>
      </c>
      <c r="G252" s="1">
        <v>20000</v>
      </c>
      <c r="H252" s="5">
        <f t="shared" si="3"/>
        <v>0</v>
      </c>
      <c r="I252" s="1"/>
      <c r="J252" s="1"/>
    </row>
    <row r="253" spans="1:10" x14ac:dyDescent="0.2">
      <c r="A253" s="32">
        <v>248</v>
      </c>
      <c r="B253" s="1" t="s">
        <v>558</v>
      </c>
      <c r="C253" s="32">
        <v>7714</v>
      </c>
      <c r="D253" s="1">
        <v>16000</v>
      </c>
      <c r="E253" s="1"/>
      <c r="F253" s="1">
        <v>178.22</v>
      </c>
      <c r="G253" s="1">
        <v>16000</v>
      </c>
      <c r="H253" s="5">
        <f t="shared" si="3"/>
        <v>0</v>
      </c>
      <c r="I253" s="1"/>
      <c r="J253" s="1"/>
    </row>
    <row r="254" spans="1:10" x14ac:dyDescent="0.2">
      <c r="A254" s="32">
        <v>249</v>
      </c>
      <c r="B254" s="1" t="s">
        <v>558</v>
      </c>
      <c r="C254" s="32" t="s">
        <v>30</v>
      </c>
      <c r="D254" s="1">
        <v>5000</v>
      </c>
      <c r="E254" s="1"/>
      <c r="F254" s="1">
        <v>55.25</v>
      </c>
      <c r="G254" s="1">
        <v>5000</v>
      </c>
      <c r="H254" s="5">
        <f t="shared" si="3"/>
        <v>0</v>
      </c>
      <c r="I254" s="1"/>
      <c r="J254" s="1"/>
    </row>
    <row r="255" spans="1:10" x14ac:dyDescent="0.2">
      <c r="A255" s="32">
        <v>250</v>
      </c>
      <c r="B255" s="1" t="s">
        <v>558</v>
      </c>
      <c r="C255" s="32">
        <v>4192</v>
      </c>
      <c r="D255" s="1">
        <v>10000</v>
      </c>
      <c r="E255" s="1"/>
      <c r="F255" s="1">
        <v>111.41</v>
      </c>
      <c r="G255" s="1">
        <v>10000</v>
      </c>
      <c r="H255" s="5">
        <f t="shared" si="3"/>
        <v>0</v>
      </c>
      <c r="I255" s="1"/>
      <c r="J255" s="1"/>
    </row>
    <row r="256" spans="1:10" x14ac:dyDescent="0.2">
      <c r="A256" s="32">
        <v>251</v>
      </c>
      <c r="B256" s="1" t="s">
        <v>558</v>
      </c>
      <c r="C256" s="32" t="s">
        <v>66</v>
      </c>
      <c r="D256" s="1">
        <v>210</v>
      </c>
      <c r="E256" s="1"/>
      <c r="F256" s="1">
        <v>2.0699999999999998</v>
      </c>
      <c r="G256" s="1">
        <v>210</v>
      </c>
      <c r="H256" s="5">
        <f t="shared" si="3"/>
        <v>0</v>
      </c>
      <c r="I256" s="1"/>
      <c r="J256" s="1"/>
    </row>
    <row r="257" spans="1:10" x14ac:dyDescent="0.2">
      <c r="A257" s="32">
        <v>252</v>
      </c>
      <c r="B257" s="1" t="s">
        <v>558</v>
      </c>
      <c r="C257" s="32">
        <v>6364</v>
      </c>
      <c r="D257" s="1">
        <v>20000</v>
      </c>
      <c r="E257" s="1"/>
      <c r="F257" s="1">
        <v>278.22000000000003</v>
      </c>
      <c r="G257" s="1">
        <v>20000</v>
      </c>
      <c r="H257" s="5">
        <f t="shared" si="3"/>
        <v>0</v>
      </c>
      <c r="I257" s="1"/>
      <c r="J257" s="1"/>
    </row>
    <row r="258" spans="1:10" x14ac:dyDescent="0.2">
      <c r="A258" s="32">
        <v>253</v>
      </c>
      <c r="B258" s="1" t="s">
        <v>558</v>
      </c>
      <c r="C258" s="32">
        <v>2574</v>
      </c>
      <c r="D258" s="1">
        <v>20000</v>
      </c>
      <c r="E258" s="1"/>
      <c r="F258" s="1">
        <v>278.22000000000003</v>
      </c>
      <c r="G258" s="1">
        <v>20000</v>
      </c>
      <c r="H258" s="5">
        <f t="shared" si="3"/>
        <v>0</v>
      </c>
      <c r="I258" s="1"/>
      <c r="J258" s="1"/>
    </row>
    <row r="259" spans="1:10" x14ac:dyDescent="0.2">
      <c r="A259" s="32">
        <v>254</v>
      </c>
      <c r="B259" s="1" t="s">
        <v>558</v>
      </c>
      <c r="C259" s="32">
        <v>2555</v>
      </c>
      <c r="D259" s="1">
        <v>20000</v>
      </c>
      <c r="E259" s="1"/>
      <c r="F259" s="1">
        <v>278.22000000000003</v>
      </c>
      <c r="G259" s="1">
        <v>20000</v>
      </c>
      <c r="H259" s="5">
        <f t="shared" si="3"/>
        <v>0</v>
      </c>
      <c r="I259" s="1"/>
      <c r="J259" s="1"/>
    </row>
    <row r="260" spans="1:10" x14ac:dyDescent="0.2">
      <c r="A260" s="32">
        <v>255</v>
      </c>
      <c r="B260" s="1" t="s">
        <v>558</v>
      </c>
      <c r="C260" s="32">
        <v>1883</v>
      </c>
      <c r="D260" s="1">
        <v>26000</v>
      </c>
      <c r="E260" s="1"/>
      <c r="F260" s="1">
        <v>289.54000000000002</v>
      </c>
      <c r="G260" s="1">
        <v>26000</v>
      </c>
      <c r="H260" s="5">
        <f t="shared" si="3"/>
        <v>0</v>
      </c>
      <c r="I260" s="1"/>
      <c r="J260" s="1"/>
    </row>
    <row r="261" spans="1:10" x14ac:dyDescent="0.2">
      <c r="A261" s="32">
        <v>256</v>
      </c>
      <c r="B261" s="1" t="s">
        <v>558</v>
      </c>
      <c r="C261" s="32">
        <v>4223</v>
      </c>
      <c r="D261" s="1">
        <v>15000</v>
      </c>
      <c r="E261" s="1"/>
      <c r="F261" s="1">
        <v>167.15</v>
      </c>
      <c r="G261" s="1">
        <v>15000</v>
      </c>
      <c r="H261" s="5">
        <f t="shared" si="3"/>
        <v>0</v>
      </c>
      <c r="I261" s="1"/>
      <c r="J261" s="1"/>
    </row>
    <row r="262" spans="1:10" x14ac:dyDescent="0.2">
      <c r="A262" s="32">
        <v>257</v>
      </c>
      <c r="B262" s="1" t="s">
        <v>558</v>
      </c>
      <c r="C262" s="32" t="s">
        <v>30</v>
      </c>
      <c r="D262" s="1">
        <v>7000</v>
      </c>
      <c r="E262" s="1"/>
      <c r="F262" s="1">
        <v>77.64</v>
      </c>
      <c r="G262" s="1">
        <v>7000</v>
      </c>
      <c r="H262" s="5">
        <f t="shared" si="3"/>
        <v>0</v>
      </c>
      <c r="I262" s="1"/>
      <c r="J262" s="1"/>
    </row>
    <row r="263" spans="1:10" x14ac:dyDescent="0.2">
      <c r="A263" s="32">
        <v>258</v>
      </c>
      <c r="B263" s="1" t="s">
        <v>558</v>
      </c>
      <c r="C263" s="32" t="s">
        <v>66</v>
      </c>
      <c r="D263" s="1">
        <v>100</v>
      </c>
      <c r="E263" s="1"/>
      <c r="F263" s="1">
        <v>1.05</v>
      </c>
      <c r="G263" s="1">
        <v>100</v>
      </c>
      <c r="H263" s="5">
        <f t="shared" ref="H263:H326" si="4">D263-G263</f>
        <v>0</v>
      </c>
      <c r="I263" s="1"/>
      <c r="J263" s="1"/>
    </row>
    <row r="264" spans="1:10" x14ac:dyDescent="0.2">
      <c r="A264" s="32">
        <v>259</v>
      </c>
      <c r="B264" s="1" t="s">
        <v>559</v>
      </c>
      <c r="C264" s="32">
        <v>8426</v>
      </c>
      <c r="D264" s="1">
        <v>26000</v>
      </c>
      <c r="E264" s="1"/>
      <c r="F264" s="1">
        <v>289.51</v>
      </c>
      <c r="G264" s="1">
        <v>26000</v>
      </c>
      <c r="H264" s="5">
        <f t="shared" si="4"/>
        <v>0</v>
      </c>
      <c r="I264" s="1"/>
      <c r="J264" s="1"/>
    </row>
    <row r="265" spans="1:10" x14ac:dyDescent="0.2">
      <c r="A265" s="32">
        <v>260</v>
      </c>
      <c r="B265" s="1" t="s">
        <v>559</v>
      </c>
      <c r="C265" s="32" t="s">
        <v>30</v>
      </c>
      <c r="D265" s="1">
        <v>4500</v>
      </c>
      <c r="E265" s="1"/>
      <c r="F265" s="1">
        <v>50.45</v>
      </c>
      <c r="G265" s="1">
        <v>4500</v>
      </c>
      <c r="H265" s="5">
        <f t="shared" si="4"/>
        <v>0</v>
      </c>
      <c r="I265" s="1"/>
      <c r="J265" s="1"/>
    </row>
    <row r="266" spans="1:10" x14ac:dyDescent="0.2">
      <c r="A266" s="32">
        <v>261</v>
      </c>
      <c r="B266" s="1" t="s">
        <v>559</v>
      </c>
      <c r="C266" s="32" t="s">
        <v>30</v>
      </c>
      <c r="D266" s="1">
        <v>3500</v>
      </c>
      <c r="E266" s="1"/>
      <c r="F266" s="1">
        <v>39.520000000000003</v>
      </c>
      <c r="G266" s="1">
        <v>3500</v>
      </c>
      <c r="H266" s="5">
        <f t="shared" si="4"/>
        <v>0</v>
      </c>
      <c r="I266" s="1"/>
      <c r="J266" s="1"/>
    </row>
    <row r="267" spans="1:10" x14ac:dyDescent="0.2">
      <c r="A267" s="32">
        <v>262</v>
      </c>
      <c r="B267" s="1" t="s">
        <v>559</v>
      </c>
      <c r="C267" s="32">
        <v>2393</v>
      </c>
      <c r="D267" s="1">
        <v>21000</v>
      </c>
      <c r="E267" s="1"/>
      <c r="F267" s="1">
        <v>233.62</v>
      </c>
      <c r="G267" s="1">
        <v>21000</v>
      </c>
      <c r="H267" s="5">
        <f t="shared" si="4"/>
        <v>0</v>
      </c>
      <c r="I267" s="1"/>
      <c r="J267" s="1"/>
    </row>
    <row r="268" spans="1:10" x14ac:dyDescent="0.2">
      <c r="A268" s="32">
        <v>263</v>
      </c>
      <c r="B268" s="1" t="s">
        <v>559</v>
      </c>
      <c r="C268" s="32">
        <v>1.9699999999999999E-2</v>
      </c>
      <c r="D268" s="1">
        <v>20000</v>
      </c>
      <c r="E268" s="1"/>
      <c r="F268" s="1">
        <v>222.82</v>
      </c>
      <c r="G268" s="1">
        <v>20000</v>
      </c>
      <c r="H268" s="5">
        <f t="shared" si="4"/>
        <v>0</v>
      </c>
      <c r="I268" s="1"/>
      <c r="J268" s="1"/>
    </row>
    <row r="269" spans="1:10" x14ac:dyDescent="0.2">
      <c r="A269" s="32">
        <v>264</v>
      </c>
      <c r="B269" s="1" t="s">
        <v>559</v>
      </c>
      <c r="C269" s="32">
        <v>7251</v>
      </c>
      <c r="D269" s="1">
        <v>10000</v>
      </c>
      <c r="E269" s="1"/>
      <c r="F269" s="1">
        <v>111.41</v>
      </c>
      <c r="G269" s="1">
        <v>10000</v>
      </c>
      <c r="H269" s="5">
        <f t="shared" si="4"/>
        <v>0</v>
      </c>
      <c r="I269" s="1"/>
      <c r="J269" s="1"/>
    </row>
    <row r="270" spans="1:10" x14ac:dyDescent="0.2">
      <c r="A270" s="32">
        <v>265</v>
      </c>
      <c r="B270" s="1" t="s">
        <v>559</v>
      </c>
      <c r="C270" s="32">
        <v>3643</v>
      </c>
      <c r="D270" s="1">
        <v>31000</v>
      </c>
      <c r="E270" s="1"/>
      <c r="F270" s="1">
        <v>368.54</v>
      </c>
      <c r="G270" s="1">
        <v>31000</v>
      </c>
      <c r="H270" s="5">
        <f t="shared" si="4"/>
        <v>0</v>
      </c>
      <c r="I270" s="1"/>
      <c r="J270" s="1"/>
    </row>
    <row r="271" spans="1:10" x14ac:dyDescent="0.2">
      <c r="A271" s="32">
        <v>266</v>
      </c>
      <c r="B271" s="1" t="s">
        <v>559</v>
      </c>
      <c r="C271" s="32">
        <v>3826</v>
      </c>
      <c r="D271" s="1">
        <v>15000</v>
      </c>
      <c r="E271" s="1"/>
      <c r="F271" s="1">
        <v>167.15</v>
      </c>
      <c r="G271" s="1">
        <v>15000</v>
      </c>
      <c r="H271" s="5">
        <f t="shared" si="4"/>
        <v>0</v>
      </c>
      <c r="I271" s="1"/>
      <c r="J271" s="1"/>
    </row>
    <row r="272" spans="1:10" x14ac:dyDescent="0.2">
      <c r="A272" s="32">
        <v>267</v>
      </c>
      <c r="B272" s="1" t="s">
        <v>559</v>
      </c>
      <c r="C272" s="32">
        <v>5.3999999999999999E-2</v>
      </c>
      <c r="D272" s="1">
        <v>20000</v>
      </c>
      <c r="E272" s="1"/>
      <c r="F272" s="1">
        <v>278.22000000000003</v>
      </c>
      <c r="G272" s="1">
        <v>20000</v>
      </c>
      <c r="H272" s="5">
        <f t="shared" si="4"/>
        <v>0</v>
      </c>
      <c r="I272" s="1"/>
      <c r="J272" s="1"/>
    </row>
    <row r="273" spans="1:10" x14ac:dyDescent="0.2">
      <c r="A273" s="32">
        <v>268</v>
      </c>
      <c r="B273" s="1" t="s">
        <v>559</v>
      </c>
      <c r="C273" s="32">
        <v>9837</v>
      </c>
      <c r="D273" s="1">
        <v>25000</v>
      </c>
      <c r="E273" s="1"/>
      <c r="F273" s="1">
        <v>278.33999999999997</v>
      </c>
      <c r="G273" s="1">
        <v>25000</v>
      </c>
      <c r="H273" s="5">
        <f t="shared" si="4"/>
        <v>0</v>
      </c>
      <c r="I273" s="1"/>
      <c r="J273" s="1"/>
    </row>
    <row r="274" spans="1:10" x14ac:dyDescent="0.2">
      <c r="A274" s="32">
        <v>269</v>
      </c>
      <c r="B274" s="1" t="s">
        <v>559</v>
      </c>
      <c r="C274" s="32">
        <v>5250</v>
      </c>
      <c r="D274" s="1">
        <v>17000</v>
      </c>
      <c r="E274" s="1"/>
      <c r="F274" s="1">
        <v>187.24</v>
      </c>
      <c r="G274" s="1">
        <v>17000</v>
      </c>
      <c r="H274" s="5">
        <f t="shared" si="4"/>
        <v>0</v>
      </c>
      <c r="I274" s="1"/>
      <c r="J274" s="1"/>
    </row>
    <row r="275" spans="1:10" x14ac:dyDescent="0.2">
      <c r="A275" s="32">
        <v>270</v>
      </c>
      <c r="B275" s="1" t="s">
        <v>559</v>
      </c>
      <c r="C275" s="32">
        <v>1677</v>
      </c>
      <c r="D275" s="1">
        <v>20000</v>
      </c>
      <c r="E275" s="1"/>
      <c r="F275" s="1">
        <v>222.82</v>
      </c>
      <c r="G275" s="1">
        <v>20000</v>
      </c>
      <c r="H275" s="5">
        <f t="shared" si="4"/>
        <v>0</v>
      </c>
      <c r="I275" s="1"/>
      <c r="J275" s="1"/>
    </row>
    <row r="276" spans="1:10" x14ac:dyDescent="0.2">
      <c r="A276" s="32">
        <v>271</v>
      </c>
      <c r="B276" s="1" t="s">
        <v>559</v>
      </c>
      <c r="C276" s="32">
        <v>8154</v>
      </c>
      <c r="D276" s="1">
        <v>20000</v>
      </c>
      <c r="E276" s="1"/>
      <c r="F276" s="1">
        <v>222.82</v>
      </c>
      <c r="G276" s="1">
        <v>20000</v>
      </c>
      <c r="H276" s="5">
        <f t="shared" si="4"/>
        <v>0</v>
      </c>
      <c r="I276" s="1"/>
      <c r="J276" s="1"/>
    </row>
    <row r="277" spans="1:10" x14ac:dyDescent="0.2">
      <c r="A277" s="32">
        <v>272</v>
      </c>
      <c r="B277" s="1" t="s">
        <v>559</v>
      </c>
      <c r="C277" s="32">
        <v>8303</v>
      </c>
      <c r="D277" s="1">
        <v>25000</v>
      </c>
      <c r="E277" s="1"/>
      <c r="F277" s="1">
        <v>278.87</v>
      </c>
      <c r="G277" s="1">
        <v>25000</v>
      </c>
      <c r="H277" s="5">
        <f t="shared" si="4"/>
        <v>0</v>
      </c>
      <c r="I277" s="1"/>
      <c r="J277" s="1"/>
    </row>
    <row r="278" spans="1:10" x14ac:dyDescent="0.2">
      <c r="A278" s="32">
        <v>273</v>
      </c>
      <c r="B278" s="1" t="s">
        <v>559</v>
      </c>
      <c r="C278" s="32">
        <v>9356</v>
      </c>
      <c r="D278" s="1">
        <v>25973</v>
      </c>
      <c r="E278" s="1"/>
      <c r="F278" s="1">
        <v>287.97000000000003</v>
      </c>
      <c r="G278" s="1">
        <v>25973</v>
      </c>
      <c r="H278" s="5">
        <f t="shared" si="4"/>
        <v>0</v>
      </c>
      <c r="I278" s="1"/>
      <c r="J278" s="1"/>
    </row>
    <row r="279" spans="1:10" s="338" customFormat="1" x14ac:dyDescent="0.2">
      <c r="A279" s="32"/>
      <c r="B279" s="1" t="s">
        <v>561</v>
      </c>
      <c r="C279" s="32">
        <v>1224</v>
      </c>
      <c r="D279" s="1">
        <v>17000</v>
      </c>
      <c r="E279" s="1"/>
      <c r="F279" s="1">
        <v>178.63</v>
      </c>
      <c r="G279" s="1">
        <v>17000</v>
      </c>
      <c r="H279" s="5">
        <f t="shared" si="4"/>
        <v>0</v>
      </c>
      <c r="I279" s="1"/>
      <c r="J279" s="1"/>
    </row>
    <row r="280" spans="1:10" s="338" customFormat="1" x14ac:dyDescent="0.2">
      <c r="A280" s="32"/>
      <c r="B280" s="1" t="s">
        <v>561</v>
      </c>
      <c r="C280" s="32">
        <v>5455</v>
      </c>
      <c r="D280" s="1">
        <v>20000</v>
      </c>
      <c r="E280" s="1"/>
      <c r="F280" s="1">
        <v>222.82</v>
      </c>
      <c r="G280" s="1">
        <v>20000</v>
      </c>
      <c r="H280" s="5">
        <f t="shared" si="4"/>
        <v>0</v>
      </c>
      <c r="I280" s="1"/>
      <c r="J280" s="1"/>
    </row>
    <row r="281" spans="1:10" s="338" customFormat="1" x14ac:dyDescent="0.2">
      <c r="A281" s="32"/>
      <c r="B281" s="1" t="s">
        <v>561</v>
      </c>
      <c r="C281" s="32">
        <v>6591</v>
      </c>
      <c r="D281" s="1">
        <v>21000</v>
      </c>
      <c r="E281" s="1"/>
      <c r="F281" s="1">
        <v>242.42</v>
      </c>
      <c r="G281" s="1">
        <v>21000</v>
      </c>
      <c r="H281" s="5">
        <f t="shared" si="4"/>
        <v>0</v>
      </c>
      <c r="I281" s="1"/>
      <c r="J281" s="1"/>
    </row>
    <row r="282" spans="1:10" s="338" customFormat="1" x14ac:dyDescent="0.2">
      <c r="A282" s="32"/>
      <c r="B282" s="1" t="s">
        <v>561</v>
      </c>
      <c r="C282" s="32">
        <v>4451</v>
      </c>
      <c r="D282" s="1">
        <v>8000</v>
      </c>
      <c r="E282" s="1"/>
      <c r="F282" s="1">
        <v>89.54</v>
      </c>
      <c r="G282" s="1">
        <v>8000</v>
      </c>
      <c r="H282" s="5">
        <f t="shared" si="4"/>
        <v>0</v>
      </c>
      <c r="I282" s="1"/>
      <c r="J282" s="1"/>
    </row>
    <row r="283" spans="1:10" s="338" customFormat="1" x14ac:dyDescent="0.2">
      <c r="A283" s="32"/>
      <c r="B283" s="1" t="s">
        <v>561</v>
      </c>
      <c r="C283" s="32">
        <v>2972</v>
      </c>
      <c r="D283" s="1">
        <v>22000</v>
      </c>
      <c r="E283" s="1"/>
      <c r="F283" s="1">
        <v>262.75</v>
      </c>
      <c r="G283" s="1">
        <v>22000</v>
      </c>
      <c r="H283" s="5">
        <f t="shared" si="4"/>
        <v>0</v>
      </c>
      <c r="I283" s="1"/>
      <c r="J283" s="1"/>
    </row>
    <row r="284" spans="1:10" s="338" customFormat="1" x14ac:dyDescent="0.2">
      <c r="A284" s="32"/>
      <c r="B284" s="1" t="s">
        <v>561</v>
      </c>
      <c r="C284" s="32">
        <v>3738</v>
      </c>
      <c r="D284" s="1">
        <v>25000</v>
      </c>
      <c r="E284" s="1"/>
      <c r="F284" s="1">
        <v>278.87</v>
      </c>
      <c r="G284" s="1">
        <v>25000</v>
      </c>
      <c r="H284" s="5">
        <f t="shared" si="4"/>
        <v>0</v>
      </c>
      <c r="I284" s="1"/>
      <c r="J284" s="1"/>
    </row>
    <row r="285" spans="1:10" s="338" customFormat="1" x14ac:dyDescent="0.2">
      <c r="A285" s="32"/>
      <c r="B285" s="1" t="s">
        <v>561</v>
      </c>
      <c r="C285" s="32" t="s">
        <v>66</v>
      </c>
      <c r="D285" s="1">
        <v>210</v>
      </c>
      <c r="E285" s="1"/>
      <c r="F285" s="1">
        <v>2.08</v>
      </c>
      <c r="G285" s="1">
        <v>210</v>
      </c>
      <c r="H285" s="5">
        <f t="shared" si="4"/>
        <v>0</v>
      </c>
      <c r="I285" s="1"/>
      <c r="J285" s="1"/>
    </row>
    <row r="286" spans="1:10" s="338" customFormat="1" x14ac:dyDescent="0.2">
      <c r="A286" s="32"/>
      <c r="B286" s="1" t="s">
        <v>561</v>
      </c>
      <c r="C286" s="32">
        <v>5246</v>
      </c>
      <c r="D286" s="1">
        <v>20000</v>
      </c>
      <c r="E286" s="1"/>
      <c r="F286" s="1">
        <v>222.82</v>
      </c>
      <c r="G286" s="1">
        <v>20000</v>
      </c>
      <c r="H286" s="5">
        <f t="shared" si="4"/>
        <v>0</v>
      </c>
      <c r="I286" s="1"/>
      <c r="J286" s="1"/>
    </row>
    <row r="287" spans="1:10" s="338" customFormat="1" x14ac:dyDescent="0.2">
      <c r="A287" s="32"/>
      <c r="B287" s="1" t="s">
        <v>561</v>
      </c>
      <c r="C287" s="32">
        <v>6212</v>
      </c>
      <c r="D287" s="1">
        <v>20000</v>
      </c>
      <c r="E287" s="1"/>
      <c r="F287" s="1">
        <v>222.82</v>
      </c>
      <c r="G287" s="1">
        <v>20000</v>
      </c>
      <c r="H287" s="5">
        <f t="shared" si="4"/>
        <v>0</v>
      </c>
      <c r="I287" s="1"/>
      <c r="J287" s="1"/>
    </row>
    <row r="288" spans="1:10" s="338" customFormat="1" x14ac:dyDescent="0.2">
      <c r="A288" s="32"/>
      <c r="B288" s="1" t="s">
        <v>561</v>
      </c>
      <c r="C288" s="32">
        <v>3720</v>
      </c>
      <c r="D288" s="1">
        <v>15000</v>
      </c>
      <c r="E288" s="1"/>
      <c r="F288" s="1">
        <v>167.15</v>
      </c>
      <c r="G288" s="1">
        <v>15000</v>
      </c>
      <c r="H288" s="5">
        <f t="shared" si="4"/>
        <v>0</v>
      </c>
      <c r="I288" s="1"/>
      <c r="J288" s="1"/>
    </row>
    <row r="289" spans="1:10" s="338" customFormat="1" x14ac:dyDescent="0.2">
      <c r="A289" s="32"/>
      <c r="B289" s="1" t="s">
        <v>561</v>
      </c>
      <c r="C289" s="32">
        <v>5.8400000000000001E-2</v>
      </c>
      <c r="D289" s="1">
        <v>21000</v>
      </c>
      <c r="E289" s="1"/>
      <c r="F289" s="1">
        <v>242.42</v>
      </c>
      <c r="G289" s="1">
        <v>21000</v>
      </c>
      <c r="H289" s="5">
        <f t="shared" si="4"/>
        <v>0</v>
      </c>
      <c r="I289" s="1"/>
      <c r="J289" s="1"/>
    </row>
    <row r="290" spans="1:10" s="338" customFormat="1" x14ac:dyDescent="0.2">
      <c r="A290" s="32"/>
      <c r="B290" s="1" t="s">
        <v>561</v>
      </c>
      <c r="C290" s="32">
        <v>7.9899999999999999E-2</v>
      </c>
      <c r="D290" s="1">
        <v>23000</v>
      </c>
      <c r="E290" s="1"/>
      <c r="F290" s="1">
        <v>278.47000000000003</v>
      </c>
      <c r="G290" s="1">
        <v>23000</v>
      </c>
      <c r="H290" s="5">
        <f t="shared" si="4"/>
        <v>0</v>
      </c>
      <c r="I290" s="1"/>
      <c r="J290" s="1"/>
    </row>
    <row r="291" spans="1:10" s="338" customFormat="1" x14ac:dyDescent="0.2">
      <c r="A291" s="32"/>
      <c r="B291" s="1" t="s">
        <v>561</v>
      </c>
      <c r="C291" s="32">
        <v>1.77E-2</v>
      </c>
      <c r="D291" s="1">
        <v>25000</v>
      </c>
      <c r="E291" s="1"/>
      <c r="F291" s="1">
        <v>278.87</v>
      </c>
      <c r="G291" s="1">
        <v>25000</v>
      </c>
      <c r="H291" s="5">
        <f t="shared" si="4"/>
        <v>0</v>
      </c>
      <c r="I291" s="1"/>
      <c r="J291" s="1"/>
    </row>
    <row r="292" spans="1:10" s="338" customFormat="1" ht="15.75" x14ac:dyDescent="0.25">
      <c r="A292" s="32"/>
      <c r="B292" s="217" t="s">
        <v>561</v>
      </c>
      <c r="C292" s="335">
        <v>8154</v>
      </c>
      <c r="D292" s="217">
        <v>6000</v>
      </c>
      <c r="E292" s="217" t="s">
        <v>563</v>
      </c>
      <c r="F292" s="1">
        <v>0</v>
      </c>
      <c r="G292" s="1">
        <v>6000</v>
      </c>
      <c r="H292" s="5">
        <f t="shared" si="4"/>
        <v>0</v>
      </c>
      <c r="I292" s="1"/>
      <c r="J292" s="1"/>
    </row>
    <row r="293" spans="1:10" s="338" customFormat="1" x14ac:dyDescent="0.2">
      <c r="A293" s="32"/>
      <c r="B293" s="1" t="s">
        <v>564</v>
      </c>
      <c r="C293" s="32">
        <v>9025</v>
      </c>
      <c r="D293" s="1">
        <v>23000</v>
      </c>
      <c r="E293" s="1"/>
      <c r="F293" s="1">
        <v>272.86</v>
      </c>
      <c r="G293" s="1">
        <v>23000</v>
      </c>
      <c r="H293" s="5">
        <f t="shared" si="4"/>
        <v>0</v>
      </c>
      <c r="I293" s="1"/>
      <c r="J293" s="1"/>
    </row>
    <row r="294" spans="1:10" s="338" customFormat="1" x14ac:dyDescent="0.2">
      <c r="A294" s="32"/>
      <c r="B294" s="1" t="s">
        <v>564</v>
      </c>
      <c r="C294" s="32">
        <v>9115</v>
      </c>
      <c r="D294" s="1">
        <v>23000</v>
      </c>
      <c r="E294" s="1"/>
      <c r="F294" s="1">
        <v>272.86</v>
      </c>
      <c r="G294" s="1">
        <v>23000</v>
      </c>
      <c r="H294" s="5">
        <f t="shared" si="4"/>
        <v>0</v>
      </c>
      <c r="I294" s="1"/>
      <c r="J294" s="1"/>
    </row>
    <row r="295" spans="1:10" s="338" customFormat="1" x14ac:dyDescent="0.2">
      <c r="A295" s="32"/>
      <c r="B295" s="1" t="s">
        <v>564</v>
      </c>
      <c r="C295" s="32">
        <v>7761</v>
      </c>
      <c r="D295" s="1">
        <v>22000</v>
      </c>
      <c r="E295" s="1"/>
      <c r="F295" s="1">
        <v>262.75</v>
      </c>
      <c r="G295" s="1">
        <v>22000</v>
      </c>
      <c r="H295" s="5">
        <f t="shared" si="4"/>
        <v>0</v>
      </c>
      <c r="I295" s="1"/>
      <c r="J295" s="1"/>
    </row>
    <row r="296" spans="1:10" s="338" customFormat="1" x14ac:dyDescent="0.2">
      <c r="A296" s="32"/>
      <c r="B296" s="1" t="s">
        <v>564</v>
      </c>
      <c r="C296" s="32">
        <v>1.95E-2</v>
      </c>
      <c r="D296" s="1">
        <v>27000</v>
      </c>
      <c r="E296" s="1"/>
      <c r="F296" s="1">
        <v>300.52</v>
      </c>
      <c r="G296" s="1">
        <v>27000</v>
      </c>
      <c r="H296" s="5">
        <f t="shared" si="4"/>
        <v>0</v>
      </c>
      <c r="I296" s="1"/>
      <c r="J296" s="1"/>
    </row>
    <row r="297" spans="1:10" s="338" customFormat="1" x14ac:dyDescent="0.2">
      <c r="A297" s="32"/>
      <c r="B297" s="1" t="s">
        <v>564</v>
      </c>
      <c r="C297" s="32">
        <v>8587</v>
      </c>
      <c r="D297" s="1">
        <v>25000</v>
      </c>
      <c r="E297" s="1"/>
      <c r="F297" s="1">
        <v>278.87</v>
      </c>
      <c r="G297" s="1">
        <v>25000</v>
      </c>
      <c r="H297" s="5">
        <f t="shared" si="4"/>
        <v>0</v>
      </c>
      <c r="I297" s="1"/>
      <c r="J297" s="1"/>
    </row>
    <row r="298" spans="1:10" s="338" customFormat="1" x14ac:dyDescent="0.2">
      <c r="A298" s="32"/>
      <c r="B298" s="1" t="s">
        <v>564</v>
      </c>
      <c r="C298" s="32">
        <v>9070</v>
      </c>
      <c r="D298" s="1">
        <v>25000</v>
      </c>
      <c r="E298" s="1"/>
      <c r="F298" s="1">
        <v>278.87</v>
      </c>
      <c r="G298" s="1">
        <v>25000</v>
      </c>
      <c r="H298" s="5">
        <f t="shared" si="4"/>
        <v>0</v>
      </c>
      <c r="I298" s="1"/>
      <c r="J298" s="1"/>
    </row>
    <row r="299" spans="1:10" s="338" customFormat="1" x14ac:dyDescent="0.2">
      <c r="A299" s="32"/>
      <c r="B299" s="1" t="s">
        <v>564</v>
      </c>
      <c r="C299" s="32">
        <v>5957</v>
      </c>
      <c r="D299" s="1">
        <v>32000</v>
      </c>
      <c r="E299" s="1"/>
      <c r="F299" s="1">
        <v>353.51</v>
      </c>
      <c r="G299" s="1">
        <v>32000</v>
      </c>
      <c r="H299" s="5">
        <f t="shared" si="4"/>
        <v>0</v>
      </c>
      <c r="I299" s="1"/>
      <c r="J299" s="1"/>
    </row>
    <row r="300" spans="1:10" s="338" customFormat="1" x14ac:dyDescent="0.2">
      <c r="A300" s="32"/>
      <c r="B300" s="1" t="s">
        <v>564</v>
      </c>
      <c r="C300" s="32">
        <v>4765</v>
      </c>
      <c r="D300" s="1">
        <v>26000</v>
      </c>
      <c r="E300" s="1"/>
      <c r="F300" s="1">
        <v>281.62</v>
      </c>
      <c r="G300" s="1">
        <v>26000</v>
      </c>
      <c r="H300" s="5">
        <f t="shared" si="4"/>
        <v>0</v>
      </c>
      <c r="I300" s="1"/>
      <c r="J300" s="1"/>
    </row>
    <row r="301" spans="1:10" s="338" customFormat="1" x14ac:dyDescent="0.2">
      <c r="A301" s="32"/>
      <c r="B301" s="1" t="s">
        <v>564</v>
      </c>
      <c r="C301" s="32">
        <v>4591</v>
      </c>
      <c r="D301" s="1">
        <v>24000</v>
      </c>
      <c r="E301" s="1"/>
      <c r="F301" s="1">
        <v>267.33999999999997</v>
      </c>
      <c r="G301" s="1">
        <v>24000</v>
      </c>
      <c r="H301" s="5">
        <f t="shared" si="4"/>
        <v>0</v>
      </c>
      <c r="I301" s="1"/>
      <c r="J301" s="1"/>
    </row>
    <row r="302" spans="1:10" s="338" customFormat="1" x14ac:dyDescent="0.2">
      <c r="A302" s="32"/>
      <c r="B302" s="1" t="s">
        <v>564</v>
      </c>
      <c r="C302" s="32">
        <v>1223</v>
      </c>
      <c r="D302" s="1">
        <v>17000</v>
      </c>
      <c r="E302" s="1"/>
      <c r="F302" s="1">
        <v>186.52</v>
      </c>
      <c r="G302" s="1">
        <v>17000</v>
      </c>
      <c r="H302" s="5">
        <f t="shared" si="4"/>
        <v>0</v>
      </c>
      <c r="I302" s="1"/>
      <c r="J302" s="1"/>
    </row>
    <row r="303" spans="1:10" s="338" customFormat="1" x14ac:dyDescent="0.2">
      <c r="A303" s="32"/>
      <c r="B303" s="1" t="s">
        <v>564</v>
      </c>
      <c r="C303" s="32">
        <v>9825</v>
      </c>
      <c r="D303" s="1">
        <v>17000</v>
      </c>
      <c r="E303" s="1"/>
      <c r="F303" s="1">
        <v>186.52</v>
      </c>
      <c r="G303" s="1">
        <v>17000</v>
      </c>
      <c r="H303" s="5">
        <f t="shared" si="4"/>
        <v>0</v>
      </c>
      <c r="I303" s="1"/>
      <c r="J303" s="1"/>
    </row>
    <row r="304" spans="1:10" s="338" customFormat="1" x14ac:dyDescent="0.2">
      <c r="A304" s="32"/>
      <c r="B304" s="1" t="s">
        <v>564</v>
      </c>
      <c r="C304" s="32">
        <v>6037</v>
      </c>
      <c r="D304" s="1">
        <v>20000</v>
      </c>
      <c r="E304" s="1"/>
      <c r="F304" s="1">
        <v>222.82</v>
      </c>
      <c r="G304" s="1">
        <v>20000</v>
      </c>
      <c r="H304" s="5">
        <f t="shared" si="4"/>
        <v>0</v>
      </c>
      <c r="I304" s="1"/>
      <c r="J304" s="1"/>
    </row>
    <row r="305" spans="1:10" s="338" customFormat="1" x14ac:dyDescent="0.2">
      <c r="A305" s="32"/>
      <c r="B305" s="1" t="s">
        <v>564</v>
      </c>
      <c r="C305" s="32">
        <v>4295</v>
      </c>
      <c r="D305" s="1">
        <v>20000</v>
      </c>
      <c r="E305" s="1"/>
      <c r="F305" s="1">
        <v>222.82</v>
      </c>
      <c r="G305" s="1">
        <v>20000</v>
      </c>
      <c r="H305" s="5">
        <f t="shared" si="4"/>
        <v>0</v>
      </c>
      <c r="I305" s="1"/>
      <c r="J305" s="1"/>
    </row>
    <row r="306" spans="1:10" s="338" customFormat="1" x14ac:dyDescent="0.2">
      <c r="A306" s="32"/>
      <c r="B306" s="1" t="s">
        <v>564</v>
      </c>
      <c r="C306" s="32">
        <v>5416</v>
      </c>
      <c r="D306" s="1">
        <v>22000</v>
      </c>
      <c r="E306" s="1"/>
      <c r="F306" s="1">
        <v>262.75</v>
      </c>
      <c r="G306" s="1">
        <v>22000</v>
      </c>
      <c r="H306" s="5">
        <f t="shared" si="4"/>
        <v>0</v>
      </c>
      <c r="I306" s="1"/>
      <c r="J306" s="1"/>
    </row>
    <row r="307" spans="1:10" s="338" customFormat="1" x14ac:dyDescent="0.2">
      <c r="A307" s="32"/>
      <c r="B307" s="1" t="s">
        <v>564</v>
      </c>
      <c r="C307" s="32">
        <v>9383</v>
      </c>
      <c r="D307" s="1">
        <v>22000</v>
      </c>
      <c r="E307" s="1"/>
      <c r="F307" s="1">
        <v>262.75</v>
      </c>
      <c r="G307" s="1">
        <v>22000</v>
      </c>
      <c r="H307" s="5">
        <f t="shared" si="4"/>
        <v>0</v>
      </c>
      <c r="I307" s="1"/>
      <c r="J307" s="1"/>
    </row>
    <row r="308" spans="1:10" s="338" customFormat="1" x14ac:dyDescent="0.2">
      <c r="A308" s="32"/>
      <c r="B308" s="1" t="s">
        <v>564</v>
      </c>
      <c r="C308" s="32">
        <v>8311</v>
      </c>
      <c r="D308" s="1">
        <v>24000</v>
      </c>
      <c r="E308" s="1"/>
      <c r="F308" s="1">
        <v>267.33999999999997</v>
      </c>
      <c r="G308" s="1">
        <v>24000</v>
      </c>
      <c r="H308" s="5">
        <f t="shared" si="4"/>
        <v>0</v>
      </c>
      <c r="I308" s="1"/>
      <c r="J308" s="1"/>
    </row>
    <row r="309" spans="1:10" s="338" customFormat="1" x14ac:dyDescent="0.2">
      <c r="A309" s="32"/>
      <c r="B309" s="1" t="s">
        <v>564</v>
      </c>
      <c r="C309" s="32">
        <v>6311</v>
      </c>
      <c r="D309" s="1">
        <v>24000</v>
      </c>
      <c r="E309" s="1"/>
      <c r="F309" s="1">
        <v>267.33999999999997</v>
      </c>
      <c r="G309" s="1">
        <v>24000</v>
      </c>
      <c r="H309" s="5">
        <f t="shared" si="4"/>
        <v>0</v>
      </c>
      <c r="I309" s="1"/>
      <c r="J309" s="1"/>
    </row>
    <row r="310" spans="1:10" s="338" customFormat="1" x14ac:dyDescent="0.2">
      <c r="A310" s="32"/>
      <c r="B310" s="1" t="s">
        <v>564</v>
      </c>
      <c r="C310" s="32">
        <v>4751</v>
      </c>
      <c r="D310" s="1">
        <v>23000</v>
      </c>
      <c r="E310" s="1"/>
      <c r="F310" s="1">
        <v>256.64</v>
      </c>
      <c r="G310" s="1">
        <v>23000</v>
      </c>
      <c r="H310" s="5">
        <f t="shared" si="4"/>
        <v>0</v>
      </c>
      <c r="I310" s="1"/>
      <c r="J310" s="1"/>
    </row>
    <row r="311" spans="1:10" s="338" customFormat="1" x14ac:dyDescent="0.2">
      <c r="A311" s="32"/>
      <c r="B311" s="1" t="s">
        <v>564</v>
      </c>
      <c r="C311" s="32">
        <v>2929</v>
      </c>
      <c r="D311" s="1">
        <v>27000</v>
      </c>
      <c r="E311" s="1"/>
      <c r="F311" s="1">
        <v>352.27</v>
      </c>
      <c r="G311" s="1">
        <v>27000</v>
      </c>
      <c r="H311" s="5">
        <f t="shared" si="4"/>
        <v>0</v>
      </c>
      <c r="I311" s="1"/>
      <c r="J311" s="1"/>
    </row>
    <row r="312" spans="1:10" s="338" customFormat="1" x14ac:dyDescent="0.2">
      <c r="A312" s="32"/>
      <c r="B312" s="1" t="s">
        <v>566</v>
      </c>
      <c r="C312" s="32" t="s">
        <v>30</v>
      </c>
      <c r="D312" s="1">
        <v>4500</v>
      </c>
      <c r="E312" s="1"/>
      <c r="F312" s="1">
        <v>50.45</v>
      </c>
      <c r="G312" s="1">
        <v>4500</v>
      </c>
      <c r="H312" s="5">
        <f t="shared" si="4"/>
        <v>0</v>
      </c>
      <c r="I312" s="1"/>
      <c r="J312" s="1"/>
    </row>
    <row r="313" spans="1:10" s="338" customFormat="1" x14ac:dyDescent="0.2">
      <c r="A313" s="32"/>
      <c r="B313" s="1" t="s">
        <v>566</v>
      </c>
      <c r="C313" s="32">
        <v>5640</v>
      </c>
      <c r="D313" s="1">
        <v>35000</v>
      </c>
      <c r="E313" s="1"/>
      <c r="F313" s="1">
        <v>389.51</v>
      </c>
      <c r="G313" s="1">
        <v>35000</v>
      </c>
      <c r="H313" s="5">
        <f t="shared" si="4"/>
        <v>0</v>
      </c>
      <c r="I313" s="1"/>
      <c r="J313" s="1"/>
    </row>
    <row r="314" spans="1:10" s="338" customFormat="1" x14ac:dyDescent="0.2">
      <c r="A314" s="32"/>
      <c r="B314" s="1" t="s">
        <v>566</v>
      </c>
      <c r="C314" s="32">
        <v>2316</v>
      </c>
      <c r="D314" s="1">
        <v>24000</v>
      </c>
      <c r="E314" s="1"/>
      <c r="F314" s="1">
        <v>233.85</v>
      </c>
      <c r="G314" s="1">
        <v>24000</v>
      </c>
      <c r="H314" s="5">
        <f t="shared" si="4"/>
        <v>0</v>
      </c>
      <c r="I314" s="1"/>
      <c r="J314" s="1"/>
    </row>
    <row r="315" spans="1:10" s="338" customFormat="1" x14ac:dyDescent="0.2">
      <c r="A315" s="32"/>
      <c r="B315" s="1" t="s">
        <v>566</v>
      </c>
      <c r="C315" s="32">
        <v>7840</v>
      </c>
      <c r="D315" s="1">
        <v>26000</v>
      </c>
      <c r="E315" s="1"/>
      <c r="F315" s="1">
        <v>289.87</v>
      </c>
      <c r="G315" s="1">
        <v>26000</v>
      </c>
      <c r="H315" s="5">
        <f t="shared" si="4"/>
        <v>0</v>
      </c>
      <c r="I315" s="1"/>
      <c r="J315" s="1"/>
    </row>
    <row r="316" spans="1:10" s="338" customFormat="1" x14ac:dyDescent="0.2">
      <c r="A316" s="32"/>
      <c r="B316" s="1" t="s">
        <v>566</v>
      </c>
      <c r="C316" s="32">
        <v>7122</v>
      </c>
      <c r="D316" s="1">
        <v>25000</v>
      </c>
      <c r="E316" s="1"/>
      <c r="F316" s="1">
        <v>278.22000000000003</v>
      </c>
      <c r="G316" s="1">
        <v>25000</v>
      </c>
      <c r="H316" s="5">
        <f t="shared" si="4"/>
        <v>0</v>
      </c>
      <c r="I316" s="1"/>
      <c r="J316" s="1"/>
    </row>
    <row r="317" spans="1:10" s="338" customFormat="1" x14ac:dyDescent="0.2">
      <c r="A317" s="32"/>
      <c r="B317" s="1" t="s">
        <v>566</v>
      </c>
      <c r="C317" s="32">
        <v>8534</v>
      </c>
      <c r="D317" s="1">
        <v>12000</v>
      </c>
      <c r="E317" s="1"/>
      <c r="F317" s="1">
        <v>133.97999999999999</v>
      </c>
      <c r="G317" s="1">
        <v>12000</v>
      </c>
      <c r="H317" s="5">
        <f t="shared" si="4"/>
        <v>0</v>
      </c>
      <c r="I317" s="1"/>
      <c r="J317" s="1"/>
    </row>
    <row r="318" spans="1:10" s="338" customFormat="1" x14ac:dyDescent="0.2">
      <c r="A318" s="32"/>
      <c r="B318" s="1" t="s">
        <v>566</v>
      </c>
      <c r="C318" s="32">
        <v>4106</v>
      </c>
      <c r="D318" s="1">
        <v>26500</v>
      </c>
      <c r="E318" s="1"/>
      <c r="F318" s="1">
        <v>251.87</v>
      </c>
      <c r="G318" s="1">
        <v>26500</v>
      </c>
      <c r="H318" s="5">
        <f t="shared" si="4"/>
        <v>0</v>
      </c>
      <c r="I318" s="1"/>
      <c r="J318" s="1"/>
    </row>
    <row r="319" spans="1:10" s="338" customFormat="1" x14ac:dyDescent="0.2">
      <c r="A319" s="32"/>
      <c r="B319" s="1" t="s">
        <v>566</v>
      </c>
      <c r="C319" s="32" t="s">
        <v>30</v>
      </c>
      <c r="D319" s="1">
        <v>5000</v>
      </c>
      <c r="E319" s="1"/>
      <c r="F319" s="1">
        <v>55.47</v>
      </c>
      <c r="G319" s="1">
        <v>5000</v>
      </c>
      <c r="H319" s="5">
        <f t="shared" si="4"/>
        <v>0</v>
      </c>
      <c r="I319" s="1"/>
      <c r="J319" s="1"/>
    </row>
    <row r="320" spans="1:10" s="338" customFormat="1" x14ac:dyDescent="0.2">
      <c r="A320" s="32"/>
      <c r="B320" s="1" t="s">
        <v>566</v>
      </c>
      <c r="C320" s="32">
        <v>7930</v>
      </c>
      <c r="D320" s="1">
        <v>25000</v>
      </c>
      <c r="E320" s="1"/>
      <c r="F320" s="1">
        <v>278.22000000000003</v>
      </c>
      <c r="G320" s="1">
        <v>25000</v>
      </c>
      <c r="H320" s="5">
        <f t="shared" si="4"/>
        <v>0</v>
      </c>
      <c r="I320" s="1"/>
      <c r="J320" s="1"/>
    </row>
    <row r="321" spans="1:10" s="338" customFormat="1" x14ac:dyDescent="0.2">
      <c r="A321" s="32"/>
      <c r="B321" s="1" t="s">
        <v>566</v>
      </c>
      <c r="C321" s="32">
        <v>4661</v>
      </c>
      <c r="D321" s="1">
        <v>25000</v>
      </c>
      <c r="E321" s="1"/>
      <c r="F321" s="1">
        <v>278.22000000000003</v>
      </c>
      <c r="G321" s="1">
        <v>25000</v>
      </c>
      <c r="H321" s="5">
        <f t="shared" si="4"/>
        <v>0</v>
      </c>
      <c r="I321" s="1"/>
      <c r="J321" s="1"/>
    </row>
    <row r="322" spans="1:10" s="338" customFormat="1" x14ac:dyDescent="0.2">
      <c r="A322" s="32"/>
      <c r="B322" s="1" t="s">
        <v>566</v>
      </c>
      <c r="C322" s="32">
        <v>7808</v>
      </c>
      <c r="D322" s="1">
        <v>25000</v>
      </c>
      <c r="E322" s="1"/>
      <c r="F322" s="1">
        <v>278.22000000000003</v>
      </c>
      <c r="G322" s="1">
        <v>25000</v>
      </c>
      <c r="H322" s="5">
        <f t="shared" si="4"/>
        <v>0</v>
      </c>
      <c r="I322" s="1"/>
      <c r="J322" s="1"/>
    </row>
    <row r="323" spans="1:10" s="338" customFormat="1" x14ac:dyDescent="0.2">
      <c r="A323" s="32"/>
      <c r="B323" s="1" t="s">
        <v>566</v>
      </c>
      <c r="C323" s="32">
        <v>2117</v>
      </c>
      <c r="D323" s="1">
        <v>18000</v>
      </c>
      <c r="E323" s="1"/>
      <c r="F323" s="1">
        <v>200.65</v>
      </c>
      <c r="G323" s="1">
        <v>18000</v>
      </c>
      <c r="H323" s="5">
        <f t="shared" si="4"/>
        <v>0</v>
      </c>
      <c r="I323" s="1"/>
      <c r="J323" s="1"/>
    </row>
    <row r="324" spans="1:10" s="338" customFormat="1" x14ac:dyDescent="0.2">
      <c r="A324" s="32"/>
      <c r="B324" s="1" t="s">
        <v>566</v>
      </c>
      <c r="C324" s="32">
        <v>3320</v>
      </c>
      <c r="D324" s="1">
        <v>21000</v>
      </c>
      <c r="E324" s="1"/>
      <c r="F324" s="1">
        <v>222.35</v>
      </c>
      <c r="G324" s="1">
        <v>21000</v>
      </c>
      <c r="H324" s="5">
        <f t="shared" si="4"/>
        <v>0</v>
      </c>
      <c r="I324" s="1"/>
      <c r="J324" s="1"/>
    </row>
    <row r="325" spans="1:10" s="338" customFormat="1" x14ac:dyDescent="0.2">
      <c r="A325" s="32"/>
      <c r="B325" s="1" t="s">
        <v>566</v>
      </c>
      <c r="C325" s="32">
        <v>9824</v>
      </c>
      <c r="D325" s="1">
        <v>18000</v>
      </c>
      <c r="E325" s="1"/>
      <c r="F325" s="1">
        <v>200.65</v>
      </c>
      <c r="G325" s="1">
        <v>18000</v>
      </c>
      <c r="H325" s="5">
        <f t="shared" si="4"/>
        <v>0</v>
      </c>
      <c r="I325" s="1"/>
      <c r="J325" s="1"/>
    </row>
    <row r="326" spans="1:10" s="338" customFormat="1" x14ac:dyDescent="0.2">
      <c r="A326" s="32"/>
      <c r="B326" s="1" t="s">
        <v>567</v>
      </c>
      <c r="C326" s="32" t="s">
        <v>63</v>
      </c>
      <c r="D326" s="1">
        <v>3000</v>
      </c>
      <c r="E326" s="1"/>
      <c r="F326" s="1">
        <v>33.42</v>
      </c>
      <c r="G326" s="1">
        <v>3000</v>
      </c>
      <c r="H326" s="5">
        <f t="shared" si="4"/>
        <v>0</v>
      </c>
      <c r="I326" s="1"/>
      <c r="J326" s="1"/>
    </row>
    <row r="327" spans="1:10" s="338" customFormat="1" x14ac:dyDescent="0.2">
      <c r="A327" s="32"/>
      <c r="B327" s="1" t="s">
        <v>567</v>
      </c>
      <c r="C327" s="32" t="s">
        <v>66</v>
      </c>
      <c r="D327" s="1">
        <v>210</v>
      </c>
      <c r="E327" s="1"/>
      <c r="F327" s="1">
        <v>2.08</v>
      </c>
      <c r="G327" s="1">
        <v>210</v>
      </c>
      <c r="H327" s="5">
        <f t="shared" ref="H327:H390" si="5">D327-G327</f>
        <v>0</v>
      </c>
      <c r="I327" s="1"/>
      <c r="J327" s="1"/>
    </row>
    <row r="328" spans="1:10" s="338" customFormat="1" x14ac:dyDescent="0.2">
      <c r="A328" s="32"/>
      <c r="B328" s="1" t="s">
        <v>567</v>
      </c>
      <c r="C328" s="32">
        <v>2808</v>
      </c>
      <c r="D328" s="1">
        <v>23000</v>
      </c>
      <c r="E328" s="1"/>
      <c r="F328" s="1">
        <v>254.65</v>
      </c>
      <c r="G328" s="1">
        <v>23000</v>
      </c>
      <c r="H328" s="5">
        <f t="shared" si="5"/>
        <v>0</v>
      </c>
      <c r="I328" s="1"/>
      <c r="J328" s="1"/>
    </row>
    <row r="329" spans="1:10" s="338" customFormat="1" x14ac:dyDescent="0.2">
      <c r="A329" s="32"/>
      <c r="B329" s="1" t="s">
        <v>567</v>
      </c>
      <c r="C329" s="32">
        <v>1304</v>
      </c>
      <c r="D329" s="1">
        <v>22000</v>
      </c>
      <c r="E329" s="1"/>
      <c r="F329" s="1">
        <v>262.75</v>
      </c>
      <c r="G329" s="1">
        <v>22000</v>
      </c>
      <c r="H329" s="5">
        <f t="shared" si="5"/>
        <v>0</v>
      </c>
      <c r="I329" s="1"/>
      <c r="J329" s="1"/>
    </row>
    <row r="330" spans="1:10" s="338" customFormat="1" x14ac:dyDescent="0.2">
      <c r="A330" s="32"/>
      <c r="B330" s="1" t="s">
        <v>567</v>
      </c>
      <c r="C330" s="32">
        <v>5.1000000000000004E-3</v>
      </c>
      <c r="D330" s="1">
        <v>17000</v>
      </c>
      <c r="E330" s="1"/>
      <c r="F330" s="1">
        <v>178.22</v>
      </c>
      <c r="G330" s="1">
        <v>17000</v>
      </c>
      <c r="H330" s="5">
        <f t="shared" si="5"/>
        <v>0</v>
      </c>
      <c r="I330" s="1"/>
      <c r="J330" s="1"/>
    </row>
    <row r="331" spans="1:10" s="338" customFormat="1" x14ac:dyDescent="0.2">
      <c r="A331" s="32"/>
      <c r="B331" s="1" t="s">
        <v>567</v>
      </c>
      <c r="C331" s="32">
        <v>7676</v>
      </c>
      <c r="D331" s="1">
        <v>26000</v>
      </c>
      <c r="E331" s="1"/>
      <c r="F331" s="1">
        <v>289.83999999999997</v>
      </c>
      <c r="G331" s="1">
        <v>26000</v>
      </c>
      <c r="H331" s="5">
        <f t="shared" si="5"/>
        <v>0</v>
      </c>
      <c r="I331" s="1"/>
      <c r="J331" s="1"/>
    </row>
    <row r="332" spans="1:10" s="338" customFormat="1" x14ac:dyDescent="0.2">
      <c r="A332" s="32"/>
      <c r="B332" s="1" t="s">
        <v>567</v>
      </c>
      <c r="C332" s="32">
        <v>5252</v>
      </c>
      <c r="D332" s="1">
        <v>17000</v>
      </c>
      <c r="E332" s="1"/>
      <c r="F332" s="1">
        <v>178.22</v>
      </c>
      <c r="G332" s="1">
        <v>17000</v>
      </c>
      <c r="H332" s="5">
        <f t="shared" si="5"/>
        <v>0</v>
      </c>
      <c r="I332" s="1"/>
      <c r="J332" s="1"/>
    </row>
    <row r="333" spans="1:10" s="338" customFormat="1" x14ac:dyDescent="0.2">
      <c r="A333" s="32"/>
      <c r="B333" s="1" t="s">
        <v>567</v>
      </c>
      <c r="C333" s="32">
        <v>5498</v>
      </c>
      <c r="D333" s="1">
        <v>21000</v>
      </c>
      <c r="E333" s="1"/>
      <c r="F333" s="1">
        <v>233.64</v>
      </c>
      <c r="G333" s="1">
        <v>21000</v>
      </c>
      <c r="H333" s="5">
        <f t="shared" si="5"/>
        <v>0</v>
      </c>
      <c r="I333" s="1"/>
      <c r="J333" s="1"/>
    </row>
    <row r="334" spans="1:10" s="338" customFormat="1" x14ac:dyDescent="0.2">
      <c r="A334" s="32"/>
      <c r="B334" s="1" t="s">
        <v>567</v>
      </c>
      <c r="C334" s="32">
        <v>8676</v>
      </c>
      <c r="D334" s="1">
        <v>18000</v>
      </c>
      <c r="E334" s="1"/>
      <c r="F334" s="1">
        <v>200.32</v>
      </c>
      <c r="G334" s="1">
        <v>18000</v>
      </c>
      <c r="H334" s="5">
        <f t="shared" si="5"/>
        <v>0</v>
      </c>
      <c r="I334" s="1"/>
      <c r="J334" s="1"/>
    </row>
    <row r="335" spans="1:10" s="338" customFormat="1" x14ac:dyDescent="0.2">
      <c r="A335" s="32"/>
      <c r="B335" s="1" t="s">
        <v>567</v>
      </c>
      <c r="C335" s="32">
        <v>3877</v>
      </c>
      <c r="D335" s="1">
        <v>15000</v>
      </c>
      <c r="E335" s="1"/>
      <c r="F335" s="1">
        <v>167.15</v>
      </c>
      <c r="G335" s="1">
        <v>15000</v>
      </c>
      <c r="H335" s="5">
        <f t="shared" si="5"/>
        <v>0</v>
      </c>
      <c r="I335" s="1"/>
      <c r="J335" s="1"/>
    </row>
    <row r="336" spans="1:10" s="338" customFormat="1" x14ac:dyDescent="0.2">
      <c r="A336" s="32"/>
      <c r="B336" s="1" t="s">
        <v>567</v>
      </c>
      <c r="C336" s="32">
        <v>9207</v>
      </c>
      <c r="D336" s="1">
        <v>15000</v>
      </c>
      <c r="E336" s="1"/>
      <c r="F336" s="1">
        <v>167.15</v>
      </c>
      <c r="G336" s="1">
        <v>15000</v>
      </c>
      <c r="H336" s="5">
        <f t="shared" si="5"/>
        <v>0</v>
      </c>
      <c r="I336" s="1"/>
      <c r="J336" s="1"/>
    </row>
    <row r="337" spans="1:10" s="338" customFormat="1" x14ac:dyDescent="0.2">
      <c r="A337" s="32"/>
      <c r="B337" s="1" t="s">
        <v>567</v>
      </c>
      <c r="C337" s="32">
        <v>8555</v>
      </c>
      <c r="D337" s="1">
        <v>18000</v>
      </c>
      <c r="E337" s="1"/>
      <c r="F337" s="1">
        <v>200.35</v>
      </c>
      <c r="G337" s="1">
        <v>18000</v>
      </c>
      <c r="H337" s="5">
        <f t="shared" si="5"/>
        <v>0</v>
      </c>
      <c r="I337" s="1"/>
      <c r="J337" s="1"/>
    </row>
    <row r="338" spans="1:10" s="338" customFormat="1" x14ac:dyDescent="0.2">
      <c r="A338" s="32"/>
      <c r="B338" s="1" t="s">
        <v>567</v>
      </c>
      <c r="C338" s="32">
        <v>3346</v>
      </c>
      <c r="D338" s="1">
        <v>26000</v>
      </c>
      <c r="E338" s="1"/>
      <c r="F338" s="1">
        <v>289.87</v>
      </c>
      <c r="G338" s="1">
        <v>26000</v>
      </c>
      <c r="H338" s="5">
        <f t="shared" si="5"/>
        <v>0</v>
      </c>
      <c r="I338" s="1"/>
      <c r="J338" s="1"/>
    </row>
    <row r="339" spans="1:10" s="338" customFormat="1" x14ac:dyDescent="0.2">
      <c r="A339" s="32"/>
      <c r="B339" s="1" t="s">
        <v>567</v>
      </c>
      <c r="C339" s="32">
        <v>7709</v>
      </c>
      <c r="D339" s="1">
        <v>15000</v>
      </c>
      <c r="E339" s="1"/>
      <c r="F339" s="1">
        <v>167.15</v>
      </c>
      <c r="G339" s="1">
        <v>15000</v>
      </c>
      <c r="H339" s="5">
        <f t="shared" si="5"/>
        <v>0</v>
      </c>
      <c r="I339" s="1"/>
      <c r="J339" s="1"/>
    </row>
    <row r="340" spans="1:10" s="338" customFormat="1" x14ac:dyDescent="0.2">
      <c r="A340" s="32"/>
      <c r="B340" s="1" t="s">
        <v>567</v>
      </c>
      <c r="C340" s="32">
        <v>3329</v>
      </c>
      <c r="D340" s="1">
        <v>13000</v>
      </c>
      <c r="E340" s="1"/>
      <c r="F340" s="1">
        <v>144.24</v>
      </c>
      <c r="G340" s="1">
        <v>13000</v>
      </c>
      <c r="H340" s="5">
        <f t="shared" si="5"/>
        <v>0</v>
      </c>
      <c r="I340" s="1"/>
      <c r="J340" s="1"/>
    </row>
    <row r="341" spans="1:10" s="338" customFormat="1" x14ac:dyDescent="0.2">
      <c r="A341" s="32"/>
      <c r="B341" s="1" t="s">
        <v>567</v>
      </c>
      <c r="C341" s="32">
        <v>7957</v>
      </c>
      <c r="D341" s="1">
        <v>8000</v>
      </c>
      <c r="E341" s="1"/>
      <c r="F341" s="1">
        <v>89.78</v>
      </c>
      <c r="G341" s="1">
        <v>8000</v>
      </c>
      <c r="H341" s="5">
        <f t="shared" si="5"/>
        <v>0</v>
      </c>
      <c r="I341" s="1"/>
      <c r="J341" s="1"/>
    </row>
    <row r="342" spans="1:10" s="338" customFormat="1" x14ac:dyDescent="0.2">
      <c r="A342" s="32"/>
      <c r="B342" s="1" t="s">
        <v>568</v>
      </c>
      <c r="C342" s="32">
        <v>5958</v>
      </c>
      <c r="D342" s="1">
        <v>10000</v>
      </c>
      <c r="E342" s="1"/>
      <c r="F342" s="1">
        <v>111.41</v>
      </c>
      <c r="G342" s="1">
        <v>10000</v>
      </c>
      <c r="H342" s="5">
        <f t="shared" si="5"/>
        <v>0</v>
      </c>
      <c r="I342" s="1"/>
      <c r="J342" s="1"/>
    </row>
    <row r="343" spans="1:10" s="338" customFormat="1" x14ac:dyDescent="0.2">
      <c r="A343" s="32"/>
      <c r="B343" s="1" t="s">
        <v>568</v>
      </c>
      <c r="C343" s="32">
        <v>6291</v>
      </c>
      <c r="D343" s="1">
        <v>10000</v>
      </c>
      <c r="E343" s="1"/>
      <c r="F343" s="1">
        <v>111.41</v>
      </c>
      <c r="G343" s="1">
        <v>10000</v>
      </c>
      <c r="H343" s="5">
        <f t="shared" si="5"/>
        <v>0</v>
      </c>
      <c r="I343" s="1"/>
      <c r="J343" s="1"/>
    </row>
    <row r="344" spans="1:10" s="338" customFormat="1" x14ac:dyDescent="0.2">
      <c r="A344" s="32"/>
      <c r="B344" s="1" t="s">
        <v>568</v>
      </c>
      <c r="C344" s="32" t="s">
        <v>30</v>
      </c>
      <c r="D344" s="1">
        <v>5000</v>
      </c>
      <c r="E344" s="1"/>
      <c r="F344" s="1">
        <v>55.48</v>
      </c>
      <c r="G344" s="1">
        <v>5000</v>
      </c>
      <c r="H344" s="5">
        <f t="shared" si="5"/>
        <v>0</v>
      </c>
      <c r="I344" s="1"/>
      <c r="J344" s="1"/>
    </row>
    <row r="345" spans="1:10" s="338" customFormat="1" x14ac:dyDescent="0.2">
      <c r="A345" s="32"/>
      <c r="B345" s="1" t="s">
        <v>568</v>
      </c>
      <c r="C345" s="32">
        <v>4282</v>
      </c>
      <c r="D345" s="1">
        <v>10000</v>
      </c>
      <c r="E345" s="1"/>
      <c r="F345" s="1">
        <v>111.41</v>
      </c>
      <c r="G345" s="1">
        <v>10000</v>
      </c>
      <c r="H345" s="5">
        <f t="shared" si="5"/>
        <v>0</v>
      </c>
      <c r="I345" s="1"/>
      <c r="J345" s="1"/>
    </row>
    <row r="346" spans="1:10" s="338" customFormat="1" x14ac:dyDescent="0.2">
      <c r="A346" s="32"/>
      <c r="B346" s="1" t="s">
        <v>568</v>
      </c>
      <c r="C346" s="32">
        <v>6400</v>
      </c>
      <c r="D346" s="1">
        <v>12000</v>
      </c>
      <c r="E346" s="1"/>
      <c r="F346" s="1">
        <v>145.84</v>
      </c>
      <c r="G346" s="1">
        <v>12000</v>
      </c>
      <c r="H346" s="5">
        <f t="shared" si="5"/>
        <v>0</v>
      </c>
      <c r="I346" s="1"/>
      <c r="J346" s="1"/>
    </row>
    <row r="347" spans="1:10" s="338" customFormat="1" x14ac:dyDescent="0.2">
      <c r="A347" s="32"/>
      <c r="B347" s="1" t="s">
        <v>568</v>
      </c>
      <c r="C347" s="32">
        <v>8.8900000000000007E-2</v>
      </c>
      <c r="D347" s="1">
        <v>20000</v>
      </c>
      <c r="E347" s="1"/>
      <c r="F347" s="1">
        <v>222.82</v>
      </c>
      <c r="G347" s="1">
        <v>20000</v>
      </c>
      <c r="H347" s="5">
        <f t="shared" si="5"/>
        <v>0</v>
      </c>
      <c r="I347" s="1"/>
      <c r="J347" s="1"/>
    </row>
    <row r="348" spans="1:10" s="338" customFormat="1" x14ac:dyDescent="0.2">
      <c r="A348" s="32"/>
      <c r="B348" s="1" t="s">
        <v>568</v>
      </c>
      <c r="C348" s="32">
        <v>3503</v>
      </c>
      <c r="D348" s="1">
        <v>20000</v>
      </c>
      <c r="E348" s="1"/>
      <c r="F348" s="1">
        <v>222.82</v>
      </c>
      <c r="G348" s="1">
        <v>20000</v>
      </c>
      <c r="H348" s="5">
        <f t="shared" si="5"/>
        <v>0</v>
      </c>
      <c r="I348" s="1"/>
      <c r="J348" s="1"/>
    </row>
    <row r="349" spans="1:10" s="338" customFormat="1" x14ac:dyDescent="0.2">
      <c r="A349" s="32"/>
      <c r="B349" s="1" t="s">
        <v>568</v>
      </c>
      <c r="C349" s="32">
        <v>5151</v>
      </c>
      <c r="D349" s="1">
        <v>17000</v>
      </c>
      <c r="E349" s="1"/>
      <c r="F349" s="1">
        <v>189.65</v>
      </c>
      <c r="G349" s="1">
        <v>17000</v>
      </c>
      <c r="H349" s="5">
        <f t="shared" si="5"/>
        <v>0</v>
      </c>
      <c r="I349" s="1"/>
      <c r="J349" s="1"/>
    </row>
    <row r="350" spans="1:10" s="338" customFormat="1" x14ac:dyDescent="0.2">
      <c r="A350" s="32"/>
      <c r="B350" s="1" t="s">
        <v>568</v>
      </c>
      <c r="C350" s="32">
        <v>5250</v>
      </c>
      <c r="D350" s="1">
        <v>17000</v>
      </c>
      <c r="E350" s="1"/>
      <c r="F350" s="1">
        <v>189.65</v>
      </c>
      <c r="G350" s="1">
        <v>17000</v>
      </c>
      <c r="H350" s="5">
        <f t="shared" si="5"/>
        <v>0</v>
      </c>
      <c r="I350" s="1"/>
      <c r="J350" s="1"/>
    </row>
    <row r="351" spans="1:10" s="338" customFormat="1" x14ac:dyDescent="0.2">
      <c r="A351" s="32"/>
      <c r="B351" s="1" t="s">
        <v>569</v>
      </c>
      <c r="C351" s="32">
        <v>2809</v>
      </c>
      <c r="D351" s="1">
        <v>16000</v>
      </c>
      <c r="E351" s="1"/>
      <c r="F351" s="1">
        <v>178.22</v>
      </c>
      <c r="G351" s="1">
        <v>16000</v>
      </c>
      <c r="H351" s="5">
        <f t="shared" si="5"/>
        <v>0</v>
      </c>
      <c r="I351" s="1"/>
      <c r="J351" s="1"/>
    </row>
    <row r="352" spans="1:10" s="338" customFormat="1" x14ac:dyDescent="0.2">
      <c r="A352" s="32"/>
      <c r="B352" s="1" t="s">
        <v>569</v>
      </c>
      <c r="C352" s="32">
        <v>4513</v>
      </c>
      <c r="D352" s="1">
        <v>16000</v>
      </c>
      <c r="E352" s="1"/>
      <c r="F352" s="1">
        <v>178.22</v>
      </c>
      <c r="G352" s="1">
        <v>16000</v>
      </c>
      <c r="H352" s="5">
        <f t="shared" si="5"/>
        <v>0</v>
      </c>
      <c r="I352" s="1"/>
      <c r="J352" s="1"/>
    </row>
    <row r="353" spans="1:10" s="338" customFormat="1" x14ac:dyDescent="0.2">
      <c r="A353" s="32"/>
      <c r="B353" s="1" t="s">
        <v>569</v>
      </c>
      <c r="C353" s="32">
        <v>1738</v>
      </c>
      <c r="D353" s="1">
        <v>16000</v>
      </c>
      <c r="E353" s="1"/>
      <c r="F353" s="1">
        <v>178.22</v>
      </c>
      <c r="G353" s="1">
        <v>16000</v>
      </c>
      <c r="H353" s="5">
        <f t="shared" si="5"/>
        <v>0</v>
      </c>
      <c r="I353" s="1"/>
      <c r="J353" s="1"/>
    </row>
    <row r="354" spans="1:10" s="338" customFormat="1" x14ac:dyDescent="0.2">
      <c r="A354" s="32"/>
      <c r="B354" s="1" t="s">
        <v>569</v>
      </c>
      <c r="C354" s="32">
        <v>1811</v>
      </c>
      <c r="D354" s="1">
        <v>33000</v>
      </c>
      <c r="E354" s="1"/>
      <c r="F354" s="1">
        <v>334.85</v>
      </c>
      <c r="G354" s="1">
        <v>33000</v>
      </c>
      <c r="H354" s="5">
        <f t="shared" si="5"/>
        <v>0</v>
      </c>
      <c r="I354" s="1"/>
      <c r="J354" s="1"/>
    </row>
    <row r="355" spans="1:10" s="338" customFormat="1" x14ac:dyDescent="0.2">
      <c r="A355" s="32"/>
      <c r="B355" s="1" t="s">
        <v>569</v>
      </c>
      <c r="C355" s="32">
        <v>2590</v>
      </c>
      <c r="D355" s="1">
        <v>10000</v>
      </c>
      <c r="E355" s="1"/>
      <c r="F355" s="1">
        <v>111.41</v>
      </c>
      <c r="G355" s="1">
        <v>10000</v>
      </c>
      <c r="H355" s="5">
        <f t="shared" si="5"/>
        <v>0</v>
      </c>
      <c r="I355" s="1"/>
      <c r="J355" s="1"/>
    </row>
    <row r="356" spans="1:10" s="338" customFormat="1" x14ac:dyDescent="0.2">
      <c r="A356" s="32"/>
      <c r="B356" s="1" t="s">
        <v>569</v>
      </c>
      <c r="C356" s="32">
        <v>2913</v>
      </c>
      <c r="D356" s="1">
        <v>17000</v>
      </c>
      <c r="E356" s="1"/>
      <c r="F356" s="1">
        <v>189.54</v>
      </c>
      <c r="G356" s="1">
        <v>17000</v>
      </c>
      <c r="H356" s="5">
        <f t="shared" si="5"/>
        <v>0</v>
      </c>
      <c r="I356" s="1"/>
      <c r="J356" s="1"/>
    </row>
    <row r="357" spans="1:10" s="338" customFormat="1" x14ac:dyDescent="0.2">
      <c r="A357" s="32"/>
      <c r="B357" s="1" t="s">
        <v>569</v>
      </c>
      <c r="C357" s="32">
        <v>7149</v>
      </c>
      <c r="D357" s="1">
        <v>23000</v>
      </c>
      <c r="E357" s="1"/>
      <c r="F357" s="1">
        <v>256.87</v>
      </c>
      <c r="G357" s="1">
        <v>23000</v>
      </c>
      <c r="H357" s="5">
        <f t="shared" si="5"/>
        <v>0</v>
      </c>
      <c r="I357" s="1"/>
      <c r="J357" s="1"/>
    </row>
    <row r="358" spans="1:10" s="345" customFormat="1" x14ac:dyDescent="0.2">
      <c r="A358" s="32"/>
      <c r="B358" s="1" t="s">
        <v>570</v>
      </c>
      <c r="C358" s="32" t="s">
        <v>30</v>
      </c>
      <c r="D358" s="1">
        <v>4500</v>
      </c>
      <c r="E358" s="1"/>
      <c r="F358" s="1">
        <v>50.13</v>
      </c>
      <c r="G358" s="1">
        <v>4500</v>
      </c>
      <c r="H358" s="5">
        <f t="shared" si="5"/>
        <v>0</v>
      </c>
      <c r="I358" s="1"/>
      <c r="J358" s="1"/>
    </row>
    <row r="359" spans="1:10" s="345" customFormat="1" x14ac:dyDescent="0.2">
      <c r="A359" s="32"/>
      <c r="B359" s="1" t="s">
        <v>570</v>
      </c>
      <c r="C359" s="32">
        <v>6659</v>
      </c>
      <c r="D359" s="1">
        <v>16000</v>
      </c>
      <c r="E359" s="1"/>
      <c r="F359" s="1">
        <v>178.22</v>
      </c>
      <c r="G359" s="1">
        <v>16000</v>
      </c>
      <c r="H359" s="5">
        <f t="shared" si="5"/>
        <v>0</v>
      </c>
      <c r="I359" s="1"/>
      <c r="J359" s="1"/>
    </row>
    <row r="360" spans="1:10" s="345" customFormat="1" x14ac:dyDescent="0.2">
      <c r="A360" s="32"/>
      <c r="B360" s="1" t="s">
        <v>570</v>
      </c>
      <c r="C360" s="32">
        <v>4514</v>
      </c>
      <c r="D360" s="1">
        <v>16000</v>
      </c>
      <c r="E360" s="1"/>
      <c r="F360" s="1">
        <v>178.22</v>
      </c>
      <c r="G360" s="1">
        <v>16000</v>
      </c>
      <c r="H360" s="5">
        <f t="shared" si="5"/>
        <v>0</v>
      </c>
      <c r="I360" s="1"/>
      <c r="J360" s="1"/>
    </row>
    <row r="361" spans="1:10" s="345" customFormat="1" x14ac:dyDescent="0.2">
      <c r="A361" s="32"/>
      <c r="B361" s="1" t="s">
        <v>570</v>
      </c>
      <c r="C361" s="32">
        <v>2009</v>
      </c>
      <c r="D361" s="1">
        <v>16000</v>
      </c>
      <c r="E361" s="1"/>
      <c r="F361" s="1">
        <v>178.22</v>
      </c>
      <c r="G361" s="1">
        <v>16000</v>
      </c>
      <c r="H361" s="5">
        <f t="shared" si="5"/>
        <v>0</v>
      </c>
      <c r="I361" s="1"/>
      <c r="J361" s="1"/>
    </row>
    <row r="362" spans="1:10" s="345" customFormat="1" x14ac:dyDescent="0.2">
      <c r="A362" s="32"/>
      <c r="B362" s="1" t="s">
        <v>570</v>
      </c>
      <c r="C362" s="32">
        <v>4018</v>
      </c>
      <c r="D362" s="1">
        <v>16000</v>
      </c>
      <c r="E362" s="1"/>
      <c r="F362" s="1">
        <v>178.22</v>
      </c>
      <c r="G362" s="1">
        <v>16000</v>
      </c>
      <c r="H362" s="5">
        <f t="shared" si="5"/>
        <v>0</v>
      </c>
      <c r="I362" s="1"/>
      <c r="J362" s="1"/>
    </row>
    <row r="363" spans="1:10" s="345" customFormat="1" x14ac:dyDescent="0.2">
      <c r="A363" s="32"/>
      <c r="B363" s="1" t="s">
        <v>570</v>
      </c>
      <c r="C363" s="32">
        <v>6573</v>
      </c>
      <c r="D363" s="1">
        <v>16000</v>
      </c>
      <c r="E363" s="1"/>
      <c r="F363" s="1">
        <v>178.22</v>
      </c>
      <c r="G363" s="1">
        <v>16000</v>
      </c>
      <c r="H363" s="5">
        <f t="shared" si="5"/>
        <v>0</v>
      </c>
      <c r="I363" s="1"/>
      <c r="J363" s="1"/>
    </row>
    <row r="364" spans="1:10" s="345" customFormat="1" x14ac:dyDescent="0.2">
      <c r="A364" s="32"/>
      <c r="B364" s="1" t="s">
        <v>570</v>
      </c>
      <c r="C364" s="32">
        <v>4058</v>
      </c>
      <c r="D364" s="1">
        <v>16000</v>
      </c>
      <c r="E364" s="1"/>
      <c r="F364" s="1">
        <v>178.22</v>
      </c>
      <c r="G364" s="1">
        <v>16000</v>
      </c>
      <c r="H364" s="5">
        <f t="shared" si="5"/>
        <v>0</v>
      </c>
      <c r="I364" s="1"/>
      <c r="J364" s="1"/>
    </row>
    <row r="365" spans="1:10" s="345" customFormat="1" x14ac:dyDescent="0.2">
      <c r="A365" s="32"/>
      <c r="B365" s="1" t="s">
        <v>570</v>
      </c>
      <c r="C365" s="32">
        <v>9230</v>
      </c>
      <c r="D365" s="1">
        <v>10000</v>
      </c>
      <c r="E365" s="1"/>
      <c r="F365" s="1">
        <v>111.41</v>
      </c>
      <c r="G365" s="1">
        <v>10000</v>
      </c>
      <c r="H365" s="5">
        <f t="shared" si="5"/>
        <v>0</v>
      </c>
      <c r="I365" s="1"/>
      <c r="J365" s="1"/>
    </row>
    <row r="366" spans="1:10" s="345" customFormat="1" x14ac:dyDescent="0.2">
      <c r="A366" s="32"/>
      <c r="B366" s="1" t="s">
        <v>570</v>
      </c>
      <c r="C366" s="32" t="s">
        <v>30</v>
      </c>
      <c r="D366" s="1">
        <v>5000</v>
      </c>
      <c r="E366" s="1"/>
      <c r="F366" s="1">
        <v>55.42</v>
      </c>
      <c r="G366" s="1">
        <v>5000</v>
      </c>
      <c r="H366" s="5">
        <f t="shared" si="5"/>
        <v>0</v>
      </c>
      <c r="I366" s="1"/>
      <c r="J366" s="1"/>
    </row>
    <row r="367" spans="1:10" s="345" customFormat="1" x14ac:dyDescent="0.2">
      <c r="A367" s="32"/>
      <c r="B367" s="1" t="s">
        <v>570</v>
      </c>
      <c r="C367" s="32" t="s">
        <v>66</v>
      </c>
      <c r="D367" s="1">
        <v>210</v>
      </c>
      <c r="E367" s="1"/>
      <c r="F367" s="1">
        <v>2.08</v>
      </c>
      <c r="G367" s="1">
        <v>210</v>
      </c>
      <c r="H367" s="5">
        <f t="shared" si="5"/>
        <v>0</v>
      </c>
      <c r="I367" s="1"/>
      <c r="J367" s="1"/>
    </row>
    <row r="368" spans="1:10" s="345" customFormat="1" x14ac:dyDescent="0.2">
      <c r="A368" s="32"/>
      <c r="B368" s="1" t="s">
        <v>570</v>
      </c>
      <c r="C368" s="32">
        <v>3965</v>
      </c>
      <c r="D368" s="1">
        <v>22000</v>
      </c>
      <c r="E368" s="1"/>
      <c r="F368" s="1">
        <v>236.85</v>
      </c>
      <c r="G368" s="1">
        <v>22000</v>
      </c>
      <c r="H368" s="5">
        <f t="shared" si="5"/>
        <v>0</v>
      </c>
      <c r="I368" s="1"/>
      <c r="J368" s="1"/>
    </row>
    <row r="369" spans="1:10" s="345" customFormat="1" x14ac:dyDescent="0.2">
      <c r="A369" s="32"/>
      <c r="B369" s="1" t="s">
        <v>570</v>
      </c>
      <c r="C369" s="32">
        <v>2150</v>
      </c>
      <c r="D369" s="1">
        <v>20000</v>
      </c>
      <c r="E369" s="1"/>
      <c r="F369" s="1">
        <v>222.82</v>
      </c>
      <c r="G369" s="1">
        <v>20000</v>
      </c>
      <c r="H369" s="5">
        <f t="shared" si="5"/>
        <v>0</v>
      </c>
      <c r="I369" s="1"/>
      <c r="J369" s="1"/>
    </row>
    <row r="370" spans="1:10" s="345" customFormat="1" x14ac:dyDescent="0.2">
      <c r="A370" s="32"/>
      <c r="B370" s="1" t="s">
        <v>570</v>
      </c>
      <c r="C370" s="32">
        <v>3488</v>
      </c>
      <c r="D370" s="1">
        <v>20000</v>
      </c>
      <c r="E370" s="1"/>
      <c r="F370" s="1">
        <v>222.82</v>
      </c>
      <c r="G370" s="1">
        <v>20000</v>
      </c>
      <c r="H370" s="5">
        <f t="shared" si="5"/>
        <v>0</v>
      </c>
      <c r="I370" s="1"/>
      <c r="J370" s="1"/>
    </row>
    <row r="371" spans="1:10" s="345" customFormat="1" x14ac:dyDescent="0.2">
      <c r="A371" s="32"/>
      <c r="B371" s="1" t="s">
        <v>570</v>
      </c>
      <c r="C371" s="32">
        <v>3383</v>
      </c>
      <c r="D371" s="1">
        <v>20000</v>
      </c>
      <c r="E371" s="1"/>
      <c r="F371" s="1">
        <v>222.82</v>
      </c>
      <c r="G371" s="1">
        <v>20000</v>
      </c>
      <c r="H371" s="5">
        <f t="shared" si="5"/>
        <v>0</v>
      </c>
      <c r="I371" s="1"/>
      <c r="J371" s="1"/>
    </row>
    <row r="372" spans="1:10" s="345" customFormat="1" x14ac:dyDescent="0.2">
      <c r="A372" s="32"/>
      <c r="B372" s="1" t="s">
        <v>570</v>
      </c>
      <c r="C372" s="32">
        <v>5847</v>
      </c>
      <c r="D372" s="1">
        <v>26000</v>
      </c>
      <c r="E372" s="1"/>
      <c r="F372" s="1">
        <v>289.75</v>
      </c>
      <c r="G372" s="1">
        <v>26000</v>
      </c>
      <c r="H372" s="5">
        <f t="shared" si="5"/>
        <v>0</v>
      </c>
      <c r="I372" s="1"/>
      <c r="J372" s="1"/>
    </row>
    <row r="373" spans="1:10" s="345" customFormat="1" x14ac:dyDescent="0.2">
      <c r="A373" s="32"/>
      <c r="B373" s="1" t="s">
        <v>570</v>
      </c>
      <c r="C373" s="32">
        <v>4657</v>
      </c>
      <c r="D373" s="1">
        <v>20000</v>
      </c>
      <c r="E373" s="1"/>
      <c r="F373" s="1">
        <v>222.82</v>
      </c>
      <c r="G373" s="1">
        <v>20000</v>
      </c>
      <c r="H373" s="5">
        <f t="shared" si="5"/>
        <v>0</v>
      </c>
      <c r="I373" s="1"/>
      <c r="J373" s="1"/>
    </row>
    <row r="374" spans="1:10" s="345" customFormat="1" x14ac:dyDescent="0.2">
      <c r="A374" s="32"/>
      <c r="B374" s="1" t="s">
        <v>572</v>
      </c>
      <c r="C374" s="32">
        <v>5.1999999999999998E-3</v>
      </c>
      <c r="D374" s="1">
        <v>17000</v>
      </c>
      <c r="E374" s="1"/>
      <c r="F374" s="1">
        <v>185.54</v>
      </c>
      <c r="G374" s="1">
        <v>17000</v>
      </c>
      <c r="H374" s="5">
        <f t="shared" si="5"/>
        <v>0</v>
      </c>
      <c r="I374" s="1"/>
      <c r="J374" s="1"/>
    </row>
    <row r="375" spans="1:10" s="345" customFormat="1" x14ac:dyDescent="0.2">
      <c r="A375" s="32"/>
      <c r="B375" s="1" t="s">
        <v>572</v>
      </c>
      <c r="C375" s="32">
        <v>4544</v>
      </c>
      <c r="D375" s="1">
        <v>25000</v>
      </c>
      <c r="E375" s="1"/>
      <c r="F375" s="1">
        <v>278.22000000000003</v>
      </c>
      <c r="G375" s="1">
        <v>25000</v>
      </c>
      <c r="H375" s="5">
        <f t="shared" si="5"/>
        <v>0</v>
      </c>
      <c r="I375" s="1"/>
      <c r="J375" s="1"/>
    </row>
    <row r="376" spans="1:10" s="345" customFormat="1" x14ac:dyDescent="0.2">
      <c r="A376" s="32"/>
      <c r="B376" s="1" t="s">
        <v>572</v>
      </c>
      <c r="C376" s="32">
        <v>2832</v>
      </c>
      <c r="D376" s="1">
        <v>19000</v>
      </c>
      <c r="E376" s="1"/>
      <c r="F376" s="1">
        <v>219.65</v>
      </c>
      <c r="G376" s="1">
        <v>19000</v>
      </c>
      <c r="H376" s="5">
        <f t="shared" si="5"/>
        <v>0</v>
      </c>
      <c r="I376" s="1"/>
      <c r="J376" s="1"/>
    </row>
    <row r="377" spans="1:10" s="345" customFormat="1" x14ac:dyDescent="0.2">
      <c r="A377" s="32"/>
      <c r="B377" s="1" t="s">
        <v>572</v>
      </c>
      <c r="C377" s="32">
        <v>7677</v>
      </c>
      <c r="D377" s="1">
        <v>14000</v>
      </c>
      <c r="E377" s="1"/>
      <c r="F377" s="1">
        <v>155.25</v>
      </c>
      <c r="G377" s="1">
        <v>14000</v>
      </c>
      <c r="H377" s="5">
        <f t="shared" si="5"/>
        <v>0</v>
      </c>
      <c r="I377" s="1"/>
      <c r="J377" s="1"/>
    </row>
    <row r="378" spans="1:10" s="345" customFormat="1" x14ac:dyDescent="0.2">
      <c r="A378" s="32"/>
      <c r="B378" s="1" t="s">
        <v>572</v>
      </c>
      <c r="C378" s="32">
        <v>2809</v>
      </c>
      <c r="D378" s="1">
        <v>16000</v>
      </c>
      <c r="E378" s="1"/>
      <c r="F378" s="1">
        <v>178.22</v>
      </c>
      <c r="G378" s="1">
        <v>16000</v>
      </c>
      <c r="H378" s="5">
        <f t="shared" si="5"/>
        <v>0</v>
      </c>
      <c r="I378" s="1"/>
      <c r="J378" s="1"/>
    </row>
    <row r="379" spans="1:10" s="345" customFormat="1" x14ac:dyDescent="0.2">
      <c r="A379" s="32"/>
      <c r="B379" s="1" t="s">
        <v>572</v>
      </c>
      <c r="C379" s="32">
        <v>9151</v>
      </c>
      <c r="D379" s="1">
        <v>10000</v>
      </c>
      <c r="E379" s="1"/>
      <c r="F379" s="1">
        <v>111.41</v>
      </c>
      <c r="G379" s="1">
        <v>10000</v>
      </c>
      <c r="H379" s="5">
        <f t="shared" si="5"/>
        <v>0</v>
      </c>
      <c r="I379" s="1"/>
      <c r="J379" s="1"/>
    </row>
    <row r="380" spans="1:10" s="345" customFormat="1" x14ac:dyDescent="0.2">
      <c r="A380" s="32"/>
      <c r="B380" s="1" t="s">
        <v>572</v>
      </c>
      <c r="C380" s="32">
        <v>4451</v>
      </c>
      <c r="D380" s="1">
        <v>10000</v>
      </c>
      <c r="E380" s="1"/>
      <c r="F380" s="1">
        <v>111.41</v>
      </c>
      <c r="G380" s="1">
        <v>10000</v>
      </c>
      <c r="H380" s="5">
        <f t="shared" si="5"/>
        <v>0</v>
      </c>
      <c r="I380" s="1"/>
      <c r="J380" s="1"/>
    </row>
    <row r="381" spans="1:10" s="345" customFormat="1" x14ac:dyDescent="0.2">
      <c r="A381" s="32"/>
      <c r="B381" s="1" t="s">
        <v>572</v>
      </c>
      <c r="C381" s="32" t="s">
        <v>30</v>
      </c>
      <c r="D381" s="1">
        <v>3500</v>
      </c>
      <c r="E381" s="1"/>
      <c r="F381" s="1">
        <v>35.840000000000003</v>
      </c>
      <c r="G381" s="1">
        <v>3500</v>
      </c>
      <c r="H381" s="5">
        <f t="shared" si="5"/>
        <v>0</v>
      </c>
      <c r="I381" s="1"/>
      <c r="J381" s="1"/>
    </row>
    <row r="382" spans="1:10" s="345" customFormat="1" x14ac:dyDescent="0.2">
      <c r="A382" s="32"/>
      <c r="B382" s="1" t="s">
        <v>572</v>
      </c>
      <c r="C382" s="32">
        <v>2.2499999999999999E-2</v>
      </c>
      <c r="D382" s="1">
        <v>15000</v>
      </c>
      <c r="E382" s="1"/>
      <c r="F382" s="1">
        <v>167.15</v>
      </c>
      <c r="G382" s="1">
        <v>15000</v>
      </c>
      <c r="H382" s="5">
        <f t="shared" si="5"/>
        <v>0</v>
      </c>
      <c r="I382" s="1"/>
      <c r="J382" s="1"/>
    </row>
    <row r="383" spans="1:10" s="345" customFormat="1" x14ac:dyDescent="0.2">
      <c r="A383" s="32"/>
      <c r="B383" s="1" t="s">
        <v>572</v>
      </c>
      <c r="C383" s="32">
        <v>6888</v>
      </c>
      <c r="D383" s="1">
        <v>15000</v>
      </c>
      <c r="E383" s="1"/>
      <c r="F383" s="1">
        <v>167.15</v>
      </c>
      <c r="G383" s="1">
        <v>15000</v>
      </c>
      <c r="H383" s="5">
        <f t="shared" si="5"/>
        <v>0</v>
      </c>
      <c r="I383" s="1"/>
      <c r="J383" s="1"/>
    </row>
    <row r="384" spans="1:10" s="345" customFormat="1" x14ac:dyDescent="0.2">
      <c r="A384" s="32"/>
      <c r="B384" s="1" t="s">
        <v>572</v>
      </c>
      <c r="C384" s="32">
        <v>8593</v>
      </c>
      <c r="D384" s="1">
        <v>15000</v>
      </c>
      <c r="E384" s="1"/>
      <c r="F384" s="1">
        <v>167.15</v>
      </c>
      <c r="G384" s="1">
        <v>15000</v>
      </c>
      <c r="H384" s="5">
        <f t="shared" si="5"/>
        <v>0</v>
      </c>
      <c r="I384" s="1"/>
      <c r="J384" s="1"/>
    </row>
    <row r="385" spans="1:10" s="345" customFormat="1" x14ac:dyDescent="0.2">
      <c r="A385" s="32"/>
      <c r="B385" s="1" t="s">
        <v>572</v>
      </c>
      <c r="C385" s="32">
        <v>4381</v>
      </c>
      <c r="D385" s="1">
        <v>15000</v>
      </c>
      <c r="E385" s="1"/>
      <c r="F385" s="1">
        <v>167.15</v>
      </c>
      <c r="G385" s="1">
        <v>15000</v>
      </c>
      <c r="H385" s="5">
        <f t="shared" si="5"/>
        <v>0</v>
      </c>
      <c r="I385" s="1"/>
      <c r="J385" s="1"/>
    </row>
    <row r="386" spans="1:10" s="345" customFormat="1" x14ac:dyDescent="0.2">
      <c r="A386" s="32"/>
      <c r="B386" s="1" t="s">
        <v>572</v>
      </c>
      <c r="C386" s="32">
        <v>9903</v>
      </c>
      <c r="D386" s="1">
        <v>15000</v>
      </c>
      <c r="E386" s="1"/>
      <c r="F386" s="1">
        <v>167.15</v>
      </c>
      <c r="G386" s="1">
        <v>15000</v>
      </c>
      <c r="H386" s="5">
        <f t="shared" si="5"/>
        <v>0</v>
      </c>
      <c r="I386" s="1"/>
      <c r="J386" s="1"/>
    </row>
    <row r="387" spans="1:10" s="345" customFormat="1" x14ac:dyDescent="0.2">
      <c r="A387" s="32"/>
      <c r="B387" s="1" t="s">
        <v>572</v>
      </c>
      <c r="C387" s="32">
        <v>3433</v>
      </c>
      <c r="D387" s="1">
        <v>26800</v>
      </c>
      <c r="E387" s="1"/>
      <c r="F387" s="1">
        <v>298.85000000000002</v>
      </c>
      <c r="G387" s="1">
        <v>26800</v>
      </c>
      <c r="H387" s="5">
        <f t="shared" si="5"/>
        <v>0</v>
      </c>
      <c r="I387" s="1"/>
      <c r="J387" s="1"/>
    </row>
    <row r="388" spans="1:10" s="345" customFormat="1" x14ac:dyDescent="0.2">
      <c r="A388" s="32"/>
      <c r="B388" s="1" t="s">
        <v>572</v>
      </c>
      <c r="C388" s="32">
        <v>5953</v>
      </c>
      <c r="D388" s="1">
        <v>12000</v>
      </c>
      <c r="E388" s="1"/>
      <c r="F388" s="1">
        <v>133.35</v>
      </c>
      <c r="G388" s="1">
        <v>12000</v>
      </c>
      <c r="H388" s="5">
        <f t="shared" si="5"/>
        <v>0</v>
      </c>
      <c r="I388" s="1"/>
      <c r="J388" s="1"/>
    </row>
    <row r="389" spans="1:10" s="345" customFormat="1" x14ac:dyDescent="0.2">
      <c r="A389" s="32"/>
      <c r="B389" s="1" t="s">
        <v>572</v>
      </c>
      <c r="C389" s="32">
        <v>8311</v>
      </c>
      <c r="D389" s="1">
        <v>24000</v>
      </c>
      <c r="E389" s="1"/>
      <c r="F389" s="1">
        <v>262.64</v>
      </c>
      <c r="G389" s="1">
        <v>24000</v>
      </c>
      <c r="H389" s="5">
        <f t="shared" si="5"/>
        <v>0</v>
      </c>
      <c r="I389" s="1"/>
      <c r="J389" s="1"/>
    </row>
    <row r="390" spans="1:10" s="345" customFormat="1" x14ac:dyDescent="0.2">
      <c r="A390" s="32"/>
      <c r="B390" s="1" t="s">
        <v>572</v>
      </c>
      <c r="C390" s="32">
        <v>6311</v>
      </c>
      <c r="D390" s="1">
        <v>21000</v>
      </c>
      <c r="E390" s="1"/>
      <c r="F390" s="1">
        <v>233.63</v>
      </c>
      <c r="G390" s="1">
        <v>21000</v>
      </c>
      <c r="H390" s="5">
        <f t="shared" si="5"/>
        <v>0</v>
      </c>
      <c r="I390" s="1"/>
      <c r="J390" s="1"/>
    </row>
    <row r="391" spans="1:10" s="345" customFormat="1" x14ac:dyDescent="0.2">
      <c r="A391" s="32"/>
      <c r="B391" s="1" t="s">
        <v>572</v>
      </c>
      <c r="C391" s="32">
        <v>3799</v>
      </c>
      <c r="D391" s="1">
        <v>21000</v>
      </c>
      <c r="E391" s="1"/>
      <c r="F391" s="1">
        <v>233.63</v>
      </c>
      <c r="G391" s="1">
        <v>21000</v>
      </c>
      <c r="H391" s="5">
        <f t="shared" ref="H391:H454" si="6">D391-G391</f>
        <v>0</v>
      </c>
      <c r="I391" s="1"/>
      <c r="J391" s="1"/>
    </row>
    <row r="392" spans="1:10" s="345" customFormat="1" x14ac:dyDescent="0.2">
      <c r="A392" s="32"/>
      <c r="B392" s="1" t="s">
        <v>573</v>
      </c>
      <c r="C392" s="32">
        <v>4514</v>
      </c>
      <c r="D392" s="1">
        <v>16000</v>
      </c>
      <c r="E392" s="1"/>
      <c r="F392" s="1">
        <v>178.22</v>
      </c>
      <c r="G392" s="1">
        <v>16000</v>
      </c>
      <c r="H392" s="5">
        <f t="shared" si="6"/>
        <v>0</v>
      </c>
      <c r="I392" s="1"/>
      <c r="J392" s="1"/>
    </row>
    <row r="393" spans="1:10" s="345" customFormat="1" x14ac:dyDescent="0.2">
      <c r="A393" s="32"/>
      <c r="B393" s="1" t="s">
        <v>573</v>
      </c>
      <c r="C393" s="32">
        <v>9230</v>
      </c>
      <c r="D393" s="1">
        <v>16000</v>
      </c>
      <c r="E393" s="1"/>
      <c r="F393" s="1">
        <v>178.22</v>
      </c>
      <c r="G393" s="1">
        <v>16000</v>
      </c>
      <c r="H393" s="5">
        <f t="shared" si="6"/>
        <v>0</v>
      </c>
      <c r="I393" s="1"/>
      <c r="J393" s="1"/>
    </row>
    <row r="394" spans="1:10" s="345" customFormat="1" x14ac:dyDescent="0.2">
      <c r="A394" s="32"/>
      <c r="B394" s="1" t="s">
        <v>573</v>
      </c>
      <c r="C394" s="32">
        <v>6573</v>
      </c>
      <c r="D394" s="1">
        <v>16000</v>
      </c>
      <c r="E394" s="1"/>
      <c r="F394" s="1">
        <v>178.22</v>
      </c>
      <c r="G394" s="1">
        <v>16000</v>
      </c>
      <c r="H394" s="5">
        <f t="shared" si="6"/>
        <v>0</v>
      </c>
      <c r="I394" s="1"/>
      <c r="J394" s="1"/>
    </row>
    <row r="395" spans="1:10" s="345" customFormat="1" x14ac:dyDescent="0.2">
      <c r="A395" s="32"/>
      <c r="B395" s="1" t="s">
        <v>573</v>
      </c>
      <c r="C395" s="32">
        <v>6659</v>
      </c>
      <c r="D395" s="1">
        <v>16000</v>
      </c>
      <c r="E395" s="1"/>
      <c r="F395" s="1">
        <v>178.22</v>
      </c>
      <c r="G395" s="1">
        <v>16000</v>
      </c>
      <c r="H395" s="5">
        <f t="shared" si="6"/>
        <v>0</v>
      </c>
      <c r="I395" s="1"/>
      <c r="J395" s="1"/>
    </row>
    <row r="396" spans="1:10" s="345" customFormat="1" x14ac:dyDescent="0.2">
      <c r="A396" s="32"/>
      <c r="B396" s="1" t="s">
        <v>573</v>
      </c>
      <c r="C396" s="32">
        <v>1738</v>
      </c>
      <c r="D396" s="1">
        <v>16000</v>
      </c>
      <c r="E396" s="1"/>
      <c r="F396" s="1">
        <v>178.22</v>
      </c>
      <c r="G396" s="1">
        <v>16000</v>
      </c>
      <c r="H396" s="5">
        <f t="shared" si="6"/>
        <v>0</v>
      </c>
      <c r="I396" s="1"/>
      <c r="J396" s="1"/>
    </row>
    <row r="397" spans="1:10" s="345" customFormat="1" x14ac:dyDescent="0.2">
      <c r="A397" s="32"/>
      <c r="B397" s="1" t="s">
        <v>573</v>
      </c>
      <c r="C397" s="32">
        <v>4858</v>
      </c>
      <c r="D397" s="1">
        <v>15000</v>
      </c>
      <c r="E397" s="1"/>
      <c r="F397" s="1">
        <v>167.15</v>
      </c>
      <c r="G397" s="1">
        <v>15000</v>
      </c>
      <c r="H397" s="5">
        <f t="shared" si="6"/>
        <v>0</v>
      </c>
      <c r="I397" s="1"/>
      <c r="J397" s="1"/>
    </row>
    <row r="398" spans="1:10" s="345" customFormat="1" x14ac:dyDescent="0.2">
      <c r="A398" s="32"/>
      <c r="B398" s="1" t="s">
        <v>573</v>
      </c>
      <c r="C398" s="32">
        <v>1223</v>
      </c>
      <c r="D398" s="1">
        <v>15000</v>
      </c>
      <c r="E398" s="1"/>
      <c r="F398" s="1">
        <v>167.15</v>
      </c>
      <c r="G398" s="1">
        <v>15000</v>
      </c>
      <c r="H398" s="5">
        <f t="shared" si="6"/>
        <v>0</v>
      </c>
      <c r="I398" s="1"/>
      <c r="J398" s="1"/>
    </row>
    <row r="399" spans="1:10" s="345" customFormat="1" x14ac:dyDescent="0.2">
      <c r="A399" s="32"/>
      <c r="B399" s="1" t="s">
        <v>573</v>
      </c>
      <c r="C399" s="32">
        <v>9824</v>
      </c>
      <c r="D399" s="1">
        <v>17000</v>
      </c>
      <c r="E399" s="1"/>
      <c r="F399" s="1">
        <v>189.27</v>
      </c>
      <c r="G399" s="1">
        <v>17000</v>
      </c>
      <c r="H399" s="5">
        <f t="shared" si="6"/>
        <v>0</v>
      </c>
      <c r="I399" s="1"/>
      <c r="J399" s="1"/>
    </row>
    <row r="400" spans="1:10" s="345" customFormat="1" x14ac:dyDescent="0.2">
      <c r="A400" s="32"/>
      <c r="B400" s="1" t="s">
        <v>573</v>
      </c>
      <c r="C400" s="32">
        <v>9825</v>
      </c>
      <c r="D400" s="1">
        <v>17000</v>
      </c>
      <c r="E400" s="1"/>
      <c r="F400" s="1">
        <v>189.27</v>
      </c>
      <c r="G400" s="1">
        <v>17000</v>
      </c>
      <c r="H400" s="5">
        <f t="shared" si="6"/>
        <v>0</v>
      </c>
      <c r="I400" s="1"/>
      <c r="J400" s="1"/>
    </row>
    <row r="401" spans="1:10" s="345" customFormat="1" x14ac:dyDescent="0.2">
      <c r="A401" s="32"/>
      <c r="B401" s="1" t="s">
        <v>573</v>
      </c>
      <c r="C401" s="32">
        <v>2774</v>
      </c>
      <c r="D401" s="1">
        <v>14000</v>
      </c>
      <c r="E401" s="1"/>
      <c r="F401" s="1">
        <v>155.65</v>
      </c>
      <c r="G401" s="1">
        <v>14000</v>
      </c>
      <c r="H401" s="5">
        <f t="shared" si="6"/>
        <v>0</v>
      </c>
      <c r="I401" s="1"/>
      <c r="J401" s="1"/>
    </row>
    <row r="402" spans="1:10" s="345" customFormat="1" x14ac:dyDescent="0.2">
      <c r="A402" s="32"/>
      <c r="B402" s="1" t="s">
        <v>573</v>
      </c>
      <c r="C402" s="32">
        <v>5808</v>
      </c>
      <c r="D402" s="1">
        <v>10000</v>
      </c>
      <c r="E402" s="1"/>
      <c r="F402" s="1">
        <v>111.41</v>
      </c>
      <c r="G402" s="1">
        <v>10000</v>
      </c>
      <c r="H402" s="5">
        <f t="shared" si="6"/>
        <v>0</v>
      </c>
      <c r="I402" s="1"/>
      <c r="J402" s="1"/>
    </row>
    <row r="403" spans="1:10" s="345" customFormat="1" x14ac:dyDescent="0.2">
      <c r="A403" s="32"/>
      <c r="B403" s="1" t="s">
        <v>573</v>
      </c>
      <c r="C403" s="32">
        <v>4848</v>
      </c>
      <c r="D403" s="1">
        <v>20000</v>
      </c>
      <c r="E403" s="1"/>
      <c r="F403" s="1">
        <v>222.82</v>
      </c>
      <c r="G403" s="1">
        <v>20000</v>
      </c>
      <c r="H403" s="5">
        <f t="shared" si="6"/>
        <v>0</v>
      </c>
      <c r="I403" s="1"/>
      <c r="J403" s="1"/>
    </row>
    <row r="404" spans="1:10" s="345" customFormat="1" x14ac:dyDescent="0.2">
      <c r="A404" s="32"/>
      <c r="B404" s="1" t="s">
        <v>573</v>
      </c>
      <c r="C404" s="32">
        <v>1796</v>
      </c>
      <c r="D404" s="1">
        <v>30000</v>
      </c>
      <c r="E404" s="1"/>
      <c r="F404" s="1">
        <v>317.52999999999997</v>
      </c>
      <c r="G404" s="1">
        <v>30000</v>
      </c>
      <c r="H404" s="5">
        <f t="shared" si="6"/>
        <v>0</v>
      </c>
      <c r="I404" s="1"/>
      <c r="J404" s="1"/>
    </row>
    <row r="405" spans="1:10" s="345" customFormat="1" x14ac:dyDescent="0.2">
      <c r="A405" s="32"/>
      <c r="B405" s="1" t="s">
        <v>573</v>
      </c>
      <c r="C405" s="32">
        <v>6368</v>
      </c>
      <c r="D405" s="1">
        <v>40000</v>
      </c>
      <c r="E405" s="1"/>
      <c r="F405" s="1">
        <v>384.98</v>
      </c>
      <c r="G405" s="1">
        <v>40000</v>
      </c>
      <c r="H405" s="5">
        <f t="shared" si="6"/>
        <v>0</v>
      </c>
      <c r="I405" s="1"/>
      <c r="J405" s="1"/>
    </row>
    <row r="406" spans="1:10" s="345" customFormat="1" x14ac:dyDescent="0.2">
      <c r="A406" s="32"/>
      <c r="B406" s="1" t="s">
        <v>573</v>
      </c>
      <c r="C406" s="32">
        <v>2092</v>
      </c>
      <c r="D406" s="1">
        <v>27000</v>
      </c>
      <c r="E406" s="1"/>
      <c r="F406" s="1">
        <v>300.95999999999998</v>
      </c>
      <c r="G406" s="1">
        <v>27000</v>
      </c>
      <c r="H406" s="5">
        <f t="shared" si="6"/>
        <v>0</v>
      </c>
      <c r="I406" s="1"/>
      <c r="J406" s="1"/>
    </row>
    <row r="407" spans="1:10" s="345" customFormat="1" x14ac:dyDescent="0.2">
      <c r="A407" s="32"/>
      <c r="B407" s="1" t="s">
        <v>573</v>
      </c>
      <c r="C407" s="32">
        <v>2122</v>
      </c>
      <c r="D407" s="1">
        <v>24000</v>
      </c>
      <c r="E407" s="1"/>
      <c r="F407" s="1">
        <v>267.85000000000002</v>
      </c>
      <c r="G407" s="1">
        <v>24000</v>
      </c>
      <c r="H407" s="5">
        <f t="shared" si="6"/>
        <v>0</v>
      </c>
      <c r="I407" s="1"/>
      <c r="J407" s="1"/>
    </row>
    <row r="408" spans="1:10" s="345" customFormat="1" x14ac:dyDescent="0.2">
      <c r="A408" s="32"/>
      <c r="B408" s="1" t="s">
        <v>573</v>
      </c>
      <c r="C408" s="32">
        <v>4083</v>
      </c>
      <c r="D408" s="1">
        <v>25000</v>
      </c>
      <c r="E408" s="1"/>
      <c r="F408" s="1">
        <v>278.22000000000003</v>
      </c>
      <c r="G408" s="1">
        <v>25000</v>
      </c>
      <c r="H408" s="5">
        <f t="shared" si="6"/>
        <v>0</v>
      </c>
      <c r="I408" s="1"/>
      <c r="J408" s="1"/>
    </row>
    <row r="409" spans="1:10" s="345" customFormat="1" x14ac:dyDescent="0.2">
      <c r="A409" s="32"/>
      <c r="B409" s="1" t="s">
        <v>573</v>
      </c>
      <c r="C409" s="32">
        <v>3558</v>
      </c>
      <c r="D409" s="1">
        <v>32000</v>
      </c>
      <c r="E409" s="1"/>
      <c r="F409" s="1">
        <v>356.87</v>
      </c>
      <c r="G409" s="1">
        <v>32000</v>
      </c>
      <c r="H409" s="5">
        <f t="shared" si="6"/>
        <v>0</v>
      </c>
      <c r="I409" s="1"/>
      <c r="J409" s="1"/>
    </row>
    <row r="410" spans="1:10" s="345" customFormat="1" x14ac:dyDescent="0.2">
      <c r="A410" s="32"/>
      <c r="B410" s="1" t="s">
        <v>574</v>
      </c>
      <c r="C410" s="32">
        <v>2809</v>
      </c>
      <c r="D410" s="1">
        <v>16000</v>
      </c>
      <c r="E410" s="1"/>
      <c r="F410" s="1">
        <v>178.22</v>
      </c>
      <c r="G410" s="1">
        <v>16000</v>
      </c>
      <c r="H410" s="5">
        <f t="shared" si="6"/>
        <v>0</v>
      </c>
      <c r="I410" s="1"/>
      <c r="J410" s="1"/>
    </row>
    <row r="411" spans="1:10" s="345" customFormat="1" x14ac:dyDescent="0.2">
      <c r="A411" s="32"/>
      <c r="B411" s="1" t="s">
        <v>574</v>
      </c>
      <c r="C411" s="32">
        <v>6957</v>
      </c>
      <c r="D411" s="1">
        <v>16000</v>
      </c>
      <c r="E411" s="1"/>
      <c r="F411" s="1">
        <v>178.22</v>
      </c>
      <c r="G411" s="1">
        <v>16000</v>
      </c>
      <c r="H411" s="5">
        <f t="shared" si="6"/>
        <v>0</v>
      </c>
      <c r="I411" s="1"/>
      <c r="J411" s="1"/>
    </row>
    <row r="412" spans="1:10" s="345" customFormat="1" x14ac:dyDescent="0.2">
      <c r="A412" s="32"/>
      <c r="B412" s="1" t="s">
        <v>574</v>
      </c>
      <c r="C412" s="32">
        <v>4059</v>
      </c>
      <c r="D412" s="1">
        <v>16000</v>
      </c>
      <c r="E412" s="1"/>
      <c r="F412" s="1">
        <v>178.22</v>
      </c>
      <c r="G412" s="1">
        <v>16000</v>
      </c>
      <c r="H412" s="5">
        <f t="shared" si="6"/>
        <v>0</v>
      </c>
      <c r="I412" s="1"/>
      <c r="J412" s="1"/>
    </row>
    <row r="413" spans="1:10" s="345" customFormat="1" x14ac:dyDescent="0.2">
      <c r="A413" s="32"/>
      <c r="B413" s="1" t="s">
        <v>574</v>
      </c>
      <c r="C413" s="32">
        <v>4513</v>
      </c>
      <c r="D413" s="1">
        <v>16000</v>
      </c>
      <c r="E413" s="1"/>
      <c r="F413" s="1">
        <v>178.22</v>
      </c>
      <c r="G413" s="1">
        <v>16000</v>
      </c>
      <c r="H413" s="5">
        <f t="shared" si="6"/>
        <v>0</v>
      </c>
      <c r="I413" s="1"/>
      <c r="J413" s="1"/>
    </row>
    <row r="414" spans="1:10" s="345" customFormat="1" x14ac:dyDescent="0.2">
      <c r="A414" s="32"/>
      <c r="B414" s="1" t="s">
        <v>574</v>
      </c>
      <c r="C414" s="32">
        <v>4058</v>
      </c>
      <c r="D414" s="1">
        <v>16000</v>
      </c>
      <c r="E414" s="1"/>
      <c r="F414" s="1">
        <v>178.22</v>
      </c>
      <c r="G414" s="1">
        <v>16000</v>
      </c>
      <c r="H414" s="5">
        <f t="shared" si="6"/>
        <v>0</v>
      </c>
      <c r="I414" s="1"/>
      <c r="J414" s="1"/>
    </row>
    <row r="415" spans="1:10" s="345" customFormat="1" x14ac:dyDescent="0.2">
      <c r="A415" s="32"/>
      <c r="B415" s="1" t="s">
        <v>574</v>
      </c>
      <c r="C415" s="32">
        <v>5252</v>
      </c>
      <c r="D415" s="1">
        <v>17000</v>
      </c>
      <c r="E415" s="1"/>
      <c r="F415" s="1">
        <v>189.75</v>
      </c>
      <c r="G415" s="1">
        <v>17000</v>
      </c>
      <c r="H415" s="5">
        <f t="shared" si="6"/>
        <v>0</v>
      </c>
      <c r="I415" s="1"/>
      <c r="J415" s="1"/>
    </row>
    <row r="416" spans="1:10" s="345" customFormat="1" x14ac:dyDescent="0.2">
      <c r="A416" s="32"/>
      <c r="B416" s="1" t="s">
        <v>574</v>
      </c>
      <c r="C416" s="32">
        <v>5151</v>
      </c>
      <c r="D416" s="1">
        <v>17000</v>
      </c>
      <c r="E416" s="1"/>
      <c r="F416" s="1">
        <v>189.75</v>
      </c>
      <c r="G416" s="1">
        <v>17000</v>
      </c>
      <c r="H416" s="5">
        <f t="shared" si="6"/>
        <v>0</v>
      </c>
      <c r="I416" s="1"/>
      <c r="J416" s="1"/>
    </row>
    <row r="417" spans="1:10" s="345" customFormat="1" x14ac:dyDescent="0.2">
      <c r="A417" s="32"/>
      <c r="B417" s="1" t="s">
        <v>574</v>
      </c>
      <c r="C417" s="32">
        <v>5.1000000000000004E-3</v>
      </c>
      <c r="D417" s="1">
        <v>17000</v>
      </c>
      <c r="E417" s="1"/>
      <c r="F417" s="1">
        <v>189.75</v>
      </c>
      <c r="G417" s="1">
        <v>17000</v>
      </c>
      <c r="H417" s="5">
        <f t="shared" si="6"/>
        <v>0</v>
      </c>
      <c r="I417" s="1"/>
      <c r="J417" s="1"/>
    </row>
    <row r="418" spans="1:10" s="345" customFormat="1" x14ac:dyDescent="0.2">
      <c r="A418" s="32"/>
      <c r="B418" s="1" t="s">
        <v>574</v>
      </c>
      <c r="C418" s="32">
        <v>5250</v>
      </c>
      <c r="D418" s="1">
        <v>17000</v>
      </c>
      <c r="E418" s="1"/>
      <c r="F418" s="1">
        <v>189.75</v>
      </c>
      <c r="G418" s="1">
        <v>17000</v>
      </c>
      <c r="H418" s="5">
        <f t="shared" si="6"/>
        <v>0</v>
      </c>
      <c r="I418" s="1"/>
      <c r="J418" s="1"/>
    </row>
    <row r="419" spans="1:10" s="345" customFormat="1" x14ac:dyDescent="0.2">
      <c r="A419" s="32"/>
      <c r="B419" s="1" t="s">
        <v>574</v>
      </c>
      <c r="C419" s="32" t="s">
        <v>30</v>
      </c>
      <c r="D419" s="1">
        <v>4500</v>
      </c>
      <c r="E419" s="1"/>
      <c r="F419" s="1">
        <v>50.45</v>
      </c>
      <c r="G419" s="1">
        <v>4500</v>
      </c>
      <c r="H419" s="5">
        <f t="shared" si="6"/>
        <v>0</v>
      </c>
      <c r="I419" s="1"/>
      <c r="J419" s="1"/>
    </row>
    <row r="420" spans="1:10" s="345" customFormat="1" x14ac:dyDescent="0.2">
      <c r="A420" s="32"/>
      <c r="B420" s="1" t="s">
        <v>574</v>
      </c>
      <c r="C420" s="32" t="s">
        <v>30</v>
      </c>
      <c r="D420" s="1">
        <v>5000</v>
      </c>
      <c r="E420" s="1"/>
      <c r="F420" s="1">
        <v>55.65</v>
      </c>
      <c r="G420" s="1">
        <v>5000</v>
      </c>
      <c r="H420" s="5">
        <f t="shared" si="6"/>
        <v>0</v>
      </c>
      <c r="I420" s="1"/>
      <c r="J420" s="1"/>
    </row>
    <row r="421" spans="1:10" s="345" customFormat="1" x14ac:dyDescent="0.2">
      <c r="A421" s="32"/>
      <c r="B421" s="1" t="s">
        <v>574</v>
      </c>
      <c r="C421" s="32" t="s">
        <v>63</v>
      </c>
      <c r="D421" s="1">
        <v>2500</v>
      </c>
      <c r="E421" s="1"/>
      <c r="F421" s="1">
        <v>27.85</v>
      </c>
      <c r="G421" s="1">
        <v>2500</v>
      </c>
      <c r="H421" s="5">
        <f t="shared" si="6"/>
        <v>0</v>
      </c>
      <c r="I421" s="1"/>
      <c r="J421" s="1"/>
    </row>
    <row r="422" spans="1:10" s="345" customFormat="1" x14ac:dyDescent="0.2">
      <c r="A422" s="32"/>
      <c r="B422" s="1" t="s">
        <v>574</v>
      </c>
      <c r="C422" s="32" t="s">
        <v>66</v>
      </c>
      <c r="D422" s="1">
        <v>210</v>
      </c>
      <c r="E422" s="1"/>
      <c r="F422" s="1">
        <v>2.08</v>
      </c>
      <c r="G422" s="1">
        <v>210</v>
      </c>
      <c r="H422" s="5">
        <f t="shared" si="6"/>
        <v>0</v>
      </c>
      <c r="I422" s="1"/>
      <c r="J422" s="1"/>
    </row>
    <row r="423" spans="1:10" s="345" customFormat="1" x14ac:dyDescent="0.2">
      <c r="A423" s="32"/>
      <c r="B423" s="1" t="s">
        <v>574</v>
      </c>
      <c r="C423" s="32">
        <v>2289</v>
      </c>
      <c r="D423" s="1">
        <v>20000</v>
      </c>
      <c r="E423" s="1"/>
      <c r="F423" s="1">
        <v>222.82</v>
      </c>
      <c r="G423" s="1">
        <v>20000</v>
      </c>
      <c r="H423" s="5">
        <f t="shared" si="6"/>
        <v>0</v>
      </c>
      <c r="I423" s="1"/>
      <c r="J423" s="1"/>
    </row>
    <row r="424" spans="1:10" s="345" customFormat="1" x14ac:dyDescent="0.2">
      <c r="A424" s="32"/>
      <c r="B424" s="1" t="s">
        <v>574</v>
      </c>
      <c r="C424" s="32">
        <v>9602</v>
      </c>
      <c r="D424" s="1">
        <v>15000</v>
      </c>
      <c r="E424" s="1"/>
      <c r="F424" s="1">
        <v>167.15</v>
      </c>
      <c r="G424" s="1">
        <v>15000</v>
      </c>
      <c r="H424" s="5">
        <f t="shared" si="6"/>
        <v>0</v>
      </c>
      <c r="I424" s="1"/>
      <c r="J424" s="1"/>
    </row>
    <row r="425" spans="1:10" s="345" customFormat="1" x14ac:dyDescent="0.2">
      <c r="A425" s="32"/>
      <c r="B425" s="1" t="s">
        <v>574</v>
      </c>
      <c r="C425" s="32">
        <v>4699</v>
      </c>
      <c r="D425" s="1">
        <v>23000</v>
      </c>
      <c r="E425" s="1"/>
      <c r="F425" s="1">
        <v>256.97000000000003</v>
      </c>
      <c r="G425" s="1">
        <v>23000</v>
      </c>
      <c r="H425" s="5">
        <f t="shared" si="6"/>
        <v>0</v>
      </c>
      <c r="I425" s="1"/>
      <c r="J425" s="1"/>
    </row>
    <row r="426" spans="1:10" s="345" customFormat="1" x14ac:dyDescent="0.2">
      <c r="A426" s="32"/>
      <c r="B426" s="1" t="s">
        <v>574</v>
      </c>
      <c r="C426" s="32">
        <v>4.4699999999999997E-2</v>
      </c>
      <c r="D426" s="1">
        <v>22000</v>
      </c>
      <c r="E426" s="1"/>
      <c r="F426" s="1">
        <v>245.52</v>
      </c>
      <c r="G426" s="1">
        <v>22000</v>
      </c>
      <c r="H426" s="5">
        <f t="shared" si="6"/>
        <v>0</v>
      </c>
      <c r="I426" s="1"/>
      <c r="J426" s="1"/>
    </row>
    <row r="427" spans="1:10" s="345" customFormat="1" x14ac:dyDescent="0.2">
      <c r="A427" s="32"/>
      <c r="B427" s="1" t="s">
        <v>574</v>
      </c>
      <c r="C427" s="32">
        <v>1260</v>
      </c>
      <c r="D427" s="1">
        <v>25000</v>
      </c>
      <c r="E427" s="1"/>
      <c r="F427" s="1">
        <v>278.22000000000003</v>
      </c>
      <c r="G427" s="1">
        <v>25000</v>
      </c>
      <c r="H427" s="5">
        <f t="shared" si="6"/>
        <v>0</v>
      </c>
      <c r="I427" s="1"/>
      <c r="J427" s="1"/>
    </row>
    <row r="428" spans="1:10" s="345" customFormat="1" x14ac:dyDescent="0.2">
      <c r="A428" s="32"/>
      <c r="B428" s="1" t="s">
        <v>574</v>
      </c>
      <c r="C428" s="32">
        <v>4915</v>
      </c>
      <c r="D428" s="1">
        <v>15000</v>
      </c>
      <c r="E428" s="1"/>
      <c r="F428" s="1">
        <v>167.15</v>
      </c>
      <c r="G428" s="1">
        <v>15000</v>
      </c>
      <c r="H428" s="5">
        <f t="shared" si="6"/>
        <v>0</v>
      </c>
      <c r="I428" s="1"/>
      <c r="J428" s="1"/>
    </row>
    <row r="429" spans="1:10" s="345" customFormat="1" x14ac:dyDescent="0.2">
      <c r="A429" s="32"/>
      <c r="B429" s="1" t="s">
        <v>574</v>
      </c>
      <c r="C429" s="32">
        <v>5110</v>
      </c>
      <c r="D429" s="1">
        <v>28000</v>
      </c>
      <c r="E429" s="1"/>
      <c r="F429" s="1">
        <v>298.64</v>
      </c>
      <c r="G429" s="1">
        <v>28000</v>
      </c>
      <c r="H429" s="5">
        <f t="shared" si="6"/>
        <v>0</v>
      </c>
      <c r="I429" s="1"/>
      <c r="J429" s="1"/>
    </row>
    <row r="430" spans="1:10" s="345" customFormat="1" x14ac:dyDescent="0.2">
      <c r="A430" s="32"/>
      <c r="B430" s="1" t="s">
        <v>576</v>
      </c>
      <c r="C430" s="32">
        <v>6957</v>
      </c>
      <c r="D430" s="1">
        <v>16000</v>
      </c>
      <c r="E430" s="1"/>
      <c r="F430" s="1">
        <v>178.22</v>
      </c>
      <c r="G430" s="1">
        <v>16000</v>
      </c>
      <c r="H430" s="5">
        <f t="shared" si="6"/>
        <v>0</v>
      </c>
      <c r="I430" s="1"/>
      <c r="J430" s="1"/>
    </row>
    <row r="431" spans="1:10" s="345" customFormat="1" x14ac:dyDescent="0.2">
      <c r="A431" s="32"/>
      <c r="B431" s="1" t="s">
        <v>576</v>
      </c>
      <c r="C431" s="32">
        <v>1738</v>
      </c>
      <c r="D431" s="1">
        <v>16000</v>
      </c>
      <c r="E431" s="1"/>
      <c r="F431" s="1">
        <v>178.22</v>
      </c>
      <c r="G431" s="1">
        <v>16000</v>
      </c>
      <c r="H431" s="5">
        <f t="shared" si="6"/>
        <v>0</v>
      </c>
      <c r="I431" s="1"/>
      <c r="J431" s="1"/>
    </row>
    <row r="432" spans="1:10" s="345" customFormat="1" x14ac:dyDescent="0.2">
      <c r="A432" s="32"/>
      <c r="B432" s="1" t="s">
        <v>576</v>
      </c>
      <c r="C432" s="32">
        <v>6659</v>
      </c>
      <c r="D432" s="1">
        <v>16000</v>
      </c>
      <c r="E432" s="1"/>
      <c r="F432" s="1">
        <v>178.22</v>
      </c>
      <c r="G432" s="1">
        <v>16000</v>
      </c>
      <c r="H432" s="5">
        <f t="shared" si="6"/>
        <v>0</v>
      </c>
      <c r="I432" s="1"/>
      <c r="J432" s="1"/>
    </row>
    <row r="433" spans="1:10" s="345" customFormat="1" x14ac:dyDescent="0.2">
      <c r="A433" s="32"/>
      <c r="B433" s="1" t="s">
        <v>576</v>
      </c>
      <c r="C433" s="32">
        <v>6573</v>
      </c>
      <c r="D433" s="1">
        <v>16000</v>
      </c>
      <c r="E433" s="1"/>
      <c r="F433" s="1">
        <v>178.22</v>
      </c>
      <c r="G433" s="1">
        <v>16000</v>
      </c>
      <c r="H433" s="5">
        <f t="shared" si="6"/>
        <v>0</v>
      </c>
      <c r="I433" s="1"/>
      <c r="J433" s="1"/>
    </row>
    <row r="434" spans="1:10" s="345" customFormat="1" x14ac:dyDescent="0.2">
      <c r="A434" s="32"/>
      <c r="B434" s="1" t="s">
        <v>576</v>
      </c>
      <c r="C434" s="32">
        <v>9977</v>
      </c>
      <c r="D434" s="1">
        <v>15000</v>
      </c>
      <c r="E434" s="1"/>
      <c r="F434" s="1">
        <v>167.15</v>
      </c>
      <c r="G434" s="1">
        <v>15000</v>
      </c>
      <c r="H434" s="5">
        <f t="shared" si="6"/>
        <v>0</v>
      </c>
      <c r="I434" s="1"/>
      <c r="J434" s="1"/>
    </row>
    <row r="435" spans="1:10" s="345" customFormat="1" x14ac:dyDescent="0.2">
      <c r="A435" s="32"/>
      <c r="B435" s="1" t="s">
        <v>576</v>
      </c>
      <c r="C435" s="32">
        <v>5.2200000000000003E-2</v>
      </c>
      <c r="D435" s="1">
        <v>25000</v>
      </c>
      <c r="E435" s="1"/>
      <c r="F435" s="1">
        <v>278.22000000000003</v>
      </c>
      <c r="G435" s="1">
        <v>25000</v>
      </c>
      <c r="H435" s="5">
        <f t="shared" si="6"/>
        <v>0</v>
      </c>
      <c r="I435" s="1"/>
      <c r="J435" s="1"/>
    </row>
    <row r="436" spans="1:10" s="345" customFormat="1" x14ac:dyDescent="0.2">
      <c r="A436" s="32"/>
      <c r="B436" s="1" t="s">
        <v>576</v>
      </c>
      <c r="C436" s="32">
        <v>7761</v>
      </c>
      <c r="D436" s="1">
        <v>22000</v>
      </c>
      <c r="E436" s="1"/>
      <c r="F436" s="1">
        <v>233.65</v>
      </c>
      <c r="G436" s="1">
        <v>22000</v>
      </c>
      <c r="H436" s="5">
        <f t="shared" si="6"/>
        <v>0</v>
      </c>
      <c r="I436" s="1"/>
      <c r="J436" s="1"/>
    </row>
    <row r="437" spans="1:10" s="345" customFormat="1" x14ac:dyDescent="0.2">
      <c r="A437" s="32"/>
      <c r="B437" s="1" t="s">
        <v>576</v>
      </c>
      <c r="C437" s="32">
        <v>6593</v>
      </c>
      <c r="D437" s="1">
        <v>22000</v>
      </c>
      <c r="E437" s="1"/>
      <c r="F437" s="1">
        <v>233.65</v>
      </c>
      <c r="G437" s="1">
        <v>22000</v>
      </c>
      <c r="H437" s="5">
        <f t="shared" si="6"/>
        <v>0</v>
      </c>
      <c r="I437" s="1"/>
      <c r="J437" s="1"/>
    </row>
    <row r="438" spans="1:10" s="345" customFormat="1" x14ac:dyDescent="0.2">
      <c r="A438" s="32"/>
      <c r="B438" s="1" t="s">
        <v>576</v>
      </c>
      <c r="C438" s="32">
        <v>4331</v>
      </c>
      <c r="D438" s="1">
        <v>20000</v>
      </c>
      <c r="E438" s="1"/>
      <c r="F438" s="1">
        <v>222.82</v>
      </c>
      <c r="G438" s="1">
        <v>20000</v>
      </c>
      <c r="H438" s="5">
        <f t="shared" si="6"/>
        <v>0</v>
      </c>
      <c r="I438" s="1"/>
      <c r="J438" s="1"/>
    </row>
    <row r="439" spans="1:10" s="345" customFormat="1" x14ac:dyDescent="0.2">
      <c r="A439" s="32"/>
      <c r="B439" s="1" t="s">
        <v>576</v>
      </c>
      <c r="C439" s="32" t="s">
        <v>30</v>
      </c>
      <c r="D439" s="1">
        <v>5000</v>
      </c>
      <c r="E439" s="1"/>
      <c r="F439" s="1">
        <v>55.45</v>
      </c>
      <c r="G439" s="1">
        <v>5000</v>
      </c>
      <c r="H439" s="5">
        <f t="shared" si="6"/>
        <v>0</v>
      </c>
      <c r="I439" s="1"/>
      <c r="J439" s="1"/>
    </row>
    <row r="440" spans="1:10" s="345" customFormat="1" x14ac:dyDescent="0.2">
      <c r="A440" s="32"/>
      <c r="B440" s="1" t="s">
        <v>576</v>
      </c>
      <c r="C440" s="32">
        <v>2774</v>
      </c>
      <c r="D440" s="1">
        <v>14000</v>
      </c>
      <c r="E440" s="1"/>
      <c r="F440" s="1">
        <v>155.94999999999999</v>
      </c>
      <c r="G440" s="1">
        <v>14000</v>
      </c>
      <c r="H440" s="5">
        <f t="shared" si="6"/>
        <v>0</v>
      </c>
      <c r="I440" s="1"/>
      <c r="J440" s="1"/>
    </row>
    <row r="441" spans="1:10" s="345" customFormat="1" x14ac:dyDescent="0.2">
      <c r="A441" s="32"/>
      <c r="B441" s="1" t="s">
        <v>576</v>
      </c>
      <c r="C441" s="32">
        <v>8061</v>
      </c>
      <c r="D441" s="1">
        <v>23000</v>
      </c>
      <c r="E441" s="1"/>
      <c r="F441" s="1">
        <v>256.87</v>
      </c>
      <c r="G441" s="1">
        <v>23000</v>
      </c>
      <c r="H441" s="5">
        <f t="shared" si="6"/>
        <v>0</v>
      </c>
      <c r="I441" s="1"/>
      <c r="J441" s="1"/>
    </row>
    <row r="442" spans="1:10" s="345" customFormat="1" x14ac:dyDescent="0.2">
      <c r="A442" s="32"/>
      <c r="B442" s="1" t="s">
        <v>576</v>
      </c>
      <c r="C442" s="32" t="s">
        <v>66</v>
      </c>
      <c r="D442" s="1">
        <v>210</v>
      </c>
      <c r="E442" s="1"/>
      <c r="F442" s="1">
        <v>2.08</v>
      </c>
      <c r="G442" s="1">
        <v>210</v>
      </c>
      <c r="H442" s="5">
        <f t="shared" si="6"/>
        <v>0</v>
      </c>
      <c r="I442" s="1"/>
      <c r="J442" s="1"/>
    </row>
    <row r="443" spans="1:10" s="345" customFormat="1" x14ac:dyDescent="0.2">
      <c r="A443" s="32"/>
      <c r="B443" s="1" t="s">
        <v>576</v>
      </c>
      <c r="C443" s="32">
        <v>4894</v>
      </c>
      <c r="D443" s="1">
        <v>28000</v>
      </c>
      <c r="E443" s="1"/>
      <c r="F443" s="1">
        <v>301.64</v>
      </c>
      <c r="G443" s="1">
        <v>28000</v>
      </c>
      <c r="H443" s="5">
        <f t="shared" si="6"/>
        <v>0</v>
      </c>
      <c r="I443" s="1"/>
      <c r="J443" s="1"/>
    </row>
    <row r="444" spans="1:10" s="345" customFormat="1" x14ac:dyDescent="0.2">
      <c r="A444" s="32"/>
      <c r="B444" s="1" t="s">
        <v>576</v>
      </c>
      <c r="C444" s="32">
        <v>1467</v>
      </c>
      <c r="D444" s="1">
        <v>20000</v>
      </c>
      <c r="E444" s="1"/>
      <c r="F444" s="1">
        <v>222.82</v>
      </c>
      <c r="G444" s="1">
        <v>20000</v>
      </c>
      <c r="H444" s="5">
        <f t="shared" si="6"/>
        <v>0</v>
      </c>
      <c r="I444" s="1"/>
      <c r="J444" s="1"/>
    </row>
    <row r="445" spans="1:10" s="345" customFormat="1" x14ac:dyDescent="0.2">
      <c r="A445" s="32"/>
      <c r="B445" s="1" t="s">
        <v>576</v>
      </c>
      <c r="C445" s="32">
        <v>3464</v>
      </c>
      <c r="D445" s="1">
        <v>32000</v>
      </c>
      <c r="E445" s="1"/>
      <c r="F445" s="1">
        <v>334.98</v>
      </c>
      <c r="G445" s="1">
        <v>32000</v>
      </c>
      <c r="H445" s="5">
        <f t="shared" si="6"/>
        <v>0</v>
      </c>
      <c r="I445" s="1"/>
      <c r="J445" s="1"/>
    </row>
    <row r="446" spans="1:10" s="345" customFormat="1" x14ac:dyDescent="0.2">
      <c r="A446" s="32"/>
      <c r="B446" s="1" t="s">
        <v>576</v>
      </c>
      <c r="C446" s="32">
        <v>9378</v>
      </c>
      <c r="D446" s="1">
        <v>25000</v>
      </c>
      <c r="E446" s="1"/>
      <c r="F446" s="1">
        <v>278.22000000000003</v>
      </c>
      <c r="G446" s="1">
        <v>25000</v>
      </c>
      <c r="H446" s="5">
        <f t="shared" si="6"/>
        <v>0</v>
      </c>
      <c r="I446" s="1"/>
      <c r="J446" s="1"/>
    </row>
    <row r="447" spans="1:10" s="345" customFormat="1" x14ac:dyDescent="0.2">
      <c r="A447" s="32"/>
      <c r="B447" s="1" t="s">
        <v>576</v>
      </c>
      <c r="C447" s="32">
        <v>8382</v>
      </c>
      <c r="D447" s="1">
        <v>21000</v>
      </c>
      <c r="E447" s="1"/>
      <c r="F447" s="1">
        <v>217.54</v>
      </c>
      <c r="G447" s="1">
        <v>21000</v>
      </c>
      <c r="H447" s="5">
        <f t="shared" si="6"/>
        <v>0</v>
      </c>
      <c r="I447" s="1"/>
      <c r="J447" s="1"/>
    </row>
    <row r="448" spans="1:10" s="345" customFormat="1" x14ac:dyDescent="0.2">
      <c r="A448" s="32"/>
      <c r="B448" s="1" t="s">
        <v>576</v>
      </c>
      <c r="C448" s="32">
        <v>4608</v>
      </c>
      <c r="D448" s="1">
        <v>20000</v>
      </c>
      <c r="E448" s="1"/>
      <c r="F448" s="1">
        <v>222.82</v>
      </c>
      <c r="G448" s="1">
        <v>20000</v>
      </c>
      <c r="H448" s="5">
        <f t="shared" si="6"/>
        <v>0</v>
      </c>
      <c r="I448" s="1"/>
      <c r="J448" s="1"/>
    </row>
    <row r="449" spans="1:10" s="345" customFormat="1" x14ac:dyDescent="0.2">
      <c r="A449" s="32"/>
      <c r="B449" s="1" t="s">
        <v>576</v>
      </c>
      <c r="C449" s="32">
        <v>1871</v>
      </c>
      <c r="D449" s="1">
        <v>25000</v>
      </c>
      <c r="E449" s="1"/>
      <c r="F449" s="1">
        <v>278.22000000000003</v>
      </c>
      <c r="G449" s="1">
        <v>25000</v>
      </c>
      <c r="H449" s="5">
        <f t="shared" si="6"/>
        <v>0</v>
      </c>
      <c r="I449" s="1"/>
      <c r="J449" s="1"/>
    </row>
    <row r="450" spans="1:10" s="345" customFormat="1" x14ac:dyDescent="0.2">
      <c r="A450" s="32"/>
      <c r="B450" s="1" t="s">
        <v>576</v>
      </c>
      <c r="C450" s="32">
        <v>8845</v>
      </c>
      <c r="D450" s="1">
        <v>15000</v>
      </c>
      <c r="E450" s="1"/>
      <c r="F450" s="1">
        <v>167.15</v>
      </c>
      <c r="G450" s="1">
        <v>15000</v>
      </c>
      <c r="H450" s="5">
        <f t="shared" si="6"/>
        <v>0</v>
      </c>
      <c r="I450" s="1"/>
      <c r="J450" s="1"/>
    </row>
    <row r="451" spans="1:10" s="345" customFormat="1" x14ac:dyDescent="0.2">
      <c r="A451" s="32"/>
      <c r="B451" s="1" t="s">
        <v>576</v>
      </c>
      <c r="C451" s="32">
        <v>8.5500000000000007E-2</v>
      </c>
      <c r="D451" s="1">
        <v>15000</v>
      </c>
      <c r="E451" s="1"/>
      <c r="F451" s="1">
        <v>167.15</v>
      </c>
      <c r="G451" s="1">
        <v>15000</v>
      </c>
      <c r="H451" s="5">
        <f t="shared" si="6"/>
        <v>0</v>
      </c>
      <c r="I451" s="1"/>
      <c r="J451" s="1"/>
    </row>
    <row r="452" spans="1:10" s="345" customFormat="1" x14ac:dyDescent="0.2">
      <c r="A452" s="32"/>
      <c r="B452" s="1" t="s">
        <v>576</v>
      </c>
      <c r="C452" s="32">
        <v>2063</v>
      </c>
      <c r="D452" s="1">
        <v>20000</v>
      </c>
      <c r="E452" s="1"/>
      <c r="F452" s="1">
        <v>222.82</v>
      </c>
      <c r="G452" s="1">
        <v>20000</v>
      </c>
      <c r="H452" s="5">
        <f t="shared" si="6"/>
        <v>0</v>
      </c>
      <c r="I452" s="1"/>
      <c r="J452" s="1"/>
    </row>
    <row r="453" spans="1:10" s="345" customFormat="1" x14ac:dyDescent="0.2">
      <c r="A453" s="32"/>
      <c r="B453" s="1" t="s">
        <v>576</v>
      </c>
      <c r="C453" s="32">
        <v>9811</v>
      </c>
      <c r="D453" s="1">
        <v>20000</v>
      </c>
      <c r="E453" s="1"/>
      <c r="F453" s="1">
        <v>222.82</v>
      </c>
      <c r="G453" s="1">
        <v>20000</v>
      </c>
      <c r="H453" s="5">
        <f t="shared" si="6"/>
        <v>0</v>
      </c>
      <c r="I453" s="1"/>
      <c r="J453" s="1"/>
    </row>
    <row r="454" spans="1:10" s="345" customFormat="1" x14ac:dyDescent="0.2">
      <c r="A454" s="32"/>
      <c r="B454" s="1" t="s">
        <v>576</v>
      </c>
      <c r="C454" s="32">
        <v>5932</v>
      </c>
      <c r="D454" s="1">
        <v>20000</v>
      </c>
      <c r="E454" s="1"/>
      <c r="F454" s="1">
        <v>222.82</v>
      </c>
      <c r="G454" s="1">
        <v>20000</v>
      </c>
      <c r="H454" s="5">
        <f t="shared" si="6"/>
        <v>0</v>
      </c>
      <c r="I454" s="1"/>
      <c r="J454" s="1"/>
    </row>
    <row r="455" spans="1:10" s="355" customFormat="1" x14ac:dyDescent="0.2">
      <c r="A455" s="32"/>
      <c r="B455" s="1" t="s">
        <v>576</v>
      </c>
      <c r="C455" s="32">
        <v>5949</v>
      </c>
      <c r="D455" s="1">
        <v>30000</v>
      </c>
      <c r="E455" s="1"/>
      <c r="F455" s="1">
        <v>328.74</v>
      </c>
      <c r="G455" s="1">
        <v>30000</v>
      </c>
      <c r="H455" s="5">
        <f t="shared" ref="H455:H518" si="7">D455-G455</f>
        <v>0</v>
      </c>
      <c r="I455" s="1"/>
      <c r="J455" s="1"/>
    </row>
    <row r="456" spans="1:10" s="355" customFormat="1" x14ac:dyDescent="0.2">
      <c r="A456" s="32"/>
      <c r="B456" s="1" t="s">
        <v>576</v>
      </c>
      <c r="C456" s="32">
        <v>7487</v>
      </c>
      <c r="D456" s="1">
        <v>20000</v>
      </c>
      <c r="E456" s="1"/>
      <c r="F456" s="1">
        <v>222.82</v>
      </c>
      <c r="G456" s="1">
        <v>20000</v>
      </c>
      <c r="H456" s="5">
        <f t="shared" si="7"/>
        <v>0</v>
      </c>
      <c r="I456" s="1"/>
      <c r="J456" s="1"/>
    </row>
    <row r="457" spans="1:10" s="355" customFormat="1" x14ac:dyDescent="0.2">
      <c r="A457" s="32"/>
      <c r="B457" s="1" t="s">
        <v>576</v>
      </c>
      <c r="C457" s="32">
        <v>5383</v>
      </c>
      <c r="D457" s="1">
        <v>3000</v>
      </c>
      <c r="E457" s="1"/>
      <c r="F457" s="1">
        <v>33.450000000000003</v>
      </c>
      <c r="G457" s="1">
        <v>3000</v>
      </c>
      <c r="H457" s="5">
        <f t="shared" si="7"/>
        <v>0</v>
      </c>
      <c r="I457" s="1"/>
      <c r="J457" s="1"/>
    </row>
    <row r="458" spans="1:10" s="355" customFormat="1" x14ac:dyDescent="0.2">
      <c r="A458" s="32"/>
      <c r="B458" s="1" t="s">
        <v>578</v>
      </c>
      <c r="C458" s="32">
        <v>4059</v>
      </c>
      <c r="D458" s="1">
        <v>16000</v>
      </c>
      <c r="E458" s="1"/>
      <c r="F458" s="1">
        <v>178.22</v>
      </c>
      <c r="G458" s="1">
        <v>16000</v>
      </c>
      <c r="H458" s="5">
        <f t="shared" si="7"/>
        <v>0</v>
      </c>
      <c r="I458" s="1"/>
      <c r="J458" s="1"/>
    </row>
    <row r="459" spans="1:10" s="355" customFormat="1" x14ac:dyDescent="0.2">
      <c r="A459" s="32"/>
      <c r="B459" s="1" t="s">
        <v>578</v>
      </c>
      <c r="C459" s="32">
        <v>4513</v>
      </c>
      <c r="D459" s="1">
        <v>16000</v>
      </c>
      <c r="E459" s="1"/>
      <c r="F459" s="1">
        <v>178.22</v>
      </c>
      <c r="G459" s="1">
        <v>16000</v>
      </c>
      <c r="H459" s="5">
        <f t="shared" si="7"/>
        <v>0</v>
      </c>
      <c r="I459" s="1"/>
      <c r="J459" s="1"/>
    </row>
    <row r="460" spans="1:10" s="355" customFormat="1" x14ac:dyDescent="0.2">
      <c r="A460" s="32"/>
      <c r="B460" s="1" t="s">
        <v>578</v>
      </c>
      <c r="C460" s="32">
        <v>9230</v>
      </c>
      <c r="D460" s="1">
        <v>16000</v>
      </c>
      <c r="E460" s="1"/>
      <c r="F460" s="1">
        <v>178.22</v>
      </c>
      <c r="G460" s="1">
        <v>16000</v>
      </c>
      <c r="H460" s="5">
        <f t="shared" si="7"/>
        <v>0</v>
      </c>
      <c r="I460" s="1"/>
      <c r="J460" s="1"/>
    </row>
    <row r="461" spans="1:10" s="355" customFormat="1" x14ac:dyDescent="0.2">
      <c r="A461" s="32"/>
      <c r="B461" s="1" t="s">
        <v>578</v>
      </c>
      <c r="C461" s="32">
        <v>4058</v>
      </c>
      <c r="D461" s="1">
        <v>16000</v>
      </c>
      <c r="E461" s="1"/>
      <c r="F461" s="1">
        <v>178.22</v>
      </c>
      <c r="G461" s="1">
        <v>16000</v>
      </c>
      <c r="H461" s="5">
        <f t="shared" si="7"/>
        <v>0</v>
      </c>
      <c r="I461" s="1"/>
      <c r="J461" s="1"/>
    </row>
    <row r="462" spans="1:10" s="355" customFormat="1" x14ac:dyDescent="0.2">
      <c r="A462" s="32"/>
      <c r="B462" s="1" t="s">
        <v>578</v>
      </c>
      <c r="C462" s="32">
        <v>2809</v>
      </c>
      <c r="D462" s="1">
        <v>16000</v>
      </c>
      <c r="E462" s="1"/>
      <c r="F462" s="1">
        <v>178.22</v>
      </c>
      <c r="G462" s="1">
        <v>16000</v>
      </c>
      <c r="H462" s="5">
        <f t="shared" si="7"/>
        <v>0</v>
      </c>
      <c r="I462" s="1"/>
      <c r="J462" s="1"/>
    </row>
    <row r="463" spans="1:10" s="355" customFormat="1" x14ac:dyDescent="0.2">
      <c r="A463" s="32"/>
      <c r="B463" s="1" t="s">
        <v>578</v>
      </c>
      <c r="C463" s="32">
        <v>4514</v>
      </c>
      <c r="D463" s="1">
        <v>16000</v>
      </c>
      <c r="E463" s="1"/>
      <c r="F463" s="1">
        <v>178.22</v>
      </c>
      <c r="G463" s="1">
        <v>16000</v>
      </c>
      <c r="H463" s="5">
        <f t="shared" si="7"/>
        <v>0</v>
      </c>
      <c r="I463" s="1"/>
      <c r="J463" s="1"/>
    </row>
    <row r="464" spans="1:10" s="355" customFormat="1" x14ac:dyDescent="0.2">
      <c r="A464" s="32"/>
      <c r="B464" s="1" t="s">
        <v>578</v>
      </c>
      <c r="C464" s="32">
        <v>2810</v>
      </c>
      <c r="D464" s="1">
        <v>16000</v>
      </c>
      <c r="E464" s="1"/>
      <c r="F464" s="1">
        <v>178.22</v>
      </c>
      <c r="G464" s="1">
        <v>16000</v>
      </c>
      <c r="H464" s="5">
        <f t="shared" si="7"/>
        <v>0</v>
      </c>
      <c r="I464" s="1"/>
      <c r="J464" s="1"/>
    </row>
    <row r="465" spans="1:10" s="355" customFormat="1" x14ac:dyDescent="0.2">
      <c r="A465" s="32"/>
      <c r="B465" s="1" t="s">
        <v>578</v>
      </c>
      <c r="C465" s="32">
        <v>1304</v>
      </c>
      <c r="D465" s="1">
        <v>25000</v>
      </c>
      <c r="E465" s="1"/>
      <c r="F465" s="1">
        <v>278.22000000000003</v>
      </c>
      <c r="G465" s="1">
        <v>25000</v>
      </c>
      <c r="H465" s="5">
        <f t="shared" si="7"/>
        <v>0</v>
      </c>
      <c r="I465" s="1"/>
      <c r="J465" s="1"/>
    </row>
    <row r="466" spans="1:10" s="355" customFormat="1" x14ac:dyDescent="0.2">
      <c r="A466" s="32"/>
      <c r="B466" s="1" t="s">
        <v>578</v>
      </c>
      <c r="C466" s="32">
        <v>2808</v>
      </c>
      <c r="D466" s="1">
        <v>25000</v>
      </c>
      <c r="E466" s="1"/>
      <c r="F466" s="1">
        <v>278.22000000000003</v>
      </c>
      <c r="G466" s="1">
        <v>25000</v>
      </c>
      <c r="H466" s="5">
        <f t="shared" si="7"/>
        <v>0</v>
      </c>
      <c r="I466" s="1"/>
      <c r="J466" s="1"/>
    </row>
    <row r="467" spans="1:10" s="355" customFormat="1" x14ac:dyDescent="0.2">
      <c r="A467" s="32"/>
      <c r="B467" s="1" t="s">
        <v>578</v>
      </c>
      <c r="C467" s="32">
        <v>3891</v>
      </c>
      <c r="D467" s="1">
        <v>25000</v>
      </c>
      <c r="E467" s="1"/>
      <c r="F467" s="1">
        <v>278.22000000000003</v>
      </c>
      <c r="G467" s="1">
        <v>25000</v>
      </c>
      <c r="H467" s="5">
        <f t="shared" si="7"/>
        <v>0</v>
      </c>
      <c r="I467" s="1"/>
      <c r="J467" s="1"/>
    </row>
    <row r="468" spans="1:10" s="355" customFormat="1" x14ac:dyDescent="0.2">
      <c r="A468" s="32"/>
      <c r="B468" s="1" t="s">
        <v>578</v>
      </c>
      <c r="C468" s="32" t="s">
        <v>63</v>
      </c>
      <c r="D468" s="1">
        <v>3000</v>
      </c>
      <c r="E468" s="1"/>
      <c r="F468" s="1">
        <v>33.450000000000003</v>
      </c>
      <c r="G468" s="1">
        <v>3000</v>
      </c>
      <c r="H468" s="5">
        <f t="shared" si="7"/>
        <v>0</v>
      </c>
      <c r="I468" s="1"/>
      <c r="J468" s="1"/>
    </row>
    <row r="469" spans="1:10" s="355" customFormat="1" x14ac:dyDescent="0.2">
      <c r="A469" s="32"/>
      <c r="B469" s="1" t="s">
        <v>578</v>
      </c>
      <c r="C469" s="32" t="s">
        <v>30</v>
      </c>
      <c r="D469" s="1">
        <v>4500</v>
      </c>
      <c r="E469" s="1"/>
      <c r="F469" s="1">
        <v>50.55</v>
      </c>
      <c r="G469" s="1">
        <v>4500</v>
      </c>
      <c r="H469" s="5">
        <f t="shared" si="7"/>
        <v>0</v>
      </c>
      <c r="I469" s="1"/>
      <c r="J469" s="1"/>
    </row>
    <row r="470" spans="1:10" s="355" customFormat="1" x14ac:dyDescent="0.2">
      <c r="A470" s="32"/>
      <c r="B470" s="1" t="s">
        <v>578</v>
      </c>
      <c r="C470" s="32">
        <v>7677</v>
      </c>
      <c r="D470" s="1">
        <v>14000</v>
      </c>
      <c r="E470" s="1"/>
      <c r="F470" s="1">
        <v>155.85</v>
      </c>
      <c r="G470" s="1">
        <v>14000</v>
      </c>
      <c r="H470" s="5">
        <f t="shared" si="7"/>
        <v>0</v>
      </c>
      <c r="I470" s="1"/>
      <c r="J470" s="1"/>
    </row>
    <row r="471" spans="1:10" s="355" customFormat="1" x14ac:dyDescent="0.2">
      <c r="A471" s="32"/>
      <c r="B471" s="1" t="s">
        <v>578</v>
      </c>
      <c r="C471" s="32">
        <v>5.1999999999999998E-3</v>
      </c>
      <c r="D471" s="1">
        <v>17000</v>
      </c>
      <c r="E471" s="1"/>
      <c r="F471" s="1">
        <v>189.74</v>
      </c>
      <c r="G471" s="1">
        <v>17000</v>
      </c>
      <c r="H471" s="5">
        <f t="shared" si="7"/>
        <v>0</v>
      </c>
      <c r="I471" s="1"/>
      <c r="J471" s="1"/>
    </row>
    <row r="472" spans="1:10" s="355" customFormat="1" x14ac:dyDescent="0.2">
      <c r="A472" s="32"/>
      <c r="B472" s="1" t="s">
        <v>578</v>
      </c>
      <c r="C472" s="32">
        <v>2554</v>
      </c>
      <c r="D472" s="1">
        <v>24000</v>
      </c>
      <c r="E472" s="1"/>
      <c r="F472" s="1">
        <v>267.62</v>
      </c>
      <c r="G472" s="1">
        <v>24000</v>
      </c>
      <c r="H472" s="5">
        <f t="shared" si="7"/>
        <v>0</v>
      </c>
      <c r="I472" s="1"/>
      <c r="J472" s="1"/>
    </row>
    <row r="473" spans="1:10" s="355" customFormat="1" x14ac:dyDescent="0.2">
      <c r="A473" s="32"/>
      <c r="B473" s="1" t="s">
        <v>578</v>
      </c>
      <c r="C473" s="32">
        <v>5535</v>
      </c>
      <c r="D473" s="1">
        <v>10000</v>
      </c>
      <c r="E473" s="1"/>
      <c r="F473" s="1">
        <v>111.41</v>
      </c>
      <c r="G473" s="1">
        <v>10000</v>
      </c>
      <c r="H473" s="5">
        <f t="shared" si="7"/>
        <v>0</v>
      </c>
      <c r="I473" s="1"/>
      <c r="J473" s="1"/>
    </row>
    <row r="474" spans="1:10" s="355" customFormat="1" x14ac:dyDescent="0.2">
      <c r="A474" s="32"/>
      <c r="B474" s="1" t="s">
        <v>578</v>
      </c>
      <c r="C474" s="32">
        <v>4535</v>
      </c>
      <c r="D474" s="1">
        <v>26000</v>
      </c>
      <c r="E474" s="1"/>
      <c r="F474" s="1">
        <v>289.64999999999998</v>
      </c>
      <c r="G474" s="1">
        <v>26000</v>
      </c>
      <c r="H474" s="5">
        <f t="shared" si="7"/>
        <v>0</v>
      </c>
      <c r="I474" s="1"/>
      <c r="J474" s="1"/>
    </row>
    <row r="475" spans="1:10" s="355" customFormat="1" x14ac:dyDescent="0.2">
      <c r="A475" s="32"/>
      <c r="B475" s="1" t="s">
        <v>578</v>
      </c>
      <c r="C475" s="32">
        <v>3665</v>
      </c>
      <c r="D475" s="1">
        <v>12500</v>
      </c>
      <c r="E475" s="1"/>
      <c r="F475" s="1">
        <v>133.41999999999999</v>
      </c>
      <c r="G475" s="1">
        <v>12500</v>
      </c>
      <c r="H475" s="5">
        <f t="shared" si="7"/>
        <v>0</v>
      </c>
      <c r="I475" s="1"/>
      <c r="J475" s="1"/>
    </row>
    <row r="476" spans="1:10" s="355" customFormat="1" x14ac:dyDescent="0.2">
      <c r="A476" s="32"/>
      <c r="B476" s="1" t="s">
        <v>578</v>
      </c>
      <c r="C476" s="32">
        <v>5498</v>
      </c>
      <c r="D476" s="1">
        <v>21000</v>
      </c>
      <c r="E476" s="1"/>
      <c r="F476" s="1">
        <v>233.21</v>
      </c>
      <c r="G476" s="1">
        <v>21000</v>
      </c>
      <c r="H476" s="5">
        <f t="shared" si="7"/>
        <v>0</v>
      </c>
      <c r="I476" s="1"/>
      <c r="J476" s="1"/>
    </row>
    <row r="477" spans="1:10" s="355" customFormat="1" x14ac:dyDescent="0.2">
      <c r="A477" s="32"/>
      <c r="B477" s="1" t="s">
        <v>578</v>
      </c>
      <c r="C477" s="32">
        <v>6151</v>
      </c>
      <c r="D477" s="1">
        <v>27000</v>
      </c>
      <c r="E477" s="1"/>
      <c r="F477" s="1">
        <v>300.52999999999997</v>
      </c>
      <c r="G477" s="1">
        <v>27000</v>
      </c>
      <c r="H477" s="5">
        <f t="shared" si="7"/>
        <v>0</v>
      </c>
      <c r="I477" s="1"/>
      <c r="J477" s="1"/>
    </row>
    <row r="478" spans="1:10" s="355" customFormat="1" x14ac:dyDescent="0.2">
      <c r="A478" s="32"/>
      <c r="B478" s="1" t="s">
        <v>578</v>
      </c>
      <c r="C478" s="32">
        <v>5553</v>
      </c>
      <c r="D478" s="1">
        <v>25000</v>
      </c>
      <c r="E478" s="1"/>
      <c r="F478" s="1">
        <v>278.22000000000003</v>
      </c>
      <c r="G478" s="1">
        <v>25000</v>
      </c>
      <c r="H478" s="5">
        <f t="shared" si="7"/>
        <v>0</v>
      </c>
      <c r="I478" s="1"/>
      <c r="J478" s="1"/>
    </row>
    <row r="479" spans="1:10" s="355" customFormat="1" x14ac:dyDescent="0.2">
      <c r="A479" s="32"/>
      <c r="B479" s="1" t="s">
        <v>578</v>
      </c>
      <c r="C479" s="32">
        <v>6318</v>
      </c>
      <c r="D479" s="1">
        <v>22000</v>
      </c>
      <c r="E479" s="1"/>
      <c r="F479" s="1">
        <v>250.74</v>
      </c>
      <c r="G479" s="1">
        <v>22000</v>
      </c>
      <c r="H479" s="5">
        <f t="shared" si="7"/>
        <v>0</v>
      </c>
      <c r="I479" s="1"/>
      <c r="J479" s="1"/>
    </row>
    <row r="480" spans="1:10" s="355" customFormat="1" x14ac:dyDescent="0.2">
      <c r="A480" s="32"/>
      <c r="B480" s="1" t="s">
        <v>578</v>
      </c>
      <c r="C480" s="32">
        <v>1677</v>
      </c>
      <c r="D480" s="1">
        <v>20000</v>
      </c>
      <c r="E480" s="1"/>
      <c r="F480" s="1">
        <v>222.82</v>
      </c>
      <c r="G480" s="1">
        <v>20000</v>
      </c>
      <c r="H480" s="5">
        <f t="shared" si="7"/>
        <v>0</v>
      </c>
      <c r="I480" s="1"/>
      <c r="J480" s="1"/>
    </row>
    <row r="481" spans="1:10" s="355" customFormat="1" x14ac:dyDescent="0.2">
      <c r="A481" s="32"/>
      <c r="B481" s="1" t="s">
        <v>578</v>
      </c>
      <c r="C481" s="32">
        <v>2.1999999999999999E-2</v>
      </c>
      <c r="D481" s="1">
        <v>35000</v>
      </c>
      <c r="E481" s="1"/>
      <c r="F481" s="1">
        <v>358.62</v>
      </c>
      <c r="G481" s="1">
        <v>35000</v>
      </c>
      <c r="H481" s="5">
        <f t="shared" si="7"/>
        <v>0</v>
      </c>
      <c r="I481" s="1"/>
      <c r="J481" s="1"/>
    </row>
    <row r="482" spans="1:10" s="355" customFormat="1" x14ac:dyDescent="0.2">
      <c r="A482" s="32"/>
      <c r="B482" s="1" t="s">
        <v>578</v>
      </c>
      <c r="C482" s="32">
        <v>3222</v>
      </c>
      <c r="D482" s="1">
        <v>28000</v>
      </c>
      <c r="E482" s="1"/>
      <c r="F482" s="1">
        <v>311.52</v>
      </c>
      <c r="G482" s="1">
        <v>28000</v>
      </c>
      <c r="H482" s="5">
        <f t="shared" si="7"/>
        <v>0</v>
      </c>
      <c r="I482" s="1"/>
      <c r="J482" s="1"/>
    </row>
    <row r="483" spans="1:10" s="355" customFormat="1" x14ac:dyDescent="0.2">
      <c r="A483" s="32"/>
      <c r="B483" s="1" t="s">
        <v>578</v>
      </c>
      <c r="C483" s="32">
        <v>1222</v>
      </c>
      <c r="D483" s="1">
        <v>20000</v>
      </c>
      <c r="E483" s="1"/>
      <c r="F483" s="1">
        <v>222.82</v>
      </c>
      <c r="G483" s="1">
        <v>20000</v>
      </c>
      <c r="H483" s="5">
        <f t="shared" si="7"/>
        <v>0</v>
      </c>
      <c r="I483" s="1"/>
      <c r="J483" s="1"/>
    </row>
    <row r="484" spans="1:10" s="355" customFormat="1" x14ac:dyDescent="0.2">
      <c r="A484" s="32"/>
      <c r="B484" s="1" t="s">
        <v>578</v>
      </c>
      <c r="C484" s="32">
        <v>3621</v>
      </c>
      <c r="D484" s="1">
        <v>20000</v>
      </c>
      <c r="E484" s="1"/>
      <c r="F484" s="1">
        <v>222.82</v>
      </c>
      <c r="G484" s="1">
        <v>20000</v>
      </c>
      <c r="H484" s="5">
        <f t="shared" si="7"/>
        <v>0</v>
      </c>
      <c r="I484" s="1"/>
      <c r="J484" s="1"/>
    </row>
    <row r="485" spans="1:10" s="355" customFormat="1" x14ac:dyDescent="0.2">
      <c r="A485" s="32"/>
      <c r="B485" s="1" t="s">
        <v>578</v>
      </c>
      <c r="C485" s="32">
        <v>1343</v>
      </c>
      <c r="D485" s="1">
        <v>30000</v>
      </c>
      <c r="E485" s="1"/>
      <c r="F485" s="1">
        <v>334.97</v>
      </c>
      <c r="G485" s="1">
        <v>30000</v>
      </c>
      <c r="H485" s="5">
        <f t="shared" si="7"/>
        <v>0</v>
      </c>
      <c r="I485" s="1"/>
      <c r="J485" s="1"/>
    </row>
    <row r="486" spans="1:10" s="355" customFormat="1" x14ac:dyDescent="0.2">
      <c r="A486" s="32"/>
      <c r="B486" s="1" t="s">
        <v>579</v>
      </c>
      <c r="C486" s="32">
        <v>6573</v>
      </c>
      <c r="D486" s="1">
        <v>16000</v>
      </c>
      <c r="E486" s="1"/>
      <c r="F486" s="1">
        <v>178.22</v>
      </c>
      <c r="G486" s="1">
        <v>16000</v>
      </c>
      <c r="H486" s="5">
        <f t="shared" si="7"/>
        <v>0</v>
      </c>
      <c r="I486" s="1"/>
      <c r="J486" s="1"/>
    </row>
    <row r="487" spans="1:10" s="355" customFormat="1" x14ac:dyDescent="0.2">
      <c r="A487" s="32"/>
      <c r="B487" s="1" t="s">
        <v>579</v>
      </c>
      <c r="C487" s="32">
        <v>6957</v>
      </c>
      <c r="D487" s="1">
        <v>16000</v>
      </c>
      <c r="E487" s="1"/>
      <c r="F487" s="1">
        <v>178.22</v>
      </c>
      <c r="G487" s="1">
        <v>16000</v>
      </c>
      <c r="H487" s="5">
        <f t="shared" si="7"/>
        <v>0</v>
      </c>
      <c r="I487" s="1"/>
      <c r="J487" s="1"/>
    </row>
    <row r="488" spans="1:10" s="355" customFormat="1" x14ac:dyDescent="0.2">
      <c r="A488" s="32"/>
      <c r="B488" s="1" t="s">
        <v>579</v>
      </c>
      <c r="C488" s="32">
        <v>1738</v>
      </c>
      <c r="D488" s="1">
        <v>16000</v>
      </c>
      <c r="E488" s="1"/>
      <c r="F488" s="1">
        <v>178.22</v>
      </c>
      <c r="G488" s="1">
        <v>16000</v>
      </c>
      <c r="H488" s="5">
        <f t="shared" si="7"/>
        <v>0</v>
      </c>
      <c r="I488" s="1"/>
      <c r="J488" s="1"/>
    </row>
    <row r="489" spans="1:10" s="355" customFormat="1" x14ac:dyDescent="0.2">
      <c r="A489" s="32"/>
      <c r="B489" s="1" t="s">
        <v>579</v>
      </c>
      <c r="C489" s="32">
        <v>6659</v>
      </c>
      <c r="D489" s="1">
        <v>16000</v>
      </c>
      <c r="E489" s="1"/>
      <c r="F489" s="1">
        <v>178.22</v>
      </c>
      <c r="G489" s="1">
        <v>16000</v>
      </c>
      <c r="H489" s="5">
        <f t="shared" si="7"/>
        <v>0</v>
      </c>
      <c r="I489" s="1"/>
      <c r="J489" s="1"/>
    </row>
    <row r="490" spans="1:10" s="355" customFormat="1" x14ac:dyDescent="0.2">
      <c r="A490" s="32"/>
      <c r="B490" s="1" t="s">
        <v>579</v>
      </c>
      <c r="C490" s="32" t="s">
        <v>66</v>
      </c>
      <c r="D490" s="1">
        <v>210</v>
      </c>
      <c r="E490" s="1"/>
      <c r="F490" s="1">
        <v>2.08</v>
      </c>
      <c r="G490" s="1">
        <v>210</v>
      </c>
      <c r="H490" s="5">
        <f t="shared" si="7"/>
        <v>0</v>
      </c>
      <c r="I490" s="1"/>
      <c r="J490" s="1"/>
    </row>
    <row r="491" spans="1:10" s="355" customFormat="1" x14ac:dyDescent="0.2">
      <c r="A491" s="32"/>
      <c r="B491" s="1" t="s">
        <v>579</v>
      </c>
      <c r="C491" s="32">
        <v>4451</v>
      </c>
      <c r="D491" s="1">
        <v>10000</v>
      </c>
      <c r="E491" s="1"/>
      <c r="F491" s="1">
        <v>111.41</v>
      </c>
      <c r="G491" s="1">
        <v>10000</v>
      </c>
      <c r="H491" s="5">
        <f t="shared" si="7"/>
        <v>0</v>
      </c>
      <c r="I491" s="1"/>
      <c r="J491" s="1"/>
    </row>
    <row r="492" spans="1:10" s="355" customFormat="1" x14ac:dyDescent="0.2">
      <c r="A492" s="32"/>
      <c r="B492" s="1" t="s">
        <v>579</v>
      </c>
      <c r="C492" s="32">
        <v>4765</v>
      </c>
      <c r="D492" s="1">
        <v>25000</v>
      </c>
      <c r="E492" s="1"/>
      <c r="F492" s="1">
        <v>278.22000000000003</v>
      </c>
      <c r="G492" s="1">
        <v>25000</v>
      </c>
      <c r="H492" s="5">
        <f t="shared" si="7"/>
        <v>0</v>
      </c>
      <c r="I492" s="1"/>
      <c r="J492" s="1"/>
    </row>
    <row r="493" spans="1:10" s="355" customFormat="1" x14ac:dyDescent="0.2">
      <c r="A493" s="32"/>
      <c r="B493" s="1" t="s">
        <v>579</v>
      </c>
      <c r="C493" s="32">
        <v>3839</v>
      </c>
      <c r="D493" s="1">
        <v>14500</v>
      </c>
      <c r="E493" s="1"/>
      <c r="F493" s="1">
        <v>162.54</v>
      </c>
      <c r="G493" s="1">
        <v>14500</v>
      </c>
      <c r="H493" s="5">
        <f t="shared" si="7"/>
        <v>0</v>
      </c>
      <c r="I493" s="1"/>
      <c r="J493" s="1"/>
    </row>
    <row r="494" spans="1:10" s="355" customFormat="1" x14ac:dyDescent="0.2">
      <c r="A494" s="32"/>
      <c r="B494" s="1" t="s">
        <v>579</v>
      </c>
      <c r="C494" s="32">
        <v>4.7E-2</v>
      </c>
      <c r="D494" s="1">
        <v>13000</v>
      </c>
      <c r="E494" s="1"/>
      <c r="F494" s="1">
        <v>144.13</v>
      </c>
      <c r="G494" s="1">
        <v>13000</v>
      </c>
      <c r="H494" s="5">
        <f t="shared" si="7"/>
        <v>0</v>
      </c>
      <c r="I494" s="1"/>
      <c r="J494" s="1"/>
    </row>
    <row r="495" spans="1:10" s="355" customFormat="1" x14ac:dyDescent="0.2">
      <c r="A495" s="32"/>
      <c r="B495" s="1" t="s">
        <v>579</v>
      </c>
      <c r="C495" s="32" t="s">
        <v>30</v>
      </c>
      <c r="D495" s="1">
        <v>5000</v>
      </c>
      <c r="E495" s="1"/>
      <c r="F495" s="1">
        <v>55.35</v>
      </c>
      <c r="G495" s="1">
        <v>5000</v>
      </c>
      <c r="H495" s="5">
        <f t="shared" si="7"/>
        <v>0</v>
      </c>
      <c r="I495" s="1"/>
      <c r="J495" s="1"/>
    </row>
    <row r="496" spans="1:10" s="355" customFormat="1" x14ac:dyDescent="0.2">
      <c r="A496" s="32"/>
      <c r="B496" s="1" t="s">
        <v>579</v>
      </c>
      <c r="C496" s="32">
        <v>2316</v>
      </c>
      <c r="D496" s="1">
        <v>25000</v>
      </c>
      <c r="E496" s="1"/>
      <c r="F496" s="1">
        <v>278.22000000000003</v>
      </c>
      <c r="G496" s="1">
        <v>25000</v>
      </c>
      <c r="H496" s="5">
        <f t="shared" si="7"/>
        <v>0</v>
      </c>
      <c r="I496" s="1"/>
      <c r="J496" s="1"/>
    </row>
    <row r="497" spans="1:10" s="355" customFormat="1" x14ac:dyDescent="0.2">
      <c r="A497" s="32"/>
      <c r="B497" s="1" t="s">
        <v>579</v>
      </c>
      <c r="C497" s="32">
        <v>7761</v>
      </c>
      <c r="D497" s="1">
        <v>22000</v>
      </c>
      <c r="E497" s="1"/>
      <c r="F497" s="1">
        <v>240.65</v>
      </c>
      <c r="G497" s="1">
        <v>22000</v>
      </c>
      <c r="H497" s="5">
        <f t="shared" si="7"/>
        <v>0</v>
      </c>
      <c r="I497" s="1"/>
      <c r="J497" s="1"/>
    </row>
    <row r="498" spans="1:10" s="355" customFormat="1" x14ac:dyDescent="0.2">
      <c r="A498" s="32"/>
      <c r="B498" s="1" t="s">
        <v>579</v>
      </c>
      <c r="C498" s="32">
        <v>7021</v>
      </c>
      <c r="D498" s="1">
        <v>24000</v>
      </c>
      <c r="E498" s="1"/>
      <c r="F498" s="1">
        <v>257.94</v>
      </c>
      <c r="G498" s="1">
        <v>24000</v>
      </c>
      <c r="H498" s="5">
        <f t="shared" si="7"/>
        <v>0</v>
      </c>
      <c r="I498" s="1"/>
      <c r="J498" s="1"/>
    </row>
    <row r="499" spans="1:10" s="355" customFormat="1" x14ac:dyDescent="0.2">
      <c r="A499" s="32"/>
      <c r="B499" s="1" t="s">
        <v>579</v>
      </c>
      <c r="C499" s="32">
        <v>5363</v>
      </c>
      <c r="D499" s="1">
        <v>24000</v>
      </c>
      <c r="E499" s="1"/>
      <c r="F499" s="1">
        <v>245.74</v>
      </c>
      <c r="G499" s="1">
        <v>24000</v>
      </c>
      <c r="H499" s="5">
        <f t="shared" si="7"/>
        <v>0</v>
      </c>
      <c r="I499" s="1"/>
      <c r="J499" s="1"/>
    </row>
    <row r="500" spans="1:10" s="355" customFormat="1" x14ac:dyDescent="0.2">
      <c r="A500" s="32"/>
      <c r="B500" s="1" t="s">
        <v>579</v>
      </c>
      <c r="C500" s="32">
        <v>1187</v>
      </c>
      <c r="D500" s="1">
        <v>13000</v>
      </c>
      <c r="E500" s="1"/>
      <c r="F500" s="1">
        <v>144.13</v>
      </c>
      <c r="G500" s="1">
        <v>13000</v>
      </c>
      <c r="H500" s="5">
        <f t="shared" si="7"/>
        <v>0</v>
      </c>
      <c r="I500" s="1"/>
      <c r="J500" s="1"/>
    </row>
    <row r="501" spans="1:10" s="355" customFormat="1" x14ac:dyDescent="0.2">
      <c r="A501" s="32"/>
      <c r="B501" s="1" t="s">
        <v>579</v>
      </c>
      <c r="C501" s="32">
        <v>2090</v>
      </c>
      <c r="D501" s="1">
        <v>18000</v>
      </c>
      <c r="E501" s="1"/>
      <c r="F501" s="1">
        <v>200.53</v>
      </c>
      <c r="G501" s="1">
        <v>18000</v>
      </c>
      <c r="H501" s="5">
        <f t="shared" si="7"/>
        <v>0</v>
      </c>
      <c r="I501" s="1"/>
      <c r="J501" s="1"/>
    </row>
    <row r="502" spans="1:10" s="355" customFormat="1" x14ac:dyDescent="0.2">
      <c r="A502" s="32"/>
      <c r="B502" s="1" t="s">
        <v>579</v>
      </c>
      <c r="C502" s="32">
        <v>2227</v>
      </c>
      <c r="D502" s="1">
        <v>32000</v>
      </c>
      <c r="E502" s="1"/>
      <c r="F502" s="1">
        <v>356.52</v>
      </c>
      <c r="G502" s="1">
        <v>32000</v>
      </c>
      <c r="H502" s="5">
        <f t="shared" si="7"/>
        <v>0</v>
      </c>
      <c r="I502" s="1"/>
      <c r="J502" s="1"/>
    </row>
    <row r="503" spans="1:10" s="355" customFormat="1" x14ac:dyDescent="0.2">
      <c r="A503" s="32"/>
      <c r="B503" s="1" t="s">
        <v>579</v>
      </c>
      <c r="C503" s="32">
        <v>7154</v>
      </c>
      <c r="D503" s="1">
        <v>15000</v>
      </c>
      <c r="E503" s="1"/>
      <c r="F503" s="1">
        <v>167.15</v>
      </c>
      <c r="G503" s="1">
        <v>15000</v>
      </c>
      <c r="H503" s="5">
        <f t="shared" si="7"/>
        <v>0</v>
      </c>
      <c r="I503" s="1"/>
      <c r="J503" s="1"/>
    </row>
    <row r="504" spans="1:10" s="355" customFormat="1" x14ac:dyDescent="0.2">
      <c r="A504" s="32"/>
      <c r="B504" s="1" t="s">
        <v>579</v>
      </c>
      <c r="C504" s="32">
        <v>4154</v>
      </c>
      <c r="D504" s="1">
        <v>30000</v>
      </c>
      <c r="E504" s="1"/>
      <c r="F504" s="1">
        <v>334.97</v>
      </c>
      <c r="G504" s="1">
        <v>30000</v>
      </c>
      <c r="H504" s="5">
        <f t="shared" si="7"/>
        <v>0</v>
      </c>
      <c r="I504" s="1"/>
      <c r="J504" s="1"/>
    </row>
    <row r="505" spans="1:10" s="355" customFormat="1" x14ac:dyDescent="0.2">
      <c r="A505" s="32"/>
      <c r="B505" s="1" t="s">
        <v>579</v>
      </c>
      <c r="C505" s="32">
        <v>5.3699999999999998E-2</v>
      </c>
      <c r="D505" s="1">
        <v>18000</v>
      </c>
      <c r="E505" s="1"/>
      <c r="F505" s="1">
        <v>200.53</v>
      </c>
      <c r="G505" s="1">
        <v>18000</v>
      </c>
      <c r="H505" s="5">
        <f t="shared" si="7"/>
        <v>0</v>
      </c>
      <c r="I505" s="1"/>
      <c r="J505" s="1"/>
    </row>
    <row r="506" spans="1:10" s="355" customFormat="1" x14ac:dyDescent="0.2">
      <c r="A506" s="32"/>
      <c r="B506" s="1" t="s">
        <v>579</v>
      </c>
      <c r="C506" s="32">
        <v>9933</v>
      </c>
      <c r="D506" s="1">
        <v>18000</v>
      </c>
      <c r="E506" s="1"/>
      <c r="F506" s="1">
        <v>200.53</v>
      </c>
      <c r="G506" s="1">
        <v>18000</v>
      </c>
      <c r="H506" s="5">
        <f t="shared" si="7"/>
        <v>0</v>
      </c>
      <c r="I506" s="1"/>
      <c r="J506" s="1"/>
    </row>
    <row r="507" spans="1:10" s="355" customFormat="1" x14ac:dyDescent="0.2">
      <c r="A507" s="32"/>
      <c r="B507" s="1" t="s">
        <v>579</v>
      </c>
      <c r="C507" s="32">
        <v>4513</v>
      </c>
      <c r="D507" s="1">
        <v>16000</v>
      </c>
      <c r="E507" s="1"/>
      <c r="F507" s="1">
        <v>178.22</v>
      </c>
      <c r="G507" s="1">
        <v>16000</v>
      </c>
      <c r="H507" s="5">
        <f t="shared" si="7"/>
        <v>0</v>
      </c>
      <c r="I507" s="1"/>
      <c r="J507" s="1"/>
    </row>
    <row r="508" spans="1:10" s="355" customFormat="1" x14ac:dyDescent="0.2">
      <c r="A508" s="32"/>
      <c r="B508" s="1" t="s">
        <v>579</v>
      </c>
      <c r="C508" s="32">
        <v>7165</v>
      </c>
      <c r="D508" s="1">
        <v>17800</v>
      </c>
      <c r="E508" s="1"/>
      <c r="F508" s="1">
        <v>198.97</v>
      </c>
      <c r="G508" s="1">
        <v>17800</v>
      </c>
      <c r="H508" s="5">
        <f t="shared" si="7"/>
        <v>0</v>
      </c>
      <c r="I508" s="1"/>
      <c r="J508" s="1"/>
    </row>
    <row r="509" spans="1:10" s="355" customFormat="1" x14ac:dyDescent="0.2">
      <c r="A509" s="32"/>
      <c r="B509" s="1" t="s">
        <v>579</v>
      </c>
      <c r="C509" s="32">
        <v>8517</v>
      </c>
      <c r="D509" s="1">
        <v>12000</v>
      </c>
      <c r="E509" s="1"/>
      <c r="F509" s="1">
        <v>133.43</v>
      </c>
      <c r="G509" s="1">
        <v>12000</v>
      </c>
      <c r="H509" s="5">
        <f t="shared" si="7"/>
        <v>0</v>
      </c>
      <c r="I509" s="1"/>
      <c r="J509" s="1"/>
    </row>
    <row r="510" spans="1:10" s="355" customFormat="1" x14ac:dyDescent="0.2">
      <c r="A510" s="32"/>
      <c r="B510" s="1" t="s">
        <v>579</v>
      </c>
      <c r="C510" s="32">
        <v>4896</v>
      </c>
      <c r="D510" s="1">
        <v>20000</v>
      </c>
      <c r="E510" s="1"/>
      <c r="F510" s="1">
        <v>222.82</v>
      </c>
      <c r="G510" s="1">
        <v>20000</v>
      </c>
      <c r="H510" s="5">
        <f t="shared" si="7"/>
        <v>0</v>
      </c>
      <c r="I510" s="1"/>
      <c r="J510" s="1"/>
    </row>
    <row r="511" spans="1:10" s="355" customFormat="1" x14ac:dyDescent="0.2">
      <c r="A511" s="32"/>
      <c r="B511" s="1" t="s">
        <v>579</v>
      </c>
      <c r="C511" s="32">
        <v>6.83E-2</v>
      </c>
      <c r="D511" s="1">
        <v>14000</v>
      </c>
      <c r="E511" s="1"/>
      <c r="F511" s="1">
        <v>155.34</v>
      </c>
      <c r="G511" s="1">
        <v>14000</v>
      </c>
      <c r="H511" s="5">
        <f t="shared" si="7"/>
        <v>0</v>
      </c>
      <c r="I511" s="1"/>
      <c r="J511" s="1"/>
    </row>
    <row r="512" spans="1:10" s="355" customFormat="1" x14ac:dyDescent="0.2">
      <c r="A512" s="32"/>
      <c r="B512" s="1" t="s">
        <v>579</v>
      </c>
      <c r="C512" s="32">
        <v>5414</v>
      </c>
      <c r="D512" s="1">
        <v>12000</v>
      </c>
      <c r="E512" s="1"/>
      <c r="F512" s="1">
        <v>133.44999999999999</v>
      </c>
      <c r="G512" s="1">
        <v>12000</v>
      </c>
      <c r="H512" s="5">
        <f t="shared" si="7"/>
        <v>0</v>
      </c>
      <c r="I512" s="1"/>
      <c r="J512" s="1"/>
    </row>
    <row r="513" spans="1:10" s="355" customFormat="1" x14ac:dyDescent="0.2">
      <c r="A513" s="32"/>
      <c r="B513" s="1" t="s">
        <v>579</v>
      </c>
      <c r="C513" s="32">
        <v>5216</v>
      </c>
      <c r="D513" s="1">
        <v>12000</v>
      </c>
      <c r="E513" s="1"/>
      <c r="F513" s="1">
        <v>133.44999999999999</v>
      </c>
      <c r="G513" s="1">
        <v>12000</v>
      </c>
      <c r="H513" s="5">
        <f t="shared" si="7"/>
        <v>0</v>
      </c>
      <c r="I513" s="1"/>
      <c r="J513" s="1"/>
    </row>
    <row r="514" spans="1:10" s="355" customFormat="1" x14ac:dyDescent="0.2">
      <c r="A514" s="32"/>
      <c r="B514" s="1" t="s">
        <v>579</v>
      </c>
      <c r="C514" s="32">
        <v>2301</v>
      </c>
      <c r="D514" s="1">
        <v>12000</v>
      </c>
      <c r="E514" s="1"/>
      <c r="F514" s="1">
        <v>133.44999999999999</v>
      </c>
      <c r="G514" s="1">
        <v>12000</v>
      </c>
      <c r="H514" s="5">
        <f t="shared" si="7"/>
        <v>0</v>
      </c>
      <c r="I514" s="1"/>
      <c r="J514" s="1"/>
    </row>
    <row r="515" spans="1:10" s="355" customFormat="1" x14ac:dyDescent="0.2">
      <c r="A515" s="32"/>
      <c r="B515" s="1" t="s">
        <v>579</v>
      </c>
      <c r="C515" s="32">
        <v>4214</v>
      </c>
      <c r="D515" s="1">
        <v>14000</v>
      </c>
      <c r="E515" s="1"/>
      <c r="F515" s="1">
        <v>155.34</v>
      </c>
      <c r="G515" s="1">
        <v>14000</v>
      </c>
      <c r="H515" s="5">
        <f t="shared" si="7"/>
        <v>0</v>
      </c>
      <c r="I515" s="1"/>
      <c r="J515" s="1"/>
    </row>
    <row r="516" spans="1:10" s="355" customFormat="1" x14ac:dyDescent="0.2">
      <c r="A516" s="32"/>
      <c r="B516" s="1" t="s">
        <v>579</v>
      </c>
      <c r="C516" s="32">
        <v>6766</v>
      </c>
      <c r="D516" s="1">
        <v>14000</v>
      </c>
      <c r="E516" s="1"/>
      <c r="F516" s="1">
        <v>155.34</v>
      </c>
      <c r="G516" s="1">
        <v>14000</v>
      </c>
      <c r="H516" s="5">
        <f t="shared" si="7"/>
        <v>0</v>
      </c>
      <c r="I516" s="1"/>
      <c r="J516" s="1"/>
    </row>
    <row r="517" spans="1:10" s="355" customFormat="1" x14ac:dyDescent="0.2">
      <c r="A517" s="32"/>
      <c r="B517" s="1" t="s">
        <v>579</v>
      </c>
      <c r="C517" s="32">
        <v>3784</v>
      </c>
      <c r="D517" s="1">
        <v>25000</v>
      </c>
      <c r="E517" s="1"/>
      <c r="F517" s="1">
        <v>278.22000000000003</v>
      </c>
      <c r="G517" s="1">
        <v>25000</v>
      </c>
      <c r="H517" s="5">
        <f t="shared" si="7"/>
        <v>0</v>
      </c>
      <c r="I517" s="1"/>
      <c r="J517" s="1"/>
    </row>
    <row r="518" spans="1:10" s="355" customFormat="1" x14ac:dyDescent="0.2">
      <c r="A518" s="32"/>
      <c r="B518" s="1" t="s">
        <v>581</v>
      </c>
      <c r="C518" s="32" t="s">
        <v>30</v>
      </c>
      <c r="D518" s="1">
        <v>2000</v>
      </c>
      <c r="E518" s="1"/>
      <c r="F518" s="1">
        <v>22.24</v>
      </c>
      <c r="G518" s="1">
        <v>2000</v>
      </c>
      <c r="H518" s="5">
        <f t="shared" si="7"/>
        <v>0</v>
      </c>
      <c r="I518" s="1"/>
      <c r="J518" s="1"/>
    </row>
    <row r="519" spans="1:10" s="355" customFormat="1" x14ac:dyDescent="0.2">
      <c r="A519" s="32"/>
      <c r="B519" s="1" t="s">
        <v>581</v>
      </c>
      <c r="C519" s="32">
        <v>4256</v>
      </c>
      <c r="D519" s="1">
        <v>10000</v>
      </c>
      <c r="E519" s="1"/>
      <c r="F519" s="1">
        <v>111.41</v>
      </c>
      <c r="G519" s="1">
        <v>10000</v>
      </c>
      <c r="H519" s="5">
        <f t="shared" ref="H519:H536" si="8">D519-G519</f>
        <v>0</v>
      </c>
      <c r="I519" s="1"/>
      <c r="J519" s="1"/>
    </row>
    <row r="520" spans="1:10" s="355" customFormat="1" x14ac:dyDescent="0.2">
      <c r="A520" s="32"/>
      <c r="B520" s="1" t="s">
        <v>581</v>
      </c>
      <c r="C520" s="32">
        <v>4563</v>
      </c>
      <c r="D520" s="1">
        <v>23000</v>
      </c>
      <c r="E520" s="1"/>
      <c r="F520" s="1">
        <v>240.84</v>
      </c>
      <c r="G520" s="1">
        <v>23000</v>
      </c>
      <c r="H520" s="5">
        <f t="shared" si="8"/>
        <v>0</v>
      </c>
      <c r="I520" s="1"/>
      <c r="J520" s="1"/>
    </row>
    <row r="521" spans="1:10" s="355" customFormat="1" x14ac:dyDescent="0.2">
      <c r="A521" s="32"/>
      <c r="B521" s="1" t="s">
        <v>581</v>
      </c>
      <c r="C521" s="32">
        <v>9289</v>
      </c>
      <c r="D521" s="1">
        <v>23000</v>
      </c>
      <c r="E521" s="1"/>
      <c r="F521" s="1">
        <v>240.84</v>
      </c>
      <c r="G521" s="1">
        <v>23000</v>
      </c>
      <c r="H521" s="5">
        <f t="shared" si="8"/>
        <v>0</v>
      </c>
      <c r="I521" s="1"/>
      <c r="J521" s="1"/>
    </row>
    <row r="522" spans="1:10" s="355" customFormat="1" x14ac:dyDescent="0.2">
      <c r="A522" s="32"/>
      <c r="B522" s="1" t="s">
        <v>581</v>
      </c>
      <c r="C522" s="32">
        <v>5250</v>
      </c>
      <c r="D522" s="1">
        <v>17000</v>
      </c>
      <c r="E522" s="1"/>
      <c r="F522" s="1">
        <v>189.62</v>
      </c>
      <c r="G522" s="1">
        <v>17000</v>
      </c>
      <c r="H522" s="5">
        <f t="shared" si="8"/>
        <v>0</v>
      </c>
      <c r="I522" s="1"/>
      <c r="J522" s="1"/>
    </row>
    <row r="523" spans="1:10" s="355" customFormat="1" x14ac:dyDescent="0.2">
      <c r="A523" s="32"/>
      <c r="B523" s="1" t="s">
        <v>581</v>
      </c>
      <c r="C523" s="32">
        <v>8874</v>
      </c>
      <c r="D523" s="1">
        <v>30000</v>
      </c>
      <c r="E523" s="1"/>
      <c r="F523" s="1">
        <v>334.98</v>
      </c>
      <c r="G523" s="1">
        <v>30000</v>
      </c>
      <c r="H523" s="5">
        <f t="shared" si="8"/>
        <v>0</v>
      </c>
      <c r="I523" s="1"/>
      <c r="J523" s="1"/>
    </row>
    <row r="524" spans="1:10" s="355" customFormat="1" x14ac:dyDescent="0.2">
      <c r="A524" s="32"/>
      <c r="B524" s="1" t="s">
        <v>581</v>
      </c>
      <c r="C524" s="32" t="s">
        <v>30</v>
      </c>
      <c r="D524" s="1">
        <v>4500</v>
      </c>
      <c r="E524" s="1"/>
      <c r="F524" s="1">
        <v>50.45</v>
      </c>
      <c r="G524" s="1">
        <v>4500</v>
      </c>
      <c r="H524" s="5">
        <f t="shared" si="8"/>
        <v>0</v>
      </c>
      <c r="I524" s="1"/>
      <c r="J524" s="1"/>
    </row>
    <row r="525" spans="1:10" s="355" customFormat="1" x14ac:dyDescent="0.2">
      <c r="A525" s="32"/>
      <c r="B525" s="1" t="s">
        <v>581</v>
      </c>
      <c r="C525" s="32">
        <v>2809</v>
      </c>
      <c r="D525" s="1">
        <v>16000</v>
      </c>
      <c r="E525" s="1"/>
      <c r="F525" s="1">
        <v>178.22</v>
      </c>
      <c r="G525" s="1">
        <v>16000</v>
      </c>
      <c r="H525" s="5">
        <f t="shared" si="8"/>
        <v>0</v>
      </c>
      <c r="I525" s="1"/>
      <c r="J525" s="1"/>
    </row>
    <row r="526" spans="1:10" s="355" customFormat="1" x14ac:dyDescent="0.2">
      <c r="A526" s="32"/>
      <c r="B526" s="1" t="s">
        <v>581</v>
      </c>
      <c r="C526" s="32">
        <v>8452</v>
      </c>
      <c r="D526" s="1">
        <v>10000</v>
      </c>
      <c r="E526" s="1"/>
      <c r="F526" s="1">
        <v>111.41</v>
      </c>
      <c r="G526" s="1">
        <v>10000</v>
      </c>
      <c r="H526" s="5">
        <f t="shared" si="8"/>
        <v>0</v>
      </c>
      <c r="I526" s="1"/>
      <c r="J526" s="1"/>
    </row>
    <row r="527" spans="1:10" s="355" customFormat="1" x14ac:dyDescent="0.2">
      <c r="A527" s="32"/>
      <c r="B527" s="1" t="s">
        <v>581</v>
      </c>
      <c r="C527" s="32">
        <v>8.9399999999999993E-2</v>
      </c>
      <c r="D527" s="1">
        <v>25000</v>
      </c>
      <c r="E527" s="1"/>
      <c r="F527" s="1">
        <v>278.22000000000003</v>
      </c>
      <c r="G527" s="1">
        <v>25000</v>
      </c>
      <c r="H527" s="5">
        <f t="shared" si="8"/>
        <v>0</v>
      </c>
      <c r="I527" s="1"/>
      <c r="J527" s="1"/>
    </row>
    <row r="528" spans="1:10" s="355" customFormat="1" x14ac:dyDescent="0.2">
      <c r="A528" s="32"/>
      <c r="B528" s="1" t="s">
        <v>581</v>
      </c>
      <c r="C528" s="32">
        <v>3219</v>
      </c>
      <c r="D528" s="1">
        <v>23000</v>
      </c>
      <c r="E528" s="1"/>
      <c r="F528" s="1">
        <v>261.54000000000002</v>
      </c>
      <c r="G528" s="1">
        <v>23000</v>
      </c>
      <c r="H528" s="5">
        <f t="shared" si="8"/>
        <v>0</v>
      </c>
      <c r="I528" s="1"/>
      <c r="J528" s="1"/>
    </row>
    <row r="529" spans="1:11" s="355" customFormat="1" x14ac:dyDescent="0.2">
      <c r="A529" s="32"/>
      <c r="B529" s="1" t="s">
        <v>581</v>
      </c>
      <c r="C529" s="32">
        <v>5035</v>
      </c>
      <c r="D529" s="1">
        <v>28000</v>
      </c>
      <c r="E529" s="1"/>
      <c r="F529" s="1">
        <v>311.87</v>
      </c>
      <c r="G529" s="1">
        <v>28000</v>
      </c>
      <c r="H529" s="5">
        <f t="shared" si="8"/>
        <v>0</v>
      </c>
      <c r="I529" s="1"/>
      <c r="J529" s="1"/>
    </row>
    <row r="530" spans="1:11" s="355" customFormat="1" x14ac:dyDescent="0.2">
      <c r="A530" s="32"/>
      <c r="B530" s="1" t="s">
        <v>581</v>
      </c>
      <c r="C530" s="32">
        <v>6957</v>
      </c>
      <c r="D530" s="1">
        <v>23000</v>
      </c>
      <c r="E530" s="1"/>
      <c r="F530" s="1">
        <v>261.54000000000002</v>
      </c>
      <c r="G530" s="1">
        <v>23000</v>
      </c>
      <c r="H530" s="5">
        <f t="shared" si="8"/>
        <v>0</v>
      </c>
      <c r="I530" s="1"/>
      <c r="J530" s="1"/>
    </row>
    <row r="531" spans="1:11" s="355" customFormat="1" x14ac:dyDescent="0.2">
      <c r="A531" s="32"/>
      <c r="B531" s="1" t="s">
        <v>581</v>
      </c>
      <c r="C531" s="32">
        <v>7600</v>
      </c>
      <c r="D531" s="1">
        <v>10000</v>
      </c>
      <c r="E531" s="1"/>
      <c r="F531" s="1">
        <v>111.41</v>
      </c>
      <c r="G531" s="1">
        <v>10000</v>
      </c>
      <c r="H531" s="5">
        <f t="shared" si="8"/>
        <v>0</v>
      </c>
      <c r="I531" s="1"/>
      <c r="J531" s="1"/>
    </row>
    <row r="532" spans="1:11" s="355" customFormat="1" x14ac:dyDescent="0.2">
      <c r="A532" s="32"/>
      <c r="B532" s="1" t="s">
        <v>581</v>
      </c>
      <c r="C532" s="32">
        <v>8423</v>
      </c>
      <c r="D532" s="1">
        <v>25000</v>
      </c>
      <c r="E532" s="1"/>
      <c r="F532" s="1">
        <v>278.22000000000003</v>
      </c>
      <c r="G532" s="1">
        <v>25000</v>
      </c>
      <c r="H532" s="5">
        <f t="shared" si="8"/>
        <v>0</v>
      </c>
      <c r="I532" s="1"/>
      <c r="J532" s="1"/>
    </row>
    <row r="533" spans="1:11" s="355" customFormat="1" x14ac:dyDescent="0.2">
      <c r="A533" s="32"/>
      <c r="B533" s="1" t="s">
        <v>581</v>
      </c>
      <c r="C533" s="32">
        <v>2380</v>
      </c>
      <c r="D533" s="1">
        <v>25000</v>
      </c>
      <c r="E533" s="1"/>
      <c r="F533" s="1">
        <v>278.22000000000003</v>
      </c>
      <c r="G533" s="1">
        <v>25000</v>
      </c>
      <c r="H533" s="5">
        <f t="shared" si="8"/>
        <v>0</v>
      </c>
      <c r="I533" s="1"/>
      <c r="J533" s="1"/>
    </row>
    <row r="534" spans="1:11" s="355" customFormat="1" x14ac:dyDescent="0.2">
      <c r="A534" s="32"/>
      <c r="B534" s="1" t="s">
        <v>581</v>
      </c>
      <c r="C534" s="32">
        <v>7686</v>
      </c>
      <c r="D534" s="1">
        <v>25000</v>
      </c>
      <c r="E534" s="1"/>
      <c r="F534" s="1">
        <v>278.22000000000003</v>
      </c>
      <c r="G534" s="1">
        <v>25000</v>
      </c>
      <c r="H534" s="5">
        <f t="shared" si="8"/>
        <v>0</v>
      </c>
      <c r="I534" s="1"/>
      <c r="J534" s="1"/>
    </row>
    <row r="535" spans="1:11" s="355" customFormat="1" x14ac:dyDescent="0.2">
      <c r="A535" s="32"/>
      <c r="B535" s="1" t="s">
        <v>581</v>
      </c>
      <c r="C535" s="32">
        <v>5478</v>
      </c>
      <c r="D535" s="1">
        <v>27000</v>
      </c>
      <c r="E535" s="1"/>
      <c r="F535" s="1">
        <v>300.64</v>
      </c>
      <c r="G535" s="1">
        <v>27000</v>
      </c>
      <c r="H535" s="5">
        <f t="shared" si="8"/>
        <v>0</v>
      </c>
      <c r="I535" s="1"/>
      <c r="J535" s="1"/>
    </row>
    <row r="536" spans="1:11" s="355" customFormat="1" x14ac:dyDescent="0.2">
      <c r="A536" s="32"/>
      <c r="B536" s="1" t="s">
        <v>581</v>
      </c>
      <c r="C536" s="32">
        <v>8531</v>
      </c>
      <c r="D536" s="1">
        <v>28000</v>
      </c>
      <c r="E536" s="1"/>
      <c r="F536" s="1">
        <v>311.87</v>
      </c>
      <c r="G536" s="1">
        <v>28000</v>
      </c>
      <c r="H536" s="5">
        <f t="shared" si="8"/>
        <v>0</v>
      </c>
      <c r="I536" s="1"/>
      <c r="J536" s="1"/>
    </row>
    <row r="537" spans="1:11" ht="15" x14ac:dyDescent="0.25">
      <c r="A537" s="1"/>
      <c r="B537" s="1"/>
      <c r="C537" s="20" t="s">
        <v>9</v>
      </c>
      <c r="D537" s="21">
        <f>SUM(D5:D536)</f>
        <v>12208772</v>
      </c>
      <c r="E537" s="22"/>
      <c r="F537" s="23">
        <f>SUM(F6:F536)</f>
        <v>108966.29000000011</v>
      </c>
      <c r="G537" s="21">
        <f>SUM(G5:G536)</f>
        <v>12208772</v>
      </c>
      <c r="H537" s="22"/>
      <c r="I537" s="24">
        <f>SUM(I6:I250)</f>
        <v>10000000</v>
      </c>
      <c r="J537" s="1"/>
      <c r="K537" s="328"/>
    </row>
    <row r="538" spans="1:11" ht="15" x14ac:dyDescent="0.25">
      <c r="A538" s="44"/>
      <c r="B538" s="1"/>
      <c r="C538" s="20" t="s">
        <v>10</v>
      </c>
      <c r="D538" s="25">
        <f>SUM(D537-I537)</f>
        <v>2208772</v>
      </c>
      <c r="E538" s="22"/>
      <c r="F538" s="22"/>
      <c r="G538" s="26" t="s">
        <v>10</v>
      </c>
      <c r="H538" s="25">
        <f>SUM(G537-I537)</f>
        <v>2208772</v>
      </c>
      <c r="I538" s="25"/>
      <c r="J538" s="1"/>
      <c r="K538" s="328">
        <f>2259031-2208772</f>
        <v>50259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15" workbookViewId="0">
      <selection activeCell="C39" sqref="C39"/>
    </sheetView>
  </sheetViews>
  <sheetFormatPr defaultColWidth="10.25" defaultRowHeight="14.25" x14ac:dyDescent="0.2"/>
  <cols>
    <col min="1" max="1" width="4.625" customWidth="1"/>
    <col min="2" max="2" width="8.125" customWidth="1"/>
    <col min="3" max="3" width="14.25" customWidth="1"/>
    <col min="4" max="4" width="15.375" customWidth="1"/>
    <col min="5" max="5" width="13.375" customWidth="1"/>
    <col min="6" max="6" width="14" bestFit="1" customWidth="1"/>
    <col min="7" max="7" width="13.125" customWidth="1"/>
    <col min="8" max="8" width="17.75" customWidth="1"/>
    <col min="9" max="9" width="14.75" customWidth="1"/>
    <col min="10" max="10" width="8.375" customWidth="1"/>
    <col min="11" max="11" width="8.125" customWidth="1"/>
    <col min="12" max="12" width="20.875" customWidth="1"/>
    <col min="13" max="13" width="15.5" customWidth="1"/>
    <col min="14" max="14" width="11.5" customWidth="1"/>
  </cols>
  <sheetData>
    <row r="1" spans="1:15" ht="15" thickBot="1" x14ac:dyDescent="0.25"/>
    <row r="2" spans="1:15" ht="15.75" thickBot="1" x14ac:dyDescent="0.3">
      <c r="A2" s="504"/>
      <c r="B2" s="505"/>
      <c r="C2" s="305" t="s">
        <v>562</v>
      </c>
      <c r="D2" s="305"/>
      <c r="E2" s="305"/>
      <c r="F2" s="305"/>
      <c r="G2" s="305"/>
      <c r="H2" s="305" t="s">
        <v>478</v>
      </c>
      <c r="I2" s="506"/>
      <c r="K2" s="398" t="s">
        <v>955</v>
      </c>
      <c r="L2" s="579"/>
      <c r="M2" s="579"/>
      <c r="N2" s="579"/>
    </row>
    <row r="3" spans="1:15" ht="15.75" thickBot="1" x14ac:dyDescent="0.3">
      <c r="A3" s="229" t="s">
        <v>470</v>
      </c>
      <c r="B3" s="228" t="s">
        <v>471</v>
      </c>
      <c r="C3" s="230" t="s">
        <v>184</v>
      </c>
      <c r="D3" s="230" t="s">
        <v>477</v>
      </c>
      <c r="E3" s="230" t="s">
        <v>472</v>
      </c>
      <c r="F3" s="228" t="s">
        <v>795</v>
      </c>
      <c r="G3" s="230" t="s">
        <v>473</v>
      </c>
      <c r="H3" s="230" t="s">
        <v>479</v>
      </c>
      <c r="I3" s="231" t="s">
        <v>474</v>
      </c>
      <c r="K3" s="580" t="s">
        <v>2</v>
      </c>
      <c r="L3" s="581" t="s">
        <v>954</v>
      </c>
      <c r="M3" s="582" t="s">
        <v>474</v>
      </c>
      <c r="N3" s="588" t="s">
        <v>2</v>
      </c>
    </row>
    <row r="4" spans="1:15" ht="15" x14ac:dyDescent="0.25">
      <c r="A4" s="495">
        <v>1</v>
      </c>
      <c r="B4" s="221">
        <v>44652</v>
      </c>
      <c r="C4" s="226">
        <v>9711554</v>
      </c>
      <c r="D4" s="220">
        <v>79937.78</v>
      </c>
      <c r="E4" s="226">
        <v>71719</v>
      </c>
      <c r="F4" s="226" t="s">
        <v>476</v>
      </c>
      <c r="G4" s="225">
        <v>7700000</v>
      </c>
      <c r="H4" s="226">
        <v>300000</v>
      </c>
      <c r="I4" s="496" t="s">
        <v>476</v>
      </c>
      <c r="K4" s="583" t="s">
        <v>885</v>
      </c>
      <c r="L4" s="594">
        <v>450000</v>
      </c>
      <c r="M4" s="594">
        <v>500000</v>
      </c>
      <c r="N4" s="595" t="s">
        <v>885</v>
      </c>
    </row>
    <row r="5" spans="1:15" ht="15" x14ac:dyDescent="0.25">
      <c r="A5" s="497">
        <v>2</v>
      </c>
      <c r="B5" s="223">
        <v>44682</v>
      </c>
      <c r="C5" s="225">
        <v>8480820</v>
      </c>
      <c r="D5" s="222">
        <v>67347.679999999993</v>
      </c>
      <c r="E5" s="225">
        <v>60600</v>
      </c>
      <c r="F5" s="226" t="s">
        <v>476</v>
      </c>
      <c r="G5" s="227">
        <v>6271719</v>
      </c>
      <c r="H5" s="226" t="s">
        <v>476</v>
      </c>
      <c r="I5" s="496" t="s">
        <v>476</v>
      </c>
      <c r="K5" s="583" t="s">
        <v>887</v>
      </c>
      <c r="L5" s="594">
        <v>250000</v>
      </c>
      <c r="M5" s="594">
        <v>200000</v>
      </c>
      <c r="N5" s="595" t="s">
        <v>889</v>
      </c>
    </row>
    <row r="6" spans="1:15" ht="15" x14ac:dyDescent="0.25">
      <c r="A6" s="497">
        <v>3</v>
      </c>
      <c r="B6" s="223">
        <v>44713</v>
      </c>
      <c r="C6" s="225">
        <v>5448463</v>
      </c>
      <c r="D6" s="222">
        <v>59947.15</v>
      </c>
      <c r="E6" s="225">
        <v>50000</v>
      </c>
      <c r="F6" s="226" t="s">
        <v>476</v>
      </c>
      <c r="G6" s="225">
        <v>5550000</v>
      </c>
      <c r="H6" s="226" t="s">
        <v>476</v>
      </c>
      <c r="I6" s="496" t="s">
        <v>476</v>
      </c>
      <c r="K6" s="583" t="s">
        <v>903</v>
      </c>
      <c r="L6" s="594">
        <v>200000</v>
      </c>
      <c r="M6" s="594">
        <v>500000</v>
      </c>
      <c r="N6" s="595" t="s">
        <v>903</v>
      </c>
    </row>
    <row r="7" spans="1:15" ht="15" x14ac:dyDescent="0.25">
      <c r="A7" s="497">
        <v>4</v>
      </c>
      <c r="B7" s="223">
        <v>44743</v>
      </c>
      <c r="C7" s="225">
        <v>4241944</v>
      </c>
      <c r="D7" s="224">
        <v>46944.7</v>
      </c>
      <c r="E7" s="225">
        <v>41565</v>
      </c>
      <c r="F7" s="226" t="s">
        <v>476</v>
      </c>
      <c r="G7" s="225">
        <v>4500000</v>
      </c>
      <c r="H7" s="226" t="s">
        <v>476</v>
      </c>
      <c r="I7" s="496" t="s">
        <v>476</v>
      </c>
      <c r="J7" s="507"/>
      <c r="K7" s="583" t="s">
        <v>915</v>
      </c>
      <c r="L7" s="585">
        <v>200000</v>
      </c>
      <c r="M7" s="594">
        <v>200000</v>
      </c>
      <c r="N7" s="595" t="s">
        <v>921</v>
      </c>
    </row>
    <row r="8" spans="1:15" ht="15" x14ac:dyDescent="0.25">
      <c r="A8" s="497">
        <v>5</v>
      </c>
      <c r="B8" s="223">
        <v>44774</v>
      </c>
      <c r="C8" s="225">
        <v>2210920</v>
      </c>
      <c r="D8" s="224">
        <v>24863.74</v>
      </c>
      <c r="E8" s="225">
        <v>21730</v>
      </c>
      <c r="F8" s="226" t="s">
        <v>476</v>
      </c>
      <c r="G8" s="225">
        <v>2650000</v>
      </c>
      <c r="H8" s="226" t="s">
        <v>476</v>
      </c>
      <c r="I8" s="496" t="s">
        <v>476</v>
      </c>
      <c r="K8" s="583" t="s">
        <v>919</v>
      </c>
      <c r="L8" s="586">
        <v>100000</v>
      </c>
      <c r="M8" s="594" t="s">
        <v>476</v>
      </c>
      <c r="N8" s="595" t="s">
        <v>476</v>
      </c>
    </row>
    <row r="9" spans="1:15" ht="15" x14ac:dyDescent="0.25">
      <c r="A9" s="497">
        <v>6</v>
      </c>
      <c r="B9" s="223">
        <v>44805</v>
      </c>
      <c r="C9" s="225">
        <v>6369599</v>
      </c>
      <c r="D9" s="224">
        <v>69412.84</v>
      </c>
      <c r="E9" s="225">
        <v>63000</v>
      </c>
      <c r="F9" s="226" t="s">
        <v>476</v>
      </c>
      <c r="G9" s="225">
        <v>6300000</v>
      </c>
      <c r="H9" s="226" t="s">
        <v>476</v>
      </c>
      <c r="I9" s="496" t="s">
        <v>476</v>
      </c>
      <c r="K9" s="583" t="s">
        <v>921</v>
      </c>
      <c r="L9" s="586">
        <v>200000</v>
      </c>
      <c r="M9" s="584" t="s">
        <v>476</v>
      </c>
      <c r="N9" s="589" t="s">
        <v>476</v>
      </c>
    </row>
    <row r="10" spans="1:15" ht="15.75" thickBot="1" x14ac:dyDescent="0.3">
      <c r="A10" s="497">
        <v>7</v>
      </c>
      <c r="B10" s="223">
        <v>44835</v>
      </c>
      <c r="C10" s="225">
        <v>4715480</v>
      </c>
      <c r="D10" s="224">
        <v>53516.959999999999</v>
      </c>
      <c r="E10" s="225">
        <v>47000</v>
      </c>
      <c r="F10" s="225">
        <v>850000</v>
      </c>
      <c r="G10" s="225">
        <v>3700000</v>
      </c>
      <c r="H10" s="226" t="s">
        <v>476</v>
      </c>
      <c r="I10" s="496" t="s">
        <v>476</v>
      </c>
      <c r="K10" s="590" t="s">
        <v>475</v>
      </c>
      <c r="L10" s="591">
        <f>SUM(L4:L9)</f>
        <v>1400000</v>
      </c>
      <c r="M10" s="592">
        <f>SUM(M4:M9)</f>
        <v>1400000</v>
      </c>
      <c r="N10" s="593" t="s">
        <v>476</v>
      </c>
    </row>
    <row r="11" spans="1:15" ht="15.75" thickBot="1" x14ac:dyDescent="0.3">
      <c r="A11" s="497">
        <v>8</v>
      </c>
      <c r="B11" s="223">
        <v>44866</v>
      </c>
      <c r="C11" s="225">
        <v>6985864</v>
      </c>
      <c r="D11" s="224">
        <v>68807.55</v>
      </c>
      <c r="E11" s="225">
        <v>58000</v>
      </c>
      <c r="F11" s="226" t="s">
        <v>476</v>
      </c>
      <c r="G11" s="225">
        <v>5434730</v>
      </c>
      <c r="H11" s="226" t="s">
        <v>476</v>
      </c>
      <c r="I11" s="496" t="s">
        <v>476</v>
      </c>
      <c r="K11" s="485"/>
      <c r="L11" s="485"/>
      <c r="M11" s="485"/>
      <c r="N11" s="485"/>
    </row>
    <row r="12" spans="1:15" ht="16.5" thickBot="1" x14ac:dyDescent="0.3">
      <c r="A12" s="497">
        <v>9</v>
      </c>
      <c r="B12" s="223">
        <v>44896</v>
      </c>
      <c r="C12" s="225">
        <v>5483600</v>
      </c>
      <c r="D12" s="224">
        <v>43844.73</v>
      </c>
      <c r="E12" s="226">
        <v>37000</v>
      </c>
      <c r="F12" s="226"/>
      <c r="G12" s="225">
        <v>4455000</v>
      </c>
      <c r="H12" s="226" t="s">
        <v>476</v>
      </c>
      <c r="I12" s="499">
        <v>400000</v>
      </c>
      <c r="K12" s="485"/>
      <c r="L12" s="66" t="s">
        <v>1025</v>
      </c>
      <c r="M12" s="627"/>
      <c r="N12" s="398" t="s">
        <v>1150</v>
      </c>
      <c r="O12" s="398"/>
    </row>
    <row r="13" spans="1:15" s="254" customFormat="1" ht="15.75" x14ac:dyDescent="0.25">
      <c r="A13" s="497">
        <v>10</v>
      </c>
      <c r="B13" s="223">
        <v>44927</v>
      </c>
      <c r="C13" s="225">
        <v>14474502</v>
      </c>
      <c r="D13" s="224">
        <v>160278.94</v>
      </c>
      <c r="E13" s="226">
        <v>138000</v>
      </c>
      <c r="F13" s="226"/>
      <c r="G13" s="225">
        <v>8400000</v>
      </c>
      <c r="H13" s="226" t="s">
        <v>476</v>
      </c>
      <c r="I13" s="499">
        <v>5600000</v>
      </c>
      <c r="K13" s="485"/>
      <c r="L13" s="587" t="s">
        <v>2</v>
      </c>
      <c r="M13" s="587" t="s">
        <v>4</v>
      </c>
      <c r="N13" s="540" t="s">
        <v>663</v>
      </c>
      <c r="O13" s="541" t="s">
        <v>4</v>
      </c>
    </row>
    <row r="14" spans="1:15" s="254" customFormat="1" ht="15.75" x14ac:dyDescent="0.25">
      <c r="A14" s="497">
        <v>11</v>
      </c>
      <c r="B14" s="223">
        <v>44958</v>
      </c>
      <c r="C14" s="225">
        <v>12935395</v>
      </c>
      <c r="D14" s="224">
        <v>127427.66</v>
      </c>
      <c r="E14" s="226">
        <v>112785</v>
      </c>
      <c r="F14" s="226">
        <v>69590</v>
      </c>
      <c r="G14" s="225">
        <v>7750000</v>
      </c>
      <c r="H14" s="226" t="s">
        <v>476</v>
      </c>
      <c r="I14" s="499">
        <v>2500000</v>
      </c>
      <c r="K14" s="485"/>
      <c r="L14" s="674" t="s">
        <v>313</v>
      </c>
      <c r="M14" s="677">
        <v>300000</v>
      </c>
      <c r="N14" s="489">
        <v>45017</v>
      </c>
      <c r="O14" s="95">
        <v>9763</v>
      </c>
    </row>
    <row r="15" spans="1:15" ht="15.75" x14ac:dyDescent="0.25">
      <c r="A15" s="497">
        <v>12</v>
      </c>
      <c r="B15" s="223">
        <v>44986</v>
      </c>
      <c r="C15" s="225">
        <v>12208772</v>
      </c>
      <c r="D15" s="224">
        <v>108966.29</v>
      </c>
      <c r="E15" s="226">
        <v>96272</v>
      </c>
      <c r="F15" s="226"/>
      <c r="G15" s="225">
        <v>10000000</v>
      </c>
      <c r="H15" s="226" t="s">
        <v>476</v>
      </c>
      <c r="I15" s="499"/>
      <c r="K15" s="485"/>
      <c r="L15" s="674" t="s">
        <v>315</v>
      </c>
      <c r="M15" s="677">
        <v>300000</v>
      </c>
      <c r="N15" s="489">
        <v>45047</v>
      </c>
      <c r="O15" s="95">
        <v>9545</v>
      </c>
    </row>
    <row r="16" spans="1:15" ht="16.5" thickBot="1" x14ac:dyDescent="0.3">
      <c r="A16" s="500"/>
      <c r="B16" s="477" t="s">
        <v>475</v>
      </c>
      <c r="C16" s="501">
        <f t="shared" ref="C16:I16" si="0">SUM(C4:C15)</f>
        <v>93266913</v>
      </c>
      <c r="D16" s="477">
        <f>SUM(D4:D15)</f>
        <v>911296.02000000014</v>
      </c>
      <c r="E16" s="501">
        <f>SUM(E4:E15)</f>
        <v>797671</v>
      </c>
      <c r="F16" s="501">
        <f t="shared" si="0"/>
        <v>919590</v>
      </c>
      <c r="G16" s="501">
        <f t="shared" si="0"/>
        <v>72711449</v>
      </c>
      <c r="H16" s="502">
        <f t="shared" si="0"/>
        <v>300000</v>
      </c>
      <c r="I16" s="503">
        <f t="shared" si="0"/>
        <v>8500000</v>
      </c>
      <c r="K16" s="485"/>
      <c r="L16" s="674" t="s">
        <v>316</v>
      </c>
      <c r="M16" s="677">
        <v>250000</v>
      </c>
      <c r="N16" s="489">
        <v>45078</v>
      </c>
      <c r="O16" s="95">
        <v>10967</v>
      </c>
    </row>
    <row r="17" spans="1:15" ht="16.5" thickBot="1" x14ac:dyDescent="0.3">
      <c r="D17" s="771"/>
      <c r="E17" s="771"/>
      <c r="K17" s="485"/>
      <c r="L17" s="674" t="s">
        <v>495</v>
      </c>
      <c r="M17" s="677">
        <v>69590</v>
      </c>
      <c r="N17" s="489">
        <v>45108</v>
      </c>
      <c r="O17" s="95">
        <v>9888</v>
      </c>
    </row>
    <row r="18" spans="1:15" ht="16.5" thickBot="1" x14ac:dyDescent="0.3">
      <c r="A18" s="504"/>
      <c r="B18" s="505"/>
      <c r="C18" s="305" t="s">
        <v>650</v>
      </c>
      <c r="D18" s="305"/>
      <c r="E18" s="305"/>
      <c r="F18" s="305"/>
      <c r="G18" s="305"/>
      <c r="H18" s="305" t="s">
        <v>478</v>
      </c>
      <c r="I18" s="506"/>
      <c r="K18" s="485"/>
      <c r="L18" s="674" t="s">
        <v>750</v>
      </c>
      <c r="M18" s="677">
        <v>100000</v>
      </c>
      <c r="N18" s="489">
        <v>45108</v>
      </c>
      <c r="O18" s="95">
        <v>12500</v>
      </c>
    </row>
    <row r="19" spans="1:15" ht="16.5" thickBot="1" x14ac:dyDescent="0.3">
      <c r="A19" s="487" t="s">
        <v>470</v>
      </c>
      <c r="B19" s="228" t="s">
        <v>471</v>
      </c>
      <c r="C19" s="228" t="s">
        <v>184</v>
      </c>
      <c r="D19" s="228" t="s">
        <v>477</v>
      </c>
      <c r="E19" s="228" t="s">
        <v>472</v>
      </c>
      <c r="F19" s="228" t="s">
        <v>795</v>
      </c>
      <c r="G19" s="228" t="s">
        <v>473</v>
      </c>
      <c r="H19" s="228" t="s">
        <v>479</v>
      </c>
      <c r="I19" s="488" t="s">
        <v>474</v>
      </c>
      <c r="K19" s="485"/>
      <c r="L19" s="675" t="s">
        <v>787</v>
      </c>
      <c r="M19" s="677">
        <v>100000</v>
      </c>
      <c r="N19" s="489">
        <v>45139</v>
      </c>
      <c r="O19" s="95">
        <v>17344</v>
      </c>
    </row>
    <row r="20" spans="1:15" ht="16.5" thickBot="1" x14ac:dyDescent="0.3">
      <c r="A20" s="495">
        <v>1</v>
      </c>
      <c r="B20" s="221">
        <v>45017</v>
      </c>
      <c r="C20" s="226">
        <v>16602176</v>
      </c>
      <c r="D20" s="226">
        <v>152660.9</v>
      </c>
      <c r="E20" s="226">
        <v>140143</v>
      </c>
      <c r="F20" s="226" t="s">
        <v>476</v>
      </c>
      <c r="G20" s="225">
        <v>14000000</v>
      </c>
      <c r="H20" s="226" t="s">
        <v>476</v>
      </c>
      <c r="I20" s="498">
        <v>1300000</v>
      </c>
      <c r="J20" s="535" t="s">
        <v>808</v>
      </c>
      <c r="K20" s="485"/>
      <c r="L20" s="675" t="s">
        <v>858</v>
      </c>
      <c r="M20" s="677">
        <v>100000</v>
      </c>
      <c r="N20" s="489">
        <v>45170</v>
      </c>
      <c r="O20" s="95">
        <v>12887</v>
      </c>
    </row>
    <row r="21" spans="1:15" ht="16.5" thickBot="1" x14ac:dyDescent="0.3">
      <c r="A21" s="497">
        <v>2</v>
      </c>
      <c r="B21" s="223">
        <v>45047</v>
      </c>
      <c r="C21" s="225">
        <v>13577213</v>
      </c>
      <c r="D21" s="225">
        <v>118828.18</v>
      </c>
      <c r="E21" s="225">
        <v>109000</v>
      </c>
      <c r="F21" s="226" t="s">
        <v>476</v>
      </c>
      <c r="G21" s="227">
        <v>11349200</v>
      </c>
      <c r="H21" s="226" t="s">
        <v>476</v>
      </c>
      <c r="I21" s="498">
        <v>200000</v>
      </c>
      <c r="J21" s="535" t="s">
        <v>812</v>
      </c>
      <c r="K21" s="485"/>
      <c r="L21" s="676" t="s">
        <v>1075</v>
      </c>
      <c r="M21" s="677">
        <v>100000</v>
      </c>
      <c r="N21" s="658">
        <v>45200</v>
      </c>
      <c r="O21" s="95">
        <v>15710</v>
      </c>
    </row>
    <row r="22" spans="1:15" ht="16.5" thickBot="1" x14ac:dyDescent="0.3">
      <c r="A22" s="497">
        <v>3</v>
      </c>
      <c r="B22" s="223">
        <v>45078</v>
      </c>
      <c r="C22" s="225">
        <v>12127634</v>
      </c>
      <c r="D22" s="225">
        <v>103664.35</v>
      </c>
      <c r="E22" s="225">
        <v>97200</v>
      </c>
      <c r="F22" s="226" t="s">
        <v>476</v>
      </c>
      <c r="G22" s="225">
        <v>9600000</v>
      </c>
      <c r="H22" s="226" t="s">
        <v>476</v>
      </c>
      <c r="I22" s="498">
        <v>1200000</v>
      </c>
      <c r="J22" s="535" t="s">
        <v>814</v>
      </c>
      <c r="K22" s="485"/>
      <c r="L22" s="673" t="s">
        <v>1248</v>
      </c>
      <c r="M22" s="672">
        <v>100000</v>
      </c>
      <c r="N22" s="658">
        <v>45231</v>
      </c>
      <c r="O22" s="95">
        <v>12447</v>
      </c>
    </row>
    <row r="23" spans="1:15" ht="16.5" thickBot="1" x14ac:dyDescent="0.3">
      <c r="A23" s="497">
        <v>4</v>
      </c>
      <c r="B23" s="223">
        <v>45108</v>
      </c>
      <c r="C23" s="225">
        <v>15004780</v>
      </c>
      <c r="D23" s="612">
        <v>135764.92000000001</v>
      </c>
      <c r="E23" s="225">
        <v>124590</v>
      </c>
      <c r="F23" s="486">
        <v>100000</v>
      </c>
      <c r="G23" s="225">
        <v>12606200</v>
      </c>
      <c r="H23" s="226"/>
      <c r="I23" s="498">
        <v>1300000</v>
      </c>
      <c r="J23" s="535" t="s">
        <v>830</v>
      </c>
      <c r="K23" s="485"/>
      <c r="L23" s="673" t="s">
        <v>1713</v>
      </c>
      <c r="M23" s="672">
        <v>100000</v>
      </c>
      <c r="N23" s="659">
        <v>45261</v>
      </c>
      <c r="O23" s="95">
        <v>21561</v>
      </c>
    </row>
    <row r="24" spans="1:15" ht="16.5" thickBot="1" x14ac:dyDescent="0.3">
      <c r="A24" s="497">
        <v>5</v>
      </c>
      <c r="B24" s="223">
        <v>45139</v>
      </c>
      <c r="C24" s="225">
        <v>19772655</v>
      </c>
      <c r="D24" s="612">
        <v>164578.54</v>
      </c>
      <c r="E24" s="225">
        <v>172006</v>
      </c>
      <c r="F24" s="486">
        <v>100000</v>
      </c>
      <c r="G24" s="225">
        <v>16500000</v>
      </c>
      <c r="H24" s="226"/>
      <c r="I24" s="549">
        <v>500000</v>
      </c>
      <c r="J24" s="548" t="s">
        <v>919</v>
      </c>
      <c r="K24" s="485"/>
      <c r="L24" s="673" t="s">
        <v>2804</v>
      </c>
      <c r="M24" s="672">
        <v>50000</v>
      </c>
      <c r="N24" s="659"/>
      <c r="O24" s="95">
        <f>SUM(O14:O23)</f>
        <v>132612</v>
      </c>
    </row>
    <row r="25" spans="1:15" ht="16.5" customHeight="1" x14ac:dyDescent="0.25">
      <c r="A25" s="497">
        <v>6</v>
      </c>
      <c r="B25" s="223">
        <v>45170</v>
      </c>
      <c r="C25" s="225">
        <v>15695431</v>
      </c>
      <c r="D25" s="612">
        <v>116371.77</v>
      </c>
      <c r="E25" s="225">
        <v>115000</v>
      </c>
      <c r="F25" s="226"/>
      <c r="G25" s="225">
        <v>13296596</v>
      </c>
      <c r="H25" s="226"/>
      <c r="I25" s="549">
        <v>200000</v>
      </c>
      <c r="J25" s="548" t="s">
        <v>953</v>
      </c>
      <c r="K25" s="485"/>
      <c r="L25" s="673"/>
      <c r="M25" s="672"/>
      <c r="N25" s="713"/>
      <c r="O25" s="713"/>
    </row>
    <row r="26" spans="1:15" ht="15.75" x14ac:dyDescent="0.25">
      <c r="A26" s="497">
        <v>7</v>
      </c>
      <c r="B26" s="223">
        <v>45200</v>
      </c>
      <c r="C26" s="225">
        <v>17522987</v>
      </c>
      <c r="D26" s="612">
        <v>165385.89000000001</v>
      </c>
      <c r="E26" s="612">
        <v>139000</v>
      </c>
      <c r="F26" s="486">
        <v>100000</v>
      </c>
      <c r="G26" s="225">
        <v>14900000</v>
      </c>
      <c r="H26" s="226"/>
      <c r="I26" s="549">
        <v>500000</v>
      </c>
      <c r="J26" s="548" t="s">
        <v>957</v>
      </c>
      <c r="K26" s="485"/>
      <c r="L26" s="673"/>
      <c r="M26" s="672"/>
      <c r="N26" s="713"/>
      <c r="O26" s="713"/>
    </row>
    <row r="27" spans="1:15" ht="15.75" x14ac:dyDescent="0.25">
      <c r="A27" s="497">
        <v>8</v>
      </c>
      <c r="B27" s="223">
        <v>45231</v>
      </c>
      <c r="C27" s="225">
        <v>14690738</v>
      </c>
      <c r="D27" s="612">
        <v>132185.45000000001</v>
      </c>
      <c r="E27" s="225">
        <v>113647</v>
      </c>
      <c r="F27" s="486">
        <v>100000</v>
      </c>
      <c r="G27" s="225">
        <v>12054000</v>
      </c>
      <c r="H27" s="226"/>
      <c r="I27" s="549">
        <v>900000</v>
      </c>
      <c r="J27" s="548" t="s">
        <v>1103</v>
      </c>
      <c r="K27" s="485"/>
      <c r="L27" s="551" t="s">
        <v>759</v>
      </c>
      <c r="M27" s="551">
        <f>SUM(M14:M26)</f>
        <v>1569590</v>
      </c>
      <c r="N27" s="713"/>
      <c r="O27" s="713"/>
    </row>
    <row r="28" spans="1:15" ht="15.75" x14ac:dyDescent="0.25">
      <c r="A28" s="497">
        <v>9</v>
      </c>
      <c r="B28" s="223">
        <v>45261</v>
      </c>
      <c r="C28" s="225">
        <v>23779235</v>
      </c>
      <c r="D28" s="612">
        <v>230951.45</v>
      </c>
      <c r="E28" s="226">
        <v>205379</v>
      </c>
      <c r="F28" s="226"/>
      <c r="G28" s="225">
        <v>20600000</v>
      </c>
      <c r="H28" s="226"/>
      <c r="I28" s="651">
        <v>600000</v>
      </c>
      <c r="J28" s="652" t="s">
        <v>1112</v>
      </c>
      <c r="M28" s="618"/>
      <c r="N28" s="713"/>
      <c r="O28" s="713"/>
    </row>
    <row r="29" spans="1:15" ht="15" customHeight="1" x14ac:dyDescent="0.25">
      <c r="A29" s="497">
        <v>10</v>
      </c>
      <c r="B29" s="223">
        <v>45292</v>
      </c>
      <c r="C29" s="225">
        <v>18894300</v>
      </c>
      <c r="D29" s="612">
        <v>188987.67</v>
      </c>
      <c r="E29" s="612">
        <v>149923</v>
      </c>
      <c r="F29" s="226"/>
      <c r="G29" s="225">
        <v>16500000</v>
      </c>
      <c r="H29" s="226"/>
      <c r="I29" s="549">
        <v>300000</v>
      </c>
      <c r="J29" s="548" t="s">
        <v>1113</v>
      </c>
      <c r="M29" s="618"/>
      <c r="N29" s="713"/>
      <c r="O29" s="713"/>
    </row>
    <row r="30" spans="1:15" ht="15" customHeight="1" x14ac:dyDescent="0.25">
      <c r="A30" s="497">
        <v>11</v>
      </c>
      <c r="B30" s="223">
        <v>45323</v>
      </c>
      <c r="C30" s="225">
        <v>15533825</v>
      </c>
      <c r="D30" s="612">
        <v>155457</v>
      </c>
      <c r="E30" s="226">
        <v>147200</v>
      </c>
      <c r="F30" s="486">
        <v>100000</v>
      </c>
      <c r="G30" s="225"/>
      <c r="H30" s="226"/>
      <c r="I30" s="549"/>
      <c r="J30" s="548" t="s">
        <v>1248</v>
      </c>
      <c r="K30" s="485"/>
      <c r="L30" s="485"/>
      <c r="M30" s="618"/>
      <c r="N30" s="713"/>
      <c r="O30" s="713"/>
    </row>
    <row r="31" spans="1:15" ht="15.75" x14ac:dyDescent="0.25">
      <c r="A31" s="497">
        <v>12</v>
      </c>
      <c r="B31" s="223">
        <v>45352</v>
      </c>
      <c r="C31" s="225">
        <v>11935395</v>
      </c>
      <c r="D31" s="612">
        <v>111350</v>
      </c>
      <c r="E31" s="226">
        <v>101250</v>
      </c>
      <c r="F31" s="226"/>
      <c r="G31" s="225"/>
      <c r="H31" s="226"/>
      <c r="I31" s="549"/>
      <c r="J31" s="548"/>
      <c r="K31" s="485"/>
      <c r="L31" s="485"/>
      <c r="M31" s="618"/>
      <c r="N31" s="713"/>
      <c r="O31" s="713"/>
    </row>
    <row r="32" spans="1:15" s="646" customFormat="1" ht="15.75" x14ac:dyDescent="0.25">
      <c r="A32" s="647">
        <v>13</v>
      </c>
      <c r="B32" s="648"/>
      <c r="C32" s="227"/>
      <c r="D32" s="649"/>
      <c r="E32" s="650"/>
      <c r="F32" s="486">
        <v>100000</v>
      </c>
      <c r="G32" s="227"/>
      <c r="H32" s="650"/>
      <c r="I32" s="651"/>
      <c r="J32" s="652" t="s">
        <v>1713</v>
      </c>
      <c r="N32" s="713"/>
      <c r="O32" s="713"/>
    </row>
    <row r="33" spans="1:15" ht="15.75" thickBot="1" x14ac:dyDescent="0.3">
      <c r="A33" s="500"/>
      <c r="B33" s="477" t="s">
        <v>475</v>
      </c>
      <c r="C33" s="501">
        <f t="shared" ref="C33" si="1">SUM(C20:C31)</f>
        <v>195136369</v>
      </c>
      <c r="D33" s="477">
        <f>SUM(D20:D31)</f>
        <v>1776186.1199999999</v>
      </c>
      <c r="E33" s="501">
        <f>SUM(E20:E31)</f>
        <v>1614338</v>
      </c>
      <c r="F33" s="501">
        <f t="shared" ref="F33:H33" si="2">SUM(F20:F31)</f>
        <v>500000</v>
      </c>
      <c r="G33" s="501">
        <f t="shared" si="2"/>
        <v>141405996</v>
      </c>
      <c r="H33" s="502">
        <f t="shared" si="2"/>
        <v>0</v>
      </c>
      <c r="I33" s="503">
        <f>SUM(I20:I32)</f>
        <v>7000000</v>
      </c>
      <c r="K33" s="485"/>
      <c r="L33" s="485"/>
      <c r="M33" s="618"/>
      <c r="N33" s="713"/>
      <c r="O33" s="713"/>
    </row>
    <row r="34" spans="1:15" x14ac:dyDescent="0.2">
      <c r="K34" s="485"/>
      <c r="L34" s="485"/>
      <c r="M34" s="618"/>
      <c r="N34" s="713"/>
      <c r="O34" s="713"/>
    </row>
    <row r="35" spans="1:15" s="657" customFormat="1" ht="15" thickBot="1" x14ac:dyDescent="0.25">
      <c r="N35" s="713"/>
      <c r="O35" s="713"/>
    </row>
    <row r="36" spans="1:15" s="657" customFormat="1" ht="15.75" thickBot="1" x14ac:dyDescent="0.3">
      <c r="A36" s="504"/>
      <c r="B36" s="505"/>
      <c r="C36" s="305" t="s">
        <v>2803</v>
      </c>
      <c r="D36" s="305"/>
      <c r="E36" s="305"/>
      <c r="F36" s="305"/>
      <c r="G36" s="305"/>
      <c r="H36" s="305" t="s">
        <v>478</v>
      </c>
      <c r="I36" s="506"/>
      <c r="J36" s="713"/>
      <c r="N36" s="713"/>
      <c r="O36" s="713"/>
    </row>
    <row r="37" spans="1:15" ht="15.75" thickBot="1" x14ac:dyDescent="0.3">
      <c r="A37" s="487" t="s">
        <v>470</v>
      </c>
      <c r="B37" s="228" t="s">
        <v>471</v>
      </c>
      <c r="C37" s="228" t="s">
        <v>184</v>
      </c>
      <c r="D37" s="228" t="s">
        <v>477</v>
      </c>
      <c r="E37" s="228" t="s">
        <v>472</v>
      </c>
      <c r="F37" s="228" t="s">
        <v>795</v>
      </c>
      <c r="G37" s="228" t="s">
        <v>473</v>
      </c>
      <c r="H37" s="228" t="s">
        <v>479</v>
      </c>
      <c r="I37" s="488" t="s">
        <v>474</v>
      </c>
      <c r="J37" s="713"/>
      <c r="K37" s="485"/>
      <c r="L37" s="485"/>
      <c r="M37" s="618"/>
      <c r="N37" s="713"/>
      <c r="O37" s="713"/>
    </row>
    <row r="38" spans="1:15" ht="16.5" thickBot="1" x14ac:dyDescent="0.3">
      <c r="A38" s="495">
        <v>1</v>
      </c>
      <c r="B38" s="221">
        <v>45383</v>
      </c>
      <c r="C38" s="226">
        <v>15724367</v>
      </c>
      <c r="D38" s="226"/>
      <c r="E38" s="226"/>
      <c r="F38" s="486">
        <v>100000</v>
      </c>
      <c r="G38" s="225">
        <v>12800000</v>
      </c>
      <c r="H38" s="226"/>
      <c r="I38" s="498"/>
      <c r="J38" s="535" t="s">
        <v>1713</v>
      </c>
      <c r="K38" s="485"/>
      <c r="L38" s="485"/>
      <c r="M38" s="618"/>
      <c r="N38" s="618"/>
      <c r="O38" s="618"/>
    </row>
    <row r="39" spans="1:15" ht="16.5" thickBot="1" x14ac:dyDescent="0.3">
      <c r="A39" s="497">
        <v>2</v>
      </c>
      <c r="B39" s="223">
        <v>45413</v>
      </c>
      <c r="C39" s="225">
        <v>14661281</v>
      </c>
      <c r="D39" s="225"/>
      <c r="E39" s="225"/>
      <c r="F39" s="486">
        <v>50000</v>
      </c>
      <c r="G39" s="227">
        <v>12300000</v>
      </c>
      <c r="H39" s="226"/>
      <c r="I39" s="498"/>
      <c r="J39" s="535" t="s">
        <v>2804</v>
      </c>
      <c r="K39" s="485"/>
      <c r="L39" s="485"/>
      <c r="M39" s="485"/>
      <c r="N39" s="485"/>
    </row>
    <row r="40" spans="1:15" s="485" customFormat="1" ht="16.5" thickBot="1" x14ac:dyDescent="0.3">
      <c r="A40" s="497">
        <v>3</v>
      </c>
      <c r="B40" s="223">
        <v>45444</v>
      </c>
      <c r="C40" s="225"/>
      <c r="D40" s="225"/>
      <c r="E40" s="225"/>
      <c r="F40" s="226"/>
      <c r="G40" s="225"/>
      <c r="H40" s="226"/>
      <c r="I40" s="498"/>
      <c r="J40" s="535"/>
    </row>
    <row r="41" spans="1:15" ht="16.5" thickBot="1" x14ac:dyDescent="0.3">
      <c r="A41" s="497">
        <v>4</v>
      </c>
      <c r="B41" s="223">
        <v>45108</v>
      </c>
      <c r="C41" s="225"/>
      <c r="D41" s="612"/>
      <c r="E41" s="225"/>
      <c r="F41" s="486"/>
      <c r="G41" s="225"/>
      <c r="H41" s="226"/>
      <c r="I41" s="498"/>
      <c r="J41" s="535"/>
      <c r="K41" s="485"/>
      <c r="L41" s="485"/>
      <c r="M41" s="485"/>
      <c r="N41" s="485"/>
    </row>
    <row r="42" spans="1:15" ht="15.75" x14ac:dyDescent="0.25">
      <c r="A42" s="497">
        <v>5</v>
      </c>
      <c r="B42" s="223">
        <v>45139</v>
      </c>
      <c r="C42" s="225"/>
      <c r="D42" s="612"/>
      <c r="E42" s="225"/>
      <c r="F42" s="486"/>
      <c r="G42" s="225"/>
      <c r="H42" s="226"/>
      <c r="I42" s="549"/>
      <c r="J42" s="548"/>
      <c r="K42" s="439"/>
      <c r="L42" s="439"/>
    </row>
    <row r="43" spans="1:15" ht="15.75" x14ac:dyDescent="0.25">
      <c r="A43" s="497">
        <v>6</v>
      </c>
      <c r="B43" s="223">
        <v>45170</v>
      </c>
      <c r="C43" s="225"/>
      <c r="D43" s="612"/>
      <c r="E43" s="225"/>
      <c r="F43" s="226"/>
      <c r="G43" s="225"/>
      <c r="H43" s="226"/>
      <c r="I43" s="549"/>
      <c r="J43" s="548"/>
      <c r="K43" s="439"/>
      <c r="L43" s="439"/>
    </row>
    <row r="44" spans="1:15" s="678" customFormat="1" ht="15.75" x14ac:dyDescent="0.25">
      <c r="A44" s="497">
        <v>7</v>
      </c>
      <c r="B44" s="223">
        <v>45200</v>
      </c>
      <c r="C44" s="225"/>
      <c r="D44" s="612"/>
      <c r="E44" s="612"/>
      <c r="F44" s="486"/>
      <c r="G44" s="225"/>
      <c r="H44" s="226"/>
      <c r="I44" s="549"/>
      <c r="J44" s="548"/>
    </row>
    <row r="45" spans="1:15" ht="15.75" x14ac:dyDescent="0.25">
      <c r="A45" s="497">
        <v>8</v>
      </c>
      <c r="B45" s="223">
        <v>45231</v>
      </c>
      <c r="C45" s="225"/>
      <c r="D45" s="612"/>
      <c r="E45" s="225"/>
      <c r="F45" s="486"/>
      <c r="G45" s="225"/>
      <c r="H45" s="226"/>
      <c r="I45" s="549"/>
      <c r="J45" s="548"/>
      <c r="K45" s="439"/>
      <c r="L45" s="439"/>
    </row>
    <row r="46" spans="1:15" ht="15.75" x14ac:dyDescent="0.25">
      <c r="A46" s="497">
        <v>9</v>
      </c>
      <c r="B46" s="223">
        <v>45261</v>
      </c>
      <c r="C46" s="225"/>
      <c r="D46" s="612"/>
      <c r="E46" s="226"/>
      <c r="F46" s="226"/>
      <c r="G46" s="225"/>
      <c r="H46" s="226"/>
      <c r="I46" s="651"/>
      <c r="J46" s="652"/>
    </row>
    <row r="47" spans="1:15" ht="15.75" x14ac:dyDescent="0.25">
      <c r="A47" s="497">
        <v>10</v>
      </c>
      <c r="B47" s="223">
        <v>45292</v>
      </c>
      <c r="C47" s="225"/>
      <c r="D47" s="612"/>
      <c r="E47" s="612"/>
      <c r="F47" s="226"/>
      <c r="G47" s="225"/>
      <c r="H47" s="226"/>
      <c r="I47" s="549"/>
      <c r="J47" s="548"/>
    </row>
    <row r="48" spans="1:15" ht="15.75" x14ac:dyDescent="0.25">
      <c r="A48" s="497">
        <v>11</v>
      </c>
      <c r="B48" s="223">
        <v>45323</v>
      </c>
      <c r="C48" s="225"/>
      <c r="D48" s="612"/>
      <c r="E48" s="226"/>
      <c r="F48" s="486"/>
      <c r="G48" s="225"/>
      <c r="H48" s="226"/>
      <c r="I48" s="549"/>
      <c r="J48" s="548"/>
    </row>
    <row r="49" spans="1:10" ht="15.75" x14ac:dyDescent="0.25">
      <c r="A49" s="497">
        <v>12</v>
      </c>
      <c r="B49" s="223">
        <v>45352</v>
      </c>
      <c r="C49" s="225"/>
      <c r="D49" s="612"/>
      <c r="E49" s="226"/>
      <c r="F49" s="226"/>
      <c r="G49" s="225"/>
      <c r="H49" s="226"/>
      <c r="I49" s="549"/>
      <c r="J49" s="548"/>
    </row>
    <row r="50" spans="1:10" ht="15.75" x14ac:dyDescent="0.25">
      <c r="A50" s="647">
        <v>13</v>
      </c>
      <c r="B50" s="648"/>
      <c r="C50" s="227"/>
      <c r="D50" s="649"/>
      <c r="E50" s="650"/>
      <c r="F50" s="486"/>
      <c r="G50" s="227"/>
      <c r="H50" s="650"/>
      <c r="I50" s="651"/>
      <c r="J50" s="652"/>
    </row>
    <row r="51" spans="1:10" ht="15.75" thickBot="1" x14ac:dyDescent="0.3">
      <c r="A51" s="500"/>
      <c r="B51" s="477" t="s">
        <v>475</v>
      </c>
      <c r="C51" s="501">
        <f t="shared" ref="C51" si="3">SUM(C38:C49)</f>
        <v>30385648</v>
      </c>
      <c r="D51" s="477">
        <f>SUM(D38:D49)</f>
        <v>0</v>
      </c>
      <c r="E51" s="501">
        <f>SUM(E38:E49)</f>
        <v>0</v>
      </c>
      <c r="F51" s="501">
        <f t="shared" ref="F51:H51" si="4">SUM(F38:F49)</f>
        <v>150000</v>
      </c>
      <c r="G51" s="501">
        <f t="shared" si="4"/>
        <v>25100000</v>
      </c>
      <c r="H51" s="502">
        <f t="shared" si="4"/>
        <v>0</v>
      </c>
      <c r="I51" s="503">
        <f>SUM(I38:I50)</f>
        <v>0</v>
      </c>
      <c r="J51" s="713"/>
    </row>
    <row r="82" spans="3:6" ht="15.75" thickBot="1" x14ac:dyDescent="0.3">
      <c r="C82" s="398" t="s">
        <v>955</v>
      </c>
      <c r="D82" s="713"/>
      <c r="E82" s="713"/>
      <c r="F82" s="713"/>
    </row>
    <row r="83" spans="3:6" ht="15" thickBot="1" x14ac:dyDescent="0.25">
      <c r="C83" s="580" t="s">
        <v>2</v>
      </c>
      <c r="D83" s="581" t="s">
        <v>954</v>
      </c>
      <c r="E83" s="582" t="s">
        <v>474</v>
      </c>
      <c r="F83" s="588" t="s">
        <v>2</v>
      </c>
    </row>
    <row r="84" spans="3:6" ht="15" x14ac:dyDescent="0.25">
      <c r="C84" s="583" t="s">
        <v>885</v>
      </c>
      <c r="D84" s="594">
        <v>450000</v>
      </c>
      <c r="E84" s="594">
        <v>500000</v>
      </c>
      <c r="F84" s="595" t="s">
        <v>885</v>
      </c>
    </row>
    <row r="85" spans="3:6" ht="15" x14ac:dyDescent="0.25">
      <c r="C85" s="583" t="s">
        <v>887</v>
      </c>
      <c r="D85" s="594">
        <v>250000</v>
      </c>
      <c r="E85" s="594">
        <v>200000</v>
      </c>
      <c r="F85" s="595" t="s">
        <v>889</v>
      </c>
    </row>
    <row r="86" spans="3:6" ht="15" x14ac:dyDescent="0.25">
      <c r="C86" s="583" t="s">
        <v>903</v>
      </c>
      <c r="D86" s="594">
        <v>200000</v>
      </c>
      <c r="E86" s="594">
        <v>500000</v>
      </c>
      <c r="F86" s="595" t="s">
        <v>903</v>
      </c>
    </row>
    <row r="87" spans="3:6" ht="15" x14ac:dyDescent="0.25">
      <c r="C87" s="583" t="s">
        <v>915</v>
      </c>
      <c r="D87" s="585">
        <v>200000</v>
      </c>
      <c r="E87" s="594">
        <v>200000</v>
      </c>
      <c r="F87" s="595" t="s">
        <v>921</v>
      </c>
    </row>
    <row r="88" spans="3:6" ht="15" x14ac:dyDescent="0.25">
      <c r="C88" s="583" t="s">
        <v>919</v>
      </c>
      <c r="D88" s="586">
        <v>100000</v>
      </c>
      <c r="E88" s="594" t="s">
        <v>476</v>
      </c>
      <c r="F88" s="595" t="s">
        <v>476</v>
      </c>
    </row>
    <row r="89" spans="3:6" ht="15" x14ac:dyDescent="0.25">
      <c r="C89" s="583" t="s">
        <v>921</v>
      </c>
      <c r="D89" s="586">
        <v>200000</v>
      </c>
      <c r="E89" s="584" t="s">
        <v>476</v>
      </c>
      <c r="F89" s="589" t="s">
        <v>476</v>
      </c>
    </row>
    <row r="90" spans="3:6" ht="15" x14ac:dyDescent="0.25">
      <c r="C90" s="583" t="s">
        <v>1252</v>
      </c>
      <c r="D90" s="586">
        <v>300000</v>
      </c>
      <c r="E90" s="584">
        <v>300000</v>
      </c>
      <c r="F90" s="589" t="s">
        <v>1252</v>
      </c>
    </row>
    <row r="91" spans="3:6" ht="15.75" thickBot="1" x14ac:dyDescent="0.3">
      <c r="C91" s="590" t="s">
        <v>475</v>
      </c>
      <c r="D91" s="591">
        <f>SUM(D84:D90)</f>
        <v>1700000</v>
      </c>
      <c r="E91" s="592">
        <f>SUM(E84:E90)</f>
        <v>1700000</v>
      </c>
      <c r="F91" s="593" t="s">
        <v>476</v>
      </c>
    </row>
  </sheetData>
  <mergeCells count="1">
    <mergeCell ref="D17:E17"/>
  </mergeCells>
  <pageMargins left="2.57" right="0.1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4"/>
  <sheetViews>
    <sheetView topLeftCell="A477" workbookViewId="0">
      <selection activeCell="O712" sqref="O712"/>
    </sheetView>
  </sheetViews>
  <sheetFormatPr defaultRowHeight="14.25" x14ac:dyDescent="0.2"/>
  <cols>
    <col min="1" max="1" width="6.125" customWidth="1"/>
    <col min="3" max="3" width="14.375" customWidth="1"/>
    <col min="4" max="4" width="13.375" customWidth="1"/>
    <col min="6" max="6" width="10.625" customWidth="1"/>
    <col min="7" max="7" width="11.5" customWidth="1"/>
    <col min="8" max="8" width="14.5" customWidth="1"/>
    <col min="9" max="9" width="12.875" customWidth="1"/>
    <col min="12" max="12" width="11" customWidth="1"/>
    <col min="14" max="14" width="9.875" customWidth="1"/>
  </cols>
  <sheetData>
    <row r="2" spans="1:15" ht="21" x14ac:dyDescent="0.35">
      <c r="A2" s="1"/>
      <c r="B2" s="1"/>
      <c r="C2" s="1"/>
      <c r="D2" s="354" t="s">
        <v>331</v>
      </c>
      <c r="E2" s="354"/>
      <c r="F2" s="354"/>
      <c r="G2" s="354"/>
      <c r="H2" s="1"/>
      <c r="I2" s="1"/>
      <c r="J2" s="1"/>
    </row>
    <row r="3" spans="1:15" ht="18" x14ac:dyDescent="0.25">
      <c r="A3" s="1"/>
      <c r="B3" s="1"/>
      <c r="C3" s="1"/>
      <c r="D3" s="61"/>
      <c r="E3" s="161" t="s">
        <v>631</v>
      </c>
      <c r="F3" s="355"/>
      <c r="G3" s="355"/>
      <c r="H3" s="1"/>
      <c r="I3" s="1"/>
      <c r="J3" s="1"/>
    </row>
    <row r="4" spans="1:15" ht="1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107" t="s">
        <v>8</v>
      </c>
      <c r="J4" s="107" t="s">
        <v>2</v>
      </c>
    </row>
    <row r="5" spans="1:15" ht="15" x14ac:dyDescent="0.25">
      <c r="A5" s="1">
        <v>1</v>
      </c>
      <c r="B5" s="108" t="s">
        <v>581</v>
      </c>
      <c r="C5" s="162" t="s">
        <v>374</v>
      </c>
      <c r="D5" s="25">
        <v>2239068</v>
      </c>
      <c r="E5" s="162"/>
      <c r="F5" s="162"/>
      <c r="G5" s="25">
        <v>2239068</v>
      </c>
      <c r="H5" s="30"/>
      <c r="I5" s="107"/>
      <c r="J5" s="107"/>
    </row>
    <row r="6" spans="1:15" s="384" customFormat="1" ht="15" x14ac:dyDescent="0.25">
      <c r="A6" s="1">
        <v>2</v>
      </c>
      <c r="B6" s="108" t="s">
        <v>627</v>
      </c>
      <c r="C6" s="162" t="s">
        <v>628</v>
      </c>
      <c r="D6" s="25">
        <v>9763</v>
      </c>
      <c r="E6" s="162"/>
      <c r="F6" s="162"/>
      <c r="G6" s="25">
        <v>9763</v>
      </c>
      <c r="H6" s="30"/>
      <c r="I6" s="107"/>
      <c r="J6" s="107"/>
    </row>
    <row r="7" spans="1:15" s="355" customFormat="1" ht="15" x14ac:dyDescent="0.25">
      <c r="A7" s="1">
        <v>3</v>
      </c>
      <c r="B7" s="1" t="s">
        <v>583</v>
      </c>
      <c r="C7" s="32" t="s">
        <v>30</v>
      </c>
      <c r="D7" s="1">
        <v>5000</v>
      </c>
      <c r="E7" s="1" t="s">
        <v>642</v>
      </c>
      <c r="F7" s="1">
        <v>55.74</v>
      </c>
      <c r="G7" s="1">
        <v>5000</v>
      </c>
      <c r="H7" s="5">
        <f t="shared" ref="H7:H70" si="0">D7-G7</f>
        <v>0</v>
      </c>
      <c r="I7" s="89">
        <v>400000</v>
      </c>
      <c r="J7" s="89" t="s">
        <v>583</v>
      </c>
      <c r="K7" s="89" t="s">
        <v>482</v>
      </c>
      <c r="L7" s="89"/>
      <c r="M7" s="47"/>
      <c r="N7" s="47"/>
      <c r="O7" s="378"/>
    </row>
    <row r="8" spans="1:15" s="355" customFormat="1" ht="15" x14ac:dyDescent="0.25">
      <c r="A8" s="1">
        <v>4</v>
      </c>
      <c r="B8" s="1" t="s">
        <v>583</v>
      </c>
      <c r="C8" s="32">
        <v>4058</v>
      </c>
      <c r="D8" s="1">
        <v>16000</v>
      </c>
      <c r="E8" s="1" t="s">
        <v>642</v>
      </c>
      <c r="F8" s="1">
        <v>178.22</v>
      </c>
      <c r="G8" s="1">
        <v>16000</v>
      </c>
      <c r="H8" s="5">
        <f t="shared" si="0"/>
        <v>0</v>
      </c>
      <c r="I8" s="89">
        <v>700000</v>
      </c>
      <c r="J8" s="89" t="s">
        <v>585</v>
      </c>
      <c r="K8" s="89" t="s">
        <v>548</v>
      </c>
      <c r="L8" s="89"/>
      <c r="M8" s="47"/>
      <c r="N8" s="47"/>
      <c r="O8" s="378"/>
    </row>
    <row r="9" spans="1:15" s="355" customFormat="1" ht="15" x14ac:dyDescent="0.25">
      <c r="A9" s="1">
        <v>5</v>
      </c>
      <c r="B9" s="1" t="s">
        <v>583</v>
      </c>
      <c r="C9" s="32">
        <v>4451</v>
      </c>
      <c r="D9" s="1">
        <v>12000</v>
      </c>
      <c r="E9" s="1" t="s">
        <v>642</v>
      </c>
      <c r="F9" s="1">
        <v>133.41999999999999</v>
      </c>
      <c r="G9" s="1">
        <v>12000</v>
      </c>
      <c r="H9" s="5">
        <f t="shared" si="0"/>
        <v>0</v>
      </c>
      <c r="I9" s="89">
        <v>600000</v>
      </c>
      <c r="J9" s="89" t="s">
        <v>592</v>
      </c>
      <c r="K9" s="89" t="s">
        <v>482</v>
      </c>
      <c r="L9" s="89"/>
      <c r="M9" s="47"/>
      <c r="N9" s="47"/>
      <c r="O9" s="378"/>
    </row>
    <row r="10" spans="1:15" s="355" customFormat="1" ht="15" x14ac:dyDescent="0.25">
      <c r="A10" s="1">
        <v>6</v>
      </c>
      <c r="B10" s="1" t="s">
        <v>583</v>
      </c>
      <c r="C10" s="32">
        <v>8.4599999999999995E-2</v>
      </c>
      <c r="D10" s="1">
        <v>19000</v>
      </c>
      <c r="E10" s="1" t="s">
        <v>642</v>
      </c>
      <c r="F10" s="1">
        <v>215.84</v>
      </c>
      <c r="G10" s="1">
        <v>19000</v>
      </c>
      <c r="H10" s="5">
        <f t="shared" si="0"/>
        <v>0</v>
      </c>
      <c r="I10" s="89">
        <v>500000</v>
      </c>
      <c r="J10" s="89" t="s">
        <v>592</v>
      </c>
      <c r="K10" s="89" t="s">
        <v>548</v>
      </c>
      <c r="L10" s="89"/>
      <c r="M10" s="47"/>
      <c r="N10" s="47"/>
      <c r="O10" s="378"/>
    </row>
    <row r="11" spans="1:15" s="355" customFormat="1" ht="15" x14ac:dyDescent="0.25">
      <c r="A11" s="1">
        <v>7</v>
      </c>
      <c r="B11" s="1" t="s">
        <v>583</v>
      </c>
      <c r="C11" s="32">
        <v>9230</v>
      </c>
      <c r="D11" s="1">
        <v>16000</v>
      </c>
      <c r="E11" s="1" t="s">
        <v>642</v>
      </c>
      <c r="F11" s="1">
        <v>178.22</v>
      </c>
      <c r="G11" s="1">
        <v>16000</v>
      </c>
      <c r="H11" s="5">
        <f t="shared" si="0"/>
        <v>0</v>
      </c>
      <c r="I11" s="89">
        <v>700000</v>
      </c>
      <c r="J11" s="89" t="s">
        <v>594</v>
      </c>
      <c r="K11" s="89" t="s">
        <v>482</v>
      </c>
      <c r="L11" s="89"/>
      <c r="M11" s="47"/>
      <c r="N11" s="47"/>
      <c r="O11" s="378"/>
    </row>
    <row r="12" spans="1:15" s="355" customFormat="1" ht="15" x14ac:dyDescent="0.25">
      <c r="A12" s="1">
        <v>8</v>
      </c>
      <c r="B12" s="1" t="s">
        <v>583</v>
      </c>
      <c r="C12" s="32">
        <v>1738</v>
      </c>
      <c r="D12" s="1">
        <v>16000</v>
      </c>
      <c r="E12" s="1" t="s">
        <v>642</v>
      </c>
      <c r="F12" s="1">
        <v>178.22</v>
      </c>
      <c r="G12" s="1">
        <v>16000</v>
      </c>
      <c r="H12" s="5">
        <f t="shared" si="0"/>
        <v>0</v>
      </c>
      <c r="I12" s="89">
        <v>1000000</v>
      </c>
      <c r="J12" s="89" t="s">
        <v>595</v>
      </c>
      <c r="K12" s="89" t="s">
        <v>548</v>
      </c>
      <c r="L12" s="89"/>
      <c r="M12" s="47"/>
      <c r="N12" s="47"/>
    </row>
    <row r="13" spans="1:15" s="355" customFormat="1" ht="15" x14ac:dyDescent="0.25">
      <c r="A13" s="1">
        <v>9</v>
      </c>
      <c r="B13" s="1" t="s">
        <v>583</v>
      </c>
      <c r="C13" s="32">
        <v>6659</v>
      </c>
      <c r="D13" s="1">
        <v>16000</v>
      </c>
      <c r="E13" s="1" t="s">
        <v>642</v>
      </c>
      <c r="F13" s="1">
        <v>178.22</v>
      </c>
      <c r="G13" s="1">
        <v>16000</v>
      </c>
      <c r="H13" s="5">
        <f t="shared" si="0"/>
        <v>0</v>
      </c>
      <c r="I13" s="89">
        <v>700000</v>
      </c>
      <c r="J13" s="89" t="s">
        <v>596</v>
      </c>
      <c r="K13" s="89" t="s">
        <v>548</v>
      </c>
      <c r="L13" s="89"/>
      <c r="M13" s="47"/>
      <c r="N13" s="47"/>
      <c r="O13" s="364"/>
    </row>
    <row r="14" spans="1:15" s="355" customFormat="1" ht="15" x14ac:dyDescent="0.25">
      <c r="A14" s="1">
        <v>10</v>
      </c>
      <c r="B14" s="1" t="s">
        <v>583</v>
      </c>
      <c r="C14" s="32">
        <v>4514</v>
      </c>
      <c r="D14" s="1">
        <v>16000</v>
      </c>
      <c r="E14" s="1" t="s">
        <v>642</v>
      </c>
      <c r="F14" s="1">
        <v>178.22</v>
      </c>
      <c r="G14" s="1">
        <v>16000</v>
      </c>
      <c r="H14" s="5">
        <f t="shared" si="0"/>
        <v>0</v>
      </c>
      <c r="I14" s="89">
        <v>900000</v>
      </c>
      <c r="J14" s="89" t="s">
        <v>599</v>
      </c>
      <c r="K14" s="89" t="s">
        <v>548</v>
      </c>
      <c r="L14" s="89"/>
      <c r="M14" s="47"/>
      <c r="N14" s="47"/>
    </row>
    <row r="15" spans="1:15" s="355" customFormat="1" ht="15" x14ac:dyDescent="0.25">
      <c r="A15" s="1">
        <v>11</v>
      </c>
      <c r="B15" s="1" t="s">
        <v>583</v>
      </c>
      <c r="C15" s="32">
        <v>6444</v>
      </c>
      <c r="D15" s="1">
        <v>14000</v>
      </c>
      <c r="E15" s="1" t="s">
        <v>642</v>
      </c>
      <c r="F15" s="1">
        <v>155.52000000000001</v>
      </c>
      <c r="G15" s="1">
        <v>14000</v>
      </c>
      <c r="H15" s="5">
        <f t="shared" si="0"/>
        <v>0</v>
      </c>
      <c r="I15" s="89">
        <v>500000</v>
      </c>
      <c r="J15" s="89" t="s">
        <v>602</v>
      </c>
      <c r="K15" s="89" t="s">
        <v>548</v>
      </c>
      <c r="L15" s="89"/>
      <c r="M15" s="47"/>
      <c r="N15" s="47"/>
    </row>
    <row r="16" spans="1:15" s="355" customFormat="1" ht="15" x14ac:dyDescent="0.25">
      <c r="A16" s="1">
        <v>12</v>
      </c>
      <c r="B16" s="1" t="s">
        <v>583</v>
      </c>
      <c r="C16" s="32">
        <v>4059</v>
      </c>
      <c r="D16" s="1">
        <v>16000</v>
      </c>
      <c r="E16" s="1" t="s">
        <v>642</v>
      </c>
      <c r="F16" s="1">
        <v>178.22</v>
      </c>
      <c r="G16" s="1">
        <v>16000</v>
      </c>
      <c r="H16" s="5">
        <f t="shared" si="0"/>
        <v>0</v>
      </c>
      <c r="I16" s="89">
        <v>400000</v>
      </c>
      <c r="J16" s="89" t="s">
        <v>603</v>
      </c>
      <c r="K16" s="89" t="s">
        <v>548</v>
      </c>
      <c r="L16" s="89"/>
      <c r="M16" s="47"/>
      <c r="N16" s="47"/>
    </row>
    <row r="17" spans="1:14" s="355" customFormat="1" ht="15" x14ac:dyDescent="0.25">
      <c r="A17" s="1">
        <v>13</v>
      </c>
      <c r="B17" s="1" t="s">
        <v>583</v>
      </c>
      <c r="C17" s="32">
        <v>2810</v>
      </c>
      <c r="D17" s="1">
        <v>16000</v>
      </c>
      <c r="E17" s="1" t="s">
        <v>642</v>
      </c>
      <c r="F17" s="1">
        <v>178.22</v>
      </c>
      <c r="G17" s="1">
        <v>16000</v>
      </c>
      <c r="H17" s="5">
        <f t="shared" si="0"/>
        <v>0</v>
      </c>
      <c r="I17" s="89">
        <v>400000</v>
      </c>
      <c r="J17" s="89" t="s">
        <v>605</v>
      </c>
      <c r="K17" s="89" t="s">
        <v>548</v>
      </c>
      <c r="L17" s="89"/>
      <c r="M17" s="47"/>
      <c r="N17" s="47"/>
    </row>
    <row r="18" spans="1:14" s="355" customFormat="1" ht="15" x14ac:dyDescent="0.25">
      <c r="A18" s="1">
        <v>14</v>
      </c>
      <c r="B18" s="1" t="s">
        <v>583</v>
      </c>
      <c r="C18" s="32">
        <v>5252</v>
      </c>
      <c r="D18" s="1">
        <v>17000</v>
      </c>
      <c r="E18" s="1" t="s">
        <v>642</v>
      </c>
      <c r="F18" s="1">
        <v>189.68</v>
      </c>
      <c r="G18" s="1">
        <v>17000</v>
      </c>
      <c r="H18" s="5">
        <f t="shared" si="0"/>
        <v>0</v>
      </c>
      <c r="I18" s="89">
        <v>500000</v>
      </c>
      <c r="J18" s="89" t="s">
        <v>604</v>
      </c>
      <c r="K18" s="89" t="s">
        <v>548</v>
      </c>
      <c r="L18" s="89"/>
      <c r="M18" s="47"/>
      <c r="N18" s="47"/>
    </row>
    <row r="19" spans="1:14" s="355" customFormat="1" ht="15" x14ac:dyDescent="0.25">
      <c r="A19" s="1">
        <v>15</v>
      </c>
      <c r="B19" s="1" t="s">
        <v>583</v>
      </c>
      <c r="C19" s="32">
        <v>3833</v>
      </c>
      <c r="D19" s="1">
        <v>26200</v>
      </c>
      <c r="E19" s="1" t="s">
        <v>642</v>
      </c>
      <c r="F19" s="1">
        <v>291.67</v>
      </c>
      <c r="G19" s="1">
        <v>26200</v>
      </c>
      <c r="H19" s="5">
        <f t="shared" si="0"/>
        <v>0</v>
      </c>
      <c r="I19" s="89">
        <v>700000</v>
      </c>
      <c r="J19" s="89" t="s">
        <v>606</v>
      </c>
      <c r="K19" s="89" t="s">
        <v>548</v>
      </c>
      <c r="L19" s="89"/>
      <c r="M19" s="47"/>
      <c r="N19" s="47"/>
    </row>
    <row r="20" spans="1:14" s="355" customFormat="1" ht="15" x14ac:dyDescent="0.25">
      <c r="A20" s="1">
        <v>16</v>
      </c>
      <c r="B20" s="1" t="s">
        <v>583</v>
      </c>
      <c r="C20" s="32">
        <v>3297</v>
      </c>
      <c r="D20" s="1">
        <v>25000</v>
      </c>
      <c r="E20" s="1" t="s">
        <v>642</v>
      </c>
      <c r="F20" s="1">
        <v>278.22000000000003</v>
      </c>
      <c r="G20" s="1">
        <v>25000</v>
      </c>
      <c r="H20" s="5">
        <f t="shared" si="0"/>
        <v>0</v>
      </c>
      <c r="I20" s="89">
        <v>500000</v>
      </c>
      <c r="J20" s="89" t="s">
        <v>609</v>
      </c>
      <c r="K20" s="89" t="s">
        <v>548</v>
      </c>
      <c r="L20" s="89"/>
      <c r="M20" s="47"/>
      <c r="N20" s="47"/>
    </row>
    <row r="21" spans="1:14" s="355" customFormat="1" ht="15" x14ac:dyDescent="0.25">
      <c r="A21" s="1">
        <v>17</v>
      </c>
      <c r="B21" s="1" t="s">
        <v>583</v>
      </c>
      <c r="C21" s="32">
        <v>8695</v>
      </c>
      <c r="D21" s="1">
        <v>25000</v>
      </c>
      <c r="E21" s="1" t="s">
        <v>642</v>
      </c>
      <c r="F21" s="1">
        <v>278.22000000000003</v>
      </c>
      <c r="G21" s="1">
        <v>25000</v>
      </c>
      <c r="H21" s="5">
        <f t="shared" si="0"/>
        <v>0</v>
      </c>
      <c r="I21" s="89">
        <v>400000</v>
      </c>
      <c r="J21" s="89" t="s">
        <v>611</v>
      </c>
      <c r="K21" s="89" t="s">
        <v>548</v>
      </c>
      <c r="L21" s="89"/>
      <c r="M21" s="47"/>
      <c r="N21" s="47"/>
    </row>
    <row r="22" spans="1:14" s="355" customFormat="1" ht="15" x14ac:dyDescent="0.25">
      <c r="A22" s="1">
        <v>18</v>
      </c>
      <c r="B22" s="1" t="s">
        <v>583</v>
      </c>
      <c r="C22" s="32">
        <v>5950</v>
      </c>
      <c r="D22" s="1">
        <v>25000</v>
      </c>
      <c r="E22" s="1" t="s">
        <v>642</v>
      </c>
      <c r="F22" s="1">
        <v>278.22000000000003</v>
      </c>
      <c r="G22" s="1">
        <v>25000</v>
      </c>
      <c r="H22" s="5">
        <f t="shared" si="0"/>
        <v>0</v>
      </c>
      <c r="I22" s="89">
        <v>300000</v>
      </c>
      <c r="J22" s="89" t="s">
        <v>612</v>
      </c>
      <c r="K22" s="89" t="s">
        <v>548</v>
      </c>
      <c r="L22" s="89"/>
      <c r="M22" s="47"/>
      <c r="N22" s="47"/>
    </row>
    <row r="23" spans="1:14" s="355" customFormat="1" ht="15" x14ac:dyDescent="0.25">
      <c r="A23" s="1">
        <v>19</v>
      </c>
      <c r="B23" s="1" t="s">
        <v>583</v>
      </c>
      <c r="C23" s="32">
        <v>7.46E-2</v>
      </c>
      <c r="D23" s="1">
        <v>22000</v>
      </c>
      <c r="E23" s="1" t="s">
        <v>642</v>
      </c>
      <c r="F23" s="1">
        <v>246.35</v>
      </c>
      <c r="G23" s="1">
        <v>22000</v>
      </c>
      <c r="H23" s="5">
        <f t="shared" si="0"/>
        <v>0</v>
      </c>
      <c r="I23" s="89">
        <v>300000</v>
      </c>
      <c r="J23" s="89" t="s">
        <v>614</v>
      </c>
      <c r="K23" s="89" t="s">
        <v>548</v>
      </c>
      <c r="L23" s="89"/>
      <c r="M23" s="47"/>
      <c r="N23" s="47"/>
    </row>
    <row r="24" spans="1:14" s="355" customFormat="1" ht="15" x14ac:dyDescent="0.25">
      <c r="A24" s="1">
        <v>20</v>
      </c>
      <c r="B24" s="1" t="s">
        <v>583</v>
      </c>
      <c r="C24" s="32">
        <v>6011</v>
      </c>
      <c r="D24" s="1">
        <v>28000</v>
      </c>
      <c r="E24" s="1" t="s">
        <v>642</v>
      </c>
      <c r="F24" s="1">
        <v>311.87</v>
      </c>
      <c r="G24" s="1">
        <v>28000</v>
      </c>
      <c r="H24" s="5">
        <f t="shared" si="0"/>
        <v>0</v>
      </c>
      <c r="I24" s="89">
        <v>300000</v>
      </c>
      <c r="J24" s="89" t="s">
        <v>617</v>
      </c>
      <c r="K24" s="89" t="s">
        <v>482</v>
      </c>
      <c r="L24" s="89"/>
      <c r="M24" s="47"/>
      <c r="N24" s="47"/>
    </row>
    <row r="25" spans="1:14" s="355" customFormat="1" ht="15" x14ac:dyDescent="0.25">
      <c r="A25" s="1">
        <v>21</v>
      </c>
      <c r="B25" s="1" t="s">
        <v>583</v>
      </c>
      <c r="C25" s="32">
        <v>4089</v>
      </c>
      <c r="D25" s="1">
        <v>20000</v>
      </c>
      <c r="E25" s="1" t="s">
        <v>642</v>
      </c>
      <c r="F25" s="1">
        <v>222.54</v>
      </c>
      <c r="G25" s="1">
        <v>20000</v>
      </c>
      <c r="H25" s="5">
        <f t="shared" si="0"/>
        <v>0</v>
      </c>
      <c r="I25" s="89">
        <v>700000</v>
      </c>
      <c r="J25" s="89" t="s">
        <v>617</v>
      </c>
      <c r="K25" s="89" t="s">
        <v>548</v>
      </c>
      <c r="L25" s="89"/>
      <c r="M25" s="47"/>
      <c r="N25" s="47"/>
    </row>
    <row r="26" spans="1:14" s="355" customFormat="1" ht="15" x14ac:dyDescent="0.25">
      <c r="A26" s="1">
        <v>22</v>
      </c>
      <c r="B26" s="1" t="s">
        <v>583</v>
      </c>
      <c r="C26" s="32">
        <v>6650</v>
      </c>
      <c r="D26" s="1">
        <v>22223</v>
      </c>
      <c r="E26" s="1" t="s">
        <v>642</v>
      </c>
      <c r="F26" s="1">
        <v>247.35</v>
      </c>
      <c r="G26" s="1">
        <v>22223</v>
      </c>
      <c r="H26" s="5">
        <f t="shared" si="0"/>
        <v>0</v>
      </c>
      <c r="I26" s="89">
        <v>1000000</v>
      </c>
      <c r="J26" s="89" t="s">
        <v>621</v>
      </c>
      <c r="K26" s="89" t="s">
        <v>548</v>
      </c>
      <c r="L26" s="89"/>
      <c r="M26" s="47"/>
      <c r="N26" s="47"/>
    </row>
    <row r="27" spans="1:14" s="355" customFormat="1" ht="15" x14ac:dyDescent="0.25">
      <c r="A27" s="1">
        <v>23</v>
      </c>
      <c r="B27" s="1" t="s">
        <v>583</v>
      </c>
      <c r="C27" s="32">
        <v>6326</v>
      </c>
      <c r="D27" s="1">
        <v>20000</v>
      </c>
      <c r="E27" s="1" t="s">
        <v>642</v>
      </c>
      <c r="F27" s="1">
        <v>222.54</v>
      </c>
      <c r="G27" s="1">
        <v>20000</v>
      </c>
      <c r="H27" s="5">
        <f t="shared" si="0"/>
        <v>0</v>
      </c>
      <c r="I27" s="89">
        <v>400000</v>
      </c>
      <c r="J27" s="89" t="s">
        <v>622</v>
      </c>
      <c r="K27" s="89" t="s">
        <v>548</v>
      </c>
      <c r="L27" s="89"/>
      <c r="M27" s="47"/>
      <c r="N27" s="47"/>
    </row>
    <row r="28" spans="1:14" s="355" customFormat="1" ht="15" x14ac:dyDescent="0.25">
      <c r="A28" s="1">
        <v>24</v>
      </c>
      <c r="B28" s="1" t="s">
        <v>583</v>
      </c>
      <c r="C28" s="32">
        <v>2032</v>
      </c>
      <c r="D28" s="1">
        <v>22000</v>
      </c>
      <c r="E28" s="1" t="s">
        <v>642</v>
      </c>
      <c r="F28" s="1">
        <v>246.35</v>
      </c>
      <c r="G28" s="1">
        <v>22000</v>
      </c>
      <c r="H28" s="5">
        <f t="shared" si="0"/>
        <v>0</v>
      </c>
      <c r="I28" s="89">
        <v>400000</v>
      </c>
      <c r="J28" s="89" t="s">
        <v>623</v>
      </c>
      <c r="K28" s="89" t="s">
        <v>548</v>
      </c>
      <c r="L28" s="89"/>
      <c r="M28" s="47"/>
      <c r="N28" s="47"/>
    </row>
    <row r="29" spans="1:14" s="355" customFormat="1" ht="15" x14ac:dyDescent="0.25">
      <c r="A29" s="1">
        <v>25</v>
      </c>
      <c r="B29" s="1" t="s">
        <v>583</v>
      </c>
      <c r="C29" s="32">
        <v>6302</v>
      </c>
      <c r="D29" s="1">
        <v>15000</v>
      </c>
      <c r="E29" s="1" t="s">
        <v>642</v>
      </c>
      <c r="F29" s="1">
        <v>167.15</v>
      </c>
      <c r="G29" s="1">
        <v>15000</v>
      </c>
      <c r="H29" s="5">
        <f t="shared" si="0"/>
        <v>0</v>
      </c>
      <c r="I29" s="89">
        <v>400000</v>
      </c>
      <c r="J29" s="89" t="s">
        <v>624</v>
      </c>
      <c r="K29" s="89" t="s">
        <v>548</v>
      </c>
      <c r="L29" s="89"/>
      <c r="M29" s="47"/>
      <c r="N29" s="47"/>
    </row>
    <row r="30" spans="1:14" s="355" customFormat="1" ht="15" x14ac:dyDescent="0.25">
      <c r="A30" s="1">
        <v>26</v>
      </c>
      <c r="B30" s="1" t="s">
        <v>583</v>
      </c>
      <c r="C30" s="32">
        <v>3128</v>
      </c>
      <c r="D30" s="1">
        <v>28000</v>
      </c>
      <c r="E30" s="1" t="s">
        <v>642</v>
      </c>
      <c r="F30" s="1">
        <v>311.85000000000002</v>
      </c>
      <c r="G30" s="1">
        <v>28000</v>
      </c>
      <c r="H30" s="5">
        <f t="shared" si="0"/>
        <v>0</v>
      </c>
      <c r="I30" s="89">
        <v>500000</v>
      </c>
      <c r="J30" s="89" t="s">
        <v>625</v>
      </c>
      <c r="K30" s="89" t="s">
        <v>548</v>
      </c>
      <c r="L30" s="89"/>
      <c r="M30" s="47"/>
      <c r="N30" s="47"/>
    </row>
    <row r="31" spans="1:14" s="355" customFormat="1" ht="15" x14ac:dyDescent="0.25">
      <c r="A31" s="1">
        <v>27</v>
      </c>
      <c r="B31" s="1" t="s">
        <v>585</v>
      </c>
      <c r="C31" s="32">
        <v>3839</v>
      </c>
      <c r="D31" s="1">
        <v>14000</v>
      </c>
      <c r="E31" s="1" t="s">
        <v>642</v>
      </c>
      <c r="F31" s="1">
        <v>155.74</v>
      </c>
      <c r="G31" s="1">
        <v>14000</v>
      </c>
      <c r="H31" s="5">
        <f t="shared" si="0"/>
        <v>0</v>
      </c>
      <c r="I31" s="89">
        <v>800000</v>
      </c>
      <c r="J31" s="89" t="s">
        <v>626</v>
      </c>
      <c r="K31" s="89" t="s">
        <v>548</v>
      </c>
      <c r="L31" s="89"/>
      <c r="M31" s="47"/>
      <c r="N31" s="47"/>
    </row>
    <row r="32" spans="1:14" s="355" customFormat="1" ht="15" x14ac:dyDescent="0.25">
      <c r="A32" s="1">
        <v>28</v>
      </c>
      <c r="B32" s="1" t="s">
        <v>585</v>
      </c>
      <c r="C32" s="32">
        <v>4.7E-2</v>
      </c>
      <c r="D32" s="1">
        <v>12500</v>
      </c>
      <c r="E32" s="1" t="s">
        <v>642</v>
      </c>
      <c r="F32" s="1">
        <v>139.37</v>
      </c>
      <c r="G32" s="1">
        <v>12500</v>
      </c>
      <c r="H32" s="5">
        <f t="shared" si="0"/>
        <v>0</v>
      </c>
      <c r="I32" s="89"/>
      <c r="J32" s="89"/>
      <c r="K32" s="89"/>
      <c r="L32" s="89"/>
      <c r="M32" s="47"/>
      <c r="N32" s="47"/>
    </row>
    <row r="33" spans="1:13" s="355" customFormat="1" x14ac:dyDescent="0.2">
      <c r="A33" s="1">
        <v>29</v>
      </c>
      <c r="B33" s="1" t="s">
        <v>585</v>
      </c>
      <c r="C33" s="32" t="s">
        <v>30</v>
      </c>
      <c r="D33" s="1">
        <v>4500</v>
      </c>
      <c r="E33" s="1" t="s">
        <v>642</v>
      </c>
      <c r="F33" s="1">
        <v>50.15</v>
      </c>
      <c r="G33" s="1">
        <v>4500</v>
      </c>
      <c r="H33" s="5">
        <f t="shared" si="0"/>
        <v>0</v>
      </c>
      <c r="I33" s="1" t="s">
        <v>75</v>
      </c>
      <c r="J33" s="1"/>
    </row>
    <row r="34" spans="1:13" s="355" customFormat="1" x14ac:dyDescent="0.2">
      <c r="A34" s="1">
        <v>30</v>
      </c>
      <c r="B34" s="1" t="s">
        <v>585</v>
      </c>
      <c r="C34" s="32">
        <v>6591</v>
      </c>
      <c r="D34" s="1">
        <v>22000</v>
      </c>
      <c r="E34" s="1" t="s">
        <v>642</v>
      </c>
      <c r="F34" s="1">
        <v>246.35</v>
      </c>
      <c r="G34" s="1">
        <v>22000</v>
      </c>
      <c r="H34" s="5">
        <f t="shared" si="0"/>
        <v>0</v>
      </c>
      <c r="I34" s="1"/>
      <c r="J34" s="1"/>
    </row>
    <row r="35" spans="1:13" s="355" customFormat="1" x14ac:dyDescent="0.2">
      <c r="A35" s="1">
        <v>31</v>
      </c>
      <c r="B35" s="1" t="s">
        <v>585</v>
      </c>
      <c r="C35" s="32">
        <v>7840</v>
      </c>
      <c r="D35" s="1">
        <v>26000</v>
      </c>
      <c r="E35" s="1" t="s">
        <v>642</v>
      </c>
      <c r="F35" s="1">
        <v>265.37</v>
      </c>
      <c r="G35" s="1">
        <v>26000</v>
      </c>
      <c r="H35" s="5">
        <f t="shared" si="0"/>
        <v>0</v>
      </c>
      <c r="I35" s="1"/>
      <c r="J35" s="1"/>
    </row>
    <row r="36" spans="1:13" s="355" customFormat="1" x14ac:dyDescent="0.2">
      <c r="A36" s="1">
        <v>32</v>
      </c>
      <c r="B36" s="1" t="s">
        <v>585</v>
      </c>
      <c r="C36" s="32">
        <v>5978</v>
      </c>
      <c r="D36" s="1">
        <v>16000</v>
      </c>
      <c r="E36" s="1" t="s">
        <v>642</v>
      </c>
      <c r="F36" s="1">
        <v>178.22</v>
      </c>
      <c r="G36" s="1">
        <v>16000</v>
      </c>
      <c r="H36" s="5">
        <f t="shared" si="0"/>
        <v>0</v>
      </c>
      <c r="I36" s="1"/>
      <c r="J36" s="1"/>
    </row>
    <row r="37" spans="1:13" s="355" customFormat="1" x14ac:dyDescent="0.2">
      <c r="A37" s="1">
        <v>33</v>
      </c>
      <c r="B37" s="1" t="s">
        <v>585</v>
      </c>
      <c r="C37" s="32">
        <v>6573</v>
      </c>
      <c r="D37" s="1">
        <v>16000</v>
      </c>
      <c r="E37" s="1" t="s">
        <v>642</v>
      </c>
      <c r="F37" s="1">
        <v>178.22</v>
      </c>
      <c r="G37" s="1">
        <v>16000</v>
      </c>
      <c r="H37" s="5">
        <f t="shared" si="0"/>
        <v>0</v>
      </c>
      <c r="I37" s="1"/>
      <c r="J37" s="1"/>
    </row>
    <row r="38" spans="1:13" s="355" customFormat="1" x14ac:dyDescent="0.2">
      <c r="A38" s="1">
        <v>34</v>
      </c>
      <c r="B38" s="1" t="s">
        <v>585</v>
      </c>
      <c r="C38" s="32">
        <v>4513</v>
      </c>
      <c r="D38" s="1">
        <v>16000</v>
      </c>
      <c r="E38" s="1" t="s">
        <v>642</v>
      </c>
      <c r="F38" s="1">
        <v>178.22</v>
      </c>
      <c r="G38" s="1">
        <v>16000</v>
      </c>
      <c r="H38" s="5">
        <f t="shared" si="0"/>
        <v>0</v>
      </c>
      <c r="I38" s="1"/>
      <c r="J38" s="1"/>
    </row>
    <row r="39" spans="1:13" s="355" customFormat="1" x14ac:dyDescent="0.2">
      <c r="A39" s="1">
        <v>35</v>
      </c>
      <c r="B39" s="1" t="s">
        <v>585</v>
      </c>
      <c r="C39" s="32">
        <v>5506</v>
      </c>
      <c r="D39" s="1">
        <v>14000</v>
      </c>
      <c r="E39" s="1" t="s">
        <v>642</v>
      </c>
      <c r="F39" s="1">
        <v>155.74</v>
      </c>
      <c r="G39" s="1">
        <v>14000</v>
      </c>
      <c r="H39" s="5">
        <f t="shared" si="0"/>
        <v>0</v>
      </c>
      <c r="I39" s="1"/>
      <c r="J39" s="1"/>
    </row>
    <row r="40" spans="1:13" s="355" customFormat="1" x14ac:dyDescent="0.2">
      <c r="A40" s="1">
        <v>36</v>
      </c>
      <c r="B40" s="1" t="s">
        <v>585</v>
      </c>
      <c r="C40" s="32">
        <v>5.1000000000000004E-3</v>
      </c>
      <c r="D40" s="1">
        <v>17000</v>
      </c>
      <c r="E40" s="1" t="s">
        <v>642</v>
      </c>
      <c r="F40" s="1">
        <v>189.67</v>
      </c>
      <c r="G40" s="1">
        <v>17000</v>
      </c>
      <c r="H40" s="5">
        <f t="shared" si="0"/>
        <v>0</v>
      </c>
      <c r="I40" s="1"/>
      <c r="J40" s="1"/>
    </row>
    <row r="41" spans="1:13" s="355" customFormat="1" x14ac:dyDescent="0.2">
      <c r="A41" s="1">
        <v>37</v>
      </c>
      <c r="B41" s="1" t="s">
        <v>585</v>
      </c>
      <c r="C41" s="32" t="s">
        <v>586</v>
      </c>
      <c r="D41" s="1">
        <v>3500</v>
      </c>
      <c r="E41" s="1" t="s">
        <v>642</v>
      </c>
      <c r="F41" s="1">
        <v>38.15</v>
      </c>
      <c r="G41" s="1">
        <v>3500</v>
      </c>
      <c r="H41" s="5">
        <f t="shared" si="0"/>
        <v>0</v>
      </c>
      <c r="I41" s="1"/>
      <c r="J41" s="1"/>
    </row>
    <row r="42" spans="1:13" s="355" customFormat="1" x14ac:dyDescent="0.2">
      <c r="A42" s="1">
        <v>38</v>
      </c>
      <c r="B42" s="1" t="s">
        <v>585</v>
      </c>
      <c r="C42" s="32">
        <v>1652</v>
      </c>
      <c r="D42" s="1">
        <v>14000</v>
      </c>
      <c r="E42" s="1" t="s">
        <v>642</v>
      </c>
      <c r="F42" s="1">
        <v>155.74</v>
      </c>
      <c r="G42" s="1">
        <v>14000</v>
      </c>
      <c r="H42" s="5">
        <f t="shared" si="0"/>
        <v>0</v>
      </c>
      <c r="I42" s="1"/>
      <c r="J42" s="1"/>
    </row>
    <row r="43" spans="1:13" s="355" customFormat="1" ht="15" x14ac:dyDescent="0.25">
      <c r="A43" s="1">
        <v>39</v>
      </c>
      <c r="B43" s="1" t="s">
        <v>585</v>
      </c>
      <c r="C43" s="32" t="s">
        <v>587</v>
      </c>
      <c r="D43" s="1">
        <v>210</v>
      </c>
      <c r="E43" s="1" t="s">
        <v>642</v>
      </c>
      <c r="F43" s="1">
        <v>2.08</v>
      </c>
      <c r="G43" s="1">
        <v>210</v>
      </c>
      <c r="H43" s="5">
        <f t="shared" si="0"/>
        <v>0</v>
      </c>
      <c r="I43" s="1"/>
      <c r="J43" s="1"/>
      <c r="M43" s="356"/>
    </row>
    <row r="44" spans="1:13" s="355" customFormat="1" x14ac:dyDescent="0.2">
      <c r="A44" s="1">
        <v>40</v>
      </c>
      <c r="B44" s="1" t="s">
        <v>585</v>
      </c>
      <c r="C44" s="32">
        <v>7211</v>
      </c>
      <c r="D44" s="1">
        <v>24000</v>
      </c>
      <c r="E44" s="1" t="s">
        <v>642</v>
      </c>
      <c r="F44" s="1">
        <v>267.97000000000003</v>
      </c>
      <c r="G44" s="1">
        <v>24000</v>
      </c>
      <c r="H44" s="5">
        <f t="shared" si="0"/>
        <v>0</v>
      </c>
      <c r="I44" s="1"/>
      <c r="J44" s="1"/>
    </row>
    <row r="45" spans="1:13" s="355" customFormat="1" x14ac:dyDescent="0.2">
      <c r="A45" s="1">
        <v>41</v>
      </c>
      <c r="B45" s="1" t="s">
        <v>585</v>
      </c>
      <c r="C45" s="32">
        <v>7411</v>
      </c>
      <c r="D45" s="1">
        <v>23000</v>
      </c>
      <c r="E45" s="1" t="s">
        <v>642</v>
      </c>
      <c r="F45" s="1">
        <v>256.72000000000003</v>
      </c>
      <c r="G45" s="1">
        <v>23000</v>
      </c>
      <c r="H45" s="5">
        <f t="shared" si="0"/>
        <v>0</v>
      </c>
      <c r="I45" s="1"/>
      <c r="J45" s="1"/>
    </row>
    <row r="46" spans="1:13" s="355" customFormat="1" x14ac:dyDescent="0.2">
      <c r="A46" s="1">
        <v>42</v>
      </c>
      <c r="B46" s="1" t="s">
        <v>585</v>
      </c>
      <c r="C46" s="32">
        <v>4159</v>
      </c>
      <c r="D46" s="1">
        <v>19000</v>
      </c>
      <c r="E46" s="1" t="s">
        <v>642</v>
      </c>
      <c r="F46" s="1">
        <v>211.34</v>
      </c>
      <c r="G46" s="1">
        <v>19000</v>
      </c>
      <c r="H46" s="5">
        <f t="shared" si="0"/>
        <v>0</v>
      </c>
      <c r="I46" s="1"/>
      <c r="J46" s="1"/>
    </row>
    <row r="47" spans="1:13" s="355" customFormat="1" x14ac:dyDescent="0.2">
      <c r="A47" s="1">
        <v>43</v>
      </c>
      <c r="B47" s="1" t="s">
        <v>585</v>
      </c>
      <c r="C47" s="32">
        <v>2444</v>
      </c>
      <c r="D47" s="1">
        <v>15000</v>
      </c>
      <c r="E47" s="1" t="s">
        <v>642</v>
      </c>
      <c r="F47" s="1">
        <v>167.15</v>
      </c>
      <c r="G47" s="1">
        <v>15000</v>
      </c>
      <c r="H47" s="5">
        <f t="shared" si="0"/>
        <v>0</v>
      </c>
      <c r="I47" s="1"/>
      <c r="J47" s="1"/>
    </row>
    <row r="48" spans="1:13" s="355" customFormat="1" x14ac:dyDescent="0.2">
      <c r="A48" s="1">
        <v>44</v>
      </c>
      <c r="B48" s="1" t="s">
        <v>585</v>
      </c>
      <c r="C48" s="32">
        <v>8.1500000000000003E-2</v>
      </c>
      <c r="D48" s="1">
        <v>25000</v>
      </c>
      <c r="E48" s="1" t="s">
        <v>642</v>
      </c>
      <c r="F48" s="1">
        <v>278.22000000000003</v>
      </c>
      <c r="G48" s="1">
        <v>25000</v>
      </c>
      <c r="H48" s="5">
        <f t="shared" si="0"/>
        <v>0</v>
      </c>
      <c r="I48" s="1"/>
      <c r="J48" s="1"/>
    </row>
    <row r="49" spans="1:15" s="355" customFormat="1" x14ac:dyDescent="0.2">
      <c r="A49" s="1">
        <v>45</v>
      </c>
      <c r="B49" s="1" t="s">
        <v>585</v>
      </c>
      <c r="C49" s="32">
        <v>6511</v>
      </c>
      <c r="D49" s="1">
        <v>5000</v>
      </c>
      <c r="E49" s="1" t="s">
        <v>642</v>
      </c>
      <c r="F49" s="1">
        <v>55.45</v>
      </c>
      <c r="G49" s="1">
        <v>5000</v>
      </c>
      <c r="H49" s="5">
        <f t="shared" si="0"/>
        <v>0</v>
      </c>
      <c r="I49" s="1"/>
      <c r="J49" s="1"/>
    </row>
    <row r="50" spans="1:15" s="355" customFormat="1" x14ac:dyDescent="0.2">
      <c r="A50" s="1">
        <v>46</v>
      </c>
      <c r="B50" s="1" t="s">
        <v>585</v>
      </c>
      <c r="C50" s="32">
        <v>1205</v>
      </c>
      <c r="D50" s="1">
        <v>20000</v>
      </c>
      <c r="E50" s="1" t="s">
        <v>642</v>
      </c>
      <c r="F50" s="1">
        <v>222.54</v>
      </c>
      <c r="G50" s="1">
        <v>20000</v>
      </c>
      <c r="H50" s="5">
        <f t="shared" si="0"/>
        <v>0</v>
      </c>
      <c r="I50" s="1"/>
      <c r="J50" s="1"/>
    </row>
    <row r="51" spans="1:15" s="355" customFormat="1" x14ac:dyDescent="0.2">
      <c r="A51" s="1">
        <v>47</v>
      </c>
      <c r="B51" s="1" t="s">
        <v>585</v>
      </c>
      <c r="C51" s="32">
        <v>4365</v>
      </c>
      <c r="D51" s="1">
        <v>20000</v>
      </c>
      <c r="E51" s="1" t="s">
        <v>642</v>
      </c>
      <c r="F51" s="1">
        <v>222.54</v>
      </c>
      <c r="G51" s="1">
        <v>20000</v>
      </c>
      <c r="H51" s="5">
        <f t="shared" si="0"/>
        <v>0</v>
      </c>
      <c r="I51" s="1"/>
      <c r="J51" s="1"/>
    </row>
    <row r="52" spans="1:15" s="355" customFormat="1" ht="15" thickBot="1" x14ac:dyDescent="0.25">
      <c r="A52" s="1">
        <v>48</v>
      </c>
      <c r="B52" s="1" t="s">
        <v>585</v>
      </c>
      <c r="C52" s="32">
        <v>4553</v>
      </c>
      <c r="D52" s="1">
        <v>20000</v>
      </c>
      <c r="E52" s="1" t="s">
        <v>642</v>
      </c>
      <c r="F52" s="1">
        <v>222.54</v>
      </c>
      <c r="G52" s="1">
        <v>20000</v>
      </c>
      <c r="H52" s="5">
        <f t="shared" si="0"/>
        <v>0</v>
      </c>
      <c r="I52" s="1"/>
      <c r="J52" s="1"/>
    </row>
    <row r="53" spans="1:15" s="355" customFormat="1" ht="15.75" thickBot="1" x14ac:dyDescent="0.3">
      <c r="A53" s="1">
        <v>49</v>
      </c>
      <c r="B53" s="1" t="s">
        <v>585</v>
      </c>
      <c r="C53" s="32">
        <v>5592</v>
      </c>
      <c r="D53" s="1">
        <v>20000</v>
      </c>
      <c r="E53" s="1" t="s">
        <v>642</v>
      </c>
      <c r="F53" s="1">
        <v>222.54</v>
      </c>
      <c r="G53" s="1">
        <v>20000</v>
      </c>
      <c r="H53" s="5">
        <f t="shared" si="0"/>
        <v>0</v>
      </c>
      <c r="I53" s="1"/>
      <c r="J53" s="1"/>
      <c r="K53" s="86">
        <f>2701715-2663201</f>
        <v>38514</v>
      </c>
      <c r="L53" s="358" t="s">
        <v>588</v>
      </c>
      <c r="M53" s="359"/>
      <c r="N53" s="359" t="s">
        <v>95</v>
      </c>
      <c r="O53" s="360">
        <f>38514-35271</f>
        <v>3243</v>
      </c>
    </row>
    <row r="54" spans="1:15" s="357" customFormat="1" x14ac:dyDescent="0.2">
      <c r="A54" s="1">
        <v>50</v>
      </c>
      <c r="B54" s="1" t="s">
        <v>589</v>
      </c>
      <c r="C54" s="32">
        <v>6444</v>
      </c>
      <c r="D54" s="1">
        <v>14000</v>
      </c>
      <c r="E54" s="1" t="s">
        <v>642</v>
      </c>
      <c r="F54" s="1">
        <v>155.74</v>
      </c>
      <c r="G54" s="1">
        <v>14000</v>
      </c>
      <c r="H54" s="5">
        <f t="shared" si="0"/>
        <v>0</v>
      </c>
      <c r="I54" s="1"/>
      <c r="J54" s="1"/>
    </row>
    <row r="55" spans="1:15" s="357" customFormat="1" x14ac:dyDescent="0.2">
      <c r="A55" s="1">
        <v>51</v>
      </c>
      <c r="B55" s="1" t="s">
        <v>589</v>
      </c>
      <c r="C55" s="32">
        <v>1738</v>
      </c>
      <c r="D55" s="1">
        <v>16000</v>
      </c>
      <c r="E55" s="1" t="s">
        <v>642</v>
      </c>
      <c r="F55" s="1">
        <v>178.22</v>
      </c>
      <c r="G55" s="1">
        <v>16000</v>
      </c>
      <c r="H55" s="5">
        <f t="shared" si="0"/>
        <v>0</v>
      </c>
      <c r="I55" s="1"/>
      <c r="J55" s="1"/>
    </row>
    <row r="56" spans="1:15" s="357" customFormat="1" x14ac:dyDescent="0.2">
      <c r="A56" s="1">
        <v>52</v>
      </c>
      <c r="B56" s="1" t="s">
        <v>589</v>
      </c>
      <c r="C56" s="32">
        <v>5668</v>
      </c>
      <c r="D56" s="1">
        <v>10000</v>
      </c>
      <c r="E56" s="1" t="s">
        <v>642</v>
      </c>
      <c r="F56" s="1">
        <v>111.41</v>
      </c>
      <c r="G56" s="1">
        <v>10000</v>
      </c>
      <c r="H56" s="5">
        <f t="shared" si="0"/>
        <v>0</v>
      </c>
      <c r="I56" s="1"/>
      <c r="J56" s="1"/>
    </row>
    <row r="57" spans="1:15" s="357" customFormat="1" x14ac:dyDescent="0.2">
      <c r="A57" s="1">
        <v>53</v>
      </c>
      <c r="B57" s="1" t="s">
        <v>589</v>
      </c>
      <c r="C57" s="32">
        <v>2810</v>
      </c>
      <c r="D57" s="1">
        <v>16000</v>
      </c>
      <c r="E57" s="1" t="s">
        <v>642</v>
      </c>
      <c r="F57" s="1">
        <v>178.22</v>
      </c>
      <c r="G57" s="1">
        <v>16000</v>
      </c>
      <c r="H57" s="5">
        <f t="shared" si="0"/>
        <v>0</v>
      </c>
      <c r="I57" s="1"/>
      <c r="J57" s="1"/>
    </row>
    <row r="58" spans="1:15" s="357" customFormat="1" x14ac:dyDescent="0.2">
      <c r="A58" s="1">
        <v>54</v>
      </c>
      <c r="B58" s="1" t="s">
        <v>589</v>
      </c>
      <c r="C58" s="32">
        <v>1611</v>
      </c>
      <c r="D58" s="1">
        <v>18000</v>
      </c>
      <c r="E58" s="1" t="s">
        <v>642</v>
      </c>
      <c r="F58" s="1">
        <v>200.97</v>
      </c>
      <c r="G58" s="1">
        <v>18000</v>
      </c>
      <c r="H58" s="5">
        <f t="shared" si="0"/>
        <v>0</v>
      </c>
      <c r="I58" s="1"/>
      <c r="J58" s="1"/>
    </row>
    <row r="59" spans="1:15" s="357" customFormat="1" x14ac:dyDescent="0.2">
      <c r="A59" s="1">
        <v>55</v>
      </c>
      <c r="B59" s="1" t="s">
        <v>589</v>
      </c>
      <c r="C59" s="32">
        <v>3662</v>
      </c>
      <c r="D59" s="1">
        <v>20000</v>
      </c>
      <c r="E59" s="1" t="s">
        <v>642</v>
      </c>
      <c r="F59" s="1">
        <v>222.54</v>
      </c>
      <c r="G59" s="1">
        <v>20000</v>
      </c>
      <c r="H59" s="5">
        <f t="shared" si="0"/>
        <v>0</v>
      </c>
      <c r="I59" s="1"/>
      <c r="J59" s="1"/>
    </row>
    <row r="60" spans="1:15" s="357" customFormat="1" x14ac:dyDescent="0.2">
      <c r="A60" s="1">
        <v>56</v>
      </c>
      <c r="B60" s="1" t="s">
        <v>589</v>
      </c>
      <c r="C60" s="32">
        <v>4514</v>
      </c>
      <c r="D60" s="1">
        <v>16000</v>
      </c>
      <c r="E60" s="1" t="s">
        <v>642</v>
      </c>
      <c r="F60" s="1">
        <v>178.22</v>
      </c>
      <c r="G60" s="1">
        <v>16000</v>
      </c>
      <c r="H60" s="5">
        <f t="shared" si="0"/>
        <v>0</v>
      </c>
      <c r="I60" s="1"/>
      <c r="J60" s="1"/>
    </row>
    <row r="61" spans="1:15" s="357" customFormat="1" x14ac:dyDescent="0.2">
      <c r="A61" s="1">
        <v>57</v>
      </c>
      <c r="B61" s="1" t="s">
        <v>589</v>
      </c>
      <c r="C61" s="32">
        <v>4059</v>
      </c>
      <c r="D61" s="1">
        <v>16000</v>
      </c>
      <c r="E61" s="1" t="s">
        <v>642</v>
      </c>
      <c r="F61" s="1">
        <v>178.22</v>
      </c>
      <c r="G61" s="1">
        <v>16000</v>
      </c>
      <c r="H61" s="5">
        <f t="shared" si="0"/>
        <v>0</v>
      </c>
      <c r="J61" s="1"/>
    </row>
    <row r="62" spans="1:15" s="357" customFormat="1" x14ac:dyDescent="0.2">
      <c r="A62" s="1">
        <v>58</v>
      </c>
      <c r="B62" s="1" t="s">
        <v>589</v>
      </c>
      <c r="C62" s="32">
        <v>4058</v>
      </c>
      <c r="D62" s="1">
        <v>16000</v>
      </c>
      <c r="E62" s="1" t="s">
        <v>642</v>
      </c>
      <c r="F62" s="1">
        <v>178.22</v>
      </c>
      <c r="G62" s="1">
        <v>16000</v>
      </c>
      <c r="H62" s="5">
        <f t="shared" si="0"/>
        <v>0</v>
      </c>
      <c r="I62" s="1"/>
      <c r="J62" s="1"/>
    </row>
    <row r="63" spans="1:15" s="357" customFormat="1" x14ac:dyDescent="0.2">
      <c r="A63" s="1">
        <v>59</v>
      </c>
      <c r="B63" s="1" t="s">
        <v>589</v>
      </c>
      <c r="C63" s="32" t="s">
        <v>30</v>
      </c>
      <c r="D63" s="1">
        <v>5000</v>
      </c>
      <c r="E63" s="1" t="s">
        <v>642</v>
      </c>
      <c r="F63" s="1">
        <v>55.45</v>
      </c>
      <c r="G63" s="1">
        <v>5000</v>
      </c>
      <c r="H63" s="5">
        <f t="shared" si="0"/>
        <v>0</v>
      </c>
      <c r="I63" s="1"/>
      <c r="J63" s="1"/>
    </row>
    <row r="64" spans="1:15" s="357" customFormat="1" x14ac:dyDescent="0.2">
      <c r="A64" s="1">
        <v>60</v>
      </c>
      <c r="B64" s="1" t="s">
        <v>589</v>
      </c>
      <c r="C64" s="32">
        <v>1982</v>
      </c>
      <c r="D64" s="1">
        <v>15000</v>
      </c>
      <c r="E64" s="1" t="s">
        <v>642</v>
      </c>
      <c r="F64" s="1">
        <v>167.15</v>
      </c>
      <c r="G64" s="1">
        <v>15000</v>
      </c>
      <c r="H64" s="5">
        <f t="shared" si="0"/>
        <v>0</v>
      </c>
      <c r="I64" s="1"/>
      <c r="J64" s="1"/>
    </row>
    <row r="65" spans="1:10" s="357" customFormat="1" x14ac:dyDescent="0.2">
      <c r="A65" s="1">
        <v>61</v>
      </c>
      <c r="B65" s="1" t="s">
        <v>589</v>
      </c>
      <c r="C65" s="32">
        <v>8771</v>
      </c>
      <c r="D65" s="1">
        <v>15000</v>
      </c>
      <c r="E65" s="1" t="s">
        <v>642</v>
      </c>
      <c r="F65" s="1">
        <v>167.15</v>
      </c>
      <c r="G65" s="1">
        <v>15000</v>
      </c>
      <c r="H65" s="5">
        <f t="shared" si="0"/>
        <v>0</v>
      </c>
      <c r="I65" s="1"/>
      <c r="J65" s="1"/>
    </row>
    <row r="66" spans="1:10" s="357" customFormat="1" x14ac:dyDescent="0.2">
      <c r="A66" s="1">
        <v>62</v>
      </c>
      <c r="B66" s="1" t="s">
        <v>589</v>
      </c>
      <c r="C66" s="32">
        <v>4451</v>
      </c>
      <c r="D66" s="1">
        <v>15000</v>
      </c>
      <c r="E66" s="1" t="s">
        <v>642</v>
      </c>
      <c r="F66" s="1">
        <v>167.15</v>
      </c>
      <c r="G66" s="1">
        <v>15000</v>
      </c>
      <c r="H66" s="5">
        <f t="shared" si="0"/>
        <v>0</v>
      </c>
      <c r="I66" s="1"/>
      <c r="J66" s="1"/>
    </row>
    <row r="67" spans="1:10" s="357" customFormat="1" x14ac:dyDescent="0.2">
      <c r="A67" s="1">
        <v>63</v>
      </c>
      <c r="B67" s="1" t="s">
        <v>589</v>
      </c>
      <c r="C67" s="32">
        <v>7676</v>
      </c>
      <c r="D67" s="1">
        <v>25000</v>
      </c>
      <c r="E67" s="1" t="s">
        <v>642</v>
      </c>
      <c r="F67" s="1">
        <v>278.82</v>
      </c>
      <c r="G67" s="1">
        <v>25000</v>
      </c>
      <c r="H67" s="5">
        <f t="shared" si="0"/>
        <v>0</v>
      </c>
      <c r="I67" s="1"/>
      <c r="J67" s="1"/>
    </row>
    <row r="68" spans="1:10" s="357" customFormat="1" x14ac:dyDescent="0.2">
      <c r="A68" s="1">
        <v>64</v>
      </c>
      <c r="B68" s="1" t="s">
        <v>589</v>
      </c>
      <c r="C68" s="32">
        <v>1561</v>
      </c>
      <c r="D68" s="1">
        <v>20000</v>
      </c>
      <c r="E68" s="1" t="s">
        <v>642</v>
      </c>
      <c r="F68" s="1">
        <v>222.54</v>
      </c>
      <c r="G68" s="1">
        <v>20000</v>
      </c>
      <c r="H68" s="5">
        <f t="shared" si="0"/>
        <v>0</v>
      </c>
      <c r="I68" s="1"/>
      <c r="J68" s="1"/>
    </row>
    <row r="69" spans="1:10" s="357" customFormat="1" x14ac:dyDescent="0.2">
      <c r="A69" s="1">
        <v>65</v>
      </c>
      <c r="B69" s="1" t="s">
        <v>589</v>
      </c>
      <c r="C69" s="32">
        <v>1606</v>
      </c>
      <c r="D69" s="1">
        <v>25000</v>
      </c>
      <c r="E69" s="1" t="s">
        <v>642</v>
      </c>
      <c r="F69" s="1">
        <v>278.22000000000003</v>
      </c>
      <c r="G69" s="1">
        <v>25000</v>
      </c>
      <c r="H69" s="5">
        <f t="shared" si="0"/>
        <v>0</v>
      </c>
      <c r="I69" s="1"/>
      <c r="J69" s="1"/>
    </row>
    <row r="70" spans="1:10" s="357" customFormat="1" x14ac:dyDescent="0.2">
      <c r="A70" s="1">
        <v>66</v>
      </c>
      <c r="B70" s="1" t="s">
        <v>589</v>
      </c>
      <c r="C70" s="32">
        <v>9751</v>
      </c>
      <c r="D70" s="1">
        <v>13000</v>
      </c>
      <c r="E70" s="1" t="s">
        <v>642</v>
      </c>
      <c r="F70" s="1">
        <v>144.13</v>
      </c>
      <c r="G70" s="1">
        <v>13000</v>
      </c>
      <c r="H70" s="5">
        <f t="shared" si="0"/>
        <v>0</v>
      </c>
      <c r="I70" s="1"/>
      <c r="J70" s="1"/>
    </row>
    <row r="71" spans="1:10" s="357" customFormat="1" x14ac:dyDescent="0.2">
      <c r="A71" s="1">
        <v>67</v>
      </c>
      <c r="B71" s="1" t="s">
        <v>589</v>
      </c>
      <c r="C71" s="32">
        <v>3966</v>
      </c>
      <c r="D71" s="1">
        <v>16000</v>
      </c>
      <c r="E71" s="1" t="s">
        <v>642</v>
      </c>
      <c r="F71" s="1">
        <v>178.22</v>
      </c>
      <c r="G71" s="1">
        <v>16000</v>
      </c>
      <c r="H71" s="5">
        <f t="shared" ref="H71:H135" si="1">D71-G71</f>
        <v>0</v>
      </c>
      <c r="I71" s="1"/>
      <c r="J71" s="1"/>
    </row>
    <row r="72" spans="1:10" s="357" customFormat="1" x14ac:dyDescent="0.2">
      <c r="A72" s="1">
        <v>68</v>
      </c>
      <c r="B72" s="1" t="s">
        <v>589</v>
      </c>
      <c r="C72" s="32">
        <v>5.8400000000000001E-2</v>
      </c>
      <c r="D72" s="1">
        <v>21000</v>
      </c>
      <c r="E72" s="1" t="s">
        <v>642</v>
      </c>
      <c r="F72" s="1">
        <v>233.54</v>
      </c>
      <c r="G72" s="1">
        <v>21000</v>
      </c>
      <c r="H72" s="5">
        <f t="shared" si="1"/>
        <v>0</v>
      </c>
      <c r="I72" s="1"/>
      <c r="J72" s="1"/>
    </row>
    <row r="73" spans="1:10" s="357" customFormat="1" x14ac:dyDescent="0.2">
      <c r="A73" s="1">
        <v>69</v>
      </c>
      <c r="B73" s="1" t="s">
        <v>589</v>
      </c>
      <c r="C73" s="32">
        <v>9831</v>
      </c>
      <c r="D73" s="1">
        <v>25000</v>
      </c>
      <c r="E73" s="1" t="s">
        <v>642</v>
      </c>
      <c r="F73" s="1">
        <v>278.22000000000003</v>
      </c>
      <c r="G73" s="1">
        <v>25000</v>
      </c>
      <c r="H73" s="5">
        <f t="shared" si="1"/>
        <v>0</v>
      </c>
      <c r="I73" s="1"/>
      <c r="J73" s="1"/>
    </row>
    <row r="74" spans="1:10" s="357" customFormat="1" x14ac:dyDescent="0.2">
      <c r="A74" s="1">
        <v>70</v>
      </c>
      <c r="B74" s="1" t="s">
        <v>589</v>
      </c>
      <c r="C74" s="32">
        <v>4297</v>
      </c>
      <c r="D74" s="1">
        <v>15000</v>
      </c>
      <c r="E74" s="1" t="s">
        <v>642</v>
      </c>
      <c r="F74" s="1">
        <v>167.15</v>
      </c>
      <c r="G74" s="1">
        <v>15000</v>
      </c>
      <c r="H74" s="5">
        <f t="shared" si="1"/>
        <v>0</v>
      </c>
      <c r="I74" s="1"/>
      <c r="J74" s="1"/>
    </row>
    <row r="75" spans="1:10" s="357" customFormat="1" x14ac:dyDescent="0.2">
      <c r="A75" s="1">
        <v>71</v>
      </c>
      <c r="B75" s="1" t="s">
        <v>589</v>
      </c>
      <c r="C75" s="32">
        <v>3427</v>
      </c>
      <c r="D75" s="1">
        <v>10000</v>
      </c>
      <c r="E75" s="1" t="s">
        <v>642</v>
      </c>
      <c r="F75" s="1">
        <v>111.41</v>
      </c>
      <c r="G75" s="1">
        <v>10000</v>
      </c>
      <c r="H75" s="5">
        <f t="shared" si="1"/>
        <v>0</v>
      </c>
      <c r="I75" s="1"/>
      <c r="J75" s="1"/>
    </row>
    <row r="76" spans="1:10" s="357" customFormat="1" x14ac:dyDescent="0.2">
      <c r="A76" s="1">
        <v>72</v>
      </c>
      <c r="B76" s="1" t="s">
        <v>589</v>
      </c>
      <c r="C76" s="32">
        <v>7890</v>
      </c>
      <c r="D76" s="1">
        <v>22000</v>
      </c>
      <c r="E76" s="1" t="s">
        <v>642</v>
      </c>
      <c r="F76" s="1">
        <v>245.64</v>
      </c>
      <c r="G76" s="1">
        <v>22000</v>
      </c>
      <c r="H76" s="5">
        <f t="shared" si="1"/>
        <v>0</v>
      </c>
      <c r="I76" s="1"/>
      <c r="J76" s="1"/>
    </row>
    <row r="77" spans="1:10" s="357" customFormat="1" x14ac:dyDescent="0.2">
      <c r="A77" s="1">
        <v>73</v>
      </c>
      <c r="B77" s="1" t="s">
        <v>589</v>
      </c>
      <c r="C77" s="32">
        <v>7188</v>
      </c>
      <c r="D77" s="1">
        <v>23000</v>
      </c>
      <c r="E77" s="1" t="s">
        <v>642</v>
      </c>
      <c r="F77" s="1">
        <v>256.38</v>
      </c>
      <c r="G77" s="1">
        <v>23000</v>
      </c>
      <c r="H77" s="5">
        <f t="shared" si="1"/>
        <v>0</v>
      </c>
      <c r="I77" s="1"/>
      <c r="J77" s="1"/>
    </row>
    <row r="78" spans="1:10" s="357" customFormat="1" x14ac:dyDescent="0.2">
      <c r="A78" s="1">
        <v>74</v>
      </c>
      <c r="B78" s="1" t="s">
        <v>589</v>
      </c>
      <c r="C78" s="32">
        <v>5.1499999999999997E-2</v>
      </c>
      <c r="D78" s="1">
        <v>20000</v>
      </c>
      <c r="E78" s="1" t="s">
        <v>642</v>
      </c>
      <c r="F78" s="1">
        <v>222.54</v>
      </c>
      <c r="G78" s="1">
        <v>20000</v>
      </c>
      <c r="H78" s="5">
        <f t="shared" si="1"/>
        <v>0</v>
      </c>
      <c r="I78" s="1"/>
      <c r="J78" s="1"/>
    </row>
    <row r="79" spans="1:10" s="357" customFormat="1" x14ac:dyDescent="0.2">
      <c r="A79" s="1">
        <v>75</v>
      </c>
      <c r="B79" s="1" t="s">
        <v>589</v>
      </c>
      <c r="C79" s="32">
        <v>1752</v>
      </c>
      <c r="D79" s="1">
        <v>12500</v>
      </c>
      <c r="E79" s="1" t="s">
        <v>642</v>
      </c>
      <c r="F79" s="1">
        <v>139.66999999999999</v>
      </c>
      <c r="G79" s="1">
        <v>12500</v>
      </c>
      <c r="H79" s="5">
        <f t="shared" si="1"/>
        <v>0</v>
      </c>
      <c r="I79" s="1"/>
      <c r="J79" s="1"/>
    </row>
    <row r="80" spans="1:10" s="357" customFormat="1" x14ac:dyDescent="0.2">
      <c r="A80" s="1">
        <v>76</v>
      </c>
      <c r="B80" s="1" t="s">
        <v>589</v>
      </c>
      <c r="C80" s="32">
        <v>7346</v>
      </c>
      <c r="D80" s="1">
        <v>14000</v>
      </c>
      <c r="E80" s="1" t="s">
        <v>642</v>
      </c>
      <c r="F80" s="1">
        <v>155.72</v>
      </c>
      <c r="G80" s="1">
        <v>14000</v>
      </c>
      <c r="H80" s="5">
        <f t="shared" si="1"/>
        <v>0</v>
      </c>
      <c r="I80" s="1"/>
      <c r="J80" s="1"/>
    </row>
    <row r="81" spans="1:16" s="357" customFormat="1" x14ac:dyDescent="0.2">
      <c r="A81" s="1">
        <v>77</v>
      </c>
      <c r="B81" s="1" t="s">
        <v>589</v>
      </c>
      <c r="C81" s="32">
        <v>8686</v>
      </c>
      <c r="D81" s="1">
        <v>20000</v>
      </c>
      <c r="E81" s="1" t="s">
        <v>642</v>
      </c>
      <c r="F81" s="1">
        <v>222.54</v>
      </c>
      <c r="G81" s="1">
        <v>20000</v>
      </c>
      <c r="H81" s="5">
        <f t="shared" si="1"/>
        <v>0</v>
      </c>
      <c r="I81" s="1"/>
      <c r="J81" s="1"/>
    </row>
    <row r="82" spans="1:16" s="357" customFormat="1" x14ac:dyDescent="0.2">
      <c r="A82" s="1">
        <v>78</v>
      </c>
      <c r="B82" s="1" t="s">
        <v>589</v>
      </c>
      <c r="C82" s="32">
        <v>2516</v>
      </c>
      <c r="D82" s="1">
        <v>25000</v>
      </c>
      <c r="E82" s="1" t="s">
        <v>642</v>
      </c>
      <c r="F82" s="1">
        <v>278.22000000000003</v>
      </c>
      <c r="G82" s="1">
        <v>25000</v>
      </c>
      <c r="H82" s="5">
        <f t="shared" si="1"/>
        <v>0</v>
      </c>
      <c r="I82" s="1"/>
      <c r="J82" s="1"/>
    </row>
    <row r="83" spans="1:16" s="357" customFormat="1" ht="15" thickBot="1" x14ac:dyDescent="0.25">
      <c r="A83" s="1">
        <v>79</v>
      </c>
      <c r="B83" s="1" t="s">
        <v>589</v>
      </c>
      <c r="C83" s="32">
        <v>3368</v>
      </c>
      <c r="D83" s="1">
        <v>22000</v>
      </c>
      <c r="E83" s="1" t="s">
        <v>642</v>
      </c>
      <c r="F83" s="1">
        <v>245.75</v>
      </c>
      <c r="G83" s="1">
        <v>22000</v>
      </c>
      <c r="H83" s="5">
        <f t="shared" si="1"/>
        <v>0</v>
      </c>
      <c r="I83" s="1"/>
      <c r="J83" s="1"/>
    </row>
    <row r="84" spans="1:16" s="357" customFormat="1" ht="15.75" thickBot="1" x14ac:dyDescent="0.3">
      <c r="A84" s="1">
        <v>80</v>
      </c>
      <c r="B84" s="1" t="s">
        <v>589</v>
      </c>
      <c r="C84" s="32">
        <v>1932</v>
      </c>
      <c r="D84" s="1">
        <v>20000</v>
      </c>
      <c r="E84" s="1" t="s">
        <v>642</v>
      </c>
      <c r="F84" s="1">
        <v>222.51</v>
      </c>
      <c r="G84" s="1">
        <v>20000</v>
      </c>
      <c r="H84" s="5">
        <f t="shared" si="1"/>
        <v>0</v>
      </c>
      <c r="I84" s="1"/>
      <c r="J84" s="1"/>
      <c r="K84" s="86">
        <f>2527286-2503701</f>
        <v>23585</v>
      </c>
      <c r="L84" s="358" t="s">
        <v>590</v>
      </c>
      <c r="M84" s="359"/>
      <c r="N84" s="359" t="s">
        <v>95</v>
      </c>
      <c r="O84" s="360">
        <f>23585-20342</f>
        <v>3243</v>
      </c>
      <c r="P84" s="361"/>
    </row>
    <row r="85" spans="1:16" s="361" customFormat="1" ht="15" x14ac:dyDescent="0.25">
      <c r="A85" s="1">
        <v>81</v>
      </c>
      <c r="B85" s="1" t="s">
        <v>591</v>
      </c>
      <c r="C85" s="32">
        <v>5250</v>
      </c>
      <c r="D85" s="1">
        <v>17000</v>
      </c>
      <c r="E85" s="1" t="s">
        <v>642</v>
      </c>
      <c r="F85" s="1">
        <v>189.64</v>
      </c>
      <c r="G85" s="1">
        <v>17000</v>
      </c>
      <c r="H85" s="5">
        <f t="shared" si="1"/>
        <v>0</v>
      </c>
      <c r="I85" s="1"/>
      <c r="J85" s="1"/>
      <c r="K85" s="86"/>
    </row>
    <row r="86" spans="1:16" s="361" customFormat="1" ht="15" x14ac:dyDescent="0.25">
      <c r="A86" s="1">
        <v>82</v>
      </c>
      <c r="B86" s="1" t="s">
        <v>591</v>
      </c>
      <c r="C86" s="32">
        <v>6659</v>
      </c>
      <c r="D86" s="1">
        <v>16000</v>
      </c>
      <c r="E86" s="1" t="s">
        <v>642</v>
      </c>
      <c r="F86" s="1">
        <v>178.22</v>
      </c>
      <c r="G86" s="1">
        <v>16000</v>
      </c>
      <c r="H86" s="5">
        <f t="shared" si="1"/>
        <v>0</v>
      </c>
      <c r="I86" s="1"/>
      <c r="J86" s="1"/>
      <c r="K86" s="86"/>
    </row>
    <row r="87" spans="1:16" s="361" customFormat="1" ht="15" x14ac:dyDescent="0.25">
      <c r="A87" s="1">
        <v>83</v>
      </c>
      <c r="B87" s="1" t="s">
        <v>591</v>
      </c>
      <c r="C87" s="32">
        <v>2809</v>
      </c>
      <c r="D87" s="1">
        <v>16000</v>
      </c>
      <c r="E87" s="1" t="s">
        <v>642</v>
      </c>
      <c r="F87" s="1">
        <v>178.22</v>
      </c>
      <c r="G87" s="1">
        <v>16000</v>
      </c>
      <c r="H87" s="5">
        <f t="shared" si="1"/>
        <v>0</v>
      </c>
      <c r="I87" s="1"/>
      <c r="J87" s="1"/>
      <c r="K87" s="86"/>
    </row>
    <row r="88" spans="1:16" s="361" customFormat="1" ht="15" x14ac:dyDescent="0.25">
      <c r="A88" s="1">
        <v>84</v>
      </c>
      <c r="B88" s="1" t="s">
        <v>591</v>
      </c>
      <c r="C88" s="32">
        <v>5.1999999999999998E-3</v>
      </c>
      <c r="D88" s="1">
        <v>17000</v>
      </c>
      <c r="E88" s="1" t="s">
        <v>642</v>
      </c>
      <c r="F88" s="1">
        <v>189.64</v>
      </c>
      <c r="G88" s="1">
        <v>17000</v>
      </c>
      <c r="H88" s="5">
        <f t="shared" si="1"/>
        <v>0</v>
      </c>
      <c r="I88" s="1"/>
      <c r="J88" s="1"/>
      <c r="K88" s="86"/>
    </row>
    <row r="89" spans="1:16" s="361" customFormat="1" ht="15" x14ac:dyDescent="0.25">
      <c r="A89" s="1">
        <v>85</v>
      </c>
      <c r="B89" s="1" t="s">
        <v>591</v>
      </c>
      <c r="C89" s="32">
        <v>8651</v>
      </c>
      <c r="D89" s="1">
        <v>13000</v>
      </c>
      <c r="E89" s="1" t="s">
        <v>642</v>
      </c>
      <c r="F89" s="1">
        <v>144.13</v>
      </c>
      <c r="G89" s="1">
        <v>13000</v>
      </c>
      <c r="H89" s="5">
        <f t="shared" si="1"/>
        <v>0</v>
      </c>
      <c r="I89" s="1"/>
      <c r="J89" s="1"/>
      <c r="K89" s="86"/>
    </row>
    <row r="90" spans="1:16" s="361" customFormat="1" ht="15" x14ac:dyDescent="0.25">
      <c r="A90" s="1">
        <v>86</v>
      </c>
      <c r="B90" s="1" t="s">
        <v>591</v>
      </c>
      <c r="C90" s="32">
        <v>4962</v>
      </c>
      <c r="D90" s="1">
        <v>15000</v>
      </c>
      <c r="E90" s="1" t="s">
        <v>642</v>
      </c>
      <c r="F90" s="1">
        <v>167.15</v>
      </c>
      <c r="G90" s="1">
        <v>15000</v>
      </c>
      <c r="H90" s="5">
        <f t="shared" si="1"/>
        <v>0</v>
      </c>
      <c r="I90" s="1"/>
      <c r="J90" s="1"/>
      <c r="K90" s="86"/>
    </row>
    <row r="91" spans="1:16" s="361" customFormat="1" ht="15" x14ac:dyDescent="0.25">
      <c r="A91" s="1">
        <v>87</v>
      </c>
      <c r="B91" s="1" t="s">
        <v>591</v>
      </c>
      <c r="C91" s="32" t="s">
        <v>30</v>
      </c>
      <c r="D91" s="1">
        <v>4500</v>
      </c>
      <c r="E91" s="1" t="s">
        <v>642</v>
      </c>
      <c r="F91" s="1">
        <v>50.35</v>
      </c>
      <c r="G91" s="1">
        <v>4500</v>
      </c>
      <c r="H91" s="5">
        <f t="shared" si="1"/>
        <v>0</v>
      </c>
      <c r="I91" s="1"/>
      <c r="J91" s="1"/>
      <c r="K91" s="86"/>
    </row>
    <row r="92" spans="1:16" s="361" customFormat="1" ht="15" x14ac:dyDescent="0.25">
      <c r="A92" s="1">
        <v>88</v>
      </c>
      <c r="B92" s="1" t="s">
        <v>591</v>
      </c>
      <c r="C92" s="32">
        <v>2677</v>
      </c>
      <c r="D92" s="1">
        <v>10000</v>
      </c>
      <c r="E92" s="1" t="s">
        <v>642</v>
      </c>
      <c r="F92" s="1">
        <v>111.41</v>
      </c>
      <c r="G92" s="1">
        <v>10000</v>
      </c>
      <c r="H92" s="5">
        <f t="shared" si="1"/>
        <v>0</v>
      </c>
      <c r="I92" s="1"/>
      <c r="J92" s="1"/>
      <c r="K92" s="86"/>
    </row>
    <row r="93" spans="1:16" s="361" customFormat="1" ht="15" x14ac:dyDescent="0.25">
      <c r="A93" s="1">
        <v>89</v>
      </c>
      <c r="B93" s="1" t="s">
        <v>591</v>
      </c>
      <c r="C93" s="32">
        <v>3839</v>
      </c>
      <c r="D93" s="1">
        <v>14000</v>
      </c>
      <c r="E93" s="1" t="s">
        <v>642</v>
      </c>
      <c r="F93" s="1">
        <v>155.74</v>
      </c>
      <c r="G93" s="1">
        <v>14000</v>
      </c>
      <c r="H93" s="5">
        <f t="shared" si="1"/>
        <v>0</v>
      </c>
      <c r="I93" s="1"/>
      <c r="J93" s="1"/>
      <c r="K93" s="86"/>
    </row>
    <row r="94" spans="1:16" s="361" customFormat="1" ht="15" x14ac:dyDescent="0.25">
      <c r="A94" s="1">
        <v>90</v>
      </c>
      <c r="B94" s="1" t="s">
        <v>591</v>
      </c>
      <c r="C94" s="32">
        <v>3665</v>
      </c>
      <c r="D94" s="1">
        <v>18000</v>
      </c>
      <c r="E94" s="1" t="s">
        <v>642</v>
      </c>
      <c r="F94" s="1">
        <v>200.97</v>
      </c>
      <c r="G94" s="1">
        <v>18000</v>
      </c>
      <c r="H94" s="5">
        <f t="shared" si="1"/>
        <v>0</v>
      </c>
      <c r="I94" s="1"/>
      <c r="J94" s="1"/>
      <c r="K94" s="86"/>
    </row>
    <row r="95" spans="1:16" s="361" customFormat="1" ht="15" x14ac:dyDescent="0.25">
      <c r="A95" s="1">
        <v>91</v>
      </c>
      <c r="B95" s="1" t="s">
        <v>591</v>
      </c>
      <c r="C95" s="32">
        <v>6596</v>
      </c>
      <c r="D95" s="1">
        <v>12000</v>
      </c>
      <c r="E95" s="1" t="s">
        <v>642</v>
      </c>
      <c r="F95" s="1">
        <v>133.63999999999999</v>
      </c>
      <c r="G95" s="1">
        <v>12000</v>
      </c>
      <c r="H95" s="5">
        <f t="shared" si="1"/>
        <v>0</v>
      </c>
      <c r="I95" s="1"/>
      <c r="J95" s="1"/>
      <c r="K95" s="86"/>
    </row>
    <row r="96" spans="1:16" s="361" customFormat="1" ht="15" x14ac:dyDescent="0.25">
      <c r="A96" s="1">
        <v>92</v>
      </c>
      <c r="B96" s="1" t="s">
        <v>591</v>
      </c>
      <c r="C96" s="32">
        <v>9581</v>
      </c>
      <c r="D96" s="1">
        <v>15000</v>
      </c>
      <c r="E96" s="1" t="s">
        <v>642</v>
      </c>
      <c r="F96" s="1">
        <v>167.15</v>
      </c>
      <c r="G96" s="1">
        <v>15000</v>
      </c>
      <c r="H96" s="5">
        <f t="shared" si="1"/>
        <v>0</v>
      </c>
      <c r="I96" s="1"/>
      <c r="J96" s="1"/>
      <c r="K96" s="86"/>
    </row>
    <row r="97" spans="1:15" s="361" customFormat="1" ht="15" x14ac:dyDescent="0.25">
      <c r="A97" s="1">
        <v>93</v>
      </c>
      <c r="B97" s="1" t="s">
        <v>591</v>
      </c>
      <c r="C97" s="32">
        <v>9230</v>
      </c>
      <c r="D97" s="1">
        <v>16000</v>
      </c>
      <c r="E97" s="1" t="s">
        <v>642</v>
      </c>
      <c r="F97" s="1">
        <v>178.22</v>
      </c>
      <c r="G97" s="1">
        <v>16000</v>
      </c>
      <c r="H97" s="5">
        <f t="shared" si="1"/>
        <v>0</v>
      </c>
      <c r="I97" s="1"/>
      <c r="J97" s="1"/>
      <c r="K97" s="86"/>
    </row>
    <row r="98" spans="1:15" s="361" customFormat="1" ht="15" x14ac:dyDescent="0.25">
      <c r="A98" s="1">
        <v>94</v>
      </c>
      <c r="B98" s="1" t="s">
        <v>591</v>
      </c>
      <c r="C98" s="32">
        <v>4513</v>
      </c>
      <c r="D98" s="1">
        <v>16000</v>
      </c>
      <c r="E98" s="1" t="s">
        <v>642</v>
      </c>
      <c r="F98" s="1">
        <v>178.22</v>
      </c>
      <c r="G98" s="1">
        <v>16000</v>
      </c>
      <c r="H98" s="5">
        <f t="shared" si="1"/>
        <v>0</v>
      </c>
      <c r="I98" s="1"/>
      <c r="J98" s="1"/>
      <c r="K98" s="86"/>
    </row>
    <row r="99" spans="1:15" s="361" customFormat="1" ht="15" x14ac:dyDescent="0.25">
      <c r="A99" s="1">
        <v>95</v>
      </c>
      <c r="B99" s="1" t="s">
        <v>591</v>
      </c>
      <c r="C99" s="32">
        <v>6573</v>
      </c>
      <c r="D99" s="1">
        <v>16000</v>
      </c>
      <c r="E99" s="1" t="s">
        <v>642</v>
      </c>
      <c r="F99" s="1">
        <v>178.22</v>
      </c>
      <c r="G99" s="1">
        <v>16000</v>
      </c>
      <c r="H99" s="5">
        <f t="shared" si="1"/>
        <v>0</v>
      </c>
      <c r="I99" s="1"/>
      <c r="J99" s="1"/>
      <c r="K99" s="86"/>
    </row>
    <row r="100" spans="1:15" s="361" customFormat="1" ht="15" x14ac:dyDescent="0.25">
      <c r="A100" s="1">
        <v>96</v>
      </c>
      <c r="B100" s="1" t="s">
        <v>591</v>
      </c>
      <c r="C100" s="32">
        <v>9028</v>
      </c>
      <c r="D100" s="1">
        <v>10000</v>
      </c>
      <c r="E100" s="1" t="s">
        <v>642</v>
      </c>
      <c r="F100" s="1">
        <v>111.41</v>
      </c>
      <c r="G100" s="1">
        <v>10000</v>
      </c>
      <c r="H100" s="5">
        <f t="shared" si="1"/>
        <v>0</v>
      </c>
      <c r="I100" s="1"/>
      <c r="J100" s="1"/>
      <c r="K100" s="86"/>
    </row>
    <row r="101" spans="1:15" s="361" customFormat="1" ht="15" x14ac:dyDescent="0.25">
      <c r="A101" s="1">
        <v>97</v>
      </c>
      <c r="B101" s="1" t="s">
        <v>591</v>
      </c>
      <c r="C101" s="32">
        <v>6845</v>
      </c>
      <c r="D101" s="1">
        <v>30000</v>
      </c>
      <c r="E101" s="1" t="s">
        <v>642</v>
      </c>
      <c r="F101" s="1">
        <v>334.87</v>
      </c>
      <c r="G101" s="1">
        <v>30000</v>
      </c>
      <c r="H101" s="5">
        <f t="shared" si="1"/>
        <v>0</v>
      </c>
      <c r="I101" s="1"/>
      <c r="J101" s="1"/>
      <c r="K101" s="86"/>
    </row>
    <row r="102" spans="1:15" s="361" customFormat="1" ht="15" x14ac:dyDescent="0.25">
      <c r="A102" s="1">
        <v>98</v>
      </c>
      <c r="B102" s="1" t="s">
        <v>591</v>
      </c>
      <c r="C102" s="32">
        <v>2191</v>
      </c>
      <c r="D102" s="1">
        <v>20000</v>
      </c>
      <c r="E102" s="1" t="s">
        <v>642</v>
      </c>
      <c r="F102" s="1">
        <v>222.64</v>
      </c>
      <c r="G102" s="1">
        <v>20000</v>
      </c>
      <c r="H102" s="5">
        <f t="shared" si="1"/>
        <v>0</v>
      </c>
      <c r="I102" s="1"/>
      <c r="J102" s="1"/>
      <c r="K102" s="86"/>
    </row>
    <row r="103" spans="1:15" s="361" customFormat="1" ht="15" x14ac:dyDescent="0.25">
      <c r="A103" s="1">
        <v>99</v>
      </c>
      <c r="B103" s="1" t="s">
        <v>591</v>
      </c>
      <c r="C103" s="32">
        <v>7572</v>
      </c>
      <c r="D103" s="1">
        <v>20411</v>
      </c>
      <c r="E103" s="1" t="s">
        <v>642</v>
      </c>
      <c r="F103" s="1">
        <v>278.22000000000003</v>
      </c>
      <c r="G103" s="1">
        <v>20411</v>
      </c>
      <c r="H103" s="5">
        <f t="shared" si="1"/>
        <v>0</v>
      </c>
      <c r="I103" s="1"/>
      <c r="J103" s="1"/>
      <c r="K103" s="86"/>
    </row>
    <row r="104" spans="1:15" s="361" customFormat="1" ht="15" x14ac:dyDescent="0.25">
      <c r="A104" s="1">
        <v>100</v>
      </c>
      <c r="B104" s="1" t="s">
        <v>591</v>
      </c>
      <c r="C104" s="32">
        <v>4485</v>
      </c>
      <c r="D104" s="1">
        <v>14100</v>
      </c>
      <c r="E104" s="1" t="s">
        <v>642</v>
      </c>
      <c r="F104" s="1">
        <v>157.62</v>
      </c>
      <c r="G104" s="1">
        <v>14100</v>
      </c>
      <c r="H104" s="5">
        <f t="shared" si="1"/>
        <v>0</v>
      </c>
      <c r="I104" s="1"/>
      <c r="J104" s="1"/>
      <c r="K104" s="86"/>
    </row>
    <row r="105" spans="1:15" s="361" customFormat="1" ht="15" x14ac:dyDescent="0.25">
      <c r="A105" s="1">
        <v>101</v>
      </c>
      <c r="B105" s="1" t="s">
        <v>591</v>
      </c>
      <c r="C105" s="32">
        <v>8986</v>
      </c>
      <c r="D105" s="1">
        <v>27000</v>
      </c>
      <c r="E105" s="1" t="s">
        <v>642</v>
      </c>
      <c r="F105" s="1">
        <v>300.87</v>
      </c>
      <c r="G105" s="1">
        <v>27000</v>
      </c>
      <c r="H105" s="5">
        <f t="shared" si="1"/>
        <v>0</v>
      </c>
      <c r="I105" s="1"/>
      <c r="J105" s="1"/>
      <c r="K105" s="86"/>
    </row>
    <row r="106" spans="1:15" s="361" customFormat="1" ht="15" x14ac:dyDescent="0.25">
      <c r="A106" s="1">
        <v>102</v>
      </c>
      <c r="B106" s="1" t="s">
        <v>591</v>
      </c>
      <c r="C106" s="32">
        <v>9705</v>
      </c>
      <c r="D106" s="1">
        <v>25000</v>
      </c>
      <c r="E106" s="1" t="s">
        <v>642</v>
      </c>
      <c r="F106" s="1">
        <v>278.64</v>
      </c>
      <c r="G106" s="1">
        <v>25000</v>
      </c>
      <c r="H106" s="5">
        <f t="shared" si="1"/>
        <v>0</v>
      </c>
      <c r="I106" s="1"/>
      <c r="J106" s="1"/>
      <c r="K106" s="86"/>
    </row>
    <row r="107" spans="1:15" s="361" customFormat="1" ht="15" x14ac:dyDescent="0.25">
      <c r="A107" s="1">
        <v>103</v>
      </c>
      <c r="B107" s="1" t="s">
        <v>591</v>
      </c>
      <c r="C107" s="32">
        <v>5498</v>
      </c>
      <c r="D107" s="1">
        <v>21000</v>
      </c>
      <c r="E107" s="1" t="s">
        <v>642</v>
      </c>
      <c r="F107" s="1">
        <v>233.38</v>
      </c>
      <c r="G107" s="1">
        <v>21000</v>
      </c>
      <c r="H107" s="5">
        <f t="shared" si="1"/>
        <v>0</v>
      </c>
      <c r="I107" s="1"/>
      <c r="J107" s="1"/>
      <c r="K107" s="86"/>
    </row>
    <row r="108" spans="1:15" s="361" customFormat="1" ht="15" x14ac:dyDescent="0.25">
      <c r="A108" s="1">
        <v>104</v>
      </c>
      <c r="B108" s="1" t="s">
        <v>591</v>
      </c>
      <c r="C108" s="32">
        <v>9831</v>
      </c>
      <c r="D108" s="1">
        <v>20000</v>
      </c>
      <c r="E108" s="1" t="s">
        <v>642</v>
      </c>
      <c r="F108" s="1">
        <v>222.64</v>
      </c>
      <c r="G108" s="1">
        <v>20000</v>
      </c>
      <c r="H108" s="5">
        <f t="shared" si="1"/>
        <v>0</v>
      </c>
      <c r="I108" s="1"/>
      <c r="J108" s="1"/>
      <c r="K108" s="86"/>
    </row>
    <row r="109" spans="1:15" s="361" customFormat="1" ht="15" x14ac:dyDescent="0.25">
      <c r="A109" s="1">
        <v>105</v>
      </c>
      <c r="B109" s="1" t="s">
        <v>591</v>
      </c>
      <c r="C109" s="32">
        <v>1580</v>
      </c>
      <c r="D109" s="1">
        <v>26800</v>
      </c>
      <c r="E109" s="1" t="s">
        <v>642</v>
      </c>
      <c r="F109" s="1">
        <v>298.83</v>
      </c>
      <c r="G109" s="1">
        <v>26800</v>
      </c>
      <c r="H109" s="5">
        <f t="shared" si="1"/>
        <v>0</v>
      </c>
      <c r="I109" s="1"/>
      <c r="J109" s="1"/>
      <c r="K109" s="86"/>
    </row>
    <row r="110" spans="1:15" s="361" customFormat="1" ht="15.75" thickBot="1" x14ac:dyDescent="0.3">
      <c r="A110" s="1">
        <v>106</v>
      </c>
      <c r="B110" s="1" t="s">
        <v>591</v>
      </c>
      <c r="C110" s="32">
        <v>7643</v>
      </c>
      <c r="D110" s="1">
        <v>30000</v>
      </c>
      <c r="E110" s="1" t="s">
        <v>642</v>
      </c>
      <c r="F110" s="1">
        <v>334.87</v>
      </c>
      <c r="G110" s="1">
        <v>30000</v>
      </c>
      <c r="H110" s="5">
        <f t="shared" si="1"/>
        <v>0</v>
      </c>
      <c r="I110" s="1"/>
      <c r="J110" s="1"/>
      <c r="K110" s="86"/>
    </row>
    <row r="111" spans="1:15" s="361" customFormat="1" ht="15.75" thickBot="1" x14ac:dyDescent="0.3">
      <c r="A111" s="1">
        <v>107</v>
      </c>
      <c r="B111" s="1" t="s">
        <v>591</v>
      </c>
      <c r="C111" s="32">
        <v>3922</v>
      </c>
      <c r="D111" s="1">
        <v>25000</v>
      </c>
      <c r="E111" s="1" t="s">
        <v>642</v>
      </c>
      <c r="F111" s="1">
        <v>278.22000000000003</v>
      </c>
      <c r="G111" s="1">
        <v>25000</v>
      </c>
      <c r="H111" s="5">
        <f t="shared" si="1"/>
        <v>0</v>
      </c>
      <c r="I111" s="1"/>
      <c r="J111" s="1"/>
      <c r="K111" s="86">
        <f>2409627-2388512</f>
        <v>21115</v>
      </c>
      <c r="L111" s="358" t="s">
        <v>593</v>
      </c>
      <c r="M111" s="359"/>
      <c r="N111" s="359" t="s">
        <v>95</v>
      </c>
      <c r="O111" s="360">
        <f>21115-17872</f>
        <v>3243</v>
      </c>
    </row>
    <row r="112" spans="1:15" s="362" customFormat="1" ht="15" x14ac:dyDescent="0.25">
      <c r="A112" s="1">
        <v>108</v>
      </c>
      <c r="B112" s="1" t="s">
        <v>592</v>
      </c>
      <c r="C112" s="32" t="s">
        <v>587</v>
      </c>
      <c r="D112" s="1">
        <v>210</v>
      </c>
      <c r="E112" s="1" t="s">
        <v>642</v>
      </c>
      <c r="F112" s="1">
        <v>2.08</v>
      </c>
      <c r="G112" s="1">
        <v>210</v>
      </c>
      <c r="H112" s="5">
        <f t="shared" si="1"/>
        <v>0</v>
      </c>
      <c r="I112" s="1"/>
      <c r="J112" s="1"/>
      <c r="K112" s="86"/>
    </row>
    <row r="113" spans="1:11" s="362" customFormat="1" ht="15" x14ac:dyDescent="0.25">
      <c r="A113" s="1">
        <v>109</v>
      </c>
      <c r="B113" s="1" t="s">
        <v>592</v>
      </c>
      <c r="C113" s="32">
        <v>6986</v>
      </c>
      <c r="D113" s="1">
        <v>21000</v>
      </c>
      <c r="E113" s="1" t="s">
        <v>642</v>
      </c>
      <c r="F113" s="1">
        <v>233.38</v>
      </c>
      <c r="G113" s="1">
        <v>21000</v>
      </c>
      <c r="H113" s="5">
        <f t="shared" si="1"/>
        <v>0</v>
      </c>
      <c r="I113" s="1"/>
      <c r="J113" s="1"/>
      <c r="K113" s="86"/>
    </row>
    <row r="114" spans="1:11" s="362" customFormat="1" ht="15" x14ac:dyDescent="0.25">
      <c r="A114" s="1">
        <v>110</v>
      </c>
      <c r="B114" s="1" t="s">
        <v>592</v>
      </c>
      <c r="C114" s="32">
        <v>1507</v>
      </c>
      <c r="D114" s="1">
        <v>30000</v>
      </c>
      <c r="E114" s="1" t="s">
        <v>642</v>
      </c>
      <c r="F114" s="1">
        <v>334.87</v>
      </c>
      <c r="G114" s="1">
        <v>30000</v>
      </c>
      <c r="H114" s="5">
        <f t="shared" si="1"/>
        <v>0</v>
      </c>
      <c r="I114" s="1"/>
      <c r="J114" s="1"/>
      <c r="K114" s="86"/>
    </row>
    <row r="115" spans="1:11" s="362" customFormat="1" ht="15" x14ac:dyDescent="0.25">
      <c r="A115" s="1">
        <v>111</v>
      </c>
      <c r="B115" s="1" t="s">
        <v>592</v>
      </c>
      <c r="C115" s="32">
        <v>5648</v>
      </c>
      <c r="D115" s="1">
        <v>30000</v>
      </c>
      <c r="E115" s="1" t="s">
        <v>642</v>
      </c>
      <c r="F115" s="1">
        <v>334.87</v>
      </c>
      <c r="G115" s="1">
        <v>30000</v>
      </c>
      <c r="H115" s="5">
        <f t="shared" si="1"/>
        <v>0</v>
      </c>
      <c r="I115" s="1"/>
      <c r="J115" s="1"/>
      <c r="K115" s="86"/>
    </row>
    <row r="116" spans="1:11" s="362" customFormat="1" ht="15" x14ac:dyDescent="0.25">
      <c r="A116" s="1">
        <v>112</v>
      </c>
      <c r="B116" s="1" t="s">
        <v>592</v>
      </c>
      <c r="C116" s="32">
        <v>9139</v>
      </c>
      <c r="D116" s="1">
        <v>22000</v>
      </c>
      <c r="E116" s="1" t="s">
        <v>642</v>
      </c>
      <c r="F116" s="1">
        <v>245.64</v>
      </c>
      <c r="G116" s="1">
        <v>22000</v>
      </c>
      <c r="H116" s="5">
        <f t="shared" si="1"/>
        <v>0</v>
      </c>
      <c r="I116" s="1"/>
      <c r="J116" s="1"/>
      <c r="K116" s="86"/>
    </row>
    <row r="117" spans="1:11" s="362" customFormat="1" ht="15" x14ac:dyDescent="0.25">
      <c r="A117" s="1">
        <v>113</v>
      </c>
      <c r="B117" s="1" t="s">
        <v>592</v>
      </c>
      <c r="C117" s="32">
        <v>2644</v>
      </c>
      <c r="D117" s="1">
        <v>25000</v>
      </c>
      <c r="E117" s="1" t="s">
        <v>642</v>
      </c>
      <c r="F117" s="1">
        <v>278.22000000000003</v>
      </c>
      <c r="G117" s="1">
        <v>25000</v>
      </c>
      <c r="H117" s="5">
        <f t="shared" si="1"/>
        <v>0</v>
      </c>
      <c r="I117" s="1"/>
      <c r="J117" s="1"/>
      <c r="K117" s="86"/>
    </row>
    <row r="118" spans="1:11" s="362" customFormat="1" ht="15" x14ac:dyDescent="0.25">
      <c r="A118" s="1">
        <v>114</v>
      </c>
      <c r="B118" s="1" t="s">
        <v>592</v>
      </c>
      <c r="C118" s="32">
        <v>6577</v>
      </c>
      <c r="D118" s="1">
        <v>12000</v>
      </c>
      <c r="E118" s="1" t="s">
        <v>642</v>
      </c>
      <c r="F118" s="1">
        <v>133.87</v>
      </c>
      <c r="G118" s="1">
        <v>12000</v>
      </c>
      <c r="H118" s="5">
        <f t="shared" si="1"/>
        <v>0</v>
      </c>
      <c r="I118" s="1"/>
      <c r="J118" s="1"/>
      <c r="K118" s="86"/>
    </row>
    <row r="119" spans="1:11" s="362" customFormat="1" ht="15" x14ac:dyDescent="0.25">
      <c r="A119" s="1">
        <v>115</v>
      </c>
      <c r="B119" s="1" t="s">
        <v>592</v>
      </c>
      <c r="C119" s="32" t="s">
        <v>586</v>
      </c>
      <c r="D119" s="1">
        <v>3500</v>
      </c>
      <c r="E119" s="1" t="s">
        <v>642</v>
      </c>
      <c r="F119" s="1">
        <v>38.450000000000003</v>
      </c>
      <c r="G119" s="1">
        <v>3500</v>
      </c>
      <c r="H119" s="5">
        <f t="shared" si="1"/>
        <v>0</v>
      </c>
      <c r="I119" s="1"/>
      <c r="J119" s="1"/>
      <c r="K119" s="86"/>
    </row>
    <row r="120" spans="1:11" s="362" customFormat="1" ht="15" x14ac:dyDescent="0.25">
      <c r="A120" s="1">
        <v>116</v>
      </c>
      <c r="B120" s="1" t="s">
        <v>592</v>
      </c>
      <c r="C120" s="32">
        <v>1371</v>
      </c>
      <c r="D120" s="1">
        <v>10000</v>
      </c>
      <c r="E120" s="1" t="s">
        <v>642</v>
      </c>
      <c r="F120" s="1">
        <v>111.41</v>
      </c>
      <c r="G120" s="1">
        <v>10000</v>
      </c>
      <c r="H120" s="5">
        <f t="shared" si="1"/>
        <v>0</v>
      </c>
      <c r="I120" s="1"/>
      <c r="J120" s="1"/>
      <c r="K120" s="86"/>
    </row>
    <row r="121" spans="1:11" s="362" customFormat="1" ht="15" x14ac:dyDescent="0.25">
      <c r="A121" s="1">
        <v>117</v>
      </c>
      <c r="B121" s="1" t="s">
        <v>592</v>
      </c>
      <c r="C121" s="32">
        <v>7296</v>
      </c>
      <c r="D121" s="1">
        <v>25000</v>
      </c>
      <c r="E121" s="1" t="s">
        <v>642</v>
      </c>
      <c r="F121" s="1">
        <v>278.22000000000003</v>
      </c>
      <c r="G121" s="1">
        <v>25000</v>
      </c>
      <c r="H121" s="5">
        <f t="shared" si="1"/>
        <v>0</v>
      </c>
      <c r="I121" s="1"/>
      <c r="J121" s="1"/>
      <c r="K121" s="86"/>
    </row>
    <row r="122" spans="1:11" s="362" customFormat="1" ht="15" x14ac:dyDescent="0.25">
      <c r="A122" s="1">
        <v>118</v>
      </c>
      <c r="B122" s="1" t="s">
        <v>592</v>
      </c>
      <c r="C122" s="32">
        <v>8308</v>
      </c>
      <c r="D122" s="1">
        <v>24000</v>
      </c>
      <c r="E122" s="1" t="s">
        <v>642</v>
      </c>
      <c r="F122" s="1">
        <v>255.38</v>
      </c>
      <c r="G122" s="1">
        <v>24000</v>
      </c>
      <c r="H122" s="5">
        <f t="shared" si="1"/>
        <v>0</v>
      </c>
      <c r="I122" s="1"/>
      <c r="J122" s="1"/>
      <c r="K122" s="86"/>
    </row>
    <row r="123" spans="1:11" s="362" customFormat="1" ht="15" x14ac:dyDescent="0.25">
      <c r="A123" s="1">
        <v>119</v>
      </c>
      <c r="B123" s="1" t="s">
        <v>592</v>
      </c>
      <c r="C123" s="32">
        <v>9655</v>
      </c>
      <c r="D123" s="1">
        <v>15000</v>
      </c>
      <c r="E123" s="1" t="s">
        <v>642</v>
      </c>
      <c r="F123" s="1">
        <v>167.15</v>
      </c>
      <c r="G123" s="1">
        <v>15000</v>
      </c>
      <c r="H123" s="5">
        <f t="shared" si="1"/>
        <v>0</v>
      </c>
      <c r="I123" s="1"/>
      <c r="J123" s="1"/>
      <c r="K123" s="86"/>
    </row>
    <row r="124" spans="1:11" s="362" customFormat="1" ht="15" x14ac:dyDescent="0.25">
      <c r="A124" s="1">
        <v>120</v>
      </c>
      <c r="B124" s="1" t="s">
        <v>592</v>
      </c>
      <c r="C124" s="32">
        <v>6461</v>
      </c>
      <c r="D124" s="1">
        <v>27000</v>
      </c>
      <c r="E124" s="1" t="s">
        <v>642</v>
      </c>
      <c r="F124" s="1">
        <v>300.87</v>
      </c>
      <c r="G124" s="1">
        <v>27000</v>
      </c>
      <c r="H124" s="5">
        <f t="shared" si="1"/>
        <v>0</v>
      </c>
      <c r="I124" s="1"/>
      <c r="J124" s="1"/>
      <c r="K124" s="86"/>
    </row>
    <row r="125" spans="1:11" s="362" customFormat="1" ht="15" x14ac:dyDescent="0.25">
      <c r="A125" s="1">
        <v>121</v>
      </c>
      <c r="B125" s="1" t="s">
        <v>592</v>
      </c>
      <c r="C125" s="32">
        <v>6902</v>
      </c>
      <c r="D125" s="1">
        <v>12000</v>
      </c>
      <c r="E125" s="1" t="s">
        <v>642</v>
      </c>
      <c r="F125" s="1">
        <v>133.87</v>
      </c>
      <c r="G125" s="1">
        <v>12000</v>
      </c>
      <c r="H125" s="5">
        <f t="shared" si="1"/>
        <v>0</v>
      </c>
      <c r="I125" s="1"/>
      <c r="J125" s="1"/>
      <c r="K125" s="86"/>
    </row>
    <row r="126" spans="1:11" s="362" customFormat="1" ht="15" x14ac:dyDescent="0.25">
      <c r="A126" s="1">
        <v>122</v>
      </c>
      <c r="B126" s="1" t="s">
        <v>592</v>
      </c>
      <c r="C126" s="32">
        <v>3317</v>
      </c>
      <c r="D126" s="1">
        <v>27000</v>
      </c>
      <c r="E126" s="1" t="s">
        <v>642</v>
      </c>
      <c r="F126" s="1">
        <v>300.87</v>
      </c>
      <c r="G126" s="1">
        <v>27000</v>
      </c>
      <c r="H126" s="5">
        <f t="shared" si="1"/>
        <v>0</v>
      </c>
      <c r="I126" s="1"/>
      <c r="J126" s="1"/>
      <c r="K126" s="86"/>
    </row>
    <row r="127" spans="1:11" s="362" customFormat="1" ht="15" x14ac:dyDescent="0.25">
      <c r="A127" s="1">
        <v>123</v>
      </c>
      <c r="B127" s="1" t="s">
        <v>592</v>
      </c>
      <c r="C127" s="32">
        <v>7.1099999999999997E-2</v>
      </c>
      <c r="D127" s="1">
        <v>33000</v>
      </c>
      <c r="E127" s="1" t="s">
        <v>642</v>
      </c>
      <c r="F127" s="1">
        <v>367.53</v>
      </c>
      <c r="G127" s="1">
        <v>33000</v>
      </c>
      <c r="H127" s="5">
        <f t="shared" si="1"/>
        <v>0</v>
      </c>
      <c r="I127" s="1"/>
      <c r="J127" s="1"/>
      <c r="K127" s="86"/>
    </row>
    <row r="128" spans="1:11" s="362" customFormat="1" ht="15" x14ac:dyDescent="0.25">
      <c r="A128" s="1">
        <v>124</v>
      </c>
      <c r="B128" s="1" t="s">
        <v>592</v>
      </c>
      <c r="C128" s="32">
        <v>1811</v>
      </c>
      <c r="D128" s="1">
        <v>33000</v>
      </c>
      <c r="E128" s="1" t="s">
        <v>642</v>
      </c>
      <c r="F128" s="1">
        <v>367.53</v>
      </c>
      <c r="G128" s="1">
        <v>33000</v>
      </c>
      <c r="H128" s="5">
        <f t="shared" si="1"/>
        <v>0</v>
      </c>
      <c r="I128" s="1"/>
      <c r="J128" s="1"/>
      <c r="K128" s="86"/>
    </row>
    <row r="129" spans="1:11" s="362" customFormat="1" ht="15" x14ac:dyDescent="0.25">
      <c r="A129" s="1">
        <v>125</v>
      </c>
      <c r="B129" s="1" t="s">
        <v>592</v>
      </c>
      <c r="C129" s="32">
        <v>8311</v>
      </c>
      <c r="D129" s="1">
        <v>24000</v>
      </c>
      <c r="E129" s="1" t="s">
        <v>642</v>
      </c>
      <c r="F129" s="1">
        <v>267.58</v>
      </c>
      <c r="G129" s="1">
        <v>24000</v>
      </c>
      <c r="H129" s="5">
        <f t="shared" si="1"/>
        <v>0</v>
      </c>
      <c r="I129" s="1"/>
      <c r="J129" s="1"/>
      <c r="K129" s="86"/>
    </row>
    <row r="130" spans="1:11" s="362" customFormat="1" ht="15" x14ac:dyDescent="0.25">
      <c r="A130" s="1">
        <v>126</v>
      </c>
      <c r="B130" s="1" t="s">
        <v>592</v>
      </c>
      <c r="C130" s="32">
        <v>4485</v>
      </c>
      <c r="D130" s="1">
        <v>3900</v>
      </c>
      <c r="E130" s="1" t="s">
        <v>642</v>
      </c>
      <c r="F130" s="1">
        <v>48.15</v>
      </c>
      <c r="G130" s="1">
        <v>3900</v>
      </c>
      <c r="H130" s="5">
        <f t="shared" si="1"/>
        <v>0</v>
      </c>
      <c r="I130" s="1"/>
      <c r="J130" s="1"/>
      <c r="K130" s="86"/>
    </row>
    <row r="131" spans="1:11" s="362" customFormat="1" ht="15" x14ac:dyDescent="0.25">
      <c r="A131" s="1">
        <v>127</v>
      </c>
      <c r="B131" s="1" t="s">
        <v>592</v>
      </c>
      <c r="C131" s="32">
        <v>8071</v>
      </c>
      <c r="D131" s="1">
        <v>20000</v>
      </c>
      <c r="E131" s="1" t="s">
        <v>642</v>
      </c>
      <c r="F131" s="1">
        <v>222.64</v>
      </c>
      <c r="G131" s="1">
        <v>20000</v>
      </c>
      <c r="H131" s="5">
        <f t="shared" si="1"/>
        <v>0</v>
      </c>
      <c r="I131" s="1"/>
      <c r="J131" s="1"/>
      <c r="K131" s="86"/>
    </row>
    <row r="132" spans="1:11" s="362" customFormat="1" ht="15" x14ac:dyDescent="0.25">
      <c r="A132" s="1">
        <v>128</v>
      </c>
      <c r="B132" s="1" t="s">
        <v>592</v>
      </c>
      <c r="C132" s="32">
        <v>3.0999999999999999E-3</v>
      </c>
      <c r="D132" s="1">
        <v>26000</v>
      </c>
      <c r="E132" s="1" t="s">
        <v>642</v>
      </c>
      <c r="F132" s="1">
        <v>289.63</v>
      </c>
      <c r="G132" s="1">
        <v>26000</v>
      </c>
      <c r="H132" s="5">
        <f t="shared" si="1"/>
        <v>0</v>
      </c>
      <c r="I132" s="1"/>
      <c r="J132" s="1"/>
      <c r="K132" s="86"/>
    </row>
    <row r="133" spans="1:11" s="362" customFormat="1" ht="15" x14ac:dyDescent="0.25">
      <c r="A133" s="1">
        <v>129</v>
      </c>
      <c r="B133" s="1" t="s">
        <v>592</v>
      </c>
      <c r="C133" s="32">
        <v>2444</v>
      </c>
      <c r="D133" s="1">
        <v>20000</v>
      </c>
      <c r="E133" s="1" t="s">
        <v>642</v>
      </c>
      <c r="F133" s="1">
        <v>222.64</v>
      </c>
      <c r="G133" s="1">
        <v>20000</v>
      </c>
      <c r="H133" s="5">
        <f t="shared" si="1"/>
        <v>0</v>
      </c>
      <c r="I133" s="1"/>
      <c r="J133" s="1"/>
      <c r="K133" s="86"/>
    </row>
    <row r="134" spans="1:11" s="362" customFormat="1" ht="15" x14ac:dyDescent="0.25">
      <c r="A134" s="1">
        <v>130</v>
      </c>
      <c r="B134" s="1" t="s">
        <v>592</v>
      </c>
      <c r="C134" s="32">
        <v>8291</v>
      </c>
      <c r="D134" s="1">
        <v>20000</v>
      </c>
      <c r="E134" s="1" t="s">
        <v>642</v>
      </c>
      <c r="F134" s="1">
        <v>222.64</v>
      </c>
      <c r="G134" s="1">
        <v>20000</v>
      </c>
      <c r="H134" s="5">
        <f t="shared" si="1"/>
        <v>0</v>
      </c>
      <c r="I134" s="1"/>
      <c r="J134" s="1"/>
      <c r="K134" s="86"/>
    </row>
    <row r="135" spans="1:11" s="362" customFormat="1" ht="15" x14ac:dyDescent="0.25">
      <c r="A135" s="1">
        <v>131</v>
      </c>
      <c r="B135" s="1" t="s">
        <v>592</v>
      </c>
      <c r="C135" s="32">
        <v>1.1599999999999999E-2</v>
      </c>
      <c r="D135" s="1">
        <v>27600</v>
      </c>
      <c r="E135" s="1" t="s">
        <v>642</v>
      </c>
      <c r="F135" s="1">
        <v>307.97000000000003</v>
      </c>
      <c r="G135" s="1">
        <v>27600</v>
      </c>
      <c r="H135" s="5">
        <f t="shared" si="1"/>
        <v>0</v>
      </c>
      <c r="I135" s="1"/>
      <c r="J135" s="1"/>
      <c r="K135" s="86"/>
    </row>
    <row r="136" spans="1:11" s="362" customFormat="1" ht="15" x14ac:dyDescent="0.25">
      <c r="A136" s="1">
        <v>132</v>
      </c>
      <c r="B136" s="1" t="s">
        <v>592</v>
      </c>
      <c r="C136" s="32">
        <v>5841</v>
      </c>
      <c r="D136" s="1">
        <v>26000</v>
      </c>
      <c r="E136" s="1" t="s">
        <v>642</v>
      </c>
      <c r="F136" s="1">
        <v>289.83</v>
      </c>
      <c r="G136" s="1">
        <v>26000</v>
      </c>
      <c r="H136" s="5">
        <f t="shared" ref="H136:H199" si="2">D136-G136</f>
        <v>0</v>
      </c>
      <c r="I136" s="1"/>
      <c r="J136" s="1"/>
      <c r="K136" s="86"/>
    </row>
    <row r="137" spans="1:11" s="362" customFormat="1" ht="15" x14ac:dyDescent="0.25">
      <c r="A137" s="1">
        <v>133</v>
      </c>
      <c r="B137" s="1" t="s">
        <v>592</v>
      </c>
      <c r="C137" s="32">
        <v>3548</v>
      </c>
      <c r="D137" s="1">
        <v>12000</v>
      </c>
      <c r="E137" s="1" t="s">
        <v>642</v>
      </c>
      <c r="F137" s="1">
        <v>133.87</v>
      </c>
      <c r="G137" s="1">
        <v>12000</v>
      </c>
      <c r="H137" s="5">
        <f t="shared" si="2"/>
        <v>0</v>
      </c>
      <c r="I137" s="1"/>
      <c r="J137" s="1"/>
      <c r="K137" s="86"/>
    </row>
    <row r="138" spans="1:11" s="362" customFormat="1" ht="15" x14ac:dyDescent="0.25">
      <c r="A138" s="1">
        <v>134</v>
      </c>
      <c r="B138" s="1" t="s">
        <v>592</v>
      </c>
      <c r="C138" s="32">
        <v>9251</v>
      </c>
      <c r="D138" s="1">
        <v>22000</v>
      </c>
      <c r="E138" s="1" t="s">
        <v>642</v>
      </c>
      <c r="F138" s="1">
        <v>245.64</v>
      </c>
      <c r="G138" s="1">
        <v>22000</v>
      </c>
      <c r="H138" s="5">
        <f t="shared" si="2"/>
        <v>0</v>
      </c>
      <c r="I138" s="1"/>
      <c r="J138" s="1"/>
      <c r="K138" s="86"/>
    </row>
    <row r="139" spans="1:11" s="362" customFormat="1" ht="15" x14ac:dyDescent="0.25">
      <c r="A139" s="1">
        <v>135</v>
      </c>
      <c r="B139" s="1" t="s">
        <v>592</v>
      </c>
      <c r="C139" s="32">
        <v>7860</v>
      </c>
      <c r="D139" s="1">
        <v>25000</v>
      </c>
      <c r="E139" s="1" t="s">
        <v>642</v>
      </c>
      <c r="F139" s="1">
        <v>278.22000000000003</v>
      </c>
      <c r="G139" s="1">
        <v>25000</v>
      </c>
      <c r="H139" s="5">
        <f t="shared" si="2"/>
        <v>0</v>
      </c>
      <c r="I139" s="1"/>
      <c r="J139" s="1"/>
      <c r="K139" s="86"/>
    </row>
    <row r="140" spans="1:11" s="362" customFormat="1" ht="15" x14ac:dyDescent="0.25">
      <c r="A140" s="1">
        <v>136</v>
      </c>
      <c r="B140" s="1" t="s">
        <v>592</v>
      </c>
      <c r="C140" s="32">
        <v>7686</v>
      </c>
      <c r="D140" s="1">
        <v>25000</v>
      </c>
      <c r="E140" s="1" t="s">
        <v>642</v>
      </c>
      <c r="F140" s="1">
        <v>278.22000000000003</v>
      </c>
      <c r="G140" s="1">
        <v>25000</v>
      </c>
      <c r="H140" s="5">
        <f t="shared" si="2"/>
        <v>0</v>
      </c>
      <c r="I140" s="1"/>
      <c r="J140" s="1"/>
      <c r="K140" s="86"/>
    </row>
    <row r="141" spans="1:11" s="362" customFormat="1" ht="15" x14ac:dyDescent="0.25">
      <c r="A141" s="1">
        <v>137</v>
      </c>
      <c r="B141" s="1" t="s">
        <v>592</v>
      </c>
      <c r="C141" s="32">
        <v>1940</v>
      </c>
      <c r="D141" s="1">
        <v>30000</v>
      </c>
      <c r="E141" s="1" t="s">
        <v>642</v>
      </c>
      <c r="F141" s="1">
        <v>334.87</v>
      </c>
      <c r="G141" s="1">
        <v>30000</v>
      </c>
      <c r="H141" s="5">
        <f t="shared" si="2"/>
        <v>0</v>
      </c>
      <c r="I141" s="1"/>
      <c r="J141" s="1"/>
      <c r="K141" s="86"/>
    </row>
    <row r="142" spans="1:11" s="362" customFormat="1" ht="15" x14ac:dyDescent="0.25">
      <c r="A142" s="1">
        <v>138</v>
      </c>
      <c r="B142" s="1" t="s">
        <v>592</v>
      </c>
      <c r="C142" s="32">
        <v>6311</v>
      </c>
      <c r="D142" s="1">
        <v>24000</v>
      </c>
      <c r="E142" s="1" t="s">
        <v>642</v>
      </c>
      <c r="F142" s="1">
        <v>267.67</v>
      </c>
      <c r="G142" s="1">
        <v>24000</v>
      </c>
      <c r="H142" s="5">
        <f t="shared" si="2"/>
        <v>0</v>
      </c>
      <c r="I142" s="1"/>
      <c r="J142" s="1"/>
      <c r="K142" s="86"/>
    </row>
    <row r="143" spans="1:11" s="362" customFormat="1" ht="15" x14ac:dyDescent="0.25">
      <c r="A143" s="1">
        <v>139</v>
      </c>
      <c r="B143" s="1" t="s">
        <v>592</v>
      </c>
      <c r="C143" s="32">
        <v>4362</v>
      </c>
      <c r="D143" s="1">
        <v>13000</v>
      </c>
      <c r="E143" s="1" t="s">
        <v>642</v>
      </c>
      <c r="F143" s="1">
        <v>144.13</v>
      </c>
      <c r="G143" s="1">
        <v>13000</v>
      </c>
      <c r="H143" s="5">
        <f t="shared" si="2"/>
        <v>0</v>
      </c>
      <c r="I143" s="1"/>
      <c r="J143" s="1"/>
      <c r="K143" s="86"/>
    </row>
    <row r="144" spans="1:11" s="362" customFormat="1" ht="15" x14ac:dyDescent="0.25">
      <c r="A144" s="1">
        <v>140</v>
      </c>
      <c r="B144" s="1" t="s">
        <v>592</v>
      </c>
      <c r="C144" s="32">
        <v>2992</v>
      </c>
      <c r="D144" s="1">
        <v>20000</v>
      </c>
      <c r="E144" s="1" t="s">
        <v>642</v>
      </c>
      <c r="F144" s="1">
        <v>222.64</v>
      </c>
      <c r="G144" s="1">
        <v>20000</v>
      </c>
      <c r="H144" s="5">
        <f t="shared" si="2"/>
        <v>0</v>
      </c>
      <c r="I144" s="1"/>
      <c r="J144" s="1"/>
      <c r="K144" s="86"/>
    </row>
    <row r="145" spans="1:15" s="362" customFormat="1" ht="15.75" thickBot="1" x14ac:dyDescent="0.3">
      <c r="A145" s="1">
        <v>141</v>
      </c>
      <c r="B145" s="1" t="s">
        <v>592</v>
      </c>
      <c r="C145" s="32">
        <v>3536</v>
      </c>
      <c r="D145" s="1">
        <v>30000</v>
      </c>
      <c r="E145" s="1" t="s">
        <v>642</v>
      </c>
      <c r="F145" s="1">
        <v>334.87</v>
      </c>
      <c r="G145" s="1">
        <v>30000</v>
      </c>
      <c r="H145" s="5">
        <f t="shared" si="2"/>
        <v>0</v>
      </c>
      <c r="I145" s="1"/>
      <c r="J145" s="1"/>
      <c r="K145" s="86"/>
    </row>
    <row r="146" spans="1:15" s="362" customFormat="1" ht="15.75" thickBot="1" x14ac:dyDescent="0.3">
      <c r="A146" s="1">
        <v>142</v>
      </c>
      <c r="B146" s="1" t="s">
        <v>592</v>
      </c>
      <c r="C146" s="32">
        <v>1444</v>
      </c>
      <c r="D146" s="1">
        <v>20000</v>
      </c>
      <c r="E146" s="1" t="s">
        <v>642</v>
      </c>
      <c r="F146" s="1">
        <v>222.64</v>
      </c>
      <c r="G146" s="1">
        <v>20000</v>
      </c>
      <c r="H146" s="5">
        <f t="shared" si="2"/>
        <v>0</v>
      </c>
      <c r="I146" s="1"/>
      <c r="J146" s="1"/>
      <c r="K146" s="86">
        <f>2647837-2626722</f>
        <v>21115</v>
      </c>
      <c r="L146" s="358" t="s">
        <v>593</v>
      </c>
      <c r="M146" s="359"/>
      <c r="N146" s="359" t="s">
        <v>95</v>
      </c>
      <c r="O146" s="360">
        <f>21115-17872</f>
        <v>3243</v>
      </c>
    </row>
    <row r="147" spans="1:15" s="363" customFormat="1" ht="15" x14ac:dyDescent="0.25">
      <c r="A147" s="1">
        <v>143</v>
      </c>
      <c r="B147" s="1" t="s">
        <v>594</v>
      </c>
      <c r="C147" s="32">
        <v>5394</v>
      </c>
      <c r="D147" s="1">
        <v>13000</v>
      </c>
      <c r="E147" s="1" t="s">
        <v>642</v>
      </c>
      <c r="F147" s="1">
        <v>144.13</v>
      </c>
      <c r="G147" s="1">
        <v>13000</v>
      </c>
      <c r="H147" s="5">
        <f t="shared" si="2"/>
        <v>0</v>
      </c>
      <c r="I147" s="1"/>
      <c r="J147" s="1"/>
      <c r="K147" s="86"/>
    </row>
    <row r="148" spans="1:15" s="363" customFormat="1" ht="15" x14ac:dyDescent="0.25">
      <c r="A148" s="1">
        <v>144</v>
      </c>
      <c r="B148" s="1" t="s">
        <v>594</v>
      </c>
      <c r="C148" s="32">
        <v>2286</v>
      </c>
      <c r="D148" s="1">
        <v>13000</v>
      </c>
      <c r="E148" s="1" t="s">
        <v>642</v>
      </c>
      <c r="F148" s="1">
        <v>144.13</v>
      </c>
      <c r="G148" s="1">
        <v>13000</v>
      </c>
      <c r="H148" s="5">
        <f t="shared" si="2"/>
        <v>0</v>
      </c>
      <c r="I148" s="1"/>
      <c r="J148" s="1"/>
      <c r="K148" s="86"/>
    </row>
    <row r="149" spans="1:15" s="363" customFormat="1" ht="15" x14ac:dyDescent="0.25">
      <c r="A149" s="1">
        <v>145</v>
      </c>
      <c r="B149" s="1" t="s">
        <v>594</v>
      </c>
      <c r="C149" s="32">
        <v>6114</v>
      </c>
      <c r="D149" s="1">
        <v>13000</v>
      </c>
      <c r="E149" s="1" t="s">
        <v>642</v>
      </c>
      <c r="F149" s="1">
        <v>144.13</v>
      </c>
      <c r="G149" s="1">
        <v>13000</v>
      </c>
      <c r="H149" s="5">
        <f t="shared" si="2"/>
        <v>0</v>
      </c>
      <c r="I149" s="1"/>
      <c r="J149" s="1"/>
      <c r="K149" s="86"/>
    </row>
    <row r="150" spans="1:15" s="363" customFormat="1" ht="15" x14ac:dyDescent="0.25">
      <c r="A150" s="1">
        <v>146</v>
      </c>
      <c r="B150" s="1" t="s">
        <v>594</v>
      </c>
      <c r="C150" s="32">
        <v>2554</v>
      </c>
      <c r="D150" s="1">
        <v>26000</v>
      </c>
      <c r="E150" s="1" t="s">
        <v>642</v>
      </c>
      <c r="F150" s="1">
        <v>269.64999999999998</v>
      </c>
      <c r="G150" s="1">
        <v>26000</v>
      </c>
      <c r="H150" s="5">
        <f t="shared" si="2"/>
        <v>0</v>
      </c>
      <c r="I150" s="1"/>
      <c r="J150" s="1"/>
      <c r="K150" s="86"/>
    </row>
    <row r="151" spans="1:15" s="363" customFormat="1" ht="15" x14ac:dyDescent="0.25">
      <c r="A151" s="1">
        <v>147</v>
      </c>
      <c r="B151" s="1" t="s">
        <v>594</v>
      </c>
      <c r="C151" s="32">
        <v>4.1399999999999999E-2</v>
      </c>
      <c r="D151" s="1">
        <v>5000</v>
      </c>
      <c r="E151" s="1" t="s">
        <v>642</v>
      </c>
      <c r="F151" s="1">
        <v>55.45</v>
      </c>
      <c r="G151" s="1">
        <v>5000</v>
      </c>
      <c r="H151" s="5">
        <f t="shared" si="2"/>
        <v>0</v>
      </c>
      <c r="I151" s="1"/>
      <c r="J151" s="1"/>
      <c r="K151" s="86"/>
    </row>
    <row r="152" spans="1:15" s="363" customFormat="1" ht="15" x14ac:dyDescent="0.25">
      <c r="A152" s="1">
        <v>148</v>
      </c>
      <c r="B152" s="1" t="s">
        <v>594</v>
      </c>
      <c r="C152" s="32">
        <v>3487</v>
      </c>
      <c r="D152" s="1">
        <v>5000</v>
      </c>
      <c r="E152" s="1" t="s">
        <v>642</v>
      </c>
      <c r="F152" s="1">
        <v>55.45</v>
      </c>
      <c r="G152" s="1">
        <v>5000</v>
      </c>
      <c r="H152" s="5">
        <f t="shared" si="2"/>
        <v>0</v>
      </c>
      <c r="I152" s="1"/>
      <c r="J152" s="1"/>
      <c r="K152" s="86"/>
    </row>
    <row r="153" spans="1:15" s="363" customFormat="1" ht="15" x14ac:dyDescent="0.25">
      <c r="A153" s="1">
        <v>149</v>
      </c>
      <c r="B153" s="1" t="s">
        <v>594</v>
      </c>
      <c r="C153" s="32">
        <v>6.13E-2</v>
      </c>
      <c r="D153" s="1">
        <v>8000</v>
      </c>
      <c r="E153" s="1" t="s">
        <v>642</v>
      </c>
      <c r="F153" s="1">
        <v>89.5</v>
      </c>
      <c r="G153" s="1">
        <v>8000</v>
      </c>
      <c r="H153" s="5">
        <f t="shared" si="2"/>
        <v>0</v>
      </c>
      <c r="I153" s="1"/>
      <c r="J153" s="1"/>
      <c r="K153" s="86"/>
    </row>
    <row r="154" spans="1:15" s="363" customFormat="1" ht="15" x14ac:dyDescent="0.25">
      <c r="A154" s="1">
        <v>150</v>
      </c>
      <c r="B154" s="1" t="s">
        <v>594</v>
      </c>
      <c r="C154" s="32">
        <v>4.7E-2</v>
      </c>
      <c r="D154" s="1">
        <v>12500</v>
      </c>
      <c r="E154" s="1" t="s">
        <v>642</v>
      </c>
      <c r="F154" s="1">
        <v>139.63999999999999</v>
      </c>
      <c r="G154" s="1">
        <v>12500</v>
      </c>
      <c r="H154" s="5">
        <f t="shared" si="2"/>
        <v>0</v>
      </c>
      <c r="I154" s="1"/>
      <c r="J154" s="1"/>
      <c r="K154" s="86"/>
    </row>
    <row r="155" spans="1:15" s="363" customFormat="1" ht="15" x14ac:dyDescent="0.25">
      <c r="A155" s="1">
        <v>151</v>
      </c>
      <c r="B155" s="1" t="s">
        <v>594</v>
      </c>
      <c r="C155" s="32">
        <v>8291</v>
      </c>
      <c r="D155" s="1">
        <v>21000</v>
      </c>
      <c r="E155" s="1" t="s">
        <v>642</v>
      </c>
      <c r="F155" s="1">
        <v>220.64</v>
      </c>
      <c r="G155" s="1">
        <v>21000</v>
      </c>
      <c r="H155" s="5">
        <f t="shared" si="2"/>
        <v>0</v>
      </c>
      <c r="I155" s="1"/>
      <c r="J155" s="1"/>
      <c r="K155" s="86"/>
    </row>
    <row r="156" spans="1:15" s="363" customFormat="1" ht="15" x14ac:dyDescent="0.25">
      <c r="A156" s="1">
        <v>152</v>
      </c>
      <c r="B156" s="1" t="s">
        <v>594</v>
      </c>
      <c r="C156" s="32">
        <v>3356</v>
      </c>
      <c r="D156" s="1">
        <v>7000</v>
      </c>
      <c r="E156" s="1" t="s">
        <v>642</v>
      </c>
      <c r="F156" s="1">
        <v>77.34</v>
      </c>
      <c r="G156" s="1">
        <v>7000</v>
      </c>
      <c r="H156" s="5">
        <f t="shared" si="2"/>
        <v>0</v>
      </c>
      <c r="I156" s="1"/>
      <c r="J156" s="1"/>
      <c r="K156" s="86"/>
    </row>
    <row r="157" spans="1:15" s="363" customFormat="1" ht="15" x14ac:dyDescent="0.25">
      <c r="A157" s="1">
        <v>153</v>
      </c>
      <c r="B157" s="1" t="s">
        <v>594</v>
      </c>
      <c r="C157" s="32">
        <v>2417</v>
      </c>
      <c r="D157" s="1">
        <v>21000</v>
      </c>
      <c r="E157" s="1" t="s">
        <v>642</v>
      </c>
      <c r="F157" s="1">
        <v>233.97</v>
      </c>
      <c r="G157" s="1">
        <v>21000</v>
      </c>
      <c r="H157" s="5">
        <f t="shared" si="2"/>
        <v>0</v>
      </c>
      <c r="I157" s="1"/>
      <c r="J157" s="1"/>
      <c r="K157" s="86"/>
    </row>
    <row r="158" spans="1:15" s="363" customFormat="1" ht="15" x14ac:dyDescent="0.25">
      <c r="A158" s="1">
        <v>154</v>
      </c>
      <c r="B158" s="1" t="s">
        <v>594</v>
      </c>
      <c r="C158" s="32">
        <v>6930</v>
      </c>
      <c r="D158" s="1">
        <v>21000</v>
      </c>
      <c r="E158" s="1" t="s">
        <v>642</v>
      </c>
      <c r="F158" s="1">
        <v>233.97</v>
      </c>
      <c r="G158" s="1">
        <v>21000</v>
      </c>
      <c r="H158" s="5">
        <f t="shared" si="2"/>
        <v>0</v>
      </c>
      <c r="I158" s="1"/>
      <c r="J158" s="1"/>
      <c r="K158" s="86"/>
    </row>
    <row r="159" spans="1:15" s="363" customFormat="1" ht="15" x14ac:dyDescent="0.25">
      <c r="A159" s="1">
        <v>155</v>
      </c>
      <c r="B159" s="1" t="s">
        <v>594</v>
      </c>
      <c r="C159" s="32">
        <v>5976</v>
      </c>
      <c r="D159" s="1">
        <v>8000</v>
      </c>
      <c r="E159" s="1" t="s">
        <v>642</v>
      </c>
      <c r="F159" s="1">
        <v>89.37</v>
      </c>
      <c r="G159" s="1">
        <v>8000</v>
      </c>
      <c r="H159" s="5">
        <f t="shared" si="2"/>
        <v>0</v>
      </c>
      <c r="I159" s="1"/>
      <c r="J159" s="1"/>
      <c r="K159" s="86"/>
    </row>
    <row r="160" spans="1:15" s="363" customFormat="1" ht="15" x14ac:dyDescent="0.25">
      <c r="A160" s="1">
        <v>156</v>
      </c>
      <c r="B160" s="1" t="s">
        <v>594</v>
      </c>
      <c r="C160" s="32">
        <v>8.4599999999999995E-2</v>
      </c>
      <c r="D160" s="1">
        <v>15000</v>
      </c>
      <c r="E160" s="1" t="s">
        <v>642</v>
      </c>
      <c r="F160" s="1">
        <v>167.15</v>
      </c>
      <c r="G160" s="1">
        <v>15000</v>
      </c>
      <c r="H160" s="5">
        <f t="shared" si="2"/>
        <v>0</v>
      </c>
      <c r="I160" s="1"/>
      <c r="J160" s="1"/>
      <c r="K160" s="86"/>
    </row>
    <row r="161" spans="1:11" s="363" customFormat="1" ht="15" x14ac:dyDescent="0.25">
      <c r="A161" s="1">
        <v>157</v>
      </c>
      <c r="B161" s="1" t="s">
        <v>594</v>
      </c>
      <c r="C161" s="32">
        <v>5252</v>
      </c>
      <c r="D161" s="1">
        <v>17000</v>
      </c>
      <c r="E161" s="1" t="s">
        <v>642</v>
      </c>
      <c r="F161" s="1">
        <v>189.38</v>
      </c>
      <c r="G161" s="1">
        <v>17000</v>
      </c>
      <c r="H161" s="5">
        <f t="shared" si="2"/>
        <v>0</v>
      </c>
      <c r="I161" s="1"/>
      <c r="J161" s="1"/>
      <c r="K161" s="86"/>
    </row>
    <row r="162" spans="1:11" s="363" customFormat="1" ht="15" x14ac:dyDescent="0.25">
      <c r="A162" s="1">
        <v>158</v>
      </c>
      <c r="B162" s="1" t="s">
        <v>594</v>
      </c>
      <c r="C162" s="32">
        <v>2779</v>
      </c>
      <c r="D162" s="1">
        <v>22000</v>
      </c>
      <c r="E162" s="1" t="s">
        <v>642</v>
      </c>
      <c r="F162" s="1">
        <v>245.46</v>
      </c>
      <c r="G162" s="1">
        <v>22000</v>
      </c>
      <c r="H162" s="5">
        <f t="shared" si="2"/>
        <v>0</v>
      </c>
      <c r="I162" s="1"/>
      <c r="J162" s="1"/>
      <c r="K162" s="86"/>
    </row>
    <row r="163" spans="1:11" s="363" customFormat="1" ht="15" x14ac:dyDescent="0.25">
      <c r="A163" s="1">
        <v>159</v>
      </c>
      <c r="B163" s="1" t="s">
        <v>594</v>
      </c>
      <c r="C163" s="32">
        <v>3891</v>
      </c>
      <c r="D163" s="1">
        <v>30000</v>
      </c>
      <c r="E163" s="1" t="s">
        <v>642</v>
      </c>
      <c r="F163" s="1">
        <v>334.87</v>
      </c>
      <c r="G163" s="1">
        <v>30000</v>
      </c>
      <c r="H163" s="5">
        <f t="shared" si="2"/>
        <v>0</v>
      </c>
      <c r="I163" s="1"/>
      <c r="J163" s="1"/>
      <c r="K163" s="86"/>
    </row>
    <row r="164" spans="1:11" s="363" customFormat="1" ht="15" x14ac:dyDescent="0.25">
      <c r="A164" s="1">
        <v>160</v>
      </c>
      <c r="B164" s="1" t="s">
        <v>594</v>
      </c>
      <c r="C164" s="32">
        <v>1406</v>
      </c>
      <c r="D164" s="1">
        <v>24000</v>
      </c>
      <c r="E164" s="1" t="s">
        <v>642</v>
      </c>
      <c r="F164" s="1">
        <v>256.74</v>
      </c>
      <c r="G164" s="1">
        <v>24000</v>
      </c>
      <c r="H164" s="5">
        <f t="shared" si="2"/>
        <v>0</v>
      </c>
      <c r="I164" s="1"/>
      <c r="J164" s="1"/>
      <c r="K164" s="86"/>
    </row>
    <row r="165" spans="1:11" s="363" customFormat="1" ht="15" x14ac:dyDescent="0.25">
      <c r="A165" s="1">
        <v>161</v>
      </c>
      <c r="B165" s="1" t="s">
        <v>594</v>
      </c>
      <c r="C165" s="32">
        <v>9924</v>
      </c>
      <c r="D165" s="1">
        <v>25000</v>
      </c>
      <c r="E165" s="1" t="s">
        <v>642</v>
      </c>
      <c r="F165" s="1">
        <v>278.22000000000003</v>
      </c>
      <c r="G165" s="1">
        <v>25000</v>
      </c>
      <c r="H165" s="5">
        <f t="shared" si="2"/>
        <v>0</v>
      </c>
      <c r="I165" s="1"/>
      <c r="J165" s="1"/>
      <c r="K165" s="86"/>
    </row>
    <row r="166" spans="1:11" s="363" customFormat="1" ht="15" x14ac:dyDescent="0.25">
      <c r="A166" s="1">
        <v>162</v>
      </c>
      <c r="B166" s="1" t="s">
        <v>594</v>
      </c>
      <c r="C166" s="32">
        <v>6969</v>
      </c>
      <c r="D166" s="1">
        <v>29000</v>
      </c>
      <c r="E166" s="1" t="s">
        <v>642</v>
      </c>
      <c r="F166" s="1">
        <v>323.68</v>
      </c>
      <c r="G166" s="1">
        <v>29000</v>
      </c>
      <c r="H166" s="5">
        <f t="shared" si="2"/>
        <v>0</v>
      </c>
      <c r="I166" s="1"/>
      <c r="J166" s="1"/>
      <c r="K166" s="86"/>
    </row>
    <row r="167" spans="1:11" s="363" customFormat="1" ht="15" x14ac:dyDescent="0.25">
      <c r="A167" s="1">
        <v>163</v>
      </c>
      <c r="B167" s="1" t="s">
        <v>594</v>
      </c>
      <c r="C167" s="32">
        <v>7091</v>
      </c>
      <c r="D167" s="1">
        <v>20000</v>
      </c>
      <c r="E167" s="1" t="s">
        <v>642</v>
      </c>
      <c r="F167" s="1">
        <v>222.64</v>
      </c>
      <c r="G167" s="1">
        <v>20000</v>
      </c>
      <c r="H167" s="5">
        <f t="shared" si="2"/>
        <v>0</v>
      </c>
      <c r="I167" s="1"/>
      <c r="J167" s="1"/>
      <c r="K167" s="86"/>
    </row>
    <row r="168" spans="1:11" s="363" customFormat="1" ht="15" x14ac:dyDescent="0.25">
      <c r="A168" s="1">
        <v>164</v>
      </c>
      <c r="B168" s="1" t="s">
        <v>594</v>
      </c>
      <c r="C168" s="32" t="s">
        <v>30</v>
      </c>
      <c r="D168" s="1">
        <v>4500</v>
      </c>
      <c r="E168" s="1" t="s">
        <v>642</v>
      </c>
      <c r="F168" s="1">
        <v>50.45</v>
      </c>
      <c r="G168" s="1">
        <v>4500</v>
      </c>
      <c r="H168" s="5">
        <f t="shared" si="2"/>
        <v>0</v>
      </c>
      <c r="I168" s="1"/>
      <c r="J168" s="1"/>
      <c r="K168" s="86"/>
    </row>
    <row r="169" spans="1:11" s="363" customFormat="1" ht="15" x14ac:dyDescent="0.25">
      <c r="A169" s="1">
        <v>165</v>
      </c>
      <c r="B169" s="1" t="s">
        <v>594</v>
      </c>
      <c r="C169" s="32">
        <v>1907</v>
      </c>
      <c r="D169" s="1">
        <v>24000</v>
      </c>
      <c r="E169" s="1" t="s">
        <v>642</v>
      </c>
      <c r="F169" s="1">
        <v>256.27</v>
      </c>
      <c r="G169" s="1">
        <v>24000</v>
      </c>
      <c r="H169" s="5">
        <f t="shared" si="2"/>
        <v>0</v>
      </c>
      <c r="I169" s="1"/>
      <c r="J169" s="1"/>
      <c r="K169" s="86"/>
    </row>
    <row r="170" spans="1:11" s="363" customFormat="1" ht="15" x14ac:dyDescent="0.25">
      <c r="A170" s="1">
        <v>166</v>
      </c>
      <c r="B170" s="1" t="s">
        <v>594</v>
      </c>
      <c r="C170" s="32">
        <v>5506</v>
      </c>
      <c r="D170" s="1">
        <v>14000</v>
      </c>
      <c r="E170" s="1" t="s">
        <v>642</v>
      </c>
      <c r="F170" s="1">
        <v>155.38</v>
      </c>
      <c r="G170" s="1">
        <v>14000</v>
      </c>
      <c r="H170" s="5">
        <f t="shared" si="2"/>
        <v>0</v>
      </c>
      <c r="I170" s="1"/>
      <c r="J170" s="1"/>
      <c r="K170" s="86"/>
    </row>
    <row r="171" spans="1:11" s="363" customFormat="1" ht="15" x14ac:dyDescent="0.25">
      <c r="A171" s="1">
        <v>167</v>
      </c>
      <c r="B171" s="1" t="s">
        <v>594</v>
      </c>
      <c r="C171" s="32">
        <v>9830</v>
      </c>
      <c r="D171" s="1">
        <v>15000</v>
      </c>
      <c r="E171" s="1" t="s">
        <v>642</v>
      </c>
      <c r="F171" s="1">
        <v>167.15</v>
      </c>
      <c r="G171" s="1">
        <v>15000</v>
      </c>
      <c r="H171" s="5">
        <f t="shared" si="2"/>
        <v>0</v>
      </c>
      <c r="I171" s="1"/>
      <c r="J171" s="1"/>
      <c r="K171" s="86"/>
    </row>
    <row r="172" spans="1:11" s="363" customFormat="1" ht="15" x14ac:dyDescent="0.25">
      <c r="A172" s="1">
        <v>168</v>
      </c>
      <c r="B172" s="1" t="s">
        <v>594</v>
      </c>
      <c r="C172" s="32" t="s">
        <v>30</v>
      </c>
      <c r="D172" s="1">
        <v>5000</v>
      </c>
      <c r="E172" s="1" t="s">
        <v>642</v>
      </c>
      <c r="F172" s="1">
        <v>55.45</v>
      </c>
      <c r="G172" s="1">
        <v>5000</v>
      </c>
      <c r="H172" s="5">
        <f t="shared" si="2"/>
        <v>0</v>
      </c>
      <c r="I172" s="1"/>
      <c r="J172" s="1"/>
      <c r="K172" s="86"/>
    </row>
    <row r="173" spans="1:11" s="363" customFormat="1" ht="15" x14ac:dyDescent="0.25">
      <c r="A173" s="1">
        <v>169</v>
      </c>
      <c r="B173" s="1" t="s">
        <v>594</v>
      </c>
      <c r="C173" s="32">
        <v>6496</v>
      </c>
      <c r="D173" s="1">
        <v>13000</v>
      </c>
      <c r="E173" s="1" t="s">
        <v>642</v>
      </c>
      <c r="F173" s="1">
        <v>144.13</v>
      </c>
      <c r="G173" s="1">
        <v>13000</v>
      </c>
      <c r="H173" s="5">
        <f t="shared" si="2"/>
        <v>0</v>
      </c>
      <c r="I173" s="1"/>
      <c r="J173" s="1"/>
      <c r="K173" s="86"/>
    </row>
    <row r="174" spans="1:11" s="363" customFormat="1" ht="15" x14ac:dyDescent="0.25">
      <c r="A174" s="1">
        <v>170</v>
      </c>
      <c r="B174" s="1" t="s">
        <v>594</v>
      </c>
      <c r="C174" s="32">
        <v>5978</v>
      </c>
      <c r="D174" s="1">
        <v>16000</v>
      </c>
      <c r="E174" s="1" t="s">
        <v>642</v>
      </c>
      <c r="F174" s="1">
        <v>178.22</v>
      </c>
      <c r="G174" s="1">
        <v>16000</v>
      </c>
      <c r="H174" s="5">
        <f t="shared" si="2"/>
        <v>0</v>
      </c>
      <c r="I174" s="1"/>
      <c r="J174" s="1"/>
      <c r="K174" s="86"/>
    </row>
    <row r="175" spans="1:11" s="363" customFormat="1" ht="15" x14ac:dyDescent="0.25">
      <c r="A175" s="1">
        <v>171</v>
      </c>
      <c r="B175" s="1" t="s">
        <v>594</v>
      </c>
      <c r="C175" s="32">
        <v>4058</v>
      </c>
      <c r="D175" s="1">
        <v>16000</v>
      </c>
      <c r="E175" s="1" t="s">
        <v>642</v>
      </c>
      <c r="F175" s="1">
        <v>178.22</v>
      </c>
      <c r="G175" s="1">
        <v>16000</v>
      </c>
      <c r="H175" s="5">
        <f t="shared" si="2"/>
        <v>0</v>
      </c>
      <c r="I175" s="1"/>
      <c r="J175" s="1"/>
      <c r="K175" s="86"/>
    </row>
    <row r="176" spans="1:11" s="363" customFormat="1" ht="15" x14ac:dyDescent="0.25">
      <c r="A176" s="1">
        <v>172</v>
      </c>
      <c r="B176" s="1" t="s">
        <v>594</v>
      </c>
      <c r="C176" s="32">
        <v>3490</v>
      </c>
      <c r="D176" s="1">
        <v>7000</v>
      </c>
      <c r="E176" s="1" t="s">
        <v>642</v>
      </c>
      <c r="F176" s="1">
        <v>77.849999999999994</v>
      </c>
      <c r="G176" s="1">
        <v>7000</v>
      </c>
      <c r="H176" s="5">
        <f t="shared" si="2"/>
        <v>0</v>
      </c>
      <c r="I176" s="1"/>
      <c r="J176" s="1"/>
      <c r="K176" s="86"/>
    </row>
    <row r="177" spans="1:11" s="363" customFormat="1" ht="15" x14ac:dyDescent="0.25">
      <c r="A177" s="1">
        <v>173</v>
      </c>
      <c r="B177" s="1" t="s">
        <v>594</v>
      </c>
      <c r="C177" s="32">
        <v>4885</v>
      </c>
      <c r="D177" s="1">
        <v>22000</v>
      </c>
      <c r="E177" s="1" t="s">
        <v>642</v>
      </c>
      <c r="F177" s="1">
        <v>245.35</v>
      </c>
      <c r="G177" s="1">
        <v>22000</v>
      </c>
      <c r="H177" s="5">
        <f t="shared" si="2"/>
        <v>0</v>
      </c>
      <c r="I177" s="1"/>
      <c r="J177" s="1"/>
      <c r="K177" s="86"/>
    </row>
    <row r="178" spans="1:11" s="363" customFormat="1" ht="15" x14ac:dyDescent="0.25">
      <c r="A178" s="1">
        <v>174</v>
      </c>
      <c r="B178" s="1" t="s">
        <v>594</v>
      </c>
      <c r="C178" s="32">
        <v>6234</v>
      </c>
      <c r="D178" s="1">
        <v>21000</v>
      </c>
      <c r="E178" s="1" t="s">
        <v>642</v>
      </c>
      <c r="F178" s="1">
        <v>233.97</v>
      </c>
      <c r="G178" s="1">
        <v>21000</v>
      </c>
      <c r="H178" s="5">
        <f t="shared" si="2"/>
        <v>0</v>
      </c>
      <c r="I178" s="1"/>
      <c r="J178" s="1"/>
      <c r="K178" s="86"/>
    </row>
    <row r="179" spans="1:11" s="363" customFormat="1" ht="15" x14ac:dyDescent="0.25">
      <c r="A179" s="1">
        <v>175</v>
      </c>
      <c r="B179" s="1" t="s">
        <v>594</v>
      </c>
      <c r="C179" s="32">
        <v>2470</v>
      </c>
      <c r="D179" s="1">
        <v>24000</v>
      </c>
      <c r="E179" s="1" t="s">
        <v>642</v>
      </c>
      <c r="F179" s="1">
        <v>267.55</v>
      </c>
      <c r="G179" s="1">
        <v>24000</v>
      </c>
      <c r="H179" s="5">
        <f t="shared" si="2"/>
        <v>0</v>
      </c>
      <c r="I179" s="1"/>
      <c r="J179" s="1"/>
      <c r="K179" s="86"/>
    </row>
    <row r="180" spans="1:11" s="363" customFormat="1" ht="15" x14ac:dyDescent="0.25">
      <c r="A180" s="1">
        <v>176</v>
      </c>
      <c r="B180" s="1" t="s">
        <v>594</v>
      </c>
      <c r="C180" s="32">
        <v>4506</v>
      </c>
      <c r="D180" s="1">
        <v>15000</v>
      </c>
      <c r="E180" s="1" t="s">
        <v>642</v>
      </c>
      <c r="F180" s="1">
        <v>167.15</v>
      </c>
      <c r="G180" s="1">
        <v>15000</v>
      </c>
      <c r="H180" s="5">
        <f t="shared" si="2"/>
        <v>0</v>
      </c>
      <c r="I180" s="1"/>
      <c r="J180" s="1"/>
      <c r="K180" s="86"/>
    </row>
    <row r="181" spans="1:11" s="363" customFormat="1" ht="15" x14ac:dyDescent="0.25">
      <c r="A181" s="1">
        <v>177</v>
      </c>
      <c r="B181" s="1" t="s">
        <v>594</v>
      </c>
      <c r="C181" s="32">
        <v>2972</v>
      </c>
      <c r="D181" s="1">
        <v>23000</v>
      </c>
      <c r="E181" s="1" t="s">
        <v>642</v>
      </c>
      <c r="F181" s="1">
        <v>256.83999999999997</v>
      </c>
      <c r="G181" s="1">
        <v>23000</v>
      </c>
      <c r="H181" s="5">
        <f t="shared" si="2"/>
        <v>0</v>
      </c>
      <c r="I181" s="1"/>
      <c r="J181" s="1"/>
      <c r="K181" s="86"/>
    </row>
    <row r="182" spans="1:11" s="363" customFormat="1" ht="15" x14ac:dyDescent="0.25">
      <c r="A182" s="1">
        <v>178</v>
      </c>
      <c r="B182" s="1" t="s">
        <v>594</v>
      </c>
      <c r="C182" s="32">
        <v>1922</v>
      </c>
      <c r="D182" s="1">
        <v>20000</v>
      </c>
      <c r="E182" s="1" t="s">
        <v>642</v>
      </c>
      <c r="F182" s="1">
        <v>222.64</v>
      </c>
      <c r="G182" s="1">
        <v>20000</v>
      </c>
      <c r="H182" s="5">
        <f t="shared" si="2"/>
        <v>0</v>
      </c>
      <c r="I182" s="1"/>
      <c r="J182" s="1"/>
      <c r="K182" s="86"/>
    </row>
    <row r="183" spans="1:11" s="363" customFormat="1" ht="15" x14ac:dyDescent="0.25">
      <c r="A183" s="1">
        <v>179</v>
      </c>
      <c r="B183" s="1" t="s">
        <v>594</v>
      </c>
      <c r="C183" s="32">
        <v>9837</v>
      </c>
      <c r="D183" s="1">
        <v>25000</v>
      </c>
      <c r="E183" s="1" t="s">
        <v>642</v>
      </c>
      <c r="F183" s="1">
        <v>278.22000000000003</v>
      </c>
      <c r="G183" s="1">
        <v>25000</v>
      </c>
      <c r="H183" s="5">
        <f t="shared" si="2"/>
        <v>0</v>
      </c>
      <c r="I183" s="1"/>
      <c r="J183" s="1"/>
      <c r="K183" s="86"/>
    </row>
    <row r="184" spans="1:11" s="363" customFormat="1" ht="15" x14ac:dyDescent="0.25">
      <c r="A184" s="1">
        <v>180</v>
      </c>
      <c r="B184" s="1" t="s">
        <v>594</v>
      </c>
      <c r="C184" s="32" t="s">
        <v>30</v>
      </c>
      <c r="D184" s="1">
        <v>7000</v>
      </c>
      <c r="E184" s="1" t="s">
        <v>642</v>
      </c>
      <c r="F184" s="1">
        <v>77.849999999999994</v>
      </c>
      <c r="G184" s="1">
        <v>7000</v>
      </c>
      <c r="H184" s="5">
        <f t="shared" si="2"/>
        <v>0</v>
      </c>
      <c r="I184" s="1"/>
      <c r="J184" s="1"/>
      <c r="K184" s="86"/>
    </row>
    <row r="185" spans="1:11" s="363" customFormat="1" ht="15" x14ac:dyDescent="0.25">
      <c r="A185" s="1">
        <v>181</v>
      </c>
      <c r="B185" s="1" t="s">
        <v>594</v>
      </c>
      <c r="C185" s="32">
        <v>2178</v>
      </c>
      <c r="D185" s="1">
        <v>30000</v>
      </c>
      <c r="E185" s="1" t="s">
        <v>642</v>
      </c>
      <c r="F185" s="1">
        <v>334.63</v>
      </c>
      <c r="G185" s="1">
        <v>30000</v>
      </c>
      <c r="H185" s="5">
        <f t="shared" si="2"/>
        <v>0</v>
      </c>
      <c r="I185" s="1"/>
      <c r="J185" s="1"/>
      <c r="K185" s="86"/>
    </row>
    <row r="186" spans="1:11" s="363" customFormat="1" ht="15" x14ac:dyDescent="0.25">
      <c r="A186" s="1">
        <v>182</v>
      </c>
      <c r="B186" s="1" t="s">
        <v>594</v>
      </c>
      <c r="C186" s="32">
        <v>8347</v>
      </c>
      <c r="D186" s="1">
        <v>20000</v>
      </c>
      <c r="E186" s="1" t="s">
        <v>642</v>
      </c>
      <c r="F186" s="1">
        <v>222.64</v>
      </c>
      <c r="G186" s="1">
        <v>20000</v>
      </c>
      <c r="H186" s="5">
        <f t="shared" si="2"/>
        <v>0</v>
      </c>
      <c r="I186" s="1"/>
      <c r="J186" s="1"/>
      <c r="K186" s="86"/>
    </row>
    <row r="187" spans="1:11" s="363" customFormat="1" ht="15" x14ac:dyDescent="0.25">
      <c r="A187" s="1">
        <v>183</v>
      </c>
      <c r="B187" s="1" t="s">
        <v>594</v>
      </c>
      <c r="C187" s="32">
        <v>7123</v>
      </c>
      <c r="D187" s="1">
        <v>25000</v>
      </c>
      <c r="E187" s="1" t="s">
        <v>642</v>
      </c>
      <c r="F187" s="1">
        <v>278.22000000000003</v>
      </c>
      <c r="G187" s="1">
        <v>25000</v>
      </c>
      <c r="H187" s="5">
        <f t="shared" si="2"/>
        <v>0</v>
      </c>
      <c r="I187" s="1"/>
      <c r="J187" s="1"/>
      <c r="K187" s="86"/>
    </row>
    <row r="188" spans="1:11" s="363" customFormat="1" ht="15" x14ac:dyDescent="0.25">
      <c r="A188" s="1">
        <v>184</v>
      </c>
      <c r="B188" s="1" t="s">
        <v>594</v>
      </c>
      <c r="C188" s="32">
        <v>8687</v>
      </c>
      <c r="D188" s="1">
        <v>25000</v>
      </c>
      <c r="E188" s="1" t="s">
        <v>642</v>
      </c>
      <c r="F188" s="1">
        <v>278.22000000000003</v>
      </c>
      <c r="G188" s="1">
        <v>25000</v>
      </c>
      <c r="H188" s="5">
        <f t="shared" si="2"/>
        <v>0</v>
      </c>
      <c r="I188" s="1"/>
      <c r="J188" s="1"/>
      <c r="K188" s="86"/>
    </row>
    <row r="189" spans="1:11" s="363" customFormat="1" ht="15" x14ac:dyDescent="0.25">
      <c r="A189" s="1">
        <v>185</v>
      </c>
      <c r="B189" s="1" t="s">
        <v>594</v>
      </c>
      <c r="C189" s="32">
        <v>4572</v>
      </c>
      <c r="D189" s="1">
        <v>20000</v>
      </c>
      <c r="E189" s="1" t="s">
        <v>642</v>
      </c>
      <c r="F189" s="1">
        <v>222.64</v>
      </c>
      <c r="G189" s="1">
        <v>20000</v>
      </c>
      <c r="H189" s="5">
        <f t="shared" si="2"/>
        <v>0</v>
      </c>
      <c r="I189" s="1"/>
      <c r="J189" s="1"/>
      <c r="K189" s="86"/>
    </row>
    <row r="190" spans="1:11" s="363" customFormat="1" ht="15" x14ac:dyDescent="0.25">
      <c r="A190" s="1">
        <v>186</v>
      </c>
      <c r="B190" s="1" t="s">
        <v>594</v>
      </c>
      <c r="C190" s="32">
        <v>8886</v>
      </c>
      <c r="D190" s="1">
        <v>12000</v>
      </c>
      <c r="E190" s="1" t="s">
        <v>642</v>
      </c>
      <c r="F190" s="1">
        <v>133.41999999999999</v>
      </c>
      <c r="G190" s="1">
        <v>12000</v>
      </c>
      <c r="H190" s="5">
        <f t="shared" si="2"/>
        <v>0</v>
      </c>
      <c r="I190" s="1"/>
      <c r="J190" s="1"/>
      <c r="K190" s="86"/>
    </row>
    <row r="191" spans="1:11" s="363" customFormat="1" ht="15" x14ac:dyDescent="0.25">
      <c r="A191" s="1">
        <v>187</v>
      </c>
      <c r="B191" s="1" t="s">
        <v>594</v>
      </c>
      <c r="C191" s="32">
        <v>9351</v>
      </c>
      <c r="D191" s="1">
        <v>22000</v>
      </c>
      <c r="E191" s="1" t="s">
        <v>642</v>
      </c>
      <c r="F191" s="1">
        <v>245.35</v>
      </c>
      <c r="G191" s="1">
        <v>22000</v>
      </c>
      <c r="H191" s="5">
        <f t="shared" si="2"/>
        <v>0</v>
      </c>
      <c r="I191" s="1"/>
      <c r="J191" s="1"/>
      <c r="K191" s="86"/>
    </row>
    <row r="192" spans="1:11" s="363" customFormat="1" ht="15" x14ac:dyDescent="0.25">
      <c r="A192" s="1">
        <v>188</v>
      </c>
      <c r="B192" s="1" t="s">
        <v>594</v>
      </c>
      <c r="C192" s="32">
        <v>9913</v>
      </c>
      <c r="D192" s="1">
        <v>23000</v>
      </c>
      <c r="E192" s="1" t="s">
        <v>642</v>
      </c>
      <c r="F192" s="1">
        <v>256.32</v>
      </c>
      <c r="G192" s="1">
        <v>23000</v>
      </c>
      <c r="H192" s="5">
        <f t="shared" si="2"/>
        <v>0</v>
      </c>
      <c r="I192" s="1"/>
      <c r="J192" s="1"/>
      <c r="K192" s="86"/>
    </row>
    <row r="193" spans="1:15" s="363" customFormat="1" ht="15" x14ac:dyDescent="0.25">
      <c r="A193" s="1">
        <v>189</v>
      </c>
      <c r="B193" s="1" t="s">
        <v>594</v>
      </c>
      <c r="C193" s="32">
        <v>4171</v>
      </c>
      <c r="D193" s="1">
        <v>10000</v>
      </c>
      <c r="E193" s="1" t="s">
        <v>642</v>
      </c>
      <c r="F193" s="1">
        <v>111.41</v>
      </c>
      <c r="G193" s="1">
        <v>10000</v>
      </c>
      <c r="H193" s="5">
        <f t="shared" si="2"/>
        <v>0</v>
      </c>
      <c r="I193" s="1"/>
      <c r="J193" s="1"/>
      <c r="K193" s="86"/>
    </row>
    <row r="194" spans="1:15" s="363" customFormat="1" ht="15" x14ac:dyDescent="0.25">
      <c r="A194" s="1">
        <v>190</v>
      </c>
      <c r="B194" s="1" t="s">
        <v>594</v>
      </c>
      <c r="C194" s="32">
        <v>6451</v>
      </c>
      <c r="D194" s="1">
        <v>19000</v>
      </c>
      <c r="E194" s="1" t="s">
        <v>642</v>
      </c>
      <c r="F194" s="1">
        <v>211.27</v>
      </c>
      <c r="G194" s="1">
        <v>19000</v>
      </c>
      <c r="H194" s="5">
        <f t="shared" si="2"/>
        <v>0</v>
      </c>
      <c r="I194" s="1"/>
      <c r="J194" s="1"/>
      <c r="K194" s="86"/>
    </row>
    <row r="195" spans="1:15" s="363" customFormat="1" ht="15" x14ac:dyDescent="0.25">
      <c r="A195" s="1">
        <v>191</v>
      </c>
      <c r="B195" s="1" t="s">
        <v>594</v>
      </c>
      <c r="C195" s="32">
        <v>6653</v>
      </c>
      <c r="D195" s="1">
        <v>23500</v>
      </c>
      <c r="E195" s="1" t="s">
        <v>642</v>
      </c>
      <c r="F195" s="1">
        <v>261.83999999999997</v>
      </c>
      <c r="G195" s="1">
        <v>23500</v>
      </c>
      <c r="H195" s="5">
        <f t="shared" si="2"/>
        <v>0</v>
      </c>
      <c r="I195" s="1"/>
      <c r="J195" s="1"/>
      <c r="K195" s="86"/>
    </row>
    <row r="196" spans="1:15" s="363" customFormat="1" ht="15" x14ac:dyDescent="0.25">
      <c r="A196" s="1">
        <v>192</v>
      </c>
      <c r="B196" s="1" t="s">
        <v>594</v>
      </c>
      <c r="C196" s="32">
        <v>4532</v>
      </c>
      <c r="D196" s="1">
        <v>11350</v>
      </c>
      <c r="E196" s="1" t="s">
        <v>642</v>
      </c>
      <c r="F196" s="1">
        <v>126.21</v>
      </c>
      <c r="G196" s="1">
        <v>11350</v>
      </c>
      <c r="H196" s="5">
        <f t="shared" si="2"/>
        <v>0</v>
      </c>
      <c r="I196" s="1"/>
      <c r="J196" s="1"/>
      <c r="K196" s="86"/>
    </row>
    <row r="197" spans="1:15" s="363" customFormat="1" ht="15" x14ac:dyDescent="0.25">
      <c r="A197" s="1">
        <v>193</v>
      </c>
      <c r="B197" s="1" t="s">
        <v>594</v>
      </c>
      <c r="C197" s="32">
        <v>8762</v>
      </c>
      <c r="D197" s="1">
        <v>18000</v>
      </c>
      <c r="E197" s="1" t="s">
        <v>642</v>
      </c>
      <c r="F197" s="1">
        <v>200.42</v>
      </c>
      <c r="G197" s="1">
        <v>18000</v>
      </c>
      <c r="H197" s="5">
        <f t="shared" si="2"/>
        <v>0</v>
      </c>
      <c r="I197" s="1"/>
      <c r="J197" s="1"/>
      <c r="K197" s="86"/>
    </row>
    <row r="198" spans="1:15" s="363" customFormat="1" ht="15" x14ac:dyDescent="0.25">
      <c r="A198" s="1">
        <v>194</v>
      </c>
      <c r="B198" s="1" t="s">
        <v>594</v>
      </c>
      <c r="C198" s="32">
        <v>4.5699999999999998E-2</v>
      </c>
      <c r="D198" s="1">
        <v>12000</v>
      </c>
      <c r="E198" s="1" t="s">
        <v>642</v>
      </c>
      <c r="F198" s="1">
        <v>133.41999999999999</v>
      </c>
      <c r="G198" s="1">
        <v>12000</v>
      </c>
      <c r="H198" s="5">
        <f t="shared" si="2"/>
        <v>0</v>
      </c>
      <c r="I198" s="1"/>
      <c r="J198" s="1"/>
      <c r="K198" s="86"/>
    </row>
    <row r="199" spans="1:15" s="363" customFormat="1" ht="15" x14ac:dyDescent="0.25">
      <c r="A199" s="1">
        <v>195</v>
      </c>
      <c r="B199" s="1" t="s">
        <v>594</v>
      </c>
      <c r="C199" s="32">
        <v>3352</v>
      </c>
      <c r="D199" s="1">
        <v>30000</v>
      </c>
      <c r="E199" s="1" t="s">
        <v>642</v>
      </c>
      <c r="F199" s="1">
        <v>334.63</v>
      </c>
      <c r="G199" s="1">
        <v>30000</v>
      </c>
      <c r="H199" s="5">
        <f t="shared" si="2"/>
        <v>0</v>
      </c>
      <c r="I199" s="1"/>
      <c r="J199" s="1"/>
      <c r="K199" s="86"/>
    </row>
    <row r="200" spans="1:15" s="363" customFormat="1" ht="15" x14ac:dyDescent="0.25">
      <c r="A200" s="1">
        <v>196</v>
      </c>
      <c r="B200" s="1" t="s">
        <v>594</v>
      </c>
      <c r="C200" s="32">
        <v>5817</v>
      </c>
      <c r="D200" s="1">
        <v>30000</v>
      </c>
      <c r="E200" s="1" t="s">
        <v>642</v>
      </c>
      <c r="F200" s="1">
        <v>334.63</v>
      </c>
      <c r="G200" s="1">
        <v>30000</v>
      </c>
      <c r="H200" s="5">
        <f t="shared" ref="H200:H263" si="3">D200-G200</f>
        <v>0</v>
      </c>
      <c r="I200" s="1"/>
      <c r="J200" s="1"/>
      <c r="K200" s="86"/>
    </row>
    <row r="201" spans="1:15" s="363" customFormat="1" ht="15.75" thickBot="1" x14ac:dyDescent="0.3">
      <c r="A201" s="1">
        <v>197</v>
      </c>
      <c r="B201" s="1" t="s">
        <v>594</v>
      </c>
      <c r="C201" s="32">
        <v>1304</v>
      </c>
      <c r="D201" s="1">
        <v>24000</v>
      </c>
      <c r="E201" s="1" t="s">
        <v>642</v>
      </c>
      <c r="F201" s="1">
        <v>267.25</v>
      </c>
      <c r="G201" s="1">
        <v>24000</v>
      </c>
      <c r="H201" s="5">
        <f t="shared" si="3"/>
        <v>0</v>
      </c>
      <c r="I201" s="1"/>
      <c r="J201" s="1"/>
      <c r="K201" s="86"/>
    </row>
    <row r="202" spans="1:15" s="363" customFormat="1" ht="15.75" thickBot="1" x14ac:dyDescent="0.3">
      <c r="A202" s="1">
        <v>198</v>
      </c>
      <c r="B202" s="1" t="s">
        <v>594</v>
      </c>
      <c r="C202" s="32">
        <v>4535</v>
      </c>
      <c r="D202" s="1">
        <v>29000</v>
      </c>
      <c r="E202" s="1" t="s">
        <v>642</v>
      </c>
      <c r="F202" s="1">
        <v>323.67</v>
      </c>
      <c r="G202" s="1">
        <v>29000</v>
      </c>
      <c r="H202" s="5">
        <f t="shared" si="3"/>
        <v>0</v>
      </c>
      <c r="I202" s="1"/>
      <c r="J202" s="1"/>
      <c r="K202" s="86">
        <f>2958687-2937572</f>
        <v>21115</v>
      </c>
      <c r="L202" s="358" t="s">
        <v>593</v>
      </c>
      <c r="M202" s="359"/>
      <c r="N202" s="359" t="s">
        <v>95</v>
      </c>
      <c r="O202" s="360">
        <f>21115-17872</f>
        <v>3243</v>
      </c>
    </row>
    <row r="203" spans="1:15" s="365" customFormat="1" ht="15" x14ac:dyDescent="0.25">
      <c r="A203" s="1">
        <v>199</v>
      </c>
      <c r="B203" s="1" t="s">
        <v>595</v>
      </c>
      <c r="C203" s="32">
        <v>5339</v>
      </c>
      <c r="D203" s="1">
        <v>30000</v>
      </c>
      <c r="E203" s="1" t="s">
        <v>642</v>
      </c>
      <c r="F203" s="1">
        <v>334.63</v>
      </c>
      <c r="G203" s="1">
        <v>30000</v>
      </c>
      <c r="H203" s="5">
        <f t="shared" si="3"/>
        <v>0</v>
      </c>
      <c r="I203" s="1"/>
      <c r="J203" s="1"/>
      <c r="K203" s="86"/>
    </row>
    <row r="204" spans="1:15" s="365" customFormat="1" ht="15" x14ac:dyDescent="0.25">
      <c r="A204" s="1">
        <v>200</v>
      </c>
      <c r="B204" s="1" t="s">
        <v>595</v>
      </c>
      <c r="C204" s="32" t="s">
        <v>30</v>
      </c>
      <c r="D204" s="1">
        <v>5000</v>
      </c>
      <c r="E204" s="1" t="s">
        <v>642</v>
      </c>
      <c r="F204" s="1">
        <v>55.45</v>
      </c>
      <c r="G204" s="1">
        <v>5000</v>
      </c>
      <c r="H204" s="5">
        <f t="shared" si="3"/>
        <v>0</v>
      </c>
      <c r="I204" s="1"/>
      <c r="J204" s="1"/>
      <c r="K204" s="86"/>
    </row>
    <row r="205" spans="1:15" s="365" customFormat="1" ht="15" x14ac:dyDescent="0.25">
      <c r="A205" s="1">
        <v>201</v>
      </c>
      <c r="B205" s="1" t="s">
        <v>595</v>
      </c>
      <c r="C205" s="32">
        <v>2262</v>
      </c>
      <c r="D205" s="1">
        <v>20000</v>
      </c>
      <c r="E205" s="1" t="s">
        <v>642</v>
      </c>
      <c r="F205" s="1">
        <v>222.64</v>
      </c>
      <c r="G205" s="1">
        <v>20000</v>
      </c>
      <c r="H205" s="5">
        <f t="shared" si="3"/>
        <v>0</v>
      </c>
      <c r="I205" s="1"/>
      <c r="J205" s="1"/>
      <c r="K205" s="86"/>
    </row>
    <row r="206" spans="1:15" s="365" customFormat="1" ht="15" x14ac:dyDescent="0.25">
      <c r="A206" s="1">
        <v>202</v>
      </c>
      <c r="B206" s="1" t="s">
        <v>595</v>
      </c>
      <c r="C206" s="32">
        <v>8.3599999999999994E-2</v>
      </c>
      <c r="D206" s="1">
        <v>30000</v>
      </c>
      <c r="E206" s="1" t="s">
        <v>642</v>
      </c>
      <c r="F206" s="1">
        <v>334.63</v>
      </c>
      <c r="G206" s="1">
        <v>30000</v>
      </c>
      <c r="H206" s="5">
        <f t="shared" si="3"/>
        <v>0</v>
      </c>
      <c r="I206" s="1"/>
      <c r="J206" s="1"/>
      <c r="K206" s="86"/>
    </row>
    <row r="207" spans="1:15" s="365" customFormat="1" ht="15" x14ac:dyDescent="0.25">
      <c r="A207" s="1">
        <v>203</v>
      </c>
      <c r="B207" s="1" t="s">
        <v>595</v>
      </c>
      <c r="C207" s="32">
        <v>8874</v>
      </c>
      <c r="D207" s="1">
        <v>30000</v>
      </c>
      <c r="E207" s="1" t="s">
        <v>642</v>
      </c>
      <c r="F207" s="1">
        <v>334.63</v>
      </c>
      <c r="G207" s="1">
        <v>30000</v>
      </c>
      <c r="H207" s="5">
        <f t="shared" si="3"/>
        <v>0</v>
      </c>
      <c r="I207" s="1"/>
      <c r="J207" s="1"/>
      <c r="K207" s="86"/>
    </row>
    <row r="208" spans="1:15" s="365" customFormat="1" ht="15" x14ac:dyDescent="0.25">
      <c r="A208" s="1">
        <v>204</v>
      </c>
      <c r="B208" s="1" t="s">
        <v>595</v>
      </c>
      <c r="C208" s="32">
        <v>3600</v>
      </c>
      <c r="D208" s="1">
        <v>23000</v>
      </c>
      <c r="E208" s="1" t="s">
        <v>642</v>
      </c>
      <c r="F208" s="1">
        <v>256.64</v>
      </c>
      <c r="G208" s="1">
        <v>23000</v>
      </c>
      <c r="H208" s="5">
        <f t="shared" si="3"/>
        <v>0</v>
      </c>
      <c r="I208" s="1"/>
      <c r="J208" s="1"/>
      <c r="K208" s="86"/>
    </row>
    <row r="209" spans="1:11" s="365" customFormat="1" ht="15" x14ac:dyDescent="0.25">
      <c r="A209" s="1">
        <v>205</v>
      </c>
      <c r="B209" s="1" t="s">
        <v>595</v>
      </c>
      <c r="C209" s="32">
        <v>4513</v>
      </c>
      <c r="D209" s="1">
        <v>16000</v>
      </c>
      <c r="E209" s="1" t="s">
        <v>642</v>
      </c>
      <c r="F209" s="1">
        <v>178.22</v>
      </c>
      <c r="G209" s="1">
        <v>16000</v>
      </c>
      <c r="H209" s="5">
        <f t="shared" si="3"/>
        <v>0</v>
      </c>
      <c r="I209" s="1"/>
      <c r="J209" s="1"/>
      <c r="K209" s="86"/>
    </row>
    <row r="210" spans="1:11" s="365" customFormat="1" ht="15" x14ac:dyDescent="0.25">
      <c r="A210" s="1">
        <v>206</v>
      </c>
      <c r="B210" s="1" t="s">
        <v>595</v>
      </c>
      <c r="C210" s="32">
        <v>2012</v>
      </c>
      <c r="D210" s="1">
        <v>27000</v>
      </c>
      <c r="E210" s="1" t="s">
        <v>642</v>
      </c>
      <c r="F210" s="1">
        <v>289.87</v>
      </c>
      <c r="G210" s="1">
        <v>27000</v>
      </c>
      <c r="H210" s="5">
        <f t="shared" si="3"/>
        <v>0</v>
      </c>
      <c r="I210" s="1"/>
      <c r="J210" s="1"/>
      <c r="K210" s="86"/>
    </row>
    <row r="211" spans="1:11" s="365" customFormat="1" ht="15" x14ac:dyDescent="0.25">
      <c r="A211" s="1">
        <v>207</v>
      </c>
      <c r="B211" s="1" t="s">
        <v>595</v>
      </c>
      <c r="C211" s="32">
        <v>8693</v>
      </c>
      <c r="D211" s="1">
        <v>16000</v>
      </c>
      <c r="E211" s="1" t="s">
        <v>642</v>
      </c>
      <c r="F211" s="1">
        <v>178.22</v>
      </c>
      <c r="G211" s="1">
        <v>16000</v>
      </c>
      <c r="H211" s="5">
        <f t="shared" si="3"/>
        <v>0</v>
      </c>
      <c r="I211" s="1"/>
      <c r="J211" s="1"/>
      <c r="K211" s="86"/>
    </row>
    <row r="212" spans="1:11" s="365" customFormat="1" ht="15" x14ac:dyDescent="0.25">
      <c r="A212" s="1">
        <v>208</v>
      </c>
      <c r="B212" s="1" t="s">
        <v>595</v>
      </c>
      <c r="C212" s="32">
        <v>4249</v>
      </c>
      <c r="D212" s="1">
        <v>30000</v>
      </c>
      <c r="E212" s="1" t="s">
        <v>642</v>
      </c>
      <c r="F212" s="1">
        <v>334.63</v>
      </c>
      <c r="G212" s="1">
        <v>30000</v>
      </c>
      <c r="H212" s="5">
        <f t="shared" si="3"/>
        <v>0</v>
      </c>
      <c r="I212" s="1"/>
      <c r="J212" s="1"/>
      <c r="K212" s="86"/>
    </row>
    <row r="213" spans="1:11" s="365" customFormat="1" ht="15" x14ac:dyDescent="0.25">
      <c r="A213" s="1">
        <v>209</v>
      </c>
      <c r="B213" s="1" t="s">
        <v>595</v>
      </c>
      <c r="C213" s="32">
        <v>2873</v>
      </c>
      <c r="D213" s="1">
        <v>25000</v>
      </c>
      <c r="E213" s="1" t="s">
        <v>642</v>
      </c>
      <c r="F213" s="1">
        <v>278.22000000000003</v>
      </c>
      <c r="G213" s="1">
        <v>25000</v>
      </c>
      <c r="H213" s="5">
        <f t="shared" si="3"/>
        <v>0</v>
      </c>
      <c r="I213" s="1"/>
      <c r="J213" s="1"/>
      <c r="K213" s="86"/>
    </row>
    <row r="214" spans="1:11" s="365" customFormat="1" ht="15" x14ac:dyDescent="0.25">
      <c r="A214" s="1">
        <v>210</v>
      </c>
      <c r="B214" s="1" t="s">
        <v>595</v>
      </c>
      <c r="C214" s="32">
        <v>6573</v>
      </c>
      <c r="D214" s="1">
        <v>16000</v>
      </c>
      <c r="E214" s="1" t="s">
        <v>642</v>
      </c>
      <c r="F214" s="1">
        <v>178.22</v>
      </c>
      <c r="G214" s="1">
        <v>16000</v>
      </c>
      <c r="H214" s="5">
        <f t="shared" si="3"/>
        <v>0</v>
      </c>
      <c r="I214" s="1"/>
      <c r="J214" s="1"/>
      <c r="K214" s="86"/>
    </row>
    <row r="215" spans="1:11" s="365" customFormat="1" ht="15" x14ac:dyDescent="0.25">
      <c r="A215" s="1">
        <v>211</v>
      </c>
      <c r="B215" s="1" t="s">
        <v>595</v>
      </c>
      <c r="C215" s="32">
        <v>879</v>
      </c>
      <c r="D215" s="1">
        <v>16000</v>
      </c>
      <c r="E215" s="1" t="s">
        <v>642</v>
      </c>
      <c r="F215" s="1">
        <v>178.22</v>
      </c>
      <c r="G215" s="1">
        <v>16000</v>
      </c>
      <c r="H215" s="5">
        <f t="shared" si="3"/>
        <v>0</v>
      </c>
      <c r="I215" s="1"/>
      <c r="J215" s="1"/>
      <c r="K215" s="86"/>
    </row>
    <row r="216" spans="1:11" s="365" customFormat="1" ht="15" x14ac:dyDescent="0.25">
      <c r="A216" s="1">
        <v>212</v>
      </c>
      <c r="B216" s="1" t="s">
        <v>595</v>
      </c>
      <c r="C216" s="32">
        <v>2464</v>
      </c>
      <c r="D216" s="1">
        <v>21000</v>
      </c>
      <c r="E216" s="1" t="s">
        <v>642</v>
      </c>
      <c r="F216" s="1">
        <v>233.85</v>
      </c>
      <c r="G216" s="1">
        <v>21000</v>
      </c>
      <c r="H216" s="5">
        <f t="shared" si="3"/>
        <v>0</v>
      </c>
      <c r="I216" s="1"/>
      <c r="J216" s="1"/>
      <c r="K216" s="86"/>
    </row>
    <row r="217" spans="1:11" s="365" customFormat="1" ht="15" x14ac:dyDescent="0.25">
      <c r="A217" s="1">
        <v>213</v>
      </c>
      <c r="B217" s="1" t="s">
        <v>595</v>
      </c>
      <c r="C217" s="32">
        <v>2983</v>
      </c>
      <c r="D217" s="1">
        <v>15000</v>
      </c>
      <c r="E217" s="1" t="s">
        <v>642</v>
      </c>
      <c r="F217" s="1">
        <v>167.15</v>
      </c>
      <c r="G217" s="1">
        <v>15000</v>
      </c>
      <c r="H217" s="5">
        <f t="shared" si="3"/>
        <v>0</v>
      </c>
      <c r="I217" s="1"/>
      <c r="J217" s="1"/>
      <c r="K217" s="86"/>
    </row>
    <row r="218" spans="1:11" s="365" customFormat="1" ht="15" x14ac:dyDescent="0.25">
      <c r="A218" s="1">
        <v>214</v>
      </c>
      <c r="B218" s="1" t="s">
        <v>595</v>
      </c>
      <c r="C218" s="32">
        <v>3327</v>
      </c>
      <c r="D218" s="1">
        <v>10000</v>
      </c>
      <c r="E218" s="1" t="s">
        <v>642</v>
      </c>
      <c r="F218" s="1">
        <v>111.41</v>
      </c>
      <c r="G218" s="1">
        <v>10000</v>
      </c>
      <c r="H218" s="5">
        <f t="shared" si="3"/>
        <v>0</v>
      </c>
      <c r="I218" s="1"/>
      <c r="J218" s="1"/>
      <c r="K218" s="86"/>
    </row>
    <row r="219" spans="1:11" s="365" customFormat="1" ht="15" x14ac:dyDescent="0.25">
      <c r="A219" s="1">
        <v>215</v>
      </c>
      <c r="B219" s="1" t="s">
        <v>595</v>
      </c>
      <c r="C219" s="32">
        <v>4331</v>
      </c>
      <c r="D219" s="1">
        <v>30000</v>
      </c>
      <c r="E219" s="1" t="s">
        <v>642</v>
      </c>
      <c r="F219" s="1">
        <v>334.63</v>
      </c>
      <c r="G219" s="1">
        <v>30000</v>
      </c>
      <c r="H219" s="5">
        <f t="shared" si="3"/>
        <v>0</v>
      </c>
      <c r="I219" s="1"/>
      <c r="J219" s="1"/>
      <c r="K219" s="86"/>
    </row>
    <row r="220" spans="1:11" s="365" customFormat="1" ht="15" x14ac:dyDescent="0.25">
      <c r="A220" s="1">
        <v>216</v>
      </c>
      <c r="B220" s="1" t="s">
        <v>595</v>
      </c>
      <c r="C220" s="32">
        <v>6549</v>
      </c>
      <c r="D220" s="1">
        <v>8000</v>
      </c>
      <c r="E220" s="1" t="s">
        <v>642</v>
      </c>
      <c r="F220" s="1">
        <v>89.68</v>
      </c>
      <c r="G220" s="1">
        <v>8000</v>
      </c>
      <c r="H220" s="5">
        <f t="shared" si="3"/>
        <v>0</v>
      </c>
      <c r="I220" s="1"/>
      <c r="J220" s="1"/>
      <c r="K220" s="86"/>
    </row>
    <row r="221" spans="1:11" s="365" customFormat="1" ht="15" x14ac:dyDescent="0.25">
      <c r="A221" s="1">
        <v>217</v>
      </c>
      <c r="B221" s="1" t="s">
        <v>595</v>
      </c>
      <c r="C221" s="32">
        <v>9101</v>
      </c>
      <c r="D221" s="1">
        <v>22000</v>
      </c>
      <c r="E221" s="1" t="s">
        <v>642</v>
      </c>
      <c r="F221" s="1">
        <v>245.35</v>
      </c>
      <c r="G221" s="1">
        <v>22000</v>
      </c>
      <c r="H221" s="5">
        <f t="shared" si="3"/>
        <v>0</v>
      </c>
      <c r="I221" s="1"/>
      <c r="J221" s="1"/>
      <c r="K221" s="86"/>
    </row>
    <row r="222" spans="1:11" s="365" customFormat="1" ht="15" x14ac:dyDescent="0.25">
      <c r="A222" s="1">
        <v>218</v>
      </c>
      <c r="B222" s="1" t="s">
        <v>595</v>
      </c>
      <c r="C222" s="32">
        <v>4377</v>
      </c>
      <c r="D222" s="1">
        <v>30000</v>
      </c>
      <c r="E222" s="1" t="s">
        <v>642</v>
      </c>
      <c r="F222" s="1">
        <v>334.63</v>
      </c>
      <c r="G222" s="1">
        <v>30000</v>
      </c>
      <c r="H222" s="5">
        <f t="shared" si="3"/>
        <v>0</v>
      </c>
      <c r="I222" s="1"/>
      <c r="J222" s="1"/>
      <c r="K222" s="86"/>
    </row>
    <row r="223" spans="1:11" s="365" customFormat="1" ht="15" x14ac:dyDescent="0.25">
      <c r="A223" s="1">
        <v>219</v>
      </c>
      <c r="B223" s="1" t="s">
        <v>595</v>
      </c>
      <c r="C223" s="32">
        <v>4974</v>
      </c>
      <c r="D223" s="1">
        <v>8000</v>
      </c>
      <c r="E223" s="1" t="s">
        <v>642</v>
      </c>
      <c r="F223" s="1">
        <v>89.68</v>
      </c>
      <c r="G223" s="1">
        <v>8000</v>
      </c>
      <c r="H223" s="5">
        <f t="shared" si="3"/>
        <v>0</v>
      </c>
      <c r="I223" s="1"/>
      <c r="J223" s="1"/>
      <c r="K223" s="86"/>
    </row>
    <row r="224" spans="1:11" s="365" customFormat="1" ht="15" x14ac:dyDescent="0.25">
      <c r="A224" s="1">
        <v>220</v>
      </c>
      <c r="B224" s="1" t="s">
        <v>595</v>
      </c>
      <c r="C224" s="32">
        <v>4.1200000000000001E-2</v>
      </c>
      <c r="D224" s="1">
        <v>8000</v>
      </c>
      <c r="E224" s="1" t="s">
        <v>642</v>
      </c>
      <c r="F224" s="1">
        <v>89.68</v>
      </c>
      <c r="G224" s="1">
        <v>8000</v>
      </c>
      <c r="H224" s="5">
        <f t="shared" si="3"/>
        <v>0</v>
      </c>
      <c r="I224" s="1"/>
      <c r="J224" s="1"/>
      <c r="K224" s="86"/>
    </row>
    <row r="225" spans="1:11" s="365" customFormat="1" ht="15" x14ac:dyDescent="0.25">
      <c r="A225" s="1">
        <v>221</v>
      </c>
      <c r="B225" s="1" t="s">
        <v>595</v>
      </c>
      <c r="C225" s="32">
        <v>3618</v>
      </c>
      <c r="D225" s="1">
        <v>8000</v>
      </c>
      <c r="E225" s="1" t="s">
        <v>642</v>
      </c>
      <c r="F225" s="1">
        <v>89.68</v>
      </c>
      <c r="G225" s="1">
        <v>8000</v>
      </c>
      <c r="H225" s="5">
        <f t="shared" si="3"/>
        <v>0</v>
      </c>
      <c r="I225" s="1"/>
      <c r="J225" s="1"/>
      <c r="K225" s="86"/>
    </row>
    <row r="226" spans="1:11" s="365" customFormat="1" ht="15" x14ac:dyDescent="0.25">
      <c r="A226" s="1">
        <v>222</v>
      </c>
      <c r="B226" s="1" t="s">
        <v>595</v>
      </c>
      <c r="C226" s="32">
        <v>6200</v>
      </c>
      <c r="D226" s="1">
        <v>5000</v>
      </c>
      <c r="E226" s="1" t="s">
        <v>642</v>
      </c>
      <c r="F226" s="1">
        <v>55.45</v>
      </c>
      <c r="G226" s="1">
        <v>5000</v>
      </c>
      <c r="H226" s="5">
        <f t="shared" si="3"/>
        <v>0</v>
      </c>
      <c r="I226" s="1"/>
      <c r="J226" s="1"/>
      <c r="K226" s="86"/>
    </row>
    <row r="227" spans="1:11" s="365" customFormat="1" ht="15" x14ac:dyDescent="0.25">
      <c r="A227" s="1">
        <v>223</v>
      </c>
      <c r="B227" s="1" t="s">
        <v>595</v>
      </c>
      <c r="C227" s="32">
        <v>4.7199999999999999E-2</v>
      </c>
      <c r="D227" s="1">
        <v>8000</v>
      </c>
      <c r="E227" s="1" t="s">
        <v>642</v>
      </c>
      <c r="F227" s="1">
        <v>89.68</v>
      </c>
      <c r="G227" s="1">
        <v>8000</v>
      </c>
      <c r="H227" s="5">
        <f t="shared" si="3"/>
        <v>0</v>
      </c>
      <c r="I227" s="1"/>
      <c r="J227" s="1"/>
      <c r="K227" s="86"/>
    </row>
    <row r="228" spans="1:11" s="365" customFormat="1" ht="15" x14ac:dyDescent="0.25">
      <c r="A228" s="1">
        <v>224</v>
      </c>
      <c r="B228" s="1" t="s">
        <v>595</v>
      </c>
      <c r="C228" s="32">
        <v>3259</v>
      </c>
      <c r="D228" s="1">
        <v>21000</v>
      </c>
      <c r="E228" s="1" t="s">
        <v>642</v>
      </c>
      <c r="F228" s="1">
        <v>233.85</v>
      </c>
      <c r="G228" s="1">
        <v>21000</v>
      </c>
      <c r="H228" s="5">
        <f t="shared" si="3"/>
        <v>0</v>
      </c>
      <c r="I228" s="1"/>
      <c r="J228" s="1"/>
      <c r="K228" s="86"/>
    </row>
    <row r="229" spans="1:11" s="365" customFormat="1" ht="15" x14ac:dyDescent="0.25">
      <c r="A229" s="1">
        <v>225</v>
      </c>
      <c r="B229" s="1" t="s">
        <v>595</v>
      </c>
      <c r="C229" s="32">
        <v>7707</v>
      </c>
      <c r="D229" s="1">
        <v>22000</v>
      </c>
      <c r="E229" s="1" t="s">
        <v>642</v>
      </c>
      <c r="F229" s="1">
        <v>245.35</v>
      </c>
      <c r="G229" s="1">
        <v>22000</v>
      </c>
      <c r="H229" s="5">
        <f t="shared" si="3"/>
        <v>0</v>
      </c>
      <c r="I229" s="1"/>
      <c r="J229" s="1"/>
      <c r="K229" s="86"/>
    </row>
    <row r="230" spans="1:11" s="365" customFormat="1" ht="15" x14ac:dyDescent="0.25">
      <c r="A230" s="1">
        <v>226</v>
      </c>
      <c r="B230" s="1" t="s">
        <v>595</v>
      </c>
      <c r="C230" s="32">
        <v>8188</v>
      </c>
      <c r="D230" s="1">
        <v>22000</v>
      </c>
      <c r="E230" s="1" t="s">
        <v>642</v>
      </c>
      <c r="F230" s="1">
        <v>245.35</v>
      </c>
      <c r="G230" s="1">
        <v>22000</v>
      </c>
      <c r="H230" s="5">
        <f t="shared" si="3"/>
        <v>0</v>
      </c>
      <c r="I230" s="1"/>
      <c r="J230" s="1"/>
      <c r="K230" s="86"/>
    </row>
    <row r="231" spans="1:11" s="365" customFormat="1" ht="15" x14ac:dyDescent="0.25">
      <c r="A231" s="1">
        <v>227</v>
      </c>
      <c r="B231" s="1" t="s">
        <v>595</v>
      </c>
      <c r="C231" s="32">
        <v>2.4899999999999999E-2</v>
      </c>
      <c r="D231" s="1">
        <v>22000</v>
      </c>
      <c r="E231" s="1" t="s">
        <v>642</v>
      </c>
      <c r="F231" s="1">
        <v>245.35</v>
      </c>
      <c r="G231" s="1">
        <v>22000</v>
      </c>
      <c r="H231" s="5">
        <f t="shared" si="3"/>
        <v>0</v>
      </c>
      <c r="I231" s="1"/>
      <c r="J231" s="1"/>
      <c r="K231" s="86"/>
    </row>
    <row r="232" spans="1:11" s="365" customFormat="1" ht="15" x14ac:dyDescent="0.25">
      <c r="A232" s="1">
        <v>228</v>
      </c>
      <c r="B232" s="1" t="s">
        <v>595</v>
      </c>
      <c r="C232" s="32">
        <v>1080</v>
      </c>
      <c r="D232" s="1">
        <v>20000</v>
      </c>
      <c r="E232" s="1" t="s">
        <v>642</v>
      </c>
      <c r="F232" s="1">
        <v>222.64</v>
      </c>
      <c r="G232" s="1">
        <v>20000</v>
      </c>
      <c r="H232" s="5">
        <f t="shared" si="3"/>
        <v>0</v>
      </c>
      <c r="I232" s="1"/>
      <c r="J232" s="1"/>
      <c r="K232" s="86"/>
    </row>
    <row r="233" spans="1:11" s="365" customFormat="1" ht="15" x14ac:dyDescent="0.25">
      <c r="A233" s="1">
        <v>229</v>
      </c>
      <c r="B233" s="1" t="s">
        <v>595</v>
      </c>
      <c r="C233" s="32">
        <v>9156</v>
      </c>
      <c r="D233" s="1">
        <v>20000</v>
      </c>
      <c r="E233" s="1" t="s">
        <v>642</v>
      </c>
      <c r="F233" s="1">
        <v>222.64</v>
      </c>
      <c r="G233" s="1">
        <v>20000</v>
      </c>
      <c r="H233" s="5">
        <f t="shared" si="3"/>
        <v>0</v>
      </c>
      <c r="I233" s="1"/>
      <c r="J233" s="1"/>
      <c r="K233" s="86"/>
    </row>
    <row r="234" spans="1:11" s="365" customFormat="1" ht="15" x14ac:dyDescent="0.25">
      <c r="A234" s="1">
        <v>230</v>
      </c>
      <c r="B234" s="1" t="s">
        <v>595</v>
      </c>
      <c r="C234" s="32">
        <v>4579</v>
      </c>
      <c r="D234" s="1">
        <v>15000</v>
      </c>
      <c r="E234" s="1" t="s">
        <v>642</v>
      </c>
      <c r="F234" s="1">
        <v>167.15</v>
      </c>
      <c r="G234" s="1">
        <v>15000</v>
      </c>
      <c r="H234" s="5">
        <f t="shared" si="3"/>
        <v>0</v>
      </c>
      <c r="I234" s="1"/>
      <c r="J234" s="1"/>
      <c r="K234" s="86"/>
    </row>
    <row r="235" spans="1:11" s="365" customFormat="1" ht="15" x14ac:dyDescent="0.25">
      <c r="A235" s="1">
        <v>231</v>
      </c>
      <c r="B235" s="1" t="s">
        <v>595</v>
      </c>
      <c r="C235" s="32">
        <v>1744</v>
      </c>
      <c r="D235" s="1">
        <v>13000</v>
      </c>
      <c r="E235" s="1" t="s">
        <v>642</v>
      </c>
      <c r="F235" s="1">
        <v>144.13</v>
      </c>
      <c r="G235" s="1">
        <v>13000</v>
      </c>
      <c r="H235" s="5">
        <f t="shared" si="3"/>
        <v>0</v>
      </c>
      <c r="I235" s="1"/>
      <c r="J235" s="1"/>
      <c r="K235" s="86"/>
    </row>
    <row r="236" spans="1:11" s="365" customFormat="1" ht="15" x14ac:dyDescent="0.25">
      <c r="A236" s="1">
        <v>232</v>
      </c>
      <c r="B236" s="1" t="s">
        <v>595</v>
      </c>
      <c r="C236" s="32">
        <v>8520</v>
      </c>
      <c r="D236" s="1">
        <v>28000</v>
      </c>
      <c r="E236" s="1" t="s">
        <v>642</v>
      </c>
      <c r="F236" s="1">
        <v>311.33999999999997</v>
      </c>
      <c r="G236" s="1">
        <v>28000</v>
      </c>
      <c r="H236" s="5">
        <f t="shared" si="3"/>
        <v>0</v>
      </c>
      <c r="I236" s="1"/>
      <c r="J236" s="1"/>
      <c r="K236" s="86"/>
    </row>
    <row r="237" spans="1:11" s="365" customFormat="1" ht="15" x14ac:dyDescent="0.25">
      <c r="A237" s="1">
        <v>233</v>
      </c>
      <c r="B237" s="1" t="s">
        <v>595</v>
      </c>
      <c r="C237" s="32">
        <v>8.9999999999999998E-4</v>
      </c>
      <c r="D237" s="1">
        <v>15000</v>
      </c>
      <c r="E237" s="1" t="s">
        <v>642</v>
      </c>
      <c r="F237" s="1">
        <v>167.15</v>
      </c>
      <c r="G237" s="1">
        <v>15000</v>
      </c>
      <c r="H237" s="5">
        <f t="shared" si="3"/>
        <v>0</v>
      </c>
      <c r="I237" s="1"/>
      <c r="J237" s="1"/>
      <c r="K237" s="86"/>
    </row>
    <row r="238" spans="1:11" s="365" customFormat="1" ht="15" x14ac:dyDescent="0.25">
      <c r="A238" s="1">
        <v>234</v>
      </c>
      <c r="B238" s="1" t="s">
        <v>595</v>
      </c>
      <c r="C238" s="32">
        <v>8265</v>
      </c>
      <c r="D238" s="1">
        <v>22000</v>
      </c>
      <c r="E238" s="1" t="s">
        <v>642</v>
      </c>
      <c r="F238" s="1">
        <v>245.35</v>
      </c>
      <c r="G238" s="1">
        <v>22000</v>
      </c>
      <c r="H238" s="5">
        <f t="shared" si="3"/>
        <v>0</v>
      </c>
      <c r="I238" s="1"/>
      <c r="J238" s="1"/>
      <c r="K238" s="86"/>
    </row>
    <row r="239" spans="1:11" s="365" customFormat="1" ht="15" x14ac:dyDescent="0.25">
      <c r="A239" s="1">
        <v>235</v>
      </c>
      <c r="B239" s="1" t="s">
        <v>595</v>
      </c>
      <c r="C239" s="32">
        <v>5.1000000000000004E-3</v>
      </c>
      <c r="D239" s="1">
        <v>17000</v>
      </c>
      <c r="E239" s="1" t="s">
        <v>642</v>
      </c>
      <c r="F239" s="1">
        <v>189.64</v>
      </c>
      <c r="G239" s="1">
        <v>17000</v>
      </c>
      <c r="H239" s="5">
        <f t="shared" si="3"/>
        <v>0</v>
      </c>
      <c r="I239" s="1"/>
      <c r="J239" s="1"/>
      <c r="K239" s="86"/>
    </row>
    <row r="240" spans="1:11" s="365" customFormat="1" ht="15" x14ac:dyDescent="0.25">
      <c r="A240" s="1">
        <v>236</v>
      </c>
      <c r="B240" s="1" t="s">
        <v>595</v>
      </c>
      <c r="C240" s="32">
        <v>6972</v>
      </c>
      <c r="D240" s="1">
        <v>12000</v>
      </c>
      <c r="E240" s="1" t="s">
        <v>642</v>
      </c>
      <c r="F240" s="1">
        <v>133.54</v>
      </c>
      <c r="G240" s="1">
        <v>12000</v>
      </c>
      <c r="H240" s="5">
        <f t="shared" si="3"/>
        <v>0</v>
      </c>
      <c r="I240" s="1"/>
      <c r="J240" s="1"/>
      <c r="K240" s="86"/>
    </row>
    <row r="241" spans="1:11" s="365" customFormat="1" ht="15" x14ac:dyDescent="0.25">
      <c r="A241" s="1">
        <v>237</v>
      </c>
      <c r="B241" s="1" t="s">
        <v>595</v>
      </c>
      <c r="C241" s="32">
        <v>6135</v>
      </c>
      <c r="D241" s="1">
        <v>19000</v>
      </c>
      <c r="E241" s="1" t="s">
        <v>642</v>
      </c>
      <c r="F241" s="1">
        <v>211.37</v>
      </c>
      <c r="G241" s="1">
        <v>19000</v>
      </c>
      <c r="H241" s="5">
        <f t="shared" si="3"/>
        <v>0</v>
      </c>
      <c r="I241" s="1"/>
      <c r="J241" s="1"/>
      <c r="K241" s="86"/>
    </row>
    <row r="242" spans="1:11" s="365" customFormat="1" ht="15" x14ac:dyDescent="0.25">
      <c r="A242" s="1">
        <v>238</v>
      </c>
      <c r="B242" s="1" t="s">
        <v>595</v>
      </c>
      <c r="C242" s="32">
        <v>1317</v>
      </c>
      <c r="D242" s="1">
        <v>10000</v>
      </c>
      <c r="E242" s="1" t="s">
        <v>642</v>
      </c>
      <c r="F242" s="1">
        <v>111.41</v>
      </c>
      <c r="G242" s="1">
        <v>10000</v>
      </c>
      <c r="H242" s="5">
        <f t="shared" si="3"/>
        <v>0</v>
      </c>
      <c r="I242" s="1"/>
      <c r="J242" s="1"/>
      <c r="K242" s="86"/>
    </row>
    <row r="243" spans="1:11" s="365" customFormat="1" ht="15" x14ac:dyDescent="0.25">
      <c r="A243" s="1">
        <v>239</v>
      </c>
      <c r="B243" s="1" t="s">
        <v>595</v>
      </c>
      <c r="C243" s="32">
        <v>9921</v>
      </c>
      <c r="D243" s="1">
        <v>27000</v>
      </c>
      <c r="E243" s="1" t="s">
        <v>642</v>
      </c>
      <c r="F243" s="1">
        <v>300.87</v>
      </c>
      <c r="G243" s="1">
        <v>27000</v>
      </c>
      <c r="H243" s="5">
        <f t="shared" si="3"/>
        <v>0</v>
      </c>
      <c r="I243" s="1"/>
      <c r="J243" s="1"/>
      <c r="K243" s="86"/>
    </row>
    <row r="244" spans="1:11" s="365" customFormat="1" ht="15" x14ac:dyDescent="0.25">
      <c r="A244" s="1">
        <v>240</v>
      </c>
      <c r="B244" s="1" t="s">
        <v>595</v>
      </c>
      <c r="C244" s="32">
        <v>7800</v>
      </c>
      <c r="D244" s="1">
        <v>10000</v>
      </c>
      <c r="E244" s="1" t="s">
        <v>642</v>
      </c>
      <c r="F244" s="1">
        <v>111.41</v>
      </c>
      <c r="G244" s="1">
        <v>10000</v>
      </c>
      <c r="H244" s="5">
        <f t="shared" si="3"/>
        <v>0</v>
      </c>
      <c r="I244" s="1"/>
      <c r="J244" s="1"/>
      <c r="K244" s="86"/>
    </row>
    <row r="245" spans="1:11" s="365" customFormat="1" ht="15" x14ac:dyDescent="0.25">
      <c r="A245" s="1">
        <v>241</v>
      </c>
      <c r="B245" s="1" t="s">
        <v>595</v>
      </c>
      <c r="C245" s="32">
        <v>6744</v>
      </c>
      <c r="D245" s="1">
        <v>25000</v>
      </c>
      <c r="E245" s="1" t="s">
        <v>642</v>
      </c>
      <c r="F245" s="1">
        <v>278.22000000000003</v>
      </c>
      <c r="G245" s="1">
        <v>25000</v>
      </c>
      <c r="H245" s="5">
        <f t="shared" si="3"/>
        <v>0</v>
      </c>
      <c r="I245" s="1"/>
      <c r="J245" s="1"/>
      <c r="K245" s="86"/>
    </row>
    <row r="246" spans="1:11" s="365" customFormat="1" ht="15" x14ac:dyDescent="0.25">
      <c r="A246" s="1">
        <v>242</v>
      </c>
      <c r="B246" s="1" t="s">
        <v>596</v>
      </c>
      <c r="C246" s="32">
        <v>1215</v>
      </c>
      <c r="D246" s="1">
        <v>18000</v>
      </c>
      <c r="E246" s="1" t="s">
        <v>642</v>
      </c>
      <c r="F246" s="1">
        <v>200.87</v>
      </c>
      <c r="G246" s="1">
        <v>18000</v>
      </c>
      <c r="H246" s="5">
        <f t="shared" si="3"/>
        <v>0</v>
      </c>
      <c r="I246" s="1"/>
      <c r="J246" s="1"/>
      <c r="K246" s="86"/>
    </row>
    <row r="247" spans="1:11" s="365" customFormat="1" ht="15" x14ac:dyDescent="0.25">
      <c r="A247" s="1">
        <v>243</v>
      </c>
      <c r="B247" s="1" t="s">
        <v>596</v>
      </c>
      <c r="C247" s="32">
        <v>5582</v>
      </c>
      <c r="D247" s="1">
        <v>15000</v>
      </c>
      <c r="E247" s="1" t="s">
        <v>642</v>
      </c>
      <c r="F247" s="1">
        <v>167.15</v>
      </c>
      <c r="G247" s="1">
        <v>15000</v>
      </c>
      <c r="H247" s="5">
        <f t="shared" si="3"/>
        <v>0</v>
      </c>
      <c r="I247" s="1"/>
      <c r="J247" s="1"/>
      <c r="K247" s="86"/>
    </row>
    <row r="248" spans="1:11" s="365" customFormat="1" ht="15" x14ac:dyDescent="0.25">
      <c r="A248" s="1">
        <v>244</v>
      </c>
      <c r="B248" s="1" t="s">
        <v>596</v>
      </c>
      <c r="C248" s="32">
        <v>1982</v>
      </c>
      <c r="D248" s="1">
        <v>20000</v>
      </c>
      <c r="E248" s="1" t="s">
        <v>642</v>
      </c>
      <c r="F248" s="1">
        <v>222.64</v>
      </c>
      <c r="G248" s="1">
        <v>20000</v>
      </c>
      <c r="H248" s="5">
        <f t="shared" si="3"/>
        <v>0</v>
      </c>
      <c r="I248" s="1"/>
      <c r="J248" s="1"/>
      <c r="K248" s="86"/>
    </row>
    <row r="249" spans="1:11" s="365" customFormat="1" ht="15" x14ac:dyDescent="0.25">
      <c r="A249" s="1">
        <v>245</v>
      </c>
      <c r="B249" s="1" t="s">
        <v>596</v>
      </c>
      <c r="C249" s="32">
        <v>1352</v>
      </c>
      <c r="D249" s="1">
        <v>13000</v>
      </c>
      <c r="E249" s="1" t="s">
        <v>642</v>
      </c>
      <c r="F249" s="1">
        <v>144.13</v>
      </c>
      <c r="G249" s="1">
        <v>13000</v>
      </c>
      <c r="H249" s="5">
        <f t="shared" si="3"/>
        <v>0</v>
      </c>
      <c r="I249" s="1"/>
      <c r="J249" s="1"/>
      <c r="K249" s="86"/>
    </row>
    <row r="250" spans="1:11" s="365" customFormat="1" ht="15" x14ac:dyDescent="0.25">
      <c r="A250" s="1">
        <v>246</v>
      </c>
      <c r="B250" s="1" t="s">
        <v>596</v>
      </c>
      <c r="C250" s="32" t="s">
        <v>30</v>
      </c>
      <c r="D250" s="1">
        <v>4500</v>
      </c>
      <c r="E250" s="1" t="s">
        <v>642</v>
      </c>
      <c r="F250" s="1">
        <v>50.45</v>
      </c>
      <c r="G250" s="1">
        <v>4500</v>
      </c>
      <c r="H250" s="5">
        <f t="shared" si="3"/>
        <v>0</v>
      </c>
      <c r="I250" s="1"/>
      <c r="J250" s="1"/>
      <c r="K250" s="86"/>
    </row>
    <row r="251" spans="1:11" s="365" customFormat="1" ht="15" x14ac:dyDescent="0.25">
      <c r="A251" s="1">
        <v>247</v>
      </c>
      <c r="B251" s="1" t="s">
        <v>596</v>
      </c>
      <c r="C251" s="32">
        <v>3392</v>
      </c>
      <c r="D251" s="1">
        <v>15000</v>
      </c>
      <c r="E251" s="1" t="s">
        <v>642</v>
      </c>
      <c r="F251" s="1">
        <v>167.15</v>
      </c>
      <c r="G251" s="1">
        <v>15000</v>
      </c>
      <c r="H251" s="5">
        <f t="shared" si="3"/>
        <v>0</v>
      </c>
      <c r="I251" s="1"/>
      <c r="J251" s="1"/>
      <c r="K251" s="86"/>
    </row>
    <row r="252" spans="1:11" s="365" customFormat="1" ht="15" x14ac:dyDescent="0.25">
      <c r="A252" s="1">
        <v>248</v>
      </c>
      <c r="B252" s="1" t="s">
        <v>596</v>
      </c>
      <c r="C252" s="32">
        <v>8771</v>
      </c>
      <c r="D252" s="1">
        <v>15000</v>
      </c>
      <c r="E252" s="1" t="s">
        <v>642</v>
      </c>
      <c r="F252" s="1">
        <v>167.15</v>
      </c>
      <c r="G252" s="1">
        <v>15000</v>
      </c>
      <c r="H252" s="5">
        <f t="shared" si="3"/>
        <v>0</v>
      </c>
      <c r="I252" s="1"/>
      <c r="J252" s="1"/>
      <c r="K252" s="86"/>
    </row>
    <row r="253" spans="1:11" s="365" customFormat="1" ht="15" x14ac:dyDescent="0.25">
      <c r="A253" s="1">
        <v>249</v>
      </c>
      <c r="B253" s="1" t="s">
        <v>596</v>
      </c>
      <c r="C253" s="32">
        <v>2884</v>
      </c>
      <c r="D253" s="1">
        <v>30000</v>
      </c>
      <c r="E253" s="1" t="s">
        <v>642</v>
      </c>
      <c r="F253" s="1">
        <v>334.63</v>
      </c>
      <c r="G253" s="1">
        <v>30000</v>
      </c>
      <c r="H253" s="5">
        <f t="shared" si="3"/>
        <v>0</v>
      </c>
      <c r="I253" s="1"/>
      <c r="J253" s="1"/>
      <c r="K253" s="86"/>
    </row>
    <row r="254" spans="1:11" s="365" customFormat="1" ht="15" x14ac:dyDescent="0.25">
      <c r="A254" s="1">
        <v>250</v>
      </c>
      <c r="B254" s="1" t="s">
        <v>596</v>
      </c>
      <c r="C254" s="32">
        <v>5.2200000000000003E-2</v>
      </c>
      <c r="D254" s="1">
        <v>25000</v>
      </c>
      <c r="E254" s="1" t="s">
        <v>642</v>
      </c>
      <c r="F254" s="1">
        <v>278.22000000000003</v>
      </c>
      <c r="G254" s="1">
        <v>25000</v>
      </c>
      <c r="H254" s="5">
        <f t="shared" si="3"/>
        <v>0</v>
      </c>
      <c r="I254" s="1"/>
      <c r="J254" s="1"/>
      <c r="K254" s="86"/>
    </row>
    <row r="255" spans="1:11" s="365" customFormat="1" ht="15" x14ac:dyDescent="0.25">
      <c r="A255" s="1">
        <v>251</v>
      </c>
      <c r="B255" s="1" t="s">
        <v>596</v>
      </c>
      <c r="C255" s="32">
        <v>5515</v>
      </c>
      <c r="D255" s="1">
        <v>15000</v>
      </c>
      <c r="E255" s="1" t="s">
        <v>642</v>
      </c>
      <c r="F255" s="1">
        <v>167.15</v>
      </c>
      <c r="G255" s="1">
        <v>15000</v>
      </c>
      <c r="H255" s="5">
        <f t="shared" si="3"/>
        <v>0</v>
      </c>
      <c r="I255" s="1"/>
      <c r="J255" s="1"/>
      <c r="K255" s="86"/>
    </row>
    <row r="256" spans="1:11" s="365" customFormat="1" ht="15" x14ac:dyDescent="0.25">
      <c r="A256" s="1">
        <v>252</v>
      </c>
      <c r="B256" s="1" t="s">
        <v>596</v>
      </c>
      <c r="C256" s="32">
        <v>2928</v>
      </c>
      <c r="D256" s="1">
        <v>23000</v>
      </c>
      <c r="E256" s="1" t="s">
        <v>642</v>
      </c>
      <c r="F256" s="1">
        <v>272.97000000000003</v>
      </c>
      <c r="G256" s="1">
        <v>23000</v>
      </c>
      <c r="H256" s="5">
        <f t="shared" si="3"/>
        <v>0</v>
      </c>
      <c r="I256" s="1"/>
      <c r="J256" s="1"/>
      <c r="K256" s="86"/>
    </row>
    <row r="257" spans="1:11" s="365" customFormat="1" ht="15" x14ac:dyDescent="0.25">
      <c r="A257" s="1">
        <v>253</v>
      </c>
      <c r="B257" s="1" t="s">
        <v>596</v>
      </c>
      <c r="C257" s="32" t="s">
        <v>586</v>
      </c>
      <c r="D257" s="1">
        <v>3500</v>
      </c>
      <c r="E257" s="1" t="s">
        <v>642</v>
      </c>
      <c r="F257" s="1">
        <v>38.450000000000003</v>
      </c>
      <c r="G257" s="1">
        <v>3500</v>
      </c>
      <c r="H257" s="5">
        <f t="shared" si="3"/>
        <v>0</v>
      </c>
      <c r="I257" s="1"/>
      <c r="J257" s="1"/>
      <c r="K257" s="86"/>
    </row>
    <row r="258" spans="1:11" s="365" customFormat="1" ht="15" x14ac:dyDescent="0.25">
      <c r="A258" s="1">
        <v>254</v>
      </c>
      <c r="B258" s="1" t="s">
        <v>596</v>
      </c>
      <c r="C258" s="32">
        <v>5.1999999999999998E-3</v>
      </c>
      <c r="D258" s="1">
        <v>17000</v>
      </c>
      <c r="E258" s="1" t="s">
        <v>642</v>
      </c>
      <c r="F258" s="1">
        <v>183.65</v>
      </c>
      <c r="G258" s="1">
        <v>17000</v>
      </c>
      <c r="H258" s="5">
        <f t="shared" si="3"/>
        <v>0</v>
      </c>
      <c r="I258" s="1"/>
      <c r="J258" s="1"/>
      <c r="K258" s="86"/>
    </row>
    <row r="259" spans="1:11" s="365" customFormat="1" ht="15" x14ac:dyDescent="0.25">
      <c r="A259" s="1">
        <v>255</v>
      </c>
      <c r="B259" s="1" t="s">
        <v>596</v>
      </c>
      <c r="C259" s="32">
        <v>9903</v>
      </c>
      <c r="D259" s="1">
        <v>20000</v>
      </c>
      <c r="E259" s="1" t="s">
        <v>642</v>
      </c>
      <c r="F259" s="1">
        <v>222.64</v>
      </c>
      <c r="G259" s="1">
        <v>20000</v>
      </c>
      <c r="H259" s="5">
        <f t="shared" si="3"/>
        <v>0</v>
      </c>
      <c r="I259" s="1"/>
      <c r="J259" s="1"/>
      <c r="K259" s="86"/>
    </row>
    <row r="260" spans="1:11" s="365" customFormat="1" ht="15" x14ac:dyDescent="0.25">
      <c r="A260" s="1">
        <v>256</v>
      </c>
      <c r="B260" s="1" t="s">
        <v>596</v>
      </c>
      <c r="C260" s="32">
        <v>5386</v>
      </c>
      <c r="D260" s="1">
        <v>42000</v>
      </c>
      <c r="E260" s="1" t="s">
        <v>642</v>
      </c>
      <c r="F260" s="1">
        <v>467.57</v>
      </c>
      <c r="G260" s="1">
        <v>42000</v>
      </c>
      <c r="H260" s="5">
        <f t="shared" si="3"/>
        <v>0</v>
      </c>
      <c r="I260" s="1"/>
      <c r="J260" s="1"/>
      <c r="K260" s="86"/>
    </row>
    <row r="261" spans="1:11" s="365" customFormat="1" ht="15" x14ac:dyDescent="0.25">
      <c r="A261" s="1">
        <v>257</v>
      </c>
      <c r="B261" s="1" t="s">
        <v>596</v>
      </c>
      <c r="C261" s="32">
        <v>3.15E-2</v>
      </c>
      <c r="D261" s="1">
        <v>25000</v>
      </c>
      <c r="E261" s="1" t="s">
        <v>642</v>
      </c>
      <c r="F261" s="1">
        <v>278.22000000000003</v>
      </c>
      <c r="G261" s="1">
        <v>25000</v>
      </c>
      <c r="H261" s="5">
        <f t="shared" si="3"/>
        <v>0</v>
      </c>
      <c r="I261" s="1"/>
      <c r="J261" s="1"/>
      <c r="K261" s="86"/>
    </row>
    <row r="262" spans="1:11" s="365" customFormat="1" ht="15" x14ac:dyDescent="0.25">
      <c r="A262" s="1">
        <v>258</v>
      </c>
      <c r="B262" s="1" t="s">
        <v>596</v>
      </c>
      <c r="C262" s="32">
        <v>1377</v>
      </c>
      <c r="D262" s="1">
        <v>20000</v>
      </c>
      <c r="E262" s="1" t="s">
        <v>642</v>
      </c>
      <c r="F262" s="1">
        <v>222.64</v>
      </c>
      <c r="G262" s="1">
        <v>20000</v>
      </c>
      <c r="H262" s="5">
        <f t="shared" si="3"/>
        <v>0</v>
      </c>
      <c r="I262" s="1"/>
      <c r="J262" s="1"/>
      <c r="K262" s="86"/>
    </row>
    <row r="263" spans="1:11" s="365" customFormat="1" ht="15" x14ac:dyDescent="0.25">
      <c r="A263" s="1">
        <v>259</v>
      </c>
      <c r="B263" s="1" t="s">
        <v>596</v>
      </c>
      <c r="C263" s="32">
        <v>1313</v>
      </c>
      <c r="D263" s="1">
        <v>12000</v>
      </c>
      <c r="E263" s="1" t="s">
        <v>642</v>
      </c>
      <c r="F263" s="1">
        <v>133.55000000000001</v>
      </c>
      <c r="G263" s="1">
        <v>12000</v>
      </c>
      <c r="H263" s="5">
        <f t="shared" si="3"/>
        <v>0</v>
      </c>
      <c r="I263" s="1"/>
      <c r="J263" s="1"/>
      <c r="K263" s="86"/>
    </row>
    <row r="264" spans="1:11" s="365" customFormat="1" ht="15" x14ac:dyDescent="0.25">
      <c r="A264" s="1">
        <v>260</v>
      </c>
      <c r="B264" s="1" t="s">
        <v>596</v>
      </c>
      <c r="C264" s="32">
        <v>5.8599999999999999E-2</v>
      </c>
      <c r="D264" s="1">
        <v>25000</v>
      </c>
      <c r="E264" s="1" t="s">
        <v>642</v>
      </c>
      <c r="F264" s="1">
        <v>278.22000000000003</v>
      </c>
      <c r="G264" s="1">
        <v>25000</v>
      </c>
      <c r="H264" s="5">
        <f t="shared" ref="H264:H343" si="4">D264-G264</f>
        <v>0</v>
      </c>
      <c r="I264" s="1"/>
      <c r="J264" s="1"/>
      <c r="K264" s="86"/>
    </row>
    <row r="265" spans="1:11" s="365" customFormat="1" ht="15" x14ac:dyDescent="0.25">
      <c r="A265" s="1">
        <v>261</v>
      </c>
      <c r="B265" s="1" t="s">
        <v>596</v>
      </c>
      <c r="C265" s="32">
        <v>2393</v>
      </c>
      <c r="D265" s="1">
        <v>22000</v>
      </c>
      <c r="E265" s="1" t="s">
        <v>642</v>
      </c>
      <c r="F265" s="1">
        <v>245.32</v>
      </c>
      <c r="G265" s="1">
        <v>22000</v>
      </c>
      <c r="H265" s="5">
        <f t="shared" si="4"/>
        <v>0</v>
      </c>
      <c r="I265" s="1"/>
      <c r="J265" s="1"/>
      <c r="K265" s="86"/>
    </row>
    <row r="266" spans="1:11" s="365" customFormat="1" ht="15" x14ac:dyDescent="0.25">
      <c r="A266" s="1">
        <v>262</v>
      </c>
      <c r="B266" s="1" t="s">
        <v>596</v>
      </c>
      <c r="C266" s="32">
        <v>9330</v>
      </c>
      <c r="D266" s="1">
        <v>30000</v>
      </c>
      <c r="E266" s="1" t="s">
        <v>642</v>
      </c>
      <c r="F266" s="1">
        <v>334.63</v>
      </c>
      <c r="G266" s="1">
        <v>30000</v>
      </c>
      <c r="H266" s="5">
        <f t="shared" si="4"/>
        <v>0</v>
      </c>
      <c r="I266" s="1"/>
      <c r="J266" s="1"/>
      <c r="K266" s="86"/>
    </row>
    <row r="267" spans="1:11" s="365" customFormat="1" ht="15" x14ac:dyDescent="0.25">
      <c r="A267" s="1">
        <v>263</v>
      </c>
      <c r="B267" s="1" t="s">
        <v>596</v>
      </c>
      <c r="C267" s="32">
        <v>3686</v>
      </c>
      <c r="D267" s="1">
        <v>26000</v>
      </c>
      <c r="E267" s="1" t="s">
        <v>642</v>
      </c>
      <c r="F267" s="1">
        <v>286.97000000000003</v>
      </c>
      <c r="G267" s="1">
        <v>26000</v>
      </c>
      <c r="H267" s="5">
        <f t="shared" si="4"/>
        <v>0</v>
      </c>
      <c r="I267" s="1"/>
      <c r="J267" s="1"/>
      <c r="K267" s="86"/>
    </row>
    <row r="268" spans="1:11" s="365" customFormat="1" ht="15" x14ac:dyDescent="0.25">
      <c r="A268" s="1">
        <v>264</v>
      </c>
      <c r="B268" s="1" t="s">
        <v>596</v>
      </c>
      <c r="C268" s="32">
        <v>6104</v>
      </c>
      <c r="D268" s="1">
        <v>29000</v>
      </c>
      <c r="E268" s="1" t="s">
        <v>642</v>
      </c>
      <c r="F268" s="1">
        <v>323.32</v>
      </c>
      <c r="G268" s="1">
        <v>29000</v>
      </c>
      <c r="H268" s="5">
        <f t="shared" si="4"/>
        <v>0</v>
      </c>
      <c r="I268" s="1"/>
      <c r="J268" s="1"/>
      <c r="K268" s="86"/>
    </row>
    <row r="269" spans="1:11" s="365" customFormat="1" ht="15" x14ac:dyDescent="0.25">
      <c r="A269" s="1">
        <v>265</v>
      </c>
      <c r="B269" s="1" t="s">
        <v>596</v>
      </c>
      <c r="C269" s="32">
        <v>9097</v>
      </c>
      <c r="D269" s="1">
        <v>22000</v>
      </c>
      <c r="E269" s="1" t="s">
        <v>642</v>
      </c>
      <c r="F269" s="1">
        <v>245.22</v>
      </c>
      <c r="G269" s="1">
        <v>22000</v>
      </c>
      <c r="H269" s="5">
        <f t="shared" si="4"/>
        <v>0</v>
      </c>
      <c r="I269" s="1"/>
      <c r="J269" s="1"/>
      <c r="K269" s="86"/>
    </row>
    <row r="270" spans="1:11" s="365" customFormat="1" ht="15" x14ac:dyDescent="0.25">
      <c r="A270" s="1">
        <v>266</v>
      </c>
      <c r="B270" s="1" t="s">
        <v>596</v>
      </c>
      <c r="C270" s="32">
        <v>8751</v>
      </c>
      <c r="D270" s="1">
        <v>24000</v>
      </c>
      <c r="E270" s="1" t="s">
        <v>642</v>
      </c>
      <c r="F270" s="1">
        <v>267.72000000000003</v>
      </c>
      <c r="G270" s="1">
        <v>24000</v>
      </c>
      <c r="H270" s="5">
        <f t="shared" si="4"/>
        <v>0</v>
      </c>
      <c r="I270" s="1"/>
      <c r="J270" s="1"/>
      <c r="K270" s="86"/>
    </row>
    <row r="271" spans="1:11" s="365" customFormat="1" ht="15" x14ac:dyDescent="0.25">
      <c r="A271" s="1">
        <v>267</v>
      </c>
      <c r="B271" s="1" t="s">
        <v>596</v>
      </c>
      <c r="C271" s="32">
        <v>5.9700000000000003E-2</v>
      </c>
      <c r="D271" s="1">
        <v>20000</v>
      </c>
      <c r="E271" s="1" t="s">
        <v>642</v>
      </c>
      <c r="F271" s="1">
        <v>222.64</v>
      </c>
      <c r="G271" s="1">
        <v>20000</v>
      </c>
      <c r="H271" s="5">
        <f t="shared" si="4"/>
        <v>0</v>
      </c>
      <c r="I271" s="1"/>
      <c r="J271" s="1"/>
      <c r="K271" s="86"/>
    </row>
    <row r="272" spans="1:11" s="365" customFormat="1" ht="15" x14ac:dyDescent="0.25">
      <c r="A272" s="1">
        <v>268</v>
      </c>
      <c r="B272" s="1" t="s">
        <v>596</v>
      </c>
      <c r="C272" s="32">
        <v>4456</v>
      </c>
      <c r="D272" s="1">
        <v>25000</v>
      </c>
      <c r="E272" s="1" t="s">
        <v>642</v>
      </c>
      <c r="F272" s="1">
        <v>278.22000000000003</v>
      </c>
      <c r="G272" s="1">
        <v>25000</v>
      </c>
      <c r="H272" s="5">
        <f t="shared" si="4"/>
        <v>0</v>
      </c>
      <c r="I272" s="1"/>
      <c r="J272" s="1"/>
      <c r="K272" s="86"/>
    </row>
    <row r="273" spans="1:11" s="365" customFormat="1" ht="15" x14ac:dyDescent="0.25">
      <c r="A273" s="1">
        <v>269</v>
      </c>
      <c r="B273" s="1" t="s">
        <v>596</v>
      </c>
      <c r="C273" s="32">
        <v>9248</v>
      </c>
      <c r="D273" s="1">
        <v>27000</v>
      </c>
      <c r="E273" s="1" t="s">
        <v>642</v>
      </c>
      <c r="F273" s="1">
        <v>285.38</v>
      </c>
      <c r="G273" s="1">
        <v>27000</v>
      </c>
      <c r="H273" s="5">
        <f t="shared" si="4"/>
        <v>0</v>
      </c>
      <c r="I273" s="1"/>
      <c r="J273" s="1"/>
      <c r="K273" s="86"/>
    </row>
    <row r="274" spans="1:11" s="365" customFormat="1" ht="15" x14ac:dyDescent="0.25">
      <c r="A274" s="1">
        <v>270</v>
      </c>
      <c r="B274" s="1" t="s">
        <v>596</v>
      </c>
      <c r="C274" s="32">
        <v>3931</v>
      </c>
      <c r="D274" s="1">
        <v>25000</v>
      </c>
      <c r="E274" s="1" t="s">
        <v>642</v>
      </c>
      <c r="F274" s="1">
        <v>278.22000000000003</v>
      </c>
      <c r="G274" s="1">
        <v>25000</v>
      </c>
      <c r="H274" s="5">
        <f t="shared" si="4"/>
        <v>0</v>
      </c>
      <c r="I274" s="1"/>
      <c r="J274" s="1"/>
      <c r="K274" s="86"/>
    </row>
    <row r="275" spans="1:11" s="365" customFormat="1" ht="15" x14ac:dyDescent="0.25">
      <c r="A275" s="1">
        <v>271</v>
      </c>
      <c r="B275" s="1" t="s">
        <v>596</v>
      </c>
      <c r="C275" s="32">
        <v>7840</v>
      </c>
      <c r="D275" s="1">
        <v>20000</v>
      </c>
      <c r="E275" s="1" t="s">
        <v>642</v>
      </c>
      <c r="F275" s="1">
        <v>222.64</v>
      </c>
      <c r="G275" s="1">
        <v>20000</v>
      </c>
      <c r="H275" s="5">
        <f t="shared" si="4"/>
        <v>0</v>
      </c>
      <c r="I275" s="1"/>
      <c r="J275" s="1"/>
      <c r="K275" s="86"/>
    </row>
    <row r="276" spans="1:11" s="365" customFormat="1" ht="15" x14ac:dyDescent="0.25">
      <c r="A276" s="1">
        <v>272</v>
      </c>
      <c r="B276" s="1" t="s">
        <v>597</v>
      </c>
      <c r="C276" s="32">
        <v>8426</v>
      </c>
      <c r="D276" s="1">
        <v>25000</v>
      </c>
      <c r="E276" s="1" t="s">
        <v>642</v>
      </c>
      <c r="F276" s="1">
        <v>278.22000000000003</v>
      </c>
      <c r="G276" s="1">
        <v>25000</v>
      </c>
      <c r="H276" s="5">
        <f t="shared" si="4"/>
        <v>0</v>
      </c>
      <c r="I276" s="1"/>
      <c r="J276" s="1"/>
      <c r="K276" s="86"/>
    </row>
    <row r="277" spans="1:11" s="365" customFormat="1" ht="15" x14ac:dyDescent="0.25">
      <c r="A277" s="1">
        <v>273</v>
      </c>
      <c r="B277" s="1" t="s">
        <v>597</v>
      </c>
      <c r="C277" s="32">
        <v>4.4499999999999998E-2</v>
      </c>
      <c r="D277" s="1">
        <v>19000</v>
      </c>
      <c r="E277" s="1" t="s">
        <v>642</v>
      </c>
      <c r="F277" s="1">
        <v>211.28</v>
      </c>
      <c r="G277" s="1">
        <v>19000</v>
      </c>
      <c r="H277" s="5">
        <f t="shared" si="4"/>
        <v>0</v>
      </c>
      <c r="I277" s="1"/>
      <c r="J277" s="1"/>
      <c r="K277" s="86"/>
    </row>
    <row r="278" spans="1:11" s="365" customFormat="1" ht="15" x14ac:dyDescent="0.25">
      <c r="A278" s="1">
        <v>274</v>
      </c>
      <c r="B278" s="1" t="s">
        <v>597</v>
      </c>
      <c r="C278" s="32">
        <v>6659</v>
      </c>
      <c r="D278" s="1">
        <v>16000</v>
      </c>
      <c r="E278" s="1" t="s">
        <v>642</v>
      </c>
      <c r="F278" s="1">
        <v>178.22</v>
      </c>
      <c r="G278" s="1">
        <v>16000</v>
      </c>
      <c r="H278" s="5">
        <f t="shared" si="4"/>
        <v>0</v>
      </c>
      <c r="I278" s="1"/>
      <c r="J278" s="1"/>
      <c r="K278" s="86"/>
    </row>
    <row r="279" spans="1:11" s="365" customFormat="1" ht="15" x14ac:dyDescent="0.25">
      <c r="A279" s="1">
        <v>275</v>
      </c>
      <c r="B279" s="1" t="s">
        <v>597</v>
      </c>
      <c r="C279" s="32">
        <v>6591</v>
      </c>
      <c r="D279" s="1">
        <v>21000</v>
      </c>
      <c r="E279" s="1" t="s">
        <v>642</v>
      </c>
      <c r="F279" s="1">
        <v>211.64</v>
      </c>
      <c r="G279" s="1">
        <v>21000</v>
      </c>
      <c r="H279" s="5">
        <f t="shared" si="4"/>
        <v>0</v>
      </c>
      <c r="I279" s="1"/>
      <c r="J279" s="1"/>
      <c r="K279" s="86"/>
    </row>
    <row r="280" spans="1:11" s="365" customFormat="1" ht="15" x14ac:dyDescent="0.25">
      <c r="A280" s="1">
        <v>276</v>
      </c>
      <c r="B280" s="1" t="s">
        <v>597</v>
      </c>
      <c r="C280" s="32">
        <v>9342</v>
      </c>
      <c r="D280" s="1">
        <v>25000</v>
      </c>
      <c r="E280" s="1" t="s">
        <v>642</v>
      </c>
      <c r="F280" s="1">
        <v>278.22000000000003</v>
      </c>
      <c r="G280" s="1">
        <v>25000</v>
      </c>
      <c r="H280" s="5">
        <f t="shared" si="4"/>
        <v>0</v>
      </c>
      <c r="I280" s="1"/>
      <c r="J280" s="1"/>
      <c r="K280" s="86"/>
    </row>
    <row r="281" spans="1:11" s="365" customFormat="1" ht="15" x14ac:dyDescent="0.25">
      <c r="A281" s="1">
        <v>277</v>
      </c>
      <c r="B281" s="1" t="s">
        <v>597</v>
      </c>
      <c r="C281" s="32">
        <v>1.4500000000000001E-2</v>
      </c>
      <c r="D281" s="1">
        <v>22000</v>
      </c>
      <c r="E281" s="1" t="s">
        <v>642</v>
      </c>
      <c r="F281" s="1">
        <v>245.32</v>
      </c>
      <c r="G281" s="1">
        <v>22000</v>
      </c>
      <c r="H281" s="5">
        <f t="shared" si="4"/>
        <v>0</v>
      </c>
      <c r="I281" s="1"/>
      <c r="J281" s="1"/>
      <c r="K281" s="86"/>
    </row>
    <row r="282" spans="1:11" s="365" customFormat="1" ht="15" x14ac:dyDescent="0.25">
      <c r="A282" s="1">
        <v>278</v>
      </c>
      <c r="B282" s="1" t="s">
        <v>597</v>
      </c>
      <c r="C282" s="32" t="s">
        <v>30</v>
      </c>
      <c r="D282" s="1">
        <v>5000</v>
      </c>
      <c r="E282" s="1" t="s">
        <v>642</v>
      </c>
      <c r="F282" s="1">
        <v>55.45</v>
      </c>
      <c r="G282" s="1">
        <v>5000</v>
      </c>
      <c r="H282" s="5">
        <f t="shared" si="4"/>
        <v>0</v>
      </c>
      <c r="I282" s="1"/>
      <c r="J282" s="1"/>
      <c r="K282" s="86"/>
    </row>
    <row r="283" spans="1:11" s="365" customFormat="1" ht="15" x14ac:dyDescent="0.25">
      <c r="A283" s="1">
        <v>279</v>
      </c>
      <c r="B283" s="1" t="s">
        <v>597</v>
      </c>
      <c r="C283" s="32">
        <v>5250</v>
      </c>
      <c r="D283" s="1">
        <v>17000</v>
      </c>
      <c r="E283" s="1" t="s">
        <v>642</v>
      </c>
      <c r="F283" s="1">
        <v>189.68</v>
      </c>
      <c r="G283" s="1">
        <v>17000</v>
      </c>
      <c r="H283" s="5">
        <f t="shared" si="4"/>
        <v>0</v>
      </c>
      <c r="I283" s="1"/>
      <c r="J283" s="1"/>
      <c r="K283" s="86"/>
    </row>
    <row r="284" spans="1:11" s="365" customFormat="1" ht="15" x14ac:dyDescent="0.25">
      <c r="A284" s="1">
        <v>280</v>
      </c>
      <c r="B284" s="1" t="s">
        <v>597</v>
      </c>
      <c r="C284" s="32" t="s">
        <v>587</v>
      </c>
      <c r="D284" s="1">
        <v>210</v>
      </c>
      <c r="E284" s="1" t="s">
        <v>642</v>
      </c>
      <c r="F284" s="1">
        <v>2.08</v>
      </c>
      <c r="G284" s="1">
        <v>210</v>
      </c>
      <c r="H284" s="5">
        <f t="shared" si="4"/>
        <v>0</v>
      </c>
      <c r="I284" s="1"/>
      <c r="J284" s="1"/>
      <c r="K284" s="86"/>
    </row>
    <row r="285" spans="1:11" s="365" customFormat="1" ht="15" x14ac:dyDescent="0.25">
      <c r="A285" s="1">
        <v>281</v>
      </c>
      <c r="B285" s="1" t="s">
        <v>597</v>
      </c>
      <c r="C285" s="32">
        <v>9428</v>
      </c>
      <c r="D285" s="1">
        <v>30000</v>
      </c>
      <c r="E285" s="1" t="s">
        <v>642</v>
      </c>
      <c r="F285" s="1">
        <v>333.97</v>
      </c>
      <c r="G285" s="1">
        <v>30000</v>
      </c>
      <c r="H285" s="5">
        <f t="shared" si="4"/>
        <v>0</v>
      </c>
      <c r="I285" s="1"/>
      <c r="J285" s="1"/>
      <c r="K285" s="86"/>
    </row>
    <row r="286" spans="1:11" s="365" customFormat="1" ht="15" x14ac:dyDescent="0.25">
      <c r="A286" s="1">
        <v>282</v>
      </c>
      <c r="B286" s="1" t="s">
        <v>597</v>
      </c>
      <c r="C286" s="32">
        <v>5.8400000000000001E-2</v>
      </c>
      <c r="D286" s="1">
        <v>21000</v>
      </c>
      <c r="E286" s="1" t="s">
        <v>642</v>
      </c>
      <c r="F286" s="1">
        <v>211.64</v>
      </c>
      <c r="G286" s="1">
        <v>21000</v>
      </c>
      <c r="H286" s="5">
        <f t="shared" si="4"/>
        <v>0</v>
      </c>
      <c r="I286" s="1"/>
      <c r="J286" s="1"/>
      <c r="K286" s="86"/>
    </row>
    <row r="287" spans="1:11" s="365" customFormat="1" ht="15" x14ac:dyDescent="0.25">
      <c r="A287" s="1">
        <v>283</v>
      </c>
      <c r="B287" s="1" t="s">
        <v>597</v>
      </c>
      <c r="C287" s="32">
        <v>6402</v>
      </c>
      <c r="D287" s="1">
        <v>22000</v>
      </c>
      <c r="E287" s="1" t="s">
        <v>642</v>
      </c>
      <c r="F287" s="1">
        <v>245.32</v>
      </c>
      <c r="G287" s="1">
        <v>22000</v>
      </c>
      <c r="H287" s="5">
        <f t="shared" si="4"/>
        <v>0</v>
      </c>
      <c r="I287" s="1"/>
      <c r="J287" s="1"/>
      <c r="K287" s="86"/>
    </row>
    <row r="288" spans="1:11" s="365" customFormat="1" ht="15.75" thickBot="1" x14ac:dyDescent="0.3">
      <c r="A288" s="1">
        <v>284</v>
      </c>
      <c r="B288" s="1" t="s">
        <v>597</v>
      </c>
      <c r="C288" s="32">
        <v>4251</v>
      </c>
      <c r="D288" s="1">
        <v>22000</v>
      </c>
      <c r="E288" s="1" t="s">
        <v>642</v>
      </c>
      <c r="F288" s="1">
        <v>245.32</v>
      </c>
      <c r="G288" s="1">
        <v>22000</v>
      </c>
      <c r="H288" s="5">
        <f t="shared" si="4"/>
        <v>0</v>
      </c>
      <c r="I288" s="1"/>
      <c r="J288" s="1"/>
      <c r="K288" s="86"/>
    </row>
    <row r="289" spans="1:15" s="365" customFormat="1" ht="15.75" thickBot="1" x14ac:dyDescent="0.3">
      <c r="A289" s="1">
        <v>285</v>
      </c>
      <c r="B289" s="1" t="s">
        <v>597</v>
      </c>
      <c r="C289" s="32">
        <v>7411</v>
      </c>
      <c r="D289" s="1">
        <v>24000</v>
      </c>
      <c r="E289" s="1" t="s">
        <v>642</v>
      </c>
      <c r="F289" s="1">
        <v>267.55</v>
      </c>
      <c r="G289" s="1">
        <v>24000</v>
      </c>
      <c r="H289" s="5">
        <f t="shared" si="4"/>
        <v>0</v>
      </c>
      <c r="I289" s="1"/>
      <c r="J289" s="1"/>
      <c r="K289" s="86">
        <f>2945897-2931782</f>
        <v>14115</v>
      </c>
      <c r="L289" s="358" t="s">
        <v>598</v>
      </c>
      <c r="M289" s="359"/>
      <c r="N289" s="359" t="s">
        <v>95</v>
      </c>
      <c r="O289" s="360">
        <f>17870-14115</f>
        <v>3755</v>
      </c>
    </row>
    <row r="290" spans="1:15" s="366" customFormat="1" ht="15" x14ac:dyDescent="0.25">
      <c r="A290" s="1">
        <v>286</v>
      </c>
      <c r="B290" s="1" t="s">
        <v>599</v>
      </c>
      <c r="C290" s="32">
        <v>8567</v>
      </c>
      <c r="D290" s="1">
        <v>32000</v>
      </c>
      <c r="E290" s="1" t="s">
        <v>642</v>
      </c>
      <c r="F290" s="1">
        <v>356.95</v>
      </c>
      <c r="G290" s="1">
        <v>32000</v>
      </c>
      <c r="H290" s="5">
        <f t="shared" si="4"/>
        <v>0</v>
      </c>
      <c r="I290" s="1"/>
      <c r="J290" s="1"/>
      <c r="K290" s="86"/>
    </row>
    <row r="291" spans="1:15" s="366" customFormat="1" ht="15" x14ac:dyDescent="0.25">
      <c r="A291" s="1">
        <v>287</v>
      </c>
      <c r="B291" s="1" t="s">
        <v>599</v>
      </c>
      <c r="C291" s="32">
        <v>9088</v>
      </c>
      <c r="D291" s="1">
        <v>32000</v>
      </c>
      <c r="E291" s="1" t="s">
        <v>642</v>
      </c>
      <c r="F291" s="1">
        <v>356.95</v>
      </c>
      <c r="G291" s="1">
        <v>32000</v>
      </c>
      <c r="H291" s="5">
        <f t="shared" si="4"/>
        <v>0</v>
      </c>
      <c r="I291" s="1"/>
      <c r="J291" s="1"/>
      <c r="K291" s="86"/>
    </row>
    <row r="292" spans="1:15" s="366" customFormat="1" ht="15" x14ac:dyDescent="0.25">
      <c r="A292" s="1">
        <v>288</v>
      </c>
      <c r="B292" s="1" t="s">
        <v>599</v>
      </c>
      <c r="C292" s="32">
        <v>8600</v>
      </c>
      <c r="D292" s="1">
        <v>22000</v>
      </c>
      <c r="E292" s="1" t="s">
        <v>642</v>
      </c>
      <c r="F292" s="1">
        <v>245.32</v>
      </c>
      <c r="G292" s="1">
        <v>22000</v>
      </c>
      <c r="H292" s="5">
        <f t="shared" si="4"/>
        <v>0</v>
      </c>
      <c r="I292" s="1"/>
      <c r="J292" s="1"/>
      <c r="K292" s="86"/>
    </row>
    <row r="293" spans="1:15" s="366" customFormat="1" ht="15" x14ac:dyDescent="0.25">
      <c r="A293" s="1">
        <v>289</v>
      </c>
      <c r="B293" s="1" t="s">
        <v>599</v>
      </c>
      <c r="C293" s="32">
        <v>2.0299999999999999E-2</v>
      </c>
      <c r="D293" s="1">
        <v>20460</v>
      </c>
      <c r="E293" s="1" t="s">
        <v>642</v>
      </c>
      <c r="F293" s="1">
        <v>227.34</v>
      </c>
      <c r="G293" s="1">
        <v>20460</v>
      </c>
      <c r="H293" s="5">
        <f t="shared" si="4"/>
        <v>0</v>
      </c>
      <c r="I293" s="1"/>
      <c r="J293" s="1"/>
      <c r="K293" s="86"/>
    </row>
    <row r="294" spans="1:15" s="366" customFormat="1" ht="15" x14ac:dyDescent="0.25">
      <c r="A294" s="1">
        <v>290</v>
      </c>
      <c r="B294" s="1" t="s">
        <v>599</v>
      </c>
      <c r="C294" s="32">
        <v>7447</v>
      </c>
      <c r="D294" s="1">
        <v>10000</v>
      </c>
      <c r="E294" s="1" t="s">
        <v>642</v>
      </c>
      <c r="F294" s="1">
        <v>111.41</v>
      </c>
      <c r="G294" s="1">
        <v>10000</v>
      </c>
      <c r="H294" s="5">
        <f t="shared" si="4"/>
        <v>0</v>
      </c>
      <c r="I294" s="1"/>
      <c r="J294" s="1"/>
      <c r="K294" s="86"/>
    </row>
    <row r="295" spans="1:15" s="366" customFormat="1" ht="15" x14ac:dyDescent="0.25">
      <c r="A295" s="1">
        <v>291</v>
      </c>
      <c r="B295" s="1" t="s">
        <v>599</v>
      </c>
      <c r="C295" s="32">
        <v>8452</v>
      </c>
      <c r="D295" s="1">
        <v>10000</v>
      </c>
      <c r="E295" s="1" t="s">
        <v>642</v>
      </c>
      <c r="F295" s="1">
        <v>111.41</v>
      </c>
      <c r="G295" s="1">
        <v>10000</v>
      </c>
      <c r="H295" s="5">
        <f t="shared" si="4"/>
        <v>0</v>
      </c>
      <c r="I295" s="1"/>
      <c r="J295" s="1"/>
      <c r="K295" s="86"/>
    </row>
    <row r="296" spans="1:15" s="366" customFormat="1" ht="15" x14ac:dyDescent="0.25">
      <c r="A296" s="1">
        <v>292</v>
      </c>
      <c r="B296" s="1" t="s">
        <v>599</v>
      </c>
      <c r="C296" s="32">
        <v>1.5100000000000001E-2</v>
      </c>
      <c r="D296" s="1">
        <v>20000</v>
      </c>
      <c r="E296" s="1" t="s">
        <v>642</v>
      </c>
      <c r="F296" s="1">
        <v>222.64</v>
      </c>
      <c r="G296" s="1">
        <v>20000</v>
      </c>
      <c r="H296" s="5">
        <f t="shared" si="4"/>
        <v>0</v>
      </c>
      <c r="I296" s="1"/>
      <c r="J296" s="1"/>
      <c r="K296" s="86"/>
    </row>
    <row r="297" spans="1:15" s="366" customFormat="1" ht="15" x14ac:dyDescent="0.25">
      <c r="A297" s="1">
        <v>293</v>
      </c>
      <c r="B297" s="1" t="s">
        <v>599</v>
      </c>
      <c r="C297" s="32">
        <v>1.17E-2</v>
      </c>
      <c r="D297" s="1">
        <v>20000</v>
      </c>
      <c r="E297" s="1" t="s">
        <v>642</v>
      </c>
      <c r="F297" s="1">
        <v>222.64</v>
      </c>
      <c r="G297" s="1">
        <v>20000</v>
      </c>
      <c r="H297" s="5">
        <f t="shared" si="4"/>
        <v>0</v>
      </c>
      <c r="I297" s="1"/>
      <c r="J297" s="1"/>
      <c r="K297" s="86"/>
    </row>
    <row r="298" spans="1:15" s="366" customFormat="1" ht="15" x14ac:dyDescent="0.25">
      <c r="A298" s="1">
        <v>294</v>
      </c>
      <c r="B298" s="1" t="s">
        <v>599</v>
      </c>
      <c r="C298" s="32">
        <v>2957</v>
      </c>
      <c r="D298" s="1">
        <v>20000</v>
      </c>
      <c r="E298" s="1" t="s">
        <v>642</v>
      </c>
      <c r="F298" s="1">
        <v>222.64</v>
      </c>
      <c r="G298" s="1">
        <v>20000</v>
      </c>
      <c r="H298" s="5">
        <f t="shared" si="4"/>
        <v>0</v>
      </c>
      <c r="I298" s="1"/>
      <c r="J298" s="1"/>
      <c r="K298" s="86"/>
    </row>
    <row r="299" spans="1:15" s="366" customFormat="1" ht="15" x14ac:dyDescent="0.25">
      <c r="A299" s="1">
        <v>295</v>
      </c>
      <c r="B299" s="1" t="s">
        <v>599</v>
      </c>
      <c r="C299" s="377">
        <v>2178</v>
      </c>
      <c r="D299" s="52">
        <v>20000</v>
      </c>
      <c r="E299" s="1" t="s">
        <v>642</v>
      </c>
      <c r="F299" s="1">
        <v>222.64</v>
      </c>
      <c r="G299" s="1">
        <v>20000</v>
      </c>
      <c r="H299" s="5">
        <f t="shared" si="4"/>
        <v>0</v>
      </c>
      <c r="I299" s="1"/>
      <c r="J299" s="1"/>
      <c r="K299" s="86"/>
    </row>
    <row r="300" spans="1:15" s="366" customFormat="1" ht="15" x14ac:dyDescent="0.25">
      <c r="A300" s="1">
        <v>296</v>
      </c>
      <c r="B300" s="1" t="s">
        <v>599</v>
      </c>
      <c r="C300" s="32">
        <v>2957</v>
      </c>
      <c r="D300" s="1">
        <v>20000</v>
      </c>
      <c r="E300" s="1" t="s">
        <v>642</v>
      </c>
      <c r="F300" s="1">
        <v>222.64</v>
      </c>
      <c r="G300" s="1">
        <v>20000</v>
      </c>
      <c r="H300" s="5">
        <f t="shared" si="4"/>
        <v>0</v>
      </c>
      <c r="I300" s="1"/>
      <c r="J300" s="1"/>
      <c r="K300" s="86"/>
    </row>
    <row r="301" spans="1:15" s="366" customFormat="1" ht="15" x14ac:dyDescent="0.25">
      <c r="A301" s="1">
        <v>297</v>
      </c>
      <c r="B301" s="1" t="s">
        <v>599</v>
      </c>
      <c r="C301" s="32">
        <v>9389</v>
      </c>
      <c r="D301" s="1">
        <v>30000</v>
      </c>
      <c r="E301" s="1" t="s">
        <v>642</v>
      </c>
      <c r="F301" s="1">
        <v>334.68</v>
      </c>
      <c r="G301" s="1">
        <v>30000</v>
      </c>
      <c r="H301" s="5">
        <f t="shared" si="4"/>
        <v>0</v>
      </c>
      <c r="I301" s="1"/>
      <c r="J301" s="1"/>
      <c r="K301" s="86"/>
    </row>
    <row r="302" spans="1:15" s="366" customFormat="1" ht="15" x14ac:dyDescent="0.25">
      <c r="A302" s="1">
        <v>298</v>
      </c>
      <c r="B302" s="1" t="s">
        <v>599</v>
      </c>
      <c r="C302" s="32">
        <v>3434</v>
      </c>
      <c r="D302" s="1">
        <v>22000</v>
      </c>
      <c r="E302" s="1" t="s">
        <v>642</v>
      </c>
      <c r="F302" s="1">
        <v>245.32</v>
      </c>
      <c r="G302" s="1">
        <v>22000</v>
      </c>
      <c r="H302" s="5">
        <f t="shared" si="4"/>
        <v>0</v>
      </c>
      <c r="I302" s="1"/>
      <c r="J302" s="1"/>
      <c r="K302" s="86"/>
    </row>
    <row r="303" spans="1:15" s="366" customFormat="1" ht="15" x14ac:dyDescent="0.25">
      <c r="A303" s="1">
        <v>299</v>
      </c>
      <c r="B303" s="1" t="s">
        <v>599</v>
      </c>
      <c r="C303" s="32">
        <v>7149</v>
      </c>
      <c r="D303" s="1">
        <v>18000</v>
      </c>
      <c r="E303" s="1" t="s">
        <v>642</v>
      </c>
      <c r="F303" s="1">
        <v>200.97</v>
      </c>
      <c r="G303" s="1">
        <v>18000</v>
      </c>
      <c r="H303" s="5">
        <f t="shared" si="4"/>
        <v>0</v>
      </c>
      <c r="I303" s="1"/>
      <c r="J303" s="1"/>
      <c r="K303" s="86"/>
    </row>
    <row r="304" spans="1:15" s="366" customFormat="1" ht="15" x14ac:dyDescent="0.25">
      <c r="A304" s="1">
        <v>300</v>
      </c>
      <c r="B304" s="1" t="s">
        <v>599</v>
      </c>
      <c r="C304" s="32">
        <v>6979</v>
      </c>
      <c r="D304" s="1">
        <v>17000</v>
      </c>
      <c r="E304" s="1" t="s">
        <v>642</v>
      </c>
      <c r="F304" s="1">
        <v>187.52</v>
      </c>
      <c r="G304" s="1">
        <v>17000</v>
      </c>
      <c r="H304" s="5">
        <f t="shared" si="4"/>
        <v>0</v>
      </c>
      <c r="I304" s="1"/>
      <c r="J304" s="1"/>
      <c r="K304" s="86"/>
    </row>
    <row r="305" spans="1:15" s="366" customFormat="1" ht="15" x14ac:dyDescent="0.25">
      <c r="A305" s="1">
        <v>301</v>
      </c>
      <c r="B305" s="1" t="s">
        <v>599</v>
      </c>
      <c r="C305" s="32">
        <v>5725</v>
      </c>
      <c r="D305" s="1">
        <v>24000</v>
      </c>
      <c r="E305" s="1" t="s">
        <v>642</v>
      </c>
      <c r="F305" s="1">
        <v>267.74</v>
      </c>
      <c r="G305" s="1">
        <v>24000</v>
      </c>
      <c r="H305" s="5">
        <f t="shared" si="4"/>
        <v>0</v>
      </c>
      <c r="I305" s="1"/>
      <c r="J305" s="1"/>
      <c r="K305" s="86"/>
    </row>
    <row r="306" spans="1:15" s="366" customFormat="1" ht="15" x14ac:dyDescent="0.25">
      <c r="A306" s="1">
        <v>302</v>
      </c>
      <c r="B306" s="1" t="s">
        <v>599</v>
      </c>
      <c r="C306" s="32">
        <v>9682</v>
      </c>
      <c r="D306" s="1">
        <v>15000</v>
      </c>
      <c r="E306" s="1" t="s">
        <v>642</v>
      </c>
      <c r="F306" s="1">
        <v>167.15</v>
      </c>
      <c r="G306" s="1">
        <v>15000</v>
      </c>
      <c r="H306" s="5">
        <f t="shared" si="4"/>
        <v>0</v>
      </c>
      <c r="I306" s="1"/>
      <c r="J306" s="1"/>
      <c r="K306" s="86"/>
    </row>
    <row r="307" spans="1:15" s="366" customFormat="1" ht="15.75" thickBot="1" x14ac:dyDescent="0.3">
      <c r="A307" s="1">
        <v>303</v>
      </c>
      <c r="B307" s="1" t="s">
        <v>599</v>
      </c>
      <c r="C307" s="32">
        <v>9370</v>
      </c>
      <c r="D307" s="1">
        <v>25000</v>
      </c>
      <c r="E307" s="1" t="s">
        <v>642</v>
      </c>
      <c r="F307" s="1">
        <v>278.22000000000003</v>
      </c>
      <c r="G307" s="1">
        <v>25000</v>
      </c>
      <c r="H307" s="5">
        <f t="shared" si="4"/>
        <v>0</v>
      </c>
      <c r="I307" s="1"/>
      <c r="J307" s="1"/>
      <c r="K307" s="86"/>
    </row>
    <row r="308" spans="1:15" s="366" customFormat="1" ht="15.75" thickBot="1" x14ac:dyDescent="0.3">
      <c r="A308" s="1">
        <v>304</v>
      </c>
      <c r="B308" s="1" t="s">
        <v>599</v>
      </c>
      <c r="C308" s="32">
        <v>5079</v>
      </c>
      <c r="D308" s="1">
        <v>35000</v>
      </c>
      <c r="E308" s="1" t="s">
        <v>642</v>
      </c>
      <c r="F308" s="1">
        <v>389.68</v>
      </c>
      <c r="G308" s="1">
        <v>35000</v>
      </c>
      <c r="H308" s="5">
        <f t="shared" si="4"/>
        <v>0</v>
      </c>
      <c r="I308" s="1"/>
      <c r="J308" s="1"/>
      <c r="K308" s="86">
        <f>2459108-2444242</f>
        <v>14866</v>
      </c>
      <c r="L308" s="358" t="s">
        <v>600</v>
      </c>
      <c r="M308" s="359"/>
      <c r="N308" s="367" t="s">
        <v>601</v>
      </c>
      <c r="O308" s="360">
        <f>18620-14866</f>
        <v>3754</v>
      </c>
    </row>
    <row r="309" spans="1:15" s="368" customFormat="1" ht="15" x14ac:dyDescent="0.25">
      <c r="A309" s="1">
        <v>305</v>
      </c>
      <c r="B309" s="1" t="s">
        <v>602</v>
      </c>
      <c r="C309" s="32" t="s">
        <v>30</v>
      </c>
      <c r="D309" s="1">
        <v>4500</v>
      </c>
      <c r="E309" s="1" t="s">
        <v>642</v>
      </c>
      <c r="F309" s="1">
        <v>50.55</v>
      </c>
      <c r="G309" s="1">
        <v>4500</v>
      </c>
      <c r="H309" s="5">
        <f t="shared" si="4"/>
        <v>0</v>
      </c>
      <c r="I309" s="1"/>
      <c r="J309" s="1"/>
      <c r="K309" s="86"/>
    </row>
    <row r="310" spans="1:15" s="368" customFormat="1" ht="15" x14ac:dyDescent="0.25">
      <c r="A310" s="1">
        <v>306</v>
      </c>
      <c r="B310" s="1" t="s">
        <v>602</v>
      </c>
      <c r="C310" s="32" t="s">
        <v>30</v>
      </c>
      <c r="D310" s="1">
        <v>5000</v>
      </c>
      <c r="E310" s="1" t="s">
        <v>642</v>
      </c>
      <c r="F310" s="1">
        <v>55.45</v>
      </c>
      <c r="G310" s="1">
        <v>5000</v>
      </c>
      <c r="H310" s="5">
        <f t="shared" si="4"/>
        <v>0</v>
      </c>
      <c r="I310" s="1"/>
      <c r="J310" s="1"/>
      <c r="K310" s="86"/>
    </row>
    <row r="311" spans="1:15" s="368" customFormat="1" ht="15" x14ac:dyDescent="0.25">
      <c r="A311" s="1">
        <v>307</v>
      </c>
      <c r="B311" s="1" t="s">
        <v>602</v>
      </c>
      <c r="C311" s="32" t="s">
        <v>586</v>
      </c>
      <c r="D311" s="1">
        <v>3500</v>
      </c>
      <c r="E311" s="1" t="s">
        <v>642</v>
      </c>
      <c r="F311" s="1">
        <v>38.35</v>
      </c>
      <c r="G311" s="1">
        <v>3500</v>
      </c>
      <c r="H311" s="5">
        <f t="shared" si="4"/>
        <v>0</v>
      </c>
      <c r="I311" s="1"/>
      <c r="J311" s="1"/>
      <c r="K311" s="86"/>
    </row>
    <row r="312" spans="1:15" s="368" customFormat="1" ht="15" x14ac:dyDescent="0.25">
      <c r="A312" s="1">
        <v>308</v>
      </c>
      <c r="B312" s="1" t="s">
        <v>602</v>
      </c>
      <c r="C312" s="32">
        <v>9534</v>
      </c>
      <c r="D312" s="1">
        <v>18000</v>
      </c>
      <c r="E312" s="1" t="s">
        <v>642</v>
      </c>
      <c r="F312" s="1">
        <v>200.18</v>
      </c>
      <c r="G312" s="1">
        <v>18000</v>
      </c>
      <c r="H312" s="5">
        <f t="shared" si="4"/>
        <v>0</v>
      </c>
      <c r="I312" s="1"/>
      <c r="J312" s="1"/>
      <c r="K312" s="86"/>
    </row>
    <row r="313" spans="1:15" s="368" customFormat="1" ht="15" x14ac:dyDescent="0.25">
      <c r="A313" s="1">
        <v>309</v>
      </c>
      <c r="B313" s="1" t="s">
        <v>602</v>
      </c>
      <c r="C313" s="32">
        <v>8828</v>
      </c>
      <c r="D313" s="1">
        <v>22000</v>
      </c>
      <c r="E313" s="1" t="s">
        <v>642</v>
      </c>
      <c r="F313" s="1">
        <v>245.22</v>
      </c>
      <c r="G313" s="1">
        <v>22000</v>
      </c>
      <c r="H313" s="5">
        <f t="shared" si="4"/>
        <v>0</v>
      </c>
      <c r="I313" s="1"/>
      <c r="J313" s="1"/>
      <c r="K313" s="86"/>
    </row>
    <row r="314" spans="1:15" s="368" customFormat="1" ht="15" x14ac:dyDescent="0.25">
      <c r="A314" s="1">
        <v>310</v>
      </c>
      <c r="B314" s="1" t="s">
        <v>602</v>
      </c>
      <c r="C314" s="32">
        <v>4765</v>
      </c>
      <c r="D314" s="1">
        <v>18000</v>
      </c>
      <c r="E314" s="1" t="s">
        <v>642</v>
      </c>
      <c r="F314" s="1">
        <v>200.18</v>
      </c>
      <c r="G314" s="1">
        <v>18000</v>
      </c>
      <c r="H314" s="5">
        <f t="shared" si="4"/>
        <v>0</v>
      </c>
      <c r="I314" s="1"/>
      <c r="J314" s="1"/>
      <c r="K314" s="86"/>
    </row>
    <row r="315" spans="1:15" s="368" customFormat="1" ht="15" x14ac:dyDescent="0.25">
      <c r="A315" s="1">
        <v>311</v>
      </c>
      <c r="B315" s="1" t="s">
        <v>602</v>
      </c>
      <c r="C315" s="32">
        <v>9353</v>
      </c>
      <c r="D315" s="1">
        <v>10000</v>
      </c>
      <c r="E315" s="1" t="s">
        <v>642</v>
      </c>
      <c r="F315" s="1">
        <v>111.41</v>
      </c>
      <c r="G315" s="1">
        <v>10000</v>
      </c>
      <c r="H315" s="5">
        <f t="shared" si="4"/>
        <v>0</v>
      </c>
      <c r="I315" s="1"/>
      <c r="J315" s="1"/>
      <c r="K315" s="86"/>
    </row>
    <row r="316" spans="1:15" s="368" customFormat="1" ht="15" x14ac:dyDescent="0.25">
      <c r="A316" s="1">
        <v>312</v>
      </c>
      <c r="B316" s="1" t="s">
        <v>602</v>
      </c>
      <c r="C316" s="32">
        <v>9703</v>
      </c>
      <c r="D316" s="1">
        <v>16000</v>
      </c>
      <c r="E316" s="1" t="s">
        <v>642</v>
      </c>
      <c r="F316" s="1">
        <v>178.22</v>
      </c>
      <c r="G316" s="1">
        <v>16000</v>
      </c>
      <c r="H316" s="5">
        <f t="shared" si="4"/>
        <v>0</v>
      </c>
      <c r="I316" s="1"/>
      <c r="J316" s="1"/>
      <c r="K316" s="86"/>
    </row>
    <row r="317" spans="1:15" s="368" customFormat="1" ht="15" x14ac:dyDescent="0.25">
      <c r="A317" s="1">
        <v>313</v>
      </c>
      <c r="B317" s="1" t="s">
        <v>602</v>
      </c>
      <c r="C317" s="32">
        <v>4.2500000000000003E-2</v>
      </c>
      <c r="D317" s="1">
        <v>26000</v>
      </c>
      <c r="E317" s="1" t="s">
        <v>642</v>
      </c>
      <c r="F317" s="1">
        <v>289.67</v>
      </c>
      <c r="G317" s="1">
        <v>26000</v>
      </c>
      <c r="H317" s="5">
        <f t="shared" si="4"/>
        <v>0</v>
      </c>
      <c r="I317" s="1"/>
      <c r="J317" s="1"/>
      <c r="K317" s="86"/>
    </row>
    <row r="318" spans="1:15" s="368" customFormat="1" ht="15" x14ac:dyDescent="0.25">
      <c r="A318" s="1">
        <v>314</v>
      </c>
      <c r="B318" s="1" t="s">
        <v>602</v>
      </c>
      <c r="C318" s="32">
        <v>2572</v>
      </c>
      <c r="D318" s="1">
        <v>30000</v>
      </c>
      <c r="E318" s="1" t="s">
        <v>642</v>
      </c>
      <c r="F318" s="1">
        <v>334.87</v>
      </c>
      <c r="G318" s="1">
        <v>30000</v>
      </c>
      <c r="H318" s="5">
        <f t="shared" si="4"/>
        <v>0</v>
      </c>
      <c r="I318" s="1"/>
      <c r="J318" s="1"/>
      <c r="K318" s="86"/>
    </row>
    <row r="319" spans="1:15" s="368" customFormat="1" ht="15" x14ac:dyDescent="0.25">
      <c r="A319" s="1">
        <v>315</v>
      </c>
      <c r="B319" s="1" t="s">
        <v>602</v>
      </c>
      <c r="C319" s="32">
        <v>3239</v>
      </c>
      <c r="D319" s="1">
        <v>18000</v>
      </c>
      <c r="E319" s="1" t="s">
        <v>642</v>
      </c>
      <c r="F319" s="1">
        <v>200.18</v>
      </c>
      <c r="G319" s="1">
        <v>18000</v>
      </c>
      <c r="H319" s="5">
        <f t="shared" si="4"/>
        <v>0</v>
      </c>
      <c r="I319" s="1"/>
      <c r="J319" s="1"/>
      <c r="K319" s="86"/>
    </row>
    <row r="320" spans="1:15" s="368" customFormat="1" ht="15" x14ac:dyDescent="0.25">
      <c r="A320" s="1">
        <v>316</v>
      </c>
      <c r="B320" s="1" t="s">
        <v>602</v>
      </c>
      <c r="C320" s="32">
        <v>4326</v>
      </c>
      <c r="D320" s="1">
        <v>15000</v>
      </c>
      <c r="E320" s="1" t="s">
        <v>642</v>
      </c>
      <c r="F320" s="1">
        <v>167.15</v>
      </c>
      <c r="G320" s="1">
        <v>15000</v>
      </c>
      <c r="H320" s="5">
        <f t="shared" si="4"/>
        <v>0</v>
      </c>
      <c r="I320" s="1"/>
      <c r="J320" s="1"/>
      <c r="K320" s="86"/>
    </row>
    <row r="321" spans="1:15" s="368" customFormat="1" ht="15" x14ac:dyDescent="0.25">
      <c r="A321" s="1">
        <v>317</v>
      </c>
      <c r="B321" s="1" t="s">
        <v>602</v>
      </c>
      <c r="C321" s="32">
        <v>8911</v>
      </c>
      <c r="D321" s="1">
        <v>15000</v>
      </c>
      <c r="E321" s="1" t="s">
        <v>642</v>
      </c>
      <c r="F321" s="1">
        <v>167.15</v>
      </c>
      <c r="G321" s="1">
        <v>15000</v>
      </c>
      <c r="H321" s="5">
        <f t="shared" si="4"/>
        <v>0</v>
      </c>
      <c r="I321" s="1"/>
      <c r="J321" s="1"/>
      <c r="K321" s="86"/>
    </row>
    <row r="322" spans="1:15" s="368" customFormat="1" ht="15.75" thickBot="1" x14ac:dyDescent="0.3">
      <c r="A322" s="1">
        <v>318</v>
      </c>
      <c r="B322" s="1" t="s">
        <v>602</v>
      </c>
      <c r="C322" s="32">
        <v>6090</v>
      </c>
      <c r="D322" s="1">
        <v>15000</v>
      </c>
      <c r="E322" s="1" t="s">
        <v>642</v>
      </c>
      <c r="F322" s="1">
        <v>167.15</v>
      </c>
      <c r="G322" s="1">
        <v>15000</v>
      </c>
      <c r="H322" s="5">
        <f t="shared" si="4"/>
        <v>0</v>
      </c>
      <c r="I322" s="1"/>
      <c r="J322" s="1"/>
      <c r="K322" s="86"/>
    </row>
    <row r="323" spans="1:15" s="368" customFormat="1" ht="15.75" thickBot="1" x14ac:dyDescent="0.3">
      <c r="A323" s="1">
        <v>319</v>
      </c>
      <c r="B323" s="1" t="s">
        <v>602</v>
      </c>
      <c r="C323" s="32">
        <v>8141</v>
      </c>
      <c r="D323" s="1">
        <v>15000</v>
      </c>
      <c r="E323" s="1" t="s">
        <v>642</v>
      </c>
      <c r="F323" s="1">
        <v>167.15</v>
      </c>
      <c r="G323" s="1">
        <v>15000</v>
      </c>
      <c r="H323" s="5">
        <f t="shared" si="4"/>
        <v>0</v>
      </c>
      <c r="I323" s="1"/>
      <c r="J323" s="1"/>
      <c r="K323" s="86">
        <f>2190108-2175242</f>
        <v>14866</v>
      </c>
      <c r="L323" s="358" t="s">
        <v>600</v>
      </c>
      <c r="M323" s="359"/>
      <c r="N323" s="367" t="s">
        <v>601</v>
      </c>
      <c r="O323" s="360">
        <f>18620-14866</f>
        <v>3754</v>
      </c>
    </row>
    <row r="324" spans="1:15" s="369" customFormat="1" ht="15" x14ac:dyDescent="0.25">
      <c r="A324" s="1">
        <v>320</v>
      </c>
      <c r="B324" s="1" t="s">
        <v>603</v>
      </c>
      <c r="C324" s="32" t="s">
        <v>30</v>
      </c>
      <c r="D324" s="1">
        <v>5000</v>
      </c>
      <c r="E324" s="1" t="s">
        <v>642</v>
      </c>
      <c r="F324" s="1">
        <v>55.45</v>
      </c>
      <c r="G324" s="1">
        <v>5000</v>
      </c>
      <c r="H324" s="5">
        <f t="shared" si="4"/>
        <v>0</v>
      </c>
      <c r="I324" s="1"/>
      <c r="J324" s="1"/>
      <c r="K324" s="86"/>
      <c r="L324" s="48"/>
      <c r="M324" s="48"/>
      <c r="N324" s="370"/>
      <c r="O324" s="48"/>
    </row>
    <row r="325" spans="1:15" s="369" customFormat="1" ht="15" x14ac:dyDescent="0.25">
      <c r="A325" s="1">
        <v>321</v>
      </c>
      <c r="B325" s="1" t="s">
        <v>603</v>
      </c>
      <c r="C325" s="32" t="s">
        <v>30</v>
      </c>
      <c r="D325" s="1">
        <v>2000</v>
      </c>
      <c r="E325" s="1" t="s">
        <v>642</v>
      </c>
      <c r="F325" s="1">
        <v>22.42</v>
      </c>
      <c r="G325" s="1">
        <v>2000</v>
      </c>
      <c r="H325" s="5">
        <f t="shared" si="4"/>
        <v>0</v>
      </c>
      <c r="I325" s="1"/>
      <c r="J325" s="1"/>
      <c r="K325" s="86"/>
      <c r="L325" s="48"/>
      <c r="M325" s="48"/>
      <c r="N325" s="370"/>
      <c r="O325" s="48"/>
    </row>
    <row r="326" spans="1:15" s="369" customFormat="1" ht="15" x14ac:dyDescent="0.25">
      <c r="A326" s="1">
        <v>322</v>
      </c>
      <c r="B326" s="1" t="s">
        <v>603</v>
      </c>
      <c r="C326" s="32">
        <v>2470</v>
      </c>
      <c r="D326" s="1">
        <v>22000</v>
      </c>
      <c r="E326" s="1" t="s">
        <v>642</v>
      </c>
      <c r="F326" s="1">
        <v>245.82</v>
      </c>
      <c r="G326" s="1">
        <v>22000</v>
      </c>
      <c r="H326" s="5">
        <f t="shared" si="4"/>
        <v>0</v>
      </c>
      <c r="I326" s="1"/>
      <c r="J326" s="1"/>
      <c r="K326" s="86"/>
      <c r="L326" s="48"/>
      <c r="M326" s="48"/>
      <c r="N326" s="370"/>
      <c r="O326" s="48"/>
    </row>
    <row r="327" spans="1:15" s="369" customFormat="1" ht="15" x14ac:dyDescent="0.25">
      <c r="A327" s="1">
        <v>323</v>
      </c>
      <c r="B327" s="1" t="s">
        <v>603</v>
      </c>
      <c r="C327" s="32">
        <v>3259</v>
      </c>
      <c r="D327" s="1">
        <v>22000</v>
      </c>
      <c r="E327" s="1" t="s">
        <v>642</v>
      </c>
      <c r="F327" s="1">
        <v>245.82</v>
      </c>
      <c r="G327" s="1">
        <v>22000</v>
      </c>
      <c r="H327" s="5">
        <f t="shared" si="4"/>
        <v>0</v>
      </c>
      <c r="I327" s="1"/>
      <c r="J327" s="1"/>
      <c r="K327" s="86"/>
      <c r="L327" s="48"/>
      <c r="M327" s="48"/>
      <c r="N327" s="370"/>
      <c r="O327" s="48"/>
    </row>
    <row r="328" spans="1:15" s="369" customFormat="1" ht="15" x14ac:dyDescent="0.25">
      <c r="A328" s="1">
        <v>324</v>
      </c>
      <c r="B328" s="1" t="s">
        <v>603</v>
      </c>
      <c r="C328" s="32">
        <v>4765</v>
      </c>
      <c r="D328" s="1">
        <v>25000</v>
      </c>
      <c r="E328" s="1" t="s">
        <v>642</v>
      </c>
      <c r="F328" s="1">
        <v>278.22000000000003</v>
      </c>
      <c r="G328" s="1">
        <v>25000</v>
      </c>
      <c r="H328" s="5">
        <f t="shared" si="4"/>
        <v>0</v>
      </c>
      <c r="I328" s="1"/>
      <c r="J328" s="1"/>
      <c r="K328" s="86"/>
      <c r="L328" s="48"/>
      <c r="M328" s="48"/>
      <c r="N328" s="370"/>
      <c r="O328" s="48"/>
    </row>
    <row r="329" spans="1:15" s="369" customFormat="1" ht="15" x14ac:dyDescent="0.25">
      <c r="A329" s="1">
        <v>325</v>
      </c>
      <c r="B329" s="1" t="s">
        <v>603</v>
      </c>
      <c r="C329" s="32">
        <v>6957</v>
      </c>
      <c r="D329" s="1">
        <v>16000</v>
      </c>
      <c r="E329" s="1" t="s">
        <v>642</v>
      </c>
      <c r="F329" s="1">
        <v>178.22</v>
      </c>
      <c r="G329" s="1">
        <v>16000</v>
      </c>
      <c r="H329" s="5">
        <f t="shared" si="4"/>
        <v>0</v>
      </c>
      <c r="I329" s="1"/>
      <c r="J329" s="1"/>
      <c r="K329" s="86"/>
      <c r="L329" s="48"/>
      <c r="M329" s="48"/>
      <c r="N329" s="370"/>
      <c r="O329" s="48"/>
    </row>
    <row r="330" spans="1:15" s="369" customFormat="1" ht="15" x14ac:dyDescent="0.25">
      <c r="A330" s="1">
        <v>326</v>
      </c>
      <c r="B330" s="1" t="s">
        <v>603</v>
      </c>
      <c r="C330" s="32">
        <v>2810</v>
      </c>
      <c r="D330" s="1">
        <v>10000</v>
      </c>
      <c r="E330" s="1" t="s">
        <v>642</v>
      </c>
      <c r="F330" s="1">
        <v>111.41</v>
      </c>
      <c r="G330" s="1">
        <v>10000</v>
      </c>
      <c r="H330" s="5">
        <f t="shared" si="4"/>
        <v>0</v>
      </c>
      <c r="I330" s="1"/>
      <c r="J330" s="1"/>
      <c r="K330" s="86"/>
      <c r="L330" s="48"/>
      <c r="M330" s="48"/>
      <c r="N330" s="370"/>
      <c r="O330" s="48"/>
    </row>
    <row r="331" spans="1:15" s="369" customFormat="1" ht="15" x14ac:dyDescent="0.25">
      <c r="A331" s="1">
        <v>327</v>
      </c>
      <c r="B331" s="1" t="s">
        <v>603</v>
      </c>
      <c r="C331" s="32">
        <v>9977</v>
      </c>
      <c r="D331" s="1">
        <v>14500</v>
      </c>
      <c r="E331" s="1" t="s">
        <v>642</v>
      </c>
      <c r="F331" s="1">
        <v>161.66999999999999</v>
      </c>
      <c r="G331" s="1">
        <v>14500</v>
      </c>
      <c r="H331" s="5">
        <f t="shared" si="4"/>
        <v>0</v>
      </c>
      <c r="I331" s="1"/>
      <c r="J331" s="1"/>
      <c r="K331" s="86"/>
      <c r="L331" s="48"/>
      <c r="M331" s="48"/>
      <c r="N331" s="370"/>
      <c r="O331" s="48"/>
    </row>
    <row r="332" spans="1:15" s="369" customFormat="1" ht="15" x14ac:dyDescent="0.25">
      <c r="A332" s="1">
        <v>328</v>
      </c>
      <c r="B332" s="1" t="s">
        <v>603</v>
      </c>
      <c r="C332" s="32">
        <v>3242</v>
      </c>
      <c r="D332" s="1">
        <v>26000</v>
      </c>
      <c r="E332" s="1" t="s">
        <v>642</v>
      </c>
      <c r="F332" s="1">
        <v>283.87</v>
      </c>
      <c r="G332" s="1">
        <v>26000</v>
      </c>
      <c r="H332" s="5">
        <f t="shared" si="4"/>
        <v>0</v>
      </c>
      <c r="I332" s="1"/>
      <c r="J332" s="1"/>
      <c r="K332" s="86"/>
      <c r="L332" s="48"/>
      <c r="M332" s="48"/>
      <c r="N332" s="370"/>
      <c r="O332" s="48"/>
    </row>
    <row r="333" spans="1:15" s="369" customFormat="1" ht="15" x14ac:dyDescent="0.25">
      <c r="A333" s="1">
        <v>329</v>
      </c>
      <c r="B333" s="1" t="s">
        <v>603</v>
      </c>
      <c r="C333" s="32">
        <v>6577</v>
      </c>
      <c r="D333" s="1">
        <v>24000</v>
      </c>
      <c r="E333" s="1" t="s">
        <v>642</v>
      </c>
      <c r="F333" s="1">
        <v>267.33999999999997</v>
      </c>
      <c r="G333" s="1">
        <v>24000</v>
      </c>
      <c r="H333" s="5">
        <f t="shared" si="4"/>
        <v>0</v>
      </c>
      <c r="I333" s="1"/>
      <c r="J333" s="1"/>
      <c r="K333" s="86"/>
      <c r="L333" s="48"/>
      <c r="M333" s="48"/>
      <c r="N333" s="370"/>
      <c r="O333" s="48"/>
    </row>
    <row r="334" spans="1:15" s="369" customFormat="1" ht="15" x14ac:dyDescent="0.25">
      <c r="A334" s="1">
        <v>330</v>
      </c>
      <c r="B334" s="1" t="s">
        <v>603</v>
      </c>
      <c r="C334" s="32">
        <v>2533</v>
      </c>
      <c r="D334" s="1">
        <v>25000</v>
      </c>
      <c r="E334" s="1" t="s">
        <v>642</v>
      </c>
      <c r="F334" s="1">
        <v>278.22000000000003</v>
      </c>
      <c r="G334" s="1">
        <v>25000</v>
      </c>
      <c r="H334" s="5">
        <f t="shared" si="4"/>
        <v>0</v>
      </c>
      <c r="I334" s="1"/>
      <c r="J334" s="1"/>
      <c r="K334" s="86"/>
      <c r="L334" s="48"/>
      <c r="M334" s="48"/>
      <c r="N334" s="370"/>
      <c r="O334" s="48"/>
    </row>
    <row r="335" spans="1:15" s="369" customFormat="1" ht="15" x14ac:dyDescent="0.25">
      <c r="A335" s="1">
        <v>331</v>
      </c>
      <c r="B335" s="1" t="s">
        <v>603</v>
      </c>
      <c r="C335" s="32">
        <v>8993</v>
      </c>
      <c r="D335" s="1">
        <v>25000</v>
      </c>
      <c r="E335" s="1" t="s">
        <v>642</v>
      </c>
      <c r="F335" s="1">
        <v>278.22000000000003</v>
      </c>
      <c r="G335" s="1">
        <v>25000</v>
      </c>
      <c r="H335" s="5">
        <f t="shared" si="4"/>
        <v>0</v>
      </c>
      <c r="I335" s="1"/>
      <c r="J335" s="1"/>
      <c r="K335" s="86"/>
      <c r="L335" s="48"/>
      <c r="M335" s="48"/>
      <c r="N335" s="370"/>
      <c r="O335" s="48"/>
    </row>
    <row r="336" spans="1:15" s="369" customFormat="1" ht="15" x14ac:dyDescent="0.25">
      <c r="A336" s="1">
        <v>332</v>
      </c>
      <c r="B336" s="1" t="s">
        <v>603</v>
      </c>
      <c r="C336" s="32">
        <v>4735</v>
      </c>
      <c r="D336" s="1">
        <v>20000</v>
      </c>
      <c r="E336" s="1" t="s">
        <v>642</v>
      </c>
      <c r="F336" s="1">
        <v>222.82</v>
      </c>
      <c r="G336" s="1">
        <v>20000</v>
      </c>
      <c r="H336" s="5">
        <f t="shared" si="4"/>
        <v>0</v>
      </c>
      <c r="I336" s="1"/>
      <c r="J336" s="1"/>
      <c r="K336" s="86"/>
      <c r="L336" s="48"/>
      <c r="M336" s="48"/>
      <c r="N336" s="370"/>
      <c r="O336" s="48"/>
    </row>
    <row r="337" spans="1:15" s="369" customFormat="1" ht="15" x14ac:dyDescent="0.25">
      <c r="A337" s="1">
        <v>333</v>
      </c>
      <c r="B337" s="1" t="s">
        <v>603</v>
      </c>
      <c r="C337" s="32">
        <v>4.1599999999999998E-2</v>
      </c>
      <c r="D337" s="1">
        <v>20000</v>
      </c>
      <c r="E337" s="1" t="s">
        <v>642</v>
      </c>
      <c r="F337" s="1">
        <v>222.82</v>
      </c>
      <c r="G337" s="1">
        <v>20000</v>
      </c>
      <c r="H337" s="5">
        <f t="shared" si="4"/>
        <v>0</v>
      </c>
      <c r="I337" s="1"/>
      <c r="J337" s="1"/>
      <c r="K337" s="86"/>
      <c r="L337" s="48"/>
      <c r="M337" s="48"/>
      <c r="N337" s="370"/>
      <c r="O337" s="48"/>
    </row>
    <row r="338" spans="1:15" s="369" customFormat="1" ht="15" x14ac:dyDescent="0.25">
      <c r="A338" s="1">
        <v>334</v>
      </c>
      <c r="B338" s="1" t="s">
        <v>603</v>
      </c>
      <c r="C338" s="32">
        <v>9421</v>
      </c>
      <c r="D338" s="1">
        <v>20000</v>
      </c>
      <c r="E338" s="1" t="s">
        <v>642</v>
      </c>
      <c r="F338" s="1">
        <v>222.82</v>
      </c>
      <c r="G338" s="1">
        <v>20000</v>
      </c>
      <c r="H338" s="5">
        <f t="shared" si="4"/>
        <v>0</v>
      </c>
      <c r="I338" s="1"/>
      <c r="J338" s="1"/>
      <c r="K338" s="86"/>
      <c r="L338" s="48"/>
      <c r="M338" s="48"/>
      <c r="N338" s="370"/>
      <c r="O338" s="48"/>
    </row>
    <row r="339" spans="1:15" s="369" customFormat="1" ht="15" x14ac:dyDescent="0.25">
      <c r="A339" s="1">
        <v>335</v>
      </c>
      <c r="B339" s="1" t="s">
        <v>603</v>
      </c>
      <c r="C339" s="32">
        <v>4956</v>
      </c>
      <c r="D339" s="1">
        <v>20000</v>
      </c>
      <c r="E339" s="1" t="s">
        <v>642</v>
      </c>
      <c r="F339" s="1">
        <v>222.82</v>
      </c>
      <c r="G339" s="1">
        <v>20000</v>
      </c>
      <c r="H339" s="5">
        <f t="shared" si="4"/>
        <v>0</v>
      </c>
      <c r="I339" s="1"/>
      <c r="J339" s="1"/>
      <c r="K339" s="86"/>
      <c r="L339" s="48"/>
      <c r="M339" s="48"/>
      <c r="N339" s="370"/>
      <c r="O339" s="48"/>
    </row>
    <row r="340" spans="1:15" s="369" customFormat="1" ht="15" x14ac:dyDescent="0.25">
      <c r="A340" s="1">
        <v>336</v>
      </c>
      <c r="B340" s="1" t="s">
        <v>603</v>
      </c>
      <c r="C340" s="32">
        <v>8077</v>
      </c>
      <c r="D340" s="1">
        <v>20000</v>
      </c>
      <c r="E340" s="1" t="s">
        <v>642</v>
      </c>
      <c r="F340" s="1">
        <v>222.82</v>
      </c>
      <c r="G340" s="1">
        <v>20000</v>
      </c>
      <c r="H340" s="5">
        <f t="shared" si="4"/>
        <v>0</v>
      </c>
      <c r="I340" s="1"/>
      <c r="J340" s="1"/>
      <c r="K340" s="86"/>
    </row>
    <row r="341" spans="1:15" s="369" customFormat="1" ht="15" x14ac:dyDescent="0.25">
      <c r="A341" s="1">
        <v>337</v>
      </c>
      <c r="B341" s="1" t="s">
        <v>603</v>
      </c>
      <c r="C341" s="32">
        <v>2973</v>
      </c>
      <c r="D341" s="1">
        <v>20000</v>
      </c>
      <c r="E341" s="1" t="s">
        <v>642</v>
      </c>
      <c r="F341" s="1">
        <v>222.82</v>
      </c>
      <c r="G341" s="1">
        <v>20000</v>
      </c>
      <c r="H341" s="5">
        <f t="shared" si="4"/>
        <v>0</v>
      </c>
      <c r="I341" s="1"/>
      <c r="J341" s="1"/>
      <c r="K341" s="86"/>
    </row>
    <row r="342" spans="1:15" s="369" customFormat="1" ht="15" x14ac:dyDescent="0.25">
      <c r="A342" s="1">
        <v>338</v>
      </c>
      <c r="B342" s="1" t="s">
        <v>603</v>
      </c>
      <c r="C342" s="32">
        <v>5.3699999999999998E-2</v>
      </c>
      <c r="D342" s="1">
        <v>27000</v>
      </c>
      <c r="E342" s="1" t="s">
        <v>642</v>
      </c>
      <c r="F342" s="1">
        <v>332.84</v>
      </c>
      <c r="G342" s="1">
        <v>27000</v>
      </c>
      <c r="H342" s="5">
        <f t="shared" si="4"/>
        <v>0</v>
      </c>
      <c r="J342" s="1"/>
      <c r="K342" s="86"/>
    </row>
    <row r="343" spans="1:15" s="369" customFormat="1" ht="15" x14ac:dyDescent="0.25">
      <c r="A343" s="1">
        <v>339</v>
      </c>
      <c r="B343" s="1" t="s">
        <v>603</v>
      </c>
      <c r="C343" s="32">
        <v>3775</v>
      </c>
      <c r="D343" s="1">
        <v>27000</v>
      </c>
      <c r="E343" s="1" t="s">
        <v>642</v>
      </c>
      <c r="F343" s="1">
        <v>332.84</v>
      </c>
      <c r="G343" s="1">
        <v>27000</v>
      </c>
      <c r="H343" s="5">
        <f t="shared" si="4"/>
        <v>0</v>
      </c>
      <c r="I343" s="1"/>
      <c r="J343" s="1"/>
      <c r="K343" s="86"/>
    </row>
    <row r="344" spans="1:15" s="369" customFormat="1" ht="15" x14ac:dyDescent="0.25">
      <c r="A344" s="1">
        <v>340</v>
      </c>
      <c r="B344" s="1" t="s">
        <v>603</v>
      </c>
      <c r="C344" s="32">
        <v>1.0500000000000001E-2</v>
      </c>
      <c r="D344" s="1">
        <v>32000</v>
      </c>
      <c r="E344" s="1" t="s">
        <v>642</v>
      </c>
      <c r="F344" s="1">
        <v>356.74</v>
      </c>
      <c r="G344" s="1">
        <v>32000</v>
      </c>
      <c r="H344" s="5">
        <f t="shared" ref="H344:H415" si="5">D344-G344</f>
        <v>0</v>
      </c>
      <c r="I344" s="1"/>
      <c r="J344" s="1"/>
      <c r="K344" s="86"/>
    </row>
    <row r="345" spans="1:15" s="369" customFormat="1" ht="15" x14ac:dyDescent="0.25">
      <c r="A345" s="1">
        <v>341</v>
      </c>
      <c r="B345" s="1" t="s">
        <v>603</v>
      </c>
      <c r="C345" s="32">
        <v>5498</v>
      </c>
      <c r="D345" s="1">
        <v>21000</v>
      </c>
      <c r="E345" s="1" t="s">
        <v>642</v>
      </c>
      <c r="F345" s="1">
        <v>233.37</v>
      </c>
      <c r="G345" s="1">
        <v>21000</v>
      </c>
      <c r="H345" s="5">
        <f t="shared" si="5"/>
        <v>0</v>
      </c>
      <c r="I345" s="1"/>
      <c r="J345" s="1"/>
      <c r="K345" s="86"/>
    </row>
    <row r="346" spans="1:15" s="369" customFormat="1" ht="15" x14ac:dyDescent="0.25">
      <c r="A346" s="1">
        <v>342</v>
      </c>
      <c r="B346" s="1" t="s">
        <v>603</v>
      </c>
      <c r="C346" s="32">
        <v>8061</v>
      </c>
      <c r="D346" s="1">
        <v>22000</v>
      </c>
      <c r="E346" s="1" t="s">
        <v>642</v>
      </c>
      <c r="F346" s="1">
        <v>245.68</v>
      </c>
      <c r="G346" s="1">
        <v>22000</v>
      </c>
      <c r="H346" s="5">
        <f t="shared" si="5"/>
        <v>0</v>
      </c>
      <c r="I346" s="1"/>
      <c r="J346" s="1"/>
      <c r="K346" s="86"/>
    </row>
    <row r="347" spans="1:15" s="369" customFormat="1" ht="15" x14ac:dyDescent="0.25">
      <c r="A347" s="1">
        <v>343</v>
      </c>
      <c r="B347" s="1" t="s">
        <v>603</v>
      </c>
      <c r="C347" s="32">
        <v>4727</v>
      </c>
      <c r="D347" s="1">
        <v>24000</v>
      </c>
      <c r="E347" s="1" t="s">
        <v>642</v>
      </c>
      <c r="F347" s="1">
        <v>267.82</v>
      </c>
      <c r="G347" s="1">
        <v>24000</v>
      </c>
      <c r="H347" s="5">
        <f t="shared" si="5"/>
        <v>0</v>
      </c>
      <c r="I347" s="1"/>
      <c r="J347" s="1"/>
      <c r="K347" s="86"/>
    </row>
    <row r="348" spans="1:15" s="369" customFormat="1" ht="15" x14ac:dyDescent="0.25">
      <c r="A348" s="1">
        <v>344</v>
      </c>
      <c r="B348" s="1" t="s">
        <v>603</v>
      </c>
      <c r="C348" s="32">
        <v>3841</v>
      </c>
      <c r="D348" s="1">
        <v>24500</v>
      </c>
      <c r="E348" s="1" t="s">
        <v>642</v>
      </c>
      <c r="F348" s="1">
        <v>272.52</v>
      </c>
      <c r="G348" s="1">
        <v>24500</v>
      </c>
      <c r="H348" s="5">
        <f t="shared" si="5"/>
        <v>0</v>
      </c>
      <c r="I348" s="1"/>
      <c r="J348" s="1"/>
      <c r="K348" s="86"/>
    </row>
    <row r="349" spans="1:15" s="369" customFormat="1" ht="15" x14ac:dyDescent="0.25">
      <c r="A349" s="1">
        <v>345</v>
      </c>
      <c r="B349" s="1" t="s">
        <v>603</v>
      </c>
      <c r="C349" s="32">
        <v>8898</v>
      </c>
      <c r="D349" s="1">
        <v>18000</v>
      </c>
      <c r="E349" s="1" t="s">
        <v>642</v>
      </c>
      <c r="F349" s="1">
        <v>200.67</v>
      </c>
      <c r="G349" s="1">
        <v>18000</v>
      </c>
      <c r="H349" s="5">
        <f t="shared" si="5"/>
        <v>0</v>
      </c>
      <c r="I349" s="1"/>
      <c r="J349" s="1"/>
      <c r="K349" s="86"/>
    </row>
    <row r="350" spans="1:15" s="369" customFormat="1" ht="15.75" thickBot="1" x14ac:dyDescent="0.3">
      <c r="A350" s="1">
        <v>346</v>
      </c>
      <c r="B350" s="1" t="s">
        <v>603</v>
      </c>
      <c r="C350" s="32">
        <v>1480</v>
      </c>
      <c r="D350" s="1">
        <v>9000</v>
      </c>
      <c r="E350" s="1" t="s">
        <v>642</v>
      </c>
      <c r="F350" s="1">
        <v>100.91</v>
      </c>
      <c r="G350" s="1">
        <v>9000</v>
      </c>
      <c r="H350" s="5">
        <f t="shared" si="5"/>
        <v>0</v>
      </c>
      <c r="I350" s="1"/>
      <c r="J350" s="1"/>
      <c r="K350" s="86"/>
    </row>
    <row r="351" spans="1:15" s="369" customFormat="1" ht="15.75" thickBot="1" x14ac:dyDescent="0.3">
      <c r="A351" s="1">
        <v>347</v>
      </c>
      <c r="B351" s="1" t="s">
        <v>603</v>
      </c>
      <c r="C351" s="32">
        <v>9522</v>
      </c>
      <c r="D351" s="1">
        <v>20117</v>
      </c>
      <c r="E351" s="1" t="s">
        <v>642</v>
      </c>
      <c r="F351" s="1">
        <v>224.37</v>
      </c>
      <c r="G351" s="1">
        <v>20117</v>
      </c>
      <c r="H351" s="5">
        <f t="shared" si="5"/>
        <v>0</v>
      </c>
      <c r="I351" s="1"/>
      <c r="J351" s="1"/>
      <c r="K351" s="86">
        <f>2351225-2336359</f>
        <v>14866</v>
      </c>
      <c r="L351" s="358" t="s">
        <v>600</v>
      </c>
      <c r="M351" s="359"/>
      <c r="N351" s="367" t="s">
        <v>601</v>
      </c>
      <c r="O351" s="360">
        <f>18620-14866</f>
        <v>3754</v>
      </c>
    </row>
    <row r="352" spans="1:15" s="371" customFormat="1" ht="15" x14ac:dyDescent="0.25">
      <c r="A352" s="1">
        <v>348</v>
      </c>
      <c r="B352" s="1" t="s">
        <v>605</v>
      </c>
      <c r="C352" s="32">
        <v>1561</v>
      </c>
      <c r="D352" s="1">
        <v>25000</v>
      </c>
      <c r="E352" s="1" t="s">
        <v>642</v>
      </c>
      <c r="F352" s="1">
        <v>278.22000000000003</v>
      </c>
      <c r="G352" s="1">
        <v>25000</v>
      </c>
      <c r="H352" s="5">
        <f t="shared" si="5"/>
        <v>0</v>
      </c>
      <c r="I352" s="1"/>
      <c r="J352" s="1"/>
      <c r="K352" s="86"/>
    </row>
    <row r="353" spans="1:11" s="371" customFormat="1" ht="15" x14ac:dyDescent="0.25">
      <c r="A353" s="1">
        <v>349</v>
      </c>
      <c r="B353" s="1" t="s">
        <v>605</v>
      </c>
      <c r="C353" s="32">
        <v>4974</v>
      </c>
      <c r="D353" s="1">
        <v>15000</v>
      </c>
      <c r="E353" s="1" t="s">
        <v>642</v>
      </c>
      <c r="F353" s="1">
        <v>167.15</v>
      </c>
      <c r="G353" s="1">
        <v>15000</v>
      </c>
      <c r="H353" s="5">
        <f t="shared" si="5"/>
        <v>0</v>
      </c>
      <c r="I353" s="1"/>
      <c r="J353" s="1"/>
      <c r="K353" s="86"/>
    </row>
    <row r="354" spans="1:11" s="371" customFormat="1" ht="15" x14ac:dyDescent="0.25">
      <c r="A354" s="1">
        <v>350</v>
      </c>
      <c r="B354" s="1" t="s">
        <v>605</v>
      </c>
      <c r="C354" s="32">
        <v>5131</v>
      </c>
      <c r="D354" s="1">
        <v>15000</v>
      </c>
      <c r="E354" s="1" t="s">
        <v>642</v>
      </c>
      <c r="F354" s="1">
        <v>167.15</v>
      </c>
      <c r="G354" s="1">
        <v>15000</v>
      </c>
      <c r="H354" s="5">
        <f t="shared" si="5"/>
        <v>0</v>
      </c>
      <c r="I354" s="1"/>
      <c r="J354" s="1"/>
      <c r="K354" s="86"/>
    </row>
    <row r="355" spans="1:11" s="371" customFormat="1" ht="15" x14ac:dyDescent="0.25">
      <c r="A355" s="1">
        <v>351</v>
      </c>
      <c r="B355" s="1" t="s">
        <v>605</v>
      </c>
      <c r="C355" s="32">
        <v>7096</v>
      </c>
      <c r="D355" s="1">
        <v>25000</v>
      </c>
      <c r="E355" s="1" t="s">
        <v>642</v>
      </c>
      <c r="F355" s="1">
        <v>278.22000000000003</v>
      </c>
      <c r="G355" s="1">
        <v>25000</v>
      </c>
      <c r="H355" s="5">
        <f t="shared" si="5"/>
        <v>0</v>
      </c>
      <c r="I355" s="1"/>
      <c r="J355" s="1"/>
      <c r="K355" s="86"/>
    </row>
    <row r="356" spans="1:11" s="371" customFormat="1" ht="15" x14ac:dyDescent="0.25">
      <c r="A356" s="1">
        <v>352</v>
      </c>
      <c r="B356" s="1" t="s">
        <v>605</v>
      </c>
      <c r="C356" s="32">
        <v>8304</v>
      </c>
      <c r="D356" s="1">
        <v>22000</v>
      </c>
      <c r="E356" s="1" t="s">
        <v>642</v>
      </c>
      <c r="F356" s="1">
        <v>245.68</v>
      </c>
      <c r="G356" s="1">
        <v>22000</v>
      </c>
      <c r="H356" s="5">
        <f t="shared" si="5"/>
        <v>0</v>
      </c>
      <c r="I356" s="1"/>
      <c r="J356" s="1"/>
      <c r="K356" s="86"/>
    </row>
    <row r="357" spans="1:11" s="371" customFormat="1" ht="15" x14ac:dyDescent="0.25">
      <c r="A357" s="1">
        <v>353</v>
      </c>
      <c r="B357" s="1" t="s">
        <v>605</v>
      </c>
      <c r="C357" s="32">
        <v>3259</v>
      </c>
      <c r="D357" s="1">
        <v>15000</v>
      </c>
      <c r="E357" s="1" t="s">
        <v>642</v>
      </c>
      <c r="F357" s="1">
        <v>167.15</v>
      </c>
      <c r="G357" s="1">
        <v>15000</v>
      </c>
      <c r="H357" s="5">
        <f t="shared" si="5"/>
        <v>0</v>
      </c>
      <c r="I357" s="1"/>
      <c r="J357" s="1"/>
      <c r="K357" s="86"/>
    </row>
    <row r="358" spans="1:11" s="371" customFormat="1" ht="15" x14ac:dyDescent="0.25">
      <c r="A358" s="1">
        <v>354</v>
      </c>
      <c r="B358" s="1" t="s">
        <v>605</v>
      </c>
      <c r="C358" s="32">
        <v>3602</v>
      </c>
      <c r="D358" s="1">
        <v>29000</v>
      </c>
      <c r="E358" s="1" t="s">
        <v>642</v>
      </c>
      <c r="F358" s="1">
        <v>320.57</v>
      </c>
      <c r="G358" s="1">
        <v>29000</v>
      </c>
      <c r="H358" s="5">
        <f t="shared" si="5"/>
        <v>0</v>
      </c>
      <c r="I358" s="1"/>
      <c r="J358" s="1"/>
      <c r="K358" s="86"/>
    </row>
    <row r="359" spans="1:11" s="371" customFormat="1" ht="15" x14ac:dyDescent="0.25">
      <c r="A359" s="1">
        <v>355</v>
      </c>
      <c r="B359" s="1" t="s">
        <v>605</v>
      </c>
      <c r="C359" s="32">
        <v>4581</v>
      </c>
      <c r="D359" s="1">
        <v>15000</v>
      </c>
      <c r="E359" s="1" t="s">
        <v>642</v>
      </c>
      <c r="F359" s="1">
        <v>167.15</v>
      </c>
      <c r="G359" s="1">
        <v>15000</v>
      </c>
      <c r="H359" s="5">
        <f t="shared" si="5"/>
        <v>0</v>
      </c>
      <c r="I359" s="1"/>
      <c r="J359" s="1"/>
      <c r="K359" s="86"/>
    </row>
    <row r="360" spans="1:11" s="371" customFormat="1" ht="15" x14ac:dyDescent="0.25">
      <c r="A360" s="1">
        <v>356</v>
      </c>
      <c r="B360" s="1" t="s">
        <v>605</v>
      </c>
      <c r="C360" s="32">
        <v>1662</v>
      </c>
      <c r="D360" s="1">
        <v>15000</v>
      </c>
      <c r="E360" s="1" t="s">
        <v>642</v>
      </c>
      <c r="F360" s="1">
        <v>167.15</v>
      </c>
      <c r="G360" s="1">
        <v>15000</v>
      </c>
      <c r="H360" s="5">
        <f t="shared" si="5"/>
        <v>0</v>
      </c>
      <c r="I360" s="1"/>
      <c r="J360" s="1"/>
      <c r="K360" s="86"/>
    </row>
    <row r="361" spans="1:11" s="371" customFormat="1" ht="15" x14ac:dyDescent="0.25">
      <c r="A361" s="1">
        <v>357</v>
      </c>
      <c r="B361" s="1" t="s">
        <v>605</v>
      </c>
      <c r="C361" s="32">
        <v>6020</v>
      </c>
      <c r="D361" s="1">
        <v>25000</v>
      </c>
      <c r="E361" s="1" t="s">
        <v>642</v>
      </c>
      <c r="F361" s="1">
        <v>278.22000000000003</v>
      </c>
      <c r="G361" s="1">
        <v>25000</v>
      </c>
      <c r="H361" s="5">
        <f t="shared" si="5"/>
        <v>0</v>
      </c>
      <c r="I361" s="1"/>
      <c r="J361" s="1"/>
      <c r="K361" s="86"/>
    </row>
    <row r="362" spans="1:11" s="371" customFormat="1" ht="15" x14ac:dyDescent="0.25">
      <c r="A362" s="1">
        <v>358</v>
      </c>
      <c r="B362" s="1" t="s">
        <v>605</v>
      </c>
      <c r="C362" s="32">
        <v>4731</v>
      </c>
      <c r="D362" s="1">
        <v>22000</v>
      </c>
      <c r="E362" s="1" t="s">
        <v>642</v>
      </c>
      <c r="F362" s="1">
        <v>245.68</v>
      </c>
      <c r="G362" s="1">
        <v>22000</v>
      </c>
      <c r="H362" s="5">
        <f t="shared" si="5"/>
        <v>0</v>
      </c>
      <c r="I362" s="1"/>
      <c r="J362" s="1"/>
      <c r="K362" s="86"/>
    </row>
    <row r="363" spans="1:11" s="371" customFormat="1" ht="15" x14ac:dyDescent="0.25">
      <c r="A363" s="1">
        <v>359</v>
      </c>
      <c r="B363" s="1" t="s">
        <v>605</v>
      </c>
      <c r="C363" s="32" t="s">
        <v>587</v>
      </c>
      <c r="D363" s="1">
        <v>210</v>
      </c>
      <c r="E363" s="1" t="s">
        <v>642</v>
      </c>
      <c r="F363" s="1">
        <v>2.08</v>
      </c>
      <c r="G363" s="1">
        <v>210</v>
      </c>
      <c r="H363" s="5">
        <f t="shared" si="5"/>
        <v>0</v>
      </c>
      <c r="I363" s="1"/>
      <c r="J363" s="1"/>
      <c r="K363" s="86"/>
    </row>
    <row r="364" spans="1:11" s="371" customFormat="1" ht="15" x14ac:dyDescent="0.25">
      <c r="A364" s="1">
        <v>360</v>
      </c>
      <c r="B364" s="1" t="s">
        <v>605</v>
      </c>
      <c r="C364" s="32">
        <v>5252</v>
      </c>
      <c r="D364" s="1">
        <v>17000</v>
      </c>
      <c r="E364" s="1" t="s">
        <v>642</v>
      </c>
      <c r="F364" s="1">
        <v>189.41</v>
      </c>
      <c r="G364" s="1">
        <v>17000</v>
      </c>
      <c r="H364" s="5">
        <f t="shared" si="5"/>
        <v>0</v>
      </c>
      <c r="I364" s="1"/>
      <c r="J364" s="1"/>
      <c r="K364" s="86"/>
    </row>
    <row r="365" spans="1:11" s="371" customFormat="1" ht="15" x14ac:dyDescent="0.25">
      <c r="A365" s="1">
        <v>361</v>
      </c>
      <c r="B365" s="1" t="s">
        <v>605</v>
      </c>
      <c r="C365" s="85">
        <v>5.1000000000000004E-3</v>
      </c>
      <c r="D365" s="70">
        <v>17000</v>
      </c>
      <c r="E365" s="1" t="s">
        <v>642</v>
      </c>
      <c r="F365" s="1">
        <v>189.41</v>
      </c>
      <c r="G365" s="1">
        <v>17000</v>
      </c>
      <c r="H365" s="5">
        <f t="shared" si="5"/>
        <v>0</v>
      </c>
      <c r="I365" s="1"/>
      <c r="J365" s="1"/>
      <c r="K365" s="86"/>
    </row>
    <row r="366" spans="1:11" s="371" customFormat="1" ht="15" x14ac:dyDescent="0.25">
      <c r="A366" s="1">
        <v>362</v>
      </c>
      <c r="B366" s="1" t="s">
        <v>605</v>
      </c>
      <c r="C366" s="32" t="s">
        <v>586</v>
      </c>
      <c r="D366" s="1">
        <v>1500</v>
      </c>
      <c r="E366" s="1" t="s">
        <v>642</v>
      </c>
      <c r="F366" s="1">
        <v>16.850000000000001</v>
      </c>
      <c r="G366" s="1">
        <v>1500</v>
      </c>
      <c r="H366" s="5">
        <f t="shared" si="5"/>
        <v>0</v>
      </c>
      <c r="I366" s="1"/>
      <c r="J366" s="1"/>
      <c r="K366" s="86"/>
    </row>
    <row r="367" spans="1:11" s="371" customFormat="1" ht="15" x14ac:dyDescent="0.25">
      <c r="A367" s="1">
        <v>363</v>
      </c>
      <c r="B367" s="1" t="s">
        <v>605</v>
      </c>
      <c r="C367" s="32">
        <v>8874</v>
      </c>
      <c r="D367" s="1">
        <v>30000</v>
      </c>
      <c r="E367" s="1" t="s">
        <v>642</v>
      </c>
      <c r="F367" s="1">
        <v>334.68</v>
      </c>
      <c r="G367" s="1">
        <v>30000</v>
      </c>
      <c r="H367" s="5">
        <f t="shared" si="5"/>
        <v>0</v>
      </c>
      <c r="I367" s="1"/>
      <c r="J367" s="1"/>
      <c r="K367" s="86"/>
    </row>
    <row r="368" spans="1:11" s="371" customFormat="1" ht="15" x14ac:dyDescent="0.25">
      <c r="A368" s="1">
        <v>364</v>
      </c>
      <c r="B368" s="1" t="s">
        <v>605</v>
      </c>
      <c r="C368" s="32">
        <v>6930</v>
      </c>
      <c r="D368" s="1">
        <v>22000</v>
      </c>
      <c r="E368" s="1" t="s">
        <v>642</v>
      </c>
      <c r="F368" s="1">
        <v>245.68</v>
      </c>
      <c r="G368" s="1">
        <v>22000</v>
      </c>
      <c r="H368" s="5">
        <f t="shared" si="5"/>
        <v>0</v>
      </c>
      <c r="I368" s="1"/>
      <c r="J368" s="1"/>
      <c r="K368" s="86"/>
    </row>
    <row r="369" spans="1:11" s="371" customFormat="1" ht="15" x14ac:dyDescent="0.25">
      <c r="A369" s="1">
        <v>365</v>
      </c>
      <c r="B369" s="1" t="s">
        <v>605</v>
      </c>
      <c r="C369" s="32">
        <v>9924</v>
      </c>
      <c r="D369" s="1">
        <v>25000</v>
      </c>
      <c r="E369" s="1" t="s">
        <v>642</v>
      </c>
      <c r="F369" s="1">
        <v>278.22000000000003</v>
      </c>
      <c r="G369" s="1">
        <v>25000</v>
      </c>
      <c r="H369" s="5">
        <f t="shared" si="5"/>
        <v>0</v>
      </c>
      <c r="I369" s="1"/>
      <c r="J369" s="1"/>
      <c r="K369" s="86"/>
    </row>
    <row r="370" spans="1:11" s="371" customFormat="1" ht="15" x14ac:dyDescent="0.25">
      <c r="A370" s="1">
        <v>366</v>
      </c>
      <c r="B370" s="1" t="s">
        <v>605</v>
      </c>
      <c r="C370" s="32">
        <v>3885</v>
      </c>
      <c r="D370" s="1">
        <v>15000</v>
      </c>
      <c r="E370" s="1" t="s">
        <v>642</v>
      </c>
      <c r="F370" s="1">
        <v>167.15</v>
      </c>
      <c r="G370" s="1">
        <v>15000</v>
      </c>
      <c r="H370" s="5">
        <f t="shared" si="5"/>
        <v>0</v>
      </c>
      <c r="I370" s="1"/>
      <c r="J370" s="1"/>
      <c r="K370" s="86"/>
    </row>
    <row r="371" spans="1:11" s="371" customFormat="1" ht="15" x14ac:dyDescent="0.25">
      <c r="A371" s="1">
        <v>367</v>
      </c>
      <c r="B371" s="1" t="s">
        <v>605</v>
      </c>
      <c r="C371" s="32">
        <v>3393</v>
      </c>
      <c r="D371" s="1">
        <v>15000</v>
      </c>
      <c r="E371" s="1" t="s">
        <v>642</v>
      </c>
      <c r="F371" s="1">
        <v>167.15</v>
      </c>
      <c r="G371" s="1">
        <v>15000</v>
      </c>
      <c r="H371" s="5">
        <f t="shared" si="5"/>
        <v>0</v>
      </c>
      <c r="I371" s="1"/>
      <c r="J371" s="1"/>
      <c r="K371" s="86"/>
    </row>
    <row r="372" spans="1:11" s="371" customFormat="1" ht="15" x14ac:dyDescent="0.25">
      <c r="A372" s="1">
        <v>368</v>
      </c>
      <c r="B372" s="1" t="s">
        <v>605</v>
      </c>
      <c r="C372" s="32">
        <v>9191</v>
      </c>
      <c r="D372" s="1">
        <v>30000</v>
      </c>
      <c r="E372" s="1" t="s">
        <v>642</v>
      </c>
      <c r="F372" s="1">
        <v>334.68</v>
      </c>
      <c r="G372" s="1">
        <v>30000</v>
      </c>
      <c r="H372" s="5">
        <f t="shared" si="5"/>
        <v>0</v>
      </c>
      <c r="I372" s="1"/>
      <c r="J372" s="1"/>
      <c r="K372" s="86"/>
    </row>
    <row r="373" spans="1:11" s="371" customFormat="1" ht="15" x14ac:dyDescent="0.25">
      <c r="A373" s="1">
        <v>369</v>
      </c>
      <c r="B373" s="1" t="s">
        <v>605</v>
      </c>
      <c r="C373" s="32">
        <v>4871</v>
      </c>
      <c r="D373" s="1">
        <v>20000</v>
      </c>
      <c r="E373" s="1" t="s">
        <v>642</v>
      </c>
      <c r="F373" s="1">
        <v>222.42</v>
      </c>
      <c r="G373" s="1">
        <v>20000</v>
      </c>
      <c r="H373" s="5">
        <f t="shared" si="5"/>
        <v>0</v>
      </c>
      <c r="I373" s="1"/>
      <c r="J373" s="1"/>
      <c r="K373" s="86"/>
    </row>
    <row r="374" spans="1:11" s="371" customFormat="1" ht="15" x14ac:dyDescent="0.25">
      <c r="A374" s="1">
        <v>370</v>
      </c>
      <c r="B374" s="1" t="s">
        <v>605</v>
      </c>
      <c r="C374" s="32">
        <v>8279</v>
      </c>
      <c r="D374" s="1">
        <v>20000</v>
      </c>
      <c r="E374" s="1" t="s">
        <v>642</v>
      </c>
      <c r="F374" s="1">
        <v>222.42</v>
      </c>
      <c r="G374" s="1">
        <v>20000</v>
      </c>
      <c r="H374" s="5">
        <f t="shared" si="5"/>
        <v>0</v>
      </c>
      <c r="I374" s="1"/>
      <c r="J374" s="1"/>
      <c r="K374" s="86"/>
    </row>
    <row r="375" spans="1:11" s="371" customFormat="1" ht="15" x14ac:dyDescent="0.25">
      <c r="A375" s="1">
        <v>371</v>
      </c>
      <c r="B375" s="1" t="s">
        <v>605</v>
      </c>
      <c r="C375" s="32">
        <v>5938</v>
      </c>
      <c r="D375" s="1">
        <v>24000</v>
      </c>
      <c r="E375" s="1" t="s">
        <v>642</v>
      </c>
      <c r="F375" s="1">
        <v>268.52999999999997</v>
      </c>
      <c r="G375" s="1">
        <v>24000</v>
      </c>
      <c r="H375" s="5">
        <f t="shared" si="5"/>
        <v>0</v>
      </c>
      <c r="I375" s="1"/>
      <c r="J375" s="1"/>
      <c r="K375" s="86"/>
    </row>
    <row r="376" spans="1:11" s="371" customFormat="1" ht="15" x14ac:dyDescent="0.25">
      <c r="A376" s="1">
        <v>372</v>
      </c>
      <c r="B376" s="1" t="s">
        <v>605</v>
      </c>
      <c r="C376" s="32">
        <v>5585</v>
      </c>
      <c r="D376" s="1">
        <v>24000</v>
      </c>
      <c r="E376" s="1" t="s">
        <v>642</v>
      </c>
      <c r="F376" s="1">
        <v>268.52999999999997</v>
      </c>
      <c r="G376" s="1">
        <v>24000</v>
      </c>
      <c r="H376" s="5">
        <f t="shared" si="5"/>
        <v>0</v>
      </c>
      <c r="I376" s="1"/>
      <c r="J376" s="1"/>
      <c r="K376" s="86"/>
    </row>
    <row r="377" spans="1:11" s="371" customFormat="1" ht="15" x14ac:dyDescent="0.25">
      <c r="A377" s="1">
        <v>373</v>
      </c>
      <c r="B377" s="1" t="s">
        <v>605</v>
      </c>
      <c r="C377" s="32">
        <v>1793</v>
      </c>
      <c r="D377" s="1">
        <v>14000</v>
      </c>
      <c r="E377" s="1" t="s">
        <v>642</v>
      </c>
      <c r="F377" s="1">
        <v>155.34</v>
      </c>
      <c r="G377" s="1">
        <v>14000</v>
      </c>
      <c r="H377" s="5">
        <f t="shared" si="5"/>
        <v>0</v>
      </c>
      <c r="I377" s="1"/>
      <c r="J377" s="1"/>
      <c r="K377" s="86"/>
    </row>
    <row r="378" spans="1:11" s="371" customFormat="1" ht="15" x14ac:dyDescent="0.25">
      <c r="A378" s="1">
        <v>374</v>
      </c>
      <c r="B378" s="1" t="s">
        <v>605</v>
      </c>
      <c r="C378" s="32">
        <v>9933</v>
      </c>
      <c r="D378" s="1">
        <v>28000</v>
      </c>
      <c r="E378" s="1" t="s">
        <v>642</v>
      </c>
      <c r="F378" s="1">
        <v>311.20999999999998</v>
      </c>
      <c r="G378" s="1">
        <v>28000</v>
      </c>
      <c r="H378" s="5">
        <f t="shared" si="5"/>
        <v>0</v>
      </c>
      <c r="I378" s="1"/>
      <c r="J378" s="1"/>
      <c r="K378" s="86"/>
    </row>
    <row r="379" spans="1:11" s="371" customFormat="1" ht="15" x14ac:dyDescent="0.25">
      <c r="A379" s="1">
        <v>375</v>
      </c>
      <c r="B379" s="1" t="s">
        <v>605</v>
      </c>
      <c r="C379" s="32">
        <v>4092</v>
      </c>
      <c r="D379" s="1">
        <v>25000</v>
      </c>
      <c r="E379" s="1" t="s">
        <v>642</v>
      </c>
      <c r="F379" s="1">
        <v>278.22000000000003</v>
      </c>
      <c r="G379" s="1">
        <v>25000</v>
      </c>
      <c r="H379" s="5">
        <f t="shared" si="5"/>
        <v>0</v>
      </c>
      <c r="I379" s="1"/>
      <c r="J379" s="1"/>
      <c r="K379" s="86"/>
    </row>
    <row r="380" spans="1:11" s="371" customFormat="1" ht="15" x14ac:dyDescent="0.25">
      <c r="A380" s="1">
        <v>376</v>
      </c>
      <c r="B380" s="1" t="s">
        <v>604</v>
      </c>
      <c r="C380" s="32" t="s">
        <v>30</v>
      </c>
      <c r="D380" s="1">
        <v>4500</v>
      </c>
      <c r="E380" s="1" t="s">
        <v>642</v>
      </c>
      <c r="F380" s="1">
        <v>50.45</v>
      </c>
      <c r="G380" s="1">
        <v>4500</v>
      </c>
      <c r="H380" s="5">
        <f t="shared" si="5"/>
        <v>0</v>
      </c>
      <c r="I380" s="1"/>
      <c r="J380" s="1"/>
      <c r="K380" s="86"/>
    </row>
    <row r="381" spans="1:11" s="371" customFormat="1" ht="15" x14ac:dyDescent="0.25">
      <c r="A381" s="1">
        <v>377</v>
      </c>
      <c r="B381" s="1" t="s">
        <v>604</v>
      </c>
      <c r="C381" s="32" t="s">
        <v>30</v>
      </c>
      <c r="D381" s="1">
        <v>5000</v>
      </c>
      <c r="E381" s="1" t="s">
        <v>642</v>
      </c>
      <c r="F381" s="1">
        <v>55.5</v>
      </c>
      <c r="G381" s="1">
        <v>5000</v>
      </c>
      <c r="H381" s="5">
        <f t="shared" si="5"/>
        <v>0</v>
      </c>
      <c r="I381" s="1"/>
      <c r="J381" s="1"/>
      <c r="K381" s="86"/>
    </row>
    <row r="382" spans="1:11" s="371" customFormat="1" ht="15" x14ac:dyDescent="0.25">
      <c r="A382" s="1">
        <v>378</v>
      </c>
      <c r="B382" s="1" t="s">
        <v>604</v>
      </c>
      <c r="C382" s="32" t="s">
        <v>586</v>
      </c>
      <c r="D382" s="1">
        <v>1500</v>
      </c>
      <c r="E382" s="1" t="s">
        <v>642</v>
      </c>
      <c r="F382" s="1">
        <v>16.54</v>
      </c>
      <c r="G382" s="1">
        <v>1500</v>
      </c>
      <c r="H382" s="5">
        <f t="shared" si="5"/>
        <v>0</v>
      </c>
      <c r="I382" s="1"/>
      <c r="J382" s="1"/>
      <c r="K382" s="86"/>
    </row>
    <row r="383" spans="1:11" s="371" customFormat="1" ht="15" x14ac:dyDescent="0.25">
      <c r="A383" s="1">
        <v>379</v>
      </c>
      <c r="B383" s="1" t="s">
        <v>604</v>
      </c>
      <c r="C383" s="32">
        <v>5.1999999999999998E-3</v>
      </c>
      <c r="D383" s="1">
        <v>17000</v>
      </c>
      <c r="E383" s="1" t="s">
        <v>642</v>
      </c>
      <c r="F383" s="1">
        <v>178.22</v>
      </c>
      <c r="G383" s="1">
        <v>17000</v>
      </c>
      <c r="H383" s="5">
        <f t="shared" si="5"/>
        <v>0</v>
      </c>
      <c r="I383" s="1"/>
      <c r="J383" s="1"/>
      <c r="K383" s="86"/>
    </row>
    <row r="384" spans="1:11" s="371" customFormat="1" ht="15" x14ac:dyDescent="0.25">
      <c r="A384" s="1">
        <v>380</v>
      </c>
      <c r="B384" s="1" t="s">
        <v>604</v>
      </c>
      <c r="C384" s="32">
        <v>8788</v>
      </c>
      <c r="D384" s="1">
        <v>23000</v>
      </c>
      <c r="E384" s="1" t="s">
        <v>642</v>
      </c>
      <c r="F384" s="1">
        <v>256.37</v>
      </c>
      <c r="G384" s="1">
        <v>23000</v>
      </c>
      <c r="H384" s="5">
        <f t="shared" si="5"/>
        <v>0</v>
      </c>
      <c r="I384" s="1"/>
      <c r="J384" s="1"/>
      <c r="K384" s="86"/>
    </row>
    <row r="385" spans="1:11" s="371" customFormat="1" ht="15" x14ac:dyDescent="0.25">
      <c r="A385" s="1">
        <v>381</v>
      </c>
      <c r="B385" s="1" t="s">
        <v>604</v>
      </c>
      <c r="C385" s="32">
        <v>9025</v>
      </c>
      <c r="D385" s="1">
        <v>24000</v>
      </c>
      <c r="E385" s="1" t="s">
        <v>642</v>
      </c>
      <c r="F385" s="1">
        <v>267.94</v>
      </c>
      <c r="G385" s="1">
        <v>24000</v>
      </c>
      <c r="H385" s="5">
        <f t="shared" si="5"/>
        <v>0</v>
      </c>
      <c r="I385" s="1"/>
      <c r="J385" s="1"/>
      <c r="K385" s="86"/>
    </row>
    <row r="386" spans="1:11" s="371" customFormat="1" ht="15" x14ac:dyDescent="0.25">
      <c r="A386" s="1">
        <v>382</v>
      </c>
      <c r="B386" s="1" t="s">
        <v>604</v>
      </c>
      <c r="C386" s="32">
        <v>5.0099999999999999E-2</v>
      </c>
      <c r="D386" s="1">
        <v>28000</v>
      </c>
      <c r="E386" s="1" t="s">
        <v>642</v>
      </c>
      <c r="F386" s="1">
        <v>311.67</v>
      </c>
      <c r="G386" s="1">
        <v>28000</v>
      </c>
      <c r="H386" s="5">
        <f t="shared" si="5"/>
        <v>0</v>
      </c>
      <c r="I386" s="1"/>
      <c r="J386" s="1"/>
      <c r="K386" s="86"/>
    </row>
    <row r="387" spans="1:11" s="371" customFormat="1" ht="15" x14ac:dyDescent="0.25">
      <c r="A387" s="1">
        <v>383</v>
      </c>
      <c r="B387" s="1" t="s">
        <v>604</v>
      </c>
      <c r="C387" s="32">
        <v>3434</v>
      </c>
      <c r="D387" s="1">
        <v>23000</v>
      </c>
      <c r="E387" s="1" t="s">
        <v>642</v>
      </c>
      <c r="F387" s="1">
        <v>256.37</v>
      </c>
      <c r="G387" s="1">
        <v>23000</v>
      </c>
      <c r="H387" s="5">
        <f t="shared" si="5"/>
        <v>0</v>
      </c>
      <c r="I387" s="1"/>
      <c r="J387" s="1"/>
      <c r="K387" s="86"/>
    </row>
    <row r="388" spans="1:11" s="371" customFormat="1" ht="15" x14ac:dyDescent="0.25">
      <c r="A388" s="1">
        <v>384</v>
      </c>
      <c r="B388" s="1" t="s">
        <v>604</v>
      </c>
      <c r="C388" s="32">
        <v>2651</v>
      </c>
      <c r="D388" s="1">
        <v>24000</v>
      </c>
      <c r="E388" s="1" t="s">
        <v>642</v>
      </c>
      <c r="F388" s="1">
        <v>267.94</v>
      </c>
      <c r="G388" s="1">
        <v>24000</v>
      </c>
      <c r="H388" s="5">
        <f t="shared" si="5"/>
        <v>0</v>
      </c>
      <c r="I388" s="1"/>
      <c r="J388" s="1"/>
      <c r="K388" s="86"/>
    </row>
    <row r="389" spans="1:11" s="371" customFormat="1" ht="15" x14ac:dyDescent="0.25">
      <c r="A389" s="1">
        <v>385</v>
      </c>
      <c r="B389" s="1" t="s">
        <v>604</v>
      </c>
      <c r="C389" s="32">
        <v>5817</v>
      </c>
      <c r="D389" s="1">
        <v>24000</v>
      </c>
      <c r="E389" s="1" t="s">
        <v>642</v>
      </c>
      <c r="F389" s="1">
        <v>267.94</v>
      </c>
      <c r="G389" s="1">
        <v>24000</v>
      </c>
      <c r="H389" s="5">
        <f t="shared" si="5"/>
        <v>0</v>
      </c>
      <c r="I389" s="1"/>
      <c r="J389" s="1"/>
      <c r="K389" s="86"/>
    </row>
    <row r="390" spans="1:11" s="371" customFormat="1" ht="15" x14ac:dyDescent="0.25">
      <c r="A390" s="1">
        <v>386</v>
      </c>
      <c r="B390" s="1" t="s">
        <v>604</v>
      </c>
      <c r="C390" s="32">
        <v>2853</v>
      </c>
      <c r="D390" s="1">
        <v>13000</v>
      </c>
      <c r="E390" s="1" t="s">
        <v>642</v>
      </c>
      <c r="F390" s="1">
        <v>144.13</v>
      </c>
      <c r="G390" s="1">
        <v>13000</v>
      </c>
      <c r="H390" s="5">
        <f t="shared" si="5"/>
        <v>0</v>
      </c>
      <c r="I390" s="1"/>
      <c r="J390" s="1"/>
      <c r="K390" s="86"/>
    </row>
    <row r="391" spans="1:11" s="371" customFormat="1" ht="15" x14ac:dyDescent="0.25">
      <c r="A391" s="1">
        <v>387</v>
      </c>
      <c r="B391" s="1" t="s">
        <v>604</v>
      </c>
      <c r="C391" s="32">
        <v>7.6899999999999996E-2</v>
      </c>
      <c r="D391" s="1">
        <v>8000</v>
      </c>
      <c r="E391" s="1" t="s">
        <v>642</v>
      </c>
      <c r="F391" s="1">
        <v>89.85</v>
      </c>
      <c r="G391" s="1">
        <v>8000</v>
      </c>
      <c r="H391" s="5">
        <f t="shared" si="5"/>
        <v>0</v>
      </c>
      <c r="I391" s="1"/>
      <c r="J391" s="1"/>
      <c r="K391" s="86"/>
    </row>
    <row r="392" spans="1:11" s="371" customFormat="1" ht="15" x14ac:dyDescent="0.25">
      <c r="A392" s="1">
        <v>388</v>
      </c>
      <c r="B392" s="1" t="s">
        <v>604</v>
      </c>
      <c r="C392" s="32">
        <v>3292</v>
      </c>
      <c r="D392" s="1">
        <v>20000</v>
      </c>
      <c r="E392" s="1" t="s">
        <v>642</v>
      </c>
      <c r="F392" s="1">
        <v>222.42</v>
      </c>
      <c r="G392" s="1">
        <v>20000</v>
      </c>
      <c r="H392" s="5">
        <f t="shared" si="5"/>
        <v>0</v>
      </c>
      <c r="I392" s="1"/>
      <c r="J392" s="1"/>
      <c r="K392" s="86"/>
    </row>
    <row r="393" spans="1:11" s="371" customFormat="1" ht="15" x14ac:dyDescent="0.25">
      <c r="A393" s="1">
        <v>389</v>
      </c>
      <c r="B393" s="1" t="s">
        <v>604</v>
      </c>
      <c r="C393" s="85">
        <v>6651</v>
      </c>
      <c r="D393" s="70">
        <v>29000</v>
      </c>
      <c r="E393" s="1" t="s">
        <v>642</v>
      </c>
      <c r="F393" s="1">
        <v>282.68</v>
      </c>
      <c r="G393" s="1">
        <v>29000</v>
      </c>
      <c r="H393" s="5">
        <f t="shared" si="5"/>
        <v>0</v>
      </c>
      <c r="I393" s="1"/>
      <c r="J393" s="1"/>
      <c r="K393" s="86"/>
    </row>
    <row r="394" spans="1:11" s="371" customFormat="1" ht="15" x14ac:dyDescent="0.25">
      <c r="A394" s="1">
        <v>390</v>
      </c>
      <c r="B394" s="1" t="s">
        <v>604</v>
      </c>
      <c r="C394" s="32">
        <v>3487</v>
      </c>
      <c r="D394" s="1">
        <v>6000</v>
      </c>
      <c r="E394" s="1" t="s">
        <v>642</v>
      </c>
      <c r="F394" s="1">
        <v>66.84</v>
      </c>
      <c r="G394" s="1">
        <v>6000</v>
      </c>
      <c r="H394" s="5">
        <f t="shared" si="5"/>
        <v>0</v>
      </c>
      <c r="I394" s="1"/>
      <c r="J394" s="1"/>
      <c r="K394" s="86"/>
    </row>
    <row r="395" spans="1:11" s="371" customFormat="1" ht="15" x14ac:dyDescent="0.25">
      <c r="A395" s="1">
        <v>391</v>
      </c>
      <c r="B395" s="1" t="s">
        <v>604</v>
      </c>
      <c r="C395" s="32">
        <v>6.13E-2</v>
      </c>
      <c r="D395" s="1">
        <v>8000</v>
      </c>
      <c r="E395" s="1" t="s">
        <v>642</v>
      </c>
      <c r="F395" s="1">
        <v>89.13</v>
      </c>
      <c r="G395" s="1">
        <v>8000</v>
      </c>
      <c r="H395" s="5">
        <f t="shared" si="5"/>
        <v>0</v>
      </c>
      <c r="I395" s="1"/>
      <c r="J395" s="1"/>
      <c r="K395" s="86"/>
    </row>
    <row r="396" spans="1:11" s="371" customFormat="1" ht="15" x14ac:dyDescent="0.25">
      <c r="A396" s="1">
        <v>392</v>
      </c>
      <c r="B396" s="1" t="s">
        <v>604</v>
      </c>
      <c r="C396" s="32">
        <v>3490</v>
      </c>
      <c r="D396" s="1">
        <v>8000</v>
      </c>
      <c r="E396" s="1" t="s">
        <v>642</v>
      </c>
      <c r="F396" s="1">
        <v>89.13</v>
      </c>
      <c r="G396" s="1">
        <v>8000</v>
      </c>
      <c r="H396" s="5">
        <f t="shared" si="5"/>
        <v>0</v>
      </c>
      <c r="I396" s="1"/>
      <c r="J396" s="1"/>
      <c r="K396" s="86"/>
    </row>
    <row r="397" spans="1:11" s="371" customFormat="1" ht="15" x14ac:dyDescent="0.25">
      <c r="A397" s="1">
        <v>393</v>
      </c>
      <c r="B397" s="1" t="s">
        <v>604</v>
      </c>
      <c r="C397" s="32">
        <v>4451</v>
      </c>
      <c r="D397" s="1">
        <v>8000</v>
      </c>
      <c r="E397" s="1" t="s">
        <v>642</v>
      </c>
      <c r="F397" s="1">
        <v>89.13</v>
      </c>
      <c r="G397" s="1">
        <v>8000</v>
      </c>
      <c r="H397" s="5">
        <f t="shared" si="5"/>
        <v>0</v>
      </c>
      <c r="I397" s="1"/>
      <c r="J397" s="1"/>
      <c r="K397" s="86"/>
    </row>
    <row r="398" spans="1:11" s="371" customFormat="1" ht="15" x14ac:dyDescent="0.25">
      <c r="A398" s="1">
        <v>394</v>
      </c>
      <c r="B398" s="1" t="s">
        <v>604</v>
      </c>
      <c r="C398" s="32">
        <v>4.1399999999999999E-2</v>
      </c>
      <c r="D398" s="1">
        <v>8000</v>
      </c>
      <c r="E398" s="1" t="s">
        <v>642</v>
      </c>
      <c r="F398" s="1">
        <v>89.13</v>
      </c>
      <c r="G398" s="1">
        <v>8000</v>
      </c>
      <c r="H398" s="5">
        <f t="shared" si="5"/>
        <v>0</v>
      </c>
      <c r="I398" s="1"/>
      <c r="J398" s="1"/>
      <c r="K398" s="86"/>
    </row>
    <row r="399" spans="1:11" s="371" customFormat="1" ht="15" x14ac:dyDescent="0.25">
      <c r="A399" s="1">
        <v>395</v>
      </c>
      <c r="B399" s="1" t="s">
        <v>604</v>
      </c>
      <c r="C399" s="32">
        <v>2258</v>
      </c>
      <c r="D399" s="1">
        <v>22000</v>
      </c>
      <c r="E399" s="1" t="s">
        <v>642</v>
      </c>
      <c r="F399" s="1">
        <v>245.34</v>
      </c>
      <c r="G399" s="1">
        <v>22000</v>
      </c>
      <c r="H399" s="5">
        <f t="shared" si="5"/>
        <v>0</v>
      </c>
      <c r="I399" s="1"/>
      <c r="J399" s="1"/>
      <c r="K399" s="86"/>
    </row>
    <row r="400" spans="1:11" s="371" customFormat="1" ht="15" x14ac:dyDescent="0.25">
      <c r="A400" s="1">
        <v>396</v>
      </c>
      <c r="B400" s="1" t="s">
        <v>604</v>
      </c>
      <c r="C400" s="32">
        <v>2972</v>
      </c>
      <c r="D400" s="1">
        <v>22000</v>
      </c>
      <c r="E400" s="1" t="s">
        <v>642</v>
      </c>
      <c r="F400" s="1">
        <v>245.34</v>
      </c>
      <c r="G400" s="1">
        <v>22000</v>
      </c>
      <c r="H400" s="5">
        <f t="shared" si="5"/>
        <v>0</v>
      </c>
      <c r="I400" s="1"/>
      <c r="J400" s="1"/>
      <c r="K400" s="86"/>
    </row>
    <row r="401" spans="1:15" s="371" customFormat="1" ht="15" x14ac:dyDescent="0.25">
      <c r="A401" s="1">
        <v>397</v>
      </c>
      <c r="B401" s="1" t="s">
        <v>604</v>
      </c>
      <c r="C401" s="32">
        <v>5.8400000000000001E-2</v>
      </c>
      <c r="D401" s="1">
        <v>25000</v>
      </c>
      <c r="E401" s="1" t="s">
        <v>642</v>
      </c>
      <c r="F401" s="1">
        <v>278.22000000000003</v>
      </c>
      <c r="G401" s="1">
        <v>25000</v>
      </c>
      <c r="H401" s="5">
        <f t="shared" si="5"/>
        <v>0</v>
      </c>
      <c r="I401" s="1"/>
      <c r="J401" s="1"/>
      <c r="K401" s="86"/>
    </row>
    <row r="402" spans="1:15" s="371" customFormat="1" ht="15" x14ac:dyDescent="0.25">
      <c r="A402" s="1">
        <v>398</v>
      </c>
      <c r="B402" s="1" t="s">
        <v>604</v>
      </c>
      <c r="C402" s="32">
        <v>7581</v>
      </c>
      <c r="D402" s="1">
        <v>25000</v>
      </c>
      <c r="E402" s="1" t="s">
        <v>642</v>
      </c>
      <c r="F402" s="1">
        <v>278.22000000000003</v>
      </c>
      <c r="G402" s="1">
        <v>25000</v>
      </c>
      <c r="H402" s="5">
        <f t="shared" si="5"/>
        <v>0</v>
      </c>
      <c r="I402" s="1"/>
      <c r="J402" s="1"/>
      <c r="K402" s="86"/>
    </row>
    <row r="403" spans="1:15" s="371" customFormat="1" ht="15" x14ac:dyDescent="0.25">
      <c r="A403" s="1">
        <v>399</v>
      </c>
      <c r="B403" s="1" t="s">
        <v>604</v>
      </c>
      <c r="C403" s="32">
        <v>6623</v>
      </c>
      <c r="D403" s="1">
        <v>10000</v>
      </c>
      <c r="E403" s="1" t="s">
        <v>642</v>
      </c>
      <c r="F403" s="1">
        <v>111.41</v>
      </c>
      <c r="G403" s="1">
        <v>10000</v>
      </c>
      <c r="H403" s="5">
        <f t="shared" si="5"/>
        <v>0</v>
      </c>
      <c r="I403" s="1"/>
      <c r="J403" s="1"/>
      <c r="K403" s="86"/>
    </row>
    <row r="404" spans="1:15" s="371" customFormat="1" ht="15" x14ac:dyDescent="0.25">
      <c r="A404" s="1">
        <v>400</v>
      </c>
      <c r="B404" s="1" t="s">
        <v>604</v>
      </c>
      <c r="C404" s="32">
        <v>1.0699999999999999E-2</v>
      </c>
      <c r="D404" s="1">
        <v>10000</v>
      </c>
      <c r="E404" s="1" t="s">
        <v>642</v>
      </c>
      <c r="F404" s="1">
        <v>111.41</v>
      </c>
      <c r="G404" s="1">
        <v>10000</v>
      </c>
      <c r="H404" s="5">
        <f t="shared" si="5"/>
        <v>0</v>
      </c>
      <c r="I404" s="1"/>
      <c r="J404" s="1"/>
      <c r="K404" s="86"/>
    </row>
    <row r="405" spans="1:15" s="371" customFormat="1" ht="15" x14ac:dyDescent="0.25">
      <c r="A405" s="1">
        <v>401</v>
      </c>
      <c r="B405" s="1" t="s">
        <v>604</v>
      </c>
      <c r="C405" s="32">
        <v>8792</v>
      </c>
      <c r="D405" s="1">
        <v>15000</v>
      </c>
      <c r="E405" s="1" t="s">
        <v>642</v>
      </c>
      <c r="F405" s="1">
        <v>167.15</v>
      </c>
      <c r="G405" s="1">
        <v>15000</v>
      </c>
      <c r="H405" s="5">
        <f t="shared" si="5"/>
        <v>0</v>
      </c>
      <c r="I405" s="1"/>
      <c r="J405" s="1"/>
      <c r="K405" s="86"/>
    </row>
    <row r="406" spans="1:15" s="371" customFormat="1" ht="15" x14ac:dyDescent="0.25">
      <c r="A406" s="1">
        <v>402</v>
      </c>
      <c r="B406" s="1" t="s">
        <v>604</v>
      </c>
      <c r="C406" s="32">
        <v>6351</v>
      </c>
      <c r="D406" s="1">
        <v>15000</v>
      </c>
      <c r="E406" s="1" t="s">
        <v>642</v>
      </c>
      <c r="F406" s="1">
        <v>167.15</v>
      </c>
      <c r="G406" s="1">
        <v>15000</v>
      </c>
      <c r="H406" s="5">
        <f t="shared" si="5"/>
        <v>0</v>
      </c>
      <c r="I406" s="1"/>
      <c r="J406" s="1"/>
      <c r="K406" s="86"/>
    </row>
    <row r="407" spans="1:15" s="371" customFormat="1" ht="15" x14ac:dyDescent="0.25">
      <c r="A407" s="1">
        <v>403</v>
      </c>
      <c r="B407" s="1" t="s">
        <v>604</v>
      </c>
      <c r="C407" s="32">
        <v>6489</v>
      </c>
      <c r="D407" s="1">
        <v>20000</v>
      </c>
      <c r="E407" s="1" t="s">
        <v>642</v>
      </c>
      <c r="F407" s="1">
        <v>222.42</v>
      </c>
      <c r="G407" s="1">
        <v>20000</v>
      </c>
      <c r="H407" s="5">
        <f t="shared" si="5"/>
        <v>0</v>
      </c>
      <c r="I407" s="1"/>
      <c r="J407" s="1"/>
      <c r="K407" s="86"/>
    </row>
    <row r="408" spans="1:15" s="371" customFormat="1" ht="15" x14ac:dyDescent="0.25">
      <c r="A408" s="1">
        <v>404</v>
      </c>
      <c r="B408" s="1" t="s">
        <v>604</v>
      </c>
      <c r="C408" s="85">
        <v>8311</v>
      </c>
      <c r="D408" s="70">
        <v>24000</v>
      </c>
      <c r="E408" s="1" t="s">
        <v>642</v>
      </c>
      <c r="F408" s="1">
        <v>267.83999999999997</v>
      </c>
      <c r="G408" s="1">
        <v>24000</v>
      </c>
      <c r="H408" s="5">
        <f t="shared" si="5"/>
        <v>0</v>
      </c>
      <c r="I408" s="1"/>
      <c r="J408" s="1"/>
      <c r="K408" s="86"/>
    </row>
    <row r="409" spans="1:15" s="371" customFormat="1" ht="15" x14ac:dyDescent="0.25">
      <c r="A409" s="1">
        <v>405</v>
      </c>
      <c r="B409" s="1" t="s">
        <v>604</v>
      </c>
      <c r="C409" s="32">
        <v>6311</v>
      </c>
      <c r="D409" s="1">
        <v>24000</v>
      </c>
      <c r="E409" s="1" t="s">
        <v>642</v>
      </c>
      <c r="F409" s="1">
        <v>267.83999999999997</v>
      </c>
      <c r="G409" s="1">
        <v>24000</v>
      </c>
      <c r="H409" s="5">
        <f t="shared" si="5"/>
        <v>0</v>
      </c>
      <c r="I409" s="1"/>
      <c r="J409" s="1"/>
      <c r="K409" s="86"/>
    </row>
    <row r="410" spans="1:15" s="371" customFormat="1" ht="15" x14ac:dyDescent="0.25">
      <c r="A410" s="1">
        <v>406</v>
      </c>
      <c r="B410" s="1" t="s">
        <v>604</v>
      </c>
      <c r="C410" s="32">
        <v>7211</v>
      </c>
      <c r="D410" s="1">
        <v>24000</v>
      </c>
      <c r="E410" s="1" t="s">
        <v>642</v>
      </c>
      <c r="F410" s="1">
        <v>267.83999999999997</v>
      </c>
      <c r="G410" s="1">
        <v>24000</v>
      </c>
      <c r="H410" s="5">
        <f t="shared" si="5"/>
        <v>0</v>
      </c>
      <c r="I410" s="1"/>
      <c r="J410" s="1"/>
      <c r="K410" s="86"/>
    </row>
    <row r="411" spans="1:15" s="371" customFormat="1" ht="15" x14ac:dyDescent="0.25">
      <c r="A411" s="1">
        <v>407</v>
      </c>
      <c r="B411" s="1" t="s">
        <v>604</v>
      </c>
      <c r="C411" s="32">
        <v>1827</v>
      </c>
      <c r="D411" s="1">
        <v>27000</v>
      </c>
      <c r="E411" s="1" t="s">
        <v>642</v>
      </c>
      <c r="F411" s="1">
        <v>300.62</v>
      </c>
      <c r="G411" s="1">
        <v>27000</v>
      </c>
      <c r="H411" s="5">
        <f t="shared" si="5"/>
        <v>0</v>
      </c>
      <c r="I411" s="1"/>
      <c r="J411" s="1"/>
      <c r="K411" s="86"/>
    </row>
    <row r="412" spans="1:15" s="371" customFormat="1" ht="15" x14ac:dyDescent="0.25">
      <c r="A412" s="1">
        <v>408</v>
      </c>
      <c r="B412" s="1" t="s">
        <v>604</v>
      </c>
      <c r="C412" s="32">
        <v>4.2099999999999999E-2</v>
      </c>
      <c r="D412" s="1">
        <v>23000</v>
      </c>
      <c r="E412" s="1" t="s">
        <v>642</v>
      </c>
      <c r="F412" s="1">
        <v>256.94</v>
      </c>
      <c r="G412" s="1">
        <v>23000</v>
      </c>
      <c r="H412" s="5">
        <f t="shared" si="5"/>
        <v>0</v>
      </c>
      <c r="I412" s="1"/>
      <c r="J412" s="1"/>
      <c r="K412" s="86"/>
    </row>
    <row r="413" spans="1:15" s="371" customFormat="1" ht="15.75" thickBot="1" x14ac:dyDescent="0.3">
      <c r="A413" s="1">
        <v>409</v>
      </c>
      <c r="B413" s="1" t="s">
        <v>604</v>
      </c>
      <c r="C413" s="32">
        <v>7123</v>
      </c>
      <c r="D413" s="1">
        <v>29000</v>
      </c>
      <c r="E413" s="1" t="s">
        <v>642</v>
      </c>
      <c r="F413" s="1">
        <v>323.67</v>
      </c>
      <c r="G413" s="1">
        <v>29000</v>
      </c>
      <c r="H413" s="5">
        <f t="shared" si="5"/>
        <v>0</v>
      </c>
      <c r="I413" s="1"/>
      <c r="J413" s="1"/>
      <c r="K413" s="86"/>
    </row>
    <row r="414" spans="1:15" s="371" customFormat="1" ht="15.75" thickBot="1" x14ac:dyDescent="0.3">
      <c r="A414" s="1">
        <v>410</v>
      </c>
      <c r="B414" s="1" t="s">
        <v>604</v>
      </c>
      <c r="C414" s="32" t="s">
        <v>587</v>
      </c>
      <c r="D414" s="1">
        <v>210</v>
      </c>
      <c r="E414" s="1" t="s">
        <v>642</v>
      </c>
      <c r="F414" s="1">
        <v>2.08</v>
      </c>
      <c r="G414" s="1">
        <v>210</v>
      </c>
      <c r="H414" s="5">
        <f t="shared" si="5"/>
        <v>0</v>
      </c>
      <c r="I414" s="1"/>
      <c r="J414" s="1"/>
      <c r="K414" s="86">
        <f>2599146-2584279</f>
        <v>14867</v>
      </c>
      <c r="L414" s="358" t="s">
        <v>600</v>
      </c>
      <c r="M414" s="359"/>
      <c r="N414" s="367" t="s">
        <v>601</v>
      </c>
      <c r="O414" s="360">
        <f>18620-14866</f>
        <v>3754</v>
      </c>
    </row>
    <row r="415" spans="1:15" s="372" customFormat="1" ht="15" x14ac:dyDescent="0.25">
      <c r="A415" s="1">
        <v>411</v>
      </c>
      <c r="B415" s="1" t="s">
        <v>606</v>
      </c>
      <c r="C415" s="32">
        <v>2152</v>
      </c>
      <c r="D415" s="1">
        <v>15000</v>
      </c>
      <c r="E415" s="1" t="s">
        <v>642</v>
      </c>
      <c r="F415" s="1">
        <v>167.15</v>
      </c>
      <c r="G415" s="1">
        <v>15000</v>
      </c>
      <c r="H415" s="5">
        <f t="shared" si="5"/>
        <v>0</v>
      </c>
      <c r="I415" s="1"/>
      <c r="J415" s="1"/>
      <c r="K415" s="86"/>
    </row>
    <row r="416" spans="1:15" s="372" customFormat="1" ht="15" x14ac:dyDescent="0.25">
      <c r="A416" s="1">
        <v>412</v>
      </c>
      <c r="B416" s="1" t="s">
        <v>606</v>
      </c>
      <c r="C416" s="32">
        <v>5250</v>
      </c>
      <c r="D416" s="1">
        <v>17000</v>
      </c>
      <c r="E416" s="1" t="s">
        <v>642</v>
      </c>
      <c r="F416" s="1">
        <v>192.67</v>
      </c>
      <c r="G416" s="1">
        <v>17000</v>
      </c>
      <c r="H416" s="5">
        <f t="shared" ref="H416:H479" si="6">D416-G416</f>
        <v>0</v>
      </c>
      <c r="I416" s="1"/>
      <c r="J416" s="1"/>
      <c r="K416" s="86"/>
    </row>
    <row r="417" spans="1:11" s="372" customFormat="1" ht="15" x14ac:dyDescent="0.25">
      <c r="A417" s="1">
        <v>413</v>
      </c>
      <c r="B417" s="1" t="s">
        <v>606</v>
      </c>
      <c r="C417" s="32">
        <v>6085</v>
      </c>
      <c r="D417" s="1">
        <v>5000</v>
      </c>
      <c r="E417" s="1" t="s">
        <v>642</v>
      </c>
      <c r="F417" s="1">
        <v>55.45</v>
      </c>
      <c r="G417" s="1">
        <v>5000</v>
      </c>
      <c r="H417" s="5">
        <f t="shared" si="6"/>
        <v>0</v>
      </c>
      <c r="I417" s="1"/>
      <c r="J417" s="1"/>
      <c r="K417" s="86"/>
    </row>
    <row r="418" spans="1:11" s="372" customFormat="1" ht="15" x14ac:dyDescent="0.25">
      <c r="A418" s="1">
        <v>414</v>
      </c>
      <c r="B418" s="1" t="s">
        <v>606</v>
      </c>
      <c r="C418" s="32">
        <v>3057</v>
      </c>
      <c r="D418" s="1">
        <v>22000</v>
      </c>
      <c r="E418" s="1" t="s">
        <v>642</v>
      </c>
      <c r="F418" s="1">
        <v>221.74</v>
      </c>
      <c r="G418" s="1">
        <v>22000</v>
      </c>
      <c r="H418" s="5">
        <f t="shared" si="6"/>
        <v>0</v>
      </c>
      <c r="I418" s="1"/>
      <c r="J418" s="1"/>
      <c r="K418" s="86"/>
    </row>
    <row r="419" spans="1:11" s="372" customFormat="1" ht="15" x14ac:dyDescent="0.25">
      <c r="A419" s="1">
        <v>415</v>
      </c>
      <c r="B419" s="1" t="s">
        <v>606</v>
      </c>
      <c r="C419" s="32">
        <v>6617</v>
      </c>
      <c r="D419" s="1">
        <v>10000</v>
      </c>
      <c r="E419" s="1" t="s">
        <v>642</v>
      </c>
      <c r="F419" s="1">
        <v>111.41</v>
      </c>
      <c r="G419" s="1">
        <v>10000</v>
      </c>
      <c r="H419" s="5">
        <f t="shared" si="6"/>
        <v>0</v>
      </c>
      <c r="I419" s="1"/>
      <c r="J419" s="1"/>
      <c r="K419" s="86"/>
    </row>
    <row r="420" spans="1:11" s="372" customFormat="1" ht="15" x14ac:dyDescent="0.25">
      <c r="A420" s="1">
        <v>416</v>
      </c>
      <c r="B420" s="1" t="s">
        <v>606</v>
      </c>
      <c r="C420" s="32">
        <v>6208</v>
      </c>
      <c r="D420" s="1">
        <v>36000</v>
      </c>
      <c r="E420" s="1" t="s">
        <v>642</v>
      </c>
      <c r="F420" s="1">
        <v>401.87</v>
      </c>
      <c r="G420" s="1">
        <v>36000</v>
      </c>
      <c r="H420" s="5">
        <f t="shared" si="6"/>
        <v>0</v>
      </c>
      <c r="I420" s="1"/>
      <c r="J420" s="1"/>
      <c r="K420" s="86"/>
    </row>
    <row r="421" spans="1:11" s="372" customFormat="1" ht="15" x14ac:dyDescent="0.25">
      <c r="A421" s="1">
        <v>417</v>
      </c>
      <c r="B421" s="1" t="s">
        <v>606</v>
      </c>
      <c r="C421" s="32">
        <v>6887</v>
      </c>
      <c r="D421" s="1">
        <v>15000</v>
      </c>
      <c r="E421" s="1" t="s">
        <v>642</v>
      </c>
      <c r="F421" s="1">
        <v>167.15</v>
      </c>
      <c r="G421" s="1">
        <v>15000</v>
      </c>
      <c r="H421" s="5">
        <f t="shared" si="6"/>
        <v>0</v>
      </c>
      <c r="I421" s="1"/>
      <c r="J421" s="1"/>
      <c r="K421" s="86"/>
    </row>
    <row r="422" spans="1:11" s="372" customFormat="1" ht="15" x14ac:dyDescent="0.25">
      <c r="A422" s="1">
        <v>418</v>
      </c>
      <c r="B422" s="1" t="s">
        <v>606</v>
      </c>
      <c r="C422" s="32">
        <v>9455</v>
      </c>
      <c r="D422" s="1">
        <v>20000</v>
      </c>
      <c r="E422" s="1" t="s">
        <v>642</v>
      </c>
      <c r="F422" s="1">
        <v>222.82</v>
      </c>
      <c r="G422" s="1">
        <v>20000</v>
      </c>
      <c r="H422" s="5">
        <f t="shared" si="6"/>
        <v>0</v>
      </c>
      <c r="I422" s="1"/>
      <c r="J422" s="1"/>
      <c r="K422" s="86"/>
    </row>
    <row r="423" spans="1:11" s="372" customFormat="1" ht="15" x14ac:dyDescent="0.25">
      <c r="A423" s="1">
        <v>419</v>
      </c>
      <c r="B423" s="1" t="s">
        <v>606</v>
      </c>
      <c r="C423" s="32">
        <v>2393</v>
      </c>
      <c r="D423" s="1">
        <v>22000</v>
      </c>
      <c r="E423" s="1" t="s">
        <v>642</v>
      </c>
      <c r="F423" s="1">
        <v>245.34</v>
      </c>
      <c r="G423" s="1">
        <v>22000</v>
      </c>
      <c r="H423" s="5">
        <f t="shared" si="6"/>
        <v>0</v>
      </c>
      <c r="I423" s="1"/>
      <c r="J423" s="1"/>
      <c r="K423" s="86"/>
    </row>
    <row r="424" spans="1:11" s="372" customFormat="1" ht="15" x14ac:dyDescent="0.25">
      <c r="A424" s="1">
        <v>420</v>
      </c>
      <c r="B424" s="1" t="s">
        <v>606</v>
      </c>
      <c r="C424" s="32">
        <v>7206</v>
      </c>
      <c r="D424" s="1">
        <v>20000</v>
      </c>
      <c r="E424" s="1" t="s">
        <v>642</v>
      </c>
      <c r="F424" s="1">
        <v>222.82</v>
      </c>
      <c r="G424" s="1">
        <v>20000</v>
      </c>
      <c r="H424" s="5">
        <f t="shared" si="6"/>
        <v>0</v>
      </c>
      <c r="I424" s="1"/>
      <c r="J424" s="1"/>
      <c r="K424" s="86"/>
    </row>
    <row r="425" spans="1:11" s="372" customFormat="1" ht="15" x14ac:dyDescent="0.25">
      <c r="A425" s="1">
        <v>421</v>
      </c>
      <c r="B425" s="1" t="s">
        <v>606</v>
      </c>
      <c r="C425" s="32">
        <v>5539</v>
      </c>
      <c r="D425" s="1">
        <v>15000</v>
      </c>
      <c r="E425" s="1" t="s">
        <v>642</v>
      </c>
      <c r="F425" s="1">
        <v>167.15</v>
      </c>
      <c r="G425" s="1">
        <v>15000</v>
      </c>
      <c r="H425" s="5">
        <f t="shared" si="6"/>
        <v>0</v>
      </c>
      <c r="I425" s="1"/>
      <c r="J425" s="1"/>
      <c r="K425" s="86"/>
    </row>
    <row r="426" spans="1:11" s="372" customFormat="1" ht="15" x14ac:dyDescent="0.25">
      <c r="A426" s="1">
        <v>422</v>
      </c>
      <c r="B426" s="1" t="s">
        <v>606</v>
      </c>
      <c r="C426" s="32">
        <v>8409</v>
      </c>
      <c r="D426" s="1">
        <v>20000</v>
      </c>
      <c r="E426" s="1" t="s">
        <v>642</v>
      </c>
      <c r="F426" s="1">
        <v>222.82</v>
      </c>
      <c r="G426" s="1">
        <v>20000</v>
      </c>
      <c r="H426" s="5">
        <f t="shared" si="6"/>
        <v>0</v>
      </c>
      <c r="I426" s="1"/>
      <c r="J426" s="1"/>
      <c r="K426" s="86"/>
    </row>
    <row r="427" spans="1:11" s="372" customFormat="1" ht="15" x14ac:dyDescent="0.25">
      <c r="A427" s="1">
        <v>423</v>
      </c>
      <c r="B427" s="1" t="s">
        <v>606</v>
      </c>
      <c r="C427" s="32">
        <v>9871</v>
      </c>
      <c r="D427" s="1">
        <v>10000</v>
      </c>
      <c r="E427" s="1" t="s">
        <v>642</v>
      </c>
      <c r="F427" s="1">
        <v>111.41</v>
      </c>
      <c r="G427" s="1">
        <v>10000</v>
      </c>
      <c r="H427" s="5">
        <f t="shared" si="6"/>
        <v>0</v>
      </c>
      <c r="I427" s="1"/>
      <c r="J427" s="1"/>
      <c r="K427" s="86"/>
    </row>
    <row r="428" spans="1:11" s="372" customFormat="1" ht="15" x14ac:dyDescent="0.25">
      <c r="A428" s="1">
        <v>424</v>
      </c>
      <c r="B428" s="1" t="s">
        <v>606</v>
      </c>
      <c r="C428" s="32">
        <v>5441</v>
      </c>
      <c r="D428" s="1">
        <v>10000</v>
      </c>
      <c r="E428" s="1" t="s">
        <v>642</v>
      </c>
      <c r="F428" s="1">
        <v>111.41</v>
      </c>
      <c r="G428" s="1">
        <v>10000</v>
      </c>
      <c r="H428" s="5">
        <f t="shared" si="6"/>
        <v>0</v>
      </c>
      <c r="I428" s="1"/>
      <c r="J428" s="1"/>
      <c r="K428" s="86"/>
    </row>
    <row r="429" spans="1:11" s="372" customFormat="1" ht="15" x14ac:dyDescent="0.25">
      <c r="A429" s="1">
        <v>425</v>
      </c>
      <c r="B429" s="1" t="s">
        <v>606</v>
      </c>
      <c r="C429" s="32" t="s">
        <v>30</v>
      </c>
      <c r="D429" s="1">
        <v>5000</v>
      </c>
      <c r="E429" s="1" t="s">
        <v>642</v>
      </c>
      <c r="F429" s="1">
        <v>55.45</v>
      </c>
      <c r="G429" s="1">
        <v>5000</v>
      </c>
      <c r="H429" s="5">
        <f t="shared" si="6"/>
        <v>0</v>
      </c>
      <c r="I429" s="1"/>
      <c r="J429" s="1"/>
      <c r="K429" s="86"/>
    </row>
    <row r="430" spans="1:11" s="372" customFormat="1" ht="15" x14ac:dyDescent="0.25">
      <c r="A430" s="1">
        <v>426</v>
      </c>
      <c r="B430" s="1" t="s">
        <v>606</v>
      </c>
      <c r="C430" s="32">
        <v>4.4699999999999997E-2</v>
      </c>
      <c r="D430" s="1">
        <v>19000</v>
      </c>
      <c r="E430" s="1" t="s">
        <v>642</v>
      </c>
      <c r="F430" s="1">
        <v>197.67</v>
      </c>
      <c r="G430" s="1">
        <v>19000</v>
      </c>
      <c r="H430" s="5">
        <f t="shared" si="6"/>
        <v>0</v>
      </c>
      <c r="I430" s="1"/>
      <c r="J430" s="1"/>
      <c r="K430" s="86"/>
    </row>
    <row r="431" spans="1:11" s="372" customFormat="1" ht="15" x14ac:dyDescent="0.25">
      <c r="A431" s="1">
        <v>427</v>
      </c>
      <c r="B431" s="1" t="s">
        <v>606</v>
      </c>
      <c r="C431" s="32">
        <v>4456</v>
      </c>
      <c r="D431" s="1">
        <v>25000</v>
      </c>
      <c r="E431" s="1" t="s">
        <v>642</v>
      </c>
      <c r="F431" s="1">
        <v>278.22000000000003</v>
      </c>
      <c r="G431" s="1">
        <v>25000</v>
      </c>
      <c r="H431" s="5">
        <f t="shared" si="6"/>
        <v>0</v>
      </c>
      <c r="I431" s="1"/>
      <c r="J431" s="1"/>
      <c r="K431" s="86"/>
    </row>
    <row r="432" spans="1:11" s="372" customFormat="1" ht="15" x14ac:dyDescent="0.25">
      <c r="A432" s="1">
        <v>428</v>
      </c>
      <c r="B432" s="1" t="s">
        <v>606</v>
      </c>
      <c r="C432" s="32">
        <v>7125</v>
      </c>
      <c r="D432" s="1">
        <v>20000</v>
      </c>
      <c r="E432" s="1" t="s">
        <v>642</v>
      </c>
      <c r="F432" s="1">
        <v>222.82</v>
      </c>
      <c r="G432" s="1">
        <v>20000</v>
      </c>
      <c r="H432" s="5">
        <f t="shared" si="6"/>
        <v>0</v>
      </c>
      <c r="I432" s="1"/>
      <c r="J432" s="1"/>
      <c r="K432" s="86"/>
    </row>
    <row r="433" spans="1:15" s="372" customFormat="1" ht="15" x14ac:dyDescent="0.25">
      <c r="A433" s="1">
        <v>429</v>
      </c>
      <c r="B433" s="1" t="s">
        <v>606</v>
      </c>
      <c r="C433" s="32">
        <v>7736</v>
      </c>
      <c r="D433" s="1">
        <v>10000</v>
      </c>
      <c r="E433" s="1" t="s">
        <v>642</v>
      </c>
      <c r="F433" s="1">
        <v>111.41</v>
      </c>
      <c r="G433" s="1">
        <v>10000</v>
      </c>
      <c r="H433" s="5">
        <f t="shared" si="6"/>
        <v>0</v>
      </c>
      <c r="I433" s="1"/>
      <c r="J433" s="1"/>
      <c r="K433" s="86"/>
    </row>
    <row r="434" spans="1:15" s="372" customFormat="1" ht="15" x14ac:dyDescent="0.25">
      <c r="A434" s="1">
        <v>430</v>
      </c>
      <c r="B434" s="1" t="s">
        <v>606</v>
      </c>
      <c r="C434" s="32">
        <v>6365</v>
      </c>
      <c r="D434" s="1">
        <v>22000</v>
      </c>
      <c r="E434" s="1" t="s">
        <v>642</v>
      </c>
      <c r="F434" s="1">
        <v>245.34</v>
      </c>
      <c r="G434" s="1">
        <v>22000</v>
      </c>
      <c r="H434" s="5">
        <f t="shared" si="6"/>
        <v>0</v>
      </c>
      <c r="I434" s="1"/>
      <c r="J434" s="1"/>
      <c r="K434" s="86"/>
    </row>
    <row r="435" spans="1:15" s="372" customFormat="1" ht="15" x14ac:dyDescent="0.25">
      <c r="A435" s="1">
        <v>431</v>
      </c>
      <c r="B435" s="1" t="s">
        <v>607</v>
      </c>
      <c r="C435" s="32">
        <v>1298</v>
      </c>
      <c r="D435" s="1">
        <v>10000</v>
      </c>
      <c r="E435" s="1" t="s">
        <v>642</v>
      </c>
      <c r="F435" s="1">
        <v>111.41</v>
      </c>
      <c r="G435" s="1">
        <v>10000</v>
      </c>
      <c r="H435" s="5">
        <f t="shared" si="6"/>
        <v>0</v>
      </c>
      <c r="I435" s="1"/>
      <c r="J435" s="1"/>
      <c r="K435" s="86"/>
    </row>
    <row r="436" spans="1:15" s="372" customFormat="1" ht="15" x14ac:dyDescent="0.25">
      <c r="A436" s="1">
        <v>432</v>
      </c>
      <c r="B436" s="1" t="s">
        <v>607</v>
      </c>
      <c r="C436" s="32" t="s">
        <v>586</v>
      </c>
      <c r="D436" s="1">
        <v>2301</v>
      </c>
      <c r="E436" s="1" t="s">
        <v>642</v>
      </c>
      <c r="F436" s="1">
        <v>25.69</v>
      </c>
      <c r="G436" s="1">
        <v>2301</v>
      </c>
      <c r="H436" s="5">
        <f t="shared" si="6"/>
        <v>0</v>
      </c>
      <c r="I436" s="1"/>
      <c r="J436" s="1"/>
      <c r="K436" s="86"/>
    </row>
    <row r="437" spans="1:15" s="372" customFormat="1" ht="15" x14ac:dyDescent="0.25">
      <c r="A437" s="1">
        <v>433</v>
      </c>
      <c r="B437" s="1" t="s">
        <v>607</v>
      </c>
      <c r="C437" s="32">
        <v>2028</v>
      </c>
      <c r="D437" s="1">
        <v>21000</v>
      </c>
      <c r="E437" s="1" t="s">
        <v>642</v>
      </c>
      <c r="F437" s="1">
        <v>234.65</v>
      </c>
      <c r="G437" s="1">
        <v>21000</v>
      </c>
      <c r="H437" s="5">
        <f t="shared" si="6"/>
        <v>0</v>
      </c>
      <c r="I437" s="1"/>
      <c r="J437" s="1"/>
      <c r="K437" s="86"/>
    </row>
    <row r="438" spans="1:15" s="372" customFormat="1" ht="15" x14ac:dyDescent="0.25">
      <c r="A438" s="1">
        <v>434</v>
      </c>
      <c r="B438" s="1" t="s">
        <v>607</v>
      </c>
      <c r="C438" s="32">
        <v>2379</v>
      </c>
      <c r="D438" s="1">
        <v>25000</v>
      </c>
      <c r="E438" s="1" t="s">
        <v>642</v>
      </c>
      <c r="F438" s="1">
        <v>278.22000000000003</v>
      </c>
      <c r="G438" s="1">
        <v>25000</v>
      </c>
      <c r="H438" s="5">
        <f t="shared" si="6"/>
        <v>0</v>
      </c>
      <c r="I438" s="1"/>
      <c r="J438" s="1"/>
      <c r="K438" s="86"/>
    </row>
    <row r="439" spans="1:15" s="372" customFormat="1" ht="15" x14ac:dyDescent="0.25">
      <c r="A439" s="1">
        <v>435</v>
      </c>
      <c r="B439" s="1" t="s">
        <v>607</v>
      </c>
      <c r="C439" s="32">
        <v>6744</v>
      </c>
      <c r="D439" s="1">
        <v>29000</v>
      </c>
      <c r="E439" s="1" t="s">
        <v>642</v>
      </c>
      <c r="F439" s="1">
        <v>323.37</v>
      </c>
      <c r="G439" s="1">
        <v>29000</v>
      </c>
      <c r="H439" s="5">
        <f t="shared" si="6"/>
        <v>0</v>
      </c>
      <c r="I439" s="1"/>
      <c r="J439" s="1"/>
      <c r="K439" s="86"/>
    </row>
    <row r="440" spans="1:15" s="372" customFormat="1" ht="15" x14ac:dyDescent="0.25">
      <c r="A440" s="1">
        <v>436</v>
      </c>
      <c r="B440" s="1" t="s">
        <v>607</v>
      </c>
      <c r="C440" s="32">
        <v>5515</v>
      </c>
      <c r="D440" s="1">
        <v>29000</v>
      </c>
      <c r="E440" s="1" t="s">
        <v>642</v>
      </c>
      <c r="F440" s="1">
        <v>323.37</v>
      </c>
      <c r="G440" s="1">
        <v>29000</v>
      </c>
      <c r="H440" s="5">
        <f t="shared" si="6"/>
        <v>0</v>
      </c>
      <c r="I440" s="1"/>
      <c r="J440" s="1"/>
      <c r="K440" s="86"/>
    </row>
    <row r="441" spans="1:15" s="372" customFormat="1" ht="15" x14ac:dyDescent="0.25">
      <c r="A441" s="1">
        <v>437</v>
      </c>
      <c r="B441" s="1" t="s">
        <v>607</v>
      </c>
      <c r="C441" s="32">
        <v>3.5000000000000003E-2</v>
      </c>
      <c r="D441" s="1">
        <v>30000</v>
      </c>
      <c r="E441" s="1" t="s">
        <v>642</v>
      </c>
      <c r="F441" s="1">
        <v>334.68</v>
      </c>
      <c r="G441" s="1">
        <v>30000</v>
      </c>
      <c r="H441" s="5">
        <f t="shared" si="6"/>
        <v>0</v>
      </c>
      <c r="I441" s="1"/>
      <c r="J441" s="1"/>
      <c r="K441" s="86"/>
    </row>
    <row r="442" spans="1:15" s="372" customFormat="1" ht="15" x14ac:dyDescent="0.25">
      <c r="A442" s="1">
        <v>438</v>
      </c>
      <c r="B442" s="1" t="s">
        <v>607</v>
      </c>
      <c r="C442" s="32">
        <v>3969</v>
      </c>
      <c r="D442" s="1">
        <v>22000</v>
      </c>
      <c r="E442" s="1" t="s">
        <v>642</v>
      </c>
      <c r="F442" s="1">
        <v>245.34</v>
      </c>
      <c r="G442" s="1">
        <v>22000</v>
      </c>
      <c r="H442" s="5">
        <f t="shared" si="6"/>
        <v>0</v>
      </c>
      <c r="I442" s="1"/>
      <c r="J442" s="1"/>
      <c r="K442" s="86"/>
    </row>
    <row r="443" spans="1:15" s="372" customFormat="1" ht="15" x14ac:dyDescent="0.25">
      <c r="A443" s="1">
        <v>439</v>
      </c>
      <c r="B443" s="1" t="s">
        <v>607</v>
      </c>
      <c r="C443" s="32">
        <v>2529</v>
      </c>
      <c r="D443" s="1">
        <v>15000</v>
      </c>
      <c r="E443" s="1" t="s">
        <v>642</v>
      </c>
      <c r="F443" s="1">
        <v>167.15</v>
      </c>
      <c r="G443" s="1">
        <v>15000</v>
      </c>
      <c r="H443" s="5">
        <f t="shared" si="6"/>
        <v>0</v>
      </c>
      <c r="I443" s="1"/>
      <c r="J443" s="1"/>
      <c r="K443" s="86"/>
    </row>
    <row r="444" spans="1:15" s="372" customFormat="1" ht="15" x14ac:dyDescent="0.25">
      <c r="A444" s="1">
        <v>440</v>
      </c>
      <c r="B444" s="1" t="s">
        <v>607</v>
      </c>
      <c r="C444" s="32">
        <v>9574</v>
      </c>
      <c r="D444" s="1">
        <v>25000</v>
      </c>
      <c r="E444" s="1" t="s">
        <v>642</v>
      </c>
      <c r="F444" s="1">
        <v>278.22000000000003</v>
      </c>
      <c r="G444" s="1">
        <v>25000</v>
      </c>
      <c r="H444" s="5">
        <f t="shared" si="6"/>
        <v>0</v>
      </c>
      <c r="I444" s="1"/>
      <c r="J444" s="1"/>
      <c r="K444" s="86"/>
    </row>
    <row r="445" spans="1:15" s="372" customFormat="1" ht="15.75" thickBot="1" x14ac:dyDescent="0.3">
      <c r="A445" s="1">
        <v>441</v>
      </c>
      <c r="B445" s="1" t="s">
        <v>607</v>
      </c>
      <c r="C445" s="32">
        <v>6474</v>
      </c>
      <c r="D445" s="1">
        <v>10000</v>
      </c>
      <c r="E445" s="1" t="s">
        <v>642</v>
      </c>
      <c r="F445" s="1">
        <v>111.41</v>
      </c>
      <c r="G445" s="1">
        <v>10000</v>
      </c>
      <c r="H445" s="5">
        <f t="shared" si="6"/>
        <v>0</v>
      </c>
      <c r="I445" s="1"/>
      <c r="J445" s="1"/>
      <c r="K445" s="86"/>
    </row>
    <row r="446" spans="1:15" s="372" customFormat="1" ht="15.75" thickBot="1" x14ac:dyDescent="0.3">
      <c r="A446" s="1">
        <v>442</v>
      </c>
      <c r="B446" s="1" t="s">
        <v>607</v>
      </c>
      <c r="C446" s="32">
        <v>6427</v>
      </c>
      <c r="D446" s="1">
        <v>20000</v>
      </c>
      <c r="E446" s="1" t="s">
        <v>642</v>
      </c>
      <c r="F446" s="1">
        <v>222.82</v>
      </c>
      <c r="G446" s="1">
        <v>20000</v>
      </c>
      <c r="H446" s="5">
        <f t="shared" si="6"/>
        <v>0</v>
      </c>
      <c r="I446" s="1"/>
      <c r="J446" s="1"/>
      <c r="K446" s="86">
        <f>2590439-2460580</f>
        <v>129859</v>
      </c>
      <c r="L446" s="358" t="s">
        <v>608</v>
      </c>
      <c r="M446" s="359"/>
      <c r="N446" s="367" t="s">
        <v>601</v>
      </c>
      <c r="O446" s="360">
        <f>133610-129859</f>
        <v>3751</v>
      </c>
    </row>
    <row r="447" spans="1:15" s="373" customFormat="1" ht="15" x14ac:dyDescent="0.25">
      <c r="A447" s="1">
        <v>443</v>
      </c>
      <c r="B447" s="1" t="s">
        <v>609</v>
      </c>
      <c r="C447" s="32">
        <v>7190</v>
      </c>
      <c r="D447" s="1">
        <v>20000</v>
      </c>
      <c r="E447" s="1" t="s">
        <v>642</v>
      </c>
      <c r="F447" s="1">
        <v>222.82</v>
      </c>
      <c r="G447" s="1">
        <v>20000</v>
      </c>
      <c r="H447" s="5">
        <f t="shared" si="6"/>
        <v>0</v>
      </c>
      <c r="I447" s="1"/>
      <c r="J447" s="1"/>
      <c r="K447" s="86"/>
    </row>
    <row r="448" spans="1:15" s="373" customFormat="1" ht="15" x14ac:dyDescent="0.25">
      <c r="A448" s="1">
        <v>444</v>
      </c>
      <c r="B448" s="1" t="s">
        <v>609</v>
      </c>
      <c r="C448" s="32">
        <v>9903</v>
      </c>
      <c r="D448" s="1">
        <v>20000</v>
      </c>
      <c r="E448" s="1" t="s">
        <v>642</v>
      </c>
      <c r="F448" s="1">
        <v>222.82</v>
      </c>
      <c r="G448" s="1">
        <v>20000</v>
      </c>
      <c r="H448" s="5">
        <f t="shared" si="6"/>
        <v>0</v>
      </c>
      <c r="I448" s="1"/>
      <c r="J448" s="1"/>
      <c r="K448" s="86"/>
    </row>
    <row r="449" spans="1:15" s="373" customFormat="1" ht="15" x14ac:dyDescent="0.25">
      <c r="A449" s="1">
        <v>445</v>
      </c>
      <c r="B449" s="1" t="s">
        <v>609</v>
      </c>
      <c r="C449" s="32">
        <v>8291</v>
      </c>
      <c r="D449" s="1">
        <v>10800</v>
      </c>
      <c r="E449" s="1" t="s">
        <v>642</v>
      </c>
      <c r="F449" s="1">
        <v>120.65</v>
      </c>
      <c r="G449" s="1">
        <v>10800</v>
      </c>
      <c r="H449" s="5">
        <f t="shared" si="6"/>
        <v>0</v>
      </c>
      <c r="I449" s="1"/>
      <c r="J449" s="1"/>
      <c r="K449" s="86"/>
    </row>
    <row r="450" spans="1:15" s="373" customFormat="1" ht="15" x14ac:dyDescent="0.25">
      <c r="A450" s="1">
        <v>446</v>
      </c>
      <c r="B450" s="1" t="s">
        <v>609</v>
      </c>
      <c r="C450" s="32">
        <v>8513</v>
      </c>
      <c r="D450" s="1">
        <v>10400</v>
      </c>
      <c r="E450" s="1" t="s">
        <v>642</v>
      </c>
      <c r="F450" s="1">
        <v>115.64</v>
      </c>
      <c r="G450" s="1">
        <v>10400</v>
      </c>
      <c r="H450" s="5">
        <f t="shared" si="6"/>
        <v>0</v>
      </c>
      <c r="I450" s="1"/>
      <c r="J450" s="1"/>
      <c r="K450" s="86"/>
    </row>
    <row r="451" spans="1:15" s="373" customFormat="1" ht="15" x14ac:dyDescent="0.25">
      <c r="A451" s="1">
        <v>447</v>
      </c>
      <c r="B451" s="1" t="s">
        <v>609</v>
      </c>
      <c r="C451" s="32">
        <v>7896</v>
      </c>
      <c r="D451" s="1">
        <v>10378</v>
      </c>
      <c r="E451" s="1" t="s">
        <v>642</v>
      </c>
      <c r="F451" s="1">
        <v>115.98</v>
      </c>
      <c r="G451" s="1">
        <v>10378</v>
      </c>
      <c r="H451" s="5">
        <f t="shared" si="6"/>
        <v>0</v>
      </c>
      <c r="I451" s="1"/>
      <c r="J451" s="1"/>
      <c r="K451" s="86"/>
    </row>
    <row r="452" spans="1:15" s="373" customFormat="1" ht="15" x14ac:dyDescent="0.25">
      <c r="A452" s="1">
        <v>448</v>
      </c>
      <c r="B452" s="1" t="s">
        <v>609</v>
      </c>
      <c r="C452" s="32">
        <v>5841</v>
      </c>
      <c r="D452" s="1">
        <v>26000</v>
      </c>
      <c r="E452" s="1" t="s">
        <v>642</v>
      </c>
      <c r="F452" s="1">
        <v>289.57</v>
      </c>
      <c r="G452" s="1">
        <v>26000</v>
      </c>
      <c r="H452" s="5">
        <f t="shared" si="6"/>
        <v>0</v>
      </c>
      <c r="I452" s="1"/>
      <c r="J452" s="1"/>
      <c r="K452" s="86"/>
    </row>
    <row r="453" spans="1:15" s="373" customFormat="1" ht="15" x14ac:dyDescent="0.25">
      <c r="A453" s="1">
        <v>449</v>
      </c>
      <c r="B453" s="1" t="s">
        <v>609</v>
      </c>
      <c r="C453" s="32">
        <v>2554</v>
      </c>
      <c r="D453" s="1">
        <v>26000</v>
      </c>
      <c r="E453" s="1" t="s">
        <v>642</v>
      </c>
      <c r="F453" s="1">
        <v>289.57</v>
      </c>
      <c r="G453" s="1">
        <v>26000</v>
      </c>
      <c r="H453" s="5">
        <f t="shared" si="6"/>
        <v>0</v>
      </c>
      <c r="I453" s="1"/>
      <c r="J453" s="1"/>
      <c r="K453" s="86"/>
    </row>
    <row r="454" spans="1:15" s="373" customFormat="1" ht="15" x14ac:dyDescent="0.25">
      <c r="A454" s="1">
        <v>450</v>
      </c>
      <c r="B454" s="1" t="s">
        <v>609</v>
      </c>
      <c r="C454" s="32">
        <v>5209</v>
      </c>
      <c r="D454" s="1">
        <v>5000</v>
      </c>
      <c r="E454" s="1" t="s">
        <v>642</v>
      </c>
      <c r="F454" s="1">
        <v>55.45</v>
      </c>
      <c r="G454" s="1">
        <v>5000</v>
      </c>
      <c r="H454" s="5">
        <f t="shared" si="6"/>
        <v>0</v>
      </c>
      <c r="I454" s="1"/>
      <c r="J454" s="1"/>
      <c r="K454" s="86"/>
    </row>
    <row r="455" spans="1:15" s="373" customFormat="1" ht="15" x14ac:dyDescent="0.25">
      <c r="A455" s="1">
        <v>451</v>
      </c>
      <c r="B455" s="1" t="s">
        <v>609</v>
      </c>
      <c r="C455" s="32">
        <v>2.0299999999999999E-2</v>
      </c>
      <c r="D455" s="1">
        <v>24000</v>
      </c>
      <c r="E455" s="1" t="s">
        <v>642</v>
      </c>
      <c r="F455" s="1">
        <v>267.67</v>
      </c>
      <c r="G455" s="1">
        <v>24000</v>
      </c>
      <c r="H455" s="5">
        <f t="shared" si="6"/>
        <v>0</v>
      </c>
      <c r="I455" s="1"/>
      <c r="J455" s="1"/>
      <c r="K455" s="86"/>
    </row>
    <row r="456" spans="1:15" s="373" customFormat="1" ht="15" x14ac:dyDescent="0.25">
      <c r="A456" s="1">
        <v>452</v>
      </c>
      <c r="B456" s="1" t="s">
        <v>609</v>
      </c>
      <c r="C456" s="32">
        <v>6766</v>
      </c>
      <c r="D456" s="1">
        <v>20000</v>
      </c>
      <c r="E456" s="1" t="s">
        <v>642</v>
      </c>
      <c r="F456" s="1">
        <v>222.82</v>
      </c>
      <c r="G456" s="1">
        <v>20000</v>
      </c>
      <c r="H456" s="5">
        <f t="shared" si="6"/>
        <v>0</v>
      </c>
      <c r="I456" s="1"/>
      <c r="J456" s="1"/>
      <c r="K456" s="86"/>
    </row>
    <row r="457" spans="1:15" s="373" customFormat="1" ht="15" x14ac:dyDescent="0.25">
      <c r="A457" s="1">
        <v>453</v>
      </c>
      <c r="B457" s="1" t="s">
        <v>609</v>
      </c>
      <c r="C457" s="32">
        <v>5356</v>
      </c>
      <c r="D457" s="1">
        <v>20000</v>
      </c>
      <c r="E457" s="1" t="s">
        <v>642</v>
      </c>
      <c r="F457" s="1">
        <v>222.82</v>
      </c>
      <c r="G457" s="1">
        <v>20000</v>
      </c>
      <c r="H457" s="5">
        <f t="shared" si="6"/>
        <v>0</v>
      </c>
      <c r="I457" s="1"/>
      <c r="J457" s="1"/>
      <c r="K457" s="86"/>
    </row>
    <row r="458" spans="1:15" s="373" customFormat="1" ht="15" x14ac:dyDescent="0.25">
      <c r="A458" s="1">
        <v>454</v>
      </c>
      <c r="B458" s="1" t="s">
        <v>609</v>
      </c>
      <c r="C458" s="32">
        <v>6461</v>
      </c>
      <c r="D458" s="1">
        <v>28000</v>
      </c>
      <c r="E458" s="1" t="s">
        <v>642</v>
      </c>
      <c r="F458" s="1">
        <v>311.37</v>
      </c>
      <c r="G458" s="1">
        <v>28000</v>
      </c>
      <c r="H458" s="5">
        <f t="shared" si="6"/>
        <v>0</v>
      </c>
      <c r="I458" s="1"/>
      <c r="J458" s="1"/>
      <c r="K458" s="86"/>
    </row>
    <row r="459" spans="1:15" s="373" customFormat="1" ht="15" x14ac:dyDescent="0.25">
      <c r="A459" s="1">
        <v>455</v>
      </c>
      <c r="B459" s="1" t="s">
        <v>609</v>
      </c>
      <c r="C459" s="32">
        <v>3317</v>
      </c>
      <c r="D459" s="1">
        <v>28000</v>
      </c>
      <c r="E459" s="1" t="s">
        <v>642</v>
      </c>
      <c r="F459" s="1">
        <v>311.37</v>
      </c>
      <c r="G459" s="1">
        <v>28000</v>
      </c>
      <c r="H459" s="5">
        <f t="shared" si="6"/>
        <v>0</v>
      </c>
      <c r="I459" s="1"/>
      <c r="J459" s="1"/>
      <c r="K459" s="86"/>
    </row>
    <row r="460" spans="1:15" s="373" customFormat="1" ht="15" x14ac:dyDescent="0.25">
      <c r="A460" s="1">
        <v>456</v>
      </c>
      <c r="B460" s="1" t="s">
        <v>609</v>
      </c>
      <c r="C460" s="32">
        <v>7455</v>
      </c>
      <c r="D460" s="1">
        <v>5000</v>
      </c>
      <c r="E460" s="1" t="s">
        <v>642</v>
      </c>
      <c r="F460" s="1">
        <v>55.45</v>
      </c>
      <c r="G460" s="1">
        <v>5000</v>
      </c>
      <c r="H460" s="5">
        <f t="shared" si="6"/>
        <v>0</v>
      </c>
      <c r="I460" s="1"/>
      <c r="J460" s="1"/>
      <c r="K460" s="86"/>
    </row>
    <row r="461" spans="1:15" s="373" customFormat="1" ht="15.75" thickBot="1" x14ac:dyDescent="0.3">
      <c r="A461" s="1">
        <v>457</v>
      </c>
      <c r="B461" s="1" t="s">
        <v>609</v>
      </c>
      <c r="C461" s="32">
        <v>2.4899999999999999E-2</v>
      </c>
      <c r="D461" s="1">
        <v>19000</v>
      </c>
      <c r="E461" s="1" t="s">
        <v>642</v>
      </c>
      <c r="F461" s="1">
        <v>211.75</v>
      </c>
      <c r="G461" s="1">
        <v>19000</v>
      </c>
      <c r="H461" s="5">
        <f t="shared" si="6"/>
        <v>0</v>
      </c>
      <c r="I461" s="1"/>
      <c r="J461" s="1"/>
      <c r="K461" s="86"/>
    </row>
    <row r="462" spans="1:15" s="373" customFormat="1" ht="15.75" thickBot="1" x14ac:dyDescent="0.3">
      <c r="A462" s="1">
        <v>458</v>
      </c>
      <c r="B462" s="1" t="s">
        <v>609</v>
      </c>
      <c r="C462" s="32" t="s">
        <v>587</v>
      </c>
      <c r="D462" s="1">
        <v>210</v>
      </c>
      <c r="E462" s="1" t="s">
        <v>642</v>
      </c>
      <c r="F462" s="1">
        <v>2.08</v>
      </c>
      <c r="G462" s="1">
        <v>210</v>
      </c>
      <c r="H462" s="5">
        <f t="shared" si="6"/>
        <v>0</v>
      </c>
      <c r="I462" s="1"/>
      <c r="J462" s="1"/>
      <c r="K462" s="86">
        <f>2339633-2233368</f>
        <v>106265</v>
      </c>
      <c r="L462" s="358" t="s">
        <v>610</v>
      </c>
      <c r="M462" s="359"/>
      <c r="N462" s="367" t="s">
        <v>601</v>
      </c>
      <c r="O462" s="360">
        <f>110015-106265</f>
        <v>3750</v>
      </c>
    </row>
    <row r="463" spans="1:15" s="374" customFormat="1" ht="15" x14ac:dyDescent="0.25">
      <c r="A463" s="1">
        <v>459</v>
      </c>
      <c r="B463" s="1" t="s">
        <v>611</v>
      </c>
      <c r="C463" s="32" t="s">
        <v>586</v>
      </c>
      <c r="D463" s="1">
        <v>2500</v>
      </c>
      <c r="E463" s="1" t="s">
        <v>642</v>
      </c>
      <c r="F463" s="1">
        <v>27.55</v>
      </c>
      <c r="G463" s="1">
        <v>2500</v>
      </c>
      <c r="H463" s="5">
        <f t="shared" si="6"/>
        <v>0</v>
      </c>
      <c r="I463" s="1"/>
      <c r="J463" s="1"/>
      <c r="K463" s="86"/>
    </row>
    <row r="464" spans="1:15" s="374" customFormat="1" ht="15" x14ac:dyDescent="0.25">
      <c r="A464" s="1">
        <v>460</v>
      </c>
      <c r="B464" s="1" t="s">
        <v>611</v>
      </c>
      <c r="C464" s="32">
        <v>9.7299999999999998E-2</v>
      </c>
      <c r="D464" s="1">
        <v>33000</v>
      </c>
      <c r="E464" s="1" t="s">
        <v>642</v>
      </c>
      <c r="F464" s="1">
        <v>367.57</v>
      </c>
      <c r="G464" s="1">
        <v>33000</v>
      </c>
      <c r="H464" s="5">
        <f t="shared" si="6"/>
        <v>0</v>
      </c>
      <c r="I464" s="1"/>
      <c r="J464" s="1"/>
      <c r="K464" s="86"/>
    </row>
    <row r="465" spans="1:11" s="374" customFormat="1" ht="15" x14ac:dyDescent="0.25">
      <c r="A465" s="1">
        <v>461</v>
      </c>
      <c r="B465" s="1" t="s">
        <v>611</v>
      </c>
      <c r="C465" s="32" t="s">
        <v>30</v>
      </c>
      <c r="D465" s="1">
        <v>4500</v>
      </c>
      <c r="E465" s="1" t="s">
        <v>642</v>
      </c>
      <c r="F465" s="1">
        <v>50.45</v>
      </c>
      <c r="G465" s="1">
        <v>4500</v>
      </c>
      <c r="H465" s="5">
        <f t="shared" si="6"/>
        <v>0</v>
      </c>
      <c r="I465" s="1"/>
      <c r="J465" s="1"/>
      <c r="K465" s="86"/>
    </row>
    <row r="466" spans="1:11" s="374" customFormat="1" ht="15" x14ac:dyDescent="0.25">
      <c r="A466" s="1">
        <v>462</v>
      </c>
      <c r="B466" s="1" t="s">
        <v>611</v>
      </c>
      <c r="C466" s="32" t="s">
        <v>30</v>
      </c>
      <c r="D466" s="1">
        <v>5000</v>
      </c>
      <c r="E466" s="1" t="s">
        <v>642</v>
      </c>
      <c r="F466" s="1">
        <v>55.65</v>
      </c>
      <c r="G466" s="1">
        <v>5000</v>
      </c>
      <c r="H466" s="5">
        <f t="shared" si="6"/>
        <v>0</v>
      </c>
      <c r="I466" s="1"/>
      <c r="J466" s="1"/>
      <c r="K466" s="86"/>
    </row>
    <row r="467" spans="1:11" s="374" customFormat="1" ht="15" x14ac:dyDescent="0.25">
      <c r="A467" s="1">
        <v>463</v>
      </c>
      <c r="B467" s="1" t="s">
        <v>611</v>
      </c>
      <c r="C467" s="32">
        <v>4159</v>
      </c>
      <c r="D467" s="1">
        <v>18000</v>
      </c>
      <c r="E467" s="1" t="s">
        <v>642</v>
      </c>
      <c r="F467" s="1">
        <v>200.74</v>
      </c>
      <c r="G467" s="1">
        <v>18000</v>
      </c>
      <c r="H467" s="5">
        <f t="shared" si="6"/>
        <v>0</v>
      </c>
      <c r="I467" s="1"/>
      <c r="J467" s="1"/>
      <c r="K467" s="86"/>
    </row>
    <row r="468" spans="1:11" s="374" customFormat="1" ht="15" x14ac:dyDescent="0.25">
      <c r="A468" s="1">
        <v>464</v>
      </c>
      <c r="B468" s="1" t="s">
        <v>611</v>
      </c>
      <c r="C468" s="32">
        <v>8094</v>
      </c>
      <c r="D468" s="1">
        <v>25000</v>
      </c>
      <c r="E468" s="1" t="s">
        <v>642</v>
      </c>
      <c r="F468" s="1">
        <v>278.22000000000003</v>
      </c>
      <c r="G468" s="1">
        <v>25000</v>
      </c>
      <c r="H468" s="5">
        <f t="shared" si="6"/>
        <v>0</v>
      </c>
      <c r="I468" s="1"/>
      <c r="J468" s="1"/>
      <c r="K468" s="86"/>
    </row>
    <row r="469" spans="1:11" s="374" customFormat="1" ht="15" x14ac:dyDescent="0.25">
      <c r="A469" s="1">
        <v>465</v>
      </c>
      <c r="B469" s="1" t="s">
        <v>611</v>
      </c>
      <c r="C469" s="32">
        <v>2.2800000000000001E-2</v>
      </c>
      <c r="D469" s="294">
        <v>15000</v>
      </c>
      <c r="E469" s="1" t="s">
        <v>642</v>
      </c>
      <c r="F469" s="1">
        <v>167.15</v>
      </c>
      <c r="G469" s="1">
        <v>15000</v>
      </c>
      <c r="H469" s="5">
        <f t="shared" si="6"/>
        <v>0</v>
      </c>
      <c r="I469" s="1"/>
      <c r="J469" s="1"/>
      <c r="K469" s="86"/>
    </row>
    <row r="470" spans="1:11" s="374" customFormat="1" ht="15" x14ac:dyDescent="0.25">
      <c r="A470" s="1">
        <v>466</v>
      </c>
      <c r="B470" s="1" t="s">
        <v>611</v>
      </c>
      <c r="C470" s="32">
        <v>2787</v>
      </c>
      <c r="D470" s="1">
        <v>32000</v>
      </c>
      <c r="E470" s="1" t="s">
        <v>642</v>
      </c>
      <c r="F470" s="1">
        <v>345.47</v>
      </c>
      <c r="G470" s="1">
        <v>32000</v>
      </c>
      <c r="H470" s="5">
        <f t="shared" si="6"/>
        <v>0</v>
      </c>
      <c r="I470" s="1"/>
      <c r="J470" s="1"/>
      <c r="K470" s="86"/>
    </row>
    <row r="471" spans="1:11" s="374" customFormat="1" ht="15" x14ac:dyDescent="0.25">
      <c r="A471" s="1">
        <v>467</v>
      </c>
      <c r="B471" s="1" t="s">
        <v>611</v>
      </c>
      <c r="C471" s="32">
        <v>7408</v>
      </c>
      <c r="D471" s="1">
        <v>20000</v>
      </c>
      <c r="E471" s="1" t="s">
        <v>642</v>
      </c>
      <c r="F471" s="1">
        <v>222.82</v>
      </c>
      <c r="G471" s="1">
        <v>20000</v>
      </c>
      <c r="H471" s="5">
        <f t="shared" si="6"/>
        <v>0</v>
      </c>
      <c r="I471" s="1"/>
      <c r="J471" s="1"/>
      <c r="K471" s="86"/>
    </row>
    <row r="472" spans="1:11" s="374" customFormat="1" ht="15" x14ac:dyDescent="0.25">
      <c r="A472" s="1">
        <v>468</v>
      </c>
      <c r="B472" s="1" t="s">
        <v>611</v>
      </c>
      <c r="C472" s="32">
        <v>6218</v>
      </c>
      <c r="D472" s="1">
        <v>36000</v>
      </c>
      <c r="E472" s="1" t="s">
        <v>642</v>
      </c>
      <c r="F472" s="1">
        <v>386.67</v>
      </c>
      <c r="G472" s="1">
        <v>36000</v>
      </c>
      <c r="H472" s="5">
        <f t="shared" si="6"/>
        <v>0</v>
      </c>
      <c r="I472" s="1"/>
      <c r="J472" s="1"/>
      <c r="K472" s="86"/>
    </row>
    <row r="473" spans="1:11" s="374" customFormat="1" ht="15" x14ac:dyDescent="0.25">
      <c r="A473" s="1">
        <v>469</v>
      </c>
      <c r="B473" s="1" t="s">
        <v>611</v>
      </c>
      <c r="C473" s="32">
        <v>6.4000000000000003E-3</v>
      </c>
      <c r="D473" s="1">
        <v>23000</v>
      </c>
      <c r="E473" s="1" t="s">
        <v>642</v>
      </c>
      <c r="F473" s="1">
        <v>242.38</v>
      </c>
      <c r="G473" s="1">
        <v>23000</v>
      </c>
      <c r="H473" s="5">
        <f t="shared" si="6"/>
        <v>0</v>
      </c>
      <c r="I473" s="1"/>
      <c r="J473" s="1"/>
      <c r="K473" s="86"/>
    </row>
    <row r="474" spans="1:11" s="374" customFormat="1" ht="15" x14ac:dyDescent="0.25">
      <c r="A474" s="1">
        <v>470</v>
      </c>
      <c r="B474" s="1" t="s">
        <v>611</v>
      </c>
      <c r="C474" s="32">
        <v>4297</v>
      </c>
      <c r="D474" s="1">
        <v>13000</v>
      </c>
      <c r="E474" s="1" t="s">
        <v>642</v>
      </c>
      <c r="F474" s="1">
        <v>144.13</v>
      </c>
      <c r="G474" s="1">
        <v>13000</v>
      </c>
      <c r="H474" s="5">
        <f t="shared" si="6"/>
        <v>0</v>
      </c>
      <c r="I474" s="1"/>
      <c r="J474" s="1"/>
      <c r="K474" s="86"/>
    </row>
    <row r="475" spans="1:11" s="374" customFormat="1" ht="15" x14ac:dyDescent="0.25">
      <c r="A475" s="1">
        <v>471</v>
      </c>
      <c r="B475" s="1" t="s">
        <v>612</v>
      </c>
      <c r="C475" s="32">
        <v>5965</v>
      </c>
      <c r="D475" s="1">
        <v>10000</v>
      </c>
      <c r="E475" s="1" t="s">
        <v>642</v>
      </c>
      <c r="F475" s="1">
        <v>111.41</v>
      </c>
      <c r="G475" s="1">
        <v>10000</v>
      </c>
      <c r="H475" s="5">
        <f t="shared" si="6"/>
        <v>0</v>
      </c>
      <c r="I475" s="1"/>
      <c r="J475" s="1"/>
      <c r="K475" s="86"/>
    </row>
    <row r="476" spans="1:11" s="374" customFormat="1" ht="15" x14ac:dyDescent="0.25">
      <c r="A476" s="1">
        <v>472</v>
      </c>
      <c r="B476" s="1" t="s">
        <v>612</v>
      </c>
      <c r="C476" s="32">
        <v>7761</v>
      </c>
      <c r="D476" s="1">
        <v>22000</v>
      </c>
      <c r="E476" s="1" t="s">
        <v>642</v>
      </c>
      <c r="F476" s="1">
        <v>245.37</v>
      </c>
      <c r="G476" s="1">
        <v>22000</v>
      </c>
      <c r="H476" s="5">
        <f t="shared" si="6"/>
        <v>0</v>
      </c>
      <c r="I476" s="1"/>
      <c r="J476" s="1"/>
      <c r="K476" s="86"/>
    </row>
    <row r="477" spans="1:11" s="374" customFormat="1" ht="15" x14ac:dyDescent="0.25">
      <c r="A477" s="1">
        <v>473</v>
      </c>
      <c r="B477" s="1" t="s">
        <v>612</v>
      </c>
      <c r="C477" s="32">
        <v>7346</v>
      </c>
      <c r="D477" s="1">
        <v>14000</v>
      </c>
      <c r="E477" s="1" t="s">
        <v>642</v>
      </c>
      <c r="F477" s="1">
        <v>155.84</v>
      </c>
      <c r="G477" s="1">
        <v>14000</v>
      </c>
      <c r="H477" s="5">
        <f t="shared" si="6"/>
        <v>0</v>
      </c>
      <c r="I477" s="1"/>
      <c r="J477" s="1"/>
      <c r="K477" s="86"/>
    </row>
    <row r="478" spans="1:11" s="374" customFormat="1" ht="15" x14ac:dyDescent="0.25">
      <c r="A478" s="1">
        <v>474</v>
      </c>
      <c r="B478" s="1" t="s">
        <v>612</v>
      </c>
      <c r="C478" s="32">
        <v>5890</v>
      </c>
      <c r="D478" s="1">
        <v>19000</v>
      </c>
      <c r="E478" s="1" t="s">
        <v>642</v>
      </c>
      <c r="F478" s="1">
        <v>211.34</v>
      </c>
      <c r="G478" s="1">
        <v>19000</v>
      </c>
      <c r="H478" s="5">
        <f t="shared" si="6"/>
        <v>0</v>
      </c>
      <c r="I478" s="1"/>
      <c r="J478" s="1"/>
      <c r="K478" s="86"/>
    </row>
    <row r="479" spans="1:11" s="374" customFormat="1" ht="15" x14ac:dyDescent="0.25">
      <c r="A479" s="1">
        <v>475</v>
      </c>
      <c r="B479" s="1" t="s">
        <v>612</v>
      </c>
      <c r="C479" s="32">
        <v>2801</v>
      </c>
      <c r="D479" s="1">
        <v>26000</v>
      </c>
      <c r="E479" s="1" t="s">
        <v>642</v>
      </c>
      <c r="F479" s="1">
        <v>267.58</v>
      </c>
      <c r="G479" s="1">
        <v>26000</v>
      </c>
      <c r="H479" s="5">
        <f t="shared" si="6"/>
        <v>0</v>
      </c>
      <c r="I479" s="1"/>
      <c r="J479" s="1"/>
      <c r="K479" s="86"/>
    </row>
    <row r="480" spans="1:11" s="374" customFormat="1" ht="15" x14ac:dyDescent="0.25">
      <c r="A480" s="1">
        <v>476</v>
      </c>
      <c r="B480" s="1" t="s">
        <v>612</v>
      </c>
      <c r="C480" s="32">
        <v>9289</v>
      </c>
      <c r="D480" s="1">
        <v>26000</v>
      </c>
      <c r="E480" s="1" t="s">
        <v>642</v>
      </c>
      <c r="F480" s="1">
        <v>267.58</v>
      </c>
      <c r="G480" s="1">
        <v>26000</v>
      </c>
      <c r="H480" s="5">
        <f t="shared" ref="H480:H546" si="7">D480-G480</f>
        <v>0</v>
      </c>
      <c r="I480" s="1"/>
      <c r="J480" s="1"/>
      <c r="K480" s="86"/>
    </row>
    <row r="481" spans="1:15" s="374" customFormat="1" ht="15" x14ac:dyDescent="0.25">
      <c r="A481" s="1">
        <v>477</v>
      </c>
      <c r="B481" s="1" t="s">
        <v>612</v>
      </c>
      <c r="C481" s="32">
        <v>9924</v>
      </c>
      <c r="D481" s="1">
        <v>25000</v>
      </c>
      <c r="E481" s="1" t="s">
        <v>642</v>
      </c>
      <c r="F481" s="1">
        <v>278.82</v>
      </c>
      <c r="G481" s="1">
        <v>25000</v>
      </c>
      <c r="H481" s="5">
        <f t="shared" si="7"/>
        <v>0</v>
      </c>
      <c r="I481" s="1"/>
      <c r="J481" s="1"/>
      <c r="K481" s="86"/>
    </row>
    <row r="482" spans="1:15" s="374" customFormat="1" ht="15" x14ac:dyDescent="0.25">
      <c r="A482" s="1">
        <v>478</v>
      </c>
      <c r="B482" s="1" t="s">
        <v>612</v>
      </c>
      <c r="C482" s="32">
        <v>3825</v>
      </c>
      <c r="D482" s="1">
        <v>19000</v>
      </c>
      <c r="E482" s="1" t="s">
        <v>642</v>
      </c>
      <c r="F482" s="1">
        <v>211.34</v>
      </c>
      <c r="G482" s="1">
        <v>19000</v>
      </c>
      <c r="H482" s="5">
        <f t="shared" si="7"/>
        <v>0</v>
      </c>
      <c r="I482" s="1"/>
      <c r="J482" s="1"/>
      <c r="K482" s="86"/>
    </row>
    <row r="483" spans="1:15" s="374" customFormat="1" ht="15" x14ac:dyDescent="0.25">
      <c r="A483" s="1">
        <v>479</v>
      </c>
      <c r="B483" s="1" t="s">
        <v>612</v>
      </c>
      <c r="C483" s="32">
        <v>2170</v>
      </c>
      <c r="D483" s="1">
        <v>25000</v>
      </c>
      <c r="E483" s="1" t="s">
        <v>642</v>
      </c>
      <c r="F483" s="1">
        <v>278.22000000000003</v>
      </c>
      <c r="G483" s="1">
        <v>25000</v>
      </c>
      <c r="H483" s="5">
        <f t="shared" si="7"/>
        <v>0</v>
      </c>
      <c r="I483" s="1"/>
      <c r="J483" s="1"/>
      <c r="K483" s="86"/>
    </row>
    <row r="484" spans="1:15" s="374" customFormat="1" ht="15" x14ac:dyDescent="0.25">
      <c r="A484" s="1">
        <v>480</v>
      </c>
      <c r="B484" s="1" t="s">
        <v>612</v>
      </c>
      <c r="C484" s="32">
        <v>5196</v>
      </c>
      <c r="D484" s="1">
        <v>22000</v>
      </c>
      <c r="E484" s="1" t="s">
        <v>642</v>
      </c>
      <c r="F484" s="1">
        <v>245.37</v>
      </c>
      <c r="G484" s="1">
        <v>22000</v>
      </c>
      <c r="H484" s="5">
        <f t="shared" si="7"/>
        <v>0</v>
      </c>
      <c r="I484" s="1"/>
      <c r="J484" s="1"/>
      <c r="K484" s="86"/>
    </row>
    <row r="485" spans="1:15" s="374" customFormat="1" ht="15" x14ac:dyDescent="0.25">
      <c r="A485" s="1">
        <v>481</v>
      </c>
      <c r="B485" s="1" t="s">
        <v>612</v>
      </c>
      <c r="C485" s="32">
        <v>8045</v>
      </c>
      <c r="D485" s="1">
        <v>25000</v>
      </c>
      <c r="E485" s="1" t="s">
        <v>642</v>
      </c>
      <c r="F485" s="1">
        <v>278.22000000000003</v>
      </c>
      <c r="G485" s="1">
        <v>25000</v>
      </c>
      <c r="H485" s="5">
        <f t="shared" si="7"/>
        <v>0</v>
      </c>
      <c r="I485" s="1"/>
      <c r="J485" s="1"/>
      <c r="K485" s="86"/>
    </row>
    <row r="486" spans="1:15" s="374" customFormat="1" ht="15" x14ac:dyDescent="0.25">
      <c r="A486" s="1">
        <v>482</v>
      </c>
      <c r="B486" s="1" t="s">
        <v>612</v>
      </c>
      <c r="C486" s="32">
        <v>9193</v>
      </c>
      <c r="D486" s="1">
        <v>15000</v>
      </c>
      <c r="E486" s="1" t="s">
        <v>642</v>
      </c>
      <c r="F486" s="1">
        <v>167.15</v>
      </c>
      <c r="G486" s="1">
        <v>15000</v>
      </c>
      <c r="H486" s="5">
        <f t="shared" si="7"/>
        <v>0</v>
      </c>
      <c r="I486" s="1"/>
      <c r="J486" s="1"/>
      <c r="K486" s="86"/>
    </row>
    <row r="487" spans="1:15" s="374" customFormat="1" ht="15" x14ac:dyDescent="0.25">
      <c r="A487" s="1">
        <v>483</v>
      </c>
      <c r="B487" s="1" t="s">
        <v>612</v>
      </c>
      <c r="C487" s="32">
        <v>8605</v>
      </c>
      <c r="D487" s="1">
        <v>23000</v>
      </c>
      <c r="E487" s="1" t="s">
        <v>642</v>
      </c>
      <c r="F487" s="1">
        <v>256.92</v>
      </c>
      <c r="G487" s="1">
        <v>23000</v>
      </c>
      <c r="H487" s="5">
        <f t="shared" si="7"/>
        <v>0</v>
      </c>
      <c r="I487" s="1"/>
      <c r="J487" s="1"/>
      <c r="K487" s="86"/>
    </row>
    <row r="488" spans="1:15" s="374" customFormat="1" ht="15" x14ac:dyDescent="0.25">
      <c r="A488" s="1">
        <v>484</v>
      </c>
      <c r="B488" s="1" t="s">
        <v>612</v>
      </c>
      <c r="C488" s="32">
        <v>5.3600000000000002E-2</v>
      </c>
      <c r="D488" s="1">
        <v>17000</v>
      </c>
      <c r="E488" s="1" t="s">
        <v>642</v>
      </c>
      <c r="F488" s="1">
        <v>189.38</v>
      </c>
      <c r="G488" s="1">
        <v>17000</v>
      </c>
      <c r="H488" s="5">
        <f t="shared" si="7"/>
        <v>0</v>
      </c>
      <c r="I488" s="1"/>
      <c r="J488" s="1"/>
      <c r="K488" s="86"/>
    </row>
    <row r="489" spans="1:15" s="374" customFormat="1" ht="15" x14ac:dyDescent="0.25">
      <c r="A489" s="1">
        <v>485</v>
      </c>
      <c r="B489" s="1" t="s">
        <v>612</v>
      </c>
      <c r="C489" s="32">
        <v>9931</v>
      </c>
      <c r="D489" s="1">
        <v>16000</v>
      </c>
      <c r="E489" s="1" t="s">
        <v>642</v>
      </c>
      <c r="F489" s="1">
        <v>178.52</v>
      </c>
      <c r="G489" s="1">
        <v>16000</v>
      </c>
      <c r="H489" s="5">
        <f t="shared" si="7"/>
        <v>0</v>
      </c>
      <c r="I489" s="1"/>
      <c r="J489" s="1"/>
      <c r="K489" s="86"/>
    </row>
    <row r="490" spans="1:15" s="374" customFormat="1" ht="15" x14ac:dyDescent="0.25">
      <c r="A490" s="1">
        <v>486</v>
      </c>
      <c r="B490" s="1" t="s">
        <v>612</v>
      </c>
      <c r="C490" s="32">
        <v>2951</v>
      </c>
      <c r="D490" s="1">
        <v>10000</v>
      </c>
      <c r="E490" s="1" t="s">
        <v>642</v>
      </c>
      <c r="F490" s="1">
        <v>111.41</v>
      </c>
      <c r="G490" s="1">
        <v>10000</v>
      </c>
      <c r="H490" s="5">
        <f t="shared" si="7"/>
        <v>0</v>
      </c>
      <c r="I490" s="1"/>
      <c r="J490" s="1"/>
      <c r="K490" s="86"/>
    </row>
    <row r="491" spans="1:15" s="374" customFormat="1" ht="15" x14ac:dyDescent="0.25">
      <c r="A491" s="1">
        <v>487</v>
      </c>
      <c r="B491" s="1" t="s">
        <v>612</v>
      </c>
      <c r="C491" s="32">
        <v>1.5E-3</v>
      </c>
      <c r="D491" s="1">
        <v>20000</v>
      </c>
      <c r="E491" s="1" t="s">
        <v>642</v>
      </c>
      <c r="F491" s="1">
        <v>222.82</v>
      </c>
      <c r="G491" s="1">
        <v>20000</v>
      </c>
      <c r="H491" s="5">
        <f t="shared" si="7"/>
        <v>0</v>
      </c>
      <c r="I491" s="1"/>
      <c r="J491" s="1"/>
      <c r="K491" s="86"/>
    </row>
    <row r="492" spans="1:15" s="374" customFormat="1" ht="15" x14ac:dyDescent="0.25">
      <c r="A492" s="1">
        <v>488</v>
      </c>
      <c r="B492" s="1" t="s">
        <v>612</v>
      </c>
      <c r="C492" s="32">
        <v>1632</v>
      </c>
      <c r="D492" s="1">
        <v>25000</v>
      </c>
      <c r="E492" s="1" t="s">
        <v>642</v>
      </c>
      <c r="F492" s="1">
        <v>278.22000000000003</v>
      </c>
      <c r="G492" s="1">
        <v>25000</v>
      </c>
      <c r="H492" s="5">
        <f t="shared" si="7"/>
        <v>0</v>
      </c>
      <c r="I492" s="1"/>
      <c r="J492" s="1"/>
      <c r="K492" s="86"/>
    </row>
    <row r="493" spans="1:15" s="374" customFormat="1" ht="15" x14ac:dyDescent="0.25">
      <c r="A493" s="1">
        <v>489</v>
      </c>
      <c r="B493" s="1" t="s">
        <v>612</v>
      </c>
      <c r="C493" s="32">
        <v>4.2500000000000003E-2</v>
      </c>
      <c r="D493" s="1">
        <v>25000</v>
      </c>
      <c r="E493" s="1" t="s">
        <v>642</v>
      </c>
      <c r="F493" s="1">
        <v>278.22000000000003</v>
      </c>
      <c r="G493" s="1">
        <v>25000</v>
      </c>
      <c r="H493" s="5">
        <f t="shared" si="7"/>
        <v>0</v>
      </c>
      <c r="I493" s="1"/>
      <c r="J493" s="1"/>
      <c r="K493" s="86"/>
    </row>
    <row r="494" spans="1:15" s="374" customFormat="1" ht="15" x14ac:dyDescent="0.25">
      <c r="A494" s="1">
        <v>490</v>
      </c>
      <c r="B494" s="1" t="s">
        <v>612</v>
      </c>
      <c r="C494" s="32">
        <v>3841</v>
      </c>
      <c r="D494" s="1">
        <v>25000</v>
      </c>
      <c r="E494" s="1" t="s">
        <v>642</v>
      </c>
      <c r="F494" s="1">
        <v>278.22000000000003</v>
      </c>
      <c r="G494" s="1">
        <v>25000</v>
      </c>
      <c r="H494" s="5">
        <f t="shared" si="7"/>
        <v>0</v>
      </c>
      <c r="I494" s="1"/>
      <c r="J494" s="1"/>
      <c r="K494" s="86"/>
    </row>
    <row r="495" spans="1:15" s="374" customFormat="1" ht="15.75" thickBot="1" x14ac:dyDescent="0.3">
      <c r="A495" s="1">
        <v>491</v>
      </c>
      <c r="B495" s="1" t="s">
        <v>612</v>
      </c>
      <c r="C495" s="32">
        <v>2533</v>
      </c>
      <c r="D495" s="1">
        <v>25000</v>
      </c>
      <c r="E495" s="1" t="s">
        <v>642</v>
      </c>
      <c r="F495" s="1">
        <v>278.22000000000003</v>
      </c>
      <c r="G495" s="1">
        <v>25000</v>
      </c>
      <c r="H495" s="5">
        <f t="shared" si="7"/>
        <v>0</v>
      </c>
      <c r="I495" s="1"/>
      <c r="J495" s="1"/>
      <c r="K495" s="86"/>
    </row>
    <row r="496" spans="1:15" s="374" customFormat="1" ht="15.75" thickBot="1" x14ac:dyDescent="0.3">
      <c r="A496" s="1">
        <v>492</v>
      </c>
      <c r="B496" s="1" t="s">
        <v>612</v>
      </c>
      <c r="C496" s="32">
        <v>4727</v>
      </c>
      <c r="D496" s="1">
        <v>24000</v>
      </c>
      <c r="E496" s="1" t="s">
        <v>642</v>
      </c>
      <c r="F496" s="1">
        <v>267.57</v>
      </c>
      <c r="G496" s="1">
        <v>24000</v>
      </c>
      <c r="H496" s="5">
        <f t="shared" si="7"/>
        <v>0</v>
      </c>
      <c r="I496" s="1"/>
      <c r="J496" s="1"/>
      <c r="K496" s="86">
        <f>2233775-2218368</f>
        <v>15407</v>
      </c>
      <c r="L496" s="358" t="s">
        <v>613</v>
      </c>
      <c r="M496" s="359"/>
      <c r="N496" s="367" t="s">
        <v>601</v>
      </c>
      <c r="O496" s="360">
        <f>19155-15407</f>
        <v>3748</v>
      </c>
    </row>
    <row r="497" spans="1:11" s="375" customFormat="1" ht="15" x14ac:dyDescent="0.25">
      <c r="A497" s="1">
        <v>493</v>
      </c>
      <c r="B497" s="1" t="s">
        <v>614</v>
      </c>
      <c r="C497" s="32" t="s">
        <v>586</v>
      </c>
      <c r="D497" s="1">
        <v>2795</v>
      </c>
      <c r="E497" s="1" t="s">
        <v>642</v>
      </c>
      <c r="F497" s="1"/>
      <c r="G497" s="1">
        <v>2795</v>
      </c>
      <c r="H497" s="5">
        <f t="shared" si="7"/>
        <v>0</v>
      </c>
      <c r="I497" s="1"/>
      <c r="J497" s="1"/>
      <c r="K497" s="86"/>
    </row>
    <row r="498" spans="1:11" s="375" customFormat="1" ht="15" x14ac:dyDescent="0.25">
      <c r="A498" s="1">
        <v>494</v>
      </c>
      <c r="B498" s="1" t="s">
        <v>614</v>
      </c>
      <c r="C498" s="32">
        <v>4326</v>
      </c>
      <c r="D498" s="1">
        <v>15000</v>
      </c>
      <c r="E498" s="1" t="s">
        <v>642</v>
      </c>
      <c r="F498" s="1">
        <v>167.15</v>
      </c>
      <c r="G498" s="1">
        <v>15000</v>
      </c>
      <c r="H498" s="5">
        <f t="shared" si="7"/>
        <v>0</v>
      </c>
      <c r="I498" s="1"/>
      <c r="J498" s="1"/>
      <c r="K498" s="86"/>
    </row>
    <row r="499" spans="1:11" s="375" customFormat="1" ht="15" x14ac:dyDescent="0.25">
      <c r="A499" s="1">
        <v>495</v>
      </c>
      <c r="B499" s="1" t="s">
        <v>614</v>
      </c>
      <c r="C499" s="32">
        <v>8911</v>
      </c>
      <c r="D499" s="1">
        <v>15000</v>
      </c>
      <c r="E499" s="1" t="s">
        <v>642</v>
      </c>
      <c r="F499" s="1">
        <v>167.15</v>
      </c>
      <c r="G499" s="1">
        <v>15000</v>
      </c>
      <c r="H499" s="5">
        <f t="shared" si="7"/>
        <v>0</v>
      </c>
      <c r="I499" s="1"/>
      <c r="J499" s="1"/>
      <c r="K499" s="86"/>
    </row>
    <row r="500" spans="1:11" s="375" customFormat="1" ht="15" x14ac:dyDescent="0.25">
      <c r="A500" s="1">
        <v>496</v>
      </c>
      <c r="B500" s="1" t="s">
        <v>614</v>
      </c>
      <c r="C500" s="32">
        <v>5498</v>
      </c>
      <c r="D500" s="1">
        <v>20000</v>
      </c>
      <c r="E500" s="1" t="s">
        <v>642</v>
      </c>
      <c r="F500" s="1">
        <v>222.82</v>
      </c>
      <c r="G500" s="1">
        <v>20000</v>
      </c>
      <c r="H500" s="5">
        <f t="shared" si="7"/>
        <v>0</v>
      </c>
      <c r="I500" s="1"/>
      <c r="J500" s="1"/>
      <c r="K500" s="86"/>
    </row>
    <row r="501" spans="1:11" s="375" customFormat="1" ht="15" x14ac:dyDescent="0.25">
      <c r="A501" s="1">
        <v>497</v>
      </c>
      <c r="B501" s="1" t="s">
        <v>614</v>
      </c>
      <c r="C501" s="32">
        <v>2194</v>
      </c>
      <c r="D501" s="1">
        <v>15000</v>
      </c>
      <c r="E501" s="1" t="s">
        <v>642</v>
      </c>
      <c r="F501" s="1">
        <v>167.15</v>
      </c>
      <c r="G501" s="1">
        <v>15000</v>
      </c>
      <c r="H501" s="5">
        <f t="shared" si="7"/>
        <v>0</v>
      </c>
      <c r="I501" s="1"/>
      <c r="J501" s="1"/>
      <c r="K501" s="86"/>
    </row>
    <row r="502" spans="1:11" s="375" customFormat="1" ht="15" x14ac:dyDescent="0.25">
      <c r="A502" s="1">
        <v>498</v>
      </c>
      <c r="B502" s="1" t="s">
        <v>614</v>
      </c>
      <c r="C502" s="32">
        <v>3728</v>
      </c>
      <c r="D502" s="1">
        <v>20000</v>
      </c>
      <c r="E502" s="1" t="s">
        <v>642</v>
      </c>
      <c r="F502" s="1">
        <v>222.82</v>
      </c>
      <c r="G502" s="1">
        <v>20000</v>
      </c>
      <c r="H502" s="5">
        <f t="shared" si="7"/>
        <v>0</v>
      </c>
      <c r="I502" s="1"/>
      <c r="J502" s="1"/>
      <c r="K502" s="86"/>
    </row>
    <row r="503" spans="1:11" s="375" customFormat="1" ht="15" x14ac:dyDescent="0.25">
      <c r="A503" s="1">
        <v>499</v>
      </c>
      <c r="B503" s="1" t="s">
        <v>614</v>
      </c>
      <c r="C503" s="32">
        <v>5.8999999999999997E-2</v>
      </c>
      <c r="D503" s="1">
        <v>9000</v>
      </c>
      <c r="E503" s="1" t="s">
        <v>642</v>
      </c>
      <c r="F503" s="1">
        <v>100.57</v>
      </c>
      <c r="G503" s="1">
        <v>9000</v>
      </c>
      <c r="H503" s="5">
        <f t="shared" si="7"/>
        <v>0</v>
      </c>
      <c r="I503" s="1"/>
      <c r="J503" s="1"/>
      <c r="K503" s="86"/>
    </row>
    <row r="504" spans="1:11" s="375" customFormat="1" ht="15" x14ac:dyDescent="0.25">
      <c r="A504" s="1">
        <v>500</v>
      </c>
      <c r="B504" s="1" t="s">
        <v>614</v>
      </c>
      <c r="C504" s="32">
        <v>2194</v>
      </c>
      <c r="D504" s="1">
        <v>26000</v>
      </c>
      <c r="E504" s="1" t="s">
        <v>642</v>
      </c>
      <c r="F504" s="1">
        <v>289.98</v>
      </c>
      <c r="G504" s="1">
        <v>26000</v>
      </c>
      <c r="H504" s="5">
        <f t="shared" si="7"/>
        <v>0</v>
      </c>
      <c r="I504" s="1"/>
      <c r="J504" s="1"/>
      <c r="K504" s="86"/>
    </row>
    <row r="505" spans="1:11" s="375" customFormat="1" ht="15" x14ac:dyDescent="0.25">
      <c r="A505" s="1">
        <v>501</v>
      </c>
      <c r="B505" s="1" t="s">
        <v>614</v>
      </c>
      <c r="C505" s="32" t="s">
        <v>30</v>
      </c>
      <c r="D505" s="1">
        <v>5000</v>
      </c>
      <c r="E505" s="1" t="s">
        <v>642</v>
      </c>
      <c r="F505" s="1">
        <v>55.7</v>
      </c>
      <c r="G505" s="1">
        <v>5000</v>
      </c>
      <c r="H505" s="5">
        <f t="shared" si="7"/>
        <v>0</v>
      </c>
      <c r="I505" s="1"/>
      <c r="J505" s="1"/>
      <c r="K505" s="86"/>
    </row>
    <row r="506" spans="1:11" s="375" customFormat="1" ht="15" x14ac:dyDescent="0.25">
      <c r="A506" s="1">
        <v>502</v>
      </c>
      <c r="B506" s="1" t="s">
        <v>614</v>
      </c>
      <c r="C506" s="32">
        <v>8735</v>
      </c>
      <c r="D506" s="1">
        <v>23000</v>
      </c>
      <c r="E506" s="1" t="s">
        <v>642</v>
      </c>
      <c r="F506" s="1">
        <v>256.92</v>
      </c>
      <c r="G506" s="1">
        <v>23000</v>
      </c>
      <c r="H506" s="5">
        <f t="shared" si="7"/>
        <v>0</v>
      </c>
      <c r="I506" s="1"/>
      <c r="J506" s="1"/>
      <c r="K506" s="86"/>
    </row>
    <row r="507" spans="1:11" s="375" customFormat="1" ht="15" x14ac:dyDescent="0.25">
      <c r="A507" s="1">
        <v>503</v>
      </c>
      <c r="B507" s="1" t="s">
        <v>614</v>
      </c>
      <c r="C507" s="32">
        <v>3330</v>
      </c>
      <c r="D507" s="1">
        <v>15000</v>
      </c>
      <c r="E507" s="1" t="s">
        <v>642</v>
      </c>
      <c r="F507" s="1">
        <v>167.15</v>
      </c>
      <c r="G507" s="1">
        <v>15000</v>
      </c>
      <c r="H507" s="5">
        <f t="shared" si="7"/>
        <v>0</v>
      </c>
      <c r="I507" s="1"/>
      <c r="J507" s="1"/>
      <c r="K507" s="86"/>
    </row>
    <row r="508" spans="1:11" s="375" customFormat="1" ht="15" x14ac:dyDescent="0.25">
      <c r="A508" s="1">
        <v>504</v>
      </c>
      <c r="B508" s="1" t="s">
        <v>614</v>
      </c>
      <c r="C508" s="32" t="s">
        <v>587</v>
      </c>
      <c r="D508" s="1">
        <v>210</v>
      </c>
      <c r="E508" s="1" t="s">
        <v>642</v>
      </c>
      <c r="F508" s="1">
        <v>2.08</v>
      </c>
      <c r="G508" s="1">
        <v>210</v>
      </c>
      <c r="H508" s="5">
        <f t="shared" si="7"/>
        <v>0</v>
      </c>
      <c r="I508" s="1"/>
      <c r="J508" s="1"/>
      <c r="K508" s="86"/>
    </row>
    <row r="509" spans="1:11" s="375" customFormat="1" ht="15" x14ac:dyDescent="0.25">
      <c r="A509" s="1">
        <v>505</v>
      </c>
      <c r="B509" s="1" t="s">
        <v>614</v>
      </c>
      <c r="C509" s="32" t="s">
        <v>30</v>
      </c>
      <c r="D509" s="1">
        <v>4000</v>
      </c>
      <c r="E509" s="1" t="s">
        <v>642</v>
      </c>
      <c r="F509" s="1">
        <v>44.56</v>
      </c>
      <c r="G509" s="1">
        <v>4000</v>
      </c>
      <c r="H509" s="5">
        <f t="shared" si="7"/>
        <v>0</v>
      </c>
      <c r="I509" s="1"/>
      <c r="J509" s="1"/>
      <c r="K509" s="86"/>
    </row>
    <row r="510" spans="1:11" s="375" customFormat="1" ht="15" x14ac:dyDescent="0.25">
      <c r="A510" s="1">
        <v>506</v>
      </c>
      <c r="B510" s="1" t="s">
        <v>614</v>
      </c>
      <c r="C510" s="32">
        <v>3043</v>
      </c>
      <c r="D510" s="1">
        <v>22000</v>
      </c>
      <c r="E510" s="1" t="s">
        <v>642</v>
      </c>
      <c r="F510" s="1">
        <v>245.37</v>
      </c>
      <c r="G510" s="1">
        <v>22000</v>
      </c>
      <c r="H510" s="5">
        <f t="shared" si="7"/>
        <v>0</v>
      </c>
      <c r="I510" s="1"/>
      <c r="J510" s="1"/>
      <c r="K510" s="86"/>
    </row>
    <row r="511" spans="1:11" s="375" customFormat="1" ht="15" x14ac:dyDescent="0.25">
      <c r="A511" s="1">
        <v>507</v>
      </c>
      <c r="B511" s="1" t="s">
        <v>614</v>
      </c>
      <c r="C511" s="32">
        <v>5250</v>
      </c>
      <c r="D511" s="1">
        <v>16000</v>
      </c>
      <c r="E511" s="1" t="s">
        <v>642</v>
      </c>
      <c r="F511" s="1">
        <v>178.22</v>
      </c>
      <c r="G511" s="1">
        <v>16000</v>
      </c>
      <c r="H511" s="5">
        <f t="shared" si="7"/>
        <v>0</v>
      </c>
      <c r="I511" s="1"/>
      <c r="J511" s="1"/>
      <c r="K511" s="86"/>
    </row>
    <row r="512" spans="1:11" s="375" customFormat="1" ht="15" x14ac:dyDescent="0.25">
      <c r="A512" s="1">
        <v>508</v>
      </c>
      <c r="B512" s="1" t="s">
        <v>614</v>
      </c>
      <c r="C512" s="32">
        <v>4738</v>
      </c>
      <c r="D512" s="1">
        <v>25000</v>
      </c>
      <c r="E512" s="1" t="s">
        <v>642</v>
      </c>
      <c r="F512" s="1">
        <v>278.22000000000003</v>
      </c>
      <c r="G512" s="1">
        <v>25000</v>
      </c>
      <c r="H512" s="5">
        <f t="shared" si="7"/>
        <v>0</v>
      </c>
      <c r="I512" s="1"/>
      <c r="J512" s="1"/>
      <c r="K512" s="86"/>
    </row>
    <row r="513" spans="1:15" s="375" customFormat="1" ht="15.75" thickBot="1" x14ac:dyDescent="0.3">
      <c r="A513" s="1">
        <v>509</v>
      </c>
      <c r="B513" s="1" t="s">
        <v>614</v>
      </c>
      <c r="C513" s="32">
        <v>5441</v>
      </c>
      <c r="D513" s="1">
        <v>12000</v>
      </c>
      <c r="E513" s="1" t="s">
        <v>642</v>
      </c>
      <c r="F513" s="1">
        <v>133.74</v>
      </c>
      <c r="G513" s="1">
        <v>12000</v>
      </c>
      <c r="H513" s="5">
        <f t="shared" si="7"/>
        <v>0</v>
      </c>
      <c r="I513" s="1"/>
      <c r="J513" s="1"/>
      <c r="K513" s="86"/>
    </row>
    <row r="514" spans="1:15" s="375" customFormat="1" ht="15.75" thickBot="1" x14ac:dyDescent="0.3">
      <c r="A514" s="1">
        <v>510</v>
      </c>
      <c r="B514" s="1" t="s">
        <v>614</v>
      </c>
      <c r="C514" s="32">
        <v>6492</v>
      </c>
      <c r="D514" s="1">
        <v>28000</v>
      </c>
      <c r="E514" s="1" t="s">
        <v>642</v>
      </c>
      <c r="F514" s="1">
        <v>311.37</v>
      </c>
      <c r="G514" s="1">
        <v>28000</v>
      </c>
      <c r="H514" s="5">
        <f t="shared" si="7"/>
        <v>0</v>
      </c>
      <c r="I514" s="1"/>
      <c r="J514" s="1"/>
      <c r="K514" s="86">
        <f>2206780-2191373</f>
        <v>15407</v>
      </c>
      <c r="L514" s="358" t="s">
        <v>615</v>
      </c>
      <c r="M514" s="359"/>
      <c r="N514" s="367" t="s">
        <v>601</v>
      </c>
      <c r="O514" s="360">
        <f>19154-15407</f>
        <v>3747</v>
      </c>
    </row>
    <row r="515" spans="1:15" s="376" customFormat="1" ht="15" x14ac:dyDescent="0.25">
      <c r="A515" s="1">
        <v>511</v>
      </c>
      <c r="B515" s="1" t="s">
        <v>616</v>
      </c>
      <c r="C515" s="32">
        <v>5386</v>
      </c>
      <c r="D515" s="1">
        <v>30000</v>
      </c>
      <c r="E515" s="1" t="s">
        <v>642</v>
      </c>
      <c r="F515" s="1">
        <v>334.87</v>
      </c>
      <c r="G515" s="1">
        <v>30000</v>
      </c>
      <c r="H515" s="5">
        <f t="shared" si="7"/>
        <v>0</v>
      </c>
      <c r="I515" s="1"/>
      <c r="J515" s="1"/>
      <c r="K515" s="86"/>
      <c r="L515" s="48"/>
      <c r="M515" s="48"/>
      <c r="N515" s="370"/>
      <c r="O515" s="48"/>
    </row>
    <row r="516" spans="1:15" s="376" customFormat="1" ht="15" x14ac:dyDescent="0.25">
      <c r="A516" s="1">
        <v>512</v>
      </c>
      <c r="B516" s="1" t="s">
        <v>616</v>
      </c>
      <c r="C516" s="32">
        <v>4962</v>
      </c>
      <c r="D516" s="1">
        <v>20000</v>
      </c>
      <c r="E516" s="1" t="s">
        <v>642</v>
      </c>
      <c r="F516" s="1">
        <v>222.82</v>
      </c>
      <c r="G516" s="1">
        <v>20000</v>
      </c>
      <c r="H516" s="5">
        <f t="shared" si="7"/>
        <v>0</v>
      </c>
      <c r="I516" s="1"/>
      <c r="J516" s="1"/>
      <c r="K516" s="86"/>
      <c r="L516" s="48"/>
      <c r="M516" s="48"/>
      <c r="N516" s="370"/>
      <c r="O516" s="48"/>
    </row>
    <row r="517" spans="1:15" s="376" customFormat="1" ht="15" x14ac:dyDescent="0.25">
      <c r="A517" s="1">
        <v>513</v>
      </c>
      <c r="B517" s="1" t="s">
        <v>616</v>
      </c>
      <c r="C517" s="32">
        <v>9207</v>
      </c>
      <c r="D517" s="1">
        <v>25000</v>
      </c>
      <c r="E517" s="1" t="s">
        <v>642</v>
      </c>
      <c r="F517" s="1">
        <v>278.22000000000003</v>
      </c>
      <c r="G517" s="1">
        <v>25000</v>
      </c>
      <c r="H517" s="5">
        <f t="shared" si="7"/>
        <v>0</v>
      </c>
      <c r="I517" s="1"/>
      <c r="J517" s="1"/>
      <c r="K517" s="86"/>
      <c r="L517" s="48"/>
      <c r="M517" s="48"/>
      <c r="N517" s="370"/>
      <c r="O517" s="48"/>
    </row>
    <row r="518" spans="1:15" s="376" customFormat="1" ht="15" x14ac:dyDescent="0.25">
      <c r="A518" s="1">
        <v>514</v>
      </c>
      <c r="B518" s="1" t="s">
        <v>616</v>
      </c>
      <c r="C518" s="32">
        <v>3686</v>
      </c>
      <c r="D518" s="1">
        <v>22000</v>
      </c>
      <c r="E518" s="1" t="s">
        <v>642</v>
      </c>
      <c r="F518" s="1">
        <v>245.37</v>
      </c>
      <c r="G518" s="1">
        <v>22000</v>
      </c>
      <c r="H518" s="5">
        <f t="shared" si="7"/>
        <v>0</v>
      </c>
      <c r="I518" s="1"/>
      <c r="J518" s="1"/>
      <c r="K518" s="86"/>
      <c r="L518" s="48"/>
      <c r="M518" s="48"/>
      <c r="N518" s="370"/>
      <c r="O518" s="48"/>
    </row>
    <row r="519" spans="1:15" s="376" customFormat="1" ht="15" x14ac:dyDescent="0.25">
      <c r="A519" s="1">
        <v>515</v>
      </c>
      <c r="B519" s="1" t="s">
        <v>616</v>
      </c>
      <c r="C519" s="32">
        <v>2708</v>
      </c>
      <c r="D519" s="1">
        <v>29000</v>
      </c>
      <c r="E519" s="1" t="s">
        <v>642</v>
      </c>
      <c r="F519" s="1">
        <v>305.57</v>
      </c>
      <c r="G519" s="1">
        <v>29000</v>
      </c>
      <c r="H519" s="5">
        <f t="shared" si="7"/>
        <v>0</v>
      </c>
      <c r="I519" s="1"/>
      <c r="J519" s="1"/>
      <c r="K519" s="86"/>
      <c r="L519" s="48"/>
      <c r="M519" s="48"/>
      <c r="N519" s="370"/>
      <c r="O519" s="48"/>
    </row>
    <row r="520" spans="1:15" s="376" customFormat="1" ht="15" x14ac:dyDescent="0.25">
      <c r="A520" s="1">
        <v>516</v>
      </c>
      <c r="B520" s="1" t="s">
        <v>616</v>
      </c>
      <c r="C520" s="32">
        <v>4286</v>
      </c>
      <c r="D520" s="1">
        <v>10000</v>
      </c>
      <c r="E520" s="1" t="s">
        <v>642</v>
      </c>
      <c r="F520" s="1">
        <v>111.41</v>
      </c>
      <c r="G520" s="1">
        <v>10000</v>
      </c>
      <c r="H520" s="5">
        <f t="shared" si="7"/>
        <v>0</v>
      </c>
      <c r="I520" s="1"/>
      <c r="J520" s="1"/>
      <c r="K520" s="86"/>
      <c r="L520" s="48"/>
      <c r="M520" s="48"/>
      <c r="N520" s="370"/>
      <c r="O520" s="48"/>
    </row>
    <row r="521" spans="1:15" s="376" customFormat="1" ht="15" x14ac:dyDescent="0.25">
      <c r="A521" s="1">
        <v>517</v>
      </c>
      <c r="B521" s="1" t="s">
        <v>616</v>
      </c>
      <c r="C521" s="32">
        <v>1696</v>
      </c>
      <c r="D521" s="1">
        <v>15000</v>
      </c>
      <c r="E521" s="1" t="s">
        <v>642</v>
      </c>
      <c r="F521" s="1">
        <v>167.15</v>
      </c>
      <c r="G521" s="1">
        <v>15000</v>
      </c>
      <c r="H521" s="5">
        <f t="shared" si="7"/>
        <v>0</v>
      </c>
      <c r="I521" s="1"/>
      <c r="J521" s="1"/>
      <c r="K521" s="86"/>
      <c r="L521" s="48"/>
      <c r="M521" s="48"/>
      <c r="N521" s="370"/>
      <c r="O521" s="48"/>
    </row>
    <row r="522" spans="1:15" s="376" customFormat="1" ht="15" x14ac:dyDescent="0.25">
      <c r="A522" s="1">
        <v>518</v>
      </c>
      <c r="B522" s="1" t="s">
        <v>616</v>
      </c>
      <c r="C522" s="32">
        <v>9066</v>
      </c>
      <c r="D522" s="1">
        <v>15000</v>
      </c>
      <c r="E522" s="1" t="s">
        <v>642</v>
      </c>
      <c r="F522" s="1">
        <v>167.15</v>
      </c>
      <c r="G522" s="1">
        <v>15000</v>
      </c>
      <c r="H522" s="5">
        <f t="shared" si="7"/>
        <v>0</v>
      </c>
      <c r="I522" s="1"/>
      <c r="J522" s="1"/>
      <c r="K522" s="86"/>
      <c r="L522" s="48"/>
      <c r="M522" s="48"/>
      <c r="N522" s="370"/>
      <c r="O522" s="48"/>
    </row>
    <row r="523" spans="1:15" s="376" customFormat="1" ht="15" x14ac:dyDescent="0.25">
      <c r="A523" s="1">
        <v>519</v>
      </c>
      <c r="B523" s="1" t="s">
        <v>616</v>
      </c>
      <c r="C523" s="32">
        <v>6287</v>
      </c>
      <c r="D523" s="1">
        <v>25000</v>
      </c>
      <c r="E523" s="1" t="s">
        <v>642</v>
      </c>
      <c r="F523" s="1">
        <v>278.22000000000003</v>
      </c>
      <c r="G523" s="1">
        <v>25000</v>
      </c>
      <c r="H523" s="5">
        <f t="shared" si="7"/>
        <v>0</v>
      </c>
      <c r="I523" s="1"/>
      <c r="J523" s="1"/>
      <c r="K523" s="86"/>
      <c r="L523" s="48"/>
      <c r="M523" s="48"/>
      <c r="N523" s="370"/>
      <c r="O523" s="48"/>
    </row>
    <row r="524" spans="1:15" s="376" customFormat="1" ht="15" x14ac:dyDescent="0.25">
      <c r="A524" s="1">
        <v>520</v>
      </c>
      <c r="B524" s="1" t="s">
        <v>616</v>
      </c>
      <c r="C524" s="32" t="s">
        <v>30</v>
      </c>
      <c r="D524" s="1">
        <v>5000</v>
      </c>
      <c r="E524" s="1" t="s">
        <v>642</v>
      </c>
      <c r="F524" s="1">
        <v>55.45</v>
      </c>
      <c r="G524" s="1">
        <v>5000</v>
      </c>
      <c r="H524" s="5">
        <f t="shared" si="7"/>
        <v>0</v>
      </c>
      <c r="I524" s="1"/>
      <c r="J524" s="1"/>
      <c r="K524" s="86"/>
      <c r="L524" s="48"/>
      <c r="M524" s="48"/>
      <c r="N524" s="370"/>
      <c r="O524" s="48"/>
    </row>
    <row r="525" spans="1:15" s="376" customFormat="1" ht="15" x14ac:dyDescent="0.25">
      <c r="A525" s="1">
        <v>521</v>
      </c>
      <c r="B525" s="1" t="s">
        <v>616</v>
      </c>
      <c r="C525" s="32">
        <v>1889</v>
      </c>
      <c r="D525" s="1">
        <v>30000</v>
      </c>
      <c r="E525" s="1" t="s">
        <v>642</v>
      </c>
      <c r="F525" s="1">
        <v>334.87</v>
      </c>
      <c r="G525" s="1">
        <v>30000</v>
      </c>
      <c r="H525" s="5">
        <f t="shared" si="7"/>
        <v>0</v>
      </c>
      <c r="I525" s="1"/>
      <c r="J525" s="1"/>
      <c r="K525" s="86"/>
      <c r="L525" s="48"/>
      <c r="M525" s="48"/>
      <c r="N525" s="370"/>
      <c r="O525" s="48"/>
    </row>
    <row r="526" spans="1:15" s="376" customFormat="1" ht="15" x14ac:dyDescent="0.25">
      <c r="A526" s="1">
        <v>522</v>
      </c>
      <c r="B526" s="1" t="s">
        <v>616</v>
      </c>
      <c r="C526" s="32">
        <v>9482</v>
      </c>
      <c r="D526" s="1">
        <v>24000</v>
      </c>
      <c r="E526" s="1" t="s">
        <v>642</v>
      </c>
      <c r="F526" s="1">
        <v>267.82</v>
      </c>
      <c r="G526" s="1">
        <v>24000</v>
      </c>
      <c r="H526" s="5">
        <f t="shared" si="7"/>
        <v>0</v>
      </c>
      <c r="I526" s="1"/>
      <c r="J526" s="1"/>
      <c r="K526" s="86"/>
      <c r="L526" s="48"/>
      <c r="M526" s="48"/>
      <c r="N526" s="370"/>
      <c r="O526" s="48"/>
    </row>
    <row r="527" spans="1:15" s="376" customFormat="1" ht="15" x14ac:dyDescent="0.25">
      <c r="A527" s="1">
        <v>523</v>
      </c>
      <c r="B527" s="1" t="s">
        <v>616</v>
      </c>
      <c r="C527" s="32">
        <v>6104</v>
      </c>
      <c r="D527" s="1">
        <v>29000</v>
      </c>
      <c r="E527" s="1" t="s">
        <v>642</v>
      </c>
      <c r="F527" s="1">
        <v>323.67</v>
      </c>
      <c r="G527" s="1">
        <v>29000</v>
      </c>
      <c r="H527" s="5">
        <f t="shared" si="7"/>
        <v>0</v>
      </c>
      <c r="I527" s="1"/>
      <c r="J527" s="1"/>
      <c r="K527" s="86"/>
      <c r="L527" s="48"/>
      <c r="M527" s="48"/>
      <c r="N527" s="370"/>
      <c r="O527" s="48"/>
    </row>
    <row r="528" spans="1:15" s="376" customFormat="1" ht="15" x14ac:dyDescent="0.25">
      <c r="A528" s="1">
        <v>524</v>
      </c>
      <c r="B528" s="1" t="s">
        <v>616</v>
      </c>
      <c r="C528" s="32">
        <v>1972</v>
      </c>
      <c r="D528" s="1">
        <v>26000</v>
      </c>
      <c r="E528" s="1" t="s">
        <v>642</v>
      </c>
      <c r="F528" s="1">
        <v>289.87</v>
      </c>
      <c r="G528" s="1">
        <v>26000</v>
      </c>
      <c r="H528" s="5">
        <f t="shared" si="7"/>
        <v>0</v>
      </c>
      <c r="I528" s="1"/>
      <c r="J528" s="1"/>
      <c r="K528" s="86"/>
      <c r="L528" s="48"/>
      <c r="M528" s="48"/>
      <c r="N528" s="370"/>
      <c r="O528" s="48"/>
    </row>
    <row r="529" spans="1:15" s="376" customFormat="1" ht="15" x14ac:dyDescent="0.25">
      <c r="A529" s="1">
        <v>525</v>
      </c>
      <c r="B529" s="1" t="s">
        <v>616</v>
      </c>
      <c r="C529" s="32">
        <v>3557</v>
      </c>
      <c r="D529" s="1">
        <v>29000</v>
      </c>
      <c r="E529" s="1" t="s">
        <v>642</v>
      </c>
      <c r="F529" s="1">
        <v>323.52</v>
      </c>
      <c r="G529" s="1">
        <v>29000</v>
      </c>
      <c r="H529" s="5">
        <f t="shared" si="7"/>
        <v>0</v>
      </c>
      <c r="I529" s="1"/>
      <c r="J529" s="1"/>
      <c r="K529" s="86"/>
      <c r="L529" s="48"/>
      <c r="M529" s="48"/>
      <c r="N529" s="370"/>
      <c r="O529" s="48"/>
    </row>
    <row r="530" spans="1:15" s="376" customFormat="1" ht="15" x14ac:dyDescent="0.25">
      <c r="A530" s="1">
        <v>526</v>
      </c>
      <c r="B530" s="1" t="s">
        <v>616</v>
      </c>
      <c r="C530" s="32">
        <v>9266</v>
      </c>
      <c r="D530" s="1">
        <v>25000</v>
      </c>
      <c r="E530" s="1" t="s">
        <v>642</v>
      </c>
      <c r="F530" s="1">
        <v>278.22000000000003</v>
      </c>
      <c r="G530" s="1">
        <v>25000</v>
      </c>
      <c r="H530" s="5">
        <f t="shared" si="7"/>
        <v>0</v>
      </c>
      <c r="I530" s="1"/>
      <c r="J530" s="1"/>
      <c r="K530" s="86"/>
      <c r="L530" s="48"/>
      <c r="M530" s="48"/>
      <c r="N530" s="370"/>
      <c r="O530" s="48"/>
    </row>
    <row r="531" spans="1:15" s="376" customFormat="1" ht="15" x14ac:dyDescent="0.25">
      <c r="A531" s="1">
        <v>527</v>
      </c>
      <c r="B531" s="1" t="s">
        <v>616</v>
      </c>
      <c r="C531" s="32">
        <v>6193</v>
      </c>
      <c r="D531" s="1">
        <v>30000</v>
      </c>
      <c r="E531" s="1" t="s">
        <v>642</v>
      </c>
      <c r="F531" s="1">
        <v>334.87</v>
      </c>
      <c r="G531" s="1">
        <v>30000</v>
      </c>
      <c r="H531" s="5">
        <f t="shared" si="7"/>
        <v>0</v>
      </c>
      <c r="I531" s="1"/>
      <c r="J531" s="1"/>
      <c r="K531" s="86"/>
      <c r="L531" s="48"/>
      <c r="M531" s="48"/>
      <c r="N531" s="370"/>
      <c r="O531" s="48"/>
    </row>
    <row r="532" spans="1:15" s="376" customFormat="1" ht="15" x14ac:dyDescent="0.25">
      <c r="A532" s="1">
        <v>528</v>
      </c>
      <c r="B532" s="1" t="s">
        <v>616</v>
      </c>
      <c r="C532" s="32">
        <v>7623</v>
      </c>
      <c r="D532" s="1">
        <v>20000</v>
      </c>
      <c r="E532" s="1" t="s">
        <v>642</v>
      </c>
      <c r="F532" s="1">
        <v>222.82</v>
      </c>
      <c r="G532" s="1">
        <v>20000</v>
      </c>
      <c r="H532" s="5">
        <f t="shared" si="7"/>
        <v>0</v>
      </c>
      <c r="I532" s="1"/>
      <c r="J532" s="1"/>
      <c r="K532" s="86"/>
      <c r="L532" s="48"/>
      <c r="M532" s="48"/>
      <c r="N532" s="370"/>
      <c r="O532" s="48"/>
    </row>
    <row r="533" spans="1:15" s="376" customFormat="1" ht="15" x14ac:dyDescent="0.25">
      <c r="A533" s="1">
        <v>529</v>
      </c>
      <c r="B533" s="1" t="s">
        <v>616</v>
      </c>
      <c r="C533" s="32">
        <v>7459</v>
      </c>
      <c r="D533" s="1">
        <v>15000</v>
      </c>
      <c r="E533" s="1" t="s">
        <v>642</v>
      </c>
      <c r="F533" s="1">
        <v>167.15</v>
      </c>
      <c r="G533" s="1">
        <v>15000</v>
      </c>
      <c r="H533" s="5">
        <f t="shared" si="7"/>
        <v>0</v>
      </c>
      <c r="I533" s="1"/>
      <c r="J533" s="1"/>
      <c r="K533" s="86"/>
      <c r="L533" s="48"/>
      <c r="M533" s="48"/>
      <c r="N533" s="370"/>
      <c r="O533" s="48"/>
    </row>
    <row r="534" spans="1:15" s="376" customFormat="1" ht="15" x14ac:dyDescent="0.25">
      <c r="A534" s="1">
        <v>530</v>
      </c>
      <c r="B534" s="1" t="s">
        <v>616</v>
      </c>
      <c r="C534" s="32">
        <v>4.7500000000000001E-2</v>
      </c>
      <c r="D534" s="1">
        <v>28000</v>
      </c>
      <c r="E534" s="1" t="s">
        <v>642</v>
      </c>
      <c r="F534" s="1">
        <v>311.37</v>
      </c>
      <c r="G534" s="1">
        <v>28000</v>
      </c>
      <c r="H534" s="5">
        <f t="shared" si="7"/>
        <v>0</v>
      </c>
      <c r="I534" s="1"/>
      <c r="J534" s="1"/>
      <c r="K534" s="86"/>
      <c r="L534" s="48"/>
      <c r="M534" s="48"/>
      <c r="N534" s="370"/>
      <c r="O534" s="48"/>
    </row>
    <row r="535" spans="1:15" s="376" customFormat="1" ht="15" x14ac:dyDescent="0.25">
      <c r="A535" s="1">
        <v>531</v>
      </c>
      <c r="B535" s="1" t="s">
        <v>616</v>
      </c>
      <c r="C535" s="32">
        <v>5214</v>
      </c>
      <c r="D535" s="1">
        <v>22000</v>
      </c>
      <c r="E535" s="1" t="s">
        <v>642</v>
      </c>
      <c r="F535" s="1">
        <v>245.57</v>
      </c>
      <c r="G535" s="1">
        <v>22000</v>
      </c>
      <c r="H535" s="5">
        <f t="shared" si="7"/>
        <v>0</v>
      </c>
      <c r="I535" s="1"/>
      <c r="J535" s="1"/>
      <c r="K535" s="86"/>
      <c r="L535" s="48"/>
      <c r="M535" s="48"/>
      <c r="N535" s="370"/>
      <c r="O535" s="48"/>
    </row>
    <row r="536" spans="1:15" s="376" customFormat="1" ht="15" x14ac:dyDescent="0.25">
      <c r="A536" s="1">
        <v>532</v>
      </c>
      <c r="B536" s="1" t="s">
        <v>616</v>
      </c>
      <c r="C536" s="32">
        <v>1561</v>
      </c>
      <c r="D536" s="1">
        <v>26000</v>
      </c>
      <c r="E536" s="1" t="s">
        <v>642</v>
      </c>
      <c r="F536" s="1">
        <v>289.87</v>
      </c>
      <c r="G536" s="1">
        <v>26000</v>
      </c>
      <c r="H536" s="5">
        <f t="shared" si="7"/>
        <v>0</v>
      </c>
      <c r="I536" s="1"/>
      <c r="J536" s="1"/>
      <c r="K536" s="86"/>
      <c r="L536" s="48"/>
      <c r="M536" s="48"/>
      <c r="N536" s="370"/>
      <c r="O536" s="48"/>
    </row>
    <row r="537" spans="1:15" s="376" customFormat="1" ht="15" x14ac:dyDescent="0.25">
      <c r="A537" s="1">
        <v>533</v>
      </c>
      <c r="B537" s="1" t="s">
        <v>616</v>
      </c>
      <c r="C537" s="32">
        <v>7445</v>
      </c>
      <c r="D537" s="1">
        <v>20000</v>
      </c>
      <c r="E537" s="1" t="s">
        <v>642</v>
      </c>
      <c r="F537" s="1">
        <v>222.82</v>
      </c>
      <c r="G537" s="1">
        <v>20000</v>
      </c>
      <c r="H537" s="5">
        <f t="shared" si="7"/>
        <v>0</v>
      </c>
      <c r="I537" s="1"/>
      <c r="J537" s="1"/>
      <c r="K537" s="86"/>
      <c r="L537" s="48"/>
      <c r="M537" s="48"/>
      <c r="N537" s="370"/>
      <c r="O537" s="48"/>
    </row>
    <row r="538" spans="1:15" s="376" customFormat="1" ht="15" x14ac:dyDescent="0.25">
      <c r="A538" s="1">
        <v>534</v>
      </c>
      <c r="B538" s="1" t="s">
        <v>616</v>
      </c>
      <c r="C538" s="32">
        <v>9360</v>
      </c>
      <c r="D538" s="1">
        <v>15000</v>
      </c>
      <c r="E538" s="1" t="s">
        <v>642</v>
      </c>
      <c r="F538" s="1">
        <v>167.15</v>
      </c>
      <c r="G538" s="1">
        <v>15000</v>
      </c>
      <c r="H538" s="5">
        <f t="shared" si="7"/>
        <v>0</v>
      </c>
      <c r="I538" s="1"/>
      <c r="J538" s="1"/>
      <c r="K538" s="86"/>
      <c r="L538" s="48"/>
      <c r="M538" s="48"/>
      <c r="N538" s="370"/>
      <c r="O538" s="48"/>
    </row>
    <row r="539" spans="1:15" s="376" customFormat="1" ht="15" x14ac:dyDescent="0.25">
      <c r="A539" s="1">
        <v>535</v>
      </c>
      <c r="B539" s="1" t="s">
        <v>616</v>
      </c>
      <c r="C539" s="32">
        <v>9992</v>
      </c>
      <c r="D539" s="1">
        <v>30000</v>
      </c>
      <c r="E539" s="1" t="s">
        <v>642</v>
      </c>
      <c r="F539" s="1">
        <v>334.42</v>
      </c>
      <c r="G539" s="1">
        <v>30000</v>
      </c>
      <c r="H539" s="5">
        <f t="shared" si="7"/>
        <v>0</v>
      </c>
      <c r="I539" s="1"/>
      <c r="J539" s="1"/>
      <c r="K539" s="86"/>
      <c r="L539" s="48"/>
      <c r="M539" s="48"/>
      <c r="N539" s="370"/>
      <c r="O539" s="48"/>
    </row>
    <row r="540" spans="1:15" s="376" customFormat="1" ht="15" x14ac:dyDescent="0.25">
      <c r="A540" s="1">
        <v>536</v>
      </c>
      <c r="B540" s="1" t="s">
        <v>616</v>
      </c>
      <c r="C540" s="32">
        <v>4351</v>
      </c>
      <c r="D540" s="1">
        <v>28500</v>
      </c>
      <c r="E540" s="1" t="s">
        <v>642</v>
      </c>
      <c r="F540" s="1">
        <v>304.75</v>
      </c>
      <c r="G540" s="1">
        <v>28500</v>
      </c>
      <c r="H540" s="5">
        <f t="shared" si="7"/>
        <v>0</v>
      </c>
      <c r="I540" s="1"/>
      <c r="J540" s="1"/>
      <c r="K540" s="86"/>
      <c r="L540" s="48"/>
      <c r="M540" s="48"/>
      <c r="N540" s="370"/>
      <c r="O540" s="48"/>
    </row>
    <row r="541" spans="1:15" s="376" customFormat="1" ht="15" x14ac:dyDescent="0.25">
      <c r="A541" s="1">
        <v>537</v>
      </c>
      <c r="B541" s="1" t="s">
        <v>616</v>
      </c>
      <c r="C541" s="32">
        <v>3239</v>
      </c>
      <c r="D541" s="1">
        <v>20000</v>
      </c>
      <c r="E541" s="1" t="s">
        <v>642</v>
      </c>
      <c r="F541" s="1">
        <v>222.82</v>
      </c>
      <c r="G541" s="1">
        <v>20000</v>
      </c>
      <c r="H541" s="5">
        <f t="shared" si="7"/>
        <v>0</v>
      </c>
      <c r="I541" s="1"/>
      <c r="J541" s="1"/>
      <c r="K541" s="86"/>
      <c r="L541" s="48"/>
      <c r="M541" s="48"/>
      <c r="N541" s="370"/>
      <c r="O541" s="48"/>
    </row>
    <row r="542" spans="1:15" s="376" customFormat="1" ht="15" x14ac:dyDescent="0.25">
      <c r="A542" s="1">
        <v>538</v>
      </c>
      <c r="B542" s="1" t="s">
        <v>616</v>
      </c>
      <c r="C542" s="32">
        <v>5112</v>
      </c>
      <c r="D542" s="1">
        <v>23000</v>
      </c>
      <c r="E542" s="1" t="s">
        <v>642</v>
      </c>
      <c r="F542" s="1">
        <v>251.28</v>
      </c>
      <c r="G542" s="1">
        <v>23000</v>
      </c>
      <c r="H542" s="5">
        <f t="shared" si="7"/>
        <v>0</v>
      </c>
      <c r="I542" s="1"/>
      <c r="J542" s="1"/>
      <c r="K542" s="86"/>
      <c r="L542" s="48"/>
      <c r="M542" s="48"/>
      <c r="N542" s="370"/>
      <c r="O542" s="48"/>
    </row>
    <row r="543" spans="1:15" s="376" customFormat="1" ht="15" x14ac:dyDescent="0.25">
      <c r="A543" s="1">
        <v>539</v>
      </c>
      <c r="B543" s="1" t="s">
        <v>616</v>
      </c>
      <c r="C543" s="32">
        <v>4721</v>
      </c>
      <c r="D543" s="1">
        <v>21000</v>
      </c>
      <c r="E543" s="1" t="s">
        <v>642</v>
      </c>
      <c r="F543" s="1">
        <v>233.64</v>
      </c>
      <c r="G543" s="1">
        <v>21000</v>
      </c>
      <c r="H543" s="5">
        <f t="shared" si="7"/>
        <v>0</v>
      </c>
      <c r="I543" s="1"/>
      <c r="J543" s="1"/>
      <c r="K543" s="86"/>
      <c r="L543" s="48"/>
      <c r="M543" s="48"/>
      <c r="N543" s="370"/>
      <c r="O543" s="48"/>
    </row>
    <row r="544" spans="1:15" s="376" customFormat="1" ht="15.75" thickBot="1" x14ac:dyDescent="0.3">
      <c r="A544" s="1">
        <v>540</v>
      </c>
      <c r="B544" s="1" t="s">
        <v>616</v>
      </c>
      <c r="C544" s="32">
        <v>2795</v>
      </c>
      <c r="D544" s="1">
        <v>19000</v>
      </c>
      <c r="E544" s="1" t="s">
        <v>642</v>
      </c>
      <c r="F544" s="1">
        <v>193.42</v>
      </c>
      <c r="G544" s="1">
        <v>19000</v>
      </c>
      <c r="H544" s="5">
        <f t="shared" si="7"/>
        <v>0</v>
      </c>
      <c r="I544" s="1"/>
      <c r="J544" s="1"/>
      <c r="K544" s="86"/>
      <c r="L544" s="48"/>
      <c r="M544" s="48"/>
      <c r="N544" s="370"/>
      <c r="O544" s="48"/>
    </row>
    <row r="545" spans="1:15" s="376" customFormat="1" ht="15.75" thickBot="1" x14ac:dyDescent="0.3">
      <c r="A545" s="1">
        <v>541</v>
      </c>
      <c r="B545" s="1" t="s">
        <v>616</v>
      </c>
      <c r="C545" s="32">
        <v>5252</v>
      </c>
      <c r="D545" s="1">
        <v>17000</v>
      </c>
      <c r="E545" s="1" t="s">
        <v>642</v>
      </c>
      <c r="F545" s="1">
        <v>189.87</v>
      </c>
      <c r="G545" s="1">
        <v>17000</v>
      </c>
      <c r="H545" s="5">
        <f t="shared" si="7"/>
        <v>0</v>
      </c>
      <c r="I545" s="1"/>
      <c r="J545" s="1"/>
      <c r="K545" s="86">
        <f>2900280-2884873</f>
        <v>15407</v>
      </c>
      <c r="L545" s="358" t="s">
        <v>615</v>
      </c>
      <c r="M545" s="359"/>
      <c r="N545" s="367" t="s">
        <v>601</v>
      </c>
      <c r="O545" s="360">
        <f>19154-15407</f>
        <v>3747</v>
      </c>
    </row>
    <row r="546" spans="1:15" s="378" customFormat="1" ht="15" x14ac:dyDescent="0.25">
      <c r="A546" s="1">
        <v>542</v>
      </c>
      <c r="B546" s="1" t="s">
        <v>617</v>
      </c>
      <c r="C546" s="32">
        <v>5.1999999999999998E-3</v>
      </c>
      <c r="D546" s="1">
        <v>17000</v>
      </c>
      <c r="E546" s="1" t="s">
        <v>642</v>
      </c>
      <c r="F546" s="1">
        <v>189.87</v>
      </c>
      <c r="G546" s="1">
        <v>17000</v>
      </c>
      <c r="H546" s="5">
        <f t="shared" si="7"/>
        <v>0</v>
      </c>
      <c r="I546" s="1"/>
      <c r="J546" s="1"/>
      <c r="K546" s="86"/>
      <c r="L546" s="48"/>
      <c r="M546" s="48"/>
      <c r="N546" s="370"/>
      <c r="O546" s="48"/>
    </row>
    <row r="547" spans="1:15" s="378" customFormat="1" ht="15" x14ac:dyDescent="0.25">
      <c r="A547" s="1">
        <v>543</v>
      </c>
      <c r="B547" s="1" t="s">
        <v>617</v>
      </c>
      <c r="C547" s="32">
        <v>5.1000000000000004E-3</v>
      </c>
      <c r="D547" s="1">
        <v>17000</v>
      </c>
      <c r="E547" s="1" t="s">
        <v>642</v>
      </c>
      <c r="F547" s="1">
        <v>189.87</v>
      </c>
      <c r="G547" s="1">
        <v>17000</v>
      </c>
      <c r="H547" s="5">
        <f t="shared" ref="H547:H610" si="8">D547-G547</f>
        <v>0</v>
      </c>
      <c r="I547" s="1"/>
      <c r="J547" s="1"/>
      <c r="K547" s="86"/>
      <c r="L547" s="48"/>
      <c r="M547" s="48"/>
      <c r="N547" s="370"/>
      <c r="O547" s="48"/>
    </row>
    <row r="548" spans="1:15" s="378" customFormat="1" ht="15" x14ac:dyDescent="0.25">
      <c r="A548" s="1">
        <v>544</v>
      </c>
      <c r="B548" s="1" t="s">
        <v>617</v>
      </c>
      <c r="C548" s="32">
        <v>7743</v>
      </c>
      <c r="D548" s="1">
        <v>10000</v>
      </c>
      <c r="E548" s="1" t="s">
        <v>642</v>
      </c>
      <c r="F548" s="1">
        <v>111.41</v>
      </c>
      <c r="G548" s="1">
        <v>10000</v>
      </c>
      <c r="H548" s="5">
        <f t="shared" si="8"/>
        <v>0</v>
      </c>
      <c r="I548" s="1"/>
      <c r="J548" s="1"/>
      <c r="K548" s="86"/>
      <c r="L548" s="48"/>
      <c r="M548" s="48"/>
      <c r="N548" s="370"/>
      <c r="O548" s="48"/>
    </row>
    <row r="549" spans="1:15" s="378" customFormat="1" ht="15" x14ac:dyDescent="0.25">
      <c r="A549" s="1">
        <v>545</v>
      </c>
      <c r="B549" s="1" t="s">
        <v>617</v>
      </c>
      <c r="C549" s="32">
        <v>6697</v>
      </c>
      <c r="D549" s="1">
        <v>17000</v>
      </c>
      <c r="E549" s="1" t="s">
        <v>642</v>
      </c>
      <c r="F549" s="1">
        <v>189.87</v>
      </c>
      <c r="G549" s="294">
        <v>17000</v>
      </c>
      <c r="H549" s="5">
        <f t="shared" si="8"/>
        <v>0</v>
      </c>
      <c r="I549" s="1"/>
      <c r="J549" s="1"/>
      <c r="K549" s="86"/>
      <c r="L549" s="48"/>
      <c r="M549" s="48"/>
      <c r="N549" s="370"/>
      <c r="O549" s="48"/>
    </row>
    <row r="550" spans="1:15" s="378" customFormat="1" ht="15" x14ac:dyDescent="0.25">
      <c r="A550" s="1">
        <v>546</v>
      </c>
      <c r="B550" s="1" t="s">
        <v>617</v>
      </c>
      <c r="C550" s="32">
        <v>9397</v>
      </c>
      <c r="D550" s="1">
        <v>10000</v>
      </c>
      <c r="E550" s="1" t="s">
        <v>642</v>
      </c>
      <c r="F550" s="1">
        <v>111.41</v>
      </c>
      <c r="G550" s="1">
        <v>10000</v>
      </c>
      <c r="H550" s="5">
        <f t="shared" si="8"/>
        <v>0</v>
      </c>
      <c r="I550" s="1"/>
      <c r="J550" s="1"/>
      <c r="K550" s="86"/>
      <c r="L550" s="48"/>
      <c r="M550" s="48"/>
      <c r="N550" s="370"/>
      <c r="O550" s="48"/>
    </row>
    <row r="551" spans="1:15" s="378" customFormat="1" ht="15" x14ac:dyDescent="0.25">
      <c r="A551" s="1">
        <v>547</v>
      </c>
      <c r="B551" s="1" t="s">
        <v>617</v>
      </c>
      <c r="C551" s="32">
        <v>1727</v>
      </c>
      <c r="D551" s="1">
        <v>7000</v>
      </c>
      <c r="E551" s="1" t="s">
        <v>642</v>
      </c>
      <c r="F551" s="1">
        <v>77.989999999999995</v>
      </c>
      <c r="G551" s="1">
        <v>7000</v>
      </c>
      <c r="H551" s="5">
        <f t="shared" si="8"/>
        <v>0</v>
      </c>
      <c r="I551" s="1"/>
      <c r="J551" s="1"/>
      <c r="K551" s="86"/>
      <c r="L551" s="48"/>
      <c r="M551" s="48"/>
      <c r="N551" s="370"/>
      <c r="O551" s="48"/>
    </row>
    <row r="552" spans="1:15" s="378" customFormat="1" ht="15" x14ac:dyDescent="0.25">
      <c r="A552" s="1">
        <v>548</v>
      </c>
      <c r="B552" s="1" t="s">
        <v>617</v>
      </c>
      <c r="C552" s="32">
        <v>6983</v>
      </c>
      <c r="D552" s="1">
        <v>15000</v>
      </c>
      <c r="E552" s="1" t="s">
        <v>642</v>
      </c>
      <c r="F552" s="1">
        <v>167.15</v>
      </c>
      <c r="G552" s="1">
        <v>15000</v>
      </c>
      <c r="H552" s="5">
        <f t="shared" si="8"/>
        <v>0</v>
      </c>
      <c r="I552" s="1"/>
      <c r="J552" s="1"/>
      <c r="K552" s="86"/>
      <c r="L552" s="48"/>
      <c r="M552" s="48"/>
      <c r="N552" s="370"/>
      <c r="O552" s="48"/>
    </row>
    <row r="553" spans="1:15" s="378" customFormat="1" ht="15" x14ac:dyDescent="0.25">
      <c r="A553" s="1">
        <v>549</v>
      </c>
      <c r="B553" s="1" t="s">
        <v>617</v>
      </c>
      <c r="C553" s="32">
        <v>2972</v>
      </c>
      <c r="D553" s="1">
        <v>22000</v>
      </c>
      <c r="E553" s="1" t="s">
        <v>642</v>
      </c>
      <c r="F553" s="1">
        <v>245.57</v>
      </c>
      <c r="G553" s="1">
        <v>22000</v>
      </c>
      <c r="H553" s="5">
        <f t="shared" si="8"/>
        <v>0</v>
      </c>
      <c r="I553" s="1"/>
      <c r="J553" s="1"/>
      <c r="K553" s="86"/>
      <c r="L553" s="48"/>
      <c r="M553" s="48"/>
      <c r="N553" s="370"/>
      <c r="O553" s="48"/>
    </row>
    <row r="554" spans="1:15" s="378" customFormat="1" ht="15" x14ac:dyDescent="0.25">
      <c r="A554" s="1">
        <v>550</v>
      </c>
      <c r="B554" s="1" t="s">
        <v>617</v>
      </c>
      <c r="C554" s="32">
        <v>2853</v>
      </c>
      <c r="D554" s="1">
        <v>13000</v>
      </c>
      <c r="E554" s="1" t="s">
        <v>642</v>
      </c>
      <c r="F554" s="1">
        <v>144.13</v>
      </c>
      <c r="G554" s="1">
        <v>13000</v>
      </c>
      <c r="H554" s="5">
        <f t="shared" si="8"/>
        <v>0</v>
      </c>
      <c r="I554" s="1"/>
      <c r="J554" s="1"/>
      <c r="K554" s="86"/>
      <c r="L554" s="48"/>
      <c r="M554" s="48"/>
      <c r="N554" s="370"/>
      <c r="O554" s="48"/>
    </row>
    <row r="555" spans="1:15" s="378" customFormat="1" ht="15" x14ac:dyDescent="0.25">
      <c r="A555" s="1">
        <v>551</v>
      </c>
      <c r="B555" s="1" t="s">
        <v>617</v>
      </c>
      <c r="C555" s="32">
        <v>5.0999999999999997E-2</v>
      </c>
      <c r="D555" s="1">
        <v>10000</v>
      </c>
      <c r="E555" s="1" t="s">
        <v>642</v>
      </c>
      <c r="F555" s="1">
        <v>111.41</v>
      </c>
      <c r="G555" s="1">
        <v>10000</v>
      </c>
      <c r="H555" s="5">
        <f t="shared" si="8"/>
        <v>0</v>
      </c>
      <c r="I555" s="1"/>
      <c r="J555" s="1"/>
      <c r="K555" s="86"/>
      <c r="L555" s="48"/>
      <c r="M555" s="48"/>
      <c r="N555" s="370"/>
      <c r="O555" s="48"/>
    </row>
    <row r="556" spans="1:15" s="378" customFormat="1" ht="15" x14ac:dyDescent="0.25">
      <c r="A556" s="1">
        <v>552</v>
      </c>
      <c r="B556" s="1" t="s">
        <v>617</v>
      </c>
      <c r="C556" s="32">
        <v>1922</v>
      </c>
      <c r="D556" s="1">
        <v>21000</v>
      </c>
      <c r="E556" s="1" t="s">
        <v>642</v>
      </c>
      <c r="F556" s="1">
        <v>233.64</v>
      </c>
      <c r="G556" s="1">
        <v>21000</v>
      </c>
      <c r="H556" s="5">
        <f t="shared" si="8"/>
        <v>0</v>
      </c>
      <c r="I556" s="1"/>
      <c r="J556" s="1"/>
      <c r="K556" s="86"/>
      <c r="L556" s="48"/>
      <c r="M556" s="48"/>
      <c r="N556" s="370"/>
      <c r="O556" s="48"/>
    </row>
    <row r="557" spans="1:15" s="378" customFormat="1" ht="15" x14ac:dyDescent="0.25">
      <c r="A557" s="1">
        <v>553</v>
      </c>
      <c r="B557" s="1" t="s">
        <v>617</v>
      </c>
      <c r="C557" s="32">
        <v>6062</v>
      </c>
      <c r="D557" s="1">
        <v>21000</v>
      </c>
      <c r="E557" s="1" t="s">
        <v>642</v>
      </c>
      <c r="F557" s="1">
        <v>233.64</v>
      </c>
      <c r="G557" s="1">
        <v>21000</v>
      </c>
      <c r="H557" s="5">
        <f t="shared" si="8"/>
        <v>0</v>
      </c>
      <c r="I557" s="1"/>
      <c r="J557" s="1"/>
      <c r="K557" s="86"/>
      <c r="L557" s="48"/>
      <c r="M557" s="48"/>
      <c r="N557" s="370"/>
      <c r="O557" s="48"/>
    </row>
    <row r="558" spans="1:15" s="378" customFormat="1" ht="15" x14ac:dyDescent="0.25">
      <c r="A558" s="1">
        <v>554</v>
      </c>
      <c r="B558" s="1" t="s">
        <v>617</v>
      </c>
      <c r="C558" s="32">
        <v>4765</v>
      </c>
      <c r="D558" s="1">
        <v>26000</v>
      </c>
      <c r="E558" s="1" t="s">
        <v>642</v>
      </c>
      <c r="F558" s="1">
        <v>289.82</v>
      </c>
      <c r="G558" s="1">
        <v>26000</v>
      </c>
      <c r="H558" s="5">
        <f t="shared" si="8"/>
        <v>0</v>
      </c>
      <c r="I558" s="1"/>
      <c r="J558" s="1"/>
      <c r="K558" s="86"/>
      <c r="L558" s="48"/>
      <c r="M558" s="48"/>
      <c r="N558" s="370"/>
      <c r="O558" s="48"/>
    </row>
    <row r="559" spans="1:15" s="378" customFormat="1" ht="15" x14ac:dyDescent="0.25">
      <c r="A559" s="1">
        <v>555</v>
      </c>
      <c r="B559" s="1" t="s">
        <v>617</v>
      </c>
      <c r="C559" s="32">
        <v>1.14E-2</v>
      </c>
      <c r="D559" s="1">
        <v>32000</v>
      </c>
      <c r="E559" s="1" t="s">
        <v>642</v>
      </c>
      <c r="F559" s="1">
        <v>356.97</v>
      </c>
      <c r="G559" s="1">
        <v>32000</v>
      </c>
      <c r="H559" s="5">
        <f t="shared" si="8"/>
        <v>0</v>
      </c>
      <c r="I559" s="1"/>
      <c r="J559" s="1"/>
      <c r="K559" s="86"/>
      <c r="L559" s="48"/>
      <c r="M559" s="48"/>
      <c r="N559" s="370"/>
      <c r="O559" s="48"/>
    </row>
    <row r="560" spans="1:15" s="378" customFormat="1" ht="15" x14ac:dyDescent="0.25">
      <c r="A560" s="1">
        <v>556</v>
      </c>
      <c r="B560" s="1" t="s">
        <v>617</v>
      </c>
      <c r="C560" s="32">
        <v>4098</v>
      </c>
      <c r="D560" s="1">
        <v>28000</v>
      </c>
      <c r="E560" s="1" t="s">
        <v>642</v>
      </c>
      <c r="F560" s="1">
        <v>311.38</v>
      </c>
      <c r="G560" s="1">
        <v>28000</v>
      </c>
      <c r="H560" s="5">
        <f t="shared" si="8"/>
        <v>0</v>
      </c>
      <c r="I560" s="1"/>
      <c r="J560" s="1"/>
      <c r="K560" s="86"/>
      <c r="L560" s="48"/>
      <c r="M560" s="48"/>
      <c r="N560" s="370"/>
      <c r="O560" s="48"/>
    </row>
    <row r="561" spans="1:15" s="378" customFormat="1" ht="15" x14ac:dyDescent="0.25">
      <c r="A561" s="1">
        <v>557</v>
      </c>
      <c r="B561" s="1" t="s">
        <v>617</v>
      </c>
      <c r="C561" s="32">
        <v>4579</v>
      </c>
      <c r="D561" s="1">
        <v>15000</v>
      </c>
      <c r="E561" s="1" t="s">
        <v>642</v>
      </c>
      <c r="F561" s="1">
        <v>167.15</v>
      </c>
      <c r="G561" s="1">
        <v>15000</v>
      </c>
      <c r="H561" s="5">
        <f t="shared" si="8"/>
        <v>0</v>
      </c>
      <c r="I561" s="1"/>
      <c r="J561" s="1"/>
      <c r="K561" s="86"/>
      <c r="L561" s="48"/>
      <c r="M561" s="48"/>
      <c r="N561" s="370"/>
      <c r="O561" s="48"/>
    </row>
    <row r="562" spans="1:15" s="378" customFormat="1" ht="15" x14ac:dyDescent="0.25">
      <c r="A562" s="1">
        <v>558</v>
      </c>
      <c r="B562" s="1" t="s">
        <v>617</v>
      </c>
      <c r="C562" s="32">
        <v>9581</v>
      </c>
      <c r="D562" s="1">
        <v>20000</v>
      </c>
      <c r="E562" s="1" t="s">
        <v>642</v>
      </c>
      <c r="F562" s="1">
        <v>222.82</v>
      </c>
      <c r="G562" s="1">
        <v>20000</v>
      </c>
      <c r="H562" s="5">
        <f t="shared" si="8"/>
        <v>0</v>
      </c>
      <c r="I562" s="1"/>
      <c r="J562" s="1"/>
      <c r="K562" s="86"/>
      <c r="L562" s="48"/>
      <c r="M562" s="48"/>
      <c r="N562" s="370"/>
      <c r="O562" s="48"/>
    </row>
    <row r="563" spans="1:15" s="378" customFormat="1" ht="15" x14ac:dyDescent="0.25">
      <c r="A563" s="1">
        <v>559</v>
      </c>
      <c r="B563" s="1" t="s">
        <v>617</v>
      </c>
      <c r="C563" s="32">
        <v>5280</v>
      </c>
      <c r="D563" s="1">
        <v>45000</v>
      </c>
      <c r="E563" s="1" t="s">
        <v>642</v>
      </c>
      <c r="F563" s="1">
        <v>501.67</v>
      </c>
      <c r="G563" s="1">
        <v>45000</v>
      </c>
      <c r="H563" s="5">
        <f t="shared" si="8"/>
        <v>0</v>
      </c>
      <c r="I563" s="1"/>
      <c r="J563" s="1"/>
      <c r="K563" s="86"/>
      <c r="L563" s="48"/>
      <c r="M563" s="48"/>
      <c r="N563" s="370"/>
      <c r="O563" s="48"/>
    </row>
    <row r="564" spans="1:15" s="378" customFormat="1" ht="15" x14ac:dyDescent="0.25">
      <c r="A564" s="1">
        <v>560</v>
      </c>
      <c r="B564" s="1" t="s">
        <v>617</v>
      </c>
      <c r="C564" s="32">
        <v>6475</v>
      </c>
      <c r="D564" s="1">
        <v>45000</v>
      </c>
      <c r="E564" s="1" t="s">
        <v>642</v>
      </c>
      <c r="F564" s="1">
        <v>501.67</v>
      </c>
      <c r="G564" s="1">
        <v>45000</v>
      </c>
      <c r="H564" s="5">
        <f t="shared" si="8"/>
        <v>0</v>
      </c>
      <c r="I564" s="1"/>
      <c r="J564" s="1"/>
      <c r="K564" s="86"/>
      <c r="L564" s="48"/>
      <c r="M564" s="48"/>
      <c r="N564" s="370"/>
      <c r="O564" s="48"/>
    </row>
    <row r="565" spans="1:15" s="378" customFormat="1" ht="15" x14ac:dyDescent="0.25">
      <c r="A565" s="1">
        <v>561</v>
      </c>
      <c r="B565" s="1" t="s">
        <v>617</v>
      </c>
      <c r="C565" s="32">
        <v>5.5E-2</v>
      </c>
      <c r="D565" s="1">
        <v>45000</v>
      </c>
      <c r="E565" s="1" t="s">
        <v>642</v>
      </c>
      <c r="F565" s="1">
        <v>501.67</v>
      </c>
      <c r="G565" s="1">
        <v>45000</v>
      </c>
      <c r="H565" s="5">
        <f t="shared" si="8"/>
        <v>0</v>
      </c>
      <c r="I565" s="1"/>
      <c r="J565" s="1"/>
      <c r="K565" s="86"/>
      <c r="L565" s="48"/>
      <c r="M565" s="48"/>
      <c r="N565" s="370"/>
      <c r="O565" s="48"/>
    </row>
    <row r="566" spans="1:15" s="378" customFormat="1" ht="15" x14ac:dyDescent="0.25">
      <c r="A566" s="1">
        <v>562</v>
      </c>
      <c r="B566" s="1" t="s">
        <v>617</v>
      </c>
      <c r="C566" s="32">
        <v>9370</v>
      </c>
      <c r="D566" s="1">
        <v>25000</v>
      </c>
      <c r="E566" s="1" t="s">
        <v>642</v>
      </c>
      <c r="F566" s="1">
        <v>278.22000000000003</v>
      </c>
      <c r="G566" s="1">
        <v>25000</v>
      </c>
      <c r="H566" s="5">
        <f t="shared" si="8"/>
        <v>0</v>
      </c>
      <c r="I566" s="1"/>
      <c r="J566" s="1"/>
      <c r="K566" s="86"/>
      <c r="L566" s="48"/>
      <c r="M566" s="48"/>
      <c r="N566" s="370"/>
      <c r="O566" s="48"/>
    </row>
    <row r="567" spans="1:15" s="378" customFormat="1" ht="15" x14ac:dyDescent="0.25">
      <c r="A567" s="1">
        <v>563</v>
      </c>
      <c r="B567" s="1" t="s">
        <v>617</v>
      </c>
      <c r="C567" s="32">
        <v>2957</v>
      </c>
      <c r="D567" s="1">
        <v>15000</v>
      </c>
      <c r="E567" s="1" t="s">
        <v>642</v>
      </c>
      <c r="F567" s="1">
        <v>167.15</v>
      </c>
      <c r="G567" s="1">
        <v>15000</v>
      </c>
      <c r="H567" s="5">
        <f t="shared" si="8"/>
        <v>0</v>
      </c>
      <c r="I567" s="1"/>
      <c r="J567" s="1"/>
      <c r="K567" s="86"/>
      <c r="L567" s="48"/>
      <c r="M567" s="48"/>
      <c r="N567" s="370"/>
      <c r="O567" s="48"/>
    </row>
    <row r="568" spans="1:15" s="378" customFormat="1" ht="15" x14ac:dyDescent="0.25">
      <c r="A568" s="1">
        <v>564</v>
      </c>
      <c r="B568" s="1" t="s">
        <v>617</v>
      </c>
      <c r="C568" s="32">
        <v>2957</v>
      </c>
      <c r="D568" s="1">
        <v>15000</v>
      </c>
      <c r="E568" s="1" t="s">
        <v>642</v>
      </c>
      <c r="F568" s="1">
        <v>167.15</v>
      </c>
      <c r="G568" s="1">
        <v>15000</v>
      </c>
      <c r="H568" s="5">
        <f t="shared" si="8"/>
        <v>0</v>
      </c>
      <c r="I568" s="1"/>
      <c r="J568" s="1"/>
      <c r="K568" s="86"/>
      <c r="L568" s="48"/>
      <c r="M568" s="48"/>
      <c r="N568" s="370"/>
      <c r="O568" s="48"/>
    </row>
    <row r="569" spans="1:15" s="378" customFormat="1" ht="15" x14ac:dyDescent="0.25">
      <c r="A569" s="1">
        <v>565</v>
      </c>
      <c r="B569" s="1" t="s">
        <v>617</v>
      </c>
      <c r="C569" s="32">
        <v>9727</v>
      </c>
      <c r="D569" s="1">
        <v>24000</v>
      </c>
      <c r="E569" s="1" t="s">
        <v>642</v>
      </c>
      <c r="F569" s="1">
        <v>267.67</v>
      </c>
      <c r="G569" s="1">
        <v>24000</v>
      </c>
      <c r="H569" s="5">
        <f t="shared" si="8"/>
        <v>0</v>
      </c>
      <c r="I569" s="1"/>
      <c r="J569" s="1"/>
      <c r="K569" s="86"/>
      <c r="L569" s="48"/>
      <c r="M569" s="48"/>
      <c r="N569" s="370"/>
      <c r="O569" s="48"/>
    </row>
    <row r="570" spans="1:15" s="378" customFormat="1" ht="15" x14ac:dyDescent="0.25">
      <c r="A570" s="1">
        <v>566</v>
      </c>
      <c r="B570" s="1" t="s">
        <v>617</v>
      </c>
      <c r="C570" s="32">
        <v>2311</v>
      </c>
      <c r="D570" s="1">
        <v>16000</v>
      </c>
      <c r="E570" s="1" t="s">
        <v>642</v>
      </c>
      <c r="F570" s="1">
        <v>178.22</v>
      </c>
      <c r="G570" s="1">
        <v>16000</v>
      </c>
      <c r="H570" s="5">
        <f t="shared" si="8"/>
        <v>0</v>
      </c>
      <c r="I570" s="1"/>
      <c r="J570" s="1"/>
      <c r="K570" s="86"/>
      <c r="L570" s="48"/>
      <c r="M570" s="48"/>
      <c r="N570" s="370"/>
      <c r="O570" s="48"/>
    </row>
    <row r="571" spans="1:15" s="378" customFormat="1" ht="15" x14ac:dyDescent="0.25">
      <c r="A571" s="1">
        <v>567</v>
      </c>
      <c r="B571" s="1" t="s">
        <v>617</v>
      </c>
      <c r="C571" s="32">
        <v>7514</v>
      </c>
      <c r="D571" s="1">
        <v>28000</v>
      </c>
      <c r="E571" s="1" t="s">
        <v>642</v>
      </c>
      <c r="F571" s="1">
        <v>311.68</v>
      </c>
      <c r="G571" s="1">
        <v>28000</v>
      </c>
      <c r="H571" s="5">
        <f t="shared" si="8"/>
        <v>0</v>
      </c>
      <c r="I571" s="1"/>
      <c r="J571" s="1"/>
      <c r="K571" s="86"/>
      <c r="L571" s="48"/>
      <c r="M571" s="48"/>
      <c r="N571" s="370"/>
      <c r="O571" s="48"/>
    </row>
    <row r="572" spans="1:15" s="378" customFormat="1" ht="15" x14ac:dyDescent="0.25">
      <c r="A572" s="1">
        <v>568</v>
      </c>
      <c r="B572" s="1" t="s">
        <v>618</v>
      </c>
      <c r="C572" s="32">
        <v>5.3999999999999999E-2</v>
      </c>
      <c r="D572" s="1">
        <v>15000</v>
      </c>
      <c r="E572" s="1" t="s">
        <v>642</v>
      </c>
      <c r="F572" s="1">
        <v>167.15</v>
      </c>
      <c r="G572" s="1">
        <v>15000</v>
      </c>
      <c r="H572" s="5">
        <f t="shared" si="8"/>
        <v>0</v>
      </c>
      <c r="I572" s="1"/>
      <c r="J572" s="1"/>
      <c r="K572" s="86"/>
      <c r="L572" s="48"/>
      <c r="M572" s="48"/>
      <c r="N572" s="370"/>
      <c r="O572" s="48"/>
    </row>
    <row r="573" spans="1:15" s="378" customFormat="1" ht="15" x14ac:dyDescent="0.25">
      <c r="A573" s="1">
        <v>569</v>
      </c>
      <c r="B573" s="1" t="s">
        <v>618</v>
      </c>
      <c r="C573" s="32">
        <v>1446</v>
      </c>
      <c r="D573" s="1">
        <v>15000</v>
      </c>
      <c r="E573" s="1" t="s">
        <v>642</v>
      </c>
      <c r="F573" s="1">
        <v>167.15</v>
      </c>
      <c r="G573" s="1">
        <v>15000</v>
      </c>
      <c r="H573" s="5">
        <f t="shared" si="8"/>
        <v>0</v>
      </c>
      <c r="I573" s="1"/>
      <c r="J573" s="1"/>
      <c r="K573" s="86"/>
      <c r="L573" s="48"/>
      <c r="M573" s="48"/>
      <c r="N573" s="370"/>
      <c r="O573" s="48"/>
    </row>
    <row r="574" spans="1:15" s="378" customFormat="1" ht="15" x14ac:dyDescent="0.25">
      <c r="A574" s="1">
        <v>570</v>
      </c>
      <c r="B574" s="1" t="s">
        <v>618</v>
      </c>
      <c r="C574" s="32">
        <v>2286</v>
      </c>
      <c r="D574" s="1">
        <v>15000</v>
      </c>
      <c r="E574" s="1" t="s">
        <v>642</v>
      </c>
      <c r="F574" s="1">
        <v>167.15</v>
      </c>
      <c r="G574" s="1">
        <v>15000</v>
      </c>
      <c r="H574" s="5">
        <f t="shared" si="8"/>
        <v>0</v>
      </c>
      <c r="I574" s="1"/>
      <c r="J574" s="1"/>
      <c r="K574" s="86"/>
      <c r="L574" s="48"/>
      <c r="M574" s="48"/>
      <c r="N574" s="370"/>
      <c r="O574" s="48"/>
    </row>
    <row r="575" spans="1:15" s="378" customFormat="1" ht="15" x14ac:dyDescent="0.25">
      <c r="A575" s="1">
        <v>571</v>
      </c>
      <c r="B575" s="1" t="s">
        <v>618</v>
      </c>
      <c r="C575" s="32">
        <v>5582</v>
      </c>
      <c r="D575" s="1">
        <v>20000</v>
      </c>
      <c r="E575" s="1" t="s">
        <v>642</v>
      </c>
      <c r="F575" s="1">
        <v>222.82</v>
      </c>
      <c r="G575" s="1">
        <v>20000</v>
      </c>
      <c r="H575" s="5">
        <f t="shared" si="8"/>
        <v>0</v>
      </c>
      <c r="I575" s="1"/>
      <c r="J575" s="1"/>
      <c r="K575" s="86"/>
      <c r="L575" s="48"/>
      <c r="M575" s="48"/>
      <c r="N575" s="370"/>
      <c r="O575" s="48"/>
    </row>
    <row r="576" spans="1:15" s="378" customFormat="1" ht="15" x14ac:dyDescent="0.25">
      <c r="A576" s="1">
        <v>572</v>
      </c>
      <c r="B576" s="1" t="s">
        <v>618</v>
      </c>
      <c r="C576" s="32">
        <v>5.2600000000000001E-2</v>
      </c>
      <c r="D576" s="1">
        <v>20000</v>
      </c>
      <c r="E576" s="1" t="s">
        <v>642</v>
      </c>
      <c r="F576" s="1">
        <v>222.82</v>
      </c>
      <c r="G576" s="1">
        <v>20000</v>
      </c>
      <c r="H576" s="5">
        <f t="shared" si="8"/>
        <v>0</v>
      </c>
      <c r="I576" s="1"/>
      <c r="J576" s="1"/>
      <c r="K576" s="86"/>
      <c r="L576" s="48"/>
      <c r="M576" s="48"/>
      <c r="N576" s="370"/>
      <c r="O576" s="48"/>
    </row>
    <row r="577" spans="1:15" s="378" customFormat="1" ht="15" x14ac:dyDescent="0.25">
      <c r="A577" s="1">
        <v>573</v>
      </c>
      <c r="B577" s="1" t="s">
        <v>618</v>
      </c>
      <c r="C577" s="32">
        <v>5650</v>
      </c>
      <c r="D577" s="1">
        <v>25000</v>
      </c>
      <c r="E577" s="1" t="s">
        <v>642</v>
      </c>
      <c r="F577" s="1">
        <v>278.22000000000003</v>
      </c>
      <c r="G577" s="1">
        <v>25000</v>
      </c>
      <c r="H577" s="5">
        <f t="shared" si="8"/>
        <v>0</v>
      </c>
      <c r="I577" s="1"/>
      <c r="J577" s="1"/>
      <c r="K577" s="86"/>
      <c r="L577" s="48"/>
      <c r="M577" s="48"/>
      <c r="N577" s="370"/>
      <c r="O577" s="48"/>
    </row>
    <row r="578" spans="1:15" s="378" customFormat="1" ht="15" x14ac:dyDescent="0.25">
      <c r="A578" s="1">
        <v>574</v>
      </c>
      <c r="B578" s="1" t="s">
        <v>618</v>
      </c>
      <c r="C578" s="32">
        <v>2012</v>
      </c>
      <c r="D578" s="1">
        <v>26000</v>
      </c>
      <c r="E578" s="1" t="s">
        <v>642</v>
      </c>
      <c r="F578" s="1">
        <v>287.52</v>
      </c>
      <c r="G578" s="1">
        <v>26000</v>
      </c>
      <c r="H578" s="5">
        <f t="shared" si="8"/>
        <v>0</v>
      </c>
      <c r="I578" s="1"/>
      <c r="J578" s="1"/>
      <c r="K578" s="86"/>
      <c r="L578" s="48"/>
      <c r="M578" s="48"/>
      <c r="N578" s="370"/>
      <c r="O578" s="48"/>
    </row>
    <row r="579" spans="1:15" s="378" customFormat="1" ht="15" x14ac:dyDescent="0.25">
      <c r="A579" s="1">
        <v>575</v>
      </c>
      <c r="B579" s="1" t="s">
        <v>618</v>
      </c>
      <c r="C579" s="32">
        <v>3098</v>
      </c>
      <c r="D579" s="1">
        <v>28000</v>
      </c>
      <c r="E579" s="1" t="s">
        <v>642</v>
      </c>
      <c r="F579" s="1">
        <v>311.83</v>
      </c>
      <c r="G579" s="1">
        <v>28000</v>
      </c>
      <c r="H579" s="5">
        <f t="shared" si="8"/>
        <v>0</v>
      </c>
      <c r="I579" s="1"/>
      <c r="J579" s="1"/>
      <c r="K579" s="86"/>
      <c r="L579" s="48"/>
      <c r="M579" s="48"/>
      <c r="N579" s="370"/>
      <c r="O579" s="48"/>
    </row>
    <row r="580" spans="1:15" s="378" customFormat="1" ht="15" x14ac:dyDescent="0.25">
      <c r="A580" s="1">
        <v>576</v>
      </c>
      <c r="B580" s="1" t="s">
        <v>618</v>
      </c>
      <c r="C580" s="32">
        <v>2393</v>
      </c>
      <c r="D580" s="1">
        <v>23000</v>
      </c>
      <c r="E580" s="1" t="s">
        <v>642</v>
      </c>
      <c r="F580" s="1">
        <v>262.75</v>
      </c>
      <c r="G580" s="1">
        <v>23000</v>
      </c>
      <c r="H580" s="5">
        <f t="shared" si="8"/>
        <v>0</v>
      </c>
      <c r="I580" s="1"/>
      <c r="J580" s="1"/>
      <c r="K580" s="86"/>
      <c r="L580" s="48"/>
      <c r="M580" s="48"/>
      <c r="N580" s="370"/>
      <c r="O580" s="48"/>
    </row>
    <row r="581" spans="1:15" s="378" customFormat="1" ht="15" x14ac:dyDescent="0.25">
      <c r="A581" s="1">
        <v>577</v>
      </c>
      <c r="B581" s="1" t="s">
        <v>618</v>
      </c>
      <c r="C581" s="32" t="s">
        <v>30</v>
      </c>
      <c r="D581" s="1">
        <v>4500</v>
      </c>
      <c r="E581" s="1" t="s">
        <v>642</v>
      </c>
      <c r="F581" s="1">
        <v>50.45</v>
      </c>
      <c r="G581" s="1">
        <v>4500</v>
      </c>
      <c r="H581" s="5">
        <f t="shared" si="8"/>
        <v>0</v>
      </c>
      <c r="I581" s="1"/>
      <c r="J581" s="1"/>
      <c r="K581" s="86"/>
      <c r="L581" s="48"/>
      <c r="M581" s="48"/>
      <c r="N581" s="370"/>
      <c r="O581" s="48"/>
    </row>
    <row r="582" spans="1:15" s="378" customFormat="1" ht="15" x14ac:dyDescent="0.25">
      <c r="A582" s="1">
        <v>578</v>
      </c>
      <c r="B582" s="1" t="s">
        <v>618</v>
      </c>
      <c r="C582" s="32" t="s">
        <v>586</v>
      </c>
      <c r="D582" s="1">
        <v>2000</v>
      </c>
      <c r="E582" s="1" t="s">
        <v>642</v>
      </c>
      <c r="F582" s="1">
        <v>22.55</v>
      </c>
      <c r="G582" s="1">
        <v>2000</v>
      </c>
      <c r="H582" s="5">
        <f t="shared" si="8"/>
        <v>0</v>
      </c>
      <c r="I582" s="1"/>
      <c r="J582" s="1"/>
      <c r="K582" s="86"/>
      <c r="L582" s="48"/>
      <c r="M582" s="48"/>
      <c r="N582" s="370"/>
      <c r="O582" s="48"/>
    </row>
    <row r="583" spans="1:15" s="378" customFormat="1" ht="15" x14ac:dyDescent="0.25">
      <c r="A583" s="1">
        <v>579</v>
      </c>
      <c r="B583" s="1" t="s">
        <v>618</v>
      </c>
      <c r="C583" s="32" t="s">
        <v>587</v>
      </c>
      <c r="D583" s="1">
        <v>210</v>
      </c>
      <c r="E583" s="1" t="s">
        <v>642</v>
      </c>
      <c r="F583" s="1">
        <v>2.08</v>
      </c>
      <c r="G583" s="1">
        <v>210</v>
      </c>
      <c r="H583" s="5">
        <f t="shared" si="8"/>
        <v>0</v>
      </c>
      <c r="I583" s="1"/>
      <c r="J583" s="1"/>
      <c r="K583" s="86"/>
      <c r="L583" s="48"/>
      <c r="M583" s="48"/>
      <c r="N583" s="370"/>
      <c r="O583" s="48"/>
    </row>
    <row r="584" spans="1:15" s="378" customFormat="1" ht="15" x14ac:dyDescent="0.25">
      <c r="A584" s="1">
        <v>580</v>
      </c>
      <c r="B584" s="1" t="s">
        <v>618</v>
      </c>
      <c r="C584" s="32">
        <v>5817</v>
      </c>
      <c r="D584" s="1">
        <v>24000</v>
      </c>
      <c r="E584" s="1" t="s">
        <v>642</v>
      </c>
      <c r="F584" s="1">
        <v>267.57</v>
      </c>
      <c r="G584" s="1">
        <v>24000</v>
      </c>
      <c r="H584" s="5">
        <f t="shared" si="8"/>
        <v>0</v>
      </c>
      <c r="I584" s="1"/>
      <c r="J584" s="1"/>
      <c r="K584" s="86"/>
      <c r="L584" s="48"/>
      <c r="M584" s="48"/>
      <c r="N584" s="370"/>
      <c r="O584" s="48"/>
    </row>
    <row r="585" spans="1:15" s="378" customFormat="1" ht="15" x14ac:dyDescent="0.25">
      <c r="A585" s="1">
        <v>581</v>
      </c>
      <c r="B585" s="1" t="s">
        <v>618</v>
      </c>
      <c r="C585" s="32">
        <v>7954</v>
      </c>
      <c r="D585" s="1">
        <v>7000</v>
      </c>
      <c r="E585" s="1" t="s">
        <v>642</v>
      </c>
      <c r="F585" s="1">
        <v>77.989999999999995</v>
      </c>
      <c r="G585" s="1">
        <v>7000</v>
      </c>
      <c r="H585" s="5">
        <f t="shared" si="8"/>
        <v>0</v>
      </c>
      <c r="I585" s="1"/>
      <c r="J585" s="1"/>
      <c r="K585" s="86"/>
      <c r="L585" s="48"/>
      <c r="M585" s="48"/>
      <c r="N585" s="370"/>
      <c r="O585" s="48"/>
    </row>
    <row r="586" spans="1:15" s="378" customFormat="1" ht="15" x14ac:dyDescent="0.25">
      <c r="A586" s="1">
        <v>582</v>
      </c>
      <c r="B586" s="1" t="s">
        <v>618</v>
      </c>
      <c r="C586" s="32">
        <v>9275</v>
      </c>
      <c r="D586" s="1">
        <v>30000</v>
      </c>
      <c r="E586" s="1" t="s">
        <v>642</v>
      </c>
      <c r="F586" s="1">
        <v>334.52</v>
      </c>
      <c r="G586" s="1">
        <v>30000</v>
      </c>
      <c r="H586" s="5">
        <f t="shared" si="8"/>
        <v>0</v>
      </c>
      <c r="I586" s="1"/>
      <c r="J586" s="1"/>
      <c r="K586" s="86"/>
      <c r="L586" s="48"/>
      <c r="M586" s="48"/>
      <c r="N586" s="370"/>
      <c r="O586" s="48"/>
    </row>
    <row r="587" spans="1:15" s="378" customFormat="1" ht="15" x14ac:dyDescent="0.25">
      <c r="A587" s="1">
        <v>583</v>
      </c>
      <c r="B587" s="1" t="s">
        <v>618</v>
      </c>
      <c r="C587" s="32">
        <v>9455</v>
      </c>
      <c r="D587" s="1">
        <v>29000</v>
      </c>
      <c r="E587" s="1" t="s">
        <v>642</v>
      </c>
      <c r="F587" s="1">
        <v>323.63</v>
      </c>
      <c r="G587" s="1">
        <v>29000</v>
      </c>
      <c r="H587" s="5">
        <f t="shared" si="8"/>
        <v>0</v>
      </c>
      <c r="I587" s="1"/>
      <c r="J587" s="1"/>
      <c r="K587" s="86"/>
      <c r="L587" s="48"/>
      <c r="M587" s="48"/>
      <c r="N587" s="370"/>
      <c r="O587" s="48"/>
    </row>
    <row r="588" spans="1:15" s="378" customFormat="1" ht="15" x14ac:dyDescent="0.25">
      <c r="A588" s="1">
        <v>584</v>
      </c>
      <c r="B588" s="1" t="s">
        <v>618</v>
      </c>
      <c r="C588" s="32">
        <v>4268</v>
      </c>
      <c r="D588" s="1">
        <v>15000</v>
      </c>
      <c r="E588" s="1" t="s">
        <v>642</v>
      </c>
      <c r="F588" s="1">
        <v>167.15</v>
      </c>
      <c r="G588" s="1">
        <v>15000</v>
      </c>
      <c r="H588" s="5">
        <f t="shared" si="8"/>
        <v>0</v>
      </c>
      <c r="I588" s="1"/>
      <c r="J588" s="1"/>
      <c r="K588" s="86"/>
      <c r="L588" s="48"/>
      <c r="M588" s="48"/>
      <c r="N588" s="370"/>
      <c r="O588" s="48"/>
    </row>
    <row r="589" spans="1:15" s="378" customFormat="1" ht="15" x14ac:dyDescent="0.25">
      <c r="A589" s="1">
        <v>585</v>
      </c>
      <c r="B589" s="1" t="s">
        <v>618</v>
      </c>
      <c r="C589" s="32">
        <v>1861</v>
      </c>
      <c r="D589" s="1">
        <v>19000</v>
      </c>
      <c r="E589" s="1" t="s">
        <v>642</v>
      </c>
      <c r="F589" s="1">
        <v>169.27</v>
      </c>
      <c r="G589" s="1">
        <v>19000</v>
      </c>
      <c r="H589" s="5">
        <f t="shared" si="8"/>
        <v>0</v>
      </c>
      <c r="I589" s="1"/>
      <c r="J589" s="1"/>
      <c r="K589" s="86"/>
      <c r="L589" s="48"/>
      <c r="M589" s="48"/>
      <c r="N589" s="370"/>
      <c r="O589" s="48"/>
    </row>
    <row r="590" spans="1:15" s="378" customFormat="1" ht="15" x14ac:dyDescent="0.25">
      <c r="A590" s="1">
        <v>586</v>
      </c>
      <c r="B590" s="1" t="s">
        <v>618</v>
      </c>
      <c r="C590" s="32">
        <v>1707</v>
      </c>
      <c r="D590" s="1">
        <v>22000</v>
      </c>
      <c r="E590" s="1" t="s">
        <v>642</v>
      </c>
      <c r="F590" s="1">
        <v>245.57</v>
      </c>
      <c r="G590" s="1">
        <v>22000</v>
      </c>
      <c r="H590" s="5">
        <f t="shared" si="8"/>
        <v>0</v>
      </c>
      <c r="I590" s="1"/>
      <c r="J590" s="1"/>
      <c r="K590" s="86"/>
      <c r="L590" s="48"/>
      <c r="M590" s="48"/>
      <c r="N590" s="370"/>
      <c r="O590" s="48"/>
    </row>
    <row r="591" spans="1:15" s="378" customFormat="1" ht="15" x14ac:dyDescent="0.25">
      <c r="A591" s="1">
        <v>587</v>
      </c>
      <c r="B591" s="1" t="s">
        <v>618</v>
      </c>
      <c r="C591" s="32">
        <v>6311</v>
      </c>
      <c r="D591" s="1">
        <v>24000</v>
      </c>
      <c r="E591" s="1" t="s">
        <v>642</v>
      </c>
      <c r="F591" s="1">
        <v>267.67</v>
      </c>
      <c r="G591" s="1">
        <v>24000</v>
      </c>
      <c r="H591" s="5">
        <f t="shared" si="8"/>
        <v>0</v>
      </c>
      <c r="I591" s="1"/>
      <c r="J591" s="1"/>
      <c r="K591" s="86"/>
      <c r="L591" s="48"/>
      <c r="M591" s="48"/>
      <c r="N591" s="370"/>
      <c r="O591" s="48"/>
    </row>
    <row r="592" spans="1:15" s="378" customFormat="1" ht="15" x14ac:dyDescent="0.25">
      <c r="A592" s="1">
        <v>588</v>
      </c>
      <c r="B592" s="1" t="s">
        <v>618</v>
      </c>
      <c r="C592" s="32">
        <v>8311</v>
      </c>
      <c r="D592" s="1">
        <v>24000</v>
      </c>
      <c r="E592" s="1" t="s">
        <v>642</v>
      </c>
      <c r="F592" s="1">
        <v>267.67</v>
      </c>
      <c r="G592" s="1">
        <v>24000</v>
      </c>
      <c r="H592" s="5">
        <f t="shared" si="8"/>
        <v>0</v>
      </c>
      <c r="I592" s="1"/>
      <c r="J592" s="1"/>
      <c r="K592" s="86"/>
      <c r="L592" s="48"/>
      <c r="M592" s="48"/>
      <c r="N592" s="370"/>
      <c r="O592" s="48"/>
    </row>
    <row r="593" spans="1:15" s="378" customFormat="1" ht="15" x14ac:dyDescent="0.25">
      <c r="A593" s="1">
        <v>589</v>
      </c>
      <c r="B593" s="1" t="s">
        <v>618</v>
      </c>
      <c r="C593" s="32">
        <v>9330</v>
      </c>
      <c r="D593" s="1">
        <v>17000</v>
      </c>
      <c r="E593" s="1" t="s">
        <v>642</v>
      </c>
      <c r="F593" s="1">
        <v>189.42</v>
      </c>
      <c r="G593" s="1">
        <v>17000</v>
      </c>
      <c r="H593" s="5">
        <f t="shared" si="8"/>
        <v>0</v>
      </c>
      <c r="I593" s="1"/>
      <c r="J593" s="1"/>
      <c r="K593" s="86"/>
      <c r="L593" s="48"/>
      <c r="M593" s="48"/>
      <c r="N593" s="370"/>
      <c r="O593" s="48"/>
    </row>
    <row r="594" spans="1:15" s="378" customFormat="1" ht="15.75" thickBot="1" x14ac:dyDescent="0.3">
      <c r="A594" s="1">
        <v>590</v>
      </c>
      <c r="B594" s="1" t="s">
        <v>618</v>
      </c>
      <c r="C594" s="32">
        <v>7988</v>
      </c>
      <c r="D594" s="1">
        <v>20000</v>
      </c>
      <c r="E594" s="1" t="s">
        <v>642</v>
      </c>
      <c r="F594" s="1">
        <v>222.82</v>
      </c>
      <c r="G594" s="1">
        <v>20000</v>
      </c>
      <c r="H594" s="5">
        <f t="shared" si="8"/>
        <v>0</v>
      </c>
      <c r="I594" s="1"/>
      <c r="J594" s="1"/>
      <c r="K594" s="86"/>
      <c r="L594" s="48"/>
      <c r="M594" s="48"/>
      <c r="N594" s="370"/>
      <c r="O594" s="48"/>
    </row>
    <row r="595" spans="1:15" s="378" customFormat="1" ht="15.75" thickBot="1" x14ac:dyDescent="0.3">
      <c r="A595" s="1">
        <v>591</v>
      </c>
      <c r="B595" s="1" t="s">
        <v>618</v>
      </c>
      <c r="C595" s="32">
        <v>4059</v>
      </c>
      <c r="D595" s="1">
        <v>25000</v>
      </c>
      <c r="E595" s="1" t="s">
        <v>642</v>
      </c>
      <c r="F595" s="1">
        <v>278.22000000000003</v>
      </c>
      <c r="G595" s="1">
        <v>25000</v>
      </c>
      <c r="H595" s="5">
        <f t="shared" si="8"/>
        <v>0</v>
      </c>
      <c r="I595" s="1"/>
      <c r="J595" s="1"/>
      <c r="K595" s="86">
        <f>2908990-2893583</f>
        <v>15407</v>
      </c>
      <c r="L595" s="358" t="s">
        <v>619</v>
      </c>
      <c r="M595" s="359">
        <v>19154</v>
      </c>
      <c r="N595" s="367" t="s">
        <v>620</v>
      </c>
      <c r="O595" s="360">
        <f>19154-15407</f>
        <v>3747</v>
      </c>
    </row>
    <row r="596" spans="1:15" s="379" customFormat="1" ht="15" x14ac:dyDescent="0.25">
      <c r="A596" s="1">
        <v>592</v>
      </c>
      <c r="B596" s="1" t="s">
        <v>621</v>
      </c>
      <c r="C596" s="32">
        <v>4.1599999999999998E-2</v>
      </c>
      <c r="D596" s="1">
        <v>15000</v>
      </c>
      <c r="E596" s="1" t="s">
        <v>642</v>
      </c>
      <c r="F596" s="1">
        <v>167.22</v>
      </c>
      <c r="G596" s="1">
        <v>15000</v>
      </c>
      <c r="H596" s="5">
        <f t="shared" si="8"/>
        <v>0</v>
      </c>
      <c r="I596" s="1"/>
      <c r="J596" s="1"/>
      <c r="K596" s="86"/>
      <c r="L596" s="48"/>
      <c r="M596" s="48"/>
      <c r="N596" s="370"/>
      <c r="O596" s="48"/>
    </row>
    <row r="597" spans="1:15" s="379" customFormat="1" ht="15" x14ac:dyDescent="0.25">
      <c r="A597" s="1">
        <v>593</v>
      </c>
      <c r="B597" s="1" t="s">
        <v>621</v>
      </c>
      <c r="C597" s="32">
        <v>8326</v>
      </c>
      <c r="D597" s="1">
        <v>16000</v>
      </c>
      <c r="E597" s="1" t="s">
        <v>642</v>
      </c>
      <c r="F597" s="1">
        <v>178.22</v>
      </c>
      <c r="G597" s="1">
        <v>16000</v>
      </c>
      <c r="H597" s="5">
        <f t="shared" si="8"/>
        <v>0</v>
      </c>
      <c r="I597" s="1"/>
      <c r="J597" s="1"/>
      <c r="K597" s="86"/>
      <c r="L597" s="48"/>
      <c r="M597" s="48"/>
      <c r="N597" s="370"/>
      <c r="O597" s="48"/>
    </row>
    <row r="598" spans="1:15" s="379" customFormat="1" ht="15" x14ac:dyDescent="0.25">
      <c r="A598" s="1">
        <v>594</v>
      </c>
      <c r="B598" s="1" t="s">
        <v>621</v>
      </c>
      <c r="C598" s="32">
        <v>5961</v>
      </c>
      <c r="D598" s="1">
        <v>10000</v>
      </c>
      <c r="E598" s="1" t="s">
        <v>642</v>
      </c>
      <c r="F598" s="1">
        <v>111.41</v>
      </c>
      <c r="G598" s="1">
        <v>10000</v>
      </c>
      <c r="H598" s="5">
        <f t="shared" si="8"/>
        <v>0</v>
      </c>
      <c r="I598" s="1"/>
      <c r="J598" s="1"/>
      <c r="K598" s="86"/>
      <c r="L598" s="48"/>
      <c r="M598" s="48"/>
      <c r="N598" s="370"/>
      <c r="O598" s="48"/>
    </row>
    <row r="599" spans="1:15" s="379" customFormat="1" ht="15" x14ac:dyDescent="0.25">
      <c r="A599" s="1">
        <v>595</v>
      </c>
      <c r="B599" s="1" t="s">
        <v>621</v>
      </c>
      <c r="C599" s="32">
        <v>1178</v>
      </c>
      <c r="D599" s="1">
        <v>10000</v>
      </c>
      <c r="E599" s="1" t="s">
        <v>642</v>
      </c>
      <c r="F599" s="1">
        <v>111.41</v>
      </c>
      <c r="G599" s="1">
        <v>10000</v>
      </c>
      <c r="H599" s="5">
        <f t="shared" si="8"/>
        <v>0</v>
      </c>
      <c r="I599" s="1"/>
      <c r="J599" s="1"/>
      <c r="K599" s="86"/>
      <c r="L599" s="48"/>
      <c r="M599" s="48"/>
      <c r="N599" s="370"/>
      <c r="O599" s="48"/>
    </row>
    <row r="600" spans="1:15" s="379" customFormat="1" ht="15" x14ac:dyDescent="0.25">
      <c r="A600" s="1">
        <v>596</v>
      </c>
      <c r="B600" s="1" t="s">
        <v>621</v>
      </c>
      <c r="C600" s="32">
        <v>6457</v>
      </c>
      <c r="D600" s="1">
        <v>31000</v>
      </c>
      <c r="E600" s="1" t="s">
        <v>642</v>
      </c>
      <c r="F600" s="1">
        <v>345.87</v>
      </c>
      <c r="G600" s="1">
        <v>31000</v>
      </c>
      <c r="H600" s="5">
        <f t="shared" si="8"/>
        <v>0</v>
      </c>
      <c r="I600" s="1"/>
      <c r="J600" s="1"/>
      <c r="K600" s="86"/>
      <c r="L600" s="48"/>
      <c r="M600" s="48"/>
      <c r="N600" s="370"/>
      <c r="O600" s="48"/>
    </row>
    <row r="601" spans="1:15" s="379" customFormat="1" ht="15" x14ac:dyDescent="0.25">
      <c r="A601" s="1">
        <v>597</v>
      </c>
      <c r="B601" s="1" t="s">
        <v>621</v>
      </c>
      <c r="C601" s="32">
        <v>4451</v>
      </c>
      <c r="D601" s="1">
        <v>18000</v>
      </c>
      <c r="E601" s="1" t="s">
        <v>642</v>
      </c>
      <c r="F601" s="1">
        <v>200.82</v>
      </c>
      <c r="G601" s="1">
        <v>18000</v>
      </c>
      <c r="H601" s="5">
        <f t="shared" si="8"/>
        <v>0</v>
      </c>
      <c r="I601" s="1"/>
      <c r="J601" s="1"/>
      <c r="K601" s="86"/>
      <c r="L601" s="48"/>
      <c r="M601" s="48"/>
      <c r="N601" s="370"/>
      <c r="O601" s="48"/>
    </row>
    <row r="602" spans="1:15" s="379" customFormat="1" ht="15" x14ac:dyDescent="0.25">
      <c r="A602" s="1">
        <v>598</v>
      </c>
      <c r="B602" s="1" t="s">
        <v>621</v>
      </c>
      <c r="C602" s="32">
        <v>1335</v>
      </c>
      <c r="D602" s="1">
        <v>17000</v>
      </c>
      <c r="E602" s="1" t="s">
        <v>642</v>
      </c>
      <c r="F602" s="1">
        <v>189.57</v>
      </c>
      <c r="G602" s="1">
        <v>17000</v>
      </c>
      <c r="H602" s="5">
        <f t="shared" si="8"/>
        <v>0</v>
      </c>
      <c r="I602" s="1"/>
      <c r="J602" s="1"/>
      <c r="K602" s="86"/>
      <c r="L602" s="48"/>
      <c r="M602" s="48"/>
      <c r="N602" s="370"/>
      <c r="O602" s="48"/>
    </row>
    <row r="603" spans="1:15" s="379" customFormat="1" ht="15" x14ac:dyDescent="0.25">
      <c r="A603" s="1">
        <v>599</v>
      </c>
      <c r="B603" s="1" t="s">
        <v>621</v>
      </c>
      <c r="C603" s="32">
        <v>3550</v>
      </c>
      <c r="D603" s="1">
        <v>10000</v>
      </c>
      <c r="E603" s="1" t="s">
        <v>642</v>
      </c>
      <c r="F603" s="1">
        <v>111.41</v>
      </c>
      <c r="G603" s="1">
        <v>10000</v>
      </c>
      <c r="H603" s="5">
        <f t="shared" si="8"/>
        <v>0</v>
      </c>
      <c r="I603" s="1"/>
      <c r="J603" s="1"/>
      <c r="K603" s="86"/>
      <c r="L603" s="48"/>
      <c r="M603" s="48"/>
      <c r="N603" s="370"/>
      <c r="O603" s="48"/>
    </row>
    <row r="604" spans="1:15" s="379" customFormat="1" ht="15" x14ac:dyDescent="0.25">
      <c r="A604" s="1">
        <v>600</v>
      </c>
      <c r="B604" s="1" t="s">
        <v>621</v>
      </c>
      <c r="C604" s="32">
        <v>6311</v>
      </c>
      <c r="D604" s="1">
        <v>10000</v>
      </c>
      <c r="E604" s="1" t="s">
        <v>642</v>
      </c>
      <c r="F604" s="1">
        <v>111.41</v>
      </c>
      <c r="G604" s="1">
        <v>10000</v>
      </c>
      <c r="H604" s="5">
        <f t="shared" si="8"/>
        <v>0</v>
      </c>
      <c r="I604" s="1"/>
      <c r="J604" s="1"/>
      <c r="K604" s="86"/>
      <c r="L604" s="48"/>
      <c r="M604" s="48"/>
      <c r="N604" s="370"/>
      <c r="O604" s="48"/>
    </row>
    <row r="605" spans="1:15" s="379" customFormat="1" ht="15" x14ac:dyDescent="0.25">
      <c r="A605" s="1">
        <v>601</v>
      </c>
      <c r="B605" s="1" t="s">
        <v>621</v>
      </c>
      <c r="C605" s="32" t="s">
        <v>30</v>
      </c>
      <c r="D605" s="1">
        <v>5000</v>
      </c>
      <c r="E605" s="1" t="s">
        <v>642</v>
      </c>
      <c r="F605" s="1">
        <v>55.45</v>
      </c>
      <c r="G605" s="1">
        <v>5000</v>
      </c>
      <c r="H605" s="5">
        <f t="shared" si="8"/>
        <v>0</v>
      </c>
      <c r="I605" s="1"/>
      <c r="J605" s="1"/>
      <c r="K605" s="86"/>
      <c r="L605" s="48"/>
      <c r="M605" s="48"/>
      <c r="N605" s="370"/>
      <c r="O605" s="48"/>
    </row>
    <row r="606" spans="1:15" s="379" customFormat="1" ht="15" x14ac:dyDescent="0.25">
      <c r="A606" s="1">
        <v>602</v>
      </c>
      <c r="B606" s="1" t="s">
        <v>621</v>
      </c>
      <c r="C606" s="32">
        <v>1863</v>
      </c>
      <c r="D606" s="1">
        <v>20000</v>
      </c>
      <c r="E606" s="1" t="s">
        <v>642</v>
      </c>
      <c r="F606" s="1">
        <v>222.82</v>
      </c>
      <c r="G606" s="1">
        <v>20000</v>
      </c>
      <c r="H606" s="5">
        <f t="shared" si="8"/>
        <v>0</v>
      </c>
      <c r="I606" s="1"/>
      <c r="J606" s="1"/>
      <c r="K606" s="86"/>
      <c r="L606" s="48"/>
      <c r="M606" s="48"/>
      <c r="N606" s="370"/>
      <c r="O606" s="48"/>
    </row>
    <row r="607" spans="1:15" s="379" customFormat="1" ht="15" x14ac:dyDescent="0.25">
      <c r="A607" s="1">
        <v>603</v>
      </c>
      <c r="B607" s="1" t="s">
        <v>621</v>
      </c>
      <c r="C607" s="32" t="s">
        <v>30</v>
      </c>
      <c r="D607" s="1">
        <v>2000</v>
      </c>
      <c r="E607" s="1" t="s">
        <v>642</v>
      </c>
      <c r="F607" s="1">
        <v>22.45</v>
      </c>
      <c r="G607" s="1">
        <v>2000</v>
      </c>
      <c r="H607" s="5">
        <f t="shared" si="8"/>
        <v>0</v>
      </c>
      <c r="I607" s="1"/>
      <c r="J607" s="1"/>
      <c r="K607" s="86"/>
      <c r="L607" s="48"/>
      <c r="M607" s="48"/>
      <c r="N607" s="370"/>
      <c r="O607" s="48"/>
    </row>
    <row r="608" spans="1:15" s="379" customFormat="1" ht="15" x14ac:dyDescent="0.25">
      <c r="A608" s="1">
        <v>604</v>
      </c>
      <c r="B608" s="1" t="s">
        <v>621</v>
      </c>
      <c r="C608" s="32">
        <v>2028</v>
      </c>
      <c r="D608" s="1">
        <v>22000</v>
      </c>
      <c r="E608" s="1" t="s">
        <v>642</v>
      </c>
      <c r="F608" s="1">
        <v>245.57</v>
      </c>
      <c r="G608" s="1">
        <v>22000</v>
      </c>
      <c r="H608" s="5">
        <f t="shared" si="8"/>
        <v>0</v>
      </c>
      <c r="I608" s="1"/>
      <c r="J608" s="1"/>
      <c r="K608" s="86"/>
      <c r="L608" s="48"/>
      <c r="M608" s="48"/>
      <c r="N608" s="370"/>
      <c r="O608" s="48"/>
    </row>
    <row r="609" spans="1:15" s="379" customFormat="1" ht="15" x14ac:dyDescent="0.25">
      <c r="A609" s="1">
        <v>605</v>
      </c>
      <c r="B609" s="1" t="s">
        <v>621</v>
      </c>
      <c r="C609" s="32">
        <v>6459</v>
      </c>
      <c r="D609" s="1">
        <v>32000</v>
      </c>
      <c r="E609" s="1" t="s">
        <v>642</v>
      </c>
      <c r="F609" s="1">
        <v>356.82</v>
      </c>
      <c r="G609" s="1">
        <v>32000</v>
      </c>
      <c r="H609" s="5">
        <f t="shared" si="8"/>
        <v>0</v>
      </c>
      <c r="I609" s="1"/>
      <c r="J609" s="1"/>
      <c r="K609" s="86"/>
      <c r="L609" s="48"/>
      <c r="M609" s="48"/>
      <c r="N609" s="370"/>
      <c r="O609" s="48"/>
    </row>
    <row r="610" spans="1:15" s="379" customFormat="1" ht="15" x14ac:dyDescent="0.25">
      <c r="A610" s="1">
        <v>606</v>
      </c>
      <c r="B610" s="1" t="s">
        <v>621</v>
      </c>
      <c r="C610" s="32">
        <v>8360</v>
      </c>
      <c r="D610" s="1">
        <v>21000</v>
      </c>
      <c r="E610" s="1" t="s">
        <v>642</v>
      </c>
      <c r="F610" s="1">
        <v>233.67</v>
      </c>
      <c r="G610" s="1">
        <v>21000</v>
      </c>
      <c r="H610" s="5">
        <f t="shared" si="8"/>
        <v>0</v>
      </c>
      <c r="I610" s="1"/>
      <c r="J610" s="1"/>
      <c r="K610" s="86"/>
      <c r="L610" s="48"/>
      <c r="M610" s="48"/>
      <c r="N610" s="370"/>
      <c r="O610" s="48"/>
    </row>
    <row r="611" spans="1:15" s="379" customFormat="1" ht="15" x14ac:dyDescent="0.25">
      <c r="A611" s="1">
        <v>607</v>
      </c>
      <c r="B611" s="1" t="s">
        <v>621</v>
      </c>
      <c r="C611" s="32">
        <v>3135</v>
      </c>
      <c r="D611" s="1">
        <v>27000</v>
      </c>
      <c r="E611" s="1" t="s">
        <v>642</v>
      </c>
      <c r="F611" s="1">
        <v>266.41000000000003</v>
      </c>
      <c r="G611" s="1">
        <v>27000</v>
      </c>
      <c r="H611" s="5">
        <f t="shared" ref="H611:H674" si="9">D611-G611</f>
        <v>0</v>
      </c>
      <c r="I611" s="1"/>
      <c r="J611" s="1"/>
      <c r="K611" s="86"/>
      <c r="L611" s="48"/>
      <c r="M611" s="48"/>
      <c r="N611" s="370"/>
      <c r="O611" s="48"/>
    </row>
    <row r="612" spans="1:15" s="379" customFormat="1" ht="15" x14ac:dyDescent="0.25">
      <c r="A612" s="1">
        <v>608</v>
      </c>
      <c r="B612" s="1" t="s">
        <v>621</v>
      </c>
      <c r="C612" s="32">
        <v>2638</v>
      </c>
      <c r="D612" s="1">
        <v>21070</v>
      </c>
      <c r="E612" s="1" t="s">
        <v>642</v>
      </c>
      <c r="F612" s="1">
        <v>234.58</v>
      </c>
      <c r="G612" s="1">
        <v>21070</v>
      </c>
      <c r="H612" s="5">
        <f t="shared" si="9"/>
        <v>0</v>
      </c>
      <c r="I612" s="1"/>
      <c r="J612" s="1"/>
      <c r="K612" s="86"/>
      <c r="L612" s="48"/>
      <c r="M612" s="48"/>
      <c r="N612" s="370"/>
      <c r="O612" s="48"/>
    </row>
    <row r="613" spans="1:15" s="379" customFormat="1" ht="15" x14ac:dyDescent="0.25">
      <c r="A613" s="1">
        <v>609</v>
      </c>
      <c r="B613" s="1" t="s">
        <v>621</v>
      </c>
      <c r="C613" s="32">
        <v>4251</v>
      </c>
      <c r="D613" s="1">
        <v>24780</v>
      </c>
      <c r="E613" s="1" t="s">
        <v>642</v>
      </c>
      <c r="F613" s="1">
        <v>276.97000000000003</v>
      </c>
      <c r="G613" s="1">
        <v>24780</v>
      </c>
      <c r="H613" s="5">
        <f t="shared" si="9"/>
        <v>0</v>
      </c>
      <c r="I613" s="1"/>
      <c r="J613" s="1"/>
      <c r="K613" s="86"/>
      <c r="L613" s="48"/>
      <c r="M613" s="48"/>
      <c r="N613" s="370"/>
      <c r="O613" s="48"/>
    </row>
    <row r="614" spans="1:15" s="379" customFormat="1" ht="15" x14ac:dyDescent="0.25">
      <c r="A614" s="1">
        <v>610</v>
      </c>
      <c r="B614" s="1" t="s">
        <v>621</v>
      </c>
      <c r="C614" s="32">
        <v>1889</v>
      </c>
      <c r="D614" s="1">
        <v>11000</v>
      </c>
      <c r="E614" s="1" t="s">
        <v>642</v>
      </c>
      <c r="F614" s="1">
        <v>122.26</v>
      </c>
      <c r="G614" s="1">
        <v>11000</v>
      </c>
      <c r="H614" s="5">
        <f t="shared" si="9"/>
        <v>0</v>
      </c>
      <c r="I614" s="1"/>
      <c r="J614" s="1"/>
      <c r="K614" s="86"/>
      <c r="L614" s="48"/>
      <c r="M614" s="48"/>
      <c r="N614" s="370"/>
      <c r="O614" s="48"/>
    </row>
    <row r="615" spans="1:15" s="379" customFormat="1" ht="15" x14ac:dyDescent="0.25">
      <c r="A615" s="1">
        <v>611</v>
      </c>
      <c r="B615" s="1" t="s">
        <v>621</v>
      </c>
      <c r="C615" s="32">
        <v>8035</v>
      </c>
      <c r="D615" s="1">
        <v>25000</v>
      </c>
      <c r="E615" s="1" t="s">
        <v>642</v>
      </c>
      <c r="F615" s="1">
        <v>278.22000000000003</v>
      </c>
      <c r="G615" s="1">
        <v>25000</v>
      </c>
      <c r="H615" s="5">
        <f t="shared" si="9"/>
        <v>0</v>
      </c>
      <c r="I615" s="1"/>
      <c r="J615" s="1"/>
      <c r="K615" s="86"/>
      <c r="L615" s="48"/>
      <c r="M615" s="48"/>
      <c r="N615" s="370"/>
      <c r="O615" s="48"/>
    </row>
    <row r="616" spans="1:15" s="379" customFormat="1" ht="15.75" thickBot="1" x14ac:dyDescent="0.3">
      <c r="A616" s="1">
        <v>612</v>
      </c>
      <c r="B616" s="1" t="s">
        <v>621</v>
      </c>
      <c r="C616" s="32">
        <v>8739</v>
      </c>
      <c r="D616" s="1">
        <v>10000</v>
      </c>
      <c r="E616" s="1" t="s">
        <v>642</v>
      </c>
      <c r="F616" s="1">
        <v>111.41</v>
      </c>
      <c r="G616" s="1">
        <v>10000</v>
      </c>
      <c r="H616" s="5">
        <f t="shared" si="9"/>
        <v>0</v>
      </c>
      <c r="I616" s="1"/>
      <c r="J616" s="1"/>
      <c r="K616" s="86"/>
      <c r="L616" s="48"/>
      <c r="M616" s="48"/>
      <c r="N616" s="370"/>
      <c r="O616" s="48"/>
    </row>
    <row r="617" spans="1:15" s="379" customFormat="1" ht="15.75" thickBot="1" x14ac:dyDescent="0.3">
      <c r="A617" s="1">
        <v>613</v>
      </c>
      <c r="B617" s="1" t="s">
        <v>621</v>
      </c>
      <c r="C617" s="32">
        <v>3963</v>
      </c>
      <c r="D617" s="1">
        <v>21000</v>
      </c>
      <c r="E617" s="1" t="s">
        <v>642</v>
      </c>
      <c r="F617" s="1">
        <v>233.67</v>
      </c>
      <c r="G617" s="1">
        <v>21000</v>
      </c>
      <c r="H617" s="5">
        <f t="shared" si="9"/>
        <v>0</v>
      </c>
      <c r="I617" s="1"/>
      <c r="J617" s="1"/>
      <c r="K617" s="103">
        <f>2287842-2272433</f>
        <v>15409</v>
      </c>
      <c r="L617" s="359" t="s">
        <v>619</v>
      </c>
      <c r="M617" s="359">
        <v>19154</v>
      </c>
      <c r="N617" s="367" t="s">
        <v>620</v>
      </c>
      <c r="O617" s="360">
        <f>19154-15409</f>
        <v>3745</v>
      </c>
    </row>
    <row r="618" spans="1:15" s="380" customFormat="1" ht="15" x14ac:dyDescent="0.25">
      <c r="A618" s="1">
        <v>614</v>
      </c>
      <c r="B618" s="1" t="s">
        <v>622</v>
      </c>
      <c r="C618" s="32">
        <v>8875</v>
      </c>
      <c r="D618" s="1">
        <v>25000</v>
      </c>
      <c r="E618" s="1" t="s">
        <v>642</v>
      </c>
      <c r="F618" s="1">
        <v>278.22000000000003</v>
      </c>
      <c r="G618" s="1">
        <v>25000</v>
      </c>
      <c r="H618" s="5">
        <f t="shared" si="9"/>
        <v>0</v>
      </c>
      <c r="I618" s="1"/>
      <c r="J618" s="1"/>
      <c r="K618" s="86"/>
      <c r="L618" s="48"/>
      <c r="M618" s="48"/>
      <c r="N618" s="370"/>
      <c r="O618" s="48"/>
    </row>
    <row r="619" spans="1:15" s="380" customFormat="1" ht="15" x14ac:dyDescent="0.25">
      <c r="A619" s="1">
        <v>615</v>
      </c>
      <c r="B619" s="1" t="s">
        <v>622</v>
      </c>
      <c r="C619" s="32">
        <v>4601</v>
      </c>
      <c r="D619" s="1">
        <v>20000</v>
      </c>
      <c r="E619" s="1" t="s">
        <v>642</v>
      </c>
      <c r="F619" s="1">
        <v>222.82</v>
      </c>
      <c r="G619" s="1">
        <v>20000</v>
      </c>
      <c r="H619" s="5">
        <f t="shared" si="9"/>
        <v>0</v>
      </c>
      <c r="I619" s="1"/>
      <c r="J619" s="1"/>
      <c r="K619" s="86"/>
      <c r="L619" s="48"/>
      <c r="M619" s="48"/>
      <c r="N619" s="370"/>
      <c r="O619" s="48"/>
    </row>
    <row r="620" spans="1:15" s="380" customFormat="1" ht="15" x14ac:dyDescent="0.25">
      <c r="A620" s="1">
        <v>616</v>
      </c>
      <c r="B620" s="1" t="s">
        <v>622</v>
      </c>
      <c r="C620" s="32">
        <v>8534</v>
      </c>
      <c r="D620" s="1">
        <v>25000</v>
      </c>
      <c r="E620" s="1" t="s">
        <v>642</v>
      </c>
      <c r="F620" s="1">
        <v>278.22000000000003</v>
      </c>
      <c r="G620" s="1">
        <v>25000</v>
      </c>
      <c r="H620" s="5">
        <f t="shared" si="9"/>
        <v>0</v>
      </c>
      <c r="I620" s="1"/>
      <c r="J620" s="1"/>
      <c r="K620" s="86"/>
      <c r="L620" s="48"/>
      <c r="M620" s="48"/>
      <c r="N620" s="370"/>
      <c r="O620" s="48"/>
    </row>
    <row r="621" spans="1:15" s="380" customFormat="1" ht="15" x14ac:dyDescent="0.25">
      <c r="A621" s="1">
        <v>617</v>
      </c>
      <c r="B621" s="1" t="s">
        <v>622</v>
      </c>
      <c r="C621" s="32">
        <v>8735</v>
      </c>
      <c r="D621" s="1">
        <v>23000</v>
      </c>
      <c r="E621" s="1" t="s">
        <v>642</v>
      </c>
      <c r="F621" s="1">
        <v>256.62</v>
      </c>
      <c r="G621" s="1">
        <v>23000</v>
      </c>
      <c r="H621" s="5">
        <f t="shared" si="9"/>
        <v>0</v>
      </c>
      <c r="I621" s="1"/>
      <c r="J621" s="1"/>
      <c r="K621" s="86"/>
      <c r="L621" s="48"/>
      <c r="M621" s="48"/>
      <c r="N621" s="370"/>
      <c r="O621" s="48"/>
    </row>
    <row r="622" spans="1:15" s="380" customFormat="1" ht="15" x14ac:dyDescent="0.25">
      <c r="A622" s="1">
        <v>618</v>
      </c>
      <c r="B622" s="1" t="s">
        <v>622</v>
      </c>
      <c r="C622" s="32">
        <v>8597</v>
      </c>
      <c r="D622" s="1">
        <v>23000</v>
      </c>
      <c r="E622" s="1" t="s">
        <v>642</v>
      </c>
      <c r="F622" s="1">
        <v>256.62</v>
      </c>
      <c r="G622" s="1">
        <v>23000</v>
      </c>
      <c r="H622" s="5">
        <f t="shared" si="9"/>
        <v>0</v>
      </c>
      <c r="I622" s="1"/>
      <c r="J622" s="1"/>
      <c r="K622" s="86"/>
      <c r="L622" s="48"/>
      <c r="M622" s="48"/>
      <c r="N622" s="370"/>
      <c r="O622" s="48"/>
    </row>
    <row r="623" spans="1:15" s="380" customFormat="1" ht="15" x14ac:dyDescent="0.25">
      <c r="A623" s="1">
        <v>619</v>
      </c>
      <c r="B623" s="1" t="s">
        <v>622</v>
      </c>
      <c r="C623" s="32">
        <v>9.7000000000000003E-3</v>
      </c>
      <c r="D623" s="1">
        <v>25000</v>
      </c>
      <c r="E623" s="1" t="s">
        <v>642</v>
      </c>
      <c r="F623" s="1">
        <v>278.22000000000003</v>
      </c>
      <c r="G623" s="1">
        <v>25000</v>
      </c>
      <c r="H623" s="5">
        <f t="shared" si="9"/>
        <v>0</v>
      </c>
      <c r="I623" s="1"/>
      <c r="J623" s="1"/>
      <c r="K623" s="86"/>
      <c r="L623" s="48"/>
      <c r="M623" s="48"/>
      <c r="N623" s="370"/>
      <c r="O623" s="48"/>
    </row>
    <row r="624" spans="1:15" s="380" customFormat="1" ht="15" x14ac:dyDescent="0.25">
      <c r="A624" s="1">
        <v>620</v>
      </c>
      <c r="B624" s="1" t="s">
        <v>622</v>
      </c>
      <c r="C624" s="32">
        <v>5.8700000000000002E-2</v>
      </c>
      <c r="D624" s="1">
        <v>30000</v>
      </c>
      <c r="E624" s="1" t="s">
        <v>642</v>
      </c>
      <c r="F624" s="1">
        <v>334.52</v>
      </c>
      <c r="G624" s="1">
        <v>30000</v>
      </c>
      <c r="H624" s="5">
        <f t="shared" si="9"/>
        <v>0</v>
      </c>
      <c r="I624" s="1"/>
      <c r="J624" s="1"/>
      <c r="K624" s="86"/>
      <c r="L624" s="48"/>
      <c r="M624" s="48"/>
      <c r="N624" s="370"/>
      <c r="O624" s="48"/>
    </row>
    <row r="625" spans="1:15" s="380" customFormat="1" ht="15" x14ac:dyDescent="0.25">
      <c r="A625" s="1">
        <v>621</v>
      </c>
      <c r="B625" s="1" t="s">
        <v>622</v>
      </c>
      <c r="C625" s="32">
        <v>4563</v>
      </c>
      <c r="D625" s="1">
        <v>27000</v>
      </c>
      <c r="E625" s="1" t="s">
        <v>642</v>
      </c>
      <c r="F625" s="1">
        <v>291.38</v>
      </c>
      <c r="G625" s="1">
        <v>27000</v>
      </c>
      <c r="H625" s="5">
        <f t="shared" si="9"/>
        <v>0</v>
      </c>
      <c r="I625" s="1"/>
      <c r="J625" s="1"/>
      <c r="K625" s="86"/>
      <c r="L625" s="48"/>
      <c r="M625" s="48"/>
      <c r="N625" s="370"/>
      <c r="O625" s="48"/>
    </row>
    <row r="626" spans="1:15" s="380" customFormat="1" ht="15" x14ac:dyDescent="0.25">
      <c r="A626" s="1">
        <v>622</v>
      </c>
      <c r="B626" s="1" t="s">
        <v>622</v>
      </c>
      <c r="C626" s="32">
        <v>3312</v>
      </c>
      <c r="D626" s="1">
        <v>25000</v>
      </c>
      <c r="E626" s="1" t="s">
        <v>642</v>
      </c>
      <c r="F626" s="1">
        <v>278.22000000000003</v>
      </c>
      <c r="G626" s="1">
        <v>25000</v>
      </c>
      <c r="H626" s="5">
        <f t="shared" si="9"/>
        <v>0</v>
      </c>
      <c r="I626" s="1"/>
      <c r="J626" s="1"/>
      <c r="K626" s="86"/>
      <c r="L626" s="48"/>
      <c r="M626" s="48"/>
      <c r="N626" s="370"/>
      <c r="O626" s="48"/>
    </row>
    <row r="627" spans="1:15" s="380" customFormat="1" ht="15" x14ac:dyDescent="0.25">
      <c r="A627" s="1">
        <v>623</v>
      </c>
      <c r="B627" s="1" t="s">
        <v>622</v>
      </c>
      <c r="C627" s="32" t="s">
        <v>30</v>
      </c>
      <c r="D627" s="1">
        <v>2500</v>
      </c>
      <c r="E627" s="1" t="s">
        <v>642</v>
      </c>
      <c r="F627" s="1">
        <v>27.5</v>
      </c>
      <c r="G627" s="1">
        <v>2500</v>
      </c>
      <c r="H627" s="5">
        <f t="shared" si="9"/>
        <v>0</v>
      </c>
      <c r="I627" s="1"/>
      <c r="J627" s="1"/>
      <c r="K627" s="86"/>
      <c r="L627" s="48"/>
      <c r="M627" s="48"/>
      <c r="N627" s="370"/>
      <c r="O627" s="48"/>
    </row>
    <row r="628" spans="1:15" s="380" customFormat="1" ht="15" x14ac:dyDescent="0.25">
      <c r="A628" s="1">
        <v>624</v>
      </c>
      <c r="B628" s="1" t="s">
        <v>622</v>
      </c>
      <c r="C628" s="32" t="s">
        <v>30</v>
      </c>
      <c r="D628" s="1">
        <v>5000</v>
      </c>
      <c r="E628" s="1" t="s">
        <v>642</v>
      </c>
      <c r="F628" s="1">
        <v>55.45</v>
      </c>
      <c r="G628" s="1">
        <v>5000</v>
      </c>
      <c r="H628" s="5">
        <f t="shared" si="9"/>
        <v>0</v>
      </c>
      <c r="I628" s="1"/>
      <c r="J628" s="1"/>
      <c r="K628" s="86"/>
      <c r="L628" s="48"/>
      <c r="M628" s="48"/>
      <c r="N628" s="370"/>
      <c r="O628" s="48"/>
    </row>
    <row r="629" spans="1:15" s="380" customFormat="1" ht="15" x14ac:dyDescent="0.25">
      <c r="A629" s="1">
        <v>625</v>
      </c>
      <c r="B629" s="1" t="s">
        <v>622</v>
      </c>
      <c r="C629" s="32" t="s">
        <v>587</v>
      </c>
      <c r="D629" s="1">
        <v>110</v>
      </c>
      <c r="E629" s="1" t="s">
        <v>642</v>
      </c>
      <c r="F629" s="1">
        <v>1.35</v>
      </c>
      <c r="G629" s="1">
        <v>110</v>
      </c>
      <c r="H629" s="5">
        <f t="shared" si="9"/>
        <v>0</v>
      </c>
      <c r="I629" s="1"/>
      <c r="J629" s="1"/>
      <c r="K629" s="86"/>
      <c r="L629" s="48"/>
      <c r="M629" s="48"/>
      <c r="N629" s="370"/>
      <c r="O629" s="48"/>
    </row>
    <row r="630" spans="1:15" s="380" customFormat="1" ht="15" x14ac:dyDescent="0.25">
      <c r="A630" s="1">
        <v>626</v>
      </c>
      <c r="B630" s="1" t="s">
        <v>622</v>
      </c>
      <c r="C630" s="32">
        <v>7874</v>
      </c>
      <c r="D630" s="1">
        <v>20000</v>
      </c>
      <c r="E630" s="1" t="s">
        <v>642</v>
      </c>
      <c r="F630" s="1">
        <v>222.82</v>
      </c>
      <c r="G630" s="1">
        <v>20000</v>
      </c>
      <c r="H630" s="5">
        <f t="shared" si="9"/>
        <v>0</v>
      </c>
      <c r="I630" s="1"/>
      <c r="J630" s="1"/>
      <c r="K630" s="86"/>
      <c r="L630" s="48"/>
      <c r="M630" s="48"/>
      <c r="N630" s="370"/>
      <c r="O630" s="48"/>
    </row>
    <row r="631" spans="1:15" s="380" customFormat="1" ht="15" x14ac:dyDescent="0.25">
      <c r="A631" s="1">
        <v>627</v>
      </c>
      <c r="B631" s="1" t="s">
        <v>622</v>
      </c>
      <c r="C631" s="32">
        <v>2794</v>
      </c>
      <c r="D631" s="1">
        <v>20000</v>
      </c>
      <c r="E631" s="1" t="s">
        <v>642</v>
      </c>
      <c r="F631" s="1">
        <v>222.82</v>
      </c>
      <c r="G631" s="1">
        <v>20000</v>
      </c>
      <c r="H631" s="5">
        <f t="shared" si="9"/>
        <v>0</v>
      </c>
      <c r="I631" s="1"/>
      <c r="J631" s="1"/>
      <c r="K631" s="86"/>
      <c r="L631" s="48"/>
      <c r="M631" s="48"/>
      <c r="N631" s="370"/>
      <c r="O631" s="48"/>
    </row>
    <row r="632" spans="1:15" s="380" customFormat="1" ht="15" x14ac:dyDescent="0.25">
      <c r="A632" s="1">
        <v>628</v>
      </c>
      <c r="B632" s="1" t="s">
        <v>622</v>
      </c>
      <c r="C632" s="32">
        <v>1.72E-2</v>
      </c>
      <c r="D632" s="1">
        <v>30000</v>
      </c>
      <c r="E632" s="1" t="s">
        <v>642</v>
      </c>
      <c r="F632" s="1">
        <v>334.52</v>
      </c>
      <c r="G632" s="1">
        <v>30000</v>
      </c>
      <c r="H632" s="5">
        <f t="shared" si="9"/>
        <v>0</v>
      </c>
      <c r="I632" s="1"/>
      <c r="J632" s="1"/>
      <c r="K632" s="86"/>
      <c r="L632" s="48"/>
      <c r="M632" s="48"/>
      <c r="N632" s="370"/>
      <c r="O632" s="48"/>
    </row>
    <row r="633" spans="1:15" s="380" customFormat="1" ht="15.75" thickBot="1" x14ac:dyDescent="0.3">
      <c r="A633" s="1">
        <v>629</v>
      </c>
      <c r="B633" s="1" t="s">
        <v>622</v>
      </c>
      <c r="C633" s="32">
        <v>1632</v>
      </c>
      <c r="D633" s="1">
        <v>29000</v>
      </c>
      <c r="E633" s="1" t="s">
        <v>642</v>
      </c>
      <c r="F633" s="1">
        <v>320.67</v>
      </c>
      <c r="G633" s="1">
        <v>29000</v>
      </c>
      <c r="H633" s="5">
        <f t="shared" si="9"/>
        <v>0</v>
      </c>
      <c r="I633" s="1"/>
      <c r="J633" s="1"/>
      <c r="K633" s="86"/>
      <c r="L633" s="48"/>
      <c r="M633" s="48"/>
      <c r="N633" s="370"/>
      <c r="O633" s="48"/>
    </row>
    <row r="634" spans="1:15" s="380" customFormat="1" ht="15.75" thickBot="1" x14ac:dyDescent="0.3">
      <c r="A634" s="1">
        <v>630</v>
      </c>
      <c r="B634" s="1" t="s">
        <v>622</v>
      </c>
      <c r="C634" s="32">
        <v>1589</v>
      </c>
      <c r="D634" s="1">
        <v>29000</v>
      </c>
      <c r="E634" s="1" t="s">
        <v>642</v>
      </c>
      <c r="F634" s="1">
        <v>320.67</v>
      </c>
      <c r="G634" s="1">
        <v>29000</v>
      </c>
      <c r="H634" s="5">
        <f t="shared" si="9"/>
        <v>0</v>
      </c>
      <c r="I634" s="1"/>
      <c r="J634" s="1"/>
      <c r="K634" s="103">
        <f>2246453-2231043</f>
        <v>15410</v>
      </c>
      <c r="L634" s="359" t="s">
        <v>619</v>
      </c>
      <c r="M634" s="359">
        <v>19154</v>
      </c>
      <c r="N634" s="367" t="s">
        <v>620</v>
      </c>
      <c r="O634" s="360">
        <f>19154-15410</f>
        <v>3744</v>
      </c>
    </row>
    <row r="635" spans="1:15" s="381" customFormat="1" ht="15" x14ac:dyDescent="0.25">
      <c r="A635" s="1">
        <v>631</v>
      </c>
      <c r="B635" s="1" t="s">
        <v>623</v>
      </c>
      <c r="C635" s="32">
        <v>5380</v>
      </c>
      <c r="D635" s="1">
        <v>23000</v>
      </c>
      <c r="E635" s="1" t="s">
        <v>642</v>
      </c>
      <c r="F635" s="1">
        <v>256.87</v>
      </c>
      <c r="G635" s="1">
        <v>23000</v>
      </c>
      <c r="H635" s="5">
        <f t="shared" si="9"/>
        <v>0</v>
      </c>
      <c r="I635" s="1"/>
      <c r="J635" s="1"/>
      <c r="K635" s="86"/>
      <c r="L635" s="48"/>
      <c r="M635" s="48"/>
      <c r="N635" s="370"/>
      <c r="O635" s="48"/>
    </row>
    <row r="636" spans="1:15" s="381" customFormat="1" ht="15" x14ac:dyDescent="0.25">
      <c r="A636" s="1">
        <v>632</v>
      </c>
      <c r="B636" s="1" t="s">
        <v>623</v>
      </c>
      <c r="C636" s="32">
        <v>9289</v>
      </c>
      <c r="D636" s="1">
        <v>24950</v>
      </c>
      <c r="E636" s="1" t="s">
        <v>642</v>
      </c>
      <c r="F636" s="1">
        <v>277.67</v>
      </c>
      <c r="G636" s="1">
        <v>24950</v>
      </c>
      <c r="H636" s="5">
        <f t="shared" si="9"/>
        <v>0</v>
      </c>
      <c r="I636" s="1"/>
      <c r="J636" s="1"/>
      <c r="K636" s="86"/>
      <c r="L636" s="48"/>
      <c r="M636" s="48"/>
      <c r="N636" s="370"/>
      <c r="O636" s="48"/>
    </row>
    <row r="637" spans="1:15" s="381" customFormat="1" ht="15" x14ac:dyDescent="0.25">
      <c r="A637" s="1">
        <v>633</v>
      </c>
      <c r="B637" s="1" t="s">
        <v>623</v>
      </c>
      <c r="C637" s="32">
        <v>8370</v>
      </c>
      <c r="D637" s="1">
        <v>25600</v>
      </c>
      <c r="E637" s="1" t="s">
        <v>642</v>
      </c>
      <c r="F637" s="1">
        <v>280.52</v>
      </c>
      <c r="G637" s="1">
        <v>25600</v>
      </c>
      <c r="H637" s="5">
        <f t="shared" si="9"/>
        <v>0</v>
      </c>
      <c r="I637" s="1"/>
      <c r="J637" s="1"/>
      <c r="K637" s="86"/>
      <c r="L637" s="48"/>
      <c r="M637" s="48"/>
      <c r="N637" s="370"/>
      <c r="O637" s="48"/>
    </row>
    <row r="638" spans="1:15" s="381" customFormat="1" ht="15" x14ac:dyDescent="0.25">
      <c r="A638" s="1">
        <v>634</v>
      </c>
      <c r="B638" s="1" t="s">
        <v>623</v>
      </c>
      <c r="C638" s="32">
        <v>9837</v>
      </c>
      <c r="D638" s="1">
        <v>24000</v>
      </c>
      <c r="E638" s="1" t="s">
        <v>642</v>
      </c>
      <c r="F638" s="1">
        <v>279.37</v>
      </c>
      <c r="G638" s="1">
        <v>24000</v>
      </c>
      <c r="H638" s="5">
        <f t="shared" si="9"/>
        <v>0</v>
      </c>
      <c r="I638" s="1"/>
      <c r="J638" s="1"/>
      <c r="K638" s="86"/>
      <c r="L638" s="48"/>
      <c r="M638" s="48"/>
      <c r="N638" s="370"/>
      <c r="O638" s="48"/>
    </row>
    <row r="639" spans="1:15" s="381" customFormat="1" ht="15" x14ac:dyDescent="0.25">
      <c r="A639" s="1">
        <v>635</v>
      </c>
      <c r="B639" s="1" t="s">
        <v>623</v>
      </c>
      <c r="C639" s="32">
        <v>8686</v>
      </c>
      <c r="D639" s="1">
        <v>25000</v>
      </c>
      <c r="E639" s="1" t="s">
        <v>642</v>
      </c>
      <c r="F639" s="1">
        <v>278.22000000000003</v>
      </c>
      <c r="G639" s="1">
        <v>25000</v>
      </c>
      <c r="H639" s="5">
        <f t="shared" si="9"/>
        <v>0</v>
      </c>
      <c r="I639" s="1"/>
      <c r="J639" s="1"/>
      <c r="K639" s="86"/>
      <c r="L639" s="48"/>
      <c r="M639" s="48"/>
      <c r="N639" s="370"/>
      <c r="O639" s="48"/>
    </row>
    <row r="640" spans="1:15" s="381" customFormat="1" ht="15" x14ac:dyDescent="0.25">
      <c r="A640" s="1">
        <v>636</v>
      </c>
      <c r="B640" s="1" t="s">
        <v>623</v>
      </c>
      <c r="C640" s="32" t="s">
        <v>587</v>
      </c>
      <c r="D640" s="1">
        <v>210</v>
      </c>
      <c r="E640" s="1" t="s">
        <v>642</v>
      </c>
      <c r="F640" s="1">
        <v>2.08</v>
      </c>
      <c r="G640" s="1">
        <v>210</v>
      </c>
      <c r="H640" s="5">
        <f t="shared" si="9"/>
        <v>0</v>
      </c>
      <c r="I640" s="1"/>
      <c r="J640" s="1"/>
      <c r="K640" s="86"/>
      <c r="L640" s="48"/>
      <c r="M640" s="48"/>
      <c r="N640" s="370"/>
      <c r="O640" s="48"/>
    </row>
    <row r="641" spans="1:15" s="381" customFormat="1" ht="15" x14ac:dyDescent="0.25">
      <c r="A641" s="1">
        <v>637</v>
      </c>
      <c r="B641" s="1" t="s">
        <v>623</v>
      </c>
      <c r="C641" s="32">
        <v>7510</v>
      </c>
      <c r="D641" s="1">
        <v>25000</v>
      </c>
      <c r="E641" s="1" t="s">
        <v>642</v>
      </c>
      <c r="F641" s="1">
        <v>278.22000000000003</v>
      </c>
      <c r="G641" s="1">
        <v>25000</v>
      </c>
      <c r="H641" s="5">
        <f t="shared" si="9"/>
        <v>0</v>
      </c>
      <c r="I641" s="1"/>
      <c r="J641" s="1"/>
      <c r="K641" s="86"/>
      <c r="L641" s="48"/>
      <c r="M641" s="48"/>
      <c r="N641" s="370"/>
      <c r="O641" s="48"/>
    </row>
    <row r="642" spans="1:15" s="381" customFormat="1" ht="15" x14ac:dyDescent="0.25">
      <c r="A642" s="1">
        <v>638</v>
      </c>
      <c r="B642" s="1" t="s">
        <v>623</v>
      </c>
      <c r="C642" s="32">
        <v>8210</v>
      </c>
      <c r="D642" s="1">
        <v>10000</v>
      </c>
      <c r="E642" s="1" t="s">
        <v>642</v>
      </c>
      <c r="F642" s="1">
        <v>111.41</v>
      </c>
      <c r="G642" s="1">
        <v>10000</v>
      </c>
      <c r="H642" s="5">
        <f t="shared" si="9"/>
        <v>0</v>
      </c>
      <c r="I642" s="1"/>
      <c r="J642" s="1"/>
      <c r="K642" s="86"/>
      <c r="L642" s="48"/>
      <c r="M642" s="48"/>
      <c r="N642" s="370"/>
      <c r="O642" s="48"/>
    </row>
    <row r="643" spans="1:15" s="381" customFormat="1" ht="15" x14ac:dyDescent="0.25">
      <c r="A643" s="1">
        <v>639</v>
      </c>
      <c r="B643" s="1" t="s">
        <v>623</v>
      </c>
      <c r="C643" s="32">
        <v>8434</v>
      </c>
      <c r="D643" s="1">
        <v>20000</v>
      </c>
      <c r="E643" s="1" t="s">
        <v>642</v>
      </c>
      <c r="F643" s="1">
        <v>222.82</v>
      </c>
      <c r="G643" s="1">
        <v>20000</v>
      </c>
      <c r="H643" s="5">
        <f t="shared" si="9"/>
        <v>0</v>
      </c>
      <c r="I643" s="1"/>
      <c r="J643" s="1"/>
      <c r="K643" s="86"/>
      <c r="L643" s="48"/>
      <c r="M643" s="48"/>
      <c r="N643" s="370"/>
      <c r="O643" s="48"/>
    </row>
    <row r="644" spans="1:15" s="381" customFormat="1" ht="15" x14ac:dyDescent="0.25">
      <c r="A644" s="1">
        <v>640</v>
      </c>
      <c r="B644" s="1" t="s">
        <v>623</v>
      </c>
      <c r="C644" s="32">
        <v>2250</v>
      </c>
      <c r="D644" s="1">
        <v>20000</v>
      </c>
      <c r="E644" s="1" t="s">
        <v>642</v>
      </c>
      <c r="F644" s="1">
        <v>222.82</v>
      </c>
      <c r="G644" s="1">
        <v>20000</v>
      </c>
      <c r="H644" s="5">
        <f t="shared" si="9"/>
        <v>0</v>
      </c>
      <c r="I644" s="1"/>
      <c r="J644" s="1"/>
      <c r="K644" s="86"/>
      <c r="L644" s="48"/>
      <c r="M644" s="48"/>
      <c r="N644" s="370"/>
      <c r="O644" s="48"/>
    </row>
    <row r="645" spans="1:15" s="381" customFormat="1" ht="15" x14ac:dyDescent="0.25">
      <c r="A645" s="1">
        <v>641</v>
      </c>
      <c r="B645" s="1" t="s">
        <v>623</v>
      </c>
      <c r="C645" s="32">
        <v>8332</v>
      </c>
      <c r="D645" s="1">
        <v>30000</v>
      </c>
      <c r="E645" s="1" t="s">
        <v>642</v>
      </c>
      <c r="F645" s="1">
        <v>334.52</v>
      </c>
      <c r="G645" s="1">
        <v>30000</v>
      </c>
      <c r="H645" s="5">
        <f t="shared" si="9"/>
        <v>0</v>
      </c>
      <c r="I645" s="1"/>
      <c r="J645" s="1"/>
      <c r="K645" s="86"/>
      <c r="L645" s="48"/>
      <c r="M645" s="48"/>
      <c r="N645" s="370"/>
      <c r="O645" s="48"/>
    </row>
    <row r="646" spans="1:15" s="381" customFormat="1" ht="15" x14ac:dyDescent="0.25">
      <c r="A646" s="1">
        <v>642</v>
      </c>
      <c r="B646" s="1" t="s">
        <v>623</v>
      </c>
      <c r="C646" s="32">
        <v>9997</v>
      </c>
      <c r="D646" s="1">
        <v>12000</v>
      </c>
      <c r="E646" s="1" t="s">
        <v>642</v>
      </c>
      <c r="F646" s="1">
        <v>165.86</v>
      </c>
      <c r="G646" s="1">
        <v>12000</v>
      </c>
      <c r="H646" s="5">
        <f t="shared" si="9"/>
        <v>0</v>
      </c>
      <c r="I646" s="1"/>
      <c r="J646" s="1"/>
      <c r="K646" s="86"/>
      <c r="L646" s="48"/>
      <c r="M646" s="48"/>
      <c r="N646" s="370"/>
      <c r="O646" s="48"/>
    </row>
    <row r="647" spans="1:15" s="381" customFormat="1" ht="15" x14ac:dyDescent="0.25">
      <c r="A647" s="1">
        <v>643</v>
      </c>
      <c r="B647" s="1" t="s">
        <v>623</v>
      </c>
      <c r="C647" s="32">
        <v>8109</v>
      </c>
      <c r="D647" s="1">
        <v>35000</v>
      </c>
      <c r="E647" s="1" t="s">
        <v>642</v>
      </c>
      <c r="F647" s="1">
        <v>389.75</v>
      </c>
      <c r="G647" s="1">
        <v>35000</v>
      </c>
      <c r="H647" s="5">
        <f t="shared" si="9"/>
        <v>0</v>
      </c>
      <c r="I647" s="1"/>
      <c r="J647" s="1"/>
      <c r="K647" s="86"/>
      <c r="L647" s="48"/>
      <c r="M647" s="48"/>
      <c r="N647" s="370"/>
      <c r="O647" s="48"/>
    </row>
    <row r="648" spans="1:15" s="381" customFormat="1" ht="15" x14ac:dyDescent="0.25">
      <c r="A648" s="1">
        <v>644</v>
      </c>
      <c r="B648" s="1" t="s">
        <v>623</v>
      </c>
      <c r="C648" s="32">
        <v>9494</v>
      </c>
      <c r="D648" s="1">
        <v>28000</v>
      </c>
      <c r="E648" s="1" t="s">
        <v>642</v>
      </c>
      <c r="F648" s="1">
        <v>311.82</v>
      </c>
      <c r="G648" s="1">
        <v>28000</v>
      </c>
      <c r="H648" s="5">
        <f t="shared" si="9"/>
        <v>0</v>
      </c>
      <c r="I648" s="1"/>
      <c r="J648" s="1"/>
      <c r="K648" s="86"/>
      <c r="L648" s="48"/>
      <c r="M648" s="48"/>
      <c r="N648" s="370"/>
      <c r="O648" s="48"/>
    </row>
    <row r="649" spans="1:15" s="381" customFormat="1" ht="15" x14ac:dyDescent="0.25">
      <c r="A649" s="1">
        <v>645</v>
      </c>
      <c r="B649" s="1" t="s">
        <v>623</v>
      </c>
      <c r="C649" s="32">
        <v>7.6899999999999996E-2</v>
      </c>
      <c r="D649" s="1">
        <v>8000</v>
      </c>
      <c r="E649" s="1" t="s">
        <v>642</v>
      </c>
      <c r="F649" s="1">
        <v>89.9</v>
      </c>
      <c r="G649" s="1">
        <v>8000</v>
      </c>
      <c r="H649" s="5">
        <f t="shared" si="9"/>
        <v>0</v>
      </c>
      <c r="I649" s="1"/>
      <c r="J649" s="1"/>
      <c r="K649" s="86"/>
      <c r="L649" s="48"/>
      <c r="M649" s="48"/>
      <c r="N649" s="370"/>
      <c r="O649" s="48"/>
    </row>
    <row r="650" spans="1:15" s="381" customFormat="1" ht="15" x14ac:dyDescent="0.25">
      <c r="A650" s="1">
        <v>646</v>
      </c>
      <c r="B650" s="1" t="s">
        <v>623</v>
      </c>
      <c r="C650" s="32">
        <v>1842</v>
      </c>
      <c r="D650" s="1">
        <v>7000</v>
      </c>
      <c r="E650" s="1" t="s">
        <v>642</v>
      </c>
      <c r="F650" s="1">
        <v>77.94</v>
      </c>
      <c r="G650" s="1">
        <v>7000</v>
      </c>
      <c r="H650" s="5">
        <f t="shared" si="9"/>
        <v>0</v>
      </c>
      <c r="I650" s="1"/>
      <c r="J650" s="1"/>
      <c r="K650" s="86"/>
      <c r="L650" s="48"/>
      <c r="M650" s="48"/>
      <c r="N650" s="370"/>
      <c r="O650" s="48"/>
    </row>
    <row r="651" spans="1:15" s="381" customFormat="1" ht="15.75" thickBot="1" x14ac:dyDescent="0.3">
      <c r="A651" s="1">
        <v>647</v>
      </c>
      <c r="B651" s="1" t="s">
        <v>623</v>
      </c>
      <c r="C651" s="32">
        <v>6365</v>
      </c>
      <c r="D651" s="1">
        <v>22000</v>
      </c>
      <c r="E651" s="1" t="s">
        <v>642</v>
      </c>
      <c r="F651" s="1">
        <v>245.37</v>
      </c>
      <c r="G651" s="1">
        <v>22000</v>
      </c>
      <c r="H651" s="5">
        <f t="shared" si="9"/>
        <v>0</v>
      </c>
      <c r="I651" s="1"/>
      <c r="J651" s="1"/>
      <c r="K651" s="86"/>
      <c r="L651" s="48"/>
      <c r="M651" s="48"/>
      <c r="N651" s="370"/>
      <c r="O651" s="48"/>
    </row>
    <row r="652" spans="1:15" s="381" customFormat="1" ht="15.75" thickBot="1" x14ac:dyDescent="0.3">
      <c r="A652" s="1">
        <v>648</v>
      </c>
      <c r="B652" s="1" t="s">
        <v>623</v>
      </c>
      <c r="C652" s="32">
        <v>8426</v>
      </c>
      <c r="D652" s="1">
        <v>27000</v>
      </c>
      <c r="E652" s="1" t="s">
        <v>642</v>
      </c>
      <c r="F652" s="1">
        <v>297.62</v>
      </c>
      <c r="G652" s="1">
        <v>27000</v>
      </c>
      <c r="H652" s="5">
        <f t="shared" si="9"/>
        <v>0</v>
      </c>
      <c r="I652" s="1"/>
      <c r="J652" s="1"/>
      <c r="K652" s="103">
        <f>2213213-2197803</f>
        <v>15410</v>
      </c>
      <c r="L652" s="359" t="s">
        <v>619</v>
      </c>
      <c r="M652" s="359">
        <v>19154</v>
      </c>
      <c r="N652" s="367" t="s">
        <v>620</v>
      </c>
      <c r="O652" s="360">
        <f>19154-15410</f>
        <v>3744</v>
      </c>
    </row>
    <row r="653" spans="1:15" s="382" customFormat="1" ht="15" x14ac:dyDescent="0.25">
      <c r="A653" s="1">
        <v>649</v>
      </c>
      <c r="B653" s="1" t="s">
        <v>624</v>
      </c>
      <c r="C653" s="32">
        <v>7511</v>
      </c>
      <c r="D653" s="1">
        <v>15000</v>
      </c>
      <c r="E653" s="1" t="s">
        <v>642</v>
      </c>
      <c r="F653" s="1">
        <v>167.15</v>
      </c>
      <c r="G653" s="1">
        <v>15000</v>
      </c>
      <c r="H653" s="5">
        <f t="shared" si="9"/>
        <v>0</v>
      </c>
      <c r="I653" s="1"/>
      <c r="J653" s="1"/>
      <c r="K653" s="86"/>
      <c r="L653" s="48"/>
      <c r="M653" s="48"/>
      <c r="N653" s="370"/>
      <c r="O653" s="48"/>
    </row>
    <row r="654" spans="1:15" s="382" customFormat="1" ht="15" x14ac:dyDescent="0.25">
      <c r="A654" s="1">
        <v>650</v>
      </c>
      <c r="B654" s="1" t="s">
        <v>624</v>
      </c>
      <c r="C654" s="32">
        <v>7827</v>
      </c>
      <c r="D654" s="1">
        <v>15000</v>
      </c>
      <c r="E654" s="1" t="s">
        <v>642</v>
      </c>
      <c r="F654" s="1">
        <v>167.15</v>
      </c>
      <c r="G654" s="1">
        <v>15000</v>
      </c>
      <c r="H654" s="5">
        <f t="shared" si="9"/>
        <v>0</v>
      </c>
      <c r="I654" s="1"/>
      <c r="J654" s="1"/>
      <c r="K654" s="86"/>
      <c r="L654" s="48"/>
      <c r="M654" s="48"/>
      <c r="N654" s="370"/>
      <c r="O654" s="48"/>
    </row>
    <row r="655" spans="1:15" s="382" customFormat="1" ht="15" x14ac:dyDescent="0.25">
      <c r="A655" s="1">
        <v>651</v>
      </c>
      <c r="B655" s="1" t="s">
        <v>624</v>
      </c>
      <c r="C655" s="32">
        <v>7802</v>
      </c>
      <c r="D655" s="1">
        <v>12000</v>
      </c>
      <c r="E655" s="1" t="s">
        <v>642</v>
      </c>
      <c r="F655" s="1">
        <v>133.41999999999999</v>
      </c>
      <c r="G655" s="1">
        <v>12000</v>
      </c>
      <c r="H655" s="5">
        <f t="shared" si="9"/>
        <v>0</v>
      </c>
      <c r="I655" s="1"/>
      <c r="J655" s="1"/>
      <c r="K655" s="86"/>
      <c r="L655" s="48"/>
      <c r="M655" s="48"/>
      <c r="N655" s="370"/>
      <c r="O655" s="48"/>
    </row>
    <row r="656" spans="1:15" s="382" customFormat="1" ht="15" x14ac:dyDescent="0.25">
      <c r="A656" s="1">
        <v>652</v>
      </c>
      <c r="B656" s="1" t="s">
        <v>624</v>
      </c>
      <c r="C656" s="32">
        <v>9.9199999999999997E-2</v>
      </c>
      <c r="D656" s="1">
        <v>22000</v>
      </c>
      <c r="E656" s="1" t="s">
        <v>642</v>
      </c>
      <c r="F656" s="1">
        <v>234.67</v>
      </c>
      <c r="G656" s="1">
        <v>22000</v>
      </c>
      <c r="H656" s="5">
        <f t="shared" si="9"/>
        <v>0</v>
      </c>
      <c r="I656" s="1"/>
      <c r="J656" s="1"/>
      <c r="K656" s="86"/>
      <c r="L656" s="48"/>
      <c r="M656" s="48"/>
      <c r="N656" s="370"/>
      <c r="O656" s="48"/>
    </row>
    <row r="657" spans="1:15" s="382" customFormat="1" ht="15" x14ac:dyDescent="0.25">
      <c r="A657" s="1">
        <v>653</v>
      </c>
      <c r="B657" s="1" t="s">
        <v>624</v>
      </c>
      <c r="C657" s="32">
        <v>2149</v>
      </c>
      <c r="D657" s="1">
        <v>15000</v>
      </c>
      <c r="E657" s="1" t="s">
        <v>642</v>
      </c>
      <c r="F657" s="1">
        <v>167.15</v>
      </c>
      <c r="G657" s="1">
        <v>15000</v>
      </c>
      <c r="H657" s="5">
        <f t="shared" si="9"/>
        <v>0</v>
      </c>
      <c r="I657" s="1"/>
      <c r="J657" s="1"/>
      <c r="K657" s="86"/>
      <c r="L657" s="48"/>
      <c r="M657" s="48"/>
      <c r="N657" s="370"/>
      <c r="O657" s="48"/>
    </row>
    <row r="658" spans="1:15" s="382" customFormat="1" ht="15" x14ac:dyDescent="0.25">
      <c r="A658" s="1">
        <v>654</v>
      </c>
      <c r="B658" s="1" t="s">
        <v>624</v>
      </c>
      <c r="C658" s="32">
        <v>4326</v>
      </c>
      <c r="D658" s="1">
        <v>15000</v>
      </c>
      <c r="E658" s="1" t="s">
        <v>642</v>
      </c>
      <c r="F658" s="1">
        <v>167.15</v>
      </c>
      <c r="G658" s="1">
        <v>15000</v>
      </c>
      <c r="H658" s="5">
        <f t="shared" si="9"/>
        <v>0</v>
      </c>
      <c r="I658" s="1"/>
      <c r="J658" s="1"/>
      <c r="K658" s="86"/>
      <c r="L658" s="48"/>
      <c r="M658" s="48"/>
      <c r="N658" s="370"/>
      <c r="O658" s="48"/>
    </row>
    <row r="659" spans="1:15" s="382" customFormat="1" ht="15" x14ac:dyDescent="0.25">
      <c r="A659" s="1">
        <v>655</v>
      </c>
      <c r="B659" s="1" t="s">
        <v>624</v>
      </c>
      <c r="C659" s="32">
        <v>4297</v>
      </c>
      <c r="D659" s="1">
        <v>15000</v>
      </c>
      <c r="E659" s="1" t="s">
        <v>642</v>
      </c>
      <c r="F659" s="1">
        <v>167.15</v>
      </c>
      <c r="G659" s="1">
        <v>15000</v>
      </c>
      <c r="H659" s="5">
        <f t="shared" si="9"/>
        <v>0</v>
      </c>
      <c r="I659" s="1"/>
      <c r="J659" s="1"/>
      <c r="K659" s="86"/>
      <c r="L659" s="48"/>
      <c r="M659" s="48"/>
      <c r="N659" s="370"/>
      <c r="O659" s="48"/>
    </row>
    <row r="660" spans="1:15" s="382" customFormat="1" ht="15" x14ac:dyDescent="0.25">
      <c r="A660" s="1">
        <v>656</v>
      </c>
      <c r="B660" s="1" t="s">
        <v>624</v>
      </c>
      <c r="C660" s="32">
        <v>7445</v>
      </c>
      <c r="D660" s="1">
        <v>25000</v>
      </c>
      <c r="E660" s="1" t="s">
        <v>642</v>
      </c>
      <c r="F660" s="1">
        <v>278.22000000000003</v>
      </c>
      <c r="G660" s="1">
        <v>25000</v>
      </c>
      <c r="H660" s="5">
        <f t="shared" si="9"/>
        <v>0</v>
      </c>
      <c r="I660" s="1"/>
      <c r="J660" s="1"/>
      <c r="K660" s="86"/>
      <c r="L660" s="48"/>
      <c r="M660" s="48"/>
      <c r="N660" s="370"/>
      <c r="O660" s="48"/>
    </row>
    <row r="661" spans="1:15" s="382" customFormat="1" ht="15" x14ac:dyDescent="0.25">
      <c r="A661" s="1">
        <v>657</v>
      </c>
      <c r="B661" s="1" t="s">
        <v>624</v>
      </c>
      <c r="C661" s="32">
        <v>4795</v>
      </c>
      <c r="D661" s="1">
        <v>15000</v>
      </c>
      <c r="E661" s="1" t="s">
        <v>642</v>
      </c>
      <c r="F661" s="1">
        <v>167.15</v>
      </c>
      <c r="G661" s="1">
        <v>15000</v>
      </c>
      <c r="H661" s="5">
        <f t="shared" si="9"/>
        <v>0</v>
      </c>
      <c r="I661" s="1"/>
      <c r="J661" s="1"/>
      <c r="K661" s="86"/>
      <c r="L661" s="48"/>
      <c r="M661" s="48"/>
      <c r="N661" s="370"/>
      <c r="O661" s="48"/>
    </row>
    <row r="662" spans="1:15" s="382" customFormat="1" ht="15" x14ac:dyDescent="0.25">
      <c r="A662" s="1">
        <v>658</v>
      </c>
      <c r="B662" s="1" t="s">
        <v>624</v>
      </c>
      <c r="C662" s="32">
        <v>9547</v>
      </c>
      <c r="D662" s="1">
        <v>20000</v>
      </c>
      <c r="E662" s="1" t="s">
        <v>642</v>
      </c>
      <c r="F662" s="1">
        <v>222.82</v>
      </c>
      <c r="G662" s="1">
        <v>20000</v>
      </c>
      <c r="H662" s="5">
        <f t="shared" si="9"/>
        <v>0</v>
      </c>
      <c r="I662" s="1"/>
      <c r="J662" s="1"/>
      <c r="K662" s="86"/>
      <c r="L662" s="48"/>
      <c r="M662" s="48"/>
      <c r="N662" s="370"/>
      <c r="O662" s="48"/>
    </row>
    <row r="663" spans="1:15" s="382" customFormat="1" ht="15" x14ac:dyDescent="0.25">
      <c r="A663" s="1">
        <v>659</v>
      </c>
      <c r="B663" s="1" t="s">
        <v>624</v>
      </c>
      <c r="C663" s="32">
        <v>1107</v>
      </c>
      <c r="D663" s="1">
        <v>24000</v>
      </c>
      <c r="E663" s="1" t="s">
        <v>642</v>
      </c>
      <c r="F663" s="1">
        <v>244.82</v>
      </c>
      <c r="G663" s="1">
        <v>24000</v>
      </c>
      <c r="H663" s="5">
        <f t="shared" si="9"/>
        <v>0</v>
      </c>
      <c r="I663" s="1"/>
      <c r="J663" s="1"/>
      <c r="K663" s="86"/>
      <c r="L663" s="48"/>
      <c r="M663" s="48"/>
      <c r="N663" s="370"/>
      <c r="O663" s="48"/>
    </row>
    <row r="664" spans="1:15" s="382" customFormat="1" ht="15" x14ac:dyDescent="0.25">
      <c r="A664" s="1">
        <v>660</v>
      </c>
      <c r="B664" s="1" t="s">
        <v>624</v>
      </c>
      <c r="C664" s="32">
        <v>9.11E-2</v>
      </c>
      <c r="D664" s="1">
        <v>30000</v>
      </c>
      <c r="E664" s="1" t="s">
        <v>642</v>
      </c>
      <c r="F664" s="1">
        <v>334.52</v>
      </c>
      <c r="G664" s="1">
        <v>30000</v>
      </c>
      <c r="H664" s="5">
        <f t="shared" si="9"/>
        <v>0</v>
      </c>
      <c r="I664" s="1"/>
      <c r="J664" s="1"/>
      <c r="K664" s="86"/>
      <c r="L664" s="48"/>
      <c r="M664" s="48"/>
      <c r="N664" s="370"/>
      <c r="O664" s="48"/>
    </row>
    <row r="665" spans="1:15" s="382" customFormat="1" ht="15" x14ac:dyDescent="0.25">
      <c r="A665" s="1">
        <v>661</v>
      </c>
      <c r="B665" s="1" t="s">
        <v>624</v>
      </c>
      <c r="C665" s="32" t="s">
        <v>30</v>
      </c>
      <c r="D665" s="1">
        <v>4500</v>
      </c>
      <c r="E665" s="1" t="s">
        <v>642</v>
      </c>
      <c r="F665" s="1">
        <v>50.45</v>
      </c>
      <c r="G665" s="1">
        <v>4500</v>
      </c>
      <c r="H665" s="5">
        <f t="shared" si="9"/>
        <v>0</v>
      </c>
      <c r="I665" s="1"/>
      <c r="J665" s="1"/>
      <c r="K665" s="86"/>
      <c r="L665" s="48"/>
      <c r="M665" s="48"/>
      <c r="N665" s="370"/>
      <c r="O665" s="48"/>
    </row>
    <row r="666" spans="1:15" s="382" customFormat="1" ht="15" x14ac:dyDescent="0.25">
      <c r="A666" s="1">
        <v>662</v>
      </c>
      <c r="B666" s="1" t="s">
        <v>624</v>
      </c>
      <c r="C666" s="32" t="s">
        <v>30</v>
      </c>
      <c r="D666" s="1">
        <v>5000</v>
      </c>
      <c r="E666" s="1" t="s">
        <v>642</v>
      </c>
      <c r="F666" s="1">
        <v>55.5</v>
      </c>
      <c r="G666" s="1">
        <v>5000</v>
      </c>
      <c r="H666" s="5">
        <f t="shared" si="9"/>
        <v>0</v>
      </c>
      <c r="I666" s="1"/>
      <c r="J666" s="1"/>
      <c r="K666" s="86"/>
      <c r="L666" s="48"/>
      <c r="M666" s="48"/>
      <c r="N666" s="370"/>
      <c r="O666" s="48"/>
    </row>
    <row r="667" spans="1:15" s="382" customFormat="1" ht="15" x14ac:dyDescent="0.25">
      <c r="A667" s="1">
        <v>663</v>
      </c>
      <c r="B667" s="1" t="s">
        <v>624</v>
      </c>
      <c r="C667" s="32">
        <v>2884</v>
      </c>
      <c r="D667" s="1">
        <v>30000</v>
      </c>
      <c r="E667" s="1" t="s">
        <v>642</v>
      </c>
      <c r="F667" s="1">
        <v>334.2</v>
      </c>
      <c r="G667" s="1">
        <v>30000</v>
      </c>
      <c r="H667" s="5">
        <f t="shared" si="9"/>
        <v>0</v>
      </c>
      <c r="I667" s="1"/>
      <c r="J667" s="1"/>
      <c r="K667" s="86"/>
      <c r="L667" s="48"/>
      <c r="M667" s="48"/>
      <c r="N667" s="370"/>
      <c r="O667" s="48"/>
    </row>
    <row r="668" spans="1:15" s="382" customFormat="1" ht="15" x14ac:dyDescent="0.25">
      <c r="A668" s="1">
        <v>664</v>
      </c>
      <c r="B668" s="1" t="s">
        <v>624</v>
      </c>
      <c r="C668" s="32">
        <v>5.2299999999999999E-2</v>
      </c>
      <c r="D668" s="1">
        <v>15000</v>
      </c>
      <c r="E668" s="1" t="s">
        <v>642</v>
      </c>
      <c r="F668" s="1">
        <v>167.15</v>
      </c>
      <c r="G668" s="1">
        <v>15000</v>
      </c>
      <c r="H668" s="5">
        <f t="shared" si="9"/>
        <v>0</v>
      </c>
      <c r="I668" s="1"/>
      <c r="J668" s="1"/>
      <c r="K668" s="86"/>
      <c r="L668" s="48"/>
      <c r="M668" s="48"/>
      <c r="N668" s="370"/>
      <c r="O668" s="48"/>
    </row>
    <row r="669" spans="1:15" s="382" customFormat="1" ht="15" x14ac:dyDescent="0.25">
      <c r="A669" s="1">
        <v>665</v>
      </c>
      <c r="B669" s="1" t="s">
        <v>624</v>
      </c>
      <c r="C669" s="32">
        <v>4982</v>
      </c>
      <c r="D669" s="1">
        <v>30000</v>
      </c>
      <c r="E669" s="1" t="s">
        <v>642</v>
      </c>
      <c r="F669" s="1">
        <v>334.52</v>
      </c>
      <c r="G669" s="1">
        <v>30000</v>
      </c>
      <c r="H669" s="5">
        <f t="shared" si="9"/>
        <v>0</v>
      </c>
      <c r="I669" s="1"/>
      <c r="J669" s="1"/>
      <c r="K669" s="86"/>
      <c r="L669" s="48"/>
      <c r="M669" s="48"/>
      <c r="N669" s="370"/>
      <c r="O669" s="48"/>
    </row>
    <row r="670" spans="1:15" s="382" customFormat="1" ht="15" x14ac:dyDescent="0.25">
      <c r="A670" s="1">
        <v>666</v>
      </c>
      <c r="B670" s="1" t="s">
        <v>624</v>
      </c>
      <c r="C670" s="32">
        <v>6047</v>
      </c>
      <c r="D670" s="1">
        <v>28000</v>
      </c>
      <c r="E670" s="1" t="s">
        <v>642</v>
      </c>
      <c r="F670" s="1">
        <v>312.85000000000002</v>
      </c>
      <c r="G670" s="1">
        <v>28000</v>
      </c>
      <c r="H670" s="5">
        <f t="shared" si="9"/>
        <v>0</v>
      </c>
      <c r="I670" s="1"/>
      <c r="J670" s="1"/>
      <c r="K670" s="86"/>
      <c r="L670" s="48"/>
      <c r="M670" s="48"/>
      <c r="N670" s="370"/>
      <c r="O670" s="48"/>
    </row>
    <row r="671" spans="1:15" s="382" customFormat="1" ht="15" x14ac:dyDescent="0.25">
      <c r="A671" s="1">
        <v>667</v>
      </c>
      <c r="B671" s="1" t="s">
        <v>624</v>
      </c>
      <c r="C671" s="32">
        <v>7623</v>
      </c>
      <c r="D671" s="1">
        <v>20000</v>
      </c>
      <c r="E671" s="1" t="s">
        <v>642</v>
      </c>
      <c r="F671" s="1">
        <v>222.82</v>
      </c>
      <c r="G671" s="1">
        <v>20000</v>
      </c>
      <c r="H671" s="5">
        <f t="shared" si="9"/>
        <v>0</v>
      </c>
      <c r="I671" s="1"/>
      <c r="J671" s="1"/>
      <c r="K671" s="86"/>
      <c r="L671" s="48"/>
      <c r="M671" s="48"/>
      <c r="N671" s="370"/>
      <c r="O671" s="48"/>
    </row>
    <row r="672" spans="1:15" s="382" customFormat="1" ht="15" x14ac:dyDescent="0.25">
      <c r="A672" s="1">
        <v>668</v>
      </c>
      <c r="B672" s="1" t="s">
        <v>624</v>
      </c>
      <c r="C672" s="32">
        <v>5841</v>
      </c>
      <c r="D672" s="1">
        <v>27000</v>
      </c>
      <c r="E672" s="1" t="s">
        <v>642</v>
      </c>
      <c r="F672" s="1">
        <v>297.62</v>
      </c>
      <c r="G672" s="1">
        <v>27000</v>
      </c>
      <c r="H672" s="5">
        <f t="shared" si="9"/>
        <v>0</v>
      </c>
      <c r="I672" s="1"/>
      <c r="J672" s="1"/>
      <c r="K672" s="86"/>
      <c r="L672" s="48"/>
      <c r="M672" s="48"/>
      <c r="N672" s="370"/>
      <c r="O672" s="48"/>
    </row>
    <row r="673" spans="1:15" s="382" customFormat="1" ht="15" x14ac:dyDescent="0.25">
      <c r="A673" s="1">
        <v>669</v>
      </c>
      <c r="B673" s="1" t="s">
        <v>624</v>
      </c>
      <c r="C673" s="32">
        <v>2554</v>
      </c>
      <c r="D673" s="1">
        <v>27000</v>
      </c>
      <c r="E673" s="1" t="s">
        <v>642</v>
      </c>
      <c r="F673" s="1">
        <v>297.62</v>
      </c>
      <c r="G673" s="1">
        <v>27000</v>
      </c>
      <c r="H673" s="5">
        <f t="shared" si="9"/>
        <v>0</v>
      </c>
      <c r="I673" s="1"/>
      <c r="J673" s="1"/>
      <c r="K673" s="86"/>
      <c r="L673" s="48"/>
      <c r="M673" s="48"/>
      <c r="N673" s="370"/>
      <c r="O673" s="48"/>
    </row>
    <row r="674" spans="1:15" s="382" customFormat="1" ht="15" x14ac:dyDescent="0.25">
      <c r="A674" s="1">
        <v>670</v>
      </c>
      <c r="B674" s="1" t="s">
        <v>624</v>
      </c>
      <c r="C674" s="32">
        <v>8901</v>
      </c>
      <c r="D674" s="1">
        <v>15000</v>
      </c>
      <c r="E674" s="1" t="s">
        <v>642</v>
      </c>
      <c r="F674" s="1">
        <v>167.15</v>
      </c>
      <c r="G674" s="1">
        <v>15000</v>
      </c>
      <c r="H674" s="5">
        <f t="shared" si="9"/>
        <v>0</v>
      </c>
      <c r="I674" s="1"/>
      <c r="J674" s="1"/>
      <c r="K674" s="86"/>
      <c r="L674" s="48"/>
      <c r="M674" s="48"/>
      <c r="N674" s="370"/>
      <c r="O674" s="48"/>
    </row>
    <row r="675" spans="1:15" s="382" customFormat="1" ht="15" x14ac:dyDescent="0.25">
      <c r="A675" s="1">
        <v>671</v>
      </c>
      <c r="B675" s="1" t="s">
        <v>624</v>
      </c>
      <c r="C675" s="32">
        <v>4751</v>
      </c>
      <c r="D675" s="1">
        <v>26000</v>
      </c>
      <c r="E675" s="1" t="s">
        <v>642</v>
      </c>
      <c r="F675" s="1">
        <v>289.38</v>
      </c>
      <c r="G675" s="1">
        <v>26000</v>
      </c>
      <c r="H675" s="5">
        <f t="shared" ref="H675:H738" si="10">D675-G675</f>
        <v>0</v>
      </c>
      <c r="I675" s="1"/>
      <c r="J675" s="1"/>
      <c r="K675" s="86"/>
      <c r="L675" s="48"/>
      <c r="M675" s="48"/>
      <c r="N675" s="370"/>
      <c r="O675" s="48"/>
    </row>
    <row r="676" spans="1:15" s="382" customFormat="1" ht="15.75" thickBot="1" x14ac:dyDescent="0.3">
      <c r="A676" s="1">
        <v>672</v>
      </c>
      <c r="B676" s="1" t="s">
        <v>624</v>
      </c>
      <c r="C676" s="32">
        <v>6493</v>
      </c>
      <c r="D676" s="1">
        <v>28000</v>
      </c>
      <c r="E676" s="1" t="s">
        <v>642</v>
      </c>
      <c r="F676" s="1">
        <v>312.85000000000002</v>
      </c>
      <c r="G676" s="1">
        <v>28000</v>
      </c>
      <c r="H676" s="5">
        <f t="shared" si="10"/>
        <v>0</v>
      </c>
      <c r="I676" s="1"/>
      <c r="J676" s="1"/>
      <c r="K676" s="86"/>
      <c r="L676" s="48"/>
      <c r="M676" s="48"/>
      <c r="N676" s="370"/>
      <c r="O676" s="48"/>
    </row>
    <row r="677" spans="1:15" s="382" customFormat="1" ht="15.75" thickBot="1" x14ac:dyDescent="0.3">
      <c r="A677" s="1">
        <v>673</v>
      </c>
      <c r="B677" s="1" t="s">
        <v>624</v>
      </c>
      <c r="C677" s="32">
        <v>9702</v>
      </c>
      <c r="D677" s="1">
        <v>27000</v>
      </c>
      <c r="E677" s="1" t="s">
        <v>642</v>
      </c>
      <c r="F677" s="1">
        <v>300.55</v>
      </c>
      <c r="G677" s="1">
        <v>27000</v>
      </c>
      <c r="H677" s="5">
        <f t="shared" si="10"/>
        <v>0</v>
      </c>
      <c r="I677" s="1"/>
      <c r="J677" s="1"/>
      <c r="K677" s="103">
        <f>2330355-2303303</f>
        <v>27052</v>
      </c>
      <c r="L677" s="359" t="s">
        <v>619</v>
      </c>
      <c r="M677" s="359">
        <v>19154</v>
      </c>
      <c r="N677" s="367" t="s">
        <v>620</v>
      </c>
      <c r="O677" s="360">
        <f>19154-15410</f>
        <v>3744</v>
      </c>
    </row>
    <row r="678" spans="1:15" s="383" customFormat="1" ht="15" x14ac:dyDescent="0.25">
      <c r="A678" s="1">
        <v>674</v>
      </c>
      <c r="B678" s="1" t="s">
        <v>625</v>
      </c>
      <c r="C678" s="32">
        <v>8287</v>
      </c>
      <c r="D678" s="1">
        <v>30000</v>
      </c>
      <c r="E678" s="1" t="s">
        <v>642</v>
      </c>
      <c r="F678" s="1">
        <v>334.52</v>
      </c>
      <c r="G678" s="1">
        <v>30000</v>
      </c>
      <c r="H678" s="5">
        <f t="shared" si="10"/>
        <v>0</v>
      </c>
      <c r="I678" s="1"/>
      <c r="J678" s="1"/>
      <c r="K678" s="86"/>
      <c r="L678" s="48"/>
      <c r="M678" s="48"/>
      <c r="N678" s="370"/>
      <c r="O678" s="48"/>
    </row>
    <row r="679" spans="1:15" s="383" customFormat="1" ht="15" x14ac:dyDescent="0.25">
      <c r="A679" s="1">
        <v>675</v>
      </c>
      <c r="B679" s="1" t="s">
        <v>625</v>
      </c>
      <c r="C679" s="32">
        <v>1304</v>
      </c>
      <c r="D679" s="1">
        <v>23000</v>
      </c>
      <c r="E679" s="1" t="s">
        <v>642</v>
      </c>
      <c r="F679" s="1">
        <v>256.37</v>
      </c>
      <c r="G679" s="1">
        <v>23000</v>
      </c>
      <c r="H679" s="5">
        <f t="shared" si="10"/>
        <v>0</v>
      </c>
      <c r="I679" s="1"/>
      <c r="J679" s="1"/>
      <c r="K679" s="86"/>
      <c r="L679" s="48"/>
      <c r="M679" s="48"/>
      <c r="N679" s="370"/>
      <c r="O679" s="48"/>
    </row>
    <row r="680" spans="1:15" s="383" customFormat="1" ht="15" x14ac:dyDescent="0.25">
      <c r="A680" s="1">
        <v>676</v>
      </c>
      <c r="B680" s="1" t="s">
        <v>625</v>
      </c>
      <c r="C680" s="32">
        <v>1889</v>
      </c>
      <c r="D680" s="1">
        <v>31000</v>
      </c>
      <c r="E680" s="1" t="s">
        <v>642</v>
      </c>
      <c r="F680" s="1">
        <v>345.54</v>
      </c>
      <c r="G680" s="1">
        <v>31000</v>
      </c>
      <c r="H680" s="5">
        <f t="shared" si="10"/>
        <v>0</v>
      </c>
      <c r="I680" s="1"/>
      <c r="J680" s="1"/>
      <c r="K680" s="86"/>
      <c r="L680" s="48"/>
      <c r="M680" s="48"/>
      <c r="N680" s="370"/>
      <c r="O680" s="48"/>
    </row>
    <row r="681" spans="1:15" s="383" customFormat="1" ht="15" x14ac:dyDescent="0.25">
      <c r="A681" s="1">
        <v>677</v>
      </c>
      <c r="B681" s="1" t="s">
        <v>625</v>
      </c>
      <c r="C681" s="32">
        <v>8911</v>
      </c>
      <c r="D681" s="1">
        <v>15000</v>
      </c>
      <c r="E681" s="1" t="s">
        <v>642</v>
      </c>
      <c r="F681" s="1">
        <v>167.15</v>
      </c>
      <c r="G681" s="1">
        <v>15000</v>
      </c>
      <c r="H681" s="5">
        <f t="shared" si="10"/>
        <v>0</v>
      </c>
      <c r="I681" s="1"/>
      <c r="J681" s="1"/>
      <c r="K681" s="86"/>
      <c r="L681" s="48"/>
      <c r="M681" s="48"/>
      <c r="N681" s="370"/>
      <c r="O681" s="48"/>
    </row>
    <row r="682" spans="1:15" s="383" customFormat="1" ht="15" x14ac:dyDescent="0.25">
      <c r="A682" s="1">
        <v>678</v>
      </c>
      <c r="B682" s="1" t="s">
        <v>625</v>
      </c>
      <c r="C682" s="32">
        <v>3558</v>
      </c>
      <c r="D682" s="1">
        <v>30000</v>
      </c>
      <c r="E682" s="1" t="s">
        <v>642</v>
      </c>
      <c r="F682" s="1">
        <v>334.52</v>
      </c>
      <c r="G682" s="1">
        <v>30000</v>
      </c>
      <c r="H682" s="5">
        <f t="shared" si="10"/>
        <v>0</v>
      </c>
      <c r="I682" s="1"/>
      <c r="J682" s="1"/>
      <c r="K682" s="86"/>
      <c r="L682" s="48"/>
      <c r="M682" s="48"/>
      <c r="N682" s="370"/>
      <c r="O682" s="48"/>
    </row>
    <row r="683" spans="1:15" s="383" customFormat="1" ht="15" x14ac:dyDescent="0.25">
      <c r="A683" s="1">
        <v>679</v>
      </c>
      <c r="B683" s="1" t="s">
        <v>625</v>
      </c>
      <c r="C683" s="32">
        <v>3686</v>
      </c>
      <c r="D683" s="1">
        <v>30000</v>
      </c>
      <c r="E683" s="1" t="s">
        <v>642</v>
      </c>
      <c r="F683" s="1">
        <v>334.52</v>
      </c>
      <c r="G683" s="1">
        <v>30000</v>
      </c>
      <c r="H683" s="5">
        <f t="shared" si="10"/>
        <v>0</v>
      </c>
      <c r="I683" s="1"/>
      <c r="J683" s="1"/>
      <c r="K683" s="86"/>
      <c r="L683" s="48"/>
      <c r="M683" s="48"/>
      <c r="N683" s="370"/>
      <c r="O683" s="48"/>
    </row>
    <row r="684" spans="1:15" s="383" customFormat="1" ht="15" x14ac:dyDescent="0.25">
      <c r="A684" s="1">
        <v>680</v>
      </c>
      <c r="B684" s="1" t="s">
        <v>625</v>
      </c>
      <c r="C684" s="32">
        <v>8332</v>
      </c>
      <c r="D684" s="1">
        <v>13000</v>
      </c>
      <c r="E684" s="1" t="s">
        <v>642</v>
      </c>
      <c r="F684" s="1">
        <v>145.27000000000001</v>
      </c>
      <c r="G684" s="1">
        <v>13000</v>
      </c>
      <c r="H684" s="5">
        <f t="shared" si="10"/>
        <v>0</v>
      </c>
      <c r="I684" s="1"/>
      <c r="J684" s="1"/>
      <c r="K684" s="86"/>
      <c r="L684" s="48"/>
      <c r="M684" s="48"/>
      <c r="N684" s="370"/>
      <c r="O684" s="48"/>
    </row>
    <row r="685" spans="1:15" s="383" customFormat="1" ht="15" x14ac:dyDescent="0.25">
      <c r="A685" s="1">
        <v>681</v>
      </c>
      <c r="B685" s="1" t="s">
        <v>625</v>
      </c>
      <c r="C685" s="32">
        <v>2808</v>
      </c>
      <c r="D685" s="1">
        <v>24000</v>
      </c>
      <c r="E685" s="1" t="s">
        <v>642</v>
      </c>
      <c r="F685" s="1">
        <v>267.67</v>
      </c>
      <c r="G685" s="1">
        <v>24000</v>
      </c>
      <c r="H685" s="5">
        <f t="shared" si="10"/>
        <v>0</v>
      </c>
      <c r="I685" s="1"/>
      <c r="J685" s="1"/>
      <c r="K685" s="86"/>
      <c r="L685" s="48"/>
      <c r="M685" s="48"/>
      <c r="N685" s="370"/>
      <c r="O685" s="48"/>
    </row>
    <row r="686" spans="1:15" s="383" customFormat="1" ht="15" x14ac:dyDescent="0.25">
      <c r="A686" s="1">
        <v>682</v>
      </c>
      <c r="B686" s="1" t="s">
        <v>625</v>
      </c>
      <c r="C686" s="32">
        <v>2708</v>
      </c>
      <c r="D686" s="1">
        <v>25000</v>
      </c>
      <c r="E686" s="1" t="s">
        <v>642</v>
      </c>
      <c r="F686" s="1">
        <v>278.22000000000003</v>
      </c>
      <c r="G686" s="1">
        <v>25000</v>
      </c>
      <c r="H686" s="5">
        <f t="shared" si="10"/>
        <v>0</v>
      </c>
      <c r="I686" s="1"/>
      <c r="J686" s="1"/>
      <c r="K686" s="86"/>
      <c r="L686" s="48"/>
      <c r="M686" s="48"/>
      <c r="N686" s="370"/>
      <c r="O686" s="48"/>
    </row>
    <row r="687" spans="1:15" s="383" customFormat="1" ht="15" x14ac:dyDescent="0.25">
      <c r="A687" s="1">
        <v>683</v>
      </c>
      <c r="B687" s="1" t="s">
        <v>625</v>
      </c>
      <c r="C687" s="32">
        <v>8047</v>
      </c>
      <c r="D687" s="1">
        <v>29000</v>
      </c>
      <c r="E687" s="1" t="s">
        <v>642</v>
      </c>
      <c r="F687" s="1">
        <v>323.68</v>
      </c>
      <c r="G687" s="1">
        <v>29000</v>
      </c>
      <c r="H687" s="5">
        <f t="shared" si="10"/>
        <v>0</v>
      </c>
      <c r="I687" s="1"/>
      <c r="J687" s="1"/>
      <c r="K687" s="86"/>
      <c r="L687" s="48"/>
      <c r="M687" s="48"/>
      <c r="N687" s="370"/>
      <c r="O687" s="48"/>
    </row>
    <row r="688" spans="1:15" s="383" customFormat="1" ht="15" x14ac:dyDescent="0.25">
      <c r="A688" s="1">
        <v>684</v>
      </c>
      <c r="B688" s="1" t="s">
        <v>625</v>
      </c>
      <c r="C688" s="32">
        <v>5965</v>
      </c>
      <c r="D688" s="1">
        <v>32000</v>
      </c>
      <c r="E688" s="1" t="s">
        <v>642</v>
      </c>
      <c r="F688" s="1">
        <v>356.82</v>
      </c>
      <c r="G688" s="1">
        <v>32000</v>
      </c>
      <c r="H688" s="5">
        <f t="shared" si="10"/>
        <v>0</v>
      </c>
      <c r="I688" s="1"/>
      <c r="J688" s="1"/>
      <c r="K688" s="86"/>
      <c r="L688" s="48"/>
      <c r="M688" s="48"/>
      <c r="N688" s="370"/>
      <c r="O688" s="48"/>
    </row>
    <row r="689" spans="1:15" s="383" customFormat="1" ht="15" x14ac:dyDescent="0.25">
      <c r="A689" s="1">
        <v>685</v>
      </c>
      <c r="B689" s="1" t="s">
        <v>625</v>
      </c>
      <c r="C689" s="32">
        <v>6617</v>
      </c>
      <c r="D689" s="1">
        <v>10000</v>
      </c>
      <c r="E689" s="1" t="s">
        <v>642</v>
      </c>
      <c r="F689" s="1">
        <v>111.41</v>
      </c>
      <c r="G689" s="1">
        <v>10000</v>
      </c>
      <c r="H689" s="5">
        <f t="shared" si="10"/>
        <v>0</v>
      </c>
      <c r="I689" s="1"/>
      <c r="J689" s="1"/>
      <c r="K689" s="86"/>
      <c r="L689" s="48"/>
      <c r="M689" s="48"/>
      <c r="N689" s="370"/>
      <c r="O689" s="48"/>
    </row>
    <row r="690" spans="1:15" s="383" customFormat="1" ht="15" x14ac:dyDescent="0.25">
      <c r="A690" s="1">
        <v>686</v>
      </c>
      <c r="B690" s="1" t="s">
        <v>625</v>
      </c>
      <c r="C690" s="32">
        <v>2194</v>
      </c>
      <c r="D690" s="1">
        <v>15000</v>
      </c>
      <c r="E690" s="1" t="s">
        <v>642</v>
      </c>
      <c r="F690" s="1">
        <v>167.15</v>
      </c>
      <c r="G690" s="1">
        <v>15000</v>
      </c>
      <c r="H690" s="5">
        <f t="shared" si="10"/>
        <v>0</v>
      </c>
      <c r="I690" s="1"/>
      <c r="J690" s="1"/>
      <c r="K690" s="86"/>
      <c r="L690" s="48"/>
      <c r="M690" s="48"/>
      <c r="N690" s="370"/>
      <c r="O690" s="48"/>
    </row>
    <row r="691" spans="1:15" s="383" customFormat="1" ht="15" x14ac:dyDescent="0.25">
      <c r="A691" s="1">
        <v>687</v>
      </c>
      <c r="B691" s="1" t="s">
        <v>625</v>
      </c>
      <c r="C691" s="32" t="s">
        <v>586</v>
      </c>
      <c r="D691" s="1">
        <v>3500</v>
      </c>
      <c r="E691" s="1" t="s">
        <v>642</v>
      </c>
      <c r="F691" s="1">
        <v>38.450000000000003</v>
      </c>
      <c r="G691" s="1">
        <v>3500</v>
      </c>
      <c r="H691" s="5">
        <f t="shared" si="10"/>
        <v>0</v>
      </c>
      <c r="I691" s="1"/>
      <c r="J691" s="1"/>
      <c r="K691" s="86"/>
      <c r="L691" s="48"/>
      <c r="M691" s="48"/>
      <c r="N691" s="370"/>
      <c r="O691" s="48"/>
    </row>
    <row r="692" spans="1:15" s="383" customFormat="1" ht="15" x14ac:dyDescent="0.25">
      <c r="A692" s="1">
        <v>688</v>
      </c>
      <c r="B692" s="1" t="s">
        <v>625</v>
      </c>
      <c r="C692" s="32">
        <v>5910</v>
      </c>
      <c r="D692" s="1">
        <v>20000</v>
      </c>
      <c r="E692" s="1" t="s">
        <v>642</v>
      </c>
      <c r="F692" s="1">
        <v>222.82</v>
      </c>
      <c r="G692" s="1">
        <v>20000</v>
      </c>
      <c r="H692" s="5">
        <f t="shared" si="10"/>
        <v>0</v>
      </c>
      <c r="I692" s="1"/>
      <c r="J692" s="1"/>
      <c r="K692" s="86"/>
      <c r="L692" s="48"/>
      <c r="M692" s="48"/>
      <c r="N692" s="370"/>
      <c r="O692" s="48"/>
    </row>
    <row r="693" spans="1:15" s="383" customFormat="1" ht="15" x14ac:dyDescent="0.25">
      <c r="A693" s="1">
        <v>689</v>
      </c>
      <c r="B693" s="1" t="s">
        <v>625</v>
      </c>
      <c r="C693" s="32">
        <v>4.2500000000000003E-2</v>
      </c>
      <c r="D693" s="1">
        <v>25000</v>
      </c>
      <c r="E693" s="1" t="s">
        <v>642</v>
      </c>
      <c r="F693" s="1">
        <v>278.22000000000003</v>
      </c>
      <c r="G693" s="1">
        <v>25000</v>
      </c>
      <c r="H693" s="5">
        <f t="shared" si="10"/>
        <v>0</v>
      </c>
      <c r="I693" s="1"/>
      <c r="J693" s="1"/>
      <c r="K693" s="86"/>
      <c r="L693" s="48"/>
      <c r="M693" s="48"/>
      <c r="N693" s="370"/>
      <c r="O693" s="48"/>
    </row>
    <row r="694" spans="1:15" s="383" customFormat="1" ht="15" x14ac:dyDescent="0.25">
      <c r="A694" s="1">
        <v>690</v>
      </c>
      <c r="B694" s="1" t="s">
        <v>625</v>
      </c>
      <c r="C694" s="32">
        <v>1731</v>
      </c>
      <c r="D694" s="1">
        <v>13000</v>
      </c>
      <c r="E694" s="1" t="s">
        <v>642</v>
      </c>
      <c r="F694" s="1">
        <v>144.13</v>
      </c>
      <c r="G694" s="1">
        <v>13000</v>
      </c>
      <c r="H694" s="5">
        <f t="shared" si="10"/>
        <v>0</v>
      </c>
      <c r="I694" s="1"/>
      <c r="J694" s="1"/>
      <c r="K694" s="86"/>
      <c r="L694" s="48"/>
      <c r="M694" s="48"/>
      <c r="N694" s="370"/>
      <c r="O694" s="48"/>
    </row>
    <row r="695" spans="1:15" s="383" customFormat="1" ht="15" x14ac:dyDescent="0.25">
      <c r="A695" s="1">
        <v>691</v>
      </c>
      <c r="B695" s="1" t="s">
        <v>625</v>
      </c>
      <c r="C695" s="32">
        <v>7672</v>
      </c>
      <c r="D695" s="1">
        <v>22000</v>
      </c>
      <c r="E695" s="1" t="s">
        <v>642</v>
      </c>
      <c r="F695" s="1">
        <v>245.37</v>
      </c>
      <c r="G695" s="1">
        <v>22000</v>
      </c>
      <c r="H695" s="5">
        <f t="shared" si="10"/>
        <v>0</v>
      </c>
      <c r="I695" s="1"/>
      <c r="J695" s="1"/>
      <c r="K695" s="86"/>
      <c r="L695" s="48"/>
      <c r="M695" s="48"/>
      <c r="N695" s="370"/>
      <c r="O695" s="48"/>
    </row>
    <row r="696" spans="1:15" s="383" customFormat="1" ht="15" x14ac:dyDescent="0.25">
      <c r="A696" s="1">
        <v>692</v>
      </c>
      <c r="B696" s="1" t="s">
        <v>625</v>
      </c>
      <c r="C696" s="32">
        <v>9472</v>
      </c>
      <c r="D696" s="1">
        <v>25000</v>
      </c>
      <c r="E696" s="1" t="s">
        <v>642</v>
      </c>
      <c r="F696" s="1">
        <v>278.22000000000003</v>
      </c>
      <c r="G696" s="1">
        <v>25000</v>
      </c>
      <c r="H696" s="5">
        <f t="shared" si="10"/>
        <v>0</v>
      </c>
      <c r="I696" s="1"/>
      <c r="J696" s="1"/>
      <c r="K696" s="86"/>
      <c r="L696" s="48"/>
      <c r="M696" s="48"/>
      <c r="N696" s="370"/>
      <c r="O696" s="48"/>
    </row>
    <row r="697" spans="1:15" s="383" customFormat="1" ht="15" x14ac:dyDescent="0.25">
      <c r="A697" s="1">
        <v>693</v>
      </c>
      <c r="B697" s="1" t="s">
        <v>625</v>
      </c>
      <c r="C697" s="32">
        <v>4083</v>
      </c>
      <c r="D697" s="1">
        <v>28000</v>
      </c>
      <c r="E697" s="1" t="s">
        <v>642</v>
      </c>
      <c r="F697" s="1">
        <v>311.68</v>
      </c>
      <c r="G697" s="1">
        <v>28000</v>
      </c>
      <c r="H697" s="5">
        <f t="shared" si="10"/>
        <v>0</v>
      </c>
      <c r="I697" s="1"/>
      <c r="J697" s="1"/>
      <c r="K697" s="86"/>
      <c r="L697" s="48"/>
      <c r="M697" s="48"/>
      <c r="N697" s="370"/>
      <c r="O697" s="48"/>
    </row>
    <row r="698" spans="1:15" s="383" customFormat="1" ht="15" x14ac:dyDescent="0.25">
      <c r="A698" s="1">
        <v>694</v>
      </c>
      <c r="B698" s="1" t="s">
        <v>625</v>
      </c>
      <c r="C698" s="32">
        <v>9360</v>
      </c>
      <c r="D698" s="1">
        <v>12000</v>
      </c>
      <c r="E698" s="1" t="s">
        <v>642</v>
      </c>
      <c r="F698" s="1">
        <v>133.41999999999999</v>
      </c>
      <c r="G698" s="1">
        <v>12000</v>
      </c>
      <c r="H698" s="5">
        <f t="shared" si="10"/>
        <v>0</v>
      </c>
      <c r="I698" s="1"/>
      <c r="J698" s="1"/>
      <c r="K698" s="86"/>
      <c r="L698" s="48"/>
      <c r="M698" s="48"/>
      <c r="N698" s="370"/>
      <c r="O698" s="48"/>
    </row>
    <row r="699" spans="1:15" s="383" customFormat="1" ht="15" x14ac:dyDescent="0.25">
      <c r="A699" s="1">
        <v>695</v>
      </c>
      <c r="B699" s="1" t="s">
        <v>625</v>
      </c>
      <c r="C699" s="32" t="s">
        <v>30</v>
      </c>
      <c r="D699" s="1">
        <v>5000</v>
      </c>
      <c r="E699" s="1" t="s">
        <v>642</v>
      </c>
      <c r="F699" s="1">
        <v>55.45</v>
      </c>
      <c r="G699" s="1">
        <v>5000</v>
      </c>
      <c r="H699" s="5">
        <f t="shared" si="10"/>
        <v>0</v>
      </c>
      <c r="I699" s="1"/>
      <c r="J699" s="1"/>
      <c r="K699" s="86"/>
      <c r="L699" s="48"/>
      <c r="M699" s="48"/>
      <c r="N699" s="370"/>
      <c r="O699" s="48"/>
    </row>
    <row r="700" spans="1:15" s="383" customFormat="1" ht="15" x14ac:dyDescent="0.25">
      <c r="A700" s="1">
        <v>696</v>
      </c>
      <c r="B700" s="1" t="s">
        <v>625</v>
      </c>
      <c r="C700" s="32">
        <v>9109</v>
      </c>
      <c r="D700" s="1">
        <v>15000</v>
      </c>
      <c r="E700" s="1" t="s">
        <v>642</v>
      </c>
      <c r="F700" s="1">
        <v>167.15</v>
      </c>
      <c r="G700" s="1">
        <v>15000</v>
      </c>
      <c r="H700" s="5">
        <f t="shared" si="10"/>
        <v>0</v>
      </c>
      <c r="I700" s="1"/>
      <c r="J700" s="1"/>
      <c r="K700" s="86"/>
      <c r="L700" s="48"/>
      <c r="M700" s="48"/>
      <c r="N700" s="370"/>
      <c r="O700" s="48"/>
    </row>
    <row r="701" spans="1:15" s="383" customFormat="1" ht="15" x14ac:dyDescent="0.25">
      <c r="A701" s="1">
        <v>697</v>
      </c>
      <c r="B701" s="1" t="s">
        <v>625</v>
      </c>
      <c r="C701" s="32">
        <v>7.6300000000000007E-2</v>
      </c>
      <c r="D701" s="1">
        <v>21000</v>
      </c>
      <c r="E701" s="1" t="s">
        <v>642</v>
      </c>
      <c r="F701" s="1">
        <v>229.56</v>
      </c>
      <c r="G701" s="1">
        <v>21000</v>
      </c>
      <c r="H701" s="5">
        <f t="shared" si="10"/>
        <v>0</v>
      </c>
      <c r="I701" s="1"/>
      <c r="J701" s="1"/>
      <c r="K701" s="86"/>
      <c r="L701" s="48"/>
      <c r="M701" s="48"/>
      <c r="N701" s="370"/>
      <c r="O701" s="48"/>
    </row>
    <row r="702" spans="1:15" s="383" customFormat="1" ht="15" x14ac:dyDescent="0.25">
      <c r="A702" s="1">
        <v>698</v>
      </c>
      <c r="B702" s="1" t="s">
        <v>625</v>
      </c>
      <c r="C702" s="32">
        <v>6777</v>
      </c>
      <c r="D702" s="1">
        <v>22000</v>
      </c>
      <c r="E702" s="1" t="s">
        <v>642</v>
      </c>
      <c r="F702" s="1">
        <v>245.37</v>
      </c>
      <c r="G702" s="1">
        <v>22000</v>
      </c>
      <c r="H702" s="5">
        <f t="shared" si="10"/>
        <v>0</v>
      </c>
      <c r="I702" s="1"/>
      <c r="J702" s="1"/>
      <c r="K702" s="86"/>
      <c r="L702" s="48"/>
      <c r="M702" s="48"/>
      <c r="N702" s="370"/>
      <c r="O702" s="48"/>
    </row>
    <row r="703" spans="1:15" s="383" customFormat="1" ht="15" x14ac:dyDescent="0.25">
      <c r="A703" s="1">
        <v>699</v>
      </c>
      <c r="B703" s="1" t="s">
        <v>625</v>
      </c>
      <c r="C703" s="32">
        <v>7905</v>
      </c>
      <c r="D703" s="1">
        <v>13000</v>
      </c>
      <c r="E703" s="1" t="s">
        <v>642</v>
      </c>
      <c r="F703" s="1">
        <v>144.13</v>
      </c>
      <c r="G703" s="1">
        <v>13000</v>
      </c>
      <c r="H703" s="5">
        <f t="shared" si="10"/>
        <v>0</v>
      </c>
      <c r="I703" s="1"/>
      <c r="J703" s="1"/>
      <c r="K703" s="86"/>
      <c r="L703" s="48"/>
      <c r="M703" s="48"/>
      <c r="N703" s="370"/>
      <c r="O703" s="48"/>
    </row>
    <row r="704" spans="1:15" s="383" customFormat="1" ht="15" x14ac:dyDescent="0.25">
      <c r="A704" s="1">
        <v>700</v>
      </c>
      <c r="B704" s="1" t="s">
        <v>625</v>
      </c>
      <c r="C704" s="32">
        <v>2.98E-2</v>
      </c>
      <c r="D704" s="1">
        <v>23000</v>
      </c>
      <c r="E704" s="1" t="s">
        <v>642</v>
      </c>
      <c r="F704" s="1">
        <v>256.44</v>
      </c>
      <c r="G704" s="1">
        <v>23000</v>
      </c>
      <c r="H704" s="5">
        <f t="shared" si="10"/>
        <v>0</v>
      </c>
      <c r="I704" s="1"/>
      <c r="J704" s="1"/>
      <c r="K704" s="86"/>
      <c r="L704" s="48"/>
      <c r="M704" s="48"/>
      <c r="N704" s="370"/>
      <c r="O704" s="48"/>
    </row>
    <row r="705" spans="1:15" s="383" customFormat="1" ht="15" x14ac:dyDescent="0.25">
      <c r="A705" s="1">
        <v>701</v>
      </c>
      <c r="B705" s="1" t="s">
        <v>625</v>
      </c>
      <c r="C705" s="32">
        <v>3886</v>
      </c>
      <c r="D705" s="1">
        <v>23000</v>
      </c>
      <c r="E705" s="1" t="s">
        <v>642</v>
      </c>
      <c r="F705" s="1">
        <v>256.44</v>
      </c>
      <c r="G705" s="1">
        <v>23000</v>
      </c>
      <c r="H705" s="5">
        <f t="shared" si="10"/>
        <v>0</v>
      </c>
      <c r="I705" s="1"/>
      <c r="J705" s="1"/>
      <c r="K705" s="86"/>
      <c r="L705" s="48"/>
      <c r="M705" s="48"/>
      <c r="N705" s="370"/>
      <c r="O705" s="48"/>
    </row>
    <row r="706" spans="1:15" s="383" customFormat="1" ht="15" x14ac:dyDescent="0.25">
      <c r="A706" s="1">
        <v>702</v>
      </c>
      <c r="B706" s="1" t="s">
        <v>625</v>
      </c>
      <c r="C706" s="32">
        <v>5241</v>
      </c>
      <c r="D706" s="1">
        <v>30000</v>
      </c>
      <c r="E706" s="1" t="s">
        <v>642</v>
      </c>
      <c r="F706" s="1">
        <v>334.52</v>
      </c>
      <c r="G706" s="1">
        <v>30000</v>
      </c>
      <c r="H706" s="5">
        <f t="shared" si="10"/>
        <v>0</v>
      </c>
      <c r="I706" s="1"/>
      <c r="J706" s="1"/>
      <c r="K706" s="86"/>
      <c r="L706" s="48"/>
      <c r="M706" s="48"/>
      <c r="N706" s="370"/>
      <c r="O706" s="48"/>
    </row>
    <row r="707" spans="1:15" s="383" customFormat="1" ht="15" x14ac:dyDescent="0.25">
      <c r="A707" s="1">
        <v>703</v>
      </c>
      <c r="B707" s="1" t="s">
        <v>625</v>
      </c>
      <c r="C707" s="32">
        <v>6591</v>
      </c>
      <c r="D707" s="1">
        <v>21000</v>
      </c>
      <c r="E707" s="1" t="s">
        <v>642</v>
      </c>
      <c r="F707" s="1">
        <v>231.27</v>
      </c>
      <c r="G707" s="1">
        <v>21000</v>
      </c>
      <c r="H707" s="5">
        <f t="shared" si="10"/>
        <v>0</v>
      </c>
      <c r="I707" s="1"/>
      <c r="J707" s="1"/>
      <c r="K707" s="86"/>
      <c r="L707" s="48"/>
      <c r="M707" s="48"/>
      <c r="N707" s="370"/>
      <c r="O707" s="48"/>
    </row>
    <row r="708" spans="1:15" s="383" customFormat="1" ht="15" x14ac:dyDescent="0.25">
      <c r="A708" s="1">
        <v>704</v>
      </c>
      <c r="B708" s="1" t="s">
        <v>625</v>
      </c>
      <c r="C708" s="32">
        <v>8396</v>
      </c>
      <c r="D708" s="1">
        <v>29000</v>
      </c>
      <c r="E708" s="1" t="s">
        <v>642</v>
      </c>
      <c r="F708" s="1">
        <v>323.68</v>
      </c>
      <c r="G708" s="1">
        <v>29000</v>
      </c>
      <c r="H708" s="5">
        <f t="shared" si="10"/>
        <v>0</v>
      </c>
      <c r="I708" s="1"/>
      <c r="J708" s="1"/>
      <c r="K708" s="86"/>
      <c r="L708" s="48"/>
      <c r="M708" s="48"/>
      <c r="N708" s="370"/>
      <c r="O708" s="48"/>
    </row>
    <row r="709" spans="1:15" s="383" customFormat="1" ht="15" x14ac:dyDescent="0.25">
      <c r="A709" s="1">
        <v>705</v>
      </c>
      <c r="B709" s="1" t="s">
        <v>625</v>
      </c>
      <c r="C709" s="32">
        <v>1300</v>
      </c>
      <c r="D709" s="1">
        <v>15000</v>
      </c>
      <c r="E709" s="1" t="s">
        <v>642</v>
      </c>
      <c r="F709" s="1">
        <v>167.15</v>
      </c>
      <c r="G709" s="1">
        <v>15000</v>
      </c>
      <c r="H709" s="5">
        <f t="shared" si="10"/>
        <v>0</v>
      </c>
      <c r="I709" s="1"/>
      <c r="J709" s="1"/>
      <c r="K709" s="86"/>
      <c r="L709" s="48"/>
      <c r="M709" s="48"/>
      <c r="N709" s="370"/>
      <c r="O709" s="48"/>
    </row>
    <row r="710" spans="1:15" s="383" customFormat="1" ht="15" x14ac:dyDescent="0.25">
      <c r="A710" s="1">
        <v>706</v>
      </c>
      <c r="B710" s="1" t="s">
        <v>625</v>
      </c>
      <c r="C710" s="32">
        <v>7840</v>
      </c>
      <c r="D710" s="1">
        <v>25000</v>
      </c>
      <c r="E710" s="1" t="s">
        <v>642</v>
      </c>
      <c r="F710" s="1">
        <v>278.22000000000003</v>
      </c>
      <c r="G710" s="1">
        <v>25000</v>
      </c>
      <c r="H710" s="5">
        <f t="shared" si="10"/>
        <v>0</v>
      </c>
      <c r="I710" s="1"/>
      <c r="J710" s="1"/>
      <c r="K710" s="86"/>
      <c r="L710" s="48"/>
      <c r="M710" s="48"/>
      <c r="N710" s="370"/>
      <c r="O710" s="48"/>
    </row>
    <row r="711" spans="1:15" s="383" customFormat="1" ht="15.75" thickBot="1" x14ac:dyDescent="0.3">
      <c r="A711" s="1">
        <v>707</v>
      </c>
      <c r="B711" s="1" t="s">
        <v>625</v>
      </c>
      <c r="C711" s="32">
        <v>5300</v>
      </c>
      <c r="D711" s="1">
        <v>28000</v>
      </c>
      <c r="E711" s="1" t="s">
        <v>642</v>
      </c>
      <c r="F711" s="1">
        <v>308.97000000000003</v>
      </c>
      <c r="G711" s="1">
        <v>28000</v>
      </c>
      <c r="H711" s="5">
        <f t="shared" si="10"/>
        <v>0</v>
      </c>
      <c r="I711" s="1"/>
      <c r="J711" s="1"/>
      <c r="K711" s="86"/>
      <c r="L711" s="48"/>
      <c r="M711" s="48"/>
      <c r="N711" s="370"/>
      <c r="O711" s="48"/>
    </row>
    <row r="712" spans="1:15" s="383" customFormat="1" ht="15.75" thickBot="1" x14ac:dyDescent="0.3">
      <c r="A712" s="1">
        <v>708</v>
      </c>
      <c r="B712" s="1" t="s">
        <v>625</v>
      </c>
      <c r="C712" s="32">
        <v>6999</v>
      </c>
      <c r="D712" s="1">
        <v>10000</v>
      </c>
      <c r="E712" s="1" t="s">
        <v>642</v>
      </c>
      <c r="F712" s="1">
        <v>111.41</v>
      </c>
      <c r="G712" s="1">
        <v>10000</v>
      </c>
      <c r="H712" s="5">
        <f t="shared" si="10"/>
        <v>0</v>
      </c>
      <c r="I712" s="1"/>
      <c r="J712" s="1"/>
      <c r="K712" s="103">
        <f>2554213-2538803</f>
        <v>15410</v>
      </c>
      <c r="L712" s="359" t="s">
        <v>619</v>
      </c>
      <c r="M712" s="359">
        <v>19154</v>
      </c>
      <c r="N712" s="367" t="s">
        <v>620</v>
      </c>
      <c r="O712" s="360">
        <f>19154-15410</f>
        <v>3744</v>
      </c>
    </row>
    <row r="713" spans="1:15" s="384" customFormat="1" ht="15" x14ac:dyDescent="0.25">
      <c r="A713" s="1">
        <v>709</v>
      </c>
      <c r="B713" s="1" t="s">
        <v>626</v>
      </c>
      <c r="C713" s="32">
        <v>2629</v>
      </c>
      <c r="D713" s="1">
        <v>32000</v>
      </c>
      <c r="E713" s="1" t="s">
        <v>642</v>
      </c>
      <c r="F713" s="1">
        <v>356.84</v>
      </c>
      <c r="G713" s="1">
        <v>32000</v>
      </c>
      <c r="H713" s="5">
        <f t="shared" si="10"/>
        <v>0</v>
      </c>
      <c r="I713" s="1"/>
      <c r="J713" s="1"/>
      <c r="K713" s="86"/>
      <c r="L713" s="48"/>
      <c r="M713" s="48"/>
      <c r="N713" s="370"/>
      <c r="O713" s="48"/>
    </row>
    <row r="714" spans="1:15" s="384" customFormat="1" ht="15" x14ac:dyDescent="0.25">
      <c r="A714" s="1">
        <v>710</v>
      </c>
      <c r="B714" s="1" t="s">
        <v>626</v>
      </c>
      <c r="C714" s="32">
        <v>3537</v>
      </c>
      <c r="D714" s="1">
        <v>17000</v>
      </c>
      <c r="E714" s="1" t="s">
        <v>642</v>
      </c>
      <c r="F714" s="1">
        <v>189.35</v>
      </c>
      <c r="G714" s="1">
        <v>17000</v>
      </c>
      <c r="H714" s="5">
        <f t="shared" si="10"/>
        <v>0</v>
      </c>
      <c r="I714" s="1"/>
      <c r="J714" s="1"/>
      <c r="K714" s="86"/>
      <c r="L714" s="48"/>
      <c r="M714" s="48"/>
      <c r="N714" s="370"/>
      <c r="O714" s="48"/>
    </row>
    <row r="715" spans="1:15" s="384" customFormat="1" ht="15" x14ac:dyDescent="0.25">
      <c r="A715" s="1">
        <v>711</v>
      </c>
      <c r="B715" s="1" t="s">
        <v>626</v>
      </c>
      <c r="C715" s="32">
        <v>7305</v>
      </c>
      <c r="D715" s="1">
        <v>20000</v>
      </c>
      <c r="E715" s="1" t="s">
        <v>642</v>
      </c>
      <c r="F715" s="1">
        <v>222.82</v>
      </c>
      <c r="G715" s="1">
        <v>20000</v>
      </c>
      <c r="H715" s="5">
        <f t="shared" si="10"/>
        <v>0</v>
      </c>
      <c r="I715" s="1"/>
      <c r="J715" s="1"/>
      <c r="K715" s="86"/>
      <c r="L715" s="48"/>
      <c r="M715" s="48"/>
      <c r="N715" s="370"/>
      <c r="O715" s="48"/>
    </row>
    <row r="716" spans="1:15" s="384" customFormat="1" ht="15" x14ac:dyDescent="0.25">
      <c r="A716" s="1">
        <v>712</v>
      </c>
      <c r="B716" s="1" t="s">
        <v>626</v>
      </c>
      <c r="C716" s="32">
        <v>2111</v>
      </c>
      <c r="D716" s="1">
        <v>30000</v>
      </c>
      <c r="E716" s="1" t="s">
        <v>642</v>
      </c>
      <c r="F716" s="1">
        <v>334.52</v>
      </c>
      <c r="G716" s="1">
        <v>30000</v>
      </c>
      <c r="H716" s="5">
        <f t="shared" si="10"/>
        <v>0</v>
      </c>
      <c r="I716" s="1"/>
      <c r="J716" s="1"/>
      <c r="K716" s="86"/>
      <c r="L716" s="48"/>
      <c r="M716" s="48"/>
      <c r="N716" s="370"/>
      <c r="O716" s="48"/>
    </row>
    <row r="717" spans="1:15" s="384" customFormat="1" ht="15" x14ac:dyDescent="0.25">
      <c r="A717" s="1">
        <v>713</v>
      </c>
      <c r="B717" s="1" t="s">
        <v>626</v>
      </c>
      <c r="C717" s="32">
        <v>9903</v>
      </c>
      <c r="D717" s="1">
        <v>20000</v>
      </c>
      <c r="E717" s="1" t="s">
        <v>642</v>
      </c>
      <c r="F717" s="1">
        <v>222.82</v>
      </c>
      <c r="G717" s="1">
        <v>20000</v>
      </c>
      <c r="H717" s="5">
        <f t="shared" si="10"/>
        <v>0</v>
      </c>
      <c r="I717" s="1"/>
      <c r="J717" s="1"/>
      <c r="K717" s="86"/>
      <c r="L717" s="48"/>
      <c r="M717" s="48"/>
      <c r="N717" s="370"/>
      <c r="O717" s="48"/>
    </row>
    <row r="718" spans="1:15" s="384" customFormat="1" ht="15" x14ac:dyDescent="0.25">
      <c r="A718" s="1">
        <v>714</v>
      </c>
      <c r="B718" s="1" t="s">
        <v>626</v>
      </c>
      <c r="C718" s="32">
        <v>1.0200000000000001E-2</v>
      </c>
      <c r="D718" s="1">
        <v>22000</v>
      </c>
      <c r="E718" s="1" t="s">
        <v>642</v>
      </c>
      <c r="F718" s="1">
        <v>245.37</v>
      </c>
      <c r="G718" s="1">
        <v>22000</v>
      </c>
      <c r="H718" s="5">
        <f t="shared" si="10"/>
        <v>0</v>
      </c>
      <c r="I718" s="1"/>
      <c r="J718" s="1"/>
      <c r="K718" s="86"/>
      <c r="L718" s="48"/>
      <c r="M718" s="48"/>
      <c r="N718" s="370"/>
      <c r="O718" s="48"/>
    </row>
    <row r="719" spans="1:15" s="384" customFormat="1" ht="15" x14ac:dyDescent="0.25">
      <c r="A719" s="1">
        <v>715</v>
      </c>
      <c r="B719" s="1" t="s">
        <v>626</v>
      </c>
      <c r="C719" s="32">
        <v>3041</v>
      </c>
      <c r="D719" s="1">
        <v>10000</v>
      </c>
      <c r="E719" s="1" t="s">
        <v>642</v>
      </c>
      <c r="F719" s="1">
        <v>111.41</v>
      </c>
      <c r="G719" s="1">
        <v>10000</v>
      </c>
      <c r="H719" s="5">
        <f t="shared" si="10"/>
        <v>0</v>
      </c>
      <c r="I719" s="1"/>
      <c r="J719" s="1"/>
      <c r="K719" s="86"/>
      <c r="L719" s="48"/>
      <c r="M719" s="48"/>
      <c r="N719" s="370"/>
      <c r="O719" s="48"/>
    </row>
    <row r="720" spans="1:15" s="384" customFormat="1" ht="15" x14ac:dyDescent="0.25">
      <c r="A720" s="1">
        <v>716</v>
      </c>
      <c r="B720" s="1" t="s">
        <v>626</v>
      </c>
      <c r="C720" s="32">
        <v>9891</v>
      </c>
      <c r="D720" s="1">
        <v>20000</v>
      </c>
      <c r="E720" s="1" t="s">
        <v>642</v>
      </c>
      <c r="F720" s="1">
        <v>222.82</v>
      </c>
      <c r="G720" s="1">
        <v>20000</v>
      </c>
      <c r="H720" s="5">
        <f t="shared" si="10"/>
        <v>0</v>
      </c>
      <c r="I720" s="1"/>
      <c r="J720" s="1"/>
      <c r="K720" s="86"/>
      <c r="L720" s="48"/>
      <c r="M720" s="48"/>
      <c r="N720" s="370"/>
      <c r="O720" s="48"/>
    </row>
    <row r="721" spans="1:15" s="384" customFormat="1" ht="15" x14ac:dyDescent="0.25">
      <c r="A721" s="1">
        <v>717</v>
      </c>
      <c r="B721" s="1" t="s">
        <v>626</v>
      </c>
      <c r="C721" s="32">
        <v>4727</v>
      </c>
      <c r="D721" s="1">
        <v>24000</v>
      </c>
      <c r="E721" s="1" t="s">
        <v>642</v>
      </c>
      <c r="F721" s="1">
        <v>260.45</v>
      </c>
      <c r="G721" s="1">
        <v>24000</v>
      </c>
      <c r="H721" s="5">
        <f t="shared" si="10"/>
        <v>0</v>
      </c>
      <c r="I721" s="1"/>
      <c r="J721" s="1"/>
      <c r="K721" s="86"/>
      <c r="L721" s="48"/>
      <c r="M721" s="48"/>
      <c r="N721" s="370"/>
      <c r="O721" s="48"/>
    </row>
    <row r="722" spans="1:15" s="384" customFormat="1" ht="15" x14ac:dyDescent="0.25">
      <c r="A722" s="1">
        <v>718</v>
      </c>
      <c r="B722" s="1" t="s">
        <v>626</v>
      </c>
      <c r="C722" s="32" t="s">
        <v>587</v>
      </c>
      <c r="D722" s="1">
        <v>210</v>
      </c>
      <c r="E722" s="1" t="s">
        <v>642</v>
      </c>
      <c r="F722" s="1">
        <v>2.08</v>
      </c>
      <c r="G722" s="1">
        <v>210</v>
      </c>
      <c r="H722" s="5">
        <f t="shared" si="10"/>
        <v>0</v>
      </c>
      <c r="I722" s="1"/>
      <c r="J722" s="1"/>
      <c r="K722" s="86"/>
      <c r="L722" s="48"/>
      <c r="M722" s="48"/>
      <c r="N722" s="370"/>
      <c r="O722" s="48"/>
    </row>
    <row r="723" spans="1:15" s="384" customFormat="1" ht="15" x14ac:dyDescent="0.25">
      <c r="A723" s="1">
        <v>719</v>
      </c>
      <c r="B723" s="1" t="s">
        <v>626</v>
      </c>
      <c r="C723" s="32">
        <v>5600</v>
      </c>
      <c r="D723" s="1">
        <v>23000</v>
      </c>
      <c r="E723" s="1" t="s">
        <v>642</v>
      </c>
      <c r="F723" s="1">
        <v>229.6</v>
      </c>
      <c r="G723" s="1">
        <v>23000</v>
      </c>
      <c r="H723" s="5">
        <f t="shared" si="10"/>
        <v>0</v>
      </c>
      <c r="I723" s="1"/>
      <c r="J723" s="1"/>
      <c r="K723" s="86"/>
      <c r="L723" s="48"/>
      <c r="M723" s="48"/>
      <c r="N723" s="370"/>
      <c r="O723" s="48"/>
    </row>
    <row r="724" spans="1:15" s="384" customFormat="1" ht="15" x14ac:dyDescent="0.25">
      <c r="A724" s="1">
        <v>720</v>
      </c>
      <c r="B724" s="1" t="s">
        <v>626</v>
      </c>
      <c r="C724" s="32">
        <v>4698</v>
      </c>
      <c r="D724" s="1">
        <v>29000</v>
      </c>
      <c r="E724" s="1" t="s">
        <v>642</v>
      </c>
      <c r="F724" s="1">
        <v>323.29000000000002</v>
      </c>
      <c r="G724" s="1">
        <v>29000</v>
      </c>
      <c r="H724" s="5">
        <f t="shared" si="10"/>
        <v>0</v>
      </c>
      <c r="I724" s="1"/>
      <c r="J724" s="1"/>
      <c r="K724" s="86"/>
      <c r="L724" s="48"/>
      <c r="M724" s="48"/>
      <c r="N724" s="370"/>
      <c r="O724" s="48"/>
    </row>
    <row r="725" spans="1:15" s="384" customFormat="1" ht="15" x14ac:dyDescent="0.25">
      <c r="A725" s="1">
        <v>721</v>
      </c>
      <c r="B725" s="1" t="s">
        <v>626</v>
      </c>
      <c r="C725" s="32">
        <v>2057</v>
      </c>
      <c r="D725" s="1">
        <v>27000</v>
      </c>
      <c r="E725" s="1" t="s">
        <v>642</v>
      </c>
      <c r="F725" s="1">
        <v>300.23</v>
      </c>
      <c r="G725" s="1">
        <v>27000</v>
      </c>
      <c r="H725" s="5">
        <f t="shared" si="10"/>
        <v>0</v>
      </c>
      <c r="I725" s="1"/>
      <c r="J725" s="1"/>
      <c r="K725" s="86"/>
      <c r="L725" s="48"/>
      <c r="M725" s="48"/>
      <c r="N725" s="370"/>
      <c r="O725" s="48"/>
    </row>
    <row r="726" spans="1:15" s="384" customFormat="1" ht="15" x14ac:dyDescent="0.25">
      <c r="A726" s="1">
        <v>722</v>
      </c>
      <c r="B726" s="1" t="s">
        <v>626</v>
      </c>
      <c r="C726" s="32">
        <v>7930</v>
      </c>
      <c r="D726" s="1">
        <v>30000</v>
      </c>
      <c r="E726" s="1" t="s">
        <v>642</v>
      </c>
      <c r="F726" s="1">
        <v>334.52</v>
      </c>
      <c r="G726" s="1">
        <v>30000</v>
      </c>
      <c r="H726" s="5">
        <f t="shared" si="10"/>
        <v>0</v>
      </c>
      <c r="I726" s="1"/>
      <c r="J726" s="1"/>
      <c r="K726" s="86"/>
      <c r="L726" s="48"/>
      <c r="M726" s="48"/>
      <c r="N726" s="370"/>
      <c r="O726" s="48"/>
    </row>
    <row r="727" spans="1:15" s="384" customFormat="1" ht="15" x14ac:dyDescent="0.25">
      <c r="A727" s="1">
        <v>723</v>
      </c>
      <c r="B727" s="1" t="s">
        <v>626</v>
      </c>
      <c r="C727" s="32">
        <v>2.6200000000000001E-2</v>
      </c>
      <c r="D727" s="1">
        <v>18000</v>
      </c>
      <c r="E727" s="1" t="s">
        <v>642</v>
      </c>
      <c r="F727" s="1">
        <v>200.82</v>
      </c>
      <c r="G727" s="1">
        <v>18000</v>
      </c>
      <c r="H727" s="5">
        <f t="shared" si="10"/>
        <v>0</v>
      </c>
      <c r="I727" s="1"/>
      <c r="J727" s="1"/>
      <c r="K727" s="86"/>
      <c r="L727" s="48"/>
      <c r="M727" s="48"/>
      <c r="N727" s="370"/>
      <c r="O727" s="48"/>
    </row>
    <row r="728" spans="1:15" s="384" customFormat="1" ht="15" x14ac:dyDescent="0.25">
      <c r="A728" s="1">
        <v>724</v>
      </c>
      <c r="B728" s="1" t="s">
        <v>626</v>
      </c>
      <c r="C728" s="32">
        <v>3286</v>
      </c>
      <c r="D728" s="1">
        <v>22800</v>
      </c>
      <c r="E728" s="1" t="s">
        <v>642</v>
      </c>
      <c r="F728" s="1">
        <v>254.29</v>
      </c>
      <c r="G728" s="1">
        <v>22800</v>
      </c>
      <c r="H728" s="5">
        <f t="shared" si="10"/>
        <v>0</v>
      </c>
      <c r="I728" s="1"/>
      <c r="J728" s="1"/>
      <c r="K728" s="86"/>
      <c r="L728" s="48"/>
      <c r="M728" s="48"/>
      <c r="N728" s="370"/>
      <c r="O728" s="48"/>
    </row>
    <row r="729" spans="1:15" s="384" customFormat="1" ht="15" x14ac:dyDescent="0.25">
      <c r="A729" s="1">
        <v>725</v>
      </c>
      <c r="B729" s="1" t="s">
        <v>627</v>
      </c>
      <c r="C729" s="32">
        <v>8308</v>
      </c>
      <c r="D729" s="1">
        <v>22000</v>
      </c>
      <c r="E729" s="1" t="s">
        <v>642</v>
      </c>
      <c r="F729" s="1">
        <v>245.37</v>
      </c>
      <c r="G729" s="1">
        <v>22000</v>
      </c>
      <c r="H729" s="5">
        <f t="shared" si="10"/>
        <v>0</v>
      </c>
      <c r="I729" s="1"/>
      <c r="J729" s="1"/>
      <c r="K729" s="86"/>
      <c r="L729" s="48"/>
      <c r="M729" s="48"/>
      <c r="N729" s="370"/>
      <c r="O729" s="48"/>
    </row>
    <row r="730" spans="1:15" s="384" customFormat="1" ht="15" x14ac:dyDescent="0.25">
      <c r="A730" s="1">
        <v>726</v>
      </c>
      <c r="B730" s="1" t="s">
        <v>627</v>
      </c>
      <c r="C730" s="32">
        <v>8993</v>
      </c>
      <c r="D730" s="1">
        <v>30000</v>
      </c>
      <c r="E730" s="1" t="s">
        <v>642</v>
      </c>
      <c r="F730" s="1">
        <v>334.52</v>
      </c>
      <c r="G730" s="1">
        <v>30000</v>
      </c>
      <c r="H730" s="5">
        <f t="shared" si="10"/>
        <v>0</v>
      </c>
      <c r="I730" s="1"/>
      <c r="J730" s="1"/>
      <c r="K730" s="86"/>
      <c r="L730" s="48"/>
      <c r="M730" s="48"/>
      <c r="N730" s="370"/>
      <c r="O730" s="48"/>
    </row>
    <row r="731" spans="1:15" s="384" customFormat="1" ht="15" x14ac:dyDescent="0.25">
      <c r="A731" s="1">
        <v>727</v>
      </c>
      <c r="B731" s="1" t="s">
        <v>627</v>
      </c>
      <c r="C731" s="32">
        <v>6193</v>
      </c>
      <c r="D731" s="1">
        <v>31000</v>
      </c>
      <c r="E731" s="1" t="s">
        <v>642</v>
      </c>
      <c r="F731" s="1">
        <v>345.89</v>
      </c>
      <c r="G731" s="1">
        <v>31000</v>
      </c>
      <c r="H731" s="5">
        <f t="shared" si="10"/>
        <v>0</v>
      </c>
      <c r="I731" s="1"/>
      <c r="J731" s="1"/>
      <c r="K731" s="86"/>
      <c r="L731" s="48"/>
      <c r="M731" s="48"/>
      <c r="N731" s="370"/>
      <c r="O731" s="48"/>
    </row>
    <row r="732" spans="1:15" s="384" customFormat="1" ht="15" x14ac:dyDescent="0.25">
      <c r="A732" s="1">
        <v>728</v>
      </c>
      <c r="B732" s="1" t="s">
        <v>627</v>
      </c>
      <c r="C732" s="32" t="s">
        <v>30</v>
      </c>
      <c r="D732" s="1">
        <v>4500</v>
      </c>
      <c r="E732" s="1" t="s">
        <v>642</v>
      </c>
      <c r="F732" s="1">
        <v>50.45</v>
      </c>
      <c r="G732" s="1">
        <v>4500</v>
      </c>
      <c r="H732" s="5">
        <f t="shared" si="10"/>
        <v>0</v>
      </c>
      <c r="I732" s="1"/>
      <c r="J732" s="1"/>
      <c r="K732" s="86"/>
      <c r="L732" s="48"/>
      <c r="M732" s="48"/>
      <c r="N732" s="370"/>
      <c r="O732" s="48"/>
    </row>
    <row r="733" spans="1:15" s="384" customFormat="1" ht="15" x14ac:dyDescent="0.25">
      <c r="A733" s="1">
        <v>729</v>
      </c>
      <c r="B733" s="1" t="s">
        <v>627</v>
      </c>
      <c r="C733" s="32" t="s">
        <v>586</v>
      </c>
      <c r="D733" s="1">
        <v>2000</v>
      </c>
      <c r="E733" s="1" t="s">
        <v>642</v>
      </c>
      <c r="F733" s="1">
        <v>22.4</v>
      </c>
      <c r="G733" s="1">
        <v>2000</v>
      </c>
      <c r="H733" s="5">
        <f t="shared" si="10"/>
        <v>0</v>
      </c>
      <c r="I733" s="1"/>
      <c r="J733" s="1"/>
      <c r="K733" s="86"/>
      <c r="L733" s="48"/>
      <c r="M733" s="48"/>
      <c r="N733" s="370"/>
      <c r="O733" s="48"/>
    </row>
    <row r="734" spans="1:15" s="384" customFormat="1" ht="15" x14ac:dyDescent="0.25">
      <c r="A734" s="1">
        <v>730</v>
      </c>
      <c r="B734" s="1" t="s">
        <v>627</v>
      </c>
      <c r="C734" s="32" t="s">
        <v>30</v>
      </c>
      <c r="D734" s="1">
        <v>5000</v>
      </c>
      <c r="E734" s="1" t="s">
        <v>642</v>
      </c>
      <c r="F734" s="1">
        <v>55.45</v>
      </c>
      <c r="G734" s="1">
        <v>5000</v>
      </c>
      <c r="H734" s="5">
        <f t="shared" si="10"/>
        <v>0</v>
      </c>
      <c r="I734" s="1"/>
      <c r="J734" s="1"/>
      <c r="K734" s="86"/>
      <c r="L734" s="48"/>
      <c r="M734" s="48"/>
      <c r="N734" s="370"/>
      <c r="O734" s="48"/>
    </row>
    <row r="735" spans="1:15" s="384" customFormat="1" ht="15" x14ac:dyDescent="0.25">
      <c r="A735" s="1">
        <v>731</v>
      </c>
      <c r="B735" s="1" t="s">
        <v>627</v>
      </c>
      <c r="C735" s="32">
        <v>8077</v>
      </c>
      <c r="D735" s="1">
        <v>23000</v>
      </c>
      <c r="E735" s="1" t="s">
        <v>642</v>
      </c>
      <c r="F735" s="1">
        <v>256.29000000000002</v>
      </c>
      <c r="G735" s="1">
        <v>23000</v>
      </c>
      <c r="H735" s="5">
        <f t="shared" si="10"/>
        <v>0</v>
      </c>
      <c r="I735" s="1"/>
      <c r="J735" s="1"/>
      <c r="K735" s="86"/>
      <c r="L735" s="48"/>
      <c r="M735" s="48"/>
      <c r="N735" s="370"/>
      <c r="O735" s="48"/>
    </row>
    <row r="736" spans="1:15" s="384" customFormat="1" ht="15" x14ac:dyDescent="0.25">
      <c r="A736" s="1">
        <v>732</v>
      </c>
      <c r="B736" s="1" t="s">
        <v>627</v>
      </c>
      <c r="C736" s="32">
        <v>9421</v>
      </c>
      <c r="D736" s="1">
        <v>24000</v>
      </c>
      <c r="E736" s="1" t="s">
        <v>642</v>
      </c>
      <c r="F736" s="1">
        <v>267.52999999999997</v>
      </c>
      <c r="G736" s="1">
        <v>24000</v>
      </c>
      <c r="H736" s="5">
        <f t="shared" si="10"/>
        <v>0</v>
      </c>
      <c r="I736" s="1"/>
      <c r="J736" s="1"/>
      <c r="K736" s="86"/>
      <c r="L736" s="48"/>
      <c r="M736" s="48"/>
      <c r="N736" s="370"/>
      <c r="O736" s="48"/>
    </row>
    <row r="737" spans="1:15" s="384" customFormat="1" ht="15" x14ac:dyDescent="0.25">
      <c r="A737" s="1">
        <v>733</v>
      </c>
      <c r="B737" s="1" t="s">
        <v>627</v>
      </c>
      <c r="C737" s="32">
        <v>4.1599999999999998E-2</v>
      </c>
      <c r="D737" s="1">
        <v>24000</v>
      </c>
      <c r="E737" s="1" t="s">
        <v>642</v>
      </c>
      <c r="F737" s="1">
        <v>267.52999999999997</v>
      </c>
      <c r="G737" s="1">
        <v>24000</v>
      </c>
      <c r="H737" s="5">
        <f t="shared" si="10"/>
        <v>0</v>
      </c>
      <c r="I737" s="1"/>
      <c r="J737" s="1"/>
      <c r="K737" s="86"/>
      <c r="L737" s="48"/>
      <c r="M737" s="48"/>
      <c r="N737" s="370"/>
      <c r="O737" s="48"/>
    </row>
    <row r="738" spans="1:15" s="384" customFormat="1" ht="15" x14ac:dyDescent="0.25">
      <c r="A738" s="1">
        <v>734</v>
      </c>
      <c r="B738" s="1" t="s">
        <v>627</v>
      </c>
      <c r="C738" s="32">
        <v>8061</v>
      </c>
      <c r="D738" s="1">
        <v>21000</v>
      </c>
      <c r="E738" s="1" t="s">
        <v>642</v>
      </c>
      <c r="F738" s="1">
        <v>245.34</v>
      </c>
      <c r="G738" s="1">
        <v>21000</v>
      </c>
      <c r="H738" s="5">
        <f t="shared" si="10"/>
        <v>0</v>
      </c>
      <c r="I738" s="1"/>
      <c r="J738" s="1"/>
      <c r="K738" s="86"/>
      <c r="L738" s="48"/>
      <c r="M738" s="48"/>
      <c r="N738" s="370"/>
      <c r="O738" s="48"/>
    </row>
    <row r="739" spans="1:15" s="384" customFormat="1" ht="15" x14ac:dyDescent="0.25">
      <c r="A739" s="1">
        <v>735</v>
      </c>
      <c r="B739" s="1" t="s">
        <v>627</v>
      </c>
      <c r="C739" s="32">
        <v>4956</v>
      </c>
      <c r="D739" s="1">
        <v>30000</v>
      </c>
      <c r="E739" s="1" t="s">
        <v>642</v>
      </c>
      <c r="F739" s="1">
        <v>334.52</v>
      </c>
      <c r="G739" s="1">
        <v>30000</v>
      </c>
      <c r="H739" s="5">
        <f t="shared" ref="H739:H754" si="11">D739-G739</f>
        <v>0</v>
      </c>
      <c r="I739" s="1"/>
      <c r="J739" s="1"/>
      <c r="K739" s="86"/>
      <c r="L739" s="48"/>
      <c r="M739" s="48"/>
      <c r="N739" s="370"/>
      <c r="O739" s="48"/>
    </row>
    <row r="740" spans="1:15" s="384" customFormat="1" ht="15" x14ac:dyDescent="0.25">
      <c r="A740" s="1">
        <v>736</v>
      </c>
      <c r="B740" s="1" t="s">
        <v>627</v>
      </c>
      <c r="C740" s="32">
        <v>6634</v>
      </c>
      <c r="D740" s="1">
        <v>20000</v>
      </c>
      <c r="E740" s="1" t="s">
        <v>642</v>
      </c>
      <c r="F740" s="1">
        <v>222.82</v>
      </c>
      <c r="G740" s="1">
        <v>20000</v>
      </c>
      <c r="H740" s="5">
        <f t="shared" si="11"/>
        <v>0</v>
      </c>
      <c r="I740" s="1"/>
      <c r="J740" s="1"/>
      <c r="K740" s="86"/>
      <c r="L740" s="48"/>
      <c r="M740" s="48"/>
      <c r="N740" s="370"/>
      <c r="O740" s="48"/>
    </row>
    <row r="741" spans="1:15" s="384" customFormat="1" ht="15" x14ac:dyDescent="0.25">
      <c r="A741" s="1">
        <v>737</v>
      </c>
      <c r="B741" s="1" t="s">
        <v>627</v>
      </c>
      <c r="C741" s="32">
        <v>4.7199999999999999E-2</v>
      </c>
      <c r="D741" s="1">
        <v>20000</v>
      </c>
      <c r="E741" s="1" t="s">
        <v>642</v>
      </c>
      <c r="F741" s="1">
        <v>222.82</v>
      </c>
      <c r="G741" s="1">
        <v>20000</v>
      </c>
      <c r="H741" s="5">
        <f t="shared" si="11"/>
        <v>0</v>
      </c>
      <c r="I741" s="1"/>
      <c r="J741" s="1"/>
      <c r="K741" s="86"/>
      <c r="L741" s="48"/>
      <c r="M741" s="48"/>
      <c r="N741" s="370"/>
      <c r="O741" s="48"/>
    </row>
    <row r="742" spans="1:15" s="384" customFormat="1" ht="15" x14ac:dyDescent="0.25">
      <c r="A742" s="1">
        <v>738</v>
      </c>
      <c r="B742" s="1" t="s">
        <v>627</v>
      </c>
      <c r="C742" s="32">
        <v>1822</v>
      </c>
      <c r="D742" s="1">
        <v>20000</v>
      </c>
      <c r="E742" s="1" t="s">
        <v>642</v>
      </c>
      <c r="F742" s="1">
        <v>222.82</v>
      </c>
      <c r="G742" s="1">
        <v>20000</v>
      </c>
      <c r="H742" s="5">
        <f t="shared" si="11"/>
        <v>0</v>
      </c>
      <c r="I742" s="1"/>
      <c r="J742" s="1"/>
      <c r="K742" s="86"/>
      <c r="L742" s="48"/>
      <c r="M742" s="48"/>
      <c r="N742" s="370"/>
      <c r="O742" s="48"/>
    </row>
    <row r="743" spans="1:15" s="384" customFormat="1" ht="15" x14ac:dyDescent="0.25">
      <c r="A743" s="1">
        <v>739</v>
      </c>
      <c r="B743" s="1" t="s">
        <v>627</v>
      </c>
      <c r="C743" s="32">
        <v>9730</v>
      </c>
      <c r="D743" s="1">
        <v>20000</v>
      </c>
      <c r="E743" s="1" t="s">
        <v>642</v>
      </c>
      <c r="F743" s="1">
        <v>222.82</v>
      </c>
      <c r="G743" s="1">
        <v>20000</v>
      </c>
      <c r="H743" s="5">
        <f t="shared" si="11"/>
        <v>0</v>
      </c>
      <c r="I743" s="1"/>
      <c r="J743" s="1"/>
      <c r="K743" s="86"/>
      <c r="L743" s="48"/>
      <c r="M743" s="48"/>
      <c r="N743" s="370"/>
      <c r="O743" s="48"/>
    </row>
    <row r="744" spans="1:15" s="384" customFormat="1" ht="15" x14ac:dyDescent="0.25">
      <c r="A744" s="1">
        <v>740</v>
      </c>
      <c r="B744" s="1" t="s">
        <v>627</v>
      </c>
      <c r="C744" s="32">
        <v>5151</v>
      </c>
      <c r="D744" s="1">
        <v>17000</v>
      </c>
      <c r="E744" s="1" t="s">
        <v>642</v>
      </c>
      <c r="F744" s="1">
        <v>189.35</v>
      </c>
      <c r="G744" s="1">
        <v>17000</v>
      </c>
      <c r="H744" s="5">
        <f t="shared" si="11"/>
        <v>0</v>
      </c>
      <c r="I744" s="1"/>
      <c r="J744" s="1"/>
      <c r="K744" s="86"/>
      <c r="L744" s="48"/>
      <c r="M744" s="48"/>
      <c r="N744" s="370"/>
      <c r="O744" s="48"/>
    </row>
    <row r="745" spans="1:15" s="384" customFormat="1" ht="15" x14ac:dyDescent="0.25">
      <c r="A745" s="1">
        <v>741</v>
      </c>
      <c r="B745" s="1" t="s">
        <v>627</v>
      </c>
      <c r="C745" s="32">
        <v>2100</v>
      </c>
      <c r="D745" s="1">
        <v>20000</v>
      </c>
      <c r="E745" s="1" t="s">
        <v>642</v>
      </c>
      <c r="F745" s="1">
        <v>222.82</v>
      </c>
      <c r="G745" s="1">
        <v>20000</v>
      </c>
      <c r="H745" s="5">
        <f t="shared" si="11"/>
        <v>0</v>
      </c>
      <c r="I745" s="1"/>
      <c r="J745" s="1"/>
      <c r="K745" s="86"/>
      <c r="L745" s="48"/>
      <c r="M745" s="48"/>
      <c r="N745" s="370"/>
      <c r="O745" s="48"/>
    </row>
    <row r="746" spans="1:15" s="384" customFormat="1" ht="15" x14ac:dyDescent="0.25">
      <c r="A746" s="1">
        <v>742</v>
      </c>
      <c r="B746" s="1" t="s">
        <v>627</v>
      </c>
      <c r="C746" s="32">
        <v>6364</v>
      </c>
      <c r="D746" s="1">
        <v>20000</v>
      </c>
      <c r="E746" s="1" t="s">
        <v>642</v>
      </c>
      <c r="F746" s="1">
        <v>222.82</v>
      </c>
      <c r="G746" s="1">
        <v>20000</v>
      </c>
      <c r="H746" s="5">
        <f t="shared" si="11"/>
        <v>0</v>
      </c>
      <c r="I746" s="1"/>
      <c r="J746" s="1"/>
      <c r="K746" s="86"/>
      <c r="L746" s="48"/>
      <c r="M746" s="48"/>
      <c r="N746" s="370"/>
      <c r="O746" s="48"/>
    </row>
    <row r="747" spans="1:15" s="384" customFormat="1" ht="15" x14ac:dyDescent="0.25">
      <c r="A747" s="1">
        <v>743</v>
      </c>
      <c r="B747" s="1" t="s">
        <v>627</v>
      </c>
      <c r="C747" s="32">
        <v>6858</v>
      </c>
      <c r="D747" s="1">
        <v>10000</v>
      </c>
      <c r="E747" s="1" t="s">
        <v>642</v>
      </c>
      <c r="F747" s="1">
        <v>111.41</v>
      </c>
      <c r="G747" s="1">
        <v>10000</v>
      </c>
      <c r="H747" s="5">
        <f t="shared" si="11"/>
        <v>0</v>
      </c>
      <c r="I747" s="1"/>
      <c r="J747" s="1"/>
      <c r="K747" s="86"/>
      <c r="L747" s="48"/>
      <c r="M747" s="48"/>
      <c r="N747" s="370"/>
      <c r="O747" s="48"/>
    </row>
    <row r="748" spans="1:15" s="384" customFormat="1" ht="15" x14ac:dyDescent="0.25">
      <c r="A748" s="1">
        <v>744</v>
      </c>
      <c r="B748" s="1" t="s">
        <v>627</v>
      </c>
      <c r="C748" s="32">
        <v>4353</v>
      </c>
      <c r="D748" s="1">
        <v>15000</v>
      </c>
      <c r="E748" s="1" t="s">
        <v>642</v>
      </c>
      <c r="F748" s="1">
        <v>167.15</v>
      </c>
      <c r="G748" s="1">
        <v>15000</v>
      </c>
      <c r="H748" s="5">
        <f t="shared" si="11"/>
        <v>0</v>
      </c>
      <c r="I748" s="1"/>
      <c r="J748" s="1"/>
      <c r="K748" s="86"/>
      <c r="L748" s="48"/>
      <c r="M748" s="48"/>
      <c r="N748" s="370"/>
      <c r="O748" s="48"/>
    </row>
    <row r="749" spans="1:15" s="384" customFormat="1" ht="15" x14ac:dyDescent="0.25">
      <c r="A749" s="1">
        <v>745</v>
      </c>
      <c r="B749" s="1" t="s">
        <v>627</v>
      </c>
      <c r="C749" s="32">
        <v>1589</v>
      </c>
      <c r="D749" s="1">
        <v>26000</v>
      </c>
      <c r="E749" s="1" t="s">
        <v>642</v>
      </c>
      <c r="F749" s="1">
        <v>289.22000000000003</v>
      </c>
      <c r="G749" s="1">
        <v>26000</v>
      </c>
      <c r="H749" s="5">
        <f t="shared" si="11"/>
        <v>0</v>
      </c>
      <c r="I749" s="1"/>
      <c r="J749" s="1"/>
      <c r="K749" s="86"/>
      <c r="L749" s="48"/>
      <c r="M749" s="48"/>
      <c r="N749" s="370"/>
      <c r="O749" s="48"/>
    </row>
    <row r="750" spans="1:15" s="384" customFormat="1" ht="15" x14ac:dyDescent="0.25">
      <c r="A750" s="1">
        <v>746</v>
      </c>
      <c r="B750" s="1" t="s">
        <v>627</v>
      </c>
      <c r="C750" s="32">
        <v>7931</v>
      </c>
      <c r="D750" s="1">
        <v>10000</v>
      </c>
      <c r="E750" s="1" t="s">
        <v>642</v>
      </c>
      <c r="F750" s="1">
        <v>111.41</v>
      </c>
      <c r="G750" s="1">
        <v>10000</v>
      </c>
      <c r="H750" s="5">
        <f t="shared" si="11"/>
        <v>0</v>
      </c>
      <c r="I750" s="1"/>
      <c r="J750" s="1"/>
      <c r="K750" s="86"/>
      <c r="L750" s="48"/>
      <c r="M750" s="48"/>
      <c r="N750" s="370"/>
      <c r="O750" s="48"/>
    </row>
    <row r="751" spans="1:15" s="384" customFormat="1" ht="15" x14ac:dyDescent="0.25">
      <c r="A751" s="1">
        <v>747</v>
      </c>
      <c r="B751" s="1" t="s">
        <v>627</v>
      </c>
      <c r="C751" s="32">
        <v>9688</v>
      </c>
      <c r="D751" s="1">
        <v>30000</v>
      </c>
      <c r="E751" s="1" t="s">
        <v>642</v>
      </c>
      <c r="F751" s="1">
        <v>334.52</v>
      </c>
      <c r="G751" s="1">
        <v>30000</v>
      </c>
      <c r="H751" s="5">
        <f t="shared" si="11"/>
        <v>0</v>
      </c>
      <c r="I751" s="1"/>
      <c r="J751" s="1"/>
      <c r="K751" s="86"/>
      <c r="L751" s="48"/>
      <c r="M751" s="48"/>
      <c r="N751" s="370"/>
      <c r="O751" s="48"/>
    </row>
    <row r="752" spans="1:15" s="384" customFormat="1" ht="15" x14ac:dyDescent="0.25">
      <c r="A752" s="1">
        <v>748</v>
      </c>
      <c r="B752" s="1" t="s">
        <v>627</v>
      </c>
      <c r="C752" s="32">
        <v>6972</v>
      </c>
      <c r="D752" s="1">
        <v>14000</v>
      </c>
      <c r="E752" s="1" t="s">
        <v>642</v>
      </c>
      <c r="F752" s="1">
        <v>155.34</v>
      </c>
      <c r="G752" s="1">
        <v>14000</v>
      </c>
      <c r="H752" s="5">
        <f t="shared" si="11"/>
        <v>0</v>
      </c>
      <c r="I752" s="1"/>
      <c r="J752" s="1"/>
      <c r="K752" s="86"/>
      <c r="L752" s="48"/>
      <c r="M752" s="48"/>
      <c r="N752" s="370"/>
      <c r="O752" s="48"/>
    </row>
    <row r="753" spans="1:15" s="384" customFormat="1" ht="15" x14ac:dyDescent="0.25">
      <c r="A753" s="1">
        <v>749</v>
      </c>
      <c r="B753" s="1" t="s">
        <v>627</v>
      </c>
      <c r="C753" s="32">
        <v>1632</v>
      </c>
      <c r="D753" s="1">
        <v>26000</v>
      </c>
      <c r="E753" s="1" t="s">
        <v>642</v>
      </c>
      <c r="F753" s="1">
        <v>289.22000000000003</v>
      </c>
      <c r="G753" s="1">
        <v>26000</v>
      </c>
      <c r="H753" s="5">
        <f t="shared" si="11"/>
        <v>0</v>
      </c>
      <c r="I753" s="1"/>
      <c r="J753" s="1"/>
      <c r="K753" s="86"/>
      <c r="L753" s="48"/>
      <c r="M753" s="48"/>
      <c r="N753" s="370"/>
      <c r="O753" s="48"/>
    </row>
    <row r="754" spans="1:15" s="384" customFormat="1" ht="15.75" thickBot="1" x14ac:dyDescent="0.3">
      <c r="A754" s="1">
        <v>750</v>
      </c>
      <c r="B754" s="1" t="s">
        <v>627</v>
      </c>
      <c r="C754" s="32">
        <v>9463</v>
      </c>
      <c r="D754" s="1">
        <v>24100</v>
      </c>
      <c r="E754" s="1" t="s">
        <v>642</v>
      </c>
      <c r="F754" s="1">
        <v>268.55</v>
      </c>
      <c r="G754" s="1">
        <v>24100</v>
      </c>
      <c r="H754" s="5">
        <f t="shared" si="11"/>
        <v>0</v>
      </c>
      <c r="I754" s="1"/>
      <c r="J754" s="1"/>
      <c r="K754" s="86"/>
      <c r="L754" s="48"/>
      <c r="M754" s="48"/>
      <c r="N754" s="370"/>
      <c r="O754" s="48"/>
    </row>
    <row r="755" spans="1:15" ht="15.75" thickBot="1" x14ac:dyDescent="0.3">
      <c r="A755" s="1" t="s">
        <v>75</v>
      </c>
      <c r="B755" s="1"/>
      <c r="C755" s="20" t="s">
        <v>9</v>
      </c>
      <c r="D755" s="21">
        <f>SUM(D5:D754)</f>
        <v>16602176</v>
      </c>
      <c r="E755" s="22"/>
      <c r="F755" s="23">
        <f>SUM(F7:F754)</f>
        <v>159508.9500000001</v>
      </c>
      <c r="G755" s="21">
        <f>SUM(G5:G754)</f>
        <v>16602176</v>
      </c>
      <c r="H755" s="22"/>
      <c r="I755" s="24">
        <f>SUM(I7:I53)</f>
        <v>14000000</v>
      </c>
      <c r="J755" s="1"/>
      <c r="K755" s="103">
        <f>2636383-2602176</f>
        <v>34207</v>
      </c>
      <c r="L755" s="359" t="s">
        <v>619</v>
      </c>
      <c r="M755" s="359">
        <v>37949</v>
      </c>
      <c r="N755" s="367" t="s">
        <v>620</v>
      </c>
      <c r="O755" s="360">
        <f>37949-34207</f>
        <v>3742</v>
      </c>
    </row>
    <row r="756" spans="1:15" ht="15" x14ac:dyDescent="0.25">
      <c r="A756" s="44"/>
      <c r="B756" s="1"/>
      <c r="C756" s="20" t="s">
        <v>10</v>
      </c>
      <c r="D756" s="25">
        <f>SUM(D755-I755)</f>
        <v>2602176</v>
      </c>
      <c r="E756" s="22"/>
      <c r="F756" s="22"/>
      <c r="G756" s="26" t="s">
        <v>10</v>
      </c>
      <c r="H756" s="25">
        <f>SUM(G755-I755)</f>
        <v>2602176</v>
      </c>
      <c r="I756" s="25"/>
      <c r="J756" s="1"/>
      <c r="K756" s="86"/>
      <c r="L756" s="375"/>
      <c r="M756" s="375"/>
      <c r="N756" s="375"/>
      <c r="O756" s="375"/>
    </row>
    <row r="757" spans="1:15" ht="15" thickBot="1" x14ac:dyDescent="0.25"/>
    <row r="758" spans="1:15" ht="15" x14ac:dyDescent="0.25">
      <c r="C758" s="199"/>
      <c r="D758" s="197" t="s">
        <v>629</v>
      </c>
      <c r="E758" s="179"/>
      <c r="F758" s="179"/>
      <c r="G758" s="179"/>
      <c r="H758" s="75"/>
      <c r="I758" s="76"/>
    </row>
    <row r="759" spans="1:15" ht="15.75" thickBot="1" x14ac:dyDescent="0.3">
      <c r="C759" s="200" t="s">
        <v>423</v>
      </c>
      <c r="D759" s="198"/>
      <c r="E759" s="181"/>
      <c r="F759" s="181" t="s">
        <v>186</v>
      </c>
      <c r="G759" s="181"/>
      <c r="H759" s="183"/>
      <c r="I759" s="184"/>
    </row>
    <row r="760" spans="1:15" ht="15" x14ac:dyDescent="0.25">
      <c r="C760" s="91" t="s">
        <v>184</v>
      </c>
      <c r="D760" s="90">
        <v>16602176</v>
      </c>
      <c r="E760" s="90"/>
      <c r="F760" s="90" t="s">
        <v>187</v>
      </c>
      <c r="G760" s="90">
        <v>16615139</v>
      </c>
      <c r="H760" s="90" t="s">
        <v>364</v>
      </c>
      <c r="I760" s="187">
        <f>16615139-16602176</f>
        <v>12963</v>
      </c>
    </row>
    <row r="761" spans="1:15" ht="15" x14ac:dyDescent="0.25">
      <c r="C761" s="93" t="s">
        <v>143</v>
      </c>
      <c r="D761" s="42">
        <v>14000000</v>
      </c>
      <c r="E761" s="42"/>
      <c r="F761" s="42" t="s">
        <v>191</v>
      </c>
      <c r="G761" s="42">
        <v>13978708</v>
      </c>
      <c r="H761" s="42" t="s">
        <v>365</v>
      </c>
      <c r="I761" s="188">
        <f>14000000-13978708</f>
        <v>21292</v>
      </c>
      <c r="K761">
        <f>2602176-2636431</f>
        <v>-34255</v>
      </c>
    </row>
    <row r="762" spans="1:15" ht="18.75" x14ac:dyDescent="0.3">
      <c r="C762" s="189" t="s">
        <v>95</v>
      </c>
      <c r="D762" s="89">
        <f>16602176-14000000</f>
        <v>2602176</v>
      </c>
      <c r="E762" s="89"/>
      <c r="F762" s="89" t="s">
        <v>95</v>
      </c>
      <c r="G762" s="89">
        <f>16615139-13978708</f>
        <v>2636431</v>
      </c>
      <c r="H762" s="89" t="s">
        <v>390</v>
      </c>
      <c r="I762" s="201">
        <f>2602176-2636431</f>
        <v>-34255</v>
      </c>
    </row>
    <row r="763" spans="1:15" ht="19.5" thickBot="1" x14ac:dyDescent="0.35">
      <c r="C763" s="202"/>
      <c r="D763" s="203"/>
      <c r="E763" s="203"/>
      <c r="F763" s="204"/>
      <c r="G763" s="204"/>
      <c r="H763" s="204" t="s">
        <v>421</v>
      </c>
      <c r="I763" s="205">
        <v>37949</v>
      </c>
    </row>
    <row r="764" spans="1:15" ht="18.75" thickBot="1" x14ac:dyDescent="0.3">
      <c r="C764" s="206"/>
      <c r="D764" s="207"/>
      <c r="E764" s="207"/>
      <c r="F764" s="208" t="s">
        <v>192</v>
      </c>
      <c r="G764" s="208"/>
      <c r="H764" s="208"/>
      <c r="I764" s="209">
        <f>34255-37949</f>
        <v>-3694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11"/>
  <sheetViews>
    <sheetView topLeftCell="A575" workbookViewId="0">
      <selection activeCell="E604" sqref="E604"/>
    </sheetView>
  </sheetViews>
  <sheetFormatPr defaultRowHeight="14.25" x14ac:dyDescent="0.2"/>
  <cols>
    <col min="1" max="1" width="5.375" customWidth="1"/>
    <col min="3" max="3" width="15.25" customWidth="1"/>
    <col min="4" max="4" width="13.125" customWidth="1"/>
    <col min="5" max="5" width="9.5" bestFit="1" customWidth="1"/>
    <col min="6" max="6" width="10.75" bestFit="1" customWidth="1"/>
    <col min="7" max="7" width="12.125" customWidth="1"/>
    <col min="8" max="8" width="14.25" customWidth="1"/>
    <col min="9" max="9" width="12.125" customWidth="1"/>
    <col min="10" max="10" width="8" customWidth="1"/>
    <col min="12" max="12" width="10.375" customWidth="1"/>
  </cols>
  <sheetData>
    <row r="2" spans="1:14" ht="21" x14ac:dyDescent="0.35">
      <c r="A2" s="418" t="s">
        <v>80</v>
      </c>
      <c r="B2" s="418"/>
      <c r="C2" s="418"/>
      <c r="D2" s="419" t="s">
        <v>331</v>
      </c>
      <c r="E2" s="419"/>
      <c r="F2" s="419"/>
      <c r="G2" s="419"/>
      <c r="H2" s="418"/>
      <c r="I2" s="418"/>
      <c r="J2" s="418"/>
    </row>
    <row r="3" spans="1:14" ht="18" x14ac:dyDescent="0.25">
      <c r="A3" s="418"/>
      <c r="B3" s="418"/>
      <c r="C3" s="418"/>
      <c r="D3" s="420"/>
      <c r="E3" s="421" t="s">
        <v>677</v>
      </c>
      <c r="F3" s="422"/>
      <c r="G3" s="422"/>
      <c r="H3" s="418"/>
      <c r="I3" s="418"/>
      <c r="J3" s="418"/>
    </row>
    <row r="4" spans="1:14" ht="1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107" t="s">
        <v>8</v>
      </c>
      <c r="J4" s="107" t="s">
        <v>2</v>
      </c>
    </row>
    <row r="5" spans="1:14" ht="15.75" x14ac:dyDescent="0.25">
      <c r="A5" s="1">
        <v>1</v>
      </c>
      <c r="B5" s="108" t="s">
        <v>627</v>
      </c>
      <c r="C5" s="162" t="s">
        <v>374</v>
      </c>
      <c r="D5" s="210">
        <v>2602176</v>
      </c>
      <c r="E5" s="162"/>
      <c r="F5" s="162"/>
      <c r="G5" s="210">
        <v>2602176</v>
      </c>
      <c r="H5" s="30"/>
      <c r="I5" s="107"/>
      <c r="J5" s="107"/>
    </row>
    <row r="6" spans="1:14" s="404" customFormat="1" ht="15.75" x14ac:dyDescent="0.25">
      <c r="A6" s="1">
        <v>2</v>
      </c>
      <c r="B6" s="108" t="s">
        <v>657</v>
      </c>
      <c r="C6" s="162" t="s">
        <v>659</v>
      </c>
      <c r="D6" s="210">
        <v>9545</v>
      </c>
      <c r="E6" s="162"/>
      <c r="F6" s="162"/>
      <c r="G6" s="210">
        <v>9545</v>
      </c>
      <c r="H6" s="30"/>
      <c r="I6" s="107"/>
      <c r="J6" s="107"/>
    </row>
    <row r="7" spans="1:14" s="386" customFormat="1" ht="15" x14ac:dyDescent="0.25">
      <c r="A7" s="1">
        <v>3</v>
      </c>
      <c r="B7" s="1" t="s">
        <v>630</v>
      </c>
      <c r="C7" s="32">
        <v>9894</v>
      </c>
      <c r="D7" s="1">
        <v>20000</v>
      </c>
      <c r="E7" s="1" t="s">
        <v>80</v>
      </c>
      <c r="F7" s="1">
        <v>222.82</v>
      </c>
      <c r="G7" s="1">
        <v>20000</v>
      </c>
      <c r="H7" s="1">
        <f t="shared" ref="H7:H20" si="0">D7-G7</f>
        <v>0</v>
      </c>
      <c r="I7" s="89">
        <v>700000</v>
      </c>
      <c r="J7" s="89" t="s">
        <v>630</v>
      </c>
      <c r="K7" s="89" t="s">
        <v>548</v>
      </c>
      <c r="L7" s="89"/>
      <c r="M7" s="47"/>
      <c r="N7" s="47"/>
    </row>
    <row r="8" spans="1:14" s="386" customFormat="1" ht="15" x14ac:dyDescent="0.25">
      <c r="A8" s="1">
        <v>4</v>
      </c>
      <c r="B8" s="1" t="s">
        <v>630</v>
      </c>
      <c r="C8" s="32">
        <v>9410</v>
      </c>
      <c r="D8" s="1">
        <v>22000</v>
      </c>
      <c r="E8" s="1" t="s">
        <v>80</v>
      </c>
      <c r="F8" s="1">
        <v>245.22</v>
      </c>
      <c r="G8" s="1">
        <v>22000</v>
      </c>
      <c r="H8" s="1">
        <f t="shared" si="0"/>
        <v>0</v>
      </c>
      <c r="I8" s="89">
        <v>300000</v>
      </c>
      <c r="J8" s="89" t="s">
        <v>632</v>
      </c>
      <c r="K8" s="89" t="s">
        <v>548</v>
      </c>
      <c r="L8" s="89"/>
      <c r="M8" s="47"/>
      <c r="N8" s="47"/>
    </row>
    <row r="9" spans="1:14" s="386" customFormat="1" ht="15" x14ac:dyDescent="0.25">
      <c r="A9" s="1">
        <v>5</v>
      </c>
      <c r="B9" s="1" t="s">
        <v>630</v>
      </c>
      <c r="C9" s="32">
        <v>2651</v>
      </c>
      <c r="D9" s="1">
        <v>24000</v>
      </c>
      <c r="E9" s="1" t="s">
        <v>80</v>
      </c>
      <c r="F9" s="1">
        <v>267.82</v>
      </c>
      <c r="G9" s="1">
        <v>24000</v>
      </c>
      <c r="H9" s="1">
        <f t="shared" si="0"/>
        <v>0</v>
      </c>
      <c r="I9" s="89">
        <v>400000</v>
      </c>
      <c r="J9" s="89" t="s">
        <v>635</v>
      </c>
      <c r="K9" s="89" t="s">
        <v>548</v>
      </c>
      <c r="L9" s="89"/>
      <c r="M9" s="47"/>
      <c r="N9" s="47"/>
    </row>
    <row r="10" spans="1:14" s="386" customFormat="1" ht="15" x14ac:dyDescent="0.25">
      <c r="A10" s="1">
        <v>6</v>
      </c>
      <c r="B10" s="1" t="s">
        <v>630</v>
      </c>
      <c r="C10" s="32">
        <v>6894</v>
      </c>
      <c r="D10" s="1">
        <v>20000</v>
      </c>
      <c r="E10" s="1" t="s">
        <v>80</v>
      </c>
      <c r="F10" s="1">
        <v>222.82</v>
      </c>
      <c r="G10" s="1">
        <v>20000</v>
      </c>
      <c r="H10" s="1">
        <f t="shared" si="0"/>
        <v>0</v>
      </c>
      <c r="I10" s="89">
        <v>400000</v>
      </c>
      <c r="J10" s="89" t="s">
        <v>636</v>
      </c>
      <c r="K10" s="89" t="s">
        <v>548</v>
      </c>
      <c r="L10" s="89"/>
      <c r="M10" s="47"/>
      <c r="N10" s="47"/>
    </row>
    <row r="11" spans="1:14" s="386" customFormat="1" ht="15" x14ac:dyDescent="0.25">
      <c r="A11" s="1">
        <v>7</v>
      </c>
      <c r="B11" s="1" t="s">
        <v>630</v>
      </c>
      <c r="C11" s="32">
        <v>6651</v>
      </c>
      <c r="D11" s="1">
        <v>24000</v>
      </c>
      <c r="E11" s="1" t="s">
        <v>80</v>
      </c>
      <c r="F11" s="1">
        <v>267.95999999999998</v>
      </c>
      <c r="G11" s="1">
        <v>24000</v>
      </c>
      <c r="H11" s="1">
        <f t="shared" si="0"/>
        <v>0</v>
      </c>
      <c r="I11" s="89">
        <v>300000</v>
      </c>
      <c r="J11" s="89" t="s">
        <v>637</v>
      </c>
      <c r="K11" s="89" t="s">
        <v>548</v>
      </c>
      <c r="L11" s="89"/>
      <c r="M11" s="47"/>
      <c r="N11" s="47"/>
    </row>
    <row r="12" spans="1:14" s="386" customFormat="1" ht="15" x14ac:dyDescent="0.25">
      <c r="A12" s="1">
        <v>8</v>
      </c>
      <c r="B12" s="1" t="s">
        <v>630</v>
      </c>
      <c r="C12" s="32" t="s">
        <v>634</v>
      </c>
      <c r="D12" s="1">
        <v>2192</v>
      </c>
      <c r="E12" s="1" t="s">
        <v>80</v>
      </c>
      <c r="F12" s="1">
        <v>24.55</v>
      </c>
      <c r="G12" s="1">
        <v>2192</v>
      </c>
      <c r="H12" s="1">
        <f t="shared" si="0"/>
        <v>0</v>
      </c>
      <c r="I12" s="89">
        <v>200000</v>
      </c>
      <c r="J12" s="89" t="s">
        <v>638</v>
      </c>
      <c r="K12" s="89" t="s">
        <v>548</v>
      </c>
      <c r="L12" s="89"/>
      <c r="M12" s="47"/>
      <c r="N12" s="47"/>
    </row>
    <row r="13" spans="1:14" s="386" customFormat="1" ht="15" x14ac:dyDescent="0.25">
      <c r="A13" s="1">
        <v>9</v>
      </c>
      <c r="B13" s="1" t="s">
        <v>630</v>
      </c>
      <c r="C13" s="32" t="s">
        <v>633</v>
      </c>
      <c r="D13" s="1">
        <v>110</v>
      </c>
      <c r="E13" s="1" t="s">
        <v>80</v>
      </c>
      <c r="F13" s="1">
        <v>1.0900000000000001</v>
      </c>
      <c r="G13" s="1">
        <v>110</v>
      </c>
      <c r="H13" s="1">
        <f t="shared" si="0"/>
        <v>0</v>
      </c>
      <c r="I13" s="89">
        <v>500000</v>
      </c>
      <c r="J13" s="89" t="s">
        <v>641</v>
      </c>
      <c r="K13" s="89" t="s">
        <v>548</v>
      </c>
      <c r="L13" s="89"/>
      <c r="M13" s="47"/>
      <c r="N13" s="47"/>
    </row>
    <row r="14" spans="1:14" s="386" customFormat="1" ht="15" x14ac:dyDescent="0.25">
      <c r="A14" s="1">
        <v>10</v>
      </c>
      <c r="B14" s="1" t="s">
        <v>630</v>
      </c>
      <c r="C14" s="32" t="s">
        <v>30</v>
      </c>
      <c r="D14" s="1">
        <v>5000</v>
      </c>
      <c r="E14" s="1" t="s">
        <v>80</v>
      </c>
      <c r="F14" s="1">
        <v>55.45</v>
      </c>
      <c r="G14" s="1">
        <v>5000</v>
      </c>
      <c r="H14" s="1">
        <f t="shared" si="0"/>
        <v>0</v>
      </c>
      <c r="I14" s="89">
        <v>300000</v>
      </c>
      <c r="J14" s="89" t="s">
        <v>643</v>
      </c>
      <c r="K14" s="89" t="s">
        <v>548</v>
      </c>
      <c r="L14" s="89"/>
      <c r="M14" s="47"/>
      <c r="N14" s="47"/>
    </row>
    <row r="15" spans="1:14" s="386" customFormat="1" ht="15" x14ac:dyDescent="0.25">
      <c r="A15" s="1">
        <v>11</v>
      </c>
      <c r="B15" s="1" t="s">
        <v>630</v>
      </c>
      <c r="C15" s="32">
        <v>7781</v>
      </c>
      <c r="D15" s="1">
        <v>23000</v>
      </c>
      <c r="E15" s="1" t="s">
        <v>80</v>
      </c>
      <c r="F15" s="1">
        <v>256.67</v>
      </c>
      <c r="G15" s="1">
        <v>23000</v>
      </c>
      <c r="H15" s="1">
        <f t="shared" si="0"/>
        <v>0</v>
      </c>
      <c r="I15" s="89">
        <v>300000</v>
      </c>
      <c r="J15" s="89" t="s">
        <v>644</v>
      </c>
      <c r="K15" s="89" t="s">
        <v>548</v>
      </c>
      <c r="L15" s="89"/>
      <c r="M15" s="47"/>
      <c r="N15" s="47"/>
    </row>
    <row r="16" spans="1:14" s="386" customFormat="1" ht="15" x14ac:dyDescent="0.25">
      <c r="A16" s="1">
        <v>12</v>
      </c>
      <c r="B16" s="1" t="s">
        <v>630</v>
      </c>
      <c r="C16" s="32">
        <v>7.5200000000000003E-2</v>
      </c>
      <c r="D16" s="1">
        <v>20000</v>
      </c>
      <c r="E16" s="1" t="s">
        <v>80</v>
      </c>
      <c r="F16" s="1">
        <v>222.82</v>
      </c>
      <c r="G16" s="1">
        <v>20000</v>
      </c>
      <c r="H16" s="1">
        <f t="shared" si="0"/>
        <v>0</v>
      </c>
      <c r="I16" s="89">
        <v>200000</v>
      </c>
      <c r="J16" s="89" t="s">
        <v>646</v>
      </c>
      <c r="K16" s="89" t="s">
        <v>548</v>
      </c>
      <c r="L16" s="89"/>
      <c r="M16" s="47"/>
      <c r="N16" s="47"/>
    </row>
    <row r="17" spans="1:15" s="386" customFormat="1" ht="15" x14ac:dyDescent="0.25">
      <c r="A17" s="1">
        <v>13</v>
      </c>
      <c r="B17" s="1" t="s">
        <v>630</v>
      </c>
      <c r="C17" s="85">
        <v>8291</v>
      </c>
      <c r="D17" s="1">
        <v>22000</v>
      </c>
      <c r="E17" s="1" t="s">
        <v>80</v>
      </c>
      <c r="F17" s="1">
        <v>245.22</v>
      </c>
      <c r="G17" s="1">
        <v>22000</v>
      </c>
      <c r="H17" s="1">
        <f t="shared" si="0"/>
        <v>0</v>
      </c>
      <c r="I17" s="89">
        <v>300000</v>
      </c>
      <c r="J17" s="89" t="s">
        <v>647</v>
      </c>
      <c r="K17" s="89" t="s">
        <v>548</v>
      </c>
      <c r="L17" s="89"/>
      <c r="M17" s="47"/>
      <c r="N17" s="47"/>
    </row>
    <row r="18" spans="1:15" s="386" customFormat="1" ht="15" x14ac:dyDescent="0.25">
      <c r="A18" s="1">
        <v>14</v>
      </c>
      <c r="B18" s="1" t="s">
        <v>630</v>
      </c>
      <c r="C18" s="32">
        <v>7130</v>
      </c>
      <c r="D18" s="1">
        <v>21000</v>
      </c>
      <c r="E18" s="1" t="s">
        <v>80</v>
      </c>
      <c r="F18" s="1">
        <v>233.64</v>
      </c>
      <c r="G18" s="1">
        <v>21000</v>
      </c>
      <c r="H18" s="1">
        <f t="shared" si="0"/>
        <v>0</v>
      </c>
      <c r="I18" s="89">
        <v>600000</v>
      </c>
      <c r="J18" s="89" t="s">
        <v>649</v>
      </c>
      <c r="K18" s="89" t="s">
        <v>548</v>
      </c>
      <c r="L18" s="89"/>
      <c r="M18" s="47"/>
      <c r="N18" s="47"/>
    </row>
    <row r="19" spans="1:15" s="386" customFormat="1" ht="15" x14ac:dyDescent="0.25">
      <c r="A19" s="1">
        <v>15</v>
      </c>
      <c r="B19" s="1" t="s">
        <v>630</v>
      </c>
      <c r="C19" s="32">
        <v>3784</v>
      </c>
      <c r="D19" s="1">
        <v>22000</v>
      </c>
      <c r="E19" s="1" t="s">
        <v>80</v>
      </c>
      <c r="F19" s="1">
        <v>245.22</v>
      </c>
      <c r="G19" s="1">
        <v>22000</v>
      </c>
      <c r="H19" s="1">
        <f t="shared" si="0"/>
        <v>0</v>
      </c>
      <c r="I19" s="89">
        <v>400000</v>
      </c>
      <c r="J19" s="89" t="s">
        <v>651</v>
      </c>
      <c r="K19" s="89" t="s">
        <v>548</v>
      </c>
      <c r="L19" s="89"/>
      <c r="M19" s="47"/>
      <c r="N19" s="47"/>
    </row>
    <row r="20" spans="1:15" s="386" customFormat="1" ht="15" x14ac:dyDescent="0.25">
      <c r="A20" s="1">
        <v>16</v>
      </c>
      <c r="B20" s="1" t="s">
        <v>630</v>
      </c>
      <c r="C20" s="32">
        <v>3260</v>
      </c>
      <c r="D20" s="1">
        <v>23000</v>
      </c>
      <c r="E20" s="1" t="s">
        <v>80</v>
      </c>
      <c r="F20" s="1">
        <v>256.92</v>
      </c>
      <c r="G20" s="1">
        <v>23000</v>
      </c>
      <c r="H20" s="1">
        <f t="shared" si="0"/>
        <v>0</v>
      </c>
      <c r="I20" s="89">
        <v>500000</v>
      </c>
      <c r="J20" s="89" t="s">
        <v>652</v>
      </c>
      <c r="K20" s="89" t="s">
        <v>548</v>
      </c>
      <c r="L20" s="89"/>
      <c r="M20" s="47"/>
      <c r="N20" s="47"/>
    </row>
    <row r="21" spans="1:15" ht="15" x14ac:dyDescent="0.25">
      <c r="A21" s="1">
        <v>17</v>
      </c>
      <c r="B21" s="1" t="s">
        <v>630</v>
      </c>
      <c r="C21" s="32">
        <v>3317</v>
      </c>
      <c r="D21" s="1">
        <v>28000</v>
      </c>
      <c r="E21" s="1" t="s">
        <v>80</v>
      </c>
      <c r="F21" s="1">
        <v>311.85000000000002</v>
      </c>
      <c r="G21" s="1">
        <v>28000</v>
      </c>
      <c r="H21" s="1">
        <f>D21-G21</f>
        <v>0</v>
      </c>
      <c r="I21" s="89">
        <v>300000</v>
      </c>
      <c r="J21" s="89" t="s">
        <v>653</v>
      </c>
      <c r="K21" s="89" t="s">
        <v>548</v>
      </c>
      <c r="L21" s="89"/>
      <c r="M21" s="47"/>
      <c r="N21" s="47"/>
    </row>
    <row r="22" spans="1:15" ht="15" x14ac:dyDescent="0.25">
      <c r="A22" s="1">
        <v>18</v>
      </c>
      <c r="B22" s="1" t="s">
        <v>630</v>
      </c>
      <c r="C22" s="32">
        <v>6461</v>
      </c>
      <c r="D22" s="1">
        <v>28000</v>
      </c>
      <c r="E22" s="1" t="s">
        <v>80</v>
      </c>
      <c r="F22" s="1">
        <v>311.85000000000002</v>
      </c>
      <c r="G22" s="1">
        <v>28000</v>
      </c>
      <c r="H22" s="1">
        <f t="shared" ref="H22:H85" si="1">D22-G22</f>
        <v>0</v>
      </c>
      <c r="I22" s="89">
        <v>400000</v>
      </c>
      <c r="J22" s="89" t="s">
        <v>654</v>
      </c>
      <c r="K22" s="89" t="s">
        <v>548</v>
      </c>
      <c r="L22" s="89"/>
      <c r="M22" s="47"/>
      <c r="N22" s="47"/>
    </row>
    <row r="23" spans="1:15" ht="15" x14ac:dyDescent="0.25">
      <c r="A23" s="1">
        <v>19</v>
      </c>
      <c r="B23" s="1" t="s">
        <v>630</v>
      </c>
      <c r="C23" s="32">
        <v>6455</v>
      </c>
      <c r="D23" s="1">
        <v>27000</v>
      </c>
      <c r="E23" s="1" t="s">
        <v>80</v>
      </c>
      <c r="F23" s="1">
        <v>300.67</v>
      </c>
      <c r="G23" s="1">
        <v>27000</v>
      </c>
      <c r="H23" s="1">
        <f t="shared" si="1"/>
        <v>0</v>
      </c>
      <c r="I23" s="89">
        <v>300000</v>
      </c>
      <c r="J23" s="89" t="s">
        <v>655</v>
      </c>
      <c r="K23" s="89" t="s">
        <v>548</v>
      </c>
      <c r="L23" s="89"/>
      <c r="M23" s="47"/>
      <c r="N23" s="47"/>
    </row>
    <row r="24" spans="1:15" ht="15" x14ac:dyDescent="0.25">
      <c r="A24" s="1">
        <v>20</v>
      </c>
      <c r="B24" s="1" t="s">
        <v>630</v>
      </c>
      <c r="C24" s="32">
        <v>4.4699999999999997E-2</v>
      </c>
      <c r="D24" s="1">
        <v>20000</v>
      </c>
      <c r="E24" s="1" t="s">
        <v>80</v>
      </c>
      <c r="F24" s="1">
        <v>222.82</v>
      </c>
      <c r="G24" s="1">
        <v>20000</v>
      </c>
      <c r="H24" s="1">
        <f t="shared" si="1"/>
        <v>0</v>
      </c>
      <c r="I24" s="89">
        <v>700000</v>
      </c>
      <c r="J24" s="89" t="s">
        <v>657</v>
      </c>
      <c r="K24" s="89" t="s">
        <v>548</v>
      </c>
      <c r="L24" s="89"/>
      <c r="M24" s="47"/>
      <c r="N24" s="47"/>
    </row>
    <row r="25" spans="1:15" ht="15" x14ac:dyDescent="0.25">
      <c r="A25" s="1">
        <v>21</v>
      </c>
      <c r="B25" s="1" t="s">
        <v>630</v>
      </c>
      <c r="C25" s="32">
        <v>9.5399999999999999E-2</v>
      </c>
      <c r="D25" s="1">
        <v>24000</v>
      </c>
      <c r="E25" s="1" t="s">
        <v>80</v>
      </c>
      <c r="F25" s="1">
        <v>251.68</v>
      </c>
      <c r="G25" s="1">
        <v>24000</v>
      </c>
      <c r="H25" s="1">
        <f t="shared" si="1"/>
        <v>0</v>
      </c>
      <c r="I25" s="89">
        <v>400000</v>
      </c>
      <c r="J25" s="89" t="s">
        <v>658</v>
      </c>
      <c r="K25" s="89" t="s">
        <v>548</v>
      </c>
      <c r="L25" s="89"/>
      <c r="M25" s="47"/>
      <c r="N25" s="47"/>
    </row>
    <row r="26" spans="1:15" ht="15" x14ac:dyDescent="0.25">
      <c r="A26" s="1">
        <v>22</v>
      </c>
      <c r="B26" s="1" t="s">
        <v>630</v>
      </c>
      <c r="C26" s="32">
        <v>7581</v>
      </c>
      <c r="D26" s="1">
        <v>30000</v>
      </c>
      <c r="E26" s="1" t="s">
        <v>80</v>
      </c>
      <c r="F26" s="1">
        <v>334.32</v>
      </c>
      <c r="G26" s="1">
        <v>30000</v>
      </c>
      <c r="H26" s="1">
        <f t="shared" si="1"/>
        <v>0</v>
      </c>
      <c r="I26" s="406">
        <v>112785</v>
      </c>
      <c r="J26" s="406" t="s">
        <v>658</v>
      </c>
      <c r="K26" s="407" t="s">
        <v>660</v>
      </c>
      <c r="L26" s="408"/>
      <c r="M26" s="408"/>
      <c r="N26" s="408"/>
      <c r="O26" s="408"/>
    </row>
    <row r="27" spans="1:15" ht="15" x14ac:dyDescent="0.25">
      <c r="A27" s="1">
        <v>23</v>
      </c>
      <c r="B27" s="1" t="s">
        <v>630</v>
      </c>
      <c r="C27" s="32">
        <v>8423</v>
      </c>
      <c r="D27" s="1">
        <v>25000</v>
      </c>
      <c r="E27" s="1" t="s">
        <v>80</v>
      </c>
      <c r="F27" s="1">
        <v>278.22000000000003</v>
      </c>
      <c r="G27" s="1">
        <v>25000</v>
      </c>
      <c r="H27" s="1">
        <f t="shared" si="1"/>
        <v>0</v>
      </c>
      <c r="I27" s="406">
        <v>96272</v>
      </c>
      <c r="J27" s="406" t="s">
        <v>658</v>
      </c>
      <c r="K27" s="407" t="s">
        <v>661</v>
      </c>
      <c r="L27" s="408"/>
      <c r="M27" s="408"/>
      <c r="N27" s="408"/>
      <c r="O27" s="408"/>
    </row>
    <row r="28" spans="1:15" ht="15" x14ac:dyDescent="0.25">
      <c r="A28" s="1">
        <v>24</v>
      </c>
      <c r="B28" s="1" t="s">
        <v>630</v>
      </c>
      <c r="C28" s="32">
        <v>9235</v>
      </c>
      <c r="D28" s="1">
        <v>30000</v>
      </c>
      <c r="E28" s="1" t="s">
        <v>80</v>
      </c>
      <c r="F28" s="1">
        <v>334.32</v>
      </c>
      <c r="G28" s="1">
        <v>30000</v>
      </c>
      <c r="H28" s="1">
        <f t="shared" si="1"/>
        <v>0</v>
      </c>
      <c r="I28" s="406">
        <v>140143</v>
      </c>
      <c r="J28" s="406" t="s">
        <v>658</v>
      </c>
      <c r="K28" s="407" t="s">
        <v>662</v>
      </c>
      <c r="L28" s="408"/>
      <c r="M28" s="408"/>
      <c r="N28" s="408"/>
      <c r="O28" s="408"/>
    </row>
    <row r="29" spans="1:15" ht="15" x14ac:dyDescent="0.25">
      <c r="A29" s="1">
        <v>25</v>
      </c>
      <c r="B29" s="1" t="s">
        <v>630</v>
      </c>
      <c r="C29" s="32">
        <v>4583</v>
      </c>
      <c r="D29" s="1">
        <v>24000</v>
      </c>
      <c r="E29" s="1" t="s">
        <v>80</v>
      </c>
      <c r="F29" s="1">
        <v>26.78</v>
      </c>
      <c r="G29" s="1">
        <v>24000</v>
      </c>
      <c r="H29" s="1">
        <f t="shared" si="1"/>
        <v>0</v>
      </c>
      <c r="I29" s="89">
        <v>400000</v>
      </c>
      <c r="J29" s="89" t="s">
        <v>664</v>
      </c>
      <c r="K29" s="89" t="s">
        <v>548</v>
      </c>
      <c r="L29" s="89"/>
      <c r="M29" s="47"/>
      <c r="N29" s="47"/>
    </row>
    <row r="30" spans="1:15" s="386" customFormat="1" ht="15" x14ac:dyDescent="0.25">
      <c r="A30" s="1">
        <v>26</v>
      </c>
      <c r="B30" s="1" t="s">
        <v>632</v>
      </c>
      <c r="C30" s="32" t="s">
        <v>30</v>
      </c>
      <c r="D30" s="1">
        <v>4000</v>
      </c>
      <c r="E30" s="1" t="s">
        <v>80</v>
      </c>
      <c r="F30" s="1">
        <v>44.5</v>
      </c>
      <c r="G30" s="1">
        <v>4000</v>
      </c>
      <c r="H30" s="1">
        <f t="shared" si="1"/>
        <v>0</v>
      </c>
      <c r="I30" s="89">
        <v>500000</v>
      </c>
      <c r="J30" s="89" t="s">
        <v>665</v>
      </c>
      <c r="K30" s="89" t="s">
        <v>548</v>
      </c>
      <c r="L30" s="89"/>
      <c r="M30" s="47"/>
      <c r="N30" s="47"/>
    </row>
    <row r="31" spans="1:15" s="386" customFormat="1" ht="15" x14ac:dyDescent="0.25">
      <c r="A31" s="1">
        <v>27</v>
      </c>
      <c r="B31" s="1" t="s">
        <v>632</v>
      </c>
      <c r="C31" s="85">
        <v>4579</v>
      </c>
      <c r="D31" s="1">
        <v>15000</v>
      </c>
      <c r="E31" s="1" t="s">
        <v>80</v>
      </c>
      <c r="F31" s="1">
        <v>167.15</v>
      </c>
      <c r="G31" s="1">
        <v>15000</v>
      </c>
      <c r="H31" s="1">
        <f t="shared" si="1"/>
        <v>0</v>
      </c>
      <c r="I31" s="89">
        <v>700000</v>
      </c>
      <c r="J31" s="89" t="s">
        <v>666</v>
      </c>
      <c r="K31" s="89" t="s">
        <v>548</v>
      </c>
      <c r="L31" s="89"/>
      <c r="M31" s="47"/>
      <c r="N31" s="47"/>
    </row>
    <row r="32" spans="1:15" s="386" customFormat="1" ht="15" x14ac:dyDescent="0.25">
      <c r="A32" s="1">
        <v>28</v>
      </c>
      <c r="B32" s="1" t="s">
        <v>632</v>
      </c>
      <c r="C32" s="32">
        <v>5461</v>
      </c>
      <c r="D32" s="1">
        <v>10000</v>
      </c>
      <c r="E32" s="1" t="s">
        <v>80</v>
      </c>
      <c r="F32" s="1">
        <v>111.41</v>
      </c>
      <c r="G32" s="1">
        <v>10000</v>
      </c>
      <c r="H32" s="1">
        <f t="shared" si="1"/>
        <v>0</v>
      </c>
      <c r="I32" s="89">
        <v>400000</v>
      </c>
      <c r="J32" s="89" t="s">
        <v>668</v>
      </c>
      <c r="K32" s="89" t="s">
        <v>548</v>
      </c>
      <c r="L32" s="89"/>
      <c r="M32" s="47"/>
      <c r="N32" s="47"/>
    </row>
    <row r="33" spans="1:14" s="386" customFormat="1" ht="15" x14ac:dyDescent="0.25">
      <c r="A33" s="1">
        <v>29</v>
      </c>
      <c r="B33" s="1" t="s">
        <v>632</v>
      </c>
      <c r="C33" s="32">
        <v>7897</v>
      </c>
      <c r="D33" s="1">
        <v>13000</v>
      </c>
      <c r="E33" s="1" t="s">
        <v>80</v>
      </c>
      <c r="F33" s="1">
        <v>144.13</v>
      </c>
      <c r="G33" s="1">
        <v>13000</v>
      </c>
      <c r="H33" s="1">
        <f t="shared" si="1"/>
        <v>0</v>
      </c>
      <c r="I33" s="89">
        <v>800000</v>
      </c>
      <c r="J33" s="89" t="s">
        <v>671</v>
      </c>
      <c r="K33" s="89" t="s">
        <v>548</v>
      </c>
      <c r="L33" s="89"/>
      <c r="M33" s="47"/>
      <c r="N33" s="47"/>
    </row>
    <row r="34" spans="1:14" s="386" customFormat="1" ht="15" x14ac:dyDescent="0.25">
      <c r="A34" s="1">
        <v>30</v>
      </c>
      <c r="B34" s="1" t="s">
        <v>632</v>
      </c>
      <c r="C34" s="32">
        <v>5.8700000000000002E-2</v>
      </c>
      <c r="D34" s="1">
        <v>25000</v>
      </c>
      <c r="E34" s="1" t="s">
        <v>80</v>
      </c>
      <c r="F34" s="1">
        <v>278.22000000000003</v>
      </c>
      <c r="G34" s="1">
        <v>25000</v>
      </c>
      <c r="H34" s="1">
        <f t="shared" si="1"/>
        <v>0</v>
      </c>
      <c r="I34" s="89">
        <v>400000</v>
      </c>
      <c r="J34" s="89" t="s">
        <v>672</v>
      </c>
      <c r="K34" s="89" t="s">
        <v>548</v>
      </c>
      <c r="L34" s="89"/>
      <c r="M34" s="47"/>
      <c r="N34" s="47"/>
    </row>
    <row r="35" spans="1:14" s="386" customFormat="1" ht="15" x14ac:dyDescent="0.25">
      <c r="A35" s="1">
        <v>31</v>
      </c>
      <c r="B35" s="1" t="s">
        <v>632</v>
      </c>
      <c r="C35" s="32">
        <v>8140</v>
      </c>
      <c r="D35" s="1">
        <v>13000</v>
      </c>
      <c r="E35" s="1" t="s">
        <v>80</v>
      </c>
      <c r="F35" s="1">
        <v>144.13</v>
      </c>
      <c r="G35" s="1">
        <v>13000</v>
      </c>
      <c r="H35" s="1">
        <f t="shared" si="1"/>
        <v>0</v>
      </c>
      <c r="I35" s="89">
        <v>300000</v>
      </c>
      <c r="J35" s="89" t="s">
        <v>673</v>
      </c>
      <c r="K35" s="89" t="s">
        <v>548</v>
      </c>
      <c r="L35" s="89"/>
      <c r="M35" s="47"/>
      <c r="N35" s="47"/>
    </row>
    <row r="36" spans="1:14" s="386" customFormat="1" ht="15" x14ac:dyDescent="0.25">
      <c r="A36" s="1">
        <v>32</v>
      </c>
      <c r="B36" s="1" t="s">
        <v>632</v>
      </c>
      <c r="C36" s="32">
        <v>2513</v>
      </c>
      <c r="D36" s="1">
        <v>21000</v>
      </c>
      <c r="E36" s="1" t="s">
        <v>80</v>
      </c>
      <c r="F36" s="1">
        <v>230.85</v>
      </c>
      <c r="G36" s="1">
        <v>21000</v>
      </c>
      <c r="H36" s="1">
        <f t="shared" si="1"/>
        <v>0</v>
      </c>
      <c r="I36" s="89"/>
      <c r="J36" s="89"/>
    </row>
    <row r="37" spans="1:14" s="386" customFormat="1" ht="15" x14ac:dyDescent="0.25">
      <c r="A37" s="1">
        <v>33</v>
      </c>
      <c r="B37" s="1" t="s">
        <v>632</v>
      </c>
      <c r="C37" s="32">
        <v>6459</v>
      </c>
      <c r="D37" s="1">
        <v>30000</v>
      </c>
      <c r="E37" s="1" t="s">
        <v>80</v>
      </c>
      <c r="F37" s="1">
        <v>334.32</v>
      </c>
      <c r="G37" s="1">
        <v>30000</v>
      </c>
      <c r="H37" s="1">
        <f t="shared" si="1"/>
        <v>0</v>
      </c>
      <c r="I37" s="89"/>
      <c r="J37" s="89"/>
    </row>
    <row r="38" spans="1:14" s="386" customFormat="1" ht="15" x14ac:dyDescent="0.25">
      <c r="A38" s="1">
        <v>34</v>
      </c>
      <c r="B38" s="1" t="s">
        <v>632</v>
      </c>
      <c r="C38" s="32">
        <v>4251</v>
      </c>
      <c r="D38" s="1">
        <v>30000</v>
      </c>
      <c r="E38" s="1" t="s">
        <v>80</v>
      </c>
      <c r="F38" s="1">
        <v>334.32</v>
      </c>
      <c r="G38" s="1">
        <v>30000</v>
      </c>
      <c r="H38" s="1">
        <f t="shared" si="1"/>
        <v>0</v>
      </c>
      <c r="I38" s="89"/>
      <c r="J38" s="89"/>
    </row>
    <row r="39" spans="1:14" s="386" customFormat="1" ht="15" x14ac:dyDescent="0.25">
      <c r="A39" s="1">
        <v>35</v>
      </c>
      <c r="B39" s="1" t="s">
        <v>632</v>
      </c>
      <c r="C39" s="32">
        <v>3837</v>
      </c>
      <c r="D39" s="1">
        <v>25000</v>
      </c>
      <c r="E39" s="1" t="s">
        <v>80</v>
      </c>
      <c r="F39" s="1">
        <v>278.22000000000003</v>
      </c>
      <c r="G39" s="1">
        <v>25000</v>
      </c>
      <c r="H39" s="1">
        <f t="shared" si="1"/>
        <v>0</v>
      </c>
      <c r="I39" s="89"/>
      <c r="J39" s="89"/>
    </row>
    <row r="40" spans="1:14" s="386" customFormat="1" ht="15" x14ac:dyDescent="0.25">
      <c r="A40" s="1">
        <v>36</v>
      </c>
      <c r="B40" s="1" t="s">
        <v>632</v>
      </c>
      <c r="C40" s="32">
        <v>6302</v>
      </c>
      <c r="D40" s="1">
        <v>25000</v>
      </c>
      <c r="E40" s="1" t="s">
        <v>80</v>
      </c>
      <c r="F40" s="1">
        <v>278.22000000000003</v>
      </c>
      <c r="G40" s="1">
        <v>25000</v>
      </c>
      <c r="H40" s="1">
        <f t="shared" si="1"/>
        <v>0</v>
      </c>
      <c r="I40" s="89"/>
      <c r="J40" s="89"/>
    </row>
    <row r="41" spans="1:14" s="386" customFormat="1" ht="15" x14ac:dyDescent="0.25">
      <c r="A41" s="1">
        <v>37</v>
      </c>
      <c r="B41" s="1" t="s">
        <v>632</v>
      </c>
      <c r="C41" s="32">
        <v>2730</v>
      </c>
      <c r="D41" s="1">
        <v>23000</v>
      </c>
      <c r="E41" s="1" t="s">
        <v>80</v>
      </c>
      <c r="F41" s="1">
        <v>251.78</v>
      </c>
      <c r="G41" s="1">
        <v>23000</v>
      </c>
      <c r="H41" s="1">
        <f t="shared" si="1"/>
        <v>0</v>
      </c>
      <c r="I41" s="89"/>
      <c r="J41" s="89"/>
    </row>
    <row r="42" spans="1:14" s="386" customFormat="1" ht="15" x14ac:dyDescent="0.25">
      <c r="A42" s="1">
        <v>38</v>
      </c>
      <c r="B42" s="1" t="s">
        <v>632</v>
      </c>
      <c r="C42" s="32">
        <v>8360</v>
      </c>
      <c r="D42" s="1">
        <v>20000</v>
      </c>
      <c r="E42" s="1" t="s">
        <v>80</v>
      </c>
      <c r="F42" s="1">
        <v>222.82</v>
      </c>
      <c r="G42" s="1">
        <v>20000</v>
      </c>
      <c r="H42" s="1">
        <f t="shared" si="1"/>
        <v>0</v>
      </c>
      <c r="I42" s="89"/>
      <c r="J42" s="89"/>
    </row>
    <row r="43" spans="1:14" s="386" customFormat="1" ht="15" x14ac:dyDescent="0.25">
      <c r="A43" s="1">
        <v>39</v>
      </c>
      <c r="B43" s="1" t="s">
        <v>632</v>
      </c>
      <c r="C43" s="32">
        <v>2638</v>
      </c>
      <c r="D43" s="1">
        <v>23000</v>
      </c>
      <c r="E43" s="1" t="s">
        <v>80</v>
      </c>
      <c r="F43" s="1">
        <v>257.77999999999997</v>
      </c>
      <c r="G43" s="1">
        <v>23000</v>
      </c>
      <c r="H43" s="1">
        <f t="shared" si="1"/>
        <v>0</v>
      </c>
      <c r="I43" s="89"/>
      <c r="J43" s="89"/>
    </row>
    <row r="44" spans="1:14" s="386" customFormat="1" ht="15" x14ac:dyDescent="0.25">
      <c r="A44" s="1">
        <v>40</v>
      </c>
      <c r="B44" s="1" t="s">
        <v>632</v>
      </c>
      <c r="C44" s="32">
        <v>1467</v>
      </c>
      <c r="D44" s="1">
        <v>22000</v>
      </c>
      <c r="E44" s="1" t="s">
        <v>80</v>
      </c>
      <c r="F44" s="1">
        <v>245.57</v>
      </c>
      <c r="G44" s="1">
        <v>22000</v>
      </c>
      <c r="H44" s="1">
        <f t="shared" si="1"/>
        <v>0</v>
      </c>
      <c r="I44" s="89"/>
      <c r="J44" s="89"/>
    </row>
    <row r="45" spans="1:14" s="386" customFormat="1" ht="15" x14ac:dyDescent="0.25">
      <c r="A45" s="1">
        <v>41</v>
      </c>
      <c r="B45" s="1" t="s">
        <v>632</v>
      </c>
      <c r="C45" s="32">
        <v>9992</v>
      </c>
      <c r="D45" s="1">
        <v>25000</v>
      </c>
      <c r="E45" s="1" t="s">
        <v>80</v>
      </c>
      <c r="F45" s="1">
        <v>278.22000000000003</v>
      </c>
      <c r="G45" s="1">
        <v>25000</v>
      </c>
      <c r="H45" s="1">
        <f t="shared" si="1"/>
        <v>0</v>
      </c>
      <c r="I45" s="89"/>
      <c r="J45" s="89"/>
    </row>
    <row r="46" spans="1:14" s="386" customFormat="1" ht="15" x14ac:dyDescent="0.25">
      <c r="A46" s="1">
        <v>42</v>
      </c>
      <c r="B46" s="1" t="s">
        <v>632</v>
      </c>
      <c r="C46" s="32">
        <v>3279</v>
      </c>
      <c r="D46" s="1">
        <v>15000</v>
      </c>
      <c r="E46" s="1" t="s">
        <v>80</v>
      </c>
      <c r="F46" s="1">
        <v>167.15</v>
      </c>
      <c r="G46" s="1">
        <v>15000</v>
      </c>
      <c r="H46" s="1">
        <f t="shared" si="1"/>
        <v>0</v>
      </c>
      <c r="I46" s="89"/>
      <c r="J46" s="89"/>
    </row>
    <row r="47" spans="1:14" s="386" customFormat="1" ht="15" x14ac:dyDescent="0.25">
      <c r="A47" s="1">
        <v>43</v>
      </c>
      <c r="B47" s="1" t="s">
        <v>632</v>
      </c>
      <c r="C47" s="32">
        <v>4270</v>
      </c>
      <c r="D47" s="1">
        <v>23000</v>
      </c>
      <c r="E47" s="1" t="s">
        <v>80</v>
      </c>
      <c r="F47" s="1">
        <v>257.77999999999997</v>
      </c>
      <c r="G47" s="1">
        <v>23000</v>
      </c>
      <c r="H47" s="1">
        <f t="shared" si="1"/>
        <v>0</v>
      </c>
      <c r="I47" s="89"/>
      <c r="J47" s="89"/>
    </row>
    <row r="48" spans="1:14" s="386" customFormat="1" ht="15" x14ac:dyDescent="0.25">
      <c r="A48" s="1">
        <v>44</v>
      </c>
      <c r="B48" s="1" t="s">
        <v>632</v>
      </c>
      <c r="C48" s="32">
        <v>6766</v>
      </c>
      <c r="D48" s="1">
        <v>15000</v>
      </c>
      <c r="E48" s="1" t="s">
        <v>80</v>
      </c>
      <c r="F48" s="1">
        <v>167.15</v>
      </c>
      <c r="G48" s="1">
        <v>15000</v>
      </c>
      <c r="H48" s="1">
        <f t="shared" si="1"/>
        <v>0</v>
      </c>
      <c r="I48" s="89"/>
      <c r="J48" s="89"/>
    </row>
    <row r="49" spans="1:15" s="386" customFormat="1" ht="15.75" thickBot="1" x14ac:dyDescent="0.3">
      <c r="A49" s="1">
        <v>45</v>
      </c>
      <c r="B49" s="1" t="s">
        <v>632</v>
      </c>
      <c r="C49" s="32">
        <v>9286</v>
      </c>
      <c r="D49" s="1">
        <v>15000</v>
      </c>
      <c r="E49" s="1" t="s">
        <v>80</v>
      </c>
      <c r="F49" s="1">
        <v>167.15</v>
      </c>
      <c r="G49" s="1">
        <v>15000</v>
      </c>
      <c r="H49" s="1">
        <f t="shared" si="1"/>
        <v>0</v>
      </c>
      <c r="I49" s="89"/>
      <c r="J49" s="89"/>
    </row>
    <row r="50" spans="1:15" s="386" customFormat="1" ht="15.75" thickBot="1" x14ac:dyDescent="0.3">
      <c r="A50" s="1">
        <v>46</v>
      </c>
      <c r="B50" s="1" t="s">
        <v>632</v>
      </c>
      <c r="C50" s="32" t="s">
        <v>633</v>
      </c>
      <c r="D50" s="1">
        <v>210</v>
      </c>
      <c r="E50" s="1" t="s">
        <v>80</v>
      </c>
      <c r="F50" s="1">
        <v>2.08</v>
      </c>
      <c r="G50" s="1">
        <v>210</v>
      </c>
      <c r="H50" s="1">
        <f t="shared" si="1"/>
        <v>0</v>
      </c>
      <c r="I50" s="89"/>
      <c r="J50" s="89"/>
      <c r="K50" s="103">
        <f>2483305-2478688</f>
        <v>4617</v>
      </c>
      <c r="L50" s="359" t="s">
        <v>619</v>
      </c>
      <c r="M50" s="359">
        <v>8358</v>
      </c>
      <c r="N50" s="367" t="s">
        <v>620</v>
      </c>
      <c r="O50" s="360">
        <f>8358-4617</f>
        <v>3741</v>
      </c>
    </row>
    <row r="51" spans="1:15" s="387" customFormat="1" ht="15" x14ac:dyDescent="0.25">
      <c r="A51" s="1">
        <v>47</v>
      </c>
      <c r="B51" s="1" t="s">
        <v>635</v>
      </c>
      <c r="C51" s="32">
        <v>5149</v>
      </c>
      <c r="D51" s="1">
        <v>21000</v>
      </c>
      <c r="E51" s="1" t="s">
        <v>80</v>
      </c>
      <c r="F51" s="1">
        <v>230.85</v>
      </c>
      <c r="G51" s="1">
        <v>21000</v>
      </c>
      <c r="H51" s="1">
        <f t="shared" si="1"/>
        <v>0</v>
      </c>
      <c r="I51" s="89"/>
      <c r="J51" s="89"/>
      <c r="K51" s="388"/>
      <c r="L51" s="48"/>
      <c r="M51" s="48"/>
      <c r="N51" s="370"/>
      <c r="O51" s="48"/>
    </row>
    <row r="52" spans="1:15" s="387" customFormat="1" ht="15" x14ac:dyDescent="0.25">
      <c r="A52" s="1">
        <v>48</v>
      </c>
      <c r="B52" s="1" t="s">
        <v>635</v>
      </c>
      <c r="C52" s="32">
        <v>4738</v>
      </c>
      <c r="D52" s="1">
        <v>25000</v>
      </c>
      <c r="E52" s="1" t="s">
        <v>80</v>
      </c>
      <c r="F52" s="1">
        <v>278.22000000000003</v>
      </c>
      <c r="G52" s="1">
        <v>25000</v>
      </c>
      <c r="H52" s="1">
        <f t="shared" si="1"/>
        <v>0</v>
      </c>
      <c r="I52" s="89"/>
      <c r="J52" s="89"/>
      <c r="K52" s="388"/>
      <c r="L52" s="48"/>
      <c r="M52" s="48"/>
      <c r="N52" s="370"/>
      <c r="O52" s="48"/>
    </row>
    <row r="53" spans="1:15" s="387" customFormat="1" ht="15" x14ac:dyDescent="0.25">
      <c r="A53" s="1">
        <v>49</v>
      </c>
      <c r="B53" s="1" t="s">
        <v>635</v>
      </c>
      <c r="C53" s="32">
        <v>4106</v>
      </c>
      <c r="D53" s="1">
        <v>29000</v>
      </c>
      <c r="E53" s="1" t="s">
        <v>80</v>
      </c>
      <c r="F53" s="1">
        <v>305.67</v>
      </c>
      <c r="G53" s="1">
        <v>29000</v>
      </c>
      <c r="H53" s="1">
        <f t="shared" si="1"/>
        <v>0</v>
      </c>
      <c r="I53" s="89"/>
      <c r="J53" s="89"/>
      <c r="K53" s="388"/>
      <c r="L53" s="48"/>
      <c r="M53" s="48"/>
      <c r="N53" s="370"/>
      <c r="O53" s="48"/>
    </row>
    <row r="54" spans="1:15" s="387" customFormat="1" ht="15" x14ac:dyDescent="0.25">
      <c r="A54" s="1">
        <v>50</v>
      </c>
      <c r="B54" s="1" t="s">
        <v>635</v>
      </c>
      <c r="C54" s="32" t="s">
        <v>30</v>
      </c>
      <c r="D54" s="1">
        <v>5000</v>
      </c>
      <c r="E54" s="1" t="s">
        <v>80</v>
      </c>
      <c r="F54" s="1">
        <v>55.5</v>
      </c>
      <c r="G54" s="1">
        <v>5000</v>
      </c>
      <c r="H54" s="1">
        <f t="shared" si="1"/>
        <v>0</v>
      </c>
      <c r="I54" s="89"/>
      <c r="J54" s="89"/>
      <c r="K54" s="388"/>
      <c r="L54" s="48"/>
      <c r="M54" s="48"/>
      <c r="N54" s="370"/>
      <c r="O54" s="48"/>
    </row>
    <row r="55" spans="1:15" s="387" customFormat="1" ht="15" x14ac:dyDescent="0.25">
      <c r="A55" s="1">
        <v>51</v>
      </c>
      <c r="B55" s="1" t="s">
        <v>635</v>
      </c>
      <c r="C55" s="32">
        <v>2016</v>
      </c>
      <c r="D55" s="1">
        <v>20000</v>
      </c>
      <c r="E55" s="1" t="s">
        <v>80</v>
      </c>
      <c r="F55" s="1">
        <v>222.82</v>
      </c>
      <c r="G55" s="1">
        <v>20000</v>
      </c>
      <c r="H55" s="1">
        <f t="shared" si="1"/>
        <v>0</v>
      </c>
      <c r="I55" s="89"/>
      <c r="J55" s="89"/>
      <c r="K55" s="388"/>
      <c r="L55" s="48"/>
      <c r="M55" s="48"/>
      <c r="N55" s="370"/>
      <c r="O55" s="48"/>
    </row>
    <row r="56" spans="1:15" s="387" customFormat="1" ht="15" x14ac:dyDescent="0.25">
      <c r="A56" s="1">
        <v>52</v>
      </c>
      <c r="B56" s="1" t="s">
        <v>635</v>
      </c>
      <c r="C56" s="32">
        <v>5785</v>
      </c>
      <c r="D56" s="1">
        <v>25000</v>
      </c>
      <c r="E56" s="1" t="s">
        <v>80</v>
      </c>
      <c r="F56" s="1">
        <v>278.22000000000003</v>
      </c>
      <c r="G56" s="1">
        <v>25000</v>
      </c>
      <c r="H56" s="1">
        <f t="shared" si="1"/>
        <v>0</v>
      </c>
      <c r="I56" s="89"/>
      <c r="J56" s="89"/>
      <c r="K56" s="388"/>
      <c r="L56" s="48"/>
      <c r="M56" s="48"/>
      <c r="N56" s="370"/>
      <c r="O56" s="48"/>
    </row>
    <row r="57" spans="1:15" s="387" customFormat="1" ht="15" x14ac:dyDescent="0.25">
      <c r="A57" s="1">
        <v>53</v>
      </c>
      <c r="B57" s="1" t="s">
        <v>635</v>
      </c>
      <c r="C57" s="32">
        <v>5.8400000000000001E-2</v>
      </c>
      <c r="D57" s="1">
        <v>24000</v>
      </c>
      <c r="E57" s="1" t="s">
        <v>80</v>
      </c>
      <c r="F57" s="1">
        <v>267.85000000000002</v>
      </c>
      <c r="G57" s="1">
        <v>24000</v>
      </c>
      <c r="H57" s="1">
        <f t="shared" si="1"/>
        <v>0</v>
      </c>
      <c r="I57" s="89"/>
      <c r="J57" s="89"/>
      <c r="K57" s="388"/>
      <c r="L57" s="48"/>
      <c r="M57" s="48"/>
      <c r="N57" s="370"/>
      <c r="O57" s="48"/>
    </row>
    <row r="58" spans="1:15" s="387" customFormat="1" ht="15" x14ac:dyDescent="0.25">
      <c r="A58" s="1">
        <v>54</v>
      </c>
      <c r="B58" s="1" t="s">
        <v>635</v>
      </c>
      <c r="C58" s="32">
        <v>2041</v>
      </c>
      <c r="D58" s="1">
        <v>20000</v>
      </c>
      <c r="E58" s="1" t="s">
        <v>80</v>
      </c>
      <c r="F58" s="1">
        <v>222.82</v>
      </c>
      <c r="G58" s="1">
        <v>20000</v>
      </c>
      <c r="H58" s="1">
        <f t="shared" si="1"/>
        <v>0</v>
      </c>
      <c r="I58" s="89"/>
      <c r="J58" s="89"/>
      <c r="K58" s="388"/>
      <c r="L58" s="48"/>
      <c r="M58" s="48"/>
      <c r="N58" s="370"/>
      <c r="O58" s="48"/>
    </row>
    <row r="59" spans="1:15" s="387" customFormat="1" ht="15" x14ac:dyDescent="0.25">
      <c r="A59" s="1">
        <v>55</v>
      </c>
      <c r="B59" s="1" t="s">
        <v>635</v>
      </c>
      <c r="C59" s="32">
        <v>4530</v>
      </c>
      <c r="D59" s="1">
        <v>23000</v>
      </c>
      <c r="E59" s="1" t="s">
        <v>80</v>
      </c>
      <c r="F59" s="1">
        <v>256.62</v>
      </c>
      <c r="G59" s="1">
        <v>23000</v>
      </c>
      <c r="H59" s="1">
        <f t="shared" si="1"/>
        <v>0</v>
      </c>
      <c r="I59" s="89"/>
      <c r="J59" s="89"/>
      <c r="K59" s="388"/>
      <c r="L59" s="48"/>
      <c r="M59" s="48"/>
      <c r="N59" s="370"/>
      <c r="O59" s="48"/>
    </row>
    <row r="60" spans="1:15" s="387" customFormat="1" ht="15" x14ac:dyDescent="0.25">
      <c r="A60" s="1">
        <v>56</v>
      </c>
      <c r="B60" s="1" t="s">
        <v>635</v>
      </c>
      <c r="C60" s="32">
        <v>5109</v>
      </c>
      <c r="D60" s="1">
        <v>23000</v>
      </c>
      <c r="E60" s="1" t="s">
        <v>80</v>
      </c>
      <c r="F60" s="1">
        <v>256.62</v>
      </c>
      <c r="G60" s="1">
        <v>23000</v>
      </c>
      <c r="H60" s="1">
        <f t="shared" si="1"/>
        <v>0</v>
      </c>
      <c r="I60" s="89"/>
      <c r="J60" s="89"/>
      <c r="K60" s="388"/>
      <c r="L60" s="48"/>
      <c r="M60" s="48"/>
      <c r="N60" s="370"/>
      <c r="O60" s="48"/>
    </row>
    <row r="61" spans="1:15" s="387" customFormat="1" ht="15" x14ac:dyDescent="0.25">
      <c r="A61" s="1">
        <v>57</v>
      </c>
      <c r="B61" s="1" t="s">
        <v>635</v>
      </c>
      <c r="C61" s="32">
        <v>7526</v>
      </c>
      <c r="D61" s="1">
        <v>16524</v>
      </c>
      <c r="E61" s="1" t="s">
        <v>80</v>
      </c>
      <c r="F61" s="1">
        <v>184.58</v>
      </c>
      <c r="G61" s="1">
        <v>16524</v>
      </c>
      <c r="H61" s="1">
        <f t="shared" si="1"/>
        <v>0</v>
      </c>
      <c r="I61" s="89"/>
      <c r="J61" s="89"/>
      <c r="K61" s="388"/>
      <c r="L61" s="48"/>
      <c r="M61" s="48"/>
      <c r="N61" s="370"/>
      <c r="O61" s="48"/>
    </row>
    <row r="62" spans="1:15" s="387" customFormat="1" ht="15" x14ac:dyDescent="0.25">
      <c r="A62" s="1">
        <v>58</v>
      </c>
      <c r="B62" s="1" t="s">
        <v>635</v>
      </c>
      <c r="C62" s="32">
        <v>7426</v>
      </c>
      <c r="D62" s="1">
        <v>16252</v>
      </c>
      <c r="E62" s="1" t="s">
        <v>80</v>
      </c>
      <c r="F62" s="1">
        <v>181.37</v>
      </c>
      <c r="G62" s="1">
        <v>16252</v>
      </c>
      <c r="H62" s="1">
        <f t="shared" si="1"/>
        <v>0</v>
      </c>
      <c r="I62" s="89"/>
      <c r="J62" s="89"/>
      <c r="K62" s="388"/>
      <c r="L62" s="48"/>
      <c r="M62" s="48"/>
      <c r="N62" s="370"/>
      <c r="O62" s="48"/>
    </row>
    <row r="63" spans="1:15" s="387" customFormat="1" ht="15" x14ac:dyDescent="0.25">
      <c r="A63" s="1">
        <v>59</v>
      </c>
      <c r="B63" s="1" t="s">
        <v>635</v>
      </c>
      <c r="C63" s="32">
        <v>7226</v>
      </c>
      <c r="D63" s="1">
        <v>15750</v>
      </c>
      <c r="E63" s="1" t="s">
        <v>80</v>
      </c>
      <c r="F63" s="1">
        <v>177.47</v>
      </c>
      <c r="G63" s="1">
        <v>15750</v>
      </c>
      <c r="H63" s="1">
        <f t="shared" si="1"/>
        <v>0</v>
      </c>
      <c r="I63" s="89"/>
      <c r="J63" s="89"/>
      <c r="K63" s="388"/>
      <c r="L63" s="48"/>
      <c r="M63" s="48"/>
      <c r="N63" s="370"/>
      <c r="O63" s="48"/>
    </row>
    <row r="64" spans="1:15" s="387" customFormat="1" ht="15.75" thickBot="1" x14ac:dyDescent="0.3">
      <c r="A64" s="1">
        <v>60</v>
      </c>
      <c r="B64" s="1" t="s">
        <v>635</v>
      </c>
      <c r="C64" s="32">
        <v>8751</v>
      </c>
      <c r="D64" s="1">
        <v>26000</v>
      </c>
      <c r="E64" s="1" t="s">
        <v>80</v>
      </c>
      <c r="F64" s="1">
        <v>289.95999999999998</v>
      </c>
      <c r="G64" s="1">
        <v>26000</v>
      </c>
      <c r="H64" s="1">
        <f t="shared" si="1"/>
        <v>0</v>
      </c>
      <c r="I64" s="89"/>
      <c r="J64" s="89"/>
      <c r="K64" s="388"/>
      <c r="L64" s="48"/>
      <c r="M64" s="48"/>
      <c r="N64" s="370"/>
      <c r="O64" s="48"/>
    </row>
    <row r="65" spans="1:15" s="387" customFormat="1" ht="15.75" thickBot="1" x14ac:dyDescent="0.3">
      <c r="A65" s="1">
        <v>61</v>
      </c>
      <c r="B65" s="1" t="s">
        <v>635</v>
      </c>
      <c r="C65" s="32">
        <v>9420</v>
      </c>
      <c r="D65" s="1">
        <v>28000</v>
      </c>
      <c r="E65" s="1" t="s">
        <v>80</v>
      </c>
      <c r="F65" s="1">
        <v>311.72000000000003</v>
      </c>
      <c r="G65" s="1">
        <v>28000</v>
      </c>
      <c r="H65" s="1">
        <f t="shared" si="1"/>
        <v>0</v>
      </c>
      <c r="I65" s="89"/>
      <c r="J65" s="89"/>
      <c r="K65" s="103">
        <f>2557044-2396214</f>
        <v>160830</v>
      </c>
      <c r="L65" s="359" t="s">
        <v>619</v>
      </c>
      <c r="M65" s="359">
        <v>164571</v>
      </c>
      <c r="N65" s="367" t="s">
        <v>620</v>
      </c>
      <c r="O65" s="360">
        <f>164571-160830</f>
        <v>3741</v>
      </c>
    </row>
    <row r="66" spans="1:15" s="389" customFormat="1" ht="15" x14ac:dyDescent="0.25">
      <c r="A66" s="1">
        <v>62</v>
      </c>
      <c r="B66" s="1" t="s">
        <v>636</v>
      </c>
      <c r="C66" s="32" t="s">
        <v>634</v>
      </c>
      <c r="D66" s="1">
        <v>800</v>
      </c>
      <c r="E66" s="1" t="s">
        <v>80</v>
      </c>
      <c r="F66" s="1">
        <v>8.91</v>
      </c>
      <c r="G66" s="1">
        <v>800</v>
      </c>
      <c r="H66" s="1">
        <f t="shared" si="1"/>
        <v>0</v>
      </c>
      <c r="I66" s="89"/>
      <c r="J66" s="89"/>
      <c r="K66" s="388"/>
      <c r="L66" s="48"/>
      <c r="M66" s="48"/>
      <c r="N66" s="370"/>
      <c r="O66" s="48"/>
    </row>
    <row r="67" spans="1:15" s="389" customFormat="1" ht="15" x14ac:dyDescent="0.25">
      <c r="A67" s="1">
        <v>63</v>
      </c>
      <c r="B67" s="1" t="s">
        <v>636</v>
      </c>
      <c r="C67" s="32" t="s">
        <v>30</v>
      </c>
      <c r="D67" s="1">
        <v>5000</v>
      </c>
      <c r="E67" s="1" t="s">
        <v>80</v>
      </c>
      <c r="F67" s="1">
        <v>55.45</v>
      </c>
      <c r="G67" s="1">
        <v>5000</v>
      </c>
      <c r="H67" s="1">
        <f t="shared" si="1"/>
        <v>0</v>
      </c>
      <c r="I67" s="89"/>
      <c r="J67" s="89"/>
      <c r="K67" s="388"/>
      <c r="L67" s="48"/>
      <c r="M67" s="48"/>
      <c r="N67" s="370"/>
      <c r="O67" s="48"/>
    </row>
    <row r="68" spans="1:15" s="389" customFormat="1" ht="15" x14ac:dyDescent="0.25">
      <c r="A68" s="1">
        <v>64</v>
      </c>
      <c r="B68" s="1" t="s">
        <v>636</v>
      </c>
      <c r="C68" s="32">
        <v>9112</v>
      </c>
      <c r="D68" s="1">
        <v>25000</v>
      </c>
      <c r="E68" s="1" t="s">
        <v>80</v>
      </c>
      <c r="F68" s="1">
        <v>278.22000000000003</v>
      </c>
      <c r="G68" s="1">
        <v>25000</v>
      </c>
      <c r="H68" s="1">
        <f t="shared" si="1"/>
        <v>0</v>
      </c>
      <c r="I68" s="89"/>
      <c r="J68" s="89"/>
      <c r="K68" s="388"/>
      <c r="L68" s="48"/>
      <c r="M68" s="48"/>
      <c r="N68" s="370"/>
      <c r="O68" s="48"/>
    </row>
    <row r="69" spans="1:15" s="389" customFormat="1" ht="15" x14ac:dyDescent="0.25">
      <c r="A69" s="1">
        <v>65</v>
      </c>
      <c r="B69" s="1" t="s">
        <v>636</v>
      </c>
      <c r="C69" s="32">
        <v>9345</v>
      </c>
      <c r="D69" s="1">
        <v>22700</v>
      </c>
      <c r="E69" s="1" t="s">
        <v>80</v>
      </c>
      <c r="F69" s="1">
        <v>252.85</v>
      </c>
      <c r="G69" s="1">
        <v>22700</v>
      </c>
      <c r="H69" s="1">
        <f t="shared" si="1"/>
        <v>0</v>
      </c>
      <c r="I69" s="89"/>
      <c r="J69" s="89"/>
      <c r="K69" s="388"/>
      <c r="L69" s="48"/>
      <c r="M69" s="48"/>
      <c r="N69" s="370"/>
      <c r="O69" s="48"/>
    </row>
    <row r="70" spans="1:15" s="389" customFormat="1" ht="15.75" thickBot="1" x14ac:dyDescent="0.3">
      <c r="A70" s="1">
        <v>66</v>
      </c>
      <c r="B70" s="1" t="s">
        <v>636</v>
      </c>
      <c r="C70" s="32">
        <v>9378</v>
      </c>
      <c r="D70" s="1">
        <v>25000</v>
      </c>
      <c r="E70" s="1" t="s">
        <v>80</v>
      </c>
      <c r="F70" s="1">
        <v>278.22000000000003</v>
      </c>
      <c r="G70" s="1">
        <v>25000</v>
      </c>
      <c r="H70" s="1">
        <f t="shared" si="1"/>
        <v>0</v>
      </c>
      <c r="I70" s="89"/>
      <c r="J70" s="89"/>
      <c r="K70" s="388"/>
      <c r="L70" s="48"/>
      <c r="M70" s="48"/>
      <c r="N70" s="370"/>
      <c r="O70" s="48"/>
    </row>
    <row r="71" spans="1:15" s="389" customFormat="1" ht="15.75" thickBot="1" x14ac:dyDescent="0.3">
      <c r="A71" s="1">
        <v>67</v>
      </c>
      <c r="B71" s="1" t="s">
        <v>636</v>
      </c>
      <c r="C71" s="32">
        <v>2.3800000000000002E-2</v>
      </c>
      <c r="D71" s="1">
        <v>18000</v>
      </c>
      <c r="E71" s="1" t="s">
        <v>80</v>
      </c>
      <c r="F71" s="1">
        <v>200.82</v>
      </c>
      <c r="G71" s="1">
        <v>18000</v>
      </c>
      <c r="H71" s="1">
        <f t="shared" si="1"/>
        <v>0</v>
      </c>
      <c r="I71" s="89"/>
      <c r="J71" s="89"/>
      <c r="K71" s="103">
        <f>2152117-2092714</f>
        <v>59403</v>
      </c>
      <c r="L71" s="359" t="s">
        <v>619</v>
      </c>
      <c r="M71" s="359">
        <v>63142</v>
      </c>
      <c r="N71" s="367" t="s">
        <v>620</v>
      </c>
      <c r="O71" s="360">
        <f>63142-59403</f>
        <v>3739</v>
      </c>
    </row>
    <row r="72" spans="1:15" s="390" customFormat="1" ht="15" x14ac:dyDescent="0.25">
      <c r="A72" s="1">
        <v>68</v>
      </c>
      <c r="B72" s="1" t="s">
        <v>637</v>
      </c>
      <c r="C72" s="32">
        <v>4779</v>
      </c>
      <c r="D72" s="1">
        <v>20000</v>
      </c>
      <c r="E72" s="1" t="s">
        <v>80</v>
      </c>
      <c r="F72" s="1">
        <v>222.82</v>
      </c>
      <c r="G72" s="1">
        <v>20000</v>
      </c>
      <c r="H72" s="1">
        <f t="shared" si="1"/>
        <v>0</v>
      </c>
      <c r="I72" s="89"/>
      <c r="J72" s="89"/>
      <c r="K72" s="388"/>
      <c r="L72" s="48"/>
      <c r="M72" s="48"/>
      <c r="N72" s="370"/>
      <c r="O72" s="48"/>
    </row>
    <row r="73" spans="1:15" s="390" customFormat="1" ht="15" x14ac:dyDescent="0.25">
      <c r="A73" s="1">
        <v>69</v>
      </c>
      <c r="B73" s="1" t="s">
        <v>637</v>
      </c>
      <c r="C73" s="32">
        <v>8513</v>
      </c>
      <c r="D73" s="1">
        <v>10500</v>
      </c>
      <c r="E73" s="1" t="s">
        <v>80</v>
      </c>
      <c r="F73" s="1">
        <v>112.87</v>
      </c>
      <c r="G73" s="1">
        <v>10500</v>
      </c>
      <c r="H73" s="1">
        <f t="shared" si="1"/>
        <v>0</v>
      </c>
      <c r="I73" s="89"/>
      <c r="J73" s="89"/>
      <c r="K73" s="388"/>
      <c r="L73" s="48"/>
      <c r="M73" s="48"/>
      <c r="N73" s="370"/>
      <c r="O73" s="48"/>
    </row>
    <row r="74" spans="1:15" s="390" customFormat="1" ht="15" x14ac:dyDescent="0.25">
      <c r="A74" s="1">
        <v>70</v>
      </c>
      <c r="B74" s="1" t="s">
        <v>637</v>
      </c>
      <c r="C74" s="32" t="s">
        <v>633</v>
      </c>
      <c r="D74" s="1">
        <v>210</v>
      </c>
      <c r="E74" s="1" t="s">
        <v>80</v>
      </c>
      <c r="F74" s="1">
        <v>2.08</v>
      </c>
      <c r="G74" s="1">
        <v>210</v>
      </c>
      <c r="H74" s="1">
        <f t="shared" si="1"/>
        <v>0</v>
      </c>
      <c r="I74" s="89"/>
      <c r="J74" s="89"/>
      <c r="K74" s="388"/>
      <c r="L74" s="48"/>
      <c r="M74" s="48"/>
      <c r="N74" s="370"/>
      <c r="O74" s="48"/>
    </row>
    <row r="75" spans="1:15" s="390" customFormat="1" ht="15" x14ac:dyDescent="0.25">
      <c r="A75" s="1">
        <v>71</v>
      </c>
      <c r="B75" s="1" t="s">
        <v>637</v>
      </c>
      <c r="C75" s="32" t="s">
        <v>634</v>
      </c>
      <c r="D75" s="1">
        <v>3002</v>
      </c>
      <c r="E75" s="1" t="s">
        <v>80</v>
      </c>
      <c r="F75" s="1">
        <v>33.549999999999997</v>
      </c>
      <c r="G75" s="1">
        <v>3002</v>
      </c>
      <c r="H75" s="1">
        <f t="shared" si="1"/>
        <v>0</v>
      </c>
      <c r="I75" s="89"/>
      <c r="J75" s="89"/>
    </row>
    <row r="76" spans="1:15" s="390" customFormat="1" ht="15" x14ac:dyDescent="0.25">
      <c r="A76" s="1">
        <v>72</v>
      </c>
      <c r="B76" s="1" t="s">
        <v>637</v>
      </c>
      <c r="C76" s="32">
        <v>5835</v>
      </c>
      <c r="D76" s="1">
        <v>20000</v>
      </c>
      <c r="E76" s="1" t="s">
        <v>80</v>
      </c>
      <c r="F76" s="1">
        <v>222.82</v>
      </c>
      <c r="G76" s="1">
        <v>20000</v>
      </c>
      <c r="H76" s="1">
        <f t="shared" si="1"/>
        <v>0</v>
      </c>
      <c r="I76" s="89"/>
      <c r="J76" s="89"/>
      <c r="K76" s="388"/>
      <c r="L76" s="48"/>
      <c r="M76" s="48"/>
      <c r="N76" s="370"/>
      <c r="O76" s="48"/>
    </row>
    <row r="77" spans="1:15" s="390" customFormat="1" ht="15" x14ac:dyDescent="0.25">
      <c r="A77" s="1">
        <v>73</v>
      </c>
      <c r="B77" s="1" t="s">
        <v>637</v>
      </c>
      <c r="C77" s="32">
        <v>2261</v>
      </c>
      <c r="D77" s="1">
        <v>21000</v>
      </c>
      <c r="E77" s="1" t="s">
        <v>80</v>
      </c>
      <c r="F77" s="1">
        <v>228.67</v>
      </c>
      <c r="G77" s="1">
        <v>21000</v>
      </c>
      <c r="H77" s="1">
        <f t="shared" si="1"/>
        <v>0</v>
      </c>
      <c r="I77" s="89"/>
      <c r="J77" s="89"/>
      <c r="K77" s="388"/>
      <c r="L77" s="48"/>
      <c r="M77" s="48"/>
      <c r="N77" s="370"/>
      <c r="O77" s="48"/>
    </row>
    <row r="78" spans="1:15" s="390" customFormat="1" ht="15" x14ac:dyDescent="0.25">
      <c r="A78" s="1">
        <v>74</v>
      </c>
      <c r="B78" s="1" t="s">
        <v>637</v>
      </c>
      <c r="C78" s="32">
        <v>7365</v>
      </c>
      <c r="D78" s="1">
        <v>27000</v>
      </c>
      <c r="E78" s="1" t="s">
        <v>80</v>
      </c>
      <c r="F78" s="1">
        <v>328.28</v>
      </c>
      <c r="G78" s="1">
        <v>27000</v>
      </c>
      <c r="H78" s="1">
        <f t="shared" si="1"/>
        <v>0</v>
      </c>
      <c r="I78" s="89"/>
      <c r="J78" s="89"/>
      <c r="K78" s="388"/>
      <c r="L78" s="48"/>
      <c r="M78" s="48"/>
      <c r="N78" s="370"/>
      <c r="O78" s="48"/>
    </row>
    <row r="79" spans="1:15" s="390" customFormat="1" ht="15" x14ac:dyDescent="0.25">
      <c r="A79" s="1">
        <v>75</v>
      </c>
      <c r="B79" s="1" t="s">
        <v>637</v>
      </c>
      <c r="C79" s="32">
        <v>2150</v>
      </c>
      <c r="D79" s="1">
        <v>27000</v>
      </c>
      <c r="E79" s="1" t="s">
        <v>80</v>
      </c>
      <c r="F79" s="1">
        <v>328.28</v>
      </c>
      <c r="G79" s="1">
        <v>27000</v>
      </c>
      <c r="H79" s="1">
        <f t="shared" si="1"/>
        <v>0</v>
      </c>
      <c r="I79" s="89"/>
      <c r="J79" s="89"/>
      <c r="K79" s="388"/>
      <c r="L79" s="48"/>
      <c r="M79" s="48"/>
      <c r="N79" s="370"/>
      <c r="O79" s="48"/>
    </row>
    <row r="80" spans="1:15" s="390" customFormat="1" ht="15" x14ac:dyDescent="0.25">
      <c r="A80" s="1">
        <v>76</v>
      </c>
      <c r="B80" s="1" t="s">
        <v>637</v>
      </c>
      <c r="C80" s="32">
        <v>2.1700000000000001E-2</v>
      </c>
      <c r="D80" s="1">
        <v>28000</v>
      </c>
      <c r="E80" s="1" t="s">
        <v>80</v>
      </c>
      <c r="F80" s="1">
        <v>311.72000000000003</v>
      </c>
      <c r="G80" s="1">
        <v>28000</v>
      </c>
      <c r="H80" s="1">
        <f t="shared" si="1"/>
        <v>0</v>
      </c>
      <c r="I80" s="89"/>
      <c r="J80" s="89"/>
      <c r="K80" s="388"/>
      <c r="L80" s="48"/>
      <c r="M80" s="48"/>
      <c r="N80" s="370"/>
      <c r="O80" s="48"/>
    </row>
    <row r="81" spans="1:15" s="390" customFormat="1" ht="15" x14ac:dyDescent="0.25">
      <c r="A81" s="1">
        <v>77</v>
      </c>
      <c r="B81" s="1" t="s">
        <v>637</v>
      </c>
      <c r="C81" s="32">
        <v>7714</v>
      </c>
      <c r="D81" s="1">
        <v>28000</v>
      </c>
      <c r="E81" s="1" t="s">
        <v>80</v>
      </c>
      <c r="F81" s="1">
        <v>311.72000000000003</v>
      </c>
      <c r="G81" s="1">
        <v>28000</v>
      </c>
      <c r="H81" s="1">
        <f t="shared" si="1"/>
        <v>0</v>
      </c>
      <c r="I81" s="89"/>
      <c r="J81" s="89"/>
      <c r="K81" s="388"/>
      <c r="L81" s="48"/>
      <c r="M81" s="48"/>
      <c r="N81" s="370"/>
      <c r="O81" s="48"/>
    </row>
    <row r="82" spans="1:15" s="390" customFormat="1" ht="15.75" thickBot="1" x14ac:dyDescent="0.3">
      <c r="A82" s="1">
        <v>78</v>
      </c>
      <c r="B82" s="1" t="s">
        <v>637</v>
      </c>
      <c r="C82" s="32">
        <v>1632</v>
      </c>
      <c r="D82" s="1">
        <v>24000</v>
      </c>
      <c r="E82" s="1" t="s">
        <v>80</v>
      </c>
      <c r="F82" s="1">
        <v>266.86</v>
      </c>
      <c r="G82" s="1">
        <v>24000</v>
      </c>
      <c r="H82" s="1">
        <f t="shared" si="1"/>
        <v>0</v>
      </c>
      <c r="I82" s="89"/>
      <c r="J82" s="89"/>
      <c r="K82" s="388"/>
      <c r="L82" s="48"/>
      <c r="M82" s="48"/>
      <c r="N82" s="370"/>
      <c r="O82" s="48"/>
    </row>
    <row r="83" spans="1:15" s="390" customFormat="1" ht="15.75" thickBot="1" x14ac:dyDescent="0.3">
      <c r="A83" s="1">
        <v>79</v>
      </c>
      <c r="B83" s="1" t="s">
        <v>637</v>
      </c>
      <c r="C83" s="32">
        <v>1589</v>
      </c>
      <c r="D83" s="1">
        <v>24000</v>
      </c>
      <c r="E83" s="1" t="s">
        <v>80</v>
      </c>
      <c r="F83" s="1">
        <v>266.86</v>
      </c>
      <c r="G83" s="1">
        <v>24000</v>
      </c>
      <c r="H83" s="1">
        <f t="shared" si="1"/>
        <v>0</v>
      </c>
      <c r="I83" s="89"/>
      <c r="J83" s="89"/>
      <c r="K83" s="103">
        <f>1833015-1826426</f>
        <v>6589</v>
      </c>
      <c r="L83" s="359" t="s">
        <v>619</v>
      </c>
      <c r="M83" s="359">
        <v>10327</v>
      </c>
      <c r="N83" s="367" t="s">
        <v>620</v>
      </c>
      <c r="O83" s="360">
        <f>10327-6589</f>
        <v>3738</v>
      </c>
    </row>
    <row r="84" spans="1:15" s="391" customFormat="1" ht="15" x14ac:dyDescent="0.25">
      <c r="A84" s="1">
        <v>80</v>
      </c>
      <c r="B84" s="1" t="s">
        <v>638</v>
      </c>
      <c r="C84" s="32" t="s">
        <v>633</v>
      </c>
      <c r="D84" s="1">
        <v>110</v>
      </c>
      <c r="E84" s="1" t="s">
        <v>80</v>
      </c>
      <c r="F84" s="1">
        <v>1.08</v>
      </c>
      <c r="G84" s="1">
        <v>110</v>
      </c>
      <c r="H84" s="1">
        <f t="shared" si="1"/>
        <v>0</v>
      </c>
      <c r="I84" s="89"/>
      <c r="J84" s="89"/>
      <c r="K84" s="388"/>
      <c r="L84" s="48"/>
      <c r="M84" s="48"/>
      <c r="N84" s="370"/>
      <c r="O84" s="48"/>
    </row>
    <row r="85" spans="1:15" s="391" customFormat="1" ht="15" x14ac:dyDescent="0.25">
      <c r="A85" s="1">
        <v>81</v>
      </c>
      <c r="B85" s="1" t="s">
        <v>638</v>
      </c>
      <c r="C85" s="32">
        <v>4311</v>
      </c>
      <c r="D85" s="1">
        <v>24000</v>
      </c>
      <c r="E85" s="1" t="s">
        <v>80</v>
      </c>
      <c r="F85" s="1">
        <v>267.85000000000002</v>
      </c>
      <c r="G85" s="1">
        <v>24000</v>
      </c>
      <c r="H85" s="1">
        <f t="shared" si="1"/>
        <v>0</v>
      </c>
      <c r="I85" s="89"/>
      <c r="J85" s="89"/>
      <c r="K85" s="388"/>
      <c r="L85" s="48"/>
      <c r="M85" s="48"/>
      <c r="N85" s="370"/>
      <c r="O85" s="48"/>
    </row>
    <row r="86" spans="1:15" s="391" customFormat="1" ht="15" x14ac:dyDescent="0.25">
      <c r="A86" s="1">
        <v>82</v>
      </c>
      <c r="B86" s="1" t="s">
        <v>638</v>
      </c>
      <c r="C86" s="32" t="s">
        <v>30</v>
      </c>
      <c r="D86" s="1">
        <v>4500</v>
      </c>
      <c r="E86" s="1" t="s">
        <v>80</v>
      </c>
      <c r="F86" s="1">
        <v>45.85</v>
      </c>
      <c r="G86" s="1">
        <v>4500</v>
      </c>
      <c r="H86" s="1">
        <f t="shared" ref="H86:H149" si="2">D86-G86</f>
        <v>0</v>
      </c>
      <c r="I86" s="89"/>
      <c r="J86" s="89"/>
      <c r="K86" s="388"/>
      <c r="L86" s="48"/>
      <c r="M86" s="48"/>
      <c r="N86" s="370"/>
      <c r="O86" s="48"/>
    </row>
    <row r="87" spans="1:15" s="391" customFormat="1" ht="15" x14ac:dyDescent="0.25">
      <c r="A87" s="1">
        <v>83</v>
      </c>
      <c r="B87" s="1" t="s">
        <v>638</v>
      </c>
      <c r="C87" s="32">
        <v>8290</v>
      </c>
      <c r="D87" s="1">
        <v>10000</v>
      </c>
      <c r="E87" s="1" t="s">
        <v>80</v>
      </c>
      <c r="F87" s="1">
        <v>111.41</v>
      </c>
      <c r="G87" s="1">
        <v>10000</v>
      </c>
      <c r="H87" s="1">
        <f t="shared" si="2"/>
        <v>0</v>
      </c>
      <c r="I87" s="89"/>
      <c r="J87" s="89"/>
      <c r="K87" s="388"/>
      <c r="L87" s="48"/>
      <c r="M87" s="48"/>
      <c r="N87" s="370"/>
      <c r="O87" s="48"/>
    </row>
    <row r="88" spans="1:15" s="391" customFormat="1" ht="15" x14ac:dyDescent="0.25">
      <c r="A88" s="1">
        <v>84</v>
      </c>
      <c r="B88" s="1" t="s">
        <v>638</v>
      </c>
      <c r="C88" s="32">
        <v>6211</v>
      </c>
      <c r="D88" s="1">
        <v>24000</v>
      </c>
      <c r="E88" s="1"/>
      <c r="F88" s="1">
        <v>266.86</v>
      </c>
      <c r="G88" s="1">
        <v>24000</v>
      </c>
      <c r="H88" s="1">
        <f t="shared" si="2"/>
        <v>0</v>
      </c>
      <c r="I88" s="89"/>
      <c r="J88" s="89"/>
      <c r="K88" s="388"/>
      <c r="L88" s="48"/>
      <c r="M88" s="48"/>
      <c r="N88" s="370"/>
      <c r="O88" s="48"/>
    </row>
    <row r="89" spans="1:15" s="391" customFormat="1" ht="15" x14ac:dyDescent="0.25">
      <c r="A89" s="1">
        <v>85</v>
      </c>
      <c r="B89" s="1" t="s">
        <v>638</v>
      </c>
      <c r="C89" s="32">
        <v>4097</v>
      </c>
      <c r="D89" s="1">
        <v>24400</v>
      </c>
      <c r="E89" s="1" t="s">
        <v>80</v>
      </c>
      <c r="F89" s="1">
        <v>271.66000000000003</v>
      </c>
      <c r="G89" s="1">
        <v>24400</v>
      </c>
      <c r="H89" s="1">
        <f t="shared" si="2"/>
        <v>0</v>
      </c>
      <c r="I89" s="89"/>
      <c r="J89" s="89"/>
      <c r="K89" s="388"/>
      <c r="L89" s="48"/>
      <c r="M89" s="48"/>
      <c r="N89" s="370"/>
      <c r="O89" s="48"/>
    </row>
    <row r="90" spans="1:15" s="391" customFormat="1" ht="15" x14ac:dyDescent="0.25">
      <c r="A90" s="1">
        <v>86</v>
      </c>
      <c r="B90" s="1" t="s">
        <v>638</v>
      </c>
      <c r="C90" s="32">
        <v>8872</v>
      </c>
      <c r="D90" s="1">
        <v>22000</v>
      </c>
      <c r="E90" s="1" t="s">
        <v>80</v>
      </c>
      <c r="F90" s="1">
        <v>245.55</v>
      </c>
      <c r="G90" s="1">
        <v>22000</v>
      </c>
      <c r="H90" s="1">
        <f t="shared" si="2"/>
        <v>0</v>
      </c>
      <c r="I90" s="89"/>
      <c r="J90" s="89"/>
      <c r="K90" s="388"/>
      <c r="L90" s="48"/>
      <c r="M90" s="48"/>
      <c r="N90" s="370"/>
      <c r="O90" s="48"/>
    </row>
    <row r="91" spans="1:15" s="391" customFormat="1" ht="15" x14ac:dyDescent="0.25">
      <c r="A91" s="1">
        <v>87</v>
      </c>
      <c r="B91" s="1" t="s">
        <v>638</v>
      </c>
      <c r="C91" s="32">
        <v>4961</v>
      </c>
      <c r="D91" s="1">
        <v>22000</v>
      </c>
      <c r="E91" s="1" t="s">
        <v>80</v>
      </c>
      <c r="F91" s="1">
        <v>245.55</v>
      </c>
      <c r="G91" s="1">
        <v>22000</v>
      </c>
      <c r="H91" s="1">
        <f t="shared" si="2"/>
        <v>0</v>
      </c>
      <c r="I91" s="89"/>
      <c r="J91" s="89"/>
      <c r="K91" s="388"/>
      <c r="L91" s="48"/>
      <c r="M91" s="48"/>
      <c r="N91" s="370"/>
      <c r="O91" s="48"/>
    </row>
    <row r="92" spans="1:15" s="391" customFormat="1" ht="15" x14ac:dyDescent="0.25">
      <c r="A92" s="1">
        <v>88</v>
      </c>
      <c r="B92" s="1" t="s">
        <v>638</v>
      </c>
      <c r="C92" s="32">
        <v>1820</v>
      </c>
      <c r="D92" s="1">
        <v>36000</v>
      </c>
      <c r="E92" s="1" t="s">
        <v>80</v>
      </c>
      <c r="F92" s="1">
        <v>378.22</v>
      </c>
      <c r="G92" s="1">
        <v>36000</v>
      </c>
      <c r="H92" s="1">
        <f t="shared" si="2"/>
        <v>0</v>
      </c>
      <c r="I92" s="89"/>
      <c r="J92" s="89"/>
      <c r="K92" s="388"/>
      <c r="L92" s="48"/>
      <c r="M92" s="48"/>
      <c r="N92" s="370"/>
      <c r="O92" s="48"/>
    </row>
    <row r="93" spans="1:15" s="391" customFormat="1" ht="15" x14ac:dyDescent="0.25">
      <c r="A93" s="1">
        <v>89</v>
      </c>
      <c r="B93" s="1" t="s">
        <v>638</v>
      </c>
      <c r="C93" s="32">
        <v>3798</v>
      </c>
      <c r="D93" s="1">
        <v>27000</v>
      </c>
      <c r="E93" s="1" t="s">
        <v>80</v>
      </c>
      <c r="F93" s="1">
        <v>328.28</v>
      </c>
      <c r="G93" s="1">
        <v>27000</v>
      </c>
      <c r="H93" s="1">
        <f t="shared" si="2"/>
        <v>0</v>
      </c>
      <c r="I93" s="89"/>
      <c r="J93" s="89"/>
      <c r="K93" s="388"/>
      <c r="L93" s="48"/>
      <c r="M93" s="48"/>
      <c r="N93" s="370"/>
      <c r="O93" s="48"/>
    </row>
    <row r="94" spans="1:15" s="391" customFormat="1" ht="15" x14ac:dyDescent="0.25">
      <c r="A94" s="1">
        <v>90</v>
      </c>
      <c r="B94" s="1" t="s">
        <v>638</v>
      </c>
      <c r="C94" s="32">
        <v>9744</v>
      </c>
      <c r="D94" s="1">
        <v>21000</v>
      </c>
      <c r="E94" s="1" t="s">
        <v>642</v>
      </c>
      <c r="F94" s="1">
        <v>233.72</v>
      </c>
      <c r="G94" s="1">
        <v>21000</v>
      </c>
      <c r="H94" s="1">
        <f t="shared" si="2"/>
        <v>0</v>
      </c>
      <c r="I94" s="89"/>
      <c r="J94" s="89"/>
      <c r="K94" s="388"/>
      <c r="L94" s="48"/>
      <c r="M94" s="48"/>
      <c r="N94" s="370"/>
      <c r="O94" s="48"/>
    </row>
    <row r="95" spans="1:15" s="391" customFormat="1" ht="15" x14ac:dyDescent="0.25">
      <c r="A95" s="1">
        <v>91</v>
      </c>
      <c r="B95" s="1" t="s">
        <v>638</v>
      </c>
      <c r="C95" s="32">
        <v>1.6400000000000001E-2</v>
      </c>
      <c r="D95" s="1">
        <v>20000</v>
      </c>
      <c r="E95" s="1" t="s">
        <v>80</v>
      </c>
      <c r="F95" s="1">
        <v>222.82</v>
      </c>
      <c r="G95" s="1">
        <v>20000</v>
      </c>
      <c r="H95" s="1">
        <f t="shared" si="2"/>
        <v>0</v>
      </c>
      <c r="I95" s="89"/>
      <c r="J95" s="89"/>
      <c r="K95" s="388"/>
      <c r="L95" s="48"/>
      <c r="M95" s="48"/>
      <c r="N95" s="370"/>
      <c r="O95" s="48"/>
    </row>
    <row r="96" spans="1:15" s="391" customFormat="1" ht="15" x14ac:dyDescent="0.25">
      <c r="A96" s="1">
        <v>92</v>
      </c>
      <c r="B96" s="1" t="s">
        <v>638</v>
      </c>
      <c r="C96" s="32">
        <v>3239</v>
      </c>
      <c r="D96" s="1">
        <v>17000</v>
      </c>
      <c r="E96" s="1" t="s">
        <v>80</v>
      </c>
      <c r="F96" s="1">
        <v>189.97</v>
      </c>
      <c r="G96" s="1">
        <v>17000</v>
      </c>
      <c r="H96" s="1">
        <f t="shared" si="2"/>
        <v>0</v>
      </c>
      <c r="I96" s="89"/>
      <c r="J96" s="89"/>
      <c r="K96" s="388"/>
      <c r="L96" s="48"/>
      <c r="M96" s="48"/>
      <c r="N96" s="370"/>
      <c r="O96" s="48"/>
    </row>
    <row r="97" spans="1:15" s="391" customFormat="1" ht="15" x14ac:dyDescent="0.25">
      <c r="A97" s="1">
        <v>93</v>
      </c>
      <c r="B97" s="1" t="s">
        <v>639</v>
      </c>
      <c r="C97" s="32">
        <v>9464</v>
      </c>
      <c r="D97" s="1">
        <v>12000</v>
      </c>
      <c r="E97" s="1" t="s">
        <v>80</v>
      </c>
      <c r="F97" s="1">
        <v>133.38</v>
      </c>
      <c r="G97" s="1">
        <v>12000</v>
      </c>
      <c r="H97" s="1">
        <f t="shared" si="2"/>
        <v>0</v>
      </c>
      <c r="I97" s="89"/>
      <c r="J97" s="89"/>
      <c r="K97" s="388"/>
      <c r="L97" s="48"/>
      <c r="M97" s="48"/>
      <c r="N97" s="370"/>
      <c r="O97" s="48"/>
    </row>
    <row r="98" spans="1:15" s="391" customFormat="1" ht="15" x14ac:dyDescent="0.25">
      <c r="A98" s="1">
        <v>94</v>
      </c>
      <c r="B98" s="1" t="s">
        <v>639</v>
      </c>
      <c r="C98" s="32" t="s">
        <v>30</v>
      </c>
      <c r="D98" s="1">
        <v>5000</v>
      </c>
      <c r="E98" s="1" t="s">
        <v>80</v>
      </c>
      <c r="F98" s="1">
        <v>55.45</v>
      </c>
      <c r="G98" s="1">
        <v>5000</v>
      </c>
      <c r="H98" s="1">
        <f t="shared" si="2"/>
        <v>0</v>
      </c>
      <c r="I98" s="89"/>
      <c r="J98" s="89"/>
      <c r="K98" s="388"/>
      <c r="L98" s="48"/>
      <c r="M98" s="48"/>
      <c r="N98" s="370"/>
      <c r="O98" s="48"/>
    </row>
    <row r="99" spans="1:15" s="391" customFormat="1" ht="15" x14ac:dyDescent="0.25">
      <c r="A99" s="1">
        <v>95</v>
      </c>
      <c r="B99" s="1" t="s">
        <v>639</v>
      </c>
      <c r="C99" s="32">
        <v>9345</v>
      </c>
      <c r="D99" s="1">
        <v>3300</v>
      </c>
      <c r="E99" s="1"/>
      <c r="F99" s="1">
        <v>36.520000000000003</v>
      </c>
      <c r="G99" s="1">
        <v>3300</v>
      </c>
      <c r="H99" s="1">
        <f t="shared" si="2"/>
        <v>0</v>
      </c>
      <c r="I99" s="89"/>
      <c r="J99" s="89"/>
      <c r="K99" s="388"/>
      <c r="L99" s="48"/>
      <c r="M99" s="48"/>
      <c r="N99" s="370"/>
      <c r="O99" s="48"/>
    </row>
    <row r="100" spans="1:15" s="391" customFormat="1" ht="15" x14ac:dyDescent="0.25">
      <c r="A100" s="1">
        <v>96</v>
      </c>
      <c r="B100" s="1" t="s">
        <v>639</v>
      </c>
      <c r="C100" s="32">
        <v>7707</v>
      </c>
      <c r="D100" s="1">
        <v>25000</v>
      </c>
      <c r="E100" s="1" t="s">
        <v>80</v>
      </c>
      <c r="F100" s="1">
        <v>278.22000000000003</v>
      </c>
      <c r="G100" s="1">
        <v>25000</v>
      </c>
      <c r="H100" s="1">
        <f t="shared" si="2"/>
        <v>0</v>
      </c>
      <c r="I100" s="89"/>
      <c r="J100" s="89"/>
      <c r="K100" s="388"/>
      <c r="L100" s="48"/>
      <c r="M100" s="48"/>
      <c r="N100" s="370"/>
      <c r="O100" s="48"/>
    </row>
    <row r="101" spans="1:15" s="391" customFormat="1" ht="15" x14ac:dyDescent="0.25">
      <c r="A101" s="1">
        <v>97</v>
      </c>
      <c r="B101" s="1" t="s">
        <v>639</v>
      </c>
      <c r="C101" s="32">
        <v>2.4400000000000002E-2</v>
      </c>
      <c r="D101" s="1">
        <v>20000</v>
      </c>
      <c r="E101" s="1" t="s">
        <v>80</v>
      </c>
      <c r="F101" s="1">
        <v>222.82</v>
      </c>
      <c r="G101" s="1">
        <v>20000</v>
      </c>
      <c r="H101" s="1">
        <f t="shared" si="2"/>
        <v>0</v>
      </c>
      <c r="I101" s="89"/>
      <c r="J101" s="89"/>
      <c r="K101" s="388"/>
      <c r="L101" s="48"/>
      <c r="M101" s="48"/>
      <c r="N101" s="370"/>
      <c r="O101" s="48"/>
    </row>
    <row r="102" spans="1:15" s="391" customFormat="1" ht="15" x14ac:dyDescent="0.25">
      <c r="A102" s="1">
        <v>98</v>
      </c>
      <c r="B102" s="1" t="s">
        <v>639</v>
      </c>
      <c r="C102" s="32">
        <v>2372</v>
      </c>
      <c r="D102" s="1">
        <v>35000</v>
      </c>
      <c r="E102" s="1" t="s">
        <v>80</v>
      </c>
      <c r="F102" s="1">
        <v>389.67</v>
      </c>
      <c r="G102" s="1">
        <v>35000</v>
      </c>
      <c r="H102" s="1">
        <f t="shared" si="2"/>
        <v>0</v>
      </c>
      <c r="I102" s="89"/>
      <c r="J102" s="89"/>
      <c r="K102" s="388"/>
      <c r="L102" s="48"/>
      <c r="M102" s="48"/>
      <c r="N102" s="370"/>
      <c r="O102" s="48"/>
    </row>
    <row r="103" spans="1:15" s="391" customFormat="1" ht="15" x14ac:dyDescent="0.25">
      <c r="A103" s="1">
        <v>99</v>
      </c>
      <c r="B103" s="1" t="s">
        <v>639</v>
      </c>
      <c r="C103" s="32">
        <v>4.6899999999999997E-2</v>
      </c>
      <c r="D103" s="1">
        <v>25000</v>
      </c>
      <c r="E103" s="1" t="s">
        <v>80</v>
      </c>
      <c r="F103" s="1">
        <v>278.22000000000003</v>
      </c>
      <c r="G103" s="1">
        <v>25000</v>
      </c>
      <c r="H103" s="1">
        <f t="shared" si="2"/>
        <v>0</v>
      </c>
      <c r="I103" s="89"/>
      <c r="J103" s="89"/>
      <c r="K103" s="388"/>
      <c r="L103" s="48"/>
      <c r="M103" s="48"/>
      <c r="N103" s="370"/>
      <c r="O103" s="48"/>
    </row>
    <row r="104" spans="1:15" s="391" customFormat="1" ht="15" x14ac:dyDescent="0.25">
      <c r="A104" s="1">
        <v>100</v>
      </c>
      <c r="B104" s="1" t="s">
        <v>639</v>
      </c>
      <c r="C104" s="32">
        <v>1.6999999999999999E-3</v>
      </c>
      <c r="D104" s="1">
        <v>21000</v>
      </c>
      <c r="E104" s="1" t="s">
        <v>80</v>
      </c>
      <c r="F104" s="1">
        <v>233.81</v>
      </c>
      <c r="G104" s="1">
        <v>21000</v>
      </c>
      <c r="H104" s="1">
        <f t="shared" si="2"/>
        <v>0</v>
      </c>
      <c r="I104" s="89"/>
      <c r="J104" s="89"/>
      <c r="K104" s="388"/>
      <c r="L104" s="48"/>
      <c r="M104" s="48"/>
      <c r="N104" s="370"/>
      <c r="O104" s="48"/>
    </row>
    <row r="105" spans="1:15" s="391" customFormat="1" ht="15" x14ac:dyDescent="0.25">
      <c r="A105" s="1">
        <v>101</v>
      </c>
      <c r="B105" s="1" t="s">
        <v>639</v>
      </c>
      <c r="C105" s="32">
        <v>6014</v>
      </c>
      <c r="D105" s="1">
        <v>25000</v>
      </c>
      <c r="E105" s="1" t="s">
        <v>80</v>
      </c>
      <c r="F105" s="1">
        <v>278.22000000000003</v>
      </c>
      <c r="G105" s="1">
        <v>25000</v>
      </c>
      <c r="H105" s="1">
        <f t="shared" si="2"/>
        <v>0</v>
      </c>
      <c r="I105" s="89"/>
      <c r="J105" s="89"/>
      <c r="K105" s="388"/>
      <c r="L105" s="48"/>
      <c r="M105" s="48"/>
      <c r="N105" s="370"/>
      <c r="O105" s="48"/>
    </row>
    <row r="106" spans="1:15" s="391" customFormat="1" ht="15" x14ac:dyDescent="0.25">
      <c r="A106" s="1">
        <v>102</v>
      </c>
      <c r="B106" s="1" t="s">
        <v>639</v>
      </c>
      <c r="C106" s="32">
        <v>7888</v>
      </c>
      <c r="D106" s="1">
        <v>18000</v>
      </c>
      <c r="E106" s="1" t="s">
        <v>80</v>
      </c>
      <c r="F106" s="1">
        <v>222.82</v>
      </c>
      <c r="G106" s="1">
        <v>18000</v>
      </c>
      <c r="H106" s="1">
        <f t="shared" si="2"/>
        <v>0</v>
      </c>
      <c r="I106" s="89"/>
      <c r="J106" s="89"/>
      <c r="K106" s="388"/>
      <c r="L106" s="48"/>
      <c r="M106" s="48"/>
      <c r="N106" s="370"/>
      <c r="O106" s="48"/>
    </row>
    <row r="107" spans="1:15" s="391" customFormat="1" ht="15" x14ac:dyDescent="0.25">
      <c r="A107" s="1">
        <v>103</v>
      </c>
      <c r="B107" s="1" t="s">
        <v>639</v>
      </c>
      <c r="C107" s="32">
        <v>7867</v>
      </c>
      <c r="D107" s="1">
        <v>30000</v>
      </c>
      <c r="E107" s="1" t="s">
        <v>80</v>
      </c>
      <c r="F107" s="1">
        <v>334.28</v>
      </c>
      <c r="G107" s="1">
        <v>30000</v>
      </c>
      <c r="H107" s="1">
        <f t="shared" si="2"/>
        <v>0</v>
      </c>
      <c r="I107" s="89"/>
      <c r="J107" s="89"/>
      <c r="K107" s="388"/>
      <c r="L107" s="48"/>
      <c r="M107" s="48"/>
      <c r="N107" s="370"/>
      <c r="O107" s="48"/>
    </row>
    <row r="108" spans="1:15" s="391" customFormat="1" ht="15" x14ac:dyDescent="0.25">
      <c r="A108" s="1">
        <v>104</v>
      </c>
      <c r="B108" s="1" t="s">
        <v>639</v>
      </c>
      <c r="C108" s="32">
        <v>3970</v>
      </c>
      <c r="D108" s="1">
        <v>27000</v>
      </c>
      <c r="E108" s="1" t="s">
        <v>80</v>
      </c>
      <c r="F108" s="1">
        <v>285.95</v>
      </c>
      <c r="G108" s="1">
        <v>27000</v>
      </c>
      <c r="H108" s="1">
        <f t="shared" si="2"/>
        <v>0</v>
      </c>
      <c r="I108" s="89"/>
      <c r="J108" s="89"/>
      <c r="K108" s="388"/>
      <c r="L108" s="48"/>
      <c r="M108" s="48"/>
      <c r="N108" s="370"/>
      <c r="O108" s="48"/>
    </row>
    <row r="109" spans="1:15" s="391" customFormat="1" ht="15.75" thickBot="1" x14ac:dyDescent="0.3">
      <c r="A109" s="1">
        <v>105</v>
      </c>
      <c r="B109" s="1" t="s">
        <v>639</v>
      </c>
      <c r="C109" s="32">
        <v>1.24E-2</v>
      </c>
      <c r="D109" s="1">
        <v>27000</v>
      </c>
      <c r="E109" s="1" t="s">
        <v>80</v>
      </c>
      <c r="F109" s="1">
        <v>297.64</v>
      </c>
      <c r="G109" s="1">
        <v>27000</v>
      </c>
      <c r="H109" s="1">
        <f t="shared" si="2"/>
        <v>0</v>
      </c>
      <c r="I109" s="89"/>
      <c r="J109" s="89"/>
      <c r="K109" s="388"/>
      <c r="L109" s="48"/>
      <c r="M109" s="48"/>
      <c r="N109" s="370"/>
      <c r="O109" s="48"/>
    </row>
    <row r="110" spans="1:15" s="391" customFormat="1" ht="15.75" thickBot="1" x14ac:dyDescent="0.3">
      <c r="A110" s="1">
        <v>106</v>
      </c>
      <c r="B110" s="1" t="s">
        <v>639</v>
      </c>
      <c r="C110" s="32">
        <v>4311</v>
      </c>
      <c r="D110" s="1">
        <v>25000</v>
      </c>
      <c r="E110" s="1" t="s">
        <v>80</v>
      </c>
      <c r="F110" s="1">
        <v>278.22000000000003</v>
      </c>
      <c r="G110" s="1">
        <v>25000</v>
      </c>
      <c r="H110" s="1">
        <f t="shared" si="2"/>
        <v>0</v>
      </c>
      <c r="I110" s="89"/>
      <c r="J110" s="89"/>
      <c r="K110" s="103">
        <f>2382325-2375736</f>
        <v>6589</v>
      </c>
      <c r="L110" s="359" t="s">
        <v>619</v>
      </c>
      <c r="M110" s="359">
        <v>10326</v>
      </c>
      <c r="N110" s="367" t="s">
        <v>620</v>
      </c>
      <c r="O110" s="360">
        <f>10326-6589</f>
        <v>3737</v>
      </c>
    </row>
    <row r="111" spans="1:15" s="392" customFormat="1" ht="15" x14ac:dyDescent="0.25">
      <c r="A111" s="1">
        <v>107</v>
      </c>
      <c r="B111" s="1" t="s">
        <v>641</v>
      </c>
      <c r="C111" s="32" t="s">
        <v>634</v>
      </c>
      <c r="D111" s="1">
        <v>3000</v>
      </c>
      <c r="E111" s="1" t="s">
        <v>642</v>
      </c>
      <c r="F111" s="1">
        <v>33.549999999999997</v>
      </c>
      <c r="G111" s="1">
        <v>3000</v>
      </c>
      <c r="H111" s="1">
        <f t="shared" si="2"/>
        <v>0</v>
      </c>
      <c r="I111" s="89"/>
      <c r="J111" s="89"/>
      <c r="K111" s="388"/>
      <c r="L111" s="48"/>
      <c r="M111" s="48"/>
      <c r="N111" s="370"/>
      <c r="O111" s="48"/>
    </row>
    <row r="112" spans="1:15" s="392" customFormat="1" ht="15" x14ac:dyDescent="0.25">
      <c r="A112" s="1">
        <v>108</v>
      </c>
      <c r="B112" s="1" t="s">
        <v>641</v>
      </c>
      <c r="C112" s="32" t="s">
        <v>30</v>
      </c>
      <c r="D112" s="1">
        <v>4500</v>
      </c>
      <c r="E112" s="1" t="s">
        <v>642</v>
      </c>
      <c r="F112" s="1">
        <v>50.45</v>
      </c>
      <c r="G112" s="1">
        <v>4500</v>
      </c>
      <c r="H112" s="1">
        <f t="shared" si="2"/>
        <v>0</v>
      </c>
      <c r="I112" s="89"/>
      <c r="J112" s="89"/>
      <c r="K112" s="388"/>
      <c r="L112" s="48"/>
      <c r="M112" s="48"/>
      <c r="N112" s="370"/>
      <c r="O112" s="48"/>
    </row>
    <row r="113" spans="1:15" s="392" customFormat="1" ht="15" x14ac:dyDescent="0.25">
      <c r="A113" s="1">
        <v>109</v>
      </c>
      <c r="B113" s="1" t="s">
        <v>641</v>
      </c>
      <c r="C113" s="32">
        <v>3535</v>
      </c>
      <c r="D113" s="1">
        <v>22000</v>
      </c>
      <c r="E113" s="1" t="s">
        <v>80</v>
      </c>
      <c r="F113" s="1">
        <v>245.95</v>
      </c>
      <c r="G113" s="1">
        <v>22000</v>
      </c>
      <c r="H113" s="1">
        <f t="shared" si="2"/>
        <v>0</v>
      </c>
      <c r="I113" s="89"/>
      <c r="J113" s="89"/>
      <c r="K113" s="388"/>
      <c r="L113" s="48"/>
      <c r="M113" s="48"/>
      <c r="N113" s="370"/>
      <c r="O113" s="48"/>
    </row>
    <row r="114" spans="1:15" s="392" customFormat="1" ht="15" x14ac:dyDescent="0.25">
      <c r="A114" s="1">
        <v>110</v>
      </c>
      <c r="B114" s="1" t="s">
        <v>641</v>
      </c>
      <c r="C114" s="32">
        <v>6009</v>
      </c>
      <c r="D114" s="1">
        <v>25000</v>
      </c>
      <c r="E114" s="1" t="s">
        <v>642</v>
      </c>
      <c r="F114" s="1">
        <v>278.22000000000003</v>
      </c>
      <c r="G114" s="1">
        <v>25000</v>
      </c>
      <c r="H114" s="1">
        <f t="shared" si="2"/>
        <v>0</v>
      </c>
      <c r="I114" s="89"/>
      <c r="J114" s="89"/>
      <c r="K114" s="388"/>
      <c r="L114" s="48"/>
      <c r="M114" s="48"/>
      <c r="N114" s="370"/>
      <c r="O114" s="48"/>
    </row>
    <row r="115" spans="1:15" s="392" customFormat="1" ht="15" x14ac:dyDescent="0.25">
      <c r="A115" s="1">
        <v>111</v>
      </c>
      <c r="B115" s="1" t="s">
        <v>641</v>
      </c>
      <c r="C115" s="32">
        <v>1.8100000000000002E-2</v>
      </c>
      <c r="D115" s="1">
        <v>25000</v>
      </c>
      <c r="E115" s="1" t="s">
        <v>642</v>
      </c>
      <c r="F115" s="1">
        <v>278.22000000000003</v>
      </c>
      <c r="G115" s="1">
        <v>25000</v>
      </c>
      <c r="H115" s="1">
        <f t="shared" si="2"/>
        <v>0</v>
      </c>
      <c r="I115" s="89"/>
      <c r="J115" s="89"/>
      <c r="K115" s="388"/>
      <c r="L115" s="48"/>
      <c r="M115" s="48"/>
      <c r="N115" s="370"/>
      <c r="O115" s="48"/>
    </row>
    <row r="116" spans="1:15" s="392" customFormat="1" ht="15" x14ac:dyDescent="0.25">
      <c r="A116" s="1">
        <v>112</v>
      </c>
      <c r="B116" s="1" t="s">
        <v>641</v>
      </c>
      <c r="C116" s="32">
        <v>9545</v>
      </c>
      <c r="D116" s="1">
        <v>25000</v>
      </c>
      <c r="E116" s="1" t="s">
        <v>80</v>
      </c>
      <c r="F116" s="1">
        <v>278.22000000000003</v>
      </c>
      <c r="G116" s="1">
        <v>25000</v>
      </c>
      <c r="H116" s="1">
        <f t="shared" si="2"/>
        <v>0</v>
      </c>
      <c r="I116" s="89"/>
      <c r="J116" s="89"/>
      <c r="K116" s="388"/>
      <c r="L116" s="48"/>
      <c r="M116" s="48"/>
      <c r="N116" s="370"/>
      <c r="O116" s="48"/>
    </row>
    <row r="117" spans="1:15" s="392" customFormat="1" ht="15" x14ac:dyDescent="0.25">
      <c r="A117" s="1">
        <v>113</v>
      </c>
      <c r="B117" s="1" t="s">
        <v>641</v>
      </c>
      <c r="C117" s="32">
        <v>9657</v>
      </c>
      <c r="D117" s="1">
        <v>20000</v>
      </c>
      <c r="E117" s="1" t="s">
        <v>642</v>
      </c>
      <c r="F117" s="1">
        <v>222.82</v>
      </c>
      <c r="G117" s="1">
        <v>20000</v>
      </c>
      <c r="H117" s="1">
        <f t="shared" si="2"/>
        <v>0</v>
      </c>
      <c r="I117" s="89"/>
      <c r="J117" s="89"/>
      <c r="K117" s="388"/>
      <c r="L117" s="48"/>
      <c r="M117" s="48"/>
      <c r="N117" s="370"/>
      <c r="O117" s="48"/>
    </row>
    <row r="118" spans="1:15" s="392" customFormat="1" ht="15" x14ac:dyDescent="0.25">
      <c r="A118" s="1">
        <v>114</v>
      </c>
      <c r="B118" s="1" t="s">
        <v>641</v>
      </c>
      <c r="C118" s="32">
        <v>7194</v>
      </c>
      <c r="D118" s="1">
        <v>22000</v>
      </c>
      <c r="E118" s="1" t="s">
        <v>80</v>
      </c>
      <c r="F118" s="1">
        <v>245.68</v>
      </c>
      <c r="G118" s="1">
        <v>22000</v>
      </c>
      <c r="H118" s="1">
        <f t="shared" si="2"/>
        <v>0</v>
      </c>
      <c r="I118" s="89"/>
      <c r="J118" s="89"/>
      <c r="K118" s="388"/>
      <c r="L118" s="48"/>
      <c r="M118" s="48"/>
      <c r="N118" s="370"/>
      <c r="O118" s="48"/>
    </row>
    <row r="119" spans="1:15" s="392" customFormat="1" ht="15" x14ac:dyDescent="0.25">
      <c r="A119" s="1">
        <v>115</v>
      </c>
      <c r="B119" s="1" t="s">
        <v>641</v>
      </c>
      <c r="C119" s="32">
        <v>5014</v>
      </c>
      <c r="D119" s="1">
        <v>10000</v>
      </c>
      <c r="E119" s="1" t="s">
        <v>642</v>
      </c>
      <c r="F119" s="1">
        <v>111.41</v>
      </c>
      <c r="G119" s="1">
        <v>10000</v>
      </c>
      <c r="H119" s="1">
        <f t="shared" si="2"/>
        <v>0</v>
      </c>
      <c r="I119" s="89"/>
      <c r="J119" s="89"/>
      <c r="K119" s="388"/>
      <c r="L119" s="48"/>
      <c r="M119" s="48"/>
      <c r="N119" s="370"/>
      <c r="O119" s="48"/>
    </row>
    <row r="120" spans="1:15" s="392" customFormat="1" ht="15" x14ac:dyDescent="0.25">
      <c r="A120" s="1">
        <v>116</v>
      </c>
      <c r="B120" s="1" t="s">
        <v>641</v>
      </c>
      <c r="C120" s="32">
        <v>9389</v>
      </c>
      <c r="D120" s="1">
        <v>10000</v>
      </c>
      <c r="E120" s="1" t="s">
        <v>80</v>
      </c>
      <c r="F120" s="1">
        <v>111.41</v>
      </c>
      <c r="G120" s="1">
        <v>10000</v>
      </c>
      <c r="H120" s="1">
        <f t="shared" si="2"/>
        <v>0</v>
      </c>
      <c r="I120" s="89"/>
      <c r="J120" s="89"/>
      <c r="K120" s="388"/>
      <c r="L120" s="48"/>
      <c r="M120" s="48"/>
      <c r="N120" s="370"/>
      <c r="O120" s="48"/>
    </row>
    <row r="121" spans="1:15" s="392" customFormat="1" ht="15" x14ac:dyDescent="0.25">
      <c r="A121" s="1">
        <v>117</v>
      </c>
      <c r="B121" s="1" t="s">
        <v>641</v>
      </c>
      <c r="C121" s="32">
        <v>9743</v>
      </c>
      <c r="D121" s="1">
        <v>18000</v>
      </c>
      <c r="E121" s="1" t="s">
        <v>642</v>
      </c>
      <c r="F121" s="1">
        <v>200.82</v>
      </c>
      <c r="G121" s="1">
        <v>18000</v>
      </c>
      <c r="H121" s="1">
        <f t="shared" si="2"/>
        <v>0</v>
      </c>
      <c r="I121" s="89"/>
      <c r="J121" s="89"/>
      <c r="K121" s="388"/>
      <c r="L121" s="48"/>
      <c r="M121" s="48"/>
      <c r="N121" s="370"/>
      <c r="O121" s="48"/>
    </row>
    <row r="122" spans="1:15" s="392" customFormat="1" ht="15" x14ac:dyDescent="0.25">
      <c r="A122" s="1">
        <v>118</v>
      </c>
      <c r="B122" s="1" t="s">
        <v>641</v>
      </c>
      <c r="C122" s="32">
        <v>5799</v>
      </c>
      <c r="D122" s="1">
        <v>30000</v>
      </c>
      <c r="E122" s="1" t="s">
        <v>642</v>
      </c>
      <c r="F122" s="1">
        <v>334.85</v>
      </c>
      <c r="G122" s="1">
        <v>30000</v>
      </c>
      <c r="H122" s="1">
        <f t="shared" si="2"/>
        <v>0</v>
      </c>
      <c r="I122" s="89"/>
      <c r="J122" s="89"/>
      <c r="K122" s="388"/>
      <c r="L122" s="48"/>
      <c r="M122" s="48"/>
      <c r="N122" s="370"/>
      <c r="O122" s="48"/>
    </row>
    <row r="123" spans="1:15" s="392" customFormat="1" ht="15.75" thickBot="1" x14ac:dyDescent="0.3">
      <c r="A123" s="1">
        <v>119</v>
      </c>
      <c r="B123" s="1" t="s">
        <v>641</v>
      </c>
      <c r="C123" s="32">
        <v>8382</v>
      </c>
      <c r="D123" s="1">
        <v>20500</v>
      </c>
      <c r="E123" s="1" t="s">
        <v>80</v>
      </c>
      <c r="F123" s="1">
        <v>228.67</v>
      </c>
      <c r="G123" s="1">
        <v>20500</v>
      </c>
      <c r="H123" s="1">
        <f t="shared" si="2"/>
        <v>0</v>
      </c>
      <c r="I123" s="89"/>
      <c r="J123" s="89"/>
      <c r="K123" s="388"/>
      <c r="L123" s="48"/>
      <c r="M123" s="48"/>
      <c r="N123" s="370"/>
      <c r="O123" s="48"/>
    </row>
    <row r="124" spans="1:15" s="392" customFormat="1" ht="15.75" thickBot="1" x14ac:dyDescent="0.3">
      <c r="A124" s="1">
        <v>120</v>
      </c>
      <c r="B124" s="1" t="s">
        <v>641</v>
      </c>
      <c r="C124" s="32">
        <v>6447</v>
      </c>
      <c r="D124" s="1">
        <v>21577</v>
      </c>
      <c r="E124" s="1" t="s">
        <v>80</v>
      </c>
      <c r="F124" s="1">
        <v>240.87</v>
      </c>
      <c r="G124" s="1">
        <v>21577</v>
      </c>
      <c r="H124" s="1">
        <f t="shared" si="2"/>
        <v>0</v>
      </c>
      <c r="I124" s="89"/>
      <c r="J124" s="89"/>
      <c r="K124" s="103">
        <f>2138902-2132313</f>
        <v>6589</v>
      </c>
      <c r="L124" s="359" t="s">
        <v>619</v>
      </c>
      <c r="M124" s="359">
        <v>10326</v>
      </c>
      <c r="N124" s="367" t="s">
        <v>620</v>
      </c>
      <c r="O124" s="360">
        <f>10326-6589</f>
        <v>3737</v>
      </c>
    </row>
    <row r="125" spans="1:15" s="393" customFormat="1" ht="15" x14ac:dyDescent="0.25">
      <c r="A125" s="1">
        <v>121</v>
      </c>
      <c r="B125" s="1" t="s">
        <v>643</v>
      </c>
      <c r="C125" s="32">
        <v>7823</v>
      </c>
      <c r="D125" s="1">
        <v>10500</v>
      </c>
      <c r="E125" s="1" t="s">
        <v>642</v>
      </c>
      <c r="F125" s="1">
        <v>116.85</v>
      </c>
      <c r="G125" s="1">
        <v>10500</v>
      </c>
      <c r="H125" s="1">
        <f t="shared" si="2"/>
        <v>0</v>
      </c>
      <c r="I125" s="89"/>
      <c r="J125" s="89"/>
      <c r="K125" s="388"/>
      <c r="L125" s="48"/>
      <c r="M125" s="48"/>
      <c r="N125" s="370"/>
      <c r="O125" s="48"/>
    </row>
    <row r="126" spans="1:15" s="393" customFormat="1" ht="15" x14ac:dyDescent="0.25">
      <c r="A126" s="1">
        <v>122</v>
      </c>
      <c r="B126" s="1" t="s">
        <v>643</v>
      </c>
      <c r="C126" s="32" t="s">
        <v>633</v>
      </c>
      <c r="D126" s="1">
        <v>210</v>
      </c>
      <c r="E126" s="1" t="s">
        <v>642</v>
      </c>
      <c r="F126" s="1">
        <v>2.08</v>
      </c>
      <c r="G126" s="1">
        <v>210</v>
      </c>
      <c r="H126" s="1">
        <f t="shared" si="2"/>
        <v>0</v>
      </c>
      <c r="I126" s="89"/>
      <c r="J126" s="89"/>
      <c r="K126" s="388"/>
      <c r="L126" s="48"/>
      <c r="M126" s="48"/>
      <c r="N126" s="370"/>
      <c r="O126" s="48"/>
    </row>
    <row r="127" spans="1:15" s="393" customFormat="1" ht="15" x14ac:dyDescent="0.25">
      <c r="A127" s="1">
        <v>123</v>
      </c>
      <c r="B127" s="1" t="s">
        <v>643</v>
      </c>
      <c r="C127" s="32">
        <v>4541</v>
      </c>
      <c r="D127" s="1">
        <v>17952</v>
      </c>
      <c r="E127" s="1" t="s">
        <v>642</v>
      </c>
      <c r="F127" s="1">
        <v>200.62</v>
      </c>
      <c r="G127" s="1">
        <v>17952</v>
      </c>
      <c r="H127" s="1">
        <f t="shared" si="2"/>
        <v>0</v>
      </c>
      <c r="I127" s="89"/>
      <c r="J127" s="89"/>
      <c r="K127" s="388"/>
      <c r="L127" s="48"/>
      <c r="M127" s="48"/>
      <c r="N127" s="370"/>
      <c r="O127" s="48"/>
    </row>
    <row r="128" spans="1:15" s="393" customFormat="1" ht="15" x14ac:dyDescent="0.25">
      <c r="A128" s="1">
        <v>124</v>
      </c>
      <c r="B128" s="1" t="s">
        <v>643</v>
      </c>
      <c r="C128" s="32">
        <v>8392</v>
      </c>
      <c r="D128" s="1">
        <v>12400</v>
      </c>
      <c r="E128" s="1" t="s">
        <v>642</v>
      </c>
      <c r="F128" s="1">
        <v>138.28</v>
      </c>
      <c r="G128" s="1">
        <v>12400</v>
      </c>
      <c r="H128" s="1">
        <f t="shared" si="2"/>
        <v>0</v>
      </c>
      <c r="I128" s="89"/>
      <c r="J128" s="89"/>
      <c r="K128" s="388"/>
      <c r="L128" s="48"/>
      <c r="M128" s="48"/>
      <c r="N128" s="370"/>
      <c r="O128" s="48"/>
    </row>
    <row r="129" spans="1:15" s="393" customFormat="1" ht="15" x14ac:dyDescent="0.25">
      <c r="A129" s="1">
        <v>125</v>
      </c>
      <c r="B129" s="1" t="s">
        <v>643</v>
      </c>
      <c r="C129" s="32">
        <v>8544</v>
      </c>
      <c r="D129" s="1">
        <v>10000</v>
      </c>
      <c r="E129" s="1" t="s">
        <v>642</v>
      </c>
      <c r="F129" s="1">
        <v>111.41</v>
      </c>
      <c r="G129" s="1">
        <v>10000</v>
      </c>
      <c r="H129" s="1">
        <f t="shared" si="2"/>
        <v>0</v>
      </c>
      <c r="I129" s="89"/>
      <c r="J129" s="89"/>
      <c r="K129" s="388"/>
      <c r="L129" s="48"/>
      <c r="M129" s="48"/>
      <c r="N129" s="370"/>
      <c r="O129" s="48"/>
    </row>
    <row r="130" spans="1:15" s="393" customFormat="1" ht="15" x14ac:dyDescent="0.25">
      <c r="A130" s="1">
        <v>126</v>
      </c>
      <c r="B130" s="1" t="s">
        <v>643</v>
      </c>
      <c r="C130" s="32">
        <v>5.8400000000000001E-2</v>
      </c>
      <c r="D130" s="1">
        <v>24000</v>
      </c>
      <c r="E130" s="1" t="s">
        <v>642</v>
      </c>
      <c r="F130" s="1">
        <v>267.37</v>
      </c>
      <c r="G130" s="1">
        <v>24000</v>
      </c>
      <c r="H130" s="1">
        <f t="shared" si="2"/>
        <v>0</v>
      </c>
      <c r="I130" s="89"/>
      <c r="J130" s="89"/>
      <c r="K130" s="388"/>
      <c r="L130" s="48"/>
      <c r="M130" s="48"/>
      <c r="N130" s="370"/>
      <c r="O130" s="48"/>
    </row>
    <row r="131" spans="1:15" s="393" customFormat="1" ht="15" x14ac:dyDescent="0.25">
      <c r="A131" s="1">
        <v>127</v>
      </c>
      <c r="B131" s="1" t="s">
        <v>643</v>
      </c>
      <c r="C131" s="32">
        <v>6385</v>
      </c>
      <c r="D131" s="1">
        <v>23000</v>
      </c>
      <c r="E131" s="1" t="s">
        <v>642</v>
      </c>
      <c r="F131" s="1">
        <v>256.73</v>
      </c>
      <c r="G131" s="1">
        <v>23000</v>
      </c>
      <c r="H131" s="1">
        <f t="shared" si="2"/>
        <v>0</v>
      </c>
      <c r="I131" s="89"/>
      <c r="J131" s="89"/>
      <c r="K131" s="388"/>
      <c r="L131" s="48"/>
      <c r="M131" s="48"/>
      <c r="N131" s="370"/>
      <c r="O131" s="48"/>
    </row>
    <row r="132" spans="1:15" s="393" customFormat="1" ht="15" x14ac:dyDescent="0.25">
      <c r="A132" s="1">
        <v>128</v>
      </c>
      <c r="B132" s="1" t="s">
        <v>643</v>
      </c>
      <c r="C132" s="32">
        <v>6302</v>
      </c>
      <c r="D132" s="1">
        <v>24000</v>
      </c>
      <c r="E132" s="1" t="s">
        <v>642</v>
      </c>
      <c r="F132" s="1">
        <v>256.48</v>
      </c>
      <c r="G132" s="1">
        <v>24000</v>
      </c>
      <c r="H132" s="1">
        <f t="shared" si="2"/>
        <v>0</v>
      </c>
      <c r="I132" s="89"/>
      <c r="J132" s="89"/>
      <c r="K132" s="388"/>
      <c r="L132" s="48"/>
      <c r="M132" s="48"/>
      <c r="N132" s="370"/>
      <c r="O132" s="48"/>
    </row>
    <row r="133" spans="1:15" s="393" customFormat="1" ht="15.75" thickBot="1" x14ac:dyDescent="0.3">
      <c r="A133" s="1">
        <v>129</v>
      </c>
      <c r="B133" s="1" t="s">
        <v>643</v>
      </c>
      <c r="C133" s="32">
        <v>9192</v>
      </c>
      <c r="D133" s="1">
        <v>30000</v>
      </c>
      <c r="E133" s="1" t="s">
        <v>642</v>
      </c>
      <c r="F133" s="1">
        <v>334.85</v>
      </c>
      <c r="G133" s="1">
        <v>30000</v>
      </c>
      <c r="H133" s="1">
        <f t="shared" si="2"/>
        <v>0</v>
      </c>
      <c r="I133" s="89"/>
      <c r="J133" s="89"/>
      <c r="K133" s="388"/>
      <c r="L133" s="48"/>
      <c r="M133" s="48"/>
      <c r="N133" s="370"/>
      <c r="O133" s="48"/>
    </row>
    <row r="134" spans="1:15" s="393" customFormat="1" ht="15.75" thickBot="1" x14ac:dyDescent="0.3">
      <c r="A134" s="1">
        <v>130</v>
      </c>
      <c r="B134" s="1" t="s">
        <v>643</v>
      </c>
      <c r="C134" s="32">
        <v>6364</v>
      </c>
      <c r="D134" s="1">
        <v>25000</v>
      </c>
      <c r="E134" s="1" t="s">
        <v>642</v>
      </c>
      <c r="F134" s="1">
        <v>278.22000000000003</v>
      </c>
      <c r="G134" s="1">
        <v>25000</v>
      </c>
      <c r="H134" s="1">
        <f t="shared" si="2"/>
        <v>0</v>
      </c>
      <c r="I134" s="89"/>
      <c r="J134" s="89"/>
      <c r="K134" s="103">
        <f>2015964-2009375</f>
        <v>6589</v>
      </c>
      <c r="L134" s="359" t="s">
        <v>619</v>
      </c>
      <c r="M134" s="359">
        <v>10326</v>
      </c>
      <c r="N134" s="367" t="s">
        <v>620</v>
      </c>
      <c r="O134" s="360">
        <f>10326-6589</f>
        <v>3737</v>
      </c>
    </row>
    <row r="135" spans="1:15" s="394" customFormat="1" ht="15" x14ac:dyDescent="0.25">
      <c r="A135" s="1">
        <v>131</v>
      </c>
      <c r="B135" s="1" t="s">
        <v>644</v>
      </c>
      <c r="C135" s="32" t="s">
        <v>634</v>
      </c>
      <c r="D135" s="1">
        <v>2701</v>
      </c>
      <c r="E135" s="1" t="s">
        <v>642</v>
      </c>
      <c r="F135" s="1">
        <v>30.33</v>
      </c>
      <c r="G135" s="1">
        <v>2701</v>
      </c>
      <c r="H135" s="1">
        <f t="shared" si="2"/>
        <v>0</v>
      </c>
      <c r="I135" s="89"/>
      <c r="J135" s="89"/>
      <c r="K135" s="388"/>
      <c r="L135" s="48"/>
      <c r="M135" s="48"/>
      <c r="N135" s="370"/>
      <c r="O135" s="48"/>
    </row>
    <row r="136" spans="1:15" s="394" customFormat="1" ht="15" x14ac:dyDescent="0.25">
      <c r="A136" s="1">
        <v>132</v>
      </c>
      <c r="B136" s="1" t="s">
        <v>644</v>
      </c>
      <c r="C136" s="32" t="s">
        <v>30</v>
      </c>
      <c r="D136" s="1">
        <v>4000</v>
      </c>
      <c r="E136" s="1" t="s">
        <v>642</v>
      </c>
      <c r="F136" s="1">
        <v>44.5</v>
      </c>
      <c r="G136" s="1">
        <v>4000</v>
      </c>
      <c r="H136" s="1">
        <f t="shared" si="2"/>
        <v>0</v>
      </c>
      <c r="I136" s="89"/>
      <c r="J136" s="89"/>
      <c r="K136" s="388"/>
      <c r="L136" s="48"/>
      <c r="M136" s="48"/>
      <c r="N136" s="370"/>
      <c r="O136" s="48"/>
    </row>
    <row r="137" spans="1:15" s="394" customFormat="1" ht="15" x14ac:dyDescent="0.25">
      <c r="A137" s="1">
        <v>133</v>
      </c>
      <c r="B137" s="1" t="s">
        <v>644</v>
      </c>
      <c r="C137" s="32">
        <v>7939</v>
      </c>
      <c r="D137" s="1">
        <v>20000</v>
      </c>
      <c r="E137" s="1" t="s">
        <v>642</v>
      </c>
      <c r="F137" s="1">
        <v>222.82</v>
      </c>
      <c r="G137" s="1">
        <v>20000</v>
      </c>
      <c r="H137" s="1">
        <f t="shared" si="2"/>
        <v>0</v>
      </c>
      <c r="I137" s="89"/>
      <c r="J137" s="89"/>
      <c r="K137" s="388"/>
      <c r="L137" s="48"/>
      <c r="M137" s="48"/>
      <c r="N137" s="370"/>
      <c r="O137" s="48"/>
    </row>
    <row r="138" spans="1:15" s="394" customFormat="1" ht="15" x14ac:dyDescent="0.25">
      <c r="A138" s="1">
        <v>134</v>
      </c>
      <c r="B138" s="1" t="s">
        <v>644</v>
      </c>
      <c r="C138" s="32">
        <v>2647</v>
      </c>
      <c r="D138" s="1">
        <v>25000</v>
      </c>
      <c r="E138" s="1" t="s">
        <v>642</v>
      </c>
      <c r="F138" s="1">
        <v>278.22000000000003</v>
      </c>
      <c r="G138" s="1">
        <v>25000</v>
      </c>
      <c r="H138" s="1">
        <f t="shared" si="2"/>
        <v>0</v>
      </c>
      <c r="I138" s="89"/>
      <c r="J138" s="89"/>
      <c r="K138" s="388"/>
      <c r="L138" s="48"/>
      <c r="M138" s="48"/>
      <c r="N138" s="370"/>
      <c r="O138" s="48"/>
    </row>
    <row r="139" spans="1:15" s="394" customFormat="1" ht="15" x14ac:dyDescent="0.25">
      <c r="A139" s="1">
        <v>135</v>
      </c>
      <c r="B139" s="1" t="s">
        <v>644</v>
      </c>
      <c r="C139" s="32">
        <v>6998</v>
      </c>
      <c r="D139" s="1">
        <v>25000</v>
      </c>
      <c r="E139" s="1" t="s">
        <v>642</v>
      </c>
      <c r="F139" s="1">
        <v>278.22000000000003</v>
      </c>
      <c r="G139" s="1">
        <v>25000</v>
      </c>
      <c r="H139" s="1">
        <f t="shared" si="2"/>
        <v>0</v>
      </c>
      <c r="I139" s="89"/>
      <c r="J139" s="89"/>
      <c r="K139" s="388"/>
      <c r="L139" s="48"/>
      <c r="M139" s="48"/>
      <c r="N139" s="370"/>
      <c r="O139" s="48"/>
    </row>
    <row r="140" spans="1:15" s="394" customFormat="1" ht="15" x14ac:dyDescent="0.25">
      <c r="A140" s="1">
        <v>136</v>
      </c>
      <c r="B140" s="1" t="s">
        <v>644</v>
      </c>
      <c r="C140" s="32">
        <v>4.2500000000000003E-2</v>
      </c>
      <c r="D140" s="1">
        <v>26139</v>
      </c>
      <c r="E140" s="1" t="s">
        <v>642</v>
      </c>
      <c r="F140" s="1">
        <v>291.27</v>
      </c>
      <c r="G140" s="1">
        <v>26139</v>
      </c>
      <c r="H140" s="1">
        <f t="shared" si="2"/>
        <v>0</v>
      </c>
      <c r="I140" s="89"/>
      <c r="J140" s="89"/>
      <c r="K140" s="388"/>
      <c r="L140" s="48"/>
      <c r="M140" s="48"/>
      <c r="N140" s="370"/>
      <c r="O140" s="48"/>
    </row>
    <row r="141" spans="1:15" s="394" customFormat="1" ht="15" x14ac:dyDescent="0.25">
      <c r="A141" s="1">
        <v>137</v>
      </c>
      <c r="B141" s="1" t="s">
        <v>645</v>
      </c>
      <c r="C141" s="32">
        <v>5407</v>
      </c>
      <c r="D141" s="1">
        <v>15000</v>
      </c>
      <c r="E141" s="1" t="s">
        <v>642</v>
      </c>
      <c r="F141" s="1">
        <v>167.15</v>
      </c>
      <c r="G141" s="1">
        <v>15000</v>
      </c>
      <c r="H141" s="1">
        <f t="shared" si="2"/>
        <v>0</v>
      </c>
      <c r="I141" s="89"/>
      <c r="J141" s="89"/>
      <c r="K141" s="388"/>
      <c r="L141" s="48"/>
      <c r="M141" s="48"/>
      <c r="N141" s="370"/>
      <c r="O141" s="48"/>
    </row>
    <row r="142" spans="1:15" s="394" customFormat="1" ht="15" x14ac:dyDescent="0.25">
      <c r="A142" s="1">
        <v>138</v>
      </c>
      <c r="B142" s="1" t="s">
        <v>645</v>
      </c>
      <c r="C142" s="32">
        <v>7672</v>
      </c>
      <c r="D142" s="1">
        <v>23000</v>
      </c>
      <c r="E142" s="1" t="s">
        <v>642</v>
      </c>
      <c r="F142" s="1">
        <v>240.57</v>
      </c>
      <c r="G142" s="1">
        <v>23000</v>
      </c>
      <c r="H142" s="1">
        <f t="shared" si="2"/>
        <v>0</v>
      </c>
      <c r="I142" s="89"/>
      <c r="J142" s="89"/>
      <c r="K142" s="388"/>
      <c r="L142" s="48"/>
      <c r="M142" s="48"/>
      <c r="N142" s="370"/>
      <c r="O142" s="48"/>
    </row>
    <row r="143" spans="1:15" s="394" customFormat="1" ht="15" x14ac:dyDescent="0.25">
      <c r="A143" s="1">
        <v>139</v>
      </c>
      <c r="B143" s="1" t="s">
        <v>645</v>
      </c>
      <c r="C143" s="32">
        <v>3867</v>
      </c>
      <c r="D143" s="1">
        <v>15000</v>
      </c>
      <c r="E143" s="1" t="s">
        <v>642</v>
      </c>
      <c r="F143" s="1">
        <v>167.15</v>
      </c>
      <c r="G143" s="1">
        <v>15000</v>
      </c>
      <c r="H143" s="1">
        <f t="shared" si="2"/>
        <v>0</v>
      </c>
      <c r="I143" s="89"/>
      <c r="J143" s="89"/>
      <c r="K143" s="388"/>
      <c r="L143" s="48"/>
      <c r="M143" s="48"/>
      <c r="N143" s="370"/>
      <c r="O143" s="48"/>
    </row>
    <row r="144" spans="1:15" s="394" customFormat="1" ht="15.75" thickBot="1" x14ac:dyDescent="0.3">
      <c r="A144" s="1">
        <v>140</v>
      </c>
      <c r="B144" s="1" t="s">
        <v>645</v>
      </c>
      <c r="C144" s="32">
        <v>8294</v>
      </c>
      <c r="D144" s="1">
        <v>22000</v>
      </c>
      <c r="E144" s="1" t="s">
        <v>642</v>
      </c>
      <c r="F144" s="1">
        <v>245.85</v>
      </c>
      <c r="G144" s="1">
        <v>22000</v>
      </c>
      <c r="H144" s="1">
        <f t="shared" si="2"/>
        <v>0</v>
      </c>
      <c r="I144" s="89"/>
      <c r="J144" s="89"/>
      <c r="K144" s="388"/>
      <c r="L144" s="48"/>
      <c r="M144" s="48"/>
      <c r="N144" s="370"/>
      <c r="O144" s="48"/>
    </row>
    <row r="145" spans="1:15" s="394" customFormat="1" ht="15.75" thickBot="1" x14ac:dyDescent="0.3">
      <c r="A145" s="1">
        <v>141</v>
      </c>
      <c r="B145" s="1" t="s">
        <v>645</v>
      </c>
      <c r="C145" s="32">
        <v>5370</v>
      </c>
      <c r="D145" s="1">
        <v>30000</v>
      </c>
      <c r="E145" s="1" t="s">
        <v>642</v>
      </c>
      <c r="F145" s="1">
        <v>334.67</v>
      </c>
      <c r="G145" s="1">
        <v>30000</v>
      </c>
      <c r="H145" s="1">
        <f t="shared" si="2"/>
        <v>0</v>
      </c>
      <c r="I145" s="89"/>
      <c r="J145" s="89"/>
      <c r="K145" s="103">
        <f>1923804-1917215</f>
        <v>6589</v>
      </c>
      <c r="L145" s="359" t="s">
        <v>619</v>
      </c>
      <c r="M145" s="359">
        <v>10326</v>
      </c>
      <c r="N145" s="367" t="s">
        <v>620</v>
      </c>
      <c r="O145" s="360">
        <f>10326-6589</f>
        <v>3737</v>
      </c>
    </row>
    <row r="146" spans="1:15" s="395" customFormat="1" ht="15" x14ac:dyDescent="0.25">
      <c r="A146" s="1">
        <v>142</v>
      </c>
      <c r="B146" s="1" t="s">
        <v>646</v>
      </c>
      <c r="C146" s="32">
        <v>2117</v>
      </c>
      <c r="D146" s="1">
        <v>18000</v>
      </c>
      <c r="E146" s="1" t="s">
        <v>642</v>
      </c>
      <c r="F146" s="1">
        <v>200.82</v>
      </c>
      <c r="G146" s="1">
        <v>18000</v>
      </c>
      <c r="H146" s="1">
        <f t="shared" si="2"/>
        <v>0</v>
      </c>
      <c r="I146" s="89"/>
      <c r="J146" s="89"/>
      <c r="K146" s="388"/>
      <c r="L146" s="48"/>
      <c r="M146" s="48"/>
      <c r="N146" s="370"/>
      <c r="O146" s="48"/>
    </row>
    <row r="147" spans="1:15" s="395" customFormat="1" ht="15" x14ac:dyDescent="0.25">
      <c r="A147" s="1">
        <v>143</v>
      </c>
      <c r="B147" s="1" t="s">
        <v>646</v>
      </c>
      <c r="C147" s="32" t="s">
        <v>633</v>
      </c>
      <c r="D147" s="1">
        <v>210</v>
      </c>
      <c r="E147" s="1" t="s">
        <v>642</v>
      </c>
      <c r="F147" s="1">
        <v>2.08</v>
      </c>
      <c r="G147" s="1">
        <v>210</v>
      </c>
      <c r="H147" s="1">
        <f t="shared" si="2"/>
        <v>0</v>
      </c>
      <c r="I147" s="89"/>
      <c r="J147" s="89"/>
      <c r="K147" s="388"/>
      <c r="L147" s="48"/>
      <c r="M147" s="48"/>
      <c r="N147" s="370"/>
      <c r="O147" s="48"/>
    </row>
    <row r="148" spans="1:15" s="395" customFormat="1" ht="15" x14ac:dyDescent="0.25">
      <c r="A148" s="1">
        <v>144</v>
      </c>
      <c r="B148" s="1" t="s">
        <v>646</v>
      </c>
      <c r="C148" s="32">
        <v>6957</v>
      </c>
      <c r="D148" s="1">
        <v>16000</v>
      </c>
      <c r="E148" s="1" t="s">
        <v>642</v>
      </c>
      <c r="F148" s="1">
        <v>178.22</v>
      </c>
      <c r="G148" s="1">
        <v>16000</v>
      </c>
      <c r="H148" s="1">
        <f t="shared" si="2"/>
        <v>0</v>
      </c>
      <c r="I148" s="89"/>
      <c r="J148" s="89"/>
      <c r="K148" s="388"/>
      <c r="L148" s="48"/>
      <c r="M148" s="48"/>
      <c r="N148" s="370"/>
      <c r="O148" s="48"/>
    </row>
    <row r="149" spans="1:15" s="395" customFormat="1" ht="15" x14ac:dyDescent="0.25">
      <c r="A149" s="1">
        <v>145</v>
      </c>
      <c r="B149" s="1" t="s">
        <v>646</v>
      </c>
      <c r="C149" s="32">
        <v>4.4499999999999998E-2</v>
      </c>
      <c r="D149" s="1">
        <v>16000</v>
      </c>
      <c r="E149" s="1" t="s">
        <v>642</v>
      </c>
      <c r="F149" s="1">
        <v>178.22</v>
      </c>
      <c r="G149" s="1">
        <v>16000</v>
      </c>
      <c r="H149" s="1">
        <f t="shared" si="2"/>
        <v>0</v>
      </c>
      <c r="I149" s="89"/>
      <c r="J149" s="89"/>
      <c r="K149" s="388"/>
      <c r="L149" s="48"/>
      <c r="M149" s="48"/>
      <c r="N149" s="370"/>
      <c r="O149" s="48"/>
    </row>
    <row r="150" spans="1:15" s="395" customFormat="1" ht="15" x14ac:dyDescent="0.25">
      <c r="A150" s="1">
        <v>146</v>
      </c>
      <c r="B150" s="1" t="s">
        <v>646</v>
      </c>
      <c r="C150" s="32" t="s">
        <v>30</v>
      </c>
      <c r="D150" s="1">
        <v>4500</v>
      </c>
      <c r="E150" s="1" t="s">
        <v>642</v>
      </c>
      <c r="F150" s="1">
        <v>50.55</v>
      </c>
      <c r="G150" s="1">
        <v>4500</v>
      </c>
      <c r="H150" s="1">
        <f t="shared" ref="H150:H213" si="3">D150-G150</f>
        <v>0</v>
      </c>
      <c r="I150" s="89"/>
      <c r="J150" s="89"/>
      <c r="K150" s="388"/>
      <c r="L150" s="48"/>
      <c r="M150" s="48"/>
      <c r="N150" s="370"/>
      <c r="O150" s="48"/>
    </row>
    <row r="151" spans="1:15" s="395" customFormat="1" ht="15" x14ac:dyDescent="0.25">
      <c r="A151" s="1">
        <v>147</v>
      </c>
      <c r="B151" s="1" t="s">
        <v>646</v>
      </c>
      <c r="C151" s="32">
        <v>2150</v>
      </c>
      <c r="D151" s="1">
        <v>26000</v>
      </c>
      <c r="E151" s="1" t="s">
        <v>642</v>
      </c>
      <c r="F151" s="1">
        <v>282.57</v>
      </c>
      <c r="G151" s="1">
        <v>26000</v>
      </c>
      <c r="H151" s="1">
        <f t="shared" si="3"/>
        <v>0</v>
      </c>
      <c r="I151" s="89"/>
      <c r="J151" s="89"/>
      <c r="K151" s="388"/>
      <c r="L151" s="48"/>
      <c r="M151" s="48"/>
      <c r="N151" s="370"/>
      <c r="O151" s="48"/>
    </row>
    <row r="152" spans="1:15" s="395" customFormat="1" ht="15" x14ac:dyDescent="0.25">
      <c r="A152" s="1">
        <v>148</v>
      </c>
      <c r="B152" s="1" t="s">
        <v>646</v>
      </c>
      <c r="C152" s="32">
        <v>3202</v>
      </c>
      <c r="D152" s="1">
        <v>20000</v>
      </c>
      <c r="E152" s="1" t="s">
        <v>642</v>
      </c>
      <c r="F152" s="1">
        <v>222.82</v>
      </c>
      <c r="G152" s="1">
        <v>20000</v>
      </c>
      <c r="H152" s="1">
        <f t="shared" si="3"/>
        <v>0</v>
      </c>
      <c r="I152" s="89"/>
      <c r="J152" s="89"/>
      <c r="K152" s="388"/>
      <c r="L152" s="48"/>
      <c r="M152" s="48"/>
      <c r="N152" s="370"/>
      <c r="O152" s="48"/>
    </row>
    <row r="153" spans="1:15" s="395" customFormat="1" ht="15" x14ac:dyDescent="0.25">
      <c r="A153" s="1">
        <v>149</v>
      </c>
      <c r="B153" s="1" t="s">
        <v>646</v>
      </c>
      <c r="C153" s="32">
        <v>9817</v>
      </c>
      <c r="D153" s="1">
        <v>23000</v>
      </c>
      <c r="E153" s="1" t="s">
        <v>642</v>
      </c>
      <c r="F153" s="1">
        <v>256.33</v>
      </c>
      <c r="G153" s="1">
        <v>23000</v>
      </c>
      <c r="H153" s="1">
        <f t="shared" si="3"/>
        <v>0</v>
      </c>
      <c r="I153" s="89"/>
      <c r="J153" s="89"/>
      <c r="K153" s="388"/>
      <c r="L153" s="48"/>
      <c r="M153" s="48"/>
      <c r="N153" s="370"/>
      <c r="O153" s="48"/>
    </row>
    <row r="154" spans="1:15" s="395" customFormat="1" ht="15" x14ac:dyDescent="0.25">
      <c r="A154" s="1">
        <v>150</v>
      </c>
      <c r="B154" s="1" t="s">
        <v>646</v>
      </c>
      <c r="C154" s="32">
        <v>4.4699999999999997E-2</v>
      </c>
      <c r="D154" s="1">
        <v>22000</v>
      </c>
      <c r="E154" s="1" t="s">
        <v>642</v>
      </c>
      <c r="F154" s="1">
        <v>245.57</v>
      </c>
      <c r="G154" s="1">
        <v>22000</v>
      </c>
      <c r="H154" s="1">
        <f t="shared" si="3"/>
        <v>0</v>
      </c>
      <c r="I154" s="89"/>
      <c r="J154" s="89"/>
      <c r="K154" s="388"/>
      <c r="L154" s="48"/>
      <c r="M154" s="48"/>
      <c r="N154" s="370"/>
      <c r="O154" s="48"/>
    </row>
    <row r="155" spans="1:15" s="395" customFormat="1" ht="15" x14ac:dyDescent="0.25">
      <c r="A155" s="1">
        <v>151</v>
      </c>
      <c r="B155" s="1" t="s">
        <v>646</v>
      </c>
      <c r="C155" s="32">
        <v>2.8400000000000002E-2</v>
      </c>
      <c r="D155" s="1">
        <v>25000</v>
      </c>
      <c r="E155" s="1" t="s">
        <v>642</v>
      </c>
      <c r="F155" s="1">
        <v>278.22000000000003</v>
      </c>
      <c r="G155" s="1">
        <v>25000</v>
      </c>
      <c r="H155" s="1">
        <f t="shared" si="3"/>
        <v>0</v>
      </c>
      <c r="I155" s="89"/>
      <c r="J155" s="89"/>
      <c r="K155" s="388"/>
      <c r="L155" s="48"/>
      <c r="M155" s="48"/>
      <c r="N155" s="370"/>
      <c r="O155" s="48"/>
    </row>
    <row r="156" spans="1:15" s="395" customFormat="1" ht="15" x14ac:dyDescent="0.25">
      <c r="A156" s="1">
        <v>152</v>
      </c>
      <c r="B156" s="1" t="s">
        <v>646</v>
      </c>
      <c r="C156" s="32">
        <v>7804</v>
      </c>
      <c r="D156" s="1">
        <v>15000</v>
      </c>
      <c r="E156" s="1" t="s">
        <v>642</v>
      </c>
      <c r="F156" s="1">
        <v>167.15</v>
      </c>
      <c r="G156" s="1">
        <v>15000</v>
      </c>
      <c r="H156" s="1">
        <f t="shared" si="3"/>
        <v>0</v>
      </c>
      <c r="I156" s="89"/>
      <c r="J156" s="89"/>
      <c r="K156" s="388"/>
      <c r="L156" s="48"/>
      <c r="M156" s="48"/>
      <c r="N156" s="370"/>
      <c r="O156" s="48"/>
    </row>
    <row r="157" spans="1:15" s="395" customFormat="1" ht="15" x14ac:dyDescent="0.25">
      <c r="A157" s="1">
        <v>153</v>
      </c>
      <c r="B157" s="1" t="s">
        <v>646</v>
      </c>
      <c r="C157" s="32">
        <v>9379</v>
      </c>
      <c r="D157" s="1">
        <v>25000</v>
      </c>
      <c r="E157" s="1" t="s">
        <v>642</v>
      </c>
      <c r="F157" s="1">
        <v>278.22000000000003</v>
      </c>
      <c r="G157" s="1">
        <v>25000</v>
      </c>
      <c r="H157" s="1">
        <f t="shared" si="3"/>
        <v>0</v>
      </c>
      <c r="I157" s="89"/>
      <c r="J157" s="89"/>
      <c r="K157" s="388"/>
      <c r="L157" s="48"/>
      <c r="M157" s="48"/>
      <c r="N157" s="370"/>
      <c r="O157" s="48"/>
    </row>
    <row r="158" spans="1:15" s="395" customFormat="1" ht="15" x14ac:dyDescent="0.25">
      <c r="A158" s="1">
        <v>154</v>
      </c>
      <c r="B158" s="1" t="s">
        <v>646</v>
      </c>
      <c r="C158" s="32">
        <v>2167</v>
      </c>
      <c r="D158" s="1">
        <v>15000</v>
      </c>
      <c r="E158" s="1" t="s">
        <v>642</v>
      </c>
      <c r="F158" s="1">
        <v>167.15</v>
      </c>
      <c r="G158" s="1">
        <v>15000</v>
      </c>
      <c r="H158" s="1">
        <f t="shared" si="3"/>
        <v>0</v>
      </c>
      <c r="I158" s="89"/>
      <c r="J158" s="89"/>
      <c r="K158" s="388"/>
      <c r="L158" s="48"/>
      <c r="M158" s="48"/>
      <c r="N158" s="370"/>
      <c r="O158" s="48"/>
    </row>
    <row r="159" spans="1:15" s="395" customFormat="1" ht="15" x14ac:dyDescent="0.25">
      <c r="A159" s="1">
        <v>155</v>
      </c>
      <c r="B159" s="1" t="s">
        <v>646</v>
      </c>
      <c r="C159" s="32">
        <v>4996</v>
      </c>
      <c r="D159" s="1">
        <v>13000</v>
      </c>
      <c r="E159" s="1" t="s">
        <v>642</v>
      </c>
      <c r="F159" s="1">
        <v>142.35</v>
      </c>
      <c r="G159" s="1">
        <v>13000</v>
      </c>
      <c r="H159" s="1">
        <f t="shared" si="3"/>
        <v>0</v>
      </c>
      <c r="I159" s="89"/>
      <c r="J159" s="89"/>
      <c r="K159" s="388"/>
      <c r="L159" s="48"/>
      <c r="M159" s="48"/>
      <c r="N159" s="370"/>
      <c r="O159" s="48"/>
    </row>
    <row r="160" spans="1:15" s="395" customFormat="1" ht="15.75" thickBot="1" x14ac:dyDescent="0.3">
      <c r="A160" s="1">
        <v>156</v>
      </c>
      <c r="B160" s="1" t="s">
        <v>646</v>
      </c>
      <c r="C160" s="32">
        <v>4456</v>
      </c>
      <c r="D160" s="1">
        <v>20780</v>
      </c>
      <c r="E160" s="1" t="s">
        <v>642</v>
      </c>
      <c r="F160" s="1">
        <v>231.62</v>
      </c>
      <c r="G160" s="1">
        <v>20780</v>
      </c>
      <c r="H160" s="1">
        <f t="shared" si="3"/>
        <v>0</v>
      </c>
      <c r="I160" s="89"/>
      <c r="J160" s="89"/>
      <c r="K160" s="388"/>
      <c r="L160" s="48"/>
      <c r="M160" s="48"/>
      <c r="N160" s="370"/>
      <c r="O160" s="48"/>
    </row>
    <row r="161" spans="1:15" s="395" customFormat="1" ht="15.75" thickBot="1" x14ac:dyDescent="0.3">
      <c r="A161" s="1">
        <v>157</v>
      </c>
      <c r="B161" s="1" t="s">
        <v>646</v>
      </c>
      <c r="C161" s="32">
        <v>3259</v>
      </c>
      <c r="D161" s="1">
        <v>28500</v>
      </c>
      <c r="E161" s="1" t="s">
        <v>642</v>
      </c>
      <c r="F161" s="1">
        <v>317.48</v>
      </c>
      <c r="G161" s="1">
        <v>28500</v>
      </c>
      <c r="H161" s="1">
        <f t="shared" si="3"/>
        <v>0</v>
      </c>
      <c r="I161" s="89"/>
      <c r="J161" s="89"/>
      <c r="K161" s="103">
        <f>2011794-2005205</f>
        <v>6589</v>
      </c>
      <c r="L161" s="359" t="s">
        <v>619</v>
      </c>
      <c r="M161" s="359">
        <v>10326</v>
      </c>
      <c r="N161" s="367" t="s">
        <v>620</v>
      </c>
      <c r="O161" s="360">
        <f>10326-6589</f>
        <v>3737</v>
      </c>
    </row>
    <row r="162" spans="1:15" s="396" customFormat="1" ht="15" x14ac:dyDescent="0.25">
      <c r="A162" s="1">
        <v>158</v>
      </c>
      <c r="B162" s="1" t="s">
        <v>647</v>
      </c>
      <c r="C162" s="32">
        <v>4803</v>
      </c>
      <c r="D162" s="1">
        <v>16000</v>
      </c>
      <c r="E162" s="1" t="s">
        <v>80</v>
      </c>
      <c r="F162" s="1">
        <v>178.22</v>
      </c>
      <c r="G162" s="1">
        <v>16000</v>
      </c>
      <c r="H162" s="1">
        <f t="shared" si="3"/>
        <v>0</v>
      </c>
      <c r="I162" s="89"/>
      <c r="J162" s="89"/>
      <c r="K162" s="388"/>
      <c r="L162" s="48"/>
      <c r="M162" s="48"/>
      <c r="N162" s="370"/>
      <c r="O162" s="48"/>
    </row>
    <row r="163" spans="1:15" s="396" customFormat="1" ht="15" x14ac:dyDescent="0.25">
      <c r="A163" s="1">
        <v>159</v>
      </c>
      <c r="B163" s="1" t="s">
        <v>647</v>
      </c>
      <c r="C163" s="32">
        <v>4805</v>
      </c>
      <c r="D163" s="1">
        <v>16000</v>
      </c>
      <c r="E163" s="1" t="s">
        <v>80</v>
      </c>
      <c r="F163" s="1">
        <v>178.22</v>
      </c>
      <c r="G163" s="1">
        <v>16000</v>
      </c>
      <c r="H163" s="1">
        <f t="shared" si="3"/>
        <v>0</v>
      </c>
      <c r="I163" s="89"/>
      <c r="J163" s="89"/>
      <c r="K163" s="388"/>
      <c r="L163" s="48"/>
      <c r="M163" s="48"/>
      <c r="N163" s="370"/>
      <c r="O163" s="48"/>
    </row>
    <row r="164" spans="1:15" s="396" customFormat="1" ht="15" x14ac:dyDescent="0.25">
      <c r="A164" s="1">
        <v>160</v>
      </c>
      <c r="B164" s="1" t="s">
        <v>647</v>
      </c>
      <c r="C164" s="32">
        <v>1.77E-2</v>
      </c>
      <c r="D164" s="1">
        <v>27000</v>
      </c>
      <c r="E164" s="1" t="s">
        <v>80</v>
      </c>
      <c r="F164" s="1">
        <v>300.32</v>
      </c>
      <c r="G164" s="1">
        <v>27000</v>
      </c>
      <c r="H164" s="1">
        <f t="shared" si="3"/>
        <v>0</v>
      </c>
      <c r="I164" s="89"/>
      <c r="J164" s="89"/>
      <c r="K164" s="388"/>
      <c r="L164" s="48"/>
      <c r="M164" s="48"/>
      <c r="N164" s="370"/>
      <c r="O164" s="48"/>
    </row>
    <row r="165" spans="1:15" s="396" customFormat="1" ht="15" x14ac:dyDescent="0.25">
      <c r="A165" s="1">
        <v>161</v>
      </c>
      <c r="B165" s="1" t="s">
        <v>647</v>
      </c>
      <c r="C165" s="32" t="s">
        <v>634</v>
      </c>
      <c r="D165" s="1">
        <v>3000</v>
      </c>
      <c r="E165" s="1" t="s">
        <v>80</v>
      </c>
      <c r="F165" s="1">
        <v>33.58</v>
      </c>
      <c r="G165" s="1">
        <v>3000</v>
      </c>
      <c r="H165" s="1">
        <f t="shared" si="3"/>
        <v>0</v>
      </c>
      <c r="I165" s="89"/>
      <c r="J165" s="89"/>
      <c r="K165" s="388"/>
      <c r="L165" s="48"/>
      <c r="M165" s="48"/>
      <c r="N165" s="370"/>
      <c r="O165" s="48"/>
    </row>
    <row r="166" spans="1:15" s="396" customFormat="1" ht="15" x14ac:dyDescent="0.25">
      <c r="A166" s="1">
        <v>162</v>
      </c>
      <c r="B166" s="1" t="s">
        <v>647</v>
      </c>
      <c r="C166" s="32">
        <v>4747</v>
      </c>
      <c r="D166" s="1">
        <v>12000</v>
      </c>
      <c r="E166" s="1" t="s">
        <v>80</v>
      </c>
      <c r="F166" s="1">
        <v>133.44999999999999</v>
      </c>
      <c r="G166" s="1">
        <v>12000</v>
      </c>
      <c r="H166" s="1">
        <f t="shared" si="3"/>
        <v>0</v>
      </c>
      <c r="I166" s="89"/>
      <c r="J166" s="89"/>
      <c r="K166" s="388"/>
      <c r="L166" s="48"/>
      <c r="M166" s="48"/>
      <c r="N166" s="370"/>
      <c r="O166" s="48"/>
    </row>
    <row r="167" spans="1:15" s="396" customFormat="1" ht="15" x14ac:dyDescent="0.25">
      <c r="A167" s="1">
        <v>163</v>
      </c>
      <c r="B167" s="1" t="s">
        <v>647</v>
      </c>
      <c r="C167" s="32" t="s">
        <v>30</v>
      </c>
      <c r="D167" s="1">
        <v>6000</v>
      </c>
      <c r="E167" s="1" t="s">
        <v>80</v>
      </c>
      <c r="F167" s="1">
        <v>66.88</v>
      </c>
      <c r="G167" s="1">
        <v>6000</v>
      </c>
      <c r="H167" s="1">
        <f t="shared" si="3"/>
        <v>0</v>
      </c>
      <c r="I167" s="89"/>
      <c r="J167" s="89"/>
      <c r="K167" s="388"/>
      <c r="L167" s="48"/>
      <c r="M167" s="48"/>
      <c r="N167" s="370"/>
      <c r="O167" s="48"/>
    </row>
    <row r="168" spans="1:15" s="396" customFormat="1" ht="15" x14ac:dyDescent="0.25">
      <c r="A168" s="1">
        <v>164</v>
      </c>
      <c r="B168" s="1" t="s">
        <v>647</v>
      </c>
      <c r="C168" s="32">
        <v>3941</v>
      </c>
      <c r="D168" s="1">
        <v>14000</v>
      </c>
      <c r="E168" s="1" t="s">
        <v>80</v>
      </c>
      <c r="F168" s="1">
        <v>155.74</v>
      </c>
      <c r="G168" s="1">
        <v>14000</v>
      </c>
      <c r="H168" s="1">
        <f t="shared" si="3"/>
        <v>0</v>
      </c>
      <c r="I168" s="89"/>
      <c r="J168" s="89"/>
      <c r="K168" s="388"/>
      <c r="L168" s="48"/>
      <c r="M168" s="48"/>
      <c r="N168" s="370"/>
      <c r="O168" s="48"/>
    </row>
    <row r="169" spans="1:15" s="396" customFormat="1" ht="15" x14ac:dyDescent="0.25">
      <c r="A169" s="1">
        <v>165</v>
      </c>
      <c r="B169" s="1" t="s">
        <v>647</v>
      </c>
      <c r="C169" s="32">
        <v>3662</v>
      </c>
      <c r="D169" s="1">
        <v>19000</v>
      </c>
      <c r="E169" s="1" t="s">
        <v>80</v>
      </c>
      <c r="F169" s="1">
        <v>211.55</v>
      </c>
      <c r="G169" s="1">
        <v>19000</v>
      </c>
      <c r="H169" s="1">
        <f t="shared" si="3"/>
        <v>0</v>
      </c>
      <c r="I169" s="89"/>
      <c r="J169" s="89"/>
      <c r="K169" s="388"/>
      <c r="L169" s="48"/>
      <c r="M169" s="48"/>
      <c r="N169" s="370"/>
      <c r="O169" s="48"/>
    </row>
    <row r="170" spans="1:15" s="396" customFormat="1" ht="15" x14ac:dyDescent="0.25">
      <c r="A170" s="1">
        <v>166</v>
      </c>
      <c r="B170" s="1" t="s">
        <v>647</v>
      </c>
      <c r="C170" s="32">
        <v>2.2499999999999999E-2</v>
      </c>
      <c r="D170" s="1">
        <v>18000</v>
      </c>
      <c r="E170" s="1" t="s">
        <v>80</v>
      </c>
      <c r="F170" s="1">
        <v>200.82</v>
      </c>
      <c r="G170" s="1">
        <v>18000</v>
      </c>
      <c r="H170" s="1">
        <f t="shared" si="3"/>
        <v>0</v>
      </c>
      <c r="I170" s="89"/>
      <c r="J170" s="89"/>
      <c r="K170" s="388"/>
      <c r="L170" s="48"/>
      <c r="M170" s="48"/>
      <c r="N170" s="370"/>
      <c r="O170" s="48"/>
    </row>
    <row r="171" spans="1:15" s="396" customFormat="1" ht="15" x14ac:dyDescent="0.25">
      <c r="A171" s="1">
        <v>167</v>
      </c>
      <c r="B171" s="1" t="s">
        <v>647</v>
      </c>
      <c r="C171" s="32">
        <v>7252</v>
      </c>
      <c r="D171" s="1">
        <v>15000</v>
      </c>
      <c r="E171" s="1" t="s">
        <v>80</v>
      </c>
      <c r="F171" s="1">
        <v>167.15</v>
      </c>
      <c r="G171" s="1">
        <v>15000</v>
      </c>
      <c r="H171" s="1">
        <f t="shared" si="3"/>
        <v>0</v>
      </c>
      <c r="I171" s="89"/>
      <c r="J171" s="89"/>
      <c r="K171" s="388"/>
      <c r="L171" s="48"/>
      <c r="M171" s="48"/>
      <c r="N171" s="370"/>
      <c r="O171" s="48"/>
    </row>
    <row r="172" spans="1:15" s="396" customFormat="1" ht="15" x14ac:dyDescent="0.25">
      <c r="A172" s="1">
        <v>168</v>
      </c>
      <c r="B172" s="1" t="s">
        <v>647</v>
      </c>
      <c r="C172" s="32">
        <v>1552</v>
      </c>
      <c r="D172" s="1">
        <v>14000</v>
      </c>
      <c r="E172" s="1" t="s">
        <v>80</v>
      </c>
      <c r="F172" s="1">
        <v>155.66999999999999</v>
      </c>
      <c r="G172" s="1">
        <v>14000</v>
      </c>
      <c r="H172" s="1">
        <f t="shared" si="3"/>
        <v>0</v>
      </c>
      <c r="I172" s="89"/>
      <c r="J172" s="89"/>
      <c r="K172" s="388"/>
      <c r="L172" s="48"/>
      <c r="M172" s="48"/>
      <c r="N172" s="370"/>
      <c r="O172" s="48"/>
    </row>
    <row r="173" spans="1:15" s="396" customFormat="1" ht="15" x14ac:dyDescent="0.25">
      <c r="A173" s="1">
        <v>169</v>
      </c>
      <c r="B173" s="1" t="s">
        <v>647</v>
      </c>
      <c r="C173" s="32" t="s">
        <v>633</v>
      </c>
      <c r="D173" s="1">
        <v>110</v>
      </c>
      <c r="E173" s="1" t="s">
        <v>80</v>
      </c>
      <c r="F173" s="1">
        <v>1.08</v>
      </c>
      <c r="G173" s="1">
        <v>110</v>
      </c>
      <c r="H173" s="1">
        <f t="shared" si="3"/>
        <v>0</v>
      </c>
      <c r="I173" s="89"/>
      <c r="J173" s="89"/>
      <c r="K173" s="388"/>
      <c r="L173" s="48"/>
      <c r="M173" s="48"/>
      <c r="N173" s="370"/>
      <c r="O173" s="48"/>
    </row>
    <row r="174" spans="1:15" s="396" customFormat="1" ht="15" x14ac:dyDescent="0.25">
      <c r="A174" s="1">
        <v>170</v>
      </c>
      <c r="B174" s="1" t="s">
        <v>647</v>
      </c>
      <c r="C174" s="32">
        <v>4848</v>
      </c>
      <c r="D174" s="1">
        <v>14000</v>
      </c>
      <c r="E174" s="1" t="s">
        <v>80</v>
      </c>
      <c r="F174" s="1">
        <v>155.66999999999999</v>
      </c>
      <c r="G174" s="1">
        <v>14000</v>
      </c>
      <c r="H174" s="1">
        <f t="shared" si="3"/>
        <v>0</v>
      </c>
      <c r="I174" s="89"/>
      <c r="J174" s="89"/>
      <c r="K174" s="388"/>
      <c r="L174" s="48"/>
      <c r="M174" s="48"/>
      <c r="N174" s="370"/>
      <c r="O174" s="48"/>
    </row>
    <row r="175" spans="1:15" s="396" customFormat="1" ht="15" x14ac:dyDescent="0.25">
      <c r="A175" s="1">
        <v>171</v>
      </c>
      <c r="B175" s="1" t="s">
        <v>647</v>
      </c>
      <c r="C175" s="32">
        <v>9332</v>
      </c>
      <c r="D175" s="1">
        <v>25000</v>
      </c>
      <c r="E175" s="1" t="s">
        <v>80</v>
      </c>
      <c r="F175" s="1">
        <v>278.22000000000003</v>
      </c>
      <c r="G175" s="1">
        <v>25000</v>
      </c>
      <c r="H175" s="1">
        <f t="shared" si="3"/>
        <v>0</v>
      </c>
      <c r="I175" s="89"/>
      <c r="J175" s="89"/>
      <c r="K175" s="388"/>
      <c r="L175" s="48"/>
      <c r="M175" s="48"/>
      <c r="N175" s="370"/>
      <c r="O175" s="48"/>
    </row>
    <row r="176" spans="1:15" s="396" customFormat="1" ht="15" x14ac:dyDescent="0.25">
      <c r="A176" s="1">
        <v>172</v>
      </c>
      <c r="B176" s="1" t="s">
        <v>647</v>
      </c>
      <c r="C176" s="32">
        <v>4.7000000000000002E-3</v>
      </c>
      <c r="D176" s="1">
        <v>15000</v>
      </c>
      <c r="E176" s="1" t="s">
        <v>80</v>
      </c>
      <c r="F176" s="1">
        <v>167.15</v>
      </c>
      <c r="G176" s="1">
        <v>15000</v>
      </c>
      <c r="H176" s="1">
        <f t="shared" si="3"/>
        <v>0</v>
      </c>
      <c r="I176" s="89"/>
      <c r="J176" s="89"/>
      <c r="K176" s="388"/>
      <c r="L176" s="48"/>
      <c r="M176" s="48"/>
      <c r="N176" s="370"/>
      <c r="O176" s="48"/>
    </row>
    <row r="177" spans="1:15" s="396" customFormat="1" ht="15" x14ac:dyDescent="0.25">
      <c r="A177" s="1">
        <v>173</v>
      </c>
      <c r="B177" s="1" t="s">
        <v>647</v>
      </c>
      <c r="C177" s="32">
        <v>1135</v>
      </c>
      <c r="D177" s="1">
        <v>15000</v>
      </c>
      <c r="E177" s="1" t="s">
        <v>80</v>
      </c>
      <c r="F177" s="1">
        <v>167.15</v>
      </c>
      <c r="G177" s="1">
        <v>15000</v>
      </c>
      <c r="H177" s="1">
        <f t="shared" si="3"/>
        <v>0</v>
      </c>
      <c r="I177" s="89"/>
      <c r="J177" s="89"/>
      <c r="K177" s="388"/>
      <c r="L177" s="48"/>
      <c r="M177" s="48"/>
      <c r="N177" s="370"/>
      <c r="O177" s="48"/>
    </row>
    <row r="178" spans="1:15" s="396" customFormat="1" ht="15" x14ac:dyDescent="0.25">
      <c r="A178" s="1">
        <v>174</v>
      </c>
      <c r="B178" s="1" t="s">
        <v>647</v>
      </c>
      <c r="C178" s="32">
        <v>2304</v>
      </c>
      <c r="D178" s="1">
        <v>20000</v>
      </c>
      <c r="E178" s="1" t="s">
        <v>80</v>
      </c>
      <c r="F178" s="1">
        <v>222.82</v>
      </c>
      <c r="G178" s="1">
        <v>20000</v>
      </c>
      <c r="H178" s="1">
        <f t="shared" si="3"/>
        <v>0</v>
      </c>
      <c r="I178" s="89"/>
      <c r="J178" s="89"/>
      <c r="K178" s="388"/>
      <c r="L178" s="48"/>
      <c r="M178" s="48"/>
      <c r="N178" s="370"/>
      <c r="O178" s="48"/>
    </row>
    <row r="179" spans="1:15" s="396" customFormat="1" ht="15" x14ac:dyDescent="0.25">
      <c r="A179" s="1">
        <v>175</v>
      </c>
      <c r="B179" s="1" t="s">
        <v>647</v>
      </c>
      <c r="C179" s="32">
        <v>3963</v>
      </c>
      <c r="D179" s="1">
        <v>12000</v>
      </c>
      <c r="E179" s="1" t="s">
        <v>80</v>
      </c>
      <c r="F179" s="1">
        <v>133.41999999999999</v>
      </c>
      <c r="G179" s="1">
        <v>12000</v>
      </c>
      <c r="H179" s="1">
        <f t="shared" si="3"/>
        <v>0</v>
      </c>
      <c r="I179" s="89"/>
      <c r="J179" s="89"/>
      <c r="K179" s="388"/>
      <c r="L179" s="48"/>
      <c r="M179" s="48"/>
      <c r="N179" s="370"/>
      <c r="O179" s="48"/>
    </row>
    <row r="180" spans="1:15" s="396" customFormat="1" ht="15" x14ac:dyDescent="0.25">
      <c r="A180" s="1">
        <v>176</v>
      </c>
      <c r="B180" s="1" t="s">
        <v>647</v>
      </c>
      <c r="C180" s="32">
        <v>3330</v>
      </c>
      <c r="D180" s="1">
        <v>20000</v>
      </c>
      <c r="E180" s="1" t="s">
        <v>80</v>
      </c>
      <c r="F180" s="1">
        <v>222.82</v>
      </c>
      <c r="G180" s="1">
        <v>20000</v>
      </c>
      <c r="H180" s="1">
        <f t="shared" si="3"/>
        <v>0</v>
      </c>
      <c r="I180" s="89"/>
      <c r="J180" s="89"/>
      <c r="K180" s="388"/>
      <c r="L180" s="48"/>
      <c r="M180" s="48"/>
      <c r="N180" s="370"/>
      <c r="O180" s="48"/>
    </row>
    <row r="181" spans="1:15" s="396" customFormat="1" ht="15" x14ac:dyDescent="0.25">
      <c r="A181" s="1">
        <v>177</v>
      </c>
      <c r="B181" s="1" t="s">
        <v>647</v>
      </c>
      <c r="C181" s="32">
        <v>5.1400000000000001E-2</v>
      </c>
      <c r="D181" s="1">
        <v>22000</v>
      </c>
      <c r="E181" s="1" t="s">
        <v>80</v>
      </c>
      <c r="F181" s="1">
        <v>245.57</v>
      </c>
      <c r="G181" s="1">
        <v>22000</v>
      </c>
      <c r="H181" s="1">
        <f t="shared" si="3"/>
        <v>0</v>
      </c>
      <c r="I181" s="89"/>
      <c r="J181" s="89"/>
      <c r="K181" s="388"/>
      <c r="L181" s="48"/>
      <c r="M181" s="48"/>
      <c r="N181" s="370"/>
      <c r="O181" s="48"/>
    </row>
    <row r="182" spans="1:15" s="396" customFormat="1" ht="15" x14ac:dyDescent="0.25">
      <c r="A182" s="1">
        <v>178</v>
      </c>
      <c r="B182" s="1" t="s">
        <v>647</v>
      </c>
      <c r="C182" s="32">
        <v>5248</v>
      </c>
      <c r="D182" s="1">
        <v>20000</v>
      </c>
      <c r="E182" s="1" t="s">
        <v>80</v>
      </c>
      <c r="F182" s="1">
        <v>222.82</v>
      </c>
      <c r="G182" s="1">
        <v>20000</v>
      </c>
      <c r="H182" s="1">
        <f t="shared" si="3"/>
        <v>0</v>
      </c>
      <c r="I182" s="89"/>
      <c r="J182" s="89"/>
      <c r="K182" s="388"/>
      <c r="L182" s="48"/>
      <c r="M182" s="48"/>
      <c r="N182" s="370"/>
      <c r="O182" s="48"/>
    </row>
    <row r="183" spans="1:15" s="396" customFormat="1" ht="15" x14ac:dyDescent="0.25">
      <c r="A183" s="1">
        <v>179</v>
      </c>
      <c r="B183" s="1" t="s">
        <v>647</v>
      </c>
      <c r="C183" s="32">
        <v>9629</v>
      </c>
      <c r="D183" s="1">
        <v>25000</v>
      </c>
      <c r="E183" s="1" t="s">
        <v>80</v>
      </c>
      <c r="F183" s="1">
        <v>278.22000000000003</v>
      </c>
      <c r="G183" s="1">
        <v>25000</v>
      </c>
      <c r="H183" s="1">
        <f t="shared" si="3"/>
        <v>0</v>
      </c>
      <c r="I183" s="89"/>
      <c r="J183" s="89"/>
      <c r="K183" s="388"/>
      <c r="L183" s="48"/>
      <c r="M183" s="48"/>
      <c r="N183" s="370"/>
      <c r="O183" s="48"/>
    </row>
    <row r="184" spans="1:15" s="396" customFormat="1" ht="15" x14ac:dyDescent="0.25">
      <c r="A184" s="1">
        <v>180</v>
      </c>
      <c r="B184" s="1" t="s">
        <v>647</v>
      </c>
      <c r="C184" s="32">
        <v>1547</v>
      </c>
      <c r="D184" s="1">
        <v>17000</v>
      </c>
      <c r="E184" s="1" t="s">
        <v>80</v>
      </c>
      <c r="F184" s="1">
        <v>189.78</v>
      </c>
      <c r="G184" s="1">
        <v>17000</v>
      </c>
      <c r="H184" s="1">
        <f t="shared" si="3"/>
        <v>0</v>
      </c>
      <c r="I184" s="89"/>
      <c r="J184" s="89"/>
      <c r="K184" s="388"/>
      <c r="L184" s="48"/>
      <c r="M184" s="48"/>
      <c r="N184" s="370"/>
      <c r="O184" s="48"/>
    </row>
    <row r="185" spans="1:15" s="396" customFormat="1" ht="15" x14ac:dyDescent="0.25">
      <c r="A185" s="1">
        <v>181</v>
      </c>
      <c r="B185" s="1" t="s">
        <v>648</v>
      </c>
      <c r="C185" s="32" t="s">
        <v>633</v>
      </c>
      <c r="D185" s="1">
        <v>210</v>
      </c>
      <c r="E185" s="1" t="s">
        <v>80</v>
      </c>
      <c r="F185" s="1">
        <v>2.09</v>
      </c>
      <c r="G185" s="1">
        <v>210</v>
      </c>
      <c r="H185" s="1">
        <f t="shared" si="3"/>
        <v>0</v>
      </c>
      <c r="I185" s="89"/>
      <c r="J185" s="89"/>
      <c r="K185" s="388"/>
      <c r="L185" s="48"/>
      <c r="M185" s="48"/>
      <c r="N185" s="370"/>
      <c r="O185" s="48"/>
    </row>
    <row r="186" spans="1:15" s="396" customFormat="1" ht="15" x14ac:dyDescent="0.25">
      <c r="A186" s="1">
        <v>182</v>
      </c>
      <c r="B186" s="1" t="s">
        <v>648</v>
      </c>
      <c r="C186" s="32">
        <v>1598</v>
      </c>
      <c r="D186" s="1">
        <v>15000</v>
      </c>
      <c r="E186" s="1" t="s">
        <v>80</v>
      </c>
      <c r="F186" s="1">
        <v>167.15</v>
      </c>
      <c r="G186" s="1">
        <v>15000</v>
      </c>
      <c r="H186" s="1">
        <f t="shared" si="3"/>
        <v>0</v>
      </c>
      <c r="I186" s="89"/>
      <c r="J186" s="89"/>
      <c r="K186" s="388"/>
      <c r="L186" s="48"/>
      <c r="M186" s="48"/>
      <c r="N186" s="370"/>
      <c r="O186" s="48"/>
    </row>
    <row r="187" spans="1:15" s="396" customFormat="1" ht="15" x14ac:dyDescent="0.25">
      <c r="A187" s="1">
        <v>183</v>
      </c>
      <c r="B187" s="1" t="s">
        <v>648</v>
      </c>
      <c r="C187" s="32">
        <v>1543</v>
      </c>
      <c r="D187" s="1">
        <v>16000</v>
      </c>
      <c r="E187" s="1" t="s">
        <v>80</v>
      </c>
      <c r="F187" s="1">
        <v>178.22</v>
      </c>
      <c r="G187" s="1">
        <v>16000</v>
      </c>
      <c r="H187" s="1">
        <f t="shared" si="3"/>
        <v>0</v>
      </c>
      <c r="I187" s="89"/>
      <c r="J187" s="89"/>
      <c r="K187" s="388"/>
      <c r="L187" s="48"/>
      <c r="M187" s="48"/>
      <c r="N187" s="370"/>
      <c r="O187" s="48"/>
    </row>
    <row r="188" spans="1:15" s="396" customFormat="1" ht="15" x14ac:dyDescent="0.25">
      <c r="A188" s="1">
        <v>184</v>
      </c>
      <c r="B188" s="1" t="s">
        <v>648</v>
      </c>
      <c r="C188" s="32">
        <v>6596</v>
      </c>
      <c r="D188" s="1">
        <v>14000</v>
      </c>
      <c r="E188" s="1" t="s">
        <v>80</v>
      </c>
      <c r="F188" s="1">
        <v>133.66999999999999</v>
      </c>
      <c r="G188" s="1">
        <v>14000</v>
      </c>
      <c r="H188" s="1">
        <f t="shared" si="3"/>
        <v>0</v>
      </c>
      <c r="I188" s="89"/>
      <c r="J188" s="89"/>
      <c r="K188" s="388"/>
      <c r="L188" s="48"/>
      <c r="M188" s="48"/>
      <c r="N188" s="370"/>
      <c r="O188" s="48"/>
    </row>
    <row r="189" spans="1:15" s="396" customFormat="1" ht="15" x14ac:dyDescent="0.25">
      <c r="A189" s="1">
        <v>185</v>
      </c>
      <c r="B189" s="1" t="s">
        <v>648</v>
      </c>
      <c r="C189" s="32">
        <v>1071</v>
      </c>
      <c r="D189" s="1">
        <v>19000</v>
      </c>
      <c r="E189" s="1" t="s">
        <v>80</v>
      </c>
      <c r="F189" s="1">
        <v>211.78</v>
      </c>
      <c r="G189" s="1">
        <v>19000</v>
      </c>
      <c r="H189" s="1">
        <f t="shared" si="3"/>
        <v>0</v>
      </c>
      <c r="I189" s="89"/>
      <c r="J189" s="89"/>
      <c r="K189" s="388"/>
      <c r="L189" s="48"/>
      <c r="M189" s="48"/>
      <c r="N189" s="370"/>
      <c r="O189" s="48"/>
    </row>
    <row r="190" spans="1:15" s="396" customFormat="1" ht="15" x14ac:dyDescent="0.25">
      <c r="A190" s="1">
        <v>186</v>
      </c>
      <c r="B190" s="1" t="s">
        <v>648</v>
      </c>
      <c r="C190" s="32" t="s">
        <v>30</v>
      </c>
      <c r="D190" s="1">
        <v>4500</v>
      </c>
      <c r="E190" s="1"/>
      <c r="F190" s="1">
        <v>50.55</v>
      </c>
      <c r="G190" s="1">
        <v>4500</v>
      </c>
      <c r="H190" s="1">
        <f t="shared" si="3"/>
        <v>0</v>
      </c>
      <c r="I190" s="89"/>
      <c r="J190" s="89"/>
      <c r="K190" s="388"/>
      <c r="L190" s="48"/>
      <c r="M190" s="48"/>
      <c r="N190" s="370"/>
      <c r="O190" s="48"/>
    </row>
    <row r="191" spans="1:15" s="396" customFormat="1" ht="15" x14ac:dyDescent="0.25">
      <c r="A191" s="1">
        <v>187</v>
      </c>
      <c r="B191" s="1" t="s">
        <v>648</v>
      </c>
      <c r="C191" s="32">
        <v>6.4699999999999994E-2</v>
      </c>
      <c r="D191" s="1">
        <v>14000</v>
      </c>
      <c r="E191" s="1" t="s">
        <v>80</v>
      </c>
      <c r="F191" s="1">
        <v>133.66999999999999</v>
      </c>
      <c r="G191" s="1">
        <v>14000</v>
      </c>
      <c r="H191" s="1">
        <f t="shared" si="3"/>
        <v>0</v>
      </c>
      <c r="I191" s="89"/>
      <c r="J191" s="89"/>
      <c r="K191" s="388"/>
      <c r="L191" s="48"/>
      <c r="M191" s="48"/>
      <c r="N191" s="370"/>
      <c r="O191" s="48"/>
    </row>
    <row r="192" spans="1:15" s="396" customFormat="1" ht="15" x14ac:dyDescent="0.25">
      <c r="A192" s="1">
        <v>188</v>
      </c>
      <c r="B192" s="1" t="s">
        <v>648</v>
      </c>
      <c r="C192" s="32">
        <v>5.1999999999999998E-3</v>
      </c>
      <c r="D192" s="1">
        <v>16000</v>
      </c>
      <c r="E192" s="1" t="s">
        <v>80</v>
      </c>
      <c r="F192" s="1">
        <v>178.22</v>
      </c>
      <c r="G192" s="1">
        <v>16000</v>
      </c>
      <c r="H192" s="1">
        <f t="shared" si="3"/>
        <v>0</v>
      </c>
      <c r="I192" s="89"/>
      <c r="J192" s="89"/>
      <c r="K192" s="388"/>
      <c r="L192" s="48"/>
      <c r="M192" s="48"/>
      <c r="N192" s="370"/>
      <c r="O192" s="48"/>
    </row>
    <row r="193" spans="1:15" s="396" customFormat="1" ht="15" x14ac:dyDescent="0.25">
      <c r="A193" s="1">
        <v>189</v>
      </c>
      <c r="B193" s="1" t="s">
        <v>648</v>
      </c>
      <c r="C193" s="32">
        <v>6957</v>
      </c>
      <c r="D193" s="1">
        <v>17000</v>
      </c>
      <c r="E193" s="1" t="s">
        <v>80</v>
      </c>
      <c r="F193" s="1">
        <v>189.78</v>
      </c>
      <c r="G193" s="1">
        <v>17000</v>
      </c>
      <c r="H193" s="1">
        <f t="shared" si="3"/>
        <v>0</v>
      </c>
      <c r="I193" s="89"/>
      <c r="J193" s="89"/>
      <c r="K193" s="388"/>
      <c r="L193" s="48"/>
      <c r="M193" s="48"/>
      <c r="N193" s="370"/>
      <c r="O193" s="48"/>
    </row>
    <row r="194" spans="1:15" s="396" customFormat="1" ht="15" x14ac:dyDescent="0.25">
      <c r="A194" s="1">
        <v>190</v>
      </c>
      <c r="B194" s="1" t="s">
        <v>648</v>
      </c>
      <c r="C194" s="32">
        <v>1416</v>
      </c>
      <c r="D194" s="1">
        <v>10000</v>
      </c>
      <c r="E194" s="1" t="s">
        <v>80</v>
      </c>
      <c r="F194" s="1">
        <v>111.41</v>
      </c>
      <c r="G194" s="1">
        <v>10000</v>
      </c>
      <c r="H194" s="1">
        <f t="shared" si="3"/>
        <v>0</v>
      </c>
      <c r="I194" s="89"/>
      <c r="J194" s="89"/>
      <c r="K194" s="388"/>
      <c r="L194" s="48"/>
      <c r="M194" s="48"/>
      <c r="N194" s="370"/>
      <c r="O194" s="48"/>
    </row>
    <row r="195" spans="1:15" s="396" customFormat="1" ht="15" x14ac:dyDescent="0.25">
      <c r="A195" s="1">
        <v>191</v>
      </c>
      <c r="B195" s="1" t="s">
        <v>648</v>
      </c>
      <c r="C195" s="32">
        <v>2.5499999999999998E-2</v>
      </c>
      <c r="D195" s="1">
        <v>23000</v>
      </c>
      <c r="E195" s="1" t="s">
        <v>80</v>
      </c>
      <c r="F195" s="1">
        <v>256.67</v>
      </c>
      <c r="G195" s="1">
        <v>23000</v>
      </c>
      <c r="H195" s="1">
        <f t="shared" si="3"/>
        <v>0</v>
      </c>
      <c r="I195" s="89"/>
      <c r="J195" s="89"/>
      <c r="K195" s="388"/>
      <c r="L195" s="48"/>
      <c r="M195" s="48"/>
      <c r="N195" s="370"/>
      <c r="O195" s="48"/>
    </row>
    <row r="196" spans="1:15" s="396" customFormat="1" ht="15" x14ac:dyDescent="0.25">
      <c r="A196" s="1">
        <v>192</v>
      </c>
      <c r="B196" s="1" t="s">
        <v>648</v>
      </c>
      <c r="C196" s="32">
        <v>1.55E-2</v>
      </c>
      <c r="D196" s="1">
        <v>26000</v>
      </c>
      <c r="E196" s="1" t="s">
        <v>80</v>
      </c>
      <c r="F196" s="1">
        <v>289.75</v>
      </c>
      <c r="G196" s="1">
        <v>26000</v>
      </c>
      <c r="H196" s="1">
        <f t="shared" si="3"/>
        <v>0</v>
      </c>
      <c r="I196" s="89"/>
      <c r="J196" s="89"/>
      <c r="K196" s="388"/>
      <c r="L196" s="48"/>
      <c r="M196" s="48"/>
      <c r="N196" s="370"/>
      <c r="O196" s="48"/>
    </row>
    <row r="197" spans="1:15" s="396" customFormat="1" ht="15" x14ac:dyDescent="0.25">
      <c r="A197" s="1">
        <v>193</v>
      </c>
      <c r="B197" s="1" t="s">
        <v>648</v>
      </c>
      <c r="C197" s="32">
        <v>6220</v>
      </c>
      <c r="D197" s="1">
        <v>24000</v>
      </c>
      <c r="E197" s="1" t="s">
        <v>80</v>
      </c>
      <c r="F197" s="1">
        <v>267.33999999999997</v>
      </c>
      <c r="G197" s="1">
        <v>24000</v>
      </c>
      <c r="H197" s="1">
        <f t="shared" si="3"/>
        <v>0</v>
      </c>
      <c r="I197" s="89"/>
      <c r="J197" s="89"/>
      <c r="K197" s="388"/>
      <c r="L197" s="48"/>
      <c r="M197" s="48"/>
      <c r="N197" s="370"/>
      <c r="O197" s="48"/>
    </row>
    <row r="198" spans="1:15" s="396" customFormat="1" ht="15" x14ac:dyDescent="0.25">
      <c r="A198" s="1">
        <v>194</v>
      </c>
      <c r="B198" s="1" t="s">
        <v>648</v>
      </c>
      <c r="C198" s="32">
        <v>4678</v>
      </c>
      <c r="D198" s="1">
        <v>23000</v>
      </c>
      <c r="E198" s="1" t="s">
        <v>80</v>
      </c>
      <c r="F198" s="1">
        <v>248.58</v>
      </c>
      <c r="G198" s="1">
        <v>23000</v>
      </c>
      <c r="H198" s="1">
        <f t="shared" si="3"/>
        <v>0</v>
      </c>
      <c r="I198" s="89"/>
      <c r="J198" s="89"/>
      <c r="K198" s="388"/>
      <c r="L198" s="48"/>
      <c r="M198" s="48"/>
      <c r="N198" s="370"/>
      <c r="O198" s="48"/>
    </row>
    <row r="199" spans="1:15" s="396" customFormat="1" ht="15" x14ac:dyDescent="0.25">
      <c r="A199" s="1">
        <v>195</v>
      </c>
      <c r="B199" s="1" t="s">
        <v>648</v>
      </c>
      <c r="C199" s="32">
        <v>9955</v>
      </c>
      <c r="D199" s="1">
        <v>23000</v>
      </c>
      <c r="E199" s="1" t="s">
        <v>80</v>
      </c>
      <c r="F199" s="1">
        <v>248.58</v>
      </c>
      <c r="G199" s="1">
        <v>23000</v>
      </c>
      <c r="H199" s="1">
        <f t="shared" si="3"/>
        <v>0</v>
      </c>
      <c r="I199" s="89"/>
      <c r="J199" s="89"/>
      <c r="K199" s="388"/>
      <c r="L199" s="48"/>
      <c r="M199" s="48"/>
      <c r="N199" s="370"/>
      <c r="O199" s="48"/>
    </row>
    <row r="200" spans="1:15" s="396" customFormat="1" ht="15" x14ac:dyDescent="0.25">
      <c r="A200" s="1">
        <v>196</v>
      </c>
      <c r="B200" s="1" t="s">
        <v>648</v>
      </c>
      <c r="C200" s="32">
        <v>1540</v>
      </c>
      <c r="D200" s="1">
        <v>17000</v>
      </c>
      <c r="E200" s="1" t="s">
        <v>80</v>
      </c>
      <c r="F200" s="1">
        <v>189.74</v>
      </c>
      <c r="G200" s="1">
        <v>17000</v>
      </c>
      <c r="H200" s="1">
        <f t="shared" si="3"/>
        <v>0</v>
      </c>
      <c r="I200" s="89"/>
      <c r="J200" s="89"/>
      <c r="K200" s="388"/>
      <c r="L200" s="48"/>
      <c r="M200" s="48"/>
      <c r="N200" s="370"/>
      <c r="O200" s="48"/>
    </row>
    <row r="201" spans="1:15" s="396" customFormat="1" ht="15" x14ac:dyDescent="0.25">
      <c r="A201" s="1">
        <v>197</v>
      </c>
      <c r="B201" s="1" t="s">
        <v>648</v>
      </c>
      <c r="C201" s="32">
        <v>3005</v>
      </c>
      <c r="D201" s="1">
        <v>12000</v>
      </c>
      <c r="E201" s="1" t="s">
        <v>80</v>
      </c>
      <c r="F201" s="1">
        <v>133.85</v>
      </c>
      <c r="G201" s="1">
        <v>12000</v>
      </c>
      <c r="H201" s="1">
        <f t="shared" si="3"/>
        <v>0</v>
      </c>
      <c r="I201" s="89"/>
      <c r="J201" s="89"/>
      <c r="K201" s="388"/>
      <c r="L201" s="48"/>
      <c r="M201" s="48"/>
      <c r="N201" s="370"/>
      <c r="O201" s="48"/>
    </row>
    <row r="202" spans="1:15" s="396" customFormat="1" ht="15" x14ac:dyDescent="0.25">
      <c r="A202" s="1">
        <v>198</v>
      </c>
      <c r="B202" s="1" t="s">
        <v>648</v>
      </c>
      <c r="C202" s="32">
        <v>1721</v>
      </c>
      <c r="D202" s="1">
        <v>12000</v>
      </c>
      <c r="E202" s="1" t="s">
        <v>80</v>
      </c>
      <c r="F202" s="1">
        <v>133.85</v>
      </c>
      <c r="G202" s="1">
        <v>12000</v>
      </c>
      <c r="H202" s="1">
        <f t="shared" si="3"/>
        <v>0</v>
      </c>
      <c r="I202" s="89"/>
      <c r="J202" s="89"/>
      <c r="K202" s="388"/>
      <c r="L202" s="48"/>
      <c r="M202" s="48"/>
      <c r="N202" s="370"/>
      <c r="O202" s="48"/>
    </row>
    <row r="203" spans="1:15" s="396" customFormat="1" ht="15" x14ac:dyDescent="0.25">
      <c r="A203" s="1">
        <v>199</v>
      </c>
      <c r="B203" s="1" t="s">
        <v>648</v>
      </c>
      <c r="C203" s="32">
        <v>5877</v>
      </c>
      <c r="D203" s="1">
        <v>29000</v>
      </c>
      <c r="E203" s="1" t="s">
        <v>80</v>
      </c>
      <c r="F203" s="1">
        <v>311.67</v>
      </c>
      <c r="G203" s="1">
        <v>29000</v>
      </c>
      <c r="H203" s="1">
        <f t="shared" si="3"/>
        <v>0</v>
      </c>
      <c r="I203" s="89"/>
      <c r="J203" s="89"/>
      <c r="K203" s="388"/>
      <c r="L203" s="48"/>
      <c r="M203" s="48"/>
      <c r="N203" s="370"/>
      <c r="O203" s="48"/>
    </row>
    <row r="204" spans="1:15" s="396" customFormat="1" ht="15" x14ac:dyDescent="0.25">
      <c r="A204" s="1">
        <v>200</v>
      </c>
      <c r="B204" s="1" t="s">
        <v>648</v>
      </c>
      <c r="C204" s="32">
        <v>5252</v>
      </c>
      <c r="D204" s="1">
        <v>17000</v>
      </c>
      <c r="E204" s="1" t="s">
        <v>80</v>
      </c>
      <c r="F204" s="1">
        <v>189.45</v>
      </c>
      <c r="G204" s="1">
        <v>17000</v>
      </c>
      <c r="H204" s="1">
        <f t="shared" si="3"/>
        <v>0</v>
      </c>
      <c r="I204" s="89"/>
      <c r="J204" s="89"/>
      <c r="K204" s="388"/>
      <c r="L204" s="48"/>
      <c r="M204" s="48"/>
      <c r="N204" s="370"/>
      <c r="O204" s="48"/>
    </row>
    <row r="205" spans="1:15" s="396" customFormat="1" ht="15" x14ac:dyDescent="0.25">
      <c r="A205" s="1">
        <v>201</v>
      </c>
      <c r="B205" s="1" t="s">
        <v>648</v>
      </c>
      <c r="C205" s="32">
        <v>2192</v>
      </c>
      <c r="D205" s="1">
        <v>15000</v>
      </c>
      <c r="E205" s="1" t="s">
        <v>80</v>
      </c>
      <c r="F205" s="1">
        <v>167.15</v>
      </c>
      <c r="G205" s="1">
        <v>15000</v>
      </c>
      <c r="H205" s="1">
        <f t="shared" si="3"/>
        <v>0</v>
      </c>
      <c r="I205" s="89"/>
      <c r="J205" s="89"/>
      <c r="K205" s="388"/>
      <c r="L205" s="48"/>
      <c r="M205" s="48"/>
      <c r="N205" s="370"/>
      <c r="O205" s="48"/>
    </row>
    <row r="206" spans="1:15" s="396" customFormat="1" ht="15" x14ac:dyDescent="0.25">
      <c r="A206" s="1">
        <v>202</v>
      </c>
      <c r="B206" s="1" t="s">
        <v>648</v>
      </c>
      <c r="C206" s="32">
        <v>2764</v>
      </c>
      <c r="D206" s="1">
        <v>22000</v>
      </c>
      <c r="E206" s="1" t="s">
        <v>80</v>
      </c>
      <c r="F206" s="1">
        <v>245.57</v>
      </c>
      <c r="G206" s="1">
        <v>22000</v>
      </c>
      <c r="H206" s="1">
        <f t="shared" si="3"/>
        <v>0</v>
      </c>
      <c r="I206" s="89"/>
      <c r="J206" s="89"/>
      <c r="K206" s="388"/>
      <c r="L206" s="48"/>
      <c r="M206" s="48"/>
      <c r="N206" s="370"/>
      <c r="O206" s="48"/>
    </row>
    <row r="207" spans="1:15" s="396" customFormat="1" ht="15" x14ac:dyDescent="0.25">
      <c r="A207" s="1">
        <v>203</v>
      </c>
      <c r="B207" s="1" t="s">
        <v>648</v>
      </c>
      <c r="C207" s="32">
        <v>7351</v>
      </c>
      <c r="D207" s="1">
        <v>25000</v>
      </c>
      <c r="E207" s="1" t="s">
        <v>80</v>
      </c>
      <c r="F207" s="1">
        <v>278.22000000000003</v>
      </c>
      <c r="G207" s="1">
        <v>25000</v>
      </c>
      <c r="H207" s="1">
        <f t="shared" si="3"/>
        <v>0</v>
      </c>
      <c r="I207" s="89"/>
      <c r="J207" s="89"/>
      <c r="K207" s="388"/>
      <c r="L207" s="48"/>
      <c r="M207" s="48"/>
      <c r="N207" s="370"/>
      <c r="O207" s="48"/>
    </row>
    <row r="208" spans="1:15" s="396" customFormat="1" ht="15" x14ac:dyDescent="0.25">
      <c r="A208" s="1">
        <v>204</v>
      </c>
      <c r="B208" s="1" t="s">
        <v>648</v>
      </c>
      <c r="C208" s="32">
        <v>3431</v>
      </c>
      <c r="D208" s="1">
        <v>30000</v>
      </c>
      <c r="E208" s="1" t="s">
        <v>80</v>
      </c>
      <c r="F208" s="1">
        <v>333.95</v>
      </c>
      <c r="G208" s="1">
        <v>30000</v>
      </c>
      <c r="H208" s="1">
        <f t="shared" si="3"/>
        <v>0</v>
      </c>
      <c r="I208" s="89"/>
      <c r="J208" s="89"/>
      <c r="K208" s="388"/>
      <c r="L208" s="48"/>
      <c r="M208" s="48"/>
      <c r="N208" s="370"/>
      <c r="O208" s="48"/>
    </row>
    <row r="209" spans="1:15" s="396" customFormat="1" ht="15.75" thickBot="1" x14ac:dyDescent="0.3">
      <c r="A209" s="1">
        <v>205</v>
      </c>
      <c r="B209" s="1" t="s">
        <v>648</v>
      </c>
      <c r="C209" s="32">
        <v>9413</v>
      </c>
      <c r="D209" s="1">
        <v>28000</v>
      </c>
      <c r="E209" s="1" t="s">
        <v>80</v>
      </c>
      <c r="F209" s="1">
        <v>311.33</v>
      </c>
      <c r="G209" s="1">
        <v>28000</v>
      </c>
      <c r="H209" s="1">
        <f t="shared" si="3"/>
        <v>0</v>
      </c>
      <c r="I209" s="89"/>
      <c r="J209" s="89"/>
      <c r="K209" s="388"/>
      <c r="L209" s="48"/>
      <c r="M209" s="48"/>
      <c r="N209" s="370"/>
      <c r="O209" s="48"/>
    </row>
    <row r="210" spans="1:15" s="396" customFormat="1" ht="15.75" thickBot="1" x14ac:dyDescent="0.3">
      <c r="A210" s="1">
        <v>206</v>
      </c>
      <c r="B210" s="1" t="s">
        <v>648</v>
      </c>
      <c r="C210" s="32">
        <v>9435</v>
      </c>
      <c r="D210" s="1">
        <v>30000</v>
      </c>
      <c r="E210" s="1" t="s">
        <v>80</v>
      </c>
      <c r="F210" s="1">
        <v>334.67</v>
      </c>
      <c r="G210" s="1">
        <v>30000</v>
      </c>
      <c r="H210" s="1">
        <f t="shared" si="3"/>
        <v>0</v>
      </c>
      <c r="I210" s="89"/>
      <c r="J210" s="89"/>
      <c r="K210" s="103">
        <f>2558614-2552025</f>
        <v>6589</v>
      </c>
      <c r="L210" s="359" t="s">
        <v>619</v>
      </c>
      <c r="M210" s="359">
        <v>10326</v>
      </c>
      <c r="N210" s="367" t="s">
        <v>620</v>
      </c>
      <c r="O210" s="360">
        <f>10326-6589</f>
        <v>3737</v>
      </c>
    </row>
    <row r="211" spans="1:15" s="397" customFormat="1" ht="15" x14ac:dyDescent="0.25">
      <c r="A211" s="1">
        <v>207</v>
      </c>
      <c r="B211" s="1" t="s">
        <v>649</v>
      </c>
      <c r="C211" s="32" t="s">
        <v>30</v>
      </c>
      <c r="D211" s="1">
        <v>4500</v>
      </c>
      <c r="E211" s="1"/>
      <c r="F211" s="1">
        <v>50.55</v>
      </c>
      <c r="G211" s="1">
        <v>4500</v>
      </c>
      <c r="H211" s="1">
        <f t="shared" si="3"/>
        <v>0</v>
      </c>
      <c r="I211" s="89"/>
      <c r="J211" s="89"/>
      <c r="K211" s="388"/>
      <c r="L211" s="48"/>
      <c r="M211" s="48"/>
      <c r="N211" s="370"/>
      <c r="O211" s="48"/>
    </row>
    <row r="212" spans="1:15" s="397" customFormat="1" ht="15" x14ac:dyDescent="0.25">
      <c r="A212" s="1">
        <v>208</v>
      </c>
      <c r="B212" s="1" t="s">
        <v>649</v>
      </c>
      <c r="C212" s="32">
        <v>7194</v>
      </c>
      <c r="D212" s="1">
        <v>28000</v>
      </c>
      <c r="E212" s="1" t="s">
        <v>80</v>
      </c>
      <c r="F212" s="1">
        <v>291.85000000000002</v>
      </c>
      <c r="G212" s="1">
        <v>28000</v>
      </c>
      <c r="H212" s="1">
        <f t="shared" si="3"/>
        <v>0</v>
      </c>
      <c r="I212" s="89"/>
      <c r="J212" s="89"/>
      <c r="K212" s="388"/>
      <c r="L212" s="48"/>
      <c r="M212" s="48"/>
      <c r="N212" s="370"/>
      <c r="O212" s="48"/>
    </row>
    <row r="213" spans="1:15" s="397" customFormat="1" ht="15" x14ac:dyDescent="0.25">
      <c r="A213" s="1">
        <v>209</v>
      </c>
      <c r="B213" s="1" t="s">
        <v>649</v>
      </c>
      <c r="C213" s="32">
        <v>9.0399999999999994E-2</v>
      </c>
      <c r="D213" s="1">
        <v>20000</v>
      </c>
      <c r="E213" s="1" t="s">
        <v>80</v>
      </c>
      <c r="F213" s="1">
        <v>222.82</v>
      </c>
      <c r="G213" s="1">
        <v>20000</v>
      </c>
      <c r="H213" s="1">
        <f t="shared" si="3"/>
        <v>0</v>
      </c>
      <c r="I213" s="89"/>
      <c r="J213" s="89"/>
      <c r="K213" s="388"/>
      <c r="L213" s="48"/>
      <c r="M213" s="48"/>
      <c r="N213" s="370"/>
      <c r="O213" s="48"/>
    </row>
    <row r="214" spans="1:15" s="397" customFormat="1" ht="15" x14ac:dyDescent="0.25">
      <c r="A214" s="1">
        <v>210</v>
      </c>
      <c r="B214" s="1" t="s">
        <v>649</v>
      </c>
      <c r="C214" s="32">
        <v>1547</v>
      </c>
      <c r="D214" s="1">
        <v>17000</v>
      </c>
      <c r="E214" s="1" t="s">
        <v>80</v>
      </c>
      <c r="F214" s="1">
        <v>189.22</v>
      </c>
      <c r="G214" s="1">
        <v>17000</v>
      </c>
      <c r="H214" s="1">
        <f t="shared" ref="H214:H277" si="4">D214-G214</f>
        <v>0</v>
      </c>
      <c r="I214" s="89"/>
      <c r="J214" s="89"/>
      <c r="K214" s="388"/>
      <c r="L214" s="48"/>
      <c r="M214" s="48"/>
      <c r="N214" s="370"/>
      <c r="O214" s="48"/>
    </row>
    <row r="215" spans="1:15" s="397" customFormat="1" ht="15" x14ac:dyDescent="0.25">
      <c r="A215" s="1">
        <v>211</v>
      </c>
      <c r="B215" s="1" t="s">
        <v>649</v>
      </c>
      <c r="C215" s="32">
        <v>8.8900000000000007E-2</v>
      </c>
      <c r="D215" s="294">
        <v>20000</v>
      </c>
      <c r="E215" s="1"/>
      <c r="F215" s="1">
        <v>222.82</v>
      </c>
      <c r="G215" s="1">
        <v>20000</v>
      </c>
      <c r="H215" s="1">
        <f t="shared" si="4"/>
        <v>0</v>
      </c>
      <c r="I215" s="89"/>
      <c r="J215" s="89"/>
      <c r="K215" s="388"/>
      <c r="L215" s="48"/>
      <c r="M215" s="48"/>
      <c r="N215" s="370"/>
      <c r="O215" s="48"/>
    </row>
    <row r="216" spans="1:15" s="397" customFormat="1" ht="15" x14ac:dyDescent="0.25">
      <c r="A216" s="1">
        <v>212</v>
      </c>
      <c r="B216" s="1" t="s">
        <v>649</v>
      </c>
      <c r="C216" s="32">
        <v>7658</v>
      </c>
      <c r="D216" s="1">
        <v>14000</v>
      </c>
      <c r="E216" s="1" t="s">
        <v>80</v>
      </c>
      <c r="F216" s="1">
        <v>155.91</v>
      </c>
      <c r="G216" s="1">
        <v>14000</v>
      </c>
      <c r="H216" s="1">
        <f t="shared" si="4"/>
        <v>0</v>
      </c>
      <c r="I216" s="89"/>
      <c r="J216" s="89"/>
      <c r="K216" s="388"/>
      <c r="L216" s="48"/>
      <c r="M216" s="48"/>
      <c r="N216" s="370"/>
      <c r="O216" s="48"/>
    </row>
    <row r="217" spans="1:15" s="397" customFormat="1" ht="15" x14ac:dyDescent="0.25">
      <c r="A217" s="1">
        <v>213</v>
      </c>
      <c r="B217" s="1" t="s">
        <v>649</v>
      </c>
      <c r="C217" s="32">
        <v>6.7199999999999996E-2</v>
      </c>
      <c r="D217" s="1">
        <v>20000</v>
      </c>
      <c r="E217" s="1" t="s">
        <v>80</v>
      </c>
      <c r="F217" s="1">
        <v>222.82</v>
      </c>
      <c r="G217" s="1">
        <v>20000</v>
      </c>
      <c r="H217" s="1">
        <f t="shared" si="4"/>
        <v>0</v>
      </c>
      <c r="I217" s="89"/>
      <c r="J217" s="89"/>
      <c r="K217" s="388"/>
      <c r="L217" s="48"/>
      <c r="M217" s="48"/>
      <c r="N217" s="370"/>
      <c r="O217" s="48"/>
    </row>
    <row r="218" spans="1:15" s="397" customFormat="1" ht="15" x14ac:dyDescent="0.25">
      <c r="A218" s="1">
        <v>214</v>
      </c>
      <c r="B218" s="1" t="s">
        <v>649</v>
      </c>
      <c r="C218" s="32" t="s">
        <v>30</v>
      </c>
      <c r="D218" s="1">
        <v>5000</v>
      </c>
      <c r="E218" s="1" t="s">
        <v>80</v>
      </c>
      <c r="F218" s="1">
        <v>55.45</v>
      </c>
      <c r="G218" s="1">
        <v>5000</v>
      </c>
      <c r="H218" s="1">
        <f t="shared" si="4"/>
        <v>0</v>
      </c>
      <c r="I218" s="89"/>
      <c r="J218" s="89"/>
      <c r="K218" s="388"/>
      <c r="L218" s="48"/>
      <c r="M218" s="48"/>
      <c r="N218" s="370"/>
      <c r="O218" s="48"/>
    </row>
    <row r="219" spans="1:15" s="397" customFormat="1" ht="15" x14ac:dyDescent="0.25">
      <c r="A219" s="1">
        <v>215</v>
      </c>
      <c r="B219" s="1" t="s">
        <v>649</v>
      </c>
      <c r="C219" s="32" t="s">
        <v>30</v>
      </c>
      <c r="D219" s="1">
        <v>800</v>
      </c>
      <c r="E219" s="1"/>
      <c r="F219" s="1">
        <v>8.91</v>
      </c>
      <c r="G219" s="1">
        <v>800</v>
      </c>
      <c r="H219" s="1">
        <f t="shared" si="4"/>
        <v>0</v>
      </c>
      <c r="I219" s="89"/>
      <c r="J219" s="89"/>
      <c r="K219" s="388"/>
      <c r="L219" s="48"/>
      <c r="M219" s="48"/>
      <c r="N219" s="370"/>
      <c r="O219" s="48"/>
    </row>
    <row r="220" spans="1:15" s="397" customFormat="1" ht="15" x14ac:dyDescent="0.25">
      <c r="A220" s="1">
        <v>216</v>
      </c>
      <c r="B220" s="1" t="s">
        <v>649</v>
      </c>
      <c r="C220" s="32">
        <v>9777</v>
      </c>
      <c r="D220" s="1">
        <v>16000</v>
      </c>
      <c r="E220" s="1" t="s">
        <v>80</v>
      </c>
      <c r="F220" s="1">
        <v>178.22</v>
      </c>
      <c r="G220" s="1">
        <v>16000</v>
      </c>
      <c r="H220" s="1">
        <f t="shared" si="4"/>
        <v>0</v>
      </c>
      <c r="I220" s="89"/>
      <c r="J220" s="89"/>
      <c r="K220" s="388"/>
      <c r="L220" s="48"/>
      <c r="M220" s="48"/>
      <c r="N220" s="370"/>
      <c r="O220" s="48"/>
    </row>
    <row r="221" spans="1:15" s="397" customFormat="1" ht="15" x14ac:dyDescent="0.25">
      <c r="A221" s="1">
        <v>217</v>
      </c>
      <c r="B221" s="1" t="s">
        <v>649</v>
      </c>
      <c r="C221" s="32">
        <v>5.1000000000000004E-3</v>
      </c>
      <c r="D221" s="1">
        <v>16000</v>
      </c>
      <c r="E221" s="1" t="s">
        <v>80</v>
      </c>
      <c r="F221" s="1">
        <v>178.22</v>
      </c>
      <c r="G221" s="1">
        <v>16000</v>
      </c>
      <c r="H221" s="1">
        <f t="shared" si="4"/>
        <v>0</v>
      </c>
      <c r="I221" s="89"/>
      <c r="J221" s="89"/>
      <c r="K221" s="388"/>
      <c r="L221" s="48"/>
      <c r="M221" s="48"/>
      <c r="N221" s="370"/>
      <c r="O221" s="48"/>
    </row>
    <row r="222" spans="1:15" s="397" customFormat="1" ht="15" x14ac:dyDescent="0.25">
      <c r="A222" s="1">
        <v>218</v>
      </c>
      <c r="B222" s="1" t="s">
        <v>649</v>
      </c>
      <c r="C222" s="32">
        <v>5151</v>
      </c>
      <c r="D222" s="1">
        <v>16000</v>
      </c>
      <c r="E222" s="1" t="s">
        <v>80</v>
      </c>
      <c r="F222" s="1">
        <v>178.22</v>
      </c>
      <c r="G222" s="1">
        <v>16000</v>
      </c>
      <c r="H222" s="1">
        <f t="shared" si="4"/>
        <v>0</v>
      </c>
      <c r="I222" s="89"/>
      <c r="J222" s="89"/>
      <c r="K222" s="388"/>
      <c r="L222" s="48"/>
      <c r="M222" s="48"/>
      <c r="N222" s="370"/>
      <c r="O222" s="48"/>
    </row>
    <row r="223" spans="1:15" s="397" customFormat="1" ht="15" x14ac:dyDescent="0.25">
      <c r="A223" s="1">
        <v>219</v>
      </c>
      <c r="B223" s="1" t="s">
        <v>649</v>
      </c>
      <c r="C223" s="32">
        <v>1639</v>
      </c>
      <c r="D223" s="1">
        <v>15000</v>
      </c>
      <c r="E223" s="1" t="s">
        <v>80</v>
      </c>
      <c r="F223" s="1">
        <v>167.15</v>
      </c>
      <c r="G223" s="1">
        <v>15000</v>
      </c>
      <c r="H223" s="1">
        <f t="shared" si="4"/>
        <v>0</v>
      </c>
      <c r="I223" s="89"/>
      <c r="J223" s="89"/>
      <c r="K223" s="388"/>
      <c r="L223" s="48"/>
      <c r="M223" s="48"/>
      <c r="N223" s="370"/>
      <c r="O223" s="48"/>
    </row>
    <row r="224" spans="1:15" s="397" customFormat="1" ht="15" x14ac:dyDescent="0.25">
      <c r="A224" s="1">
        <v>220</v>
      </c>
      <c r="B224" s="1" t="s">
        <v>649</v>
      </c>
      <c r="C224" s="32">
        <v>6686</v>
      </c>
      <c r="D224" s="1">
        <v>30977</v>
      </c>
      <c r="E224" s="1" t="s">
        <v>80</v>
      </c>
      <c r="F224" s="1">
        <v>345.67</v>
      </c>
      <c r="G224" s="1">
        <v>30977</v>
      </c>
      <c r="H224" s="1">
        <f t="shared" si="4"/>
        <v>0</v>
      </c>
      <c r="I224" s="89"/>
      <c r="J224" s="89"/>
      <c r="K224" s="388"/>
      <c r="L224" s="48"/>
      <c r="M224" s="48"/>
      <c r="N224" s="370"/>
      <c r="O224" s="48"/>
    </row>
    <row r="225" spans="1:15" s="397" customFormat="1" ht="15" x14ac:dyDescent="0.25">
      <c r="A225" s="1">
        <v>221</v>
      </c>
      <c r="B225" s="1" t="s">
        <v>649</v>
      </c>
      <c r="C225" s="32">
        <v>2258</v>
      </c>
      <c r="D225" s="1">
        <v>25000</v>
      </c>
      <c r="E225" s="1" t="s">
        <v>80</v>
      </c>
      <c r="F225" s="1">
        <v>278.22000000000003</v>
      </c>
      <c r="G225" s="1">
        <v>25000</v>
      </c>
      <c r="H225" s="1">
        <f t="shared" si="4"/>
        <v>0</v>
      </c>
      <c r="I225" s="89"/>
      <c r="J225" s="89"/>
      <c r="K225" s="388"/>
      <c r="L225" s="48"/>
      <c r="M225" s="48"/>
      <c r="N225" s="370"/>
      <c r="O225" s="48"/>
    </row>
    <row r="226" spans="1:15" s="397" customFormat="1" ht="15" x14ac:dyDescent="0.25">
      <c r="A226" s="1">
        <v>222</v>
      </c>
      <c r="B226" s="1" t="s">
        <v>649</v>
      </c>
      <c r="C226" s="32">
        <v>4365</v>
      </c>
      <c r="D226" s="1">
        <v>23000</v>
      </c>
      <c r="E226" s="1" t="s">
        <v>80</v>
      </c>
      <c r="F226" s="1">
        <v>246.78</v>
      </c>
      <c r="G226" s="1">
        <v>23000</v>
      </c>
      <c r="H226" s="1">
        <f t="shared" si="4"/>
        <v>0</v>
      </c>
      <c r="I226" s="89"/>
      <c r="J226" s="89"/>
      <c r="K226" s="388"/>
      <c r="L226" s="48"/>
      <c r="M226" s="48"/>
      <c r="N226" s="370"/>
      <c r="O226" s="48"/>
    </row>
    <row r="227" spans="1:15" s="397" customFormat="1" ht="15" x14ac:dyDescent="0.25">
      <c r="A227" s="1">
        <v>223</v>
      </c>
      <c r="B227" s="1" t="s">
        <v>649</v>
      </c>
      <c r="C227" s="32">
        <v>7186</v>
      </c>
      <c r="D227" s="1">
        <v>23000</v>
      </c>
      <c r="E227" s="1" t="s">
        <v>80</v>
      </c>
      <c r="F227" s="1">
        <v>246.78</v>
      </c>
      <c r="G227" s="1">
        <v>23000</v>
      </c>
      <c r="H227" s="1">
        <f t="shared" si="4"/>
        <v>0</v>
      </c>
      <c r="I227" s="89"/>
      <c r="J227" s="89"/>
      <c r="K227" s="388"/>
      <c r="L227" s="48"/>
      <c r="M227" s="48"/>
      <c r="N227" s="370"/>
      <c r="O227" s="48"/>
    </row>
    <row r="228" spans="1:15" s="397" customFormat="1" ht="15" x14ac:dyDescent="0.25">
      <c r="A228" s="1">
        <v>224</v>
      </c>
      <c r="B228" s="1" t="s">
        <v>649</v>
      </c>
      <c r="C228" s="32">
        <v>3798</v>
      </c>
      <c r="D228" s="1">
        <v>25000</v>
      </c>
      <c r="E228" s="1" t="s">
        <v>80</v>
      </c>
      <c r="F228" s="1">
        <v>278.22000000000003</v>
      </c>
      <c r="G228" s="1">
        <v>25000</v>
      </c>
      <c r="H228" s="1">
        <f t="shared" si="4"/>
        <v>0</v>
      </c>
      <c r="I228" s="89"/>
      <c r="J228" s="89"/>
      <c r="K228" s="388"/>
      <c r="L228" s="48"/>
      <c r="M228" s="48"/>
      <c r="N228" s="370"/>
      <c r="O228" s="48"/>
    </row>
    <row r="229" spans="1:15" s="397" customFormat="1" ht="15" x14ac:dyDescent="0.25">
      <c r="A229" s="1">
        <v>225</v>
      </c>
      <c r="B229" s="1" t="s">
        <v>649</v>
      </c>
      <c r="C229" s="32">
        <v>4559</v>
      </c>
      <c r="D229" s="1">
        <v>22350</v>
      </c>
      <c r="E229" s="1" t="s">
        <v>80</v>
      </c>
      <c r="F229" s="1">
        <v>249.78</v>
      </c>
      <c r="G229" s="1">
        <v>22350</v>
      </c>
      <c r="H229" s="1">
        <f t="shared" si="4"/>
        <v>0</v>
      </c>
      <c r="I229" s="89"/>
      <c r="J229" s="89"/>
      <c r="K229" s="388"/>
      <c r="L229" s="48"/>
      <c r="M229" s="48"/>
      <c r="N229" s="370"/>
      <c r="O229" s="48"/>
    </row>
    <row r="230" spans="1:15" s="397" customFormat="1" ht="15.75" thickBot="1" x14ac:dyDescent="0.3">
      <c r="A230" s="1">
        <v>226</v>
      </c>
      <c r="B230" s="1" t="s">
        <v>649</v>
      </c>
      <c r="C230" s="32">
        <v>2.0500000000000001E-2</v>
      </c>
      <c r="D230" s="1">
        <v>18780</v>
      </c>
      <c r="E230" s="1" t="s">
        <v>80</v>
      </c>
      <c r="F230" s="1">
        <v>209.49</v>
      </c>
      <c r="G230" s="1">
        <v>18780</v>
      </c>
      <c r="H230" s="1">
        <f t="shared" si="4"/>
        <v>0</v>
      </c>
      <c r="I230" s="89"/>
      <c r="J230" s="89"/>
      <c r="K230" s="388"/>
      <c r="L230" s="48"/>
      <c r="M230" s="48"/>
      <c r="N230" s="370"/>
      <c r="O230" s="48"/>
    </row>
    <row r="231" spans="1:15" s="397" customFormat="1" ht="15.75" thickBot="1" x14ac:dyDescent="0.3">
      <c r="A231" s="1">
        <v>227</v>
      </c>
      <c r="B231" s="1" t="s">
        <v>649</v>
      </c>
      <c r="C231" s="32">
        <v>6009</v>
      </c>
      <c r="D231" s="1">
        <v>21600</v>
      </c>
      <c r="E231" s="1" t="s">
        <v>80</v>
      </c>
      <c r="F231" s="1">
        <v>240.55</v>
      </c>
      <c r="G231" s="1">
        <v>21600</v>
      </c>
      <c r="H231" s="1">
        <f t="shared" si="4"/>
        <v>0</v>
      </c>
      <c r="I231" s="89"/>
      <c r="J231" s="89"/>
      <c r="K231" s="103">
        <f>2340621-2334032</f>
        <v>6589</v>
      </c>
      <c r="L231" s="359" t="s">
        <v>619</v>
      </c>
      <c r="M231" s="359">
        <v>10326</v>
      </c>
      <c r="N231" s="367" t="s">
        <v>620</v>
      </c>
      <c r="O231" s="360">
        <f>10326-6589</f>
        <v>3737</v>
      </c>
    </row>
    <row r="232" spans="1:15" s="399" customFormat="1" ht="15" x14ac:dyDescent="0.25">
      <c r="A232" s="1">
        <v>228</v>
      </c>
      <c r="B232" s="1" t="s">
        <v>651</v>
      </c>
      <c r="C232" s="32" t="s">
        <v>634</v>
      </c>
      <c r="D232" s="1">
        <v>2500</v>
      </c>
      <c r="E232" s="1" t="s">
        <v>80</v>
      </c>
      <c r="F232" s="1">
        <v>27.55</v>
      </c>
      <c r="G232" s="1">
        <v>2500</v>
      </c>
      <c r="H232" s="1">
        <f t="shared" si="4"/>
        <v>0</v>
      </c>
      <c r="I232" s="89"/>
      <c r="J232" s="89"/>
      <c r="K232" s="388"/>
      <c r="L232" s="48"/>
      <c r="M232" s="48"/>
      <c r="N232" s="370"/>
      <c r="O232" s="48"/>
    </row>
    <row r="233" spans="1:15" s="399" customFormat="1" ht="15" x14ac:dyDescent="0.25">
      <c r="A233" s="1">
        <v>229</v>
      </c>
      <c r="B233" s="1" t="s">
        <v>651</v>
      </c>
      <c r="C233" s="32">
        <v>1215</v>
      </c>
      <c r="D233" s="1">
        <v>16000</v>
      </c>
      <c r="E233" s="1" t="s">
        <v>80</v>
      </c>
      <c r="F233" s="1">
        <v>178.22</v>
      </c>
      <c r="G233" s="1">
        <v>16000</v>
      </c>
      <c r="H233" s="1">
        <f t="shared" si="4"/>
        <v>0</v>
      </c>
      <c r="I233" s="89"/>
      <c r="J233" s="89"/>
      <c r="K233" s="388"/>
      <c r="L233" s="48"/>
      <c r="M233" s="48"/>
      <c r="N233" s="370"/>
      <c r="O233" s="48"/>
    </row>
    <row r="234" spans="1:15" s="399" customFormat="1" ht="15" x14ac:dyDescent="0.25">
      <c r="A234" s="1">
        <v>230</v>
      </c>
      <c r="B234" s="1" t="s">
        <v>651</v>
      </c>
      <c r="C234" s="32">
        <v>6865</v>
      </c>
      <c r="D234" s="1">
        <v>10000</v>
      </c>
      <c r="E234" s="1" t="s">
        <v>80</v>
      </c>
      <c r="F234" s="1">
        <v>111.41</v>
      </c>
      <c r="G234" s="1">
        <v>10000</v>
      </c>
      <c r="H234" s="1">
        <f t="shared" si="4"/>
        <v>0</v>
      </c>
      <c r="I234" s="89"/>
      <c r="J234" s="89"/>
      <c r="K234" s="388"/>
      <c r="L234" s="48"/>
      <c r="M234" s="48"/>
      <c r="N234" s="370"/>
      <c r="O234" s="48"/>
    </row>
    <row r="235" spans="1:15" s="399" customFormat="1" ht="15" x14ac:dyDescent="0.25">
      <c r="A235" s="1">
        <v>231</v>
      </c>
      <c r="B235" s="1" t="s">
        <v>651</v>
      </c>
      <c r="C235" s="32">
        <v>4751</v>
      </c>
      <c r="D235" s="1">
        <v>28000</v>
      </c>
      <c r="E235" s="1" t="s">
        <v>80</v>
      </c>
      <c r="F235" s="1">
        <v>300.83999999999997</v>
      </c>
      <c r="G235" s="1">
        <v>28000</v>
      </c>
      <c r="H235" s="1">
        <f t="shared" si="4"/>
        <v>0</v>
      </c>
      <c r="I235" s="89"/>
      <c r="J235" s="89"/>
      <c r="K235" s="388"/>
      <c r="L235" s="48"/>
      <c r="M235" s="48"/>
      <c r="N235" s="370"/>
      <c r="O235" s="48"/>
    </row>
    <row r="236" spans="1:15" s="399" customFormat="1" ht="15" x14ac:dyDescent="0.25">
      <c r="A236" s="1">
        <v>232</v>
      </c>
      <c r="B236" s="1" t="s">
        <v>651</v>
      </c>
      <c r="C236" s="32">
        <v>7672</v>
      </c>
      <c r="D236" s="1">
        <v>26000</v>
      </c>
      <c r="E236" s="1" t="s">
        <v>80</v>
      </c>
      <c r="F236" s="1">
        <v>289.27</v>
      </c>
      <c r="G236" s="1">
        <v>26000</v>
      </c>
      <c r="H236" s="1">
        <f t="shared" si="4"/>
        <v>0</v>
      </c>
      <c r="I236" s="89"/>
      <c r="J236" s="89"/>
      <c r="K236" s="388"/>
      <c r="L236" s="48"/>
      <c r="M236" s="48"/>
      <c r="N236" s="370"/>
      <c r="O236" s="48"/>
    </row>
    <row r="237" spans="1:15" s="399" customFormat="1" ht="15" x14ac:dyDescent="0.25">
      <c r="A237" s="1">
        <v>233</v>
      </c>
      <c r="B237" s="1" t="s">
        <v>651</v>
      </c>
      <c r="C237" s="32">
        <v>3778</v>
      </c>
      <c r="D237" s="1">
        <v>20000</v>
      </c>
      <c r="E237" s="1"/>
      <c r="F237" s="1">
        <v>222.82</v>
      </c>
      <c r="G237" s="1">
        <v>20000</v>
      </c>
      <c r="H237" s="1">
        <f t="shared" si="4"/>
        <v>0</v>
      </c>
      <c r="I237" s="89"/>
      <c r="J237" s="89"/>
      <c r="K237" s="388"/>
      <c r="L237" s="48"/>
      <c r="M237" s="48"/>
      <c r="N237" s="370"/>
      <c r="O237" s="48"/>
    </row>
    <row r="238" spans="1:15" s="399" customFormat="1" ht="15" x14ac:dyDescent="0.25">
      <c r="A238" s="1">
        <v>234</v>
      </c>
      <c r="B238" s="1" t="s">
        <v>651</v>
      </c>
      <c r="C238" s="32">
        <v>2801</v>
      </c>
      <c r="D238" s="1">
        <v>12000</v>
      </c>
      <c r="E238" s="1" t="s">
        <v>80</v>
      </c>
      <c r="F238" s="1">
        <v>133.22</v>
      </c>
      <c r="G238" s="1">
        <v>12000</v>
      </c>
      <c r="H238" s="1">
        <f t="shared" si="4"/>
        <v>0</v>
      </c>
      <c r="I238" s="89"/>
      <c r="J238" s="89"/>
      <c r="K238" s="388"/>
      <c r="L238" s="48"/>
      <c r="M238" s="48"/>
      <c r="N238" s="370"/>
      <c r="O238" s="48"/>
    </row>
    <row r="239" spans="1:15" s="399" customFormat="1" ht="15" x14ac:dyDescent="0.25">
      <c r="A239" s="1">
        <v>235</v>
      </c>
      <c r="B239" s="1" t="s">
        <v>651</v>
      </c>
      <c r="C239" s="32">
        <v>7280</v>
      </c>
      <c r="D239" s="1">
        <v>15000</v>
      </c>
      <c r="E239" s="1" t="s">
        <v>80</v>
      </c>
      <c r="F239" s="1">
        <v>167.15</v>
      </c>
      <c r="G239" s="1">
        <v>15000</v>
      </c>
      <c r="H239" s="1">
        <f t="shared" si="4"/>
        <v>0</v>
      </c>
      <c r="I239" s="89"/>
      <c r="J239" s="89"/>
      <c r="K239" s="388"/>
      <c r="L239" s="48"/>
      <c r="M239" s="48"/>
      <c r="N239" s="370"/>
      <c r="O239" s="48"/>
    </row>
    <row r="240" spans="1:15" s="399" customFormat="1" ht="15" x14ac:dyDescent="0.25">
      <c r="A240" s="1">
        <v>236</v>
      </c>
      <c r="B240" s="1" t="s">
        <v>651</v>
      </c>
      <c r="C240" s="32">
        <v>2833</v>
      </c>
      <c r="D240" s="1">
        <v>14000</v>
      </c>
      <c r="E240" s="1" t="s">
        <v>80</v>
      </c>
      <c r="F240" s="1">
        <v>155.74</v>
      </c>
      <c r="G240" s="1">
        <v>14000</v>
      </c>
      <c r="H240" s="1">
        <f t="shared" si="4"/>
        <v>0</v>
      </c>
      <c r="I240" s="89"/>
      <c r="J240" s="89"/>
      <c r="K240" s="388"/>
      <c r="L240" s="48"/>
      <c r="M240" s="48"/>
      <c r="N240" s="370"/>
      <c r="O240" s="48"/>
    </row>
    <row r="241" spans="1:15" s="399" customFormat="1" ht="15" x14ac:dyDescent="0.25">
      <c r="A241" s="1">
        <v>237</v>
      </c>
      <c r="B241" s="1" t="s">
        <v>651</v>
      </c>
      <c r="C241" s="32">
        <v>2779</v>
      </c>
      <c r="D241" s="1">
        <v>25000</v>
      </c>
      <c r="E241" s="1" t="s">
        <v>80</v>
      </c>
      <c r="F241" s="1">
        <v>278.22000000000003</v>
      </c>
      <c r="G241" s="1">
        <v>25000</v>
      </c>
      <c r="H241" s="1">
        <f t="shared" si="4"/>
        <v>0</v>
      </c>
      <c r="I241" s="89"/>
      <c r="J241" s="89"/>
      <c r="K241" s="388"/>
      <c r="L241" s="48"/>
      <c r="M241" s="48"/>
      <c r="N241" s="370"/>
      <c r="O241" s="48"/>
    </row>
    <row r="242" spans="1:15" s="399" customFormat="1" ht="15" x14ac:dyDescent="0.25">
      <c r="A242" s="1">
        <v>238</v>
      </c>
      <c r="B242" s="1" t="s">
        <v>651</v>
      </c>
      <c r="C242" s="32">
        <v>3468</v>
      </c>
      <c r="D242" s="1">
        <v>24000</v>
      </c>
      <c r="E242" s="1" t="s">
        <v>80</v>
      </c>
      <c r="F242" s="1">
        <v>267.45</v>
      </c>
      <c r="G242" s="1">
        <v>24000</v>
      </c>
      <c r="H242" s="1">
        <f t="shared" si="4"/>
        <v>0</v>
      </c>
      <c r="I242" s="89"/>
      <c r="J242" s="89"/>
      <c r="K242" s="388"/>
      <c r="L242" s="48"/>
      <c r="M242" s="48"/>
      <c r="N242" s="370"/>
      <c r="O242" s="48"/>
    </row>
    <row r="243" spans="1:15" s="399" customFormat="1" ht="15" x14ac:dyDescent="0.25">
      <c r="A243" s="1">
        <v>239</v>
      </c>
      <c r="B243" s="1" t="s">
        <v>651</v>
      </c>
      <c r="C243" s="32">
        <v>8.2500000000000004E-2</v>
      </c>
      <c r="D243" s="1">
        <v>30000</v>
      </c>
      <c r="E243" s="1" t="s">
        <v>80</v>
      </c>
      <c r="F243" s="1">
        <v>334.84</v>
      </c>
      <c r="G243" s="1">
        <v>30000</v>
      </c>
      <c r="H243" s="1">
        <f t="shared" si="4"/>
        <v>0</v>
      </c>
      <c r="I243" s="89"/>
      <c r="J243" s="89"/>
      <c r="K243" s="388"/>
      <c r="L243" s="48"/>
      <c r="M243" s="48"/>
      <c r="N243" s="370"/>
      <c r="O243" s="48"/>
    </row>
    <row r="244" spans="1:15" s="399" customFormat="1" ht="15" x14ac:dyDescent="0.25">
      <c r="A244" s="1">
        <v>240</v>
      </c>
      <c r="B244" s="1" t="s">
        <v>651</v>
      </c>
      <c r="C244" s="32">
        <v>3799</v>
      </c>
      <c r="D244" s="1">
        <v>25000</v>
      </c>
      <c r="E244" s="1" t="s">
        <v>80</v>
      </c>
      <c r="F244" s="1">
        <v>278.22000000000003</v>
      </c>
      <c r="G244" s="1">
        <v>25000</v>
      </c>
      <c r="H244" s="1">
        <f t="shared" si="4"/>
        <v>0</v>
      </c>
      <c r="I244" s="89"/>
      <c r="J244" s="89"/>
      <c r="K244" s="388"/>
      <c r="L244" s="48"/>
      <c r="M244" s="48"/>
      <c r="N244" s="370"/>
      <c r="O244" s="48"/>
    </row>
    <row r="245" spans="1:15" s="399" customFormat="1" ht="15" x14ac:dyDescent="0.25">
      <c r="A245" s="1">
        <v>241</v>
      </c>
      <c r="B245" s="1" t="s">
        <v>651</v>
      </c>
      <c r="C245" s="32">
        <v>9705</v>
      </c>
      <c r="D245" s="1">
        <v>30000</v>
      </c>
      <c r="E245" s="1" t="s">
        <v>80</v>
      </c>
      <c r="F245" s="1">
        <v>325.77999999999997</v>
      </c>
      <c r="G245" s="1">
        <v>30000</v>
      </c>
      <c r="H245" s="1">
        <f t="shared" si="4"/>
        <v>0</v>
      </c>
      <c r="I245" s="89"/>
      <c r="J245" s="89"/>
      <c r="K245" s="388"/>
      <c r="L245" s="48"/>
      <c r="M245" s="48"/>
      <c r="N245" s="370"/>
      <c r="O245" s="48"/>
    </row>
    <row r="246" spans="1:15" s="399" customFormat="1" ht="15" x14ac:dyDescent="0.25">
      <c r="A246" s="1">
        <v>242</v>
      </c>
      <c r="B246" s="1" t="s">
        <v>651</v>
      </c>
      <c r="C246" s="32">
        <v>5056</v>
      </c>
      <c r="D246" s="1">
        <v>19000</v>
      </c>
      <c r="E246" s="1" t="s">
        <v>80</v>
      </c>
      <c r="F246" s="1">
        <v>211.25</v>
      </c>
      <c r="G246" s="1">
        <v>19000</v>
      </c>
      <c r="H246" s="1">
        <f t="shared" si="4"/>
        <v>0</v>
      </c>
      <c r="I246" s="89"/>
      <c r="J246" s="89"/>
      <c r="K246" s="388"/>
      <c r="L246" s="48"/>
      <c r="M246" s="48"/>
      <c r="N246" s="370"/>
      <c r="O246" s="48"/>
    </row>
    <row r="247" spans="1:15" s="399" customFormat="1" ht="15" x14ac:dyDescent="0.25">
      <c r="A247" s="1">
        <v>243</v>
      </c>
      <c r="B247" s="1" t="s">
        <v>651</v>
      </c>
      <c r="C247" s="32">
        <v>7247</v>
      </c>
      <c r="D247" s="1">
        <v>20000</v>
      </c>
      <c r="E247" s="1" t="s">
        <v>80</v>
      </c>
      <c r="F247" s="1">
        <v>222.82</v>
      </c>
      <c r="G247" s="1">
        <v>20000</v>
      </c>
      <c r="H247" s="1">
        <f t="shared" si="4"/>
        <v>0</v>
      </c>
      <c r="I247" s="89"/>
      <c r="J247" s="89"/>
      <c r="K247" s="388"/>
      <c r="L247" s="48"/>
      <c r="M247" s="48"/>
      <c r="N247" s="370"/>
      <c r="O247" s="48"/>
    </row>
    <row r="248" spans="1:15" s="399" customFormat="1" ht="15" x14ac:dyDescent="0.25">
      <c r="A248" s="1">
        <v>244</v>
      </c>
      <c r="B248" s="1" t="s">
        <v>651</v>
      </c>
      <c r="C248" s="32">
        <v>8617</v>
      </c>
      <c r="D248" s="1">
        <v>20000</v>
      </c>
      <c r="E248" s="1" t="s">
        <v>80</v>
      </c>
      <c r="F248" s="1">
        <v>222.82</v>
      </c>
      <c r="G248" s="1">
        <v>20000</v>
      </c>
      <c r="H248" s="1">
        <f t="shared" si="4"/>
        <v>0</v>
      </c>
      <c r="I248" s="89"/>
      <c r="J248" s="89"/>
      <c r="K248" s="388"/>
      <c r="L248" s="48"/>
      <c r="M248" s="48"/>
      <c r="N248" s="370"/>
      <c r="O248" s="48"/>
    </row>
    <row r="249" spans="1:15" s="399" customFormat="1" ht="15" x14ac:dyDescent="0.25">
      <c r="A249" s="1">
        <v>245</v>
      </c>
      <c r="B249" s="1" t="s">
        <v>651</v>
      </c>
      <c r="C249" s="32">
        <v>9032</v>
      </c>
      <c r="D249" s="1">
        <v>20000</v>
      </c>
      <c r="E249" s="1" t="s">
        <v>80</v>
      </c>
      <c r="F249" s="1">
        <v>222.82</v>
      </c>
      <c r="G249" s="1">
        <v>20000</v>
      </c>
      <c r="H249" s="1">
        <f t="shared" si="4"/>
        <v>0</v>
      </c>
      <c r="I249" s="89"/>
      <c r="J249" s="89"/>
      <c r="K249" s="388"/>
      <c r="L249" s="48"/>
      <c r="M249" s="48"/>
      <c r="N249" s="370"/>
      <c r="O249" s="48"/>
    </row>
    <row r="250" spans="1:15" s="399" customFormat="1" ht="15" x14ac:dyDescent="0.25">
      <c r="A250" s="1">
        <v>246</v>
      </c>
      <c r="B250" s="1" t="s">
        <v>651</v>
      </c>
      <c r="C250" s="32">
        <v>7090</v>
      </c>
      <c r="D250" s="1">
        <v>13000</v>
      </c>
      <c r="E250" s="1" t="s">
        <v>80</v>
      </c>
      <c r="F250" s="1">
        <v>144.13</v>
      </c>
      <c r="G250" s="1">
        <v>13000</v>
      </c>
      <c r="H250" s="1">
        <f t="shared" si="4"/>
        <v>0</v>
      </c>
      <c r="I250" s="89"/>
      <c r="J250" s="89"/>
      <c r="K250" s="388"/>
      <c r="L250" s="48"/>
      <c r="M250" s="48"/>
      <c r="N250" s="370"/>
      <c r="O250" s="48"/>
    </row>
    <row r="251" spans="1:15" s="399" customFormat="1" ht="15.75" thickBot="1" x14ac:dyDescent="0.3">
      <c r="A251" s="1">
        <v>247</v>
      </c>
      <c r="B251" s="1" t="s">
        <v>651</v>
      </c>
      <c r="C251" s="32">
        <v>2775</v>
      </c>
      <c r="D251" s="1">
        <v>13000</v>
      </c>
      <c r="E251" s="1" t="s">
        <v>80</v>
      </c>
      <c r="F251" s="1">
        <v>144.13</v>
      </c>
      <c r="G251" s="1">
        <v>13000</v>
      </c>
      <c r="H251" s="1">
        <f t="shared" si="4"/>
        <v>0</v>
      </c>
      <c r="I251" s="89"/>
      <c r="J251" s="89"/>
      <c r="K251" s="388"/>
      <c r="L251" s="48"/>
      <c r="M251" s="48"/>
      <c r="N251" s="370"/>
      <c r="O251" s="48"/>
    </row>
    <row r="252" spans="1:15" s="399" customFormat="1" ht="15.75" thickBot="1" x14ac:dyDescent="0.3">
      <c r="A252" s="1">
        <v>248</v>
      </c>
      <c r="B252" s="1" t="s">
        <v>651</v>
      </c>
      <c r="C252" s="32">
        <v>7641</v>
      </c>
      <c r="D252" s="1">
        <v>22000</v>
      </c>
      <c r="E252" s="1" t="s">
        <v>80</v>
      </c>
      <c r="F252" s="1">
        <v>245.57</v>
      </c>
      <c r="G252" s="1">
        <v>22000</v>
      </c>
      <c r="H252" s="1">
        <f t="shared" si="4"/>
        <v>0</v>
      </c>
      <c r="I252" s="89"/>
      <c r="J252" s="89"/>
      <c r="K252" s="103">
        <f>2345121-2338532</f>
        <v>6589</v>
      </c>
      <c r="L252" s="359" t="s">
        <v>619</v>
      </c>
      <c r="M252" s="359">
        <v>10326</v>
      </c>
      <c r="N252" s="367" t="s">
        <v>620</v>
      </c>
      <c r="O252" s="360">
        <f>10326-6589</f>
        <v>3737</v>
      </c>
    </row>
    <row r="253" spans="1:15" s="400" customFormat="1" ht="15" x14ac:dyDescent="0.25">
      <c r="A253" s="1">
        <v>249</v>
      </c>
      <c r="B253" s="1" t="s">
        <v>652</v>
      </c>
      <c r="C253" s="32">
        <v>3967</v>
      </c>
      <c r="D253" s="1">
        <v>20000</v>
      </c>
      <c r="E253" s="1" t="s">
        <v>80</v>
      </c>
      <c r="F253" s="1">
        <v>222.82</v>
      </c>
      <c r="G253" s="1">
        <v>20000</v>
      </c>
      <c r="H253" s="1">
        <f t="shared" si="4"/>
        <v>0</v>
      </c>
      <c r="I253" s="89"/>
      <c r="J253" s="89"/>
      <c r="K253" s="388"/>
      <c r="L253" s="48"/>
      <c r="M253" s="48"/>
      <c r="N253" s="370"/>
      <c r="O253" s="48"/>
    </row>
    <row r="254" spans="1:15" s="400" customFormat="1" ht="15" x14ac:dyDescent="0.25">
      <c r="A254" s="1">
        <v>250</v>
      </c>
      <c r="B254" s="1" t="s">
        <v>652</v>
      </c>
      <c r="C254" s="32">
        <v>6251</v>
      </c>
      <c r="D254" s="1">
        <v>13000</v>
      </c>
      <c r="E254" s="1" t="s">
        <v>80</v>
      </c>
      <c r="F254" s="1">
        <v>144.13</v>
      </c>
      <c r="G254" s="1">
        <v>13000</v>
      </c>
      <c r="H254" s="1">
        <f t="shared" si="4"/>
        <v>0</v>
      </c>
      <c r="I254" s="89"/>
      <c r="J254" s="89"/>
      <c r="K254" s="388"/>
      <c r="L254" s="48"/>
      <c r="M254" s="48"/>
      <c r="N254" s="370"/>
      <c r="O254" s="48"/>
    </row>
    <row r="255" spans="1:15" s="400" customFormat="1" ht="15" x14ac:dyDescent="0.25">
      <c r="A255" s="1">
        <v>251</v>
      </c>
      <c r="B255" s="1" t="s">
        <v>652</v>
      </c>
      <c r="C255" s="32">
        <v>6461</v>
      </c>
      <c r="D255" s="1">
        <v>30000</v>
      </c>
      <c r="E255" s="1" t="s">
        <v>80</v>
      </c>
      <c r="F255" s="1">
        <v>334.82</v>
      </c>
      <c r="G255" s="1">
        <v>30000</v>
      </c>
      <c r="H255" s="1">
        <f t="shared" si="4"/>
        <v>0</v>
      </c>
      <c r="I255" s="89"/>
      <c r="J255" s="89"/>
      <c r="K255" s="388"/>
      <c r="L255" s="48"/>
      <c r="M255" s="48"/>
      <c r="N255" s="370"/>
      <c r="O255" s="48"/>
    </row>
    <row r="256" spans="1:15" s="400" customFormat="1" ht="15" x14ac:dyDescent="0.25">
      <c r="A256" s="1">
        <v>252</v>
      </c>
      <c r="B256" s="1" t="s">
        <v>652</v>
      </c>
      <c r="C256" s="32">
        <v>3317</v>
      </c>
      <c r="D256" s="1">
        <v>30000</v>
      </c>
      <c r="E256" s="1" t="s">
        <v>80</v>
      </c>
      <c r="F256" s="1">
        <v>334.82</v>
      </c>
      <c r="G256" s="1">
        <v>30000</v>
      </c>
      <c r="H256" s="1">
        <f t="shared" si="4"/>
        <v>0</v>
      </c>
      <c r="I256" s="89"/>
      <c r="J256" s="89"/>
      <c r="K256" s="388"/>
      <c r="L256" s="48"/>
      <c r="M256" s="48"/>
      <c r="N256" s="370"/>
      <c r="O256" s="48"/>
    </row>
    <row r="257" spans="1:15" s="400" customFormat="1" ht="15" x14ac:dyDescent="0.25">
      <c r="A257" s="1">
        <v>253</v>
      </c>
      <c r="B257" s="1" t="s">
        <v>652</v>
      </c>
      <c r="C257" s="32">
        <v>7896</v>
      </c>
      <c r="D257" s="1">
        <v>10500</v>
      </c>
      <c r="E257" s="1" t="s">
        <v>80</v>
      </c>
      <c r="F257" s="1">
        <v>116.34</v>
      </c>
      <c r="G257" s="1">
        <v>10500</v>
      </c>
      <c r="H257" s="1">
        <f t="shared" si="4"/>
        <v>0</v>
      </c>
      <c r="I257" s="89"/>
      <c r="J257" s="89"/>
      <c r="K257" s="388"/>
      <c r="L257" s="48"/>
      <c r="M257" s="48"/>
      <c r="N257" s="370"/>
      <c r="O257" s="48"/>
    </row>
    <row r="258" spans="1:15" s="400" customFormat="1" ht="15" x14ac:dyDescent="0.25">
      <c r="A258" s="1">
        <v>254</v>
      </c>
      <c r="B258" s="1" t="s">
        <v>652</v>
      </c>
      <c r="C258" s="32">
        <v>6957</v>
      </c>
      <c r="D258" s="1">
        <v>17000</v>
      </c>
      <c r="E258" s="1" t="s">
        <v>80</v>
      </c>
      <c r="F258" s="1">
        <v>189.16</v>
      </c>
      <c r="G258" s="1">
        <v>17000</v>
      </c>
      <c r="H258" s="1">
        <f t="shared" si="4"/>
        <v>0</v>
      </c>
      <c r="I258" s="89"/>
      <c r="J258" s="89"/>
      <c r="K258" s="388"/>
      <c r="L258" s="48"/>
      <c r="M258" s="48"/>
      <c r="N258" s="370"/>
      <c r="O258" s="48"/>
    </row>
    <row r="259" spans="1:15" s="400" customFormat="1" ht="15" x14ac:dyDescent="0.25">
      <c r="A259" s="1">
        <v>255</v>
      </c>
      <c r="B259" s="1" t="s">
        <v>652</v>
      </c>
      <c r="C259" s="32" t="s">
        <v>633</v>
      </c>
      <c r="D259" s="1">
        <v>210</v>
      </c>
      <c r="E259" s="1" t="s">
        <v>80</v>
      </c>
      <c r="F259" s="1">
        <v>2.08</v>
      </c>
      <c r="G259" s="1">
        <v>210</v>
      </c>
      <c r="H259" s="1">
        <f t="shared" si="4"/>
        <v>0</v>
      </c>
      <c r="I259" s="89"/>
      <c r="J259" s="89"/>
      <c r="K259" s="388"/>
      <c r="L259" s="48"/>
      <c r="M259" s="48"/>
      <c r="N259" s="370"/>
      <c r="O259" s="48"/>
    </row>
    <row r="260" spans="1:15" s="400" customFormat="1" ht="15" x14ac:dyDescent="0.25">
      <c r="A260" s="1">
        <v>256</v>
      </c>
      <c r="B260" s="1" t="s">
        <v>652</v>
      </c>
      <c r="C260" s="32" t="s">
        <v>633</v>
      </c>
      <c r="D260" s="1">
        <v>210</v>
      </c>
      <c r="E260" s="1" t="s">
        <v>80</v>
      </c>
      <c r="F260" s="1">
        <v>2.08</v>
      </c>
      <c r="G260" s="1">
        <v>210</v>
      </c>
      <c r="H260" s="1">
        <f t="shared" si="4"/>
        <v>0</v>
      </c>
      <c r="I260" s="89"/>
      <c r="J260" s="89"/>
      <c r="K260" s="388"/>
      <c r="L260" s="48"/>
      <c r="M260" s="48"/>
      <c r="N260" s="370"/>
      <c r="O260" s="48"/>
    </row>
    <row r="261" spans="1:15" s="400" customFormat="1" ht="15" x14ac:dyDescent="0.25">
      <c r="A261" s="1">
        <v>257</v>
      </c>
      <c r="B261" s="1" t="s">
        <v>652</v>
      </c>
      <c r="C261" s="32" t="s">
        <v>30</v>
      </c>
      <c r="D261" s="1">
        <v>4500</v>
      </c>
      <c r="E261" s="1" t="s">
        <v>80</v>
      </c>
      <c r="F261" s="1">
        <v>50.55</v>
      </c>
      <c r="G261" s="1">
        <v>4500</v>
      </c>
      <c r="H261" s="1">
        <f t="shared" si="4"/>
        <v>0</v>
      </c>
      <c r="I261" s="89"/>
      <c r="J261" s="89"/>
      <c r="K261" s="388"/>
      <c r="L261" s="48"/>
      <c r="M261" s="48"/>
      <c r="N261" s="370"/>
      <c r="O261" s="48"/>
    </row>
    <row r="262" spans="1:15" s="400" customFormat="1" ht="15" x14ac:dyDescent="0.25">
      <c r="A262" s="1">
        <v>258</v>
      </c>
      <c r="B262" s="1" t="s">
        <v>652</v>
      </c>
      <c r="C262" s="32">
        <v>4.4499999999999998E-2</v>
      </c>
      <c r="D262" s="1">
        <v>13000</v>
      </c>
      <c r="E262" s="1" t="s">
        <v>80</v>
      </c>
      <c r="F262" s="1">
        <v>144.13</v>
      </c>
      <c r="G262" s="1">
        <v>13000</v>
      </c>
      <c r="H262" s="1">
        <f t="shared" si="4"/>
        <v>0</v>
      </c>
      <c r="I262" s="89"/>
      <c r="J262" s="89"/>
      <c r="K262" s="388"/>
      <c r="L262" s="48"/>
      <c r="M262" s="48"/>
      <c r="N262" s="370"/>
      <c r="O262" s="48"/>
    </row>
    <row r="263" spans="1:15" s="400" customFormat="1" ht="15" x14ac:dyDescent="0.25">
      <c r="A263" s="1">
        <v>259</v>
      </c>
      <c r="B263" s="1" t="s">
        <v>652</v>
      </c>
      <c r="C263" s="32">
        <v>1543</v>
      </c>
      <c r="D263" s="1">
        <v>15000</v>
      </c>
      <c r="E263" s="1" t="s">
        <v>80</v>
      </c>
      <c r="F263" s="1">
        <v>167.15</v>
      </c>
      <c r="G263" s="1">
        <v>15000</v>
      </c>
      <c r="H263" s="1">
        <f t="shared" si="4"/>
        <v>0</v>
      </c>
      <c r="I263" s="89"/>
      <c r="J263" s="89"/>
      <c r="K263" s="388"/>
      <c r="L263" s="48"/>
      <c r="M263" s="48"/>
      <c r="N263" s="370"/>
      <c r="O263" s="48"/>
    </row>
    <row r="264" spans="1:15" s="400" customFormat="1" ht="15" x14ac:dyDescent="0.25">
      <c r="A264" s="1">
        <v>260</v>
      </c>
      <c r="B264" s="1" t="s">
        <v>652</v>
      </c>
      <c r="C264" s="32">
        <v>6979</v>
      </c>
      <c r="D264" s="1">
        <v>14000</v>
      </c>
      <c r="E264" s="1" t="s">
        <v>80</v>
      </c>
      <c r="F264" s="1">
        <v>140.85</v>
      </c>
      <c r="G264" s="1">
        <v>14000</v>
      </c>
      <c r="H264" s="1">
        <f t="shared" si="4"/>
        <v>0</v>
      </c>
      <c r="I264" s="89"/>
      <c r="J264" s="89"/>
      <c r="K264" s="388"/>
      <c r="L264" s="48"/>
      <c r="M264" s="48"/>
      <c r="N264" s="370"/>
      <c r="O264" s="48"/>
    </row>
    <row r="265" spans="1:15" s="400" customFormat="1" ht="15" x14ac:dyDescent="0.25">
      <c r="A265" s="1">
        <v>261</v>
      </c>
      <c r="B265" s="1" t="s">
        <v>652</v>
      </c>
      <c r="C265" s="32">
        <v>1561</v>
      </c>
      <c r="D265" s="1">
        <v>40000</v>
      </c>
      <c r="E265" s="1" t="s">
        <v>80</v>
      </c>
      <c r="F265" s="1">
        <v>423.4</v>
      </c>
      <c r="G265" s="1">
        <v>40000</v>
      </c>
      <c r="H265" s="1">
        <f t="shared" si="4"/>
        <v>0</v>
      </c>
      <c r="I265" s="89"/>
      <c r="J265" s="89"/>
      <c r="K265" s="388"/>
      <c r="L265" s="48"/>
      <c r="M265" s="48"/>
      <c r="N265" s="370"/>
      <c r="O265" s="48"/>
    </row>
    <row r="266" spans="1:15" s="400" customFormat="1" ht="15" x14ac:dyDescent="0.25">
      <c r="A266" s="1">
        <v>262</v>
      </c>
      <c r="B266" s="1" t="s">
        <v>652</v>
      </c>
      <c r="C266" s="32">
        <v>3383</v>
      </c>
      <c r="D266" s="1">
        <v>20000</v>
      </c>
      <c r="E266" s="1" t="s">
        <v>80</v>
      </c>
      <c r="F266" s="1">
        <v>222.82</v>
      </c>
      <c r="G266" s="1">
        <v>20000</v>
      </c>
      <c r="H266" s="1">
        <f t="shared" si="4"/>
        <v>0</v>
      </c>
      <c r="I266" s="89"/>
      <c r="J266" s="89"/>
      <c r="K266" s="388"/>
      <c r="L266" s="48"/>
      <c r="M266" s="48"/>
      <c r="N266" s="370"/>
      <c r="O266" s="48"/>
    </row>
    <row r="267" spans="1:15" s="400" customFormat="1" ht="15.75" thickBot="1" x14ac:dyDescent="0.3">
      <c r="A267" s="1">
        <v>263</v>
      </c>
      <c r="B267" s="1" t="s">
        <v>652</v>
      </c>
      <c r="C267" s="32">
        <v>4083</v>
      </c>
      <c r="D267" s="1">
        <v>29000</v>
      </c>
      <c r="E267" s="1" t="s">
        <v>80</v>
      </c>
      <c r="F267" s="1">
        <v>325.67</v>
      </c>
      <c r="G267" s="1">
        <v>29000</v>
      </c>
      <c r="H267" s="1">
        <f t="shared" si="4"/>
        <v>0</v>
      </c>
      <c r="I267" s="89"/>
      <c r="J267" s="89"/>
      <c r="K267" s="388"/>
      <c r="L267" s="48"/>
      <c r="M267" s="48"/>
      <c r="N267" s="370"/>
      <c r="O267" s="48"/>
    </row>
    <row r="268" spans="1:15" s="400" customFormat="1" ht="15.75" thickBot="1" x14ac:dyDescent="0.3">
      <c r="A268" s="1">
        <v>264</v>
      </c>
      <c r="B268" s="1" t="s">
        <v>652</v>
      </c>
      <c r="C268" s="32">
        <v>1.4800000000000001E-2</v>
      </c>
      <c r="D268" s="1">
        <v>14000</v>
      </c>
      <c r="E268" s="1"/>
      <c r="F268" s="1">
        <v>155.41999999999999</v>
      </c>
      <c r="G268" s="1">
        <v>14000</v>
      </c>
      <c r="H268" s="1">
        <f t="shared" si="4"/>
        <v>0</v>
      </c>
      <c r="I268" s="89"/>
      <c r="J268" s="89"/>
      <c r="K268" s="103">
        <f>2148895-2108952</f>
        <v>39943</v>
      </c>
      <c r="L268" s="359" t="s">
        <v>619</v>
      </c>
      <c r="M268" s="359">
        <v>43676</v>
      </c>
      <c r="N268" s="367" t="s">
        <v>620</v>
      </c>
      <c r="O268" s="360">
        <f>43676-39943</f>
        <v>3733</v>
      </c>
    </row>
    <row r="269" spans="1:15" s="401" customFormat="1" ht="15" x14ac:dyDescent="0.25">
      <c r="A269" s="1">
        <v>265</v>
      </c>
      <c r="B269" s="1" t="s">
        <v>653</v>
      </c>
      <c r="C269" s="32" t="s">
        <v>30</v>
      </c>
      <c r="D269" s="1">
        <v>5000</v>
      </c>
      <c r="E269" s="1" t="s">
        <v>80</v>
      </c>
      <c r="F269" s="1">
        <v>55.45</v>
      </c>
      <c r="G269" s="1">
        <v>5000</v>
      </c>
      <c r="H269" s="1">
        <f t="shared" si="4"/>
        <v>0</v>
      </c>
      <c r="I269" s="89"/>
      <c r="J269" s="89"/>
      <c r="K269" s="388"/>
      <c r="L269" s="48"/>
      <c r="M269" s="48"/>
      <c r="N269" s="370"/>
      <c r="O269" s="48"/>
    </row>
    <row r="270" spans="1:15" s="401" customFormat="1" ht="15" x14ac:dyDescent="0.25">
      <c r="A270" s="1">
        <v>266</v>
      </c>
      <c r="B270" s="1" t="s">
        <v>653</v>
      </c>
      <c r="C270" s="32">
        <v>1547</v>
      </c>
      <c r="D270" s="1">
        <v>17000</v>
      </c>
      <c r="E270" s="1" t="s">
        <v>80</v>
      </c>
      <c r="F270" s="1">
        <v>189.47</v>
      </c>
      <c r="G270" s="1">
        <v>17000</v>
      </c>
      <c r="H270" s="1">
        <f t="shared" si="4"/>
        <v>0</v>
      </c>
      <c r="I270" s="89"/>
      <c r="J270" s="89"/>
      <c r="K270" s="388"/>
      <c r="L270" s="48"/>
      <c r="M270" s="48"/>
      <c r="N270" s="370"/>
      <c r="O270" s="48"/>
    </row>
    <row r="271" spans="1:15" s="401" customFormat="1" ht="15" x14ac:dyDescent="0.25">
      <c r="A271" s="1">
        <v>267</v>
      </c>
      <c r="B271" s="1" t="s">
        <v>653</v>
      </c>
      <c r="C271" s="32">
        <v>3886</v>
      </c>
      <c r="D271" s="1">
        <v>6500</v>
      </c>
      <c r="E271" s="1" t="s">
        <v>80</v>
      </c>
      <c r="F271" s="1">
        <v>72.650000000000006</v>
      </c>
      <c r="G271" s="1">
        <v>6500</v>
      </c>
      <c r="H271" s="1">
        <f t="shared" si="4"/>
        <v>0</v>
      </c>
      <c r="I271" s="89"/>
      <c r="J271" s="89"/>
      <c r="K271" s="388"/>
      <c r="L271" s="48"/>
      <c r="M271" s="48"/>
      <c r="N271" s="370"/>
      <c r="O271" s="48"/>
    </row>
    <row r="272" spans="1:15" s="401" customFormat="1" ht="15" x14ac:dyDescent="0.25">
      <c r="A272" s="1">
        <v>268</v>
      </c>
      <c r="B272" s="1" t="s">
        <v>653</v>
      </c>
      <c r="C272" s="32">
        <v>1416</v>
      </c>
      <c r="D272" s="1">
        <v>10000</v>
      </c>
      <c r="E272" s="1" t="s">
        <v>80</v>
      </c>
      <c r="F272" s="1">
        <v>111.41</v>
      </c>
      <c r="G272" s="1">
        <v>10000</v>
      </c>
      <c r="H272" s="1">
        <f t="shared" si="4"/>
        <v>0</v>
      </c>
      <c r="I272" s="89"/>
      <c r="J272" s="89"/>
      <c r="K272" s="388"/>
      <c r="L272" s="48"/>
      <c r="M272" s="48"/>
      <c r="N272" s="370"/>
      <c r="O272" s="48"/>
    </row>
    <row r="273" spans="1:15" s="401" customFormat="1" ht="15" x14ac:dyDescent="0.25">
      <c r="A273" s="1">
        <v>269</v>
      </c>
      <c r="B273" s="1" t="s">
        <v>653</v>
      </c>
      <c r="C273" s="32">
        <v>9767</v>
      </c>
      <c r="D273" s="1">
        <v>13000</v>
      </c>
      <c r="E273" s="1" t="s">
        <v>80</v>
      </c>
      <c r="F273" s="1">
        <v>149.54</v>
      </c>
      <c r="G273" s="1">
        <v>13000</v>
      </c>
      <c r="H273" s="1">
        <f t="shared" si="4"/>
        <v>0</v>
      </c>
      <c r="I273" s="89"/>
      <c r="J273" s="89"/>
      <c r="K273" s="388"/>
      <c r="L273" s="48"/>
      <c r="M273" s="48"/>
      <c r="N273" s="370"/>
      <c r="O273" s="48"/>
    </row>
    <row r="274" spans="1:15" s="401" customFormat="1" ht="15" x14ac:dyDescent="0.25">
      <c r="A274" s="1">
        <v>270</v>
      </c>
      <c r="B274" s="1" t="s">
        <v>653</v>
      </c>
      <c r="C274" s="32">
        <v>9777</v>
      </c>
      <c r="D274" s="1">
        <v>16000</v>
      </c>
      <c r="E274" s="1" t="s">
        <v>80</v>
      </c>
      <c r="F274" s="1">
        <v>178.22</v>
      </c>
      <c r="G274" s="1">
        <v>16000</v>
      </c>
      <c r="H274" s="1">
        <f t="shared" si="4"/>
        <v>0</v>
      </c>
      <c r="I274" s="89"/>
      <c r="J274" s="89"/>
      <c r="K274" s="388"/>
      <c r="L274" s="48"/>
      <c r="M274" s="48"/>
      <c r="N274" s="370"/>
      <c r="O274" s="48"/>
    </row>
    <row r="275" spans="1:15" s="401" customFormat="1" ht="15" x14ac:dyDescent="0.25">
      <c r="A275" s="1">
        <v>271</v>
      </c>
      <c r="B275" s="1" t="s">
        <v>653</v>
      </c>
      <c r="C275" s="32">
        <v>6088</v>
      </c>
      <c r="D275" s="1">
        <v>20000</v>
      </c>
      <c r="E275" s="1" t="s">
        <v>80</v>
      </c>
      <c r="F275" s="1">
        <v>222.82</v>
      </c>
      <c r="G275" s="1">
        <v>20000</v>
      </c>
      <c r="H275" s="1">
        <f t="shared" si="4"/>
        <v>0</v>
      </c>
      <c r="I275" s="89"/>
      <c r="J275" s="89"/>
      <c r="K275" s="388"/>
      <c r="L275" s="48"/>
      <c r="M275" s="48"/>
      <c r="N275" s="370"/>
      <c r="O275" s="48"/>
    </row>
    <row r="276" spans="1:15" s="401" customFormat="1" ht="15" x14ac:dyDescent="0.25">
      <c r="A276" s="1">
        <v>272</v>
      </c>
      <c r="B276" s="1" t="s">
        <v>653</v>
      </c>
      <c r="C276" s="32">
        <v>7088</v>
      </c>
      <c r="D276" s="1">
        <v>20000</v>
      </c>
      <c r="E276" s="1" t="s">
        <v>80</v>
      </c>
      <c r="F276" s="1">
        <v>222.82</v>
      </c>
      <c r="G276" s="1">
        <v>20000</v>
      </c>
      <c r="H276" s="1">
        <f t="shared" si="4"/>
        <v>0</v>
      </c>
      <c r="I276" s="89"/>
      <c r="J276" s="89"/>
      <c r="K276" s="388"/>
      <c r="L276" s="48"/>
      <c r="M276" s="48"/>
      <c r="N276" s="370"/>
      <c r="O276" s="48"/>
    </row>
    <row r="277" spans="1:15" s="401" customFormat="1" ht="15" x14ac:dyDescent="0.25">
      <c r="A277" s="1">
        <v>273</v>
      </c>
      <c r="B277" s="1" t="s">
        <v>653</v>
      </c>
      <c r="C277" s="32">
        <v>9376</v>
      </c>
      <c r="D277" s="1">
        <v>27006</v>
      </c>
      <c r="E277" s="1" t="s">
        <v>80</v>
      </c>
      <c r="F277" s="1">
        <v>300.57</v>
      </c>
      <c r="G277" s="1">
        <v>27006</v>
      </c>
      <c r="H277" s="1">
        <f t="shared" si="4"/>
        <v>0</v>
      </c>
      <c r="I277" s="89"/>
      <c r="J277" s="89"/>
      <c r="K277" s="388"/>
      <c r="L277" s="48"/>
      <c r="M277" s="48"/>
      <c r="N277" s="370"/>
      <c r="O277" s="48"/>
    </row>
    <row r="278" spans="1:15" s="401" customFormat="1" ht="15" x14ac:dyDescent="0.25">
      <c r="A278" s="1">
        <v>274</v>
      </c>
      <c r="B278" s="1" t="s">
        <v>653</v>
      </c>
      <c r="C278" s="32">
        <v>6214</v>
      </c>
      <c r="D278" s="1">
        <v>15000</v>
      </c>
      <c r="E278" s="1" t="s">
        <v>80</v>
      </c>
      <c r="F278" s="1">
        <v>167.15</v>
      </c>
      <c r="G278" s="1">
        <v>15000</v>
      </c>
      <c r="H278" s="1">
        <f t="shared" ref="H278:H342" si="5">D278-G278</f>
        <v>0</v>
      </c>
      <c r="I278" s="89"/>
      <c r="J278" s="89"/>
      <c r="K278" s="388"/>
      <c r="L278" s="48"/>
      <c r="M278" s="48"/>
      <c r="N278" s="370"/>
      <c r="O278" s="48"/>
    </row>
    <row r="279" spans="1:15" s="401" customFormat="1" ht="15" x14ac:dyDescent="0.25">
      <c r="A279" s="1">
        <v>275</v>
      </c>
      <c r="B279" s="1" t="s">
        <v>653</v>
      </c>
      <c r="C279" s="32">
        <v>2496</v>
      </c>
      <c r="D279" s="1">
        <v>10000</v>
      </c>
      <c r="E279" s="1" t="s">
        <v>80</v>
      </c>
      <c r="F279" s="1">
        <v>111.41</v>
      </c>
      <c r="G279" s="1">
        <v>10000</v>
      </c>
      <c r="H279" s="1">
        <f t="shared" si="5"/>
        <v>0</v>
      </c>
      <c r="I279" s="89"/>
      <c r="J279" s="89"/>
      <c r="K279" s="388"/>
      <c r="L279" s="48"/>
      <c r="M279" s="48"/>
      <c r="N279" s="370"/>
      <c r="O279" s="48"/>
    </row>
    <row r="280" spans="1:15" s="401" customFormat="1" ht="15" x14ac:dyDescent="0.25">
      <c r="A280" s="1">
        <v>276</v>
      </c>
      <c r="B280" s="1" t="s">
        <v>653</v>
      </c>
      <c r="C280" s="32">
        <v>6495</v>
      </c>
      <c r="D280" s="1">
        <v>30000</v>
      </c>
      <c r="E280" s="1" t="s">
        <v>80</v>
      </c>
      <c r="F280" s="1">
        <v>331.49</v>
      </c>
      <c r="G280" s="1">
        <v>30000</v>
      </c>
      <c r="H280" s="1">
        <f t="shared" si="5"/>
        <v>0</v>
      </c>
      <c r="I280" s="89"/>
      <c r="J280" s="89"/>
      <c r="K280" s="388"/>
      <c r="L280" s="48"/>
      <c r="M280" s="48"/>
      <c r="N280" s="370"/>
      <c r="O280" s="48"/>
    </row>
    <row r="281" spans="1:15" s="401" customFormat="1" ht="15" x14ac:dyDescent="0.25">
      <c r="A281" s="1">
        <v>277</v>
      </c>
      <c r="B281" s="1" t="s">
        <v>653</v>
      </c>
      <c r="C281" s="32">
        <v>9107</v>
      </c>
      <c r="D281" s="1">
        <v>22000</v>
      </c>
      <c r="E281" s="1" t="s">
        <v>80</v>
      </c>
      <c r="F281" s="1">
        <v>241.31</v>
      </c>
      <c r="G281" s="1">
        <v>22000</v>
      </c>
      <c r="H281" s="1">
        <f t="shared" si="5"/>
        <v>0</v>
      </c>
      <c r="I281" s="89"/>
      <c r="J281" s="89"/>
      <c r="K281" s="388"/>
      <c r="L281" s="48"/>
      <c r="M281" s="48"/>
      <c r="N281" s="370"/>
      <c r="O281" s="48"/>
    </row>
    <row r="282" spans="1:15" s="401" customFormat="1" ht="15" x14ac:dyDescent="0.25">
      <c r="A282" s="1">
        <v>278</v>
      </c>
      <c r="B282" s="1" t="s">
        <v>653</v>
      </c>
      <c r="C282" s="32">
        <v>1826</v>
      </c>
      <c r="D282" s="1">
        <v>20000</v>
      </c>
      <c r="E282" s="1" t="s">
        <v>80</v>
      </c>
      <c r="F282" s="1">
        <v>222.82</v>
      </c>
      <c r="G282" s="1">
        <v>20000</v>
      </c>
      <c r="H282" s="1">
        <f t="shared" si="5"/>
        <v>0</v>
      </c>
      <c r="I282" s="89"/>
      <c r="J282" s="89"/>
      <c r="K282" s="388"/>
      <c r="L282" s="48"/>
      <c r="M282" s="48"/>
      <c r="N282" s="370"/>
      <c r="O282" s="48"/>
    </row>
    <row r="283" spans="1:15" s="401" customFormat="1" ht="15" x14ac:dyDescent="0.25">
      <c r="A283" s="1">
        <v>279</v>
      </c>
      <c r="B283" s="1" t="s">
        <v>653</v>
      </c>
      <c r="C283" s="32">
        <v>9108</v>
      </c>
      <c r="D283" s="1">
        <v>26000</v>
      </c>
      <c r="E283" s="1" t="s">
        <v>80</v>
      </c>
      <c r="F283" s="1">
        <v>271.22000000000003</v>
      </c>
      <c r="G283" s="1">
        <v>26000</v>
      </c>
      <c r="H283" s="1">
        <f t="shared" si="5"/>
        <v>0</v>
      </c>
      <c r="I283" s="89"/>
      <c r="J283" s="89"/>
      <c r="K283" s="388"/>
      <c r="L283" s="48"/>
      <c r="M283" s="48"/>
      <c r="N283" s="370"/>
      <c r="O283" s="48"/>
    </row>
    <row r="284" spans="1:15" s="401" customFormat="1" ht="15" x14ac:dyDescent="0.25">
      <c r="A284" s="1">
        <v>280</v>
      </c>
      <c r="B284" s="1" t="s">
        <v>653</v>
      </c>
      <c r="C284" s="32">
        <v>9992</v>
      </c>
      <c r="D284" s="1">
        <v>26000</v>
      </c>
      <c r="E284" s="1" t="s">
        <v>80</v>
      </c>
      <c r="F284" s="1">
        <v>271.22000000000003</v>
      </c>
      <c r="G284" s="1">
        <v>26000</v>
      </c>
      <c r="H284" s="1">
        <f t="shared" si="5"/>
        <v>0</v>
      </c>
      <c r="I284" s="89"/>
      <c r="J284" s="89"/>
      <c r="K284" s="388"/>
      <c r="L284" s="48"/>
      <c r="M284" s="48"/>
      <c r="N284" s="370"/>
      <c r="O284" s="48"/>
    </row>
    <row r="285" spans="1:15" s="401" customFormat="1" ht="15" x14ac:dyDescent="0.25">
      <c r="A285" s="1">
        <v>281</v>
      </c>
      <c r="B285" s="1" t="s">
        <v>653</v>
      </c>
      <c r="C285" s="32">
        <v>4575</v>
      </c>
      <c r="D285" s="1">
        <v>13000</v>
      </c>
      <c r="E285" s="1" t="s">
        <v>80</v>
      </c>
      <c r="F285" s="1">
        <v>144.13</v>
      </c>
      <c r="G285" s="1">
        <v>13000</v>
      </c>
      <c r="H285" s="1">
        <f t="shared" si="5"/>
        <v>0</v>
      </c>
      <c r="I285" s="89"/>
      <c r="J285" s="89"/>
      <c r="K285" s="388"/>
      <c r="L285" s="48"/>
      <c r="M285" s="48"/>
      <c r="N285" s="370"/>
      <c r="O285" s="48"/>
    </row>
    <row r="286" spans="1:15" s="401" customFormat="1" ht="15" x14ac:dyDescent="0.25">
      <c r="A286" s="1">
        <v>282</v>
      </c>
      <c r="B286" s="1" t="s">
        <v>653</v>
      </c>
      <c r="C286" s="32">
        <v>5991</v>
      </c>
      <c r="D286" s="1">
        <v>30000</v>
      </c>
      <c r="E286" s="1" t="s">
        <v>80</v>
      </c>
      <c r="F286" s="1">
        <v>331.49</v>
      </c>
      <c r="G286" s="1">
        <v>30000</v>
      </c>
      <c r="H286" s="1">
        <f t="shared" si="5"/>
        <v>0</v>
      </c>
      <c r="I286" s="89"/>
      <c r="J286" s="89"/>
      <c r="K286" s="388"/>
      <c r="L286" s="48"/>
      <c r="M286" s="48"/>
      <c r="N286" s="370"/>
      <c r="O286" s="48"/>
    </row>
    <row r="287" spans="1:15" s="401" customFormat="1" ht="15" x14ac:dyDescent="0.25">
      <c r="A287" s="1">
        <v>283</v>
      </c>
      <c r="B287" s="1" t="s">
        <v>653</v>
      </c>
      <c r="C287" s="32">
        <v>5515</v>
      </c>
      <c r="D287" s="1">
        <v>20000</v>
      </c>
      <c r="E287" s="1" t="s">
        <v>80</v>
      </c>
      <c r="F287" s="1">
        <v>222.82</v>
      </c>
      <c r="G287" s="1">
        <v>20000</v>
      </c>
      <c r="H287" s="1">
        <f t="shared" si="5"/>
        <v>0</v>
      </c>
      <c r="I287" s="89"/>
      <c r="J287" s="89"/>
      <c r="K287" s="388"/>
      <c r="L287" s="48"/>
      <c r="M287" s="48"/>
      <c r="N287" s="370"/>
      <c r="O287" s="48"/>
    </row>
    <row r="288" spans="1:15" s="401" customFormat="1" ht="15" x14ac:dyDescent="0.25">
      <c r="A288" s="1">
        <v>284</v>
      </c>
      <c r="B288" s="1" t="s">
        <v>653</v>
      </c>
      <c r="C288" s="32">
        <v>3974</v>
      </c>
      <c r="D288" s="1">
        <v>25000</v>
      </c>
      <c r="E288" s="1" t="s">
        <v>80</v>
      </c>
      <c r="F288" s="1">
        <v>278.22000000000003</v>
      </c>
      <c r="G288" s="1">
        <v>25000</v>
      </c>
      <c r="H288" s="1">
        <f t="shared" si="5"/>
        <v>0</v>
      </c>
      <c r="I288" s="89"/>
      <c r="J288" s="89"/>
      <c r="K288" s="388"/>
      <c r="L288" s="48"/>
      <c r="M288" s="48"/>
      <c r="N288" s="370"/>
      <c r="O288" s="48"/>
    </row>
    <row r="289" spans="1:15" s="401" customFormat="1" ht="15" x14ac:dyDescent="0.25">
      <c r="A289" s="1">
        <v>285</v>
      </c>
      <c r="B289" s="1" t="s">
        <v>653</v>
      </c>
      <c r="C289" s="32">
        <v>1467</v>
      </c>
      <c r="D289" s="1">
        <v>22000</v>
      </c>
      <c r="E289" s="1" t="s">
        <v>80</v>
      </c>
      <c r="F289" s="1">
        <v>245.71</v>
      </c>
      <c r="G289" s="1">
        <v>22000</v>
      </c>
      <c r="H289" s="1">
        <f t="shared" si="5"/>
        <v>0</v>
      </c>
      <c r="I289" s="89"/>
      <c r="J289" s="89"/>
      <c r="K289" s="388"/>
      <c r="L289" s="48"/>
      <c r="M289" s="48"/>
      <c r="N289" s="370"/>
      <c r="O289" s="48"/>
    </row>
    <row r="290" spans="1:15" s="401" customFormat="1" ht="15.75" thickBot="1" x14ac:dyDescent="0.3">
      <c r="A290" s="1">
        <v>286</v>
      </c>
      <c r="B290" s="1" t="s">
        <v>653</v>
      </c>
      <c r="C290" s="32">
        <v>9991</v>
      </c>
      <c r="D290" s="1">
        <v>13000</v>
      </c>
      <c r="E290" s="1" t="s">
        <v>80</v>
      </c>
      <c r="F290" s="1">
        <v>144.13</v>
      </c>
      <c r="G290" s="1">
        <v>13000</v>
      </c>
      <c r="H290" s="1">
        <f t="shared" si="5"/>
        <v>0</v>
      </c>
      <c r="I290" s="89"/>
      <c r="J290" s="89"/>
      <c r="K290" s="388"/>
      <c r="L290" s="48"/>
      <c r="M290" s="48"/>
      <c r="N290" s="370"/>
      <c r="O290" s="48"/>
    </row>
    <row r="291" spans="1:15" s="401" customFormat="1" ht="15.75" thickBot="1" x14ac:dyDescent="0.3">
      <c r="A291" s="1">
        <v>287</v>
      </c>
      <c r="B291" s="1" t="s">
        <v>653</v>
      </c>
      <c r="C291" s="32">
        <v>7.2099999999999997E-2</v>
      </c>
      <c r="D291" s="1">
        <v>13000</v>
      </c>
      <c r="E291" s="1" t="s">
        <v>80</v>
      </c>
      <c r="F291" s="1">
        <v>144.13</v>
      </c>
      <c r="G291" s="1">
        <v>13000</v>
      </c>
      <c r="H291" s="1">
        <f t="shared" si="5"/>
        <v>0</v>
      </c>
      <c r="I291" s="89"/>
      <c r="J291" s="89"/>
      <c r="K291" s="103">
        <f>2235048-2228452</f>
        <v>6596</v>
      </c>
      <c r="L291" s="359" t="s">
        <v>619</v>
      </c>
      <c r="M291" s="359">
        <v>10323</v>
      </c>
      <c r="N291" s="367" t="s">
        <v>620</v>
      </c>
      <c r="O291" s="360">
        <f>10323-6596</f>
        <v>3727</v>
      </c>
    </row>
    <row r="292" spans="1:15" s="402" customFormat="1" ht="15" x14ac:dyDescent="0.25">
      <c r="A292" s="1">
        <v>288</v>
      </c>
      <c r="B292" s="1" t="s">
        <v>654</v>
      </c>
      <c r="C292" s="32">
        <v>6748</v>
      </c>
      <c r="D292" s="1">
        <v>15000</v>
      </c>
      <c r="E292" s="1" t="s">
        <v>80</v>
      </c>
      <c r="F292" s="1">
        <v>167.15</v>
      </c>
      <c r="G292" s="1">
        <v>15000</v>
      </c>
      <c r="H292" s="1">
        <f t="shared" si="5"/>
        <v>0</v>
      </c>
      <c r="I292" s="89"/>
      <c r="J292" s="89"/>
      <c r="K292" s="388"/>
      <c r="L292" s="48"/>
      <c r="M292" s="48"/>
      <c r="N292" s="370"/>
      <c r="O292" s="48"/>
    </row>
    <row r="293" spans="1:15" s="402" customFormat="1" ht="15" x14ac:dyDescent="0.25">
      <c r="A293" s="1">
        <v>289</v>
      </c>
      <c r="B293" s="1" t="s">
        <v>654</v>
      </c>
      <c r="C293" s="32">
        <v>1677</v>
      </c>
      <c r="D293" s="1">
        <v>25000</v>
      </c>
      <c r="E293" s="1" t="s">
        <v>80</v>
      </c>
      <c r="F293" s="1">
        <v>278.22000000000003</v>
      </c>
      <c r="G293" s="1">
        <v>25000</v>
      </c>
      <c r="H293" s="1">
        <f t="shared" si="5"/>
        <v>0</v>
      </c>
      <c r="I293" s="89"/>
      <c r="J293" s="89"/>
      <c r="K293" s="388"/>
      <c r="L293" s="48"/>
      <c r="M293" s="48"/>
      <c r="N293" s="370"/>
      <c r="O293" s="48"/>
    </row>
    <row r="294" spans="1:15" s="402" customFormat="1" ht="15" x14ac:dyDescent="0.25">
      <c r="A294" s="1">
        <v>290</v>
      </c>
      <c r="B294" s="1" t="s">
        <v>654</v>
      </c>
      <c r="C294" s="32" t="s">
        <v>30</v>
      </c>
      <c r="D294" s="1">
        <v>4500</v>
      </c>
      <c r="E294" s="1" t="s">
        <v>80</v>
      </c>
      <c r="F294" s="1">
        <v>50.55</v>
      </c>
      <c r="G294" s="1">
        <v>4500</v>
      </c>
      <c r="H294" s="1">
        <f t="shared" si="5"/>
        <v>0</v>
      </c>
      <c r="I294" s="89"/>
      <c r="J294" s="89"/>
      <c r="K294" s="388"/>
      <c r="L294" s="48"/>
      <c r="M294" s="48"/>
      <c r="N294" s="370"/>
      <c r="O294" s="48"/>
    </row>
    <row r="295" spans="1:15" s="402" customFormat="1" ht="15" x14ac:dyDescent="0.25">
      <c r="A295" s="1">
        <v>291</v>
      </c>
      <c r="B295" s="1" t="s">
        <v>654</v>
      </c>
      <c r="C295" s="32" t="s">
        <v>633</v>
      </c>
      <c r="D295" s="1">
        <v>210</v>
      </c>
      <c r="E295" s="1" t="s">
        <v>80</v>
      </c>
      <c r="F295" s="1">
        <v>2.1</v>
      </c>
      <c r="G295" s="1">
        <v>210</v>
      </c>
      <c r="H295" s="1">
        <f t="shared" si="5"/>
        <v>0</v>
      </c>
      <c r="I295" s="89"/>
      <c r="J295" s="89"/>
      <c r="K295" s="388"/>
      <c r="L295" s="48"/>
      <c r="M295" s="48"/>
      <c r="N295" s="370"/>
      <c r="O295" s="48"/>
    </row>
    <row r="296" spans="1:15" s="402" customFormat="1" ht="15" x14ac:dyDescent="0.25">
      <c r="A296" s="1">
        <v>292</v>
      </c>
      <c r="B296" s="1" t="s">
        <v>654</v>
      </c>
      <c r="C296" s="32">
        <v>5484</v>
      </c>
      <c r="D296" s="1">
        <v>22000</v>
      </c>
      <c r="E296" s="1" t="s">
        <v>80</v>
      </c>
      <c r="F296" s="1">
        <v>245.78</v>
      </c>
      <c r="G296" s="1">
        <v>22000</v>
      </c>
      <c r="H296" s="1">
        <f t="shared" si="5"/>
        <v>0</v>
      </c>
      <c r="I296" s="89"/>
      <c r="J296" s="89"/>
      <c r="K296" s="388"/>
      <c r="L296" s="48"/>
      <c r="M296" s="48"/>
      <c r="N296" s="370"/>
      <c r="O296" s="48"/>
    </row>
    <row r="297" spans="1:15" s="402" customFormat="1" ht="15" x14ac:dyDescent="0.25">
      <c r="A297" s="1">
        <v>293</v>
      </c>
      <c r="B297" s="1" t="s">
        <v>654</v>
      </c>
      <c r="C297" s="32">
        <v>1477</v>
      </c>
      <c r="D297" s="1">
        <v>15000</v>
      </c>
      <c r="E297" s="1" t="s">
        <v>80</v>
      </c>
      <c r="F297" s="1">
        <v>167.15</v>
      </c>
      <c r="G297" s="1">
        <v>15000</v>
      </c>
      <c r="H297" s="1">
        <f t="shared" si="5"/>
        <v>0</v>
      </c>
      <c r="I297" s="89"/>
      <c r="J297" s="89"/>
      <c r="K297" s="388"/>
      <c r="L297" s="48"/>
      <c r="M297" s="48"/>
      <c r="N297" s="370"/>
      <c r="O297" s="48"/>
    </row>
    <row r="298" spans="1:15" s="402" customFormat="1" ht="15" x14ac:dyDescent="0.25">
      <c r="A298" s="1">
        <v>294</v>
      </c>
      <c r="B298" s="1" t="s">
        <v>654</v>
      </c>
      <c r="C298" s="32">
        <v>8896</v>
      </c>
      <c r="D298" s="1">
        <v>7800</v>
      </c>
      <c r="E298" s="1" t="s">
        <v>80</v>
      </c>
      <c r="F298" s="1">
        <v>86.96</v>
      </c>
      <c r="G298" s="1">
        <v>7800</v>
      </c>
      <c r="H298" s="1">
        <f t="shared" si="5"/>
        <v>0</v>
      </c>
      <c r="I298" s="89"/>
      <c r="J298" s="89"/>
      <c r="K298" s="388"/>
      <c r="L298" s="48"/>
      <c r="M298" s="48"/>
      <c r="N298" s="370"/>
      <c r="O298" s="48"/>
    </row>
    <row r="299" spans="1:15" s="402" customFormat="1" ht="15" x14ac:dyDescent="0.25">
      <c r="A299" s="1">
        <v>295</v>
      </c>
      <c r="B299" s="1" t="s">
        <v>654</v>
      </c>
      <c r="C299" s="32">
        <v>8995</v>
      </c>
      <c r="D299" s="1">
        <v>15000</v>
      </c>
      <c r="E299" s="1" t="s">
        <v>80</v>
      </c>
      <c r="F299" s="1">
        <v>167.15</v>
      </c>
      <c r="G299" s="1">
        <v>15000</v>
      </c>
      <c r="H299" s="1">
        <f t="shared" si="5"/>
        <v>0</v>
      </c>
      <c r="I299" s="89"/>
      <c r="J299" s="89"/>
      <c r="K299" s="388"/>
      <c r="L299" s="48"/>
      <c r="M299" s="48"/>
      <c r="N299" s="370"/>
      <c r="O299" s="48"/>
    </row>
    <row r="300" spans="1:15" s="402" customFormat="1" ht="15" x14ac:dyDescent="0.25">
      <c r="A300" s="1">
        <v>296</v>
      </c>
      <c r="B300" s="1" t="s">
        <v>654</v>
      </c>
      <c r="C300" s="32">
        <v>4963</v>
      </c>
      <c r="D300" s="1">
        <v>25000</v>
      </c>
      <c r="E300" s="1" t="s">
        <v>80</v>
      </c>
      <c r="F300" s="1">
        <v>278.22000000000003</v>
      </c>
      <c r="G300" s="1">
        <v>25000</v>
      </c>
      <c r="H300" s="1">
        <f t="shared" si="5"/>
        <v>0</v>
      </c>
      <c r="I300" s="89"/>
      <c r="J300" s="89"/>
      <c r="K300" s="388"/>
      <c r="L300" s="48"/>
      <c r="M300" s="48"/>
      <c r="N300" s="370"/>
      <c r="O300" s="48"/>
    </row>
    <row r="301" spans="1:15" s="402" customFormat="1" ht="15" x14ac:dyDescent="0.25">
      <c r="A301" s="1">
        <v>297</v>
      </c>
      <c r="B301" s="1" t="s">
        <v>654</v>
      </c>
      <c r="C301" s="32">
        <v>1.21E-2</v>
      </c>
      <c r="D301" s="1">
        <v>27000</v>
      </c>
      <c r="E301" s="1" t="s">
        <v>642</v>
      </c>
      <c r="F301" s="1">
        <v>300.67</v>
      </c>
      <c r="G301" s="1">
        <v>27000</v>
      </c>
      <c r="H301" s="1">
        <f t="shared" si="5"/>
        <v>0</v>
      </c>
      <c r="I301" s="89"/>
      <c r="J301" s="89"/>
      <c r="K301" s="388"/>
      <c r="L301" s="48"/>
      <c r="M301" s="48"/>
      <c r="N301" s="370"/>
      <c r="O301" s="48"/>
    </row>
    <row r="302" spans="1:15" s="402" customFormat="1" ht="15" x14ac:dyDescent="0.25">
      <c r="A302" s="1">
        <v>298</v>
      </c>
      <c r="B302" s="1" t="s">
        <v>654</v>
      </c>
      <c r="C302" s="32">
        <v>1717</v>
      </c>
      <c r="D302" s="1">
        <v>15000</v>
      </c>
      <c r="E302" s="1" t="s">
        <v>642</v>
      </c>
      <c r="F302" s="1">
        <v>167.15</v>
      </c>
      <c r="G302" s="1">
        <v>15000</v>
      </c>
      <c r="H302" s="1">
        <f t="shared" si="5"/>
        <v>0</v>
      </c>
      <c r="I302" s="89"/>
      <c r="J302" s="89"/>
      <c r="K302" s="388"/>
      <c r="L302" s="48"/>
      <c r="M302" s="48"/>
      <c r="N302" s="370"/>
      <c r="O302" s="48"/>
    </row>
    <row r="303" spans="1:15" s="402" customFormat="1" ht="15" x14ac:dyDescent="0.25">
      <c r="A303" s="1">
        <v>299</v>
      </c>
      <c r="B303" s="1" t="s">
        <v>654</v>
      </c>
      <c r="C303" s="32">
        <v>2531</v>
      </c>
      <c r="D303" s="1">
        <v>20000</v>
      </c>
      <c r="E303" s="1" t="s">
        <v>642</v>
      </c>
      <c r="F303" s="1">
        <v>222.82</v>
      </c>
      <c r="G303" s="1">
        <v>20000</v>
      </c>
      <c r="H303" s="1">
        <f t="shared" si="5"/>
        <v>0</v>
      </c>
      <c r="I303" s="89"/>
      <c r="J303" s="89"/>
      <c r="K303" s="388"/>
      <c r="L303" s="48"/>
      <c r="M303" s="48"/>
      <c r="N303" s="370"/>
      <c r="O303" s="48"/>
    </row>
    <row r="304" spans="1:15" s="402" customFormat="1" ht="15" x14ac:dyDescent="0.25">
      <c r="A304" s="1">
        <v>300</v>
      </c>
      <c r="B304" s="1" t="s">
        <v>654</v>
      </c>
      <c r="C304" s="32">
        <v>8311</v>
      </c>
      <c r="D304" s="1">
        <v>24000</v>
      </c>
      <c r="E304" s="1" t="s">
        <v>642</v>
      </c>
      <c r="F304" s="1">
        <v>267.83999999999997</v>
      </c>
      <c r="G304" s="1">
        <v>24000</v>
      </c>
      <c r="H304" s="1">
        <f t="shared" si="5"/>
        <v>0</v>
      </c>
      <c r="I304" s="89"/>
      <c r="J304" s="89"/>
      <c r="K304" s="388"/>
      <c r="L304" s="48"/>
      <c r="M304" s="48"/>
      <c r="N304" s="370"/>
      <c r="O304" s="48"/>
    </row>
    <row r="305" spans="1:15" s="402" customFormat="1" ht="15.75" thickBot="1" x14ac:dyDescent="0.3">
      <c r="A305" s="1">
        <v>301</v>
      </c>
      <c r="B305" s="1" t="s">
        <v>654</v>
      </c>
      <c r="C305" s="32">
        <v>2506</v>
      </c>
      <c r="D305" s="1">
        <v>26000</v>
      </c>
      <c r="E305" s="1" t="s">
        <v>642</v>
      </c>
      <c r="F305" s="1">
        <v>289.67</v>
      </c>
      <c r="G305" s="1">
        <v>26000</v>
      </c>
      <c r="H305" s="1">
        <f t="shared" si="5"/>
        <v>0</v>
      </c>
      <c r="I305" s="89"/>
      <c r="J305" s="89"/>
      <c r="K305" s="388"/>
      <c r="L305" s="48"/>
      <c r="M305" s="48"/>
      <c r="N305" s="370"/>
      <c r="O305" s="48"/>
    </row>
    <row r="306" spans="1:15" s="402" customFormat="1" ht="15.75" thickBot="1" x14ac:dyDescent="0.3">
      <c r="A306" s="1">
        <v>302</v>
      </c>
      <c r="B306" s="1" t="s">
        <v>654</v>
      </c>
      <c r="C306" s="32">
        <v>6311</v>
      </c>
      <c r="D306" s="1">
        <v>24000</v>
      </c>
      <c r="E306" s="1" t="s">
        <v>642</v>
      </c>
      <c r="F306" s="1">
        <v>267.52</v>
      </c>
      <c r="G306" s="1">
        <v>24000</v>
      </c>
      <c r="H306" s="1">
        <f t="shared" si="5"/>
        <v>0</v>
      </c>
      <c r="I306" s="89"/>
      <c r="J306" s="89"/>
      <c r="K306" s="103">
        <f>2100558-2093968</f>
        <v>6590</v>
      </c>
      <c r="L306" s="359" t="s">
        <v>619</v>
      </c>
      <c r="M306" s="359">
        <v>10323</v>
      </c>
      <c r="N306" s="367" t="s">
        <v>620</v>
      </c>
      <c r="O306" s="360">
        <f>10323-6596</f>
        <v>3727</v>
      </c>
    </row>
    <row r="307" spans="1:15" s="403" customFormat="1" ht="15" x14ac:dyDescent="0.25">
      <c r="A307" s="1">
        <v>303</v>
      </c>
      <c r="B307" s="1" t="s">
        <v>655</v>
      </c>
      <c r="C307" s="32">
        <v>6.4699999999999994E-2</v>
      </c>
      <c r="D307" s="1">
        <v>14000</v>
      </c>
      <c r="E307" s="1" t="s">
        <v>642</v>
      </c>
      <c r="F307" s="1">
        <v>155.44999999999999</v>
      </c>
      <c r="G307" s="1">
        <v>14000</v>
      </c>
      <c r="H307" s="1">
        <f t="shared" si="5"/>
        <v>0</v>
      </c>
      <c r="I307" s="89"/>
      <c r="J307" s="89"/>
      <c r="K307" s="388"/>
      <c r="L307" s="48"/>
      <c r="M307" s="48"/>
      <c r="N307" s="370"/>
      <c r="O307" s="48"/>
    </row>
    <row r="308" spans="1:15" s="403" customFormat="1" ht="15" x14ac:dyDescent="0.25">
      <c r="A308" s="1">
        <v>304</v>
      </c>
      <c r="B308" s="1" t="s">
        <v>655</v>
      </c>
      <c r="C308" s="32" t="s">
        <v>30</v>
      </c>
      <c r="D308" s="1">
        <v>5000</v>
      </c>
      <c r="E308" s="1"/>
      <c r="F308" s="1">
        <v>55.45</v>
      </c>
      <c r="G308" s="1">
        <v>5000</v>
      </c>
      <c r="H308" s="1">
        <f t="shared" si="5"/>
        <v>0</v>
      </c>
      <c r="I308" s="89"/>
      <c r="J308" s="89"/>
      <c r="K308" s="388"/>
      <c r="L308" s="48"/>
      <c r="M308" s="48"/>
      <c r="N308" s="370"/>
      <c r="O308" s="48"/>
    </row>
    <row r="309" spans="1:15" s="403" customFormat="1" ht="15" x14ac:dyDescent="0.25">
      <c r="A309" s="1">
        <v>305</v>
      </c>
      <c r="B309" s="1" t="s">
        <v>655</v>
      </c>
      <c r="C309" s="32">
        <v>6957</v>
      </c>
      <c r="D309" s="1">
        <v>17000</v>
      </c>
      <c r="E309" s="1" t="s">
        <v>642</v>
      </c>
      <c r="F309" s="1">
        <v>189.55</v>
      </c>
      <c r="G309" s="1">
        <v>17000</v>
      </c>
      <c r="H309" s="1">
        <f t="shared" si="5"/>
        <v>0</v>
      </c>
      <c r="I309" s="89"/>
      <c r="J309" s="89"/>
      <c r="K309" s="388"/>
      <c r="L309" s="48"/>
      <c r="M309" s="48"/>
      <c r="N309" s="370"/>
      <c r="O309" s="48"/>
    </row>
    <row r="310" spans="1:15" s="403" customFormat="1" ht="15" x14ac:dyDescent="0.25">
      <c r="A310" s="1">
        <v>306</v>
      </c>
      <c r="B310" s="1" t="s">
        <v>655</v>
      </c>
      <c r="C310" s="32">
        <v>5252</v>
      </c>
      <c r="D310" s="1">
        <v>16000</v>
      </c>
      <c r="E310" s="1" t="s">
        <v>642</v>
      </c>
      <c r="F310" s="1">
        <v>178.22</v>
      </c>
      <c r="G310" s="1">
        <v>16000</v>
      </c>
      <c r="H310" s="1">
        <f t="shared" si="5"/>
        <v>0</v>
      </c>
      <c r="I310" s="89"/>
      <c r="J310" s="89"/>
      <c r="K310" s="388"/>
      <c r="L310" s="48"/>
      <c r="M310" s="48"/>
      <c r="N310" s="370"/>
      <c r="O310" s="48"/>
    </row>
    <row r="311" spans="1:15" s="403" customFormat="1" ht="15" x14ac:dyDescent="0.25">
      <c r="A311" s="1">
        <v>307</v>
      </c>
      <c r="B311" s="1" t="s">
        <v>655</v>
      </c>
      <c r="C311" s="32">
        <v>5.1999999999999998E-3</v>
      </c>
      <c r="D311" s="1">
        <v>16000</v>
      </c>
      <c r="E311" s="1" t="s">
        <v>642</v>
      </c>
      <c r="F311" s="1">
        <v>178.22</v>
      </c>
      <c r="G311" s="1">
        <v>16000</v>
      </c>
      <c r="H311" s="1">
        <f t="shared" si="5"/>
        <v>0</v>
      </c>
      <c r="I311" s="89"/>
      <c r="J311" s="89"/>
      <c r="K311" s="388"/>
      <c r="L311" s="48"/>
      <c r="M311" s="48"/>
      <c r="N311" s="370"/>
      <c r="O311" s="48"/>
    </row>
    <row r="312" spans="1:15" s="403" customFormat="1" ht="15" x14ac:dyDescent="0.25">
      <c r="A312" s="1">
        <v>308</v>
      </c>
      <c r="B312" s="1" t="s">
        <v>655</v>
      </c>
      <c r="C312" s="32">
        <v>5.1000000000000004E-3</v>
      </c>
      <c r="D312" s="1">
        <v>16000</v>
      </c>
      <c r="E312" s="1" t="s">
        <v>642</v>
      </c>
      <c r="F312" s="1">
        <v>178.22</v>
      </c>
      <c r="G312" s="1">
        <v>16000</v>
      </c>
      <c r="H312" s="1">
        <f t="shared" si="5"/>
        <v>0</v>
      </c>
      <c r="I312" s="89"/>
      <c r="J312" s="89"/>
      <c r="K312" s="388"/>
      <c r="L312" s="48"/>
      <c r="M312" s="48"/>
      <c r="N312" s="370"/>
      <c r="O312" s="48"/>
    </row>
    <row r="313" spans="1:15" s="403" customFormat="1" ht="15" x14ac:dyDescent="0.25">
      <c r="A313" s="1">
        <v>309</v>
      </c>
      <c r="B313" s="1" t="s">
        <v>655</v>
      </c>
      <c r="C313" s="32">
        <v>7824</v>
      </c>
      <c r="D313" s="1">
        <v>10500</v>
      </c>
      <c r="E313" s="1" t="s">
        <v>642</v>
      </c>
      <c r="F313" s="1">
        <v>115.15</v>
      </c>
      <c r="G313" s="1">
        <v>10500</v>
      </c>
      <c r="H313" s="1">
        <f t="shared" si="5"/>
        <v>0</v>
      </c>
      <c r="I313" s="89"/>
      <c r="J313" s="89"/>
      <c r="K313" s="388"/>
      <c r="L313" s="48"/>
      <c r="M313" s="48"/>
      <c r="N313" s="370"/>
      <c r="O313" s="48"/>
    </row>
    <row r="314" spans="1:15" s="403" customFormat="1" ht="15" x14ac:dyDescent="0.25">
      <c r="A314" s="1">
        <v>310</v>
      </c>
      <c r="B314" s="1" t="s">
        <v>655</v>
      </c>
      <c r="C314" s="32">
        <v>6471</v>
      </c>
      <c r="D314" s="1">
        <v>20000</v>
      </c>
      <c r="E314" s="1" t="s">
        <v>80</v>
      </c>
      <c r="F314" s="1">
        <v>222.82</v>
      </c>
      <c r="G314" s="1">
        <v>20000</v>
      </c>
      <c r="H314" s="1">
        <f t="shared" si="5"/>
        <v>0</v>
      </c>
      <c r="I314" s="89"/>
      <c r="J314" s="89"/>
      <c r="K314" s="388"/>
      <c r="L314" s="48"/>
      <c r="M314" s="48"/>
      <c r="N314" s="370"/>
      <c r="O314" s="48"/>
    </row>
    <row r="315" spans="1:15" s="403" customFormat="1" ht="15" x14ac:dyDescent="0.25">
      <c r="A315" s="1">
        <v>311</v>
      </c>
      <c r="B315" s="1" t="s">
        <v>655</v>
      </c>
      <c r="C315" s="32">
        <v>8772</v>
      </c>
      <c r="D315" s="1">
        <v>20000</v>
      </c>
      <c r="E315" s="1" t="s">
        <v>80</v>
      </c>
      <c r="F315" s="1">
        <v>222.82</v>
      </c>
      <c r="G315" s="1">
        <v>20000</v>
      </c>
      <c r="H315" s="1">
        <f t="shared" si="5"/>
        <v>0</v>
      </c>
      <c r="I315" s="89"/>
      <c r="J315" s="89"/>
      <c r="K315" s="388"/>
      <c r="L315" s="48"/>
      <c r="M315" s="48"/>
      <c r="N315" s="370"/>
      <c r="O315" s="48"/>
    </row>
    <row r="316" spans="1:15" s="403" customFormat="1" ht="15" x14ac:dyDescent="0.25">
      <c r="A316" s="1">
        <v>312</v>
      </c>
      <c r="B316" s="1" t="s">
        <v>655</v>
      </c>
      <c r="C316" s="32">
        <v>6212</v>
      </c>
      <c r="D316" s="1">
        <v>20000</v>
      </c>
      <c r="E316" s="1" t="s">
        <v>80</v>
      </c>
      <c r="F316" s="1">
        <v>222.82</v>
      </c>
      <c r="G316" s="1">
        <v>20000</v>
      </c>
      <c r="H316" s="1">
        <f t="shared" si="5"/>
        <v>0</v>
      </c>
      <c r="I316" s="89"/>
      <c r="J316" s="89"/>
      <c r="K316" s="388"/>
      <c r="L316" s="48"/>
      <c r="M316" s="48"/>
      <c r="N316" s="370"/>
      <c r="O316" s="48"/>
    </row>
    <row r="317" spans="1:15" s="403" customFormat="1" ht="15" x14ac:dyDescent="0.25">
      <c r="A317" s="1">
        <v>313</v>
      </c>
      <c r="B317" s="1" t="s">
        <v>655</v>
      </c>
      <c r="C317" s="32">
        <v>8108</v>
      </c>
      <c r="D317" s="1">
        <v>28000</v>
      </c>
      <c r="E317" s="1" t="s">
        <v>80</v>
      </c>
      <c r="F317" s="1">
        <v>311.67</v>
      </c>
      <c r="G317" s="1">
        <v>28000</v>
      </c>
      <c r="H317" s="1">
        <f t="shared" si="5"/>
        <v>0</v>
      </c>
      <c r="I317" s="89"/>
      <c r="J317" s="89"/>
      <c r="K317" s="388"/>
      <c r="L317" s="48"/>
      <c r="M317" s="48"/>
      <c r="N317" s="370"/>
      <c r="O317" s="48"/>
    </row>
    <row r="318" spans="1:15" s="403" customFormat="1" ht="15" x14ac:dyDescent="0.25">
      <c r="A318" s="1">
        <v>314</v>
      </c>
      <c r="B318" s="1" t="s">
        <v>655</v>
      </c>
      <c r="C318" s="32" t="s">
        <v>30</v>
      </c>
      <c r="D318" s="1">
        <v>4500</v>
      </c>
      <c r="E318" s="1" t="s">
        <v>642</v>
      </c>
      <c r="F318" s="1">
        <v>50.45</v>
      </c>
      <c r="G318" s="1">
        <v>4500</v>
      </c>
      <c r="H318" s="1">
        <f t="shared" si="5"/>
        <v>0</v>
      </c>
      <c r="I318" s="89"/>
      <c r="J318" s="89"/>
      <c r="K318" s="388"/>
      <c r="L318" s="48"/>
      <c r="M318" s="48"/>
      <c r="N318" s="370"/>
      <c r="O318" s="48"/>
    </row>
    <row r="319" spans="1:15" s="403" customFormat="1" ht="15" x14ac:dyDescent="0.25">
      <c r="A319" s="1">
        <v>315</v>
      </c>
      <c r="B319" s="1" t="s">
        <v>655</v>
      </c>
      <c r="C319" s="32">
        <v>4579</v>
      </c>
      <c r="D319" s="1">
        <v>14000</v>
      </c>
      <c r="E319" s="1" t="s">
        <v>80</v>
      </c>
      <c r="F319" s="1">
        <v>155.44999999999999</v>
      </c>
      <c r="G319" s="1">
        <v>14000</v>
      </c>
      <c r="H319" s="1">
        <f t="shared" si="5"/>
        <v>0</v>
      </c>
      <c r="I319" s="89"/>
      <c r="J319" s="89"/>
      <c r="K319" s="388"/>
      <c r="L319" s="48"/>
      <c r="M319" s="48"/>
      <c r="N319" s="370"/>
      <c r="O319" s="48"/>
    </row>
    <row r="320" spans="1:15" s="403" customFormat="1" ht="15" x14ac:dyDescent="0.25">
      <c r="A320" s="1">
        <v>316</v>
      </c>
      <c r="B320" s="1" t="s">
        <v>655</v>
      </c>
      <c r="C320" s="32">
        <v>2723</v>
      </c>
      <c r="D320" s="1">
        <v>14000</v>
      </c>
      <c r="E320" s="1" t="s">
        <v>80</v>
      </c>
      <c r="F320" s="1">
        <v>155.44999999999999</v>
      </c>
      <c r="G320" s="1">
        <v>14000</v>
      </c>
      <c r="H320" s="1">
        <f t="shared" si="5"/>
        <v>0</v>
      </c>
      <c r="I320" s="89"/>
      <c r="J320" s="89"/>
      <c r="K320" s="388"/>
      <c r="L320" s="48"/>
      <c r="M320" s="48"/>
      <c r="N320" s="370"/>
      <c r="O320" s="48"/>
    </row>
    <row r="321" spans="1:15" s="403" customFormat="1" ht="15" x14ac:dyDescent="0.25">
      <c r="A321" s="1">
        <v>317</v>
      </c>
      <c r="B321" s="1" t="s">
        <v>655</v>
      </c>
      <c r="C321" s="32">
        <v>4396</v>
      </c>
      <c r="D321" s="1">
        <v>20000</v>
      </c>
      <c r="E321" s="1" t="s">
        <v>80</v>
      </c>
      <c r="F321" s="1">
        <v>222.82</v>
      </c>
      <c r="G321" s="1">
        <v>20000</v>
      </c>
      <c r="H321" s="1">
        <f t="shared" si="5"/>
        <v>0</v>
      </c>
      <c r="I321" s="89"/>
      <c r="J321" s="89"/>
      <c r="K321" s="388"/>
      <c r="L321" s="48"/>
      <c r="M321" s="48"/>
      <c r="N321" s="370"/>
      <c r="O321" s="48"/>
    </row>
    <row r="322" spans="1:15" s="403" customFormat="1" ht="15" x14ac:dyDescent="0.25">
      <c r="A322" s="1">
        <v>318</v>
      </c>
      <c r="B322" s="1" t="s">
        <v>655</v>
      </c>
      <c r="C322" s="32">
        <v>6863</v>
      </c>
      <c r="D322" s="1">
        <v>25000</v>
      </c>
      <c r="E322" s="1" t="s">
        <v>80</v>
      </c>
      <c r="F322" s="1">
        <v>278.22000000000003</v>
      </c>
      <c r="G322" s="1">
        <v>25000</v>
      </c>
      <c r="H322" s="1">
        <f t="shared" si="5"/>
        <v>0</v>
      </c>
      <c r="I322" s="89"/>
      <c r="J322" s="89"/>
      <c r="K322" s="388"/>
      <c r="L322" s="48"/>
      <c r="M322" s="48"/>
      <c r="N322" s="370"/>
      <c r="O322" s="48"/>
    </row>
    <row r="323" spans="1:15" s="403" customFormat="1" ht="15" x14ac:dyDescent="0.25">
      <c r="A323" s="1">
        <v>319</v>
      </c>
      <c r="B323" s="1" t="s">
        <v>655</v>
      </c>
      <c r="C323" s="32">
        <v>1451</v>
      </c>
      <c r="D323" s="1">
        <v>28000</v>
      </c>
      <c r="E323" s="1" t="s">
        <v>80</v>
      </c>
      <c r="F323" s="1">
        <v>287.77999999999997</v>
      </c>
      <c r="G323" s="1">
        <v>28000</v>
      </c>
      <c r="H323" s="1">
        <f t="shared" si="5"/>
        <v>0</v>
      </c>
      <c r="I323" s="89"/>
      <c r="J323" s="89"/>
      <c r="K323" s="388"/>
      <c r="L323" s="48"/>
      <c r="M323" s="48"/>
      <c r="N323" s="370"/>
      <c r="O323" s="48"/>
    </row>
    <row r="324" spans="1:15" s="403" customFormat="1" ht="15" x14ac:dyDescent="0.25">
      <c r="A324" s="1">
        <v>320</v>
      </c>
      <c r="B324" s="1" t="s">
        <v>655</v>
      </c>
      <c r="C324" s="32">
        <v>6786</v>
      </c>
      <c r="D324" s="1">
        <v>25000</v>
      </c>
      <c r="E324" s="1" t="s">
        <v>80</v>
      </c>
      <c r="F324" s="1">
        <v>278.22000000000003</v>
      </c>
      <c r="G324" s="1">
        <v>25000</v>
      </c>
      <c r="H324" s="1">
        <f t="shared" si="5"/>
        <v>0</v>
      </c>
      <c r="I324" s="89"/>
      <c r="J324" s="89"/>
      <c r="K324" s="388"/>
      <c r="L324" s="48"/>
      <c r="M324" s="48"/>
      <c r="N324" s="370"/>
      <c r="O324" s="48"/>
    </row>
    <row r="325" spans="1:15" s="403" customFormat="1" ht="15" x14ac:dyDescent="0.25">
      <c r="A325" s="1">
        <v>321</v>
      </c>
      <c r="B325" s="1" t="s">
        <v>655</v>
      </c>
      <c r="C325" s="32">
        <v>7268</v>
      </c>
      <c r="D325" s="1">
        <v>27000</v>
      </c>
      <c r="E325" s="1" t="s">
        <v>80</v>
      </c>
      <c r="F325" s="1">
        <v>300.67</v>
      </c>
      <c r="G325" s="1">
        <v>27000</v>
      </c>
      <c r="H325" s="1">
        <f t="shared" si="5"/>
        <v>0</v>
      </c>
      <c r="I325" s="89"/>
      <c r="J325" s="89"/>
      <c r="K325" s="388"/>
      <c r="L325" s="48"/>
      <c r="M325" s="48"/>
      <c r="N325" s="370"/>
      <c r="O325" s="48"/>
    </row>
    <row r="326" spans="1:15" s="403" customFormat="1" ht="15" x14ac:dyDescent="0.25">
      <c r="A326" s="1">
        <v>322</v>
      </c>
      <c r="B326" s="1" t="s">
        <v>655</v>
      </c>
      <c r="C326" s="32">
        <v>5204</v>
      </c>
      <c r="D326" s="1">
        <v>27000</v>
      </c>
      <c r="E326" s="1" t="s">
        <v>80</v>
      </c>
      <c r="F326" s="1">
        <v>300.67</v>
      </c>
      <c r="G326" s="1">
        <v>27000</v>
      </c>
      <c r="H326" s="1">
        <f t="shared" si="5"/>
        <v>0</v>
      </c>
      <c r="I326" s="89"/>
      <c r="J326" s="89"/>
      <c r="K326" s="388"/>
      <c r="L326" s="48"/>
      <c r="M326" s="48"/>
      <c r="N326" s="370"/>
      <c r="O326" s="48"/>
    </row>
    <row r="327" spans="1:15" s="403" customFormat="1" ht="15" x14ac:dyDescent="0.25">
      <c r="A327" s="1">
        <v>323</v>
      </c>
      <c r="B327" s="1" t="s">
        <v>655</v>
      </c>
      <c r="C327" s="32">
        <v>3651</v>
      </c>
      <c r="D327" s="1">
        <v>20000</v>
      </c>
      <c r="E327" s="1" t="s">
        <v>80</v>
      </c>
      <c r="F327" s="1">
        <v>222.82</v>
      </c>
      <c r="G327" s="1">
        <v>20000</v>
      </c>
      <c r="H327" s="1">
        <f t="shared" si="5"/>
        <v>0</v>
      </c>
      <c r="I327" s="89"/>
      <c r="J327" s="89"/>
      <c r="K327" s="388"/>
      <c r="L327" s="48"/>
      <c r="M327" s="48"/>
      <c r="N327" s="370"/>
      <c r="O327" s="48"/>
    </row>
    <row r="328" spans="1:15" s="403" customFormat="1" ht="15" x14ac:dyDescent="0.25">
      <c r="A328" s="1">
        <v>324</v>
      </c>
      <c r="B328" s="1" t="s">
        <v>655</v>
      </c>
      <c r="C328" s="32">
        <v>8450</v>
      </c>
      <c r="D328" s="1">
        <v>25000</v>
      </c>
      <c r="E328" s="1" t="s">
        <v>80</v>
      </c>
      <c r="F328" s="1">
        <v>278.22000000000003</v>
      </c>
      <c r="G328" s="1">
        <v>25000</v>
      </c>
      <c r="H328" s="1">
        <f t="shared" si="5"/>
        <v>0</v>
      </c>
      <c r="I328" s="89"/>
      <c r="J328" s="89"/>
      <c r="K328" s="388"/>
      <c r="L328" s="48"/>
      <c r="M328" s="48"/>
      <c r="N328" s="370"/>
      <c r="O328" s="48"/>
    </row>
    <row r="329" spans="1:15" s="403" customFormat="1" ht="15" x14ac:dyDescent="0.25">
      <c r="A329" s="1">
        <v>325</v>
      </c>
      <c r="B329" s="1" t="s">
        <v>655</v>
      </c>
      <c r="C329" s="32">
        <v>1446</v>
      </c>
      <c r="D329" s="1">
        <v>13000</v>
      </c>
      <c r="E329" s="1" t="s">
        <v>80</v>
      </c>
      <c r="F329" s="1">
        <v>144.13</v>
      </c>
      <c r="G329" s="1">
        <v>13000</v>
      </c>
      <c r="H329" s="1">
        <f t="shared" si="5"/>
        <v>0</v>
      </c>
      <c r="I329" s="89"/>
      <c r="J329" s="89"/>
      <c r="K329" s="388"/>
      <c r="L329" s="48"/>
      <c r="M329" s="48"/>
      <c r="N329" s="370"/>
      <c r="O329" s="48"/>
    </row>
    <row r="330" spans="1:15" s="403" customFormat="1" ht="15" x14ac:dyDescent="0.25">
      <c r="A330" s="1">
        <v>326</v>
      </c>
      <c r="B330" s="1" t="s">
        <v>655</v>
      </c>
      <c r="C330" s="32">
        <v>9901</v>
      </c>
      <c r="D330" s="1">
        <v>15000</v>
      </c>
      <c r="E330" s="1" t="s">
        <v>80</v>
      </c>
      <c r="F330" s="1">
        <v>167.15</v>
      </c>
      <c r="G330" s="1">
        <v>15000</v>
      </c>
      <c r="H330" s="1">
        <f t="shared" si="5"/>
        <v>0</v>
      </c>
      <c r="I330" s="89"/>
      <c r="J330" s="89"/>
      <c r="K330" s="388"/>
      <c r="L330" s="48"/>
      <c r="M330" s="48"/>
      <c r="N330" s="370"/>
      <c r="O330" s="48"/>
    </row>
    <row r="331" spans="1:15" s="403" customFormat="1" ht="15" x14ac:dyDescent="0.25">
      <c r="A331" s="1">
        <v>327</v>
      </c>
      <c r="B331" s="1" t="s">
        <v>655</v>
      </c>
      <c r="C331" s="32">
        <v>5151</v>
      </c>
      <c r="D331" s="1">
        <v>16000</v>
      </c>
      <c r="E331" s="1" t="s">
        <v>80</v>
      </c>
      <c r="F331" s="1">
        <v>178.22</v>
      </c>
      <c r="G331" s="1">
        <v>16000</v>
      </c>
      <c r="H331" s="1">
        <f t="shared" si="5"/>
        <v>0</v>
      </c>
      <c r="I331" s="89"/>
      <c r="J331" s="89"/>
      <c r="K331" s="388"/>
      <c r="L331" s="48"/>
      <c r="M331" s="48"/>
      <c r="N331" s="370"/>
      <c r="O331" s="48"/>
    </row>
    <row r="332" spans="1:15" s="403" customFormat="1" ht="15" x14ac:dyDescent="0.25">
      <c r="A332" s="1">
        <v>328</v>
      </c>
      <c r="B332" s="1" t="s">
        <v>655</v>
      </c>
      <c r="C332" s="32">
        <v>6802</v>
      </c>
      <c r="D332" s="1">
        <v>22000</v>
      </c>
      <c r="E332" s="1" t="s">
        <v>80</v>
      </c>
      <c r="F332" s="1">
        <v>232.44</v>
      </c>
      <c r="G332" s="1">
        <v>22000</v>
      </c>
      <c r="H332" s="1">
        <f t="shared" si="5"/>
        <v>0</v>
      </c>
      <c r="I332" s="89"/>
      <c r="J332" s="89"/>
      <c r="K332" s="388"/>
      <c r="L332" s="48"/>
      <c r="M332" s="48"/>
      <c r="N332" s="370"/>
      <c r="O332" s="48"/>
    </row>
    <row r="333" spans="1:15" s="403" customFormat="1" ht="15" x14ac:dyDescent="0.25">
      <c r="A333" s="1">
        <v>329</v>
      </c>
      <c r="B333" s="1" t="s">
        <v>655</v>
      </c>
      <c r="C333" s="32">
        <v>9990</v>
      </c>
      <c r="D333" s="1">
        <v>20000</v>
      </c>
      <c r="E333" s="1" t="s">
        <v>80</v>
      </c>
      <c r="F333" s="1">
        <v>222.82</v>
      </c>
      <c r="G333" s="1">
        <v>20000</v>
      </c>
      <c r="H333" s="1">
        <f t="shared" si="5"/>
        <v>0</v>
      </c>
      <c r="I333" s="89"/>
      <c r="J333" s="89"/>
      <c r="K333" s="388"/>
      <c r="L333" s="48"/>
      <c r="M333" s="48"/>
      <c r="N333" s="370"/>
      <c r="O333" s="48"/>
    </row>
    <row r="334" spans="1:15" s="403" customFormat="1" ht="15" x14ac:dyDescent="0.25">
      <c r="A334" s="1">
        <v>330</v>
      </c>
      <c r="B334" s="1" t="s">
        <v>656</v>
      </c>
      <c r="C334" s="32">
        <v>7394</v>
      </c>
      <c r="D334" s="1">
        <v>20000</v>
      </c>
      <c r="E334" s="1" t="s">
        <v>80</v>
      </c>
      <c r="F334" s="1">
        <v>222.82</v>
      </c>
      <c r="G334" s="1">
        <v>20000</v>
      </c>
      <c r="H334" s="1">
        <f t="shared" si="5"/>
        <v>0</v>
      </c>
      <c r="I334" s="89"/>
      <c r="J334" s="89"/>
      <c r="K334" s="388"/>
      <c r="L334" s="48"/>
      <c r="M334" s="48"/>
      <c r="N334" s="370"/>
      <c r="O334" s="48"/>
    </row>
    <row r="335" spans="1:15" s="403" customFormat="1" ht="15" x14ac:dyDescent="0.25">
      <c r="A335" s="1">
        <v>331</v>
      </c>
      <c r="B335" s="1" t="s">
        <v>656</v>
      </c>
      <c r="C335" s="32">
        <v>3286</v>
      </c>
      <c r="D335" s="1">
        <v>25000</v>
      </c>
      <c r="E335" s="1" t="s">
        <v>80</v>
      </c>
      <c r="F335" s="1">
        <v>278.22000000000003</v>
      </c>
      <c r="G335" s="1">
        <v>25000</v>
      </c>
      <c r="H335" s="1">
        <f t="shared" si="5"/>
        <v>0</v>
      </c>
      <c r="I335" s="89"/>
      <c r="J335" s="89"/>
      <c r="K335" s="388"/>
      <c r="L335" s="48"/>
      <c r="M335" s="48"/>
      <c r="N335" s="370"/>
      <c r="O335" s="48"/>
    </row>
    <row r="336" spans="1:15" s="403" customFormat="1" ht="15" x14ac:dyDescent="0.25">
      <c r="A336" s="1">
        <v>332</v>
      </c>
      <c r="B336" s="1" t="s">
        <v>656</v>
      </c>
      <c r="C336" s="32">
        <v>1827</v>
      </c>
      <c r="D336" s="1">
        <v>13000</v>
      </c>
      <c r="E336" s="1" t="s">
        <v>80</v>
      </c>
      <c r="F336" s="1">
        <v>144.13</v>
      </c>
      <c r="G336" s="1">
        <v>13000</v>
      </c>
      <c r="H336" s="1">
        <f t="shared" si="5"/>
        <v>0</v>
      </c>
      <c r="I336" s="89"/>
      <c r="J336" s="89"/>
      <c r="K336" s="388"/>
      <c r="L336" s="48"/>
      <c r="M336" s="48"/>
      <c r="N336" s="370"/>
      <c r="O336" s="48"/>
    </row>
    <row r="337" spans="1:15" s="403" customFormat="1" ht="15" x14ac:dyDescent="0.25">
      <c r="A337" s="1">
        <v>333</v>
      </c>
      <c r="B337" s="1" t="s">
        <v>656</v>
      </c>
      <c r="C337" s="32">
        <v>1547</v>
      </c>
      <c r="D337" s="1">
        <v>18000</v>
      </c>
      <c r="E337" s="1" t="s">
        <v>80</v>
      </c>
      <c r="F337" s="1">
        <v>200.82</v>
      </c>
      <c r="G337" s="1">
        <v>18000</v>
      </c>
      <c r="H337" s="1">
        <f t="shared" si="5"/>
        <v>0</v>
      </c>
      <c r="I337" s="89"/>
      <c r="J337" s="89"/>
      <c r="K337" s="388"/>
      <c r="L337" s="48"/>
      <c r="M337" s="48"/>
      <c r="N337" s="370"/>
      <c r="O337" s="48"/>
    </row>
    <row r="338" spans="1:15" s="403" customFormat="1" ht="15" x14ac:dyDescent="0.25">
      <c r="A338" s="1">
        <v>334</v>
      </c>
      <c r="B338" s="1" t="s">
        <v>656</v>
      </c>
      <c r="C338" s="32">
        <v>8069</v>
      </c>
      <c r="D338" s="1">
        <v>12000</v>
      </c>
      <c r="E338" s="1" t="s">
        <v>80</v>
      </c>
      <c r="F338" s="1">
        <v>133.75</v>
      </c>
      <c r="G338" s="1">
        <v>12000</v>
      </c>
      <c r="H338" s="1">
        <f t="shared" si="5"/>
        <v>0</v>
      </c>
      <c r="I338" s="89"/>
      <c r="J338" s="89"/>
      <c r="K338" s="388"/>
      <c r="L338" s="48"/>
      <c r="M338" s="48"/>
      <c r="N338" s="370"/>
      <c r="O338" s="48"/>
    </row>
    <row r="339" spans="1:15" s="403" customFormat="1" ht="15" x14ac:dyDescent="0.25">
      <c r="A339" s="1">
        <v>335</v>
      </c>
      <c r="B339" s="1" t="s">
        <v>656</v>
      </c>
      <c r="C339" s="32">
        <v>4.4000000000000003E-3</v>
      </c>
      <c r="D339" s="1">
        <v>15000</v>
      </c>
      <c r="E339" s="1" t="s">
        <v>80</v>
      </c>
      <c r="F339" s="1">
        <v>167.15</v>
      </c>
      <c r="G339" s="1">
        <v>15000</v>
      </c>
      <c r="H339" s="1">
        <f t="shared" si="5"/>
        <v>0</v>
      </c>
      <c r="I339" s="89"/>
      <c r="J339" s="89"/>
      <c r="K339" s="388"/>
      <c r="L339" s="48"/>
      <c r="M339" s="48"/>
      <c r="N339" s="370"/>
      <c r="O339" s="48"/>
    </row>
    <row r="340" spans="1:15" s="403" customFormat="1" ht="15" x14ac:dyDescent="0.25">
      <c r="A340" s="1">
        <v>336</v>
      </c>
      <c r="B340" s="1" t="s">
        <v>656</v>
      </c>
      <c r="C340" s="32" t="s">
        <v>633</v>
      </c>
      <c r="D340" s="1">
        <v>210</v>
      </c>
      <c r="E340" s="1"/>
      <c r="F340" s="1">
        <v>2.08</v>
      </c>
      <c r="G340" s="1">
        <v>210</v>
      </c>
      <c r="H340" s="1">
        <f t="shared" si="5"/>
        <v>0</v>
      </c>
      <c r="I340" s="89"/>
      <c r="J340" s="89"/>
      <c r="K340" s="388"/>
      <c r="L340" s="48"/>
      <c r="M340" s="48"/>
      <c r="N340" s="370"/>
      <c r="O340" s="48"/>
    </row>
    <row r="341" spans="1:15" s="403" customFormat="1" ht="15" x14ac:dyDescent="0.25">
      <c r="A341" s="1">
        <v>337</v>
      </c>
      <c r="B341" s="1" t="s">
        <v>656</v>
      </c>
      <c r="C341" s="32">
        <v>9378</v>
      </c>
      <c r="D341" s="1">
        <v>24000</v>
      </c>
      <c r="E341" s="1" t="s">
        <v>80</v>
      </c>
      <c r="F341" s="1">
        <v>245.83</v>
      </c>
      <c r="G341" s="1">
        <v>24000</v>
      </c>
      <c r="H341" s="1">
        <f t="shared" si="5"/>
        <v>0</v>
      </c>
      <c r="I341" s="89"/>
      <c r="J341" s="89"/>
      <c r="K341" s="388"/>
      <c r="L341" s="48"/>
      <c r="M341" s="48"/>
      <c r="N341" s="370"/>
      <c r="O341" s="48"/>
    </row>
    <row r="342" spans="1:15" s="403" customFormat="1" ht="15" x14ac:dyDescent="0.25">
      <c r="A342" s="1">
        <v>338</v>
      </c>
      <c r="B342" s="1" t="s">
        <v>656</v>
      </c>
      <c r="C342" s="32">
        <v>4295</v>
      </c>
      <c r="D342" s="1">
        <v>24000</v>
      </c>
      <c r="E342" s="1" t="s">
        <v>80</v>
      </c>
      <c r="F342" s="1">
        <v>245.83</v>
      </c>
      <c r="G342" s="1">
        <v>24000</v>
      </c>
      <c r="H342" s="1">
        <f t="shared" si="5"/>
        <v>0</v>
      </c>
      <c r="I342" s="89"/>
      <c r="J342" s="89"/>
      <c r="K342" s="388"/>
      <c r="L342" s="48"/>
      <c r="M342" s="48"/>
      <c r="N342" s="370"/>
      <c r="O342" s="48"/>
    </row>
    <row r="343" spans="1:15" s="403" customFormat="1" ht="15" x14ac:dyDescent="0.25">
      <c r="A343" s="1">
        <v>339</v>
      </c>
      <c r="B343" s="1" t="s">
        <v>656</v>
      </c>
      <c r="C343" s="32">
        <v>5.8400000000000001E-2</v>
      </c>
      <c r="D343" s="1">
        <v>25000</v>
      </c>
      <c r="E343" s="1" t="s">
        <v>80</v>
      </c>
      <c r="F343" s="1">
        <v>278.22000000000003</v>
      </c>
      <c r="G343" s="1">
        <v>25000</v>
      </c>
      <c r="H343" s="1">
        <f t="shared" ref="H343:H406" si="6">D343-G343</f>
        <v>0</v>
      </c>
      <c r="I343" s="89"/>
      <c r="J343" s="89"/>
      <c r="K343" s="388"/>
      <c r="L343" s="48"/>
      <c r="M343" s="48"/>
      <c r="N343" s="370"/>
      <c r="O343" s="48"/>
    </row>
    <row r="344" spans="1:15" s="403" customFormat="1" ht="15" x14ac:dyDescent="0.25">
      <c r="A344" s="1">
        <v>340</v>
      </c>
      <c r="B344" s="1" t="s">
        <v>656</v>
      </c>
      <c r="C344" s="32">
        <v>9629</v>
      </c>
      <c r="D344" s="1">
        <v>22000</v>
      </c>
      <c r="E344" s="1" t="s">
        <v>80</v>
      </c>
      <c r="F344" s="1">
        <v>232.44</v>
      </c>
      <c r="G344" s="1">
        <v>22000</v>
      </c>
      <c r="H344" s="1">
        <f t="shared" si="6"/>
        <v>0</v>
      </c>
      <c r="I344" s="89"/>
      <c r="J344" s="89"/>
      <c r="K344" s="388"/>
      <c r="L344" s="48"/>
      <c r="M344" s="48"/>
      <c r="N344" s="370"/>
      <c r="O344" s="48"/>
    </row>
    <row r="345" spans="1:15" s="403" customFormat="1" ht="15" x14ac:dyDescent="0.25">
      <c r="A345" s="1">
        <v>341</v>
      </c>
      <c r="B345" s="1" t="s">
        <v>656</v>
      </c>
      <c r="C345" s="32">
        <v>5147</v>
      </c>
      <c r="D345" s="1">
        <v>28000</v>
      </c>
      <c r="E345" s="1" t="s">
        <v>80</v>
      </c>
      <c r="F345" s="1">
        <v>311.72000000000003</v>
      </c>
      <c r="G345" s="1">
        <v>28000</v>
      </c>
      <c r="H345" s="1">
        <f t="shared" si="6"/>
        <v>0</v>
      </c>
      <c r="I345" s="89"/>
      <c r="J345" s="89"/>
      <c r="K345" s="388"/>
      <c r="L345" s="48"/>
      <c r="M345" s="48"/>
      <c r="N345" s="370"/>
      <c r="O345" s="48"/>
    </row>
    <row r="346" spans="1:15" s="403" customFormat="1" ht="15" x14ac:dyDescent="0.25">
      <c r="A346" s="1">
        <v>342</v>
      </c>
      <c r="B346" s="1" t="s">
        <v>656</v>
      </c>
      <c r="C346" s="32">
        <v>3798</v>
      </c>
      <c r="D346" s="1">
        <v>25000</v>
      </c>
      <c r="E346" s="1" t="s">
        <v>80</v>
      </c>
      <c r="F346" s="1">
        <v>278.22000000000003</v>
      </c>
      <c r="G346" s="1">
        <v>25000</v>
      </c>
      <c r="H346" s="1">
        <f t="shared" si="6"/>
        <v>0</v>
      </c>
      <c r="I346" s="89"/>
      <c r="J346" s="89"/>
      <c r="K346" s="388"/>
      <c r="L346" s="48"/>
      <c r="M346" s="48"/>
      <c r="N346" s="370"/>
      <c r="O346" s="48"/>
    </row>
    <row r="347" spans="1:15" s="403" customFormat="1" ht="15" x14ac:dyDescent="0.25">
      <c r="A347" s="1">
        <v>343</v>
      </c>
      <c r="B347" s="1" t="s">
        <v>656</v>
      </c>
      <c r="C347" s="32">
        <v>8274</v>
      </c>
      <c r="D347" s="1">
        <v>26000</v>
      </c>
      <c r="E347" s="1" t="s">
        <v>80</v>
      </c>
      <c r="F347" s="1">
        <v>277.83999999999997</v>
      </c>
      <c r="G347" s="1">
        <v>26000</v>
      </c>
      <c r="H347" s="1">
        <f t="shared" si="6"/>
        <v>0</v>
      </c>
      <c r="I347" s="89"/>
      <c r="J347" s="89"/>
      <c r="K347" s="388"/>
      <c r="L347" s="48"/>
      <c r="M347" s="48"/>
      <c r="N347" s="370"/>
      <c r="O347" s="48"/>
    </row>
    <row r="348" spans="1:15" s="403" customFormat="1" ht="15" x14ac:dyDescent="0.25">
      <c r="A348" s="1">
        <v>344</v>
      </c>
      <c r="B348" s="1" t="s">
        <v>656</v>
      </c>
      <c r="C348" s="32">
        <v>8382</v>
      </c>
      <c r="D348" s="1">
        <v>23000</v>
      </c>
      <c r="E348" s="1" t="s">
        <v>80</v>
      </c>
      <c r="F348" s="1">
        <v>245.64</v>
      </c>
      <c r="G348" s="1">
        <v>23000</v>
      </c>
      <c r="H348" s="1">
        <f t="shared" si="6"/>
        <v>0</v>
      </c>
      <c r="I348" s="89"/>
      <c r="J348" s="89"/>
      <c r="K348" s="388"/>
      <c r="L348" s="48"/>
      <c r="M348" s="48"/>
      <c r="N348" s="370"/>
      <c r="O348" s="48"/>
    </row>
    <row r="349" spans="1:15" s="403" customFormat="1" ht="15.75" thickBot="1" x14ac:dyDescent="0.3">
      <c r="A349" s="1">
        <v>345</v>
      </c>
      <c r="B349" s="1" t="s">
        <v>656</v>
      </c>
      <c r="C349" s="32">
        <v>9356</v>
      </c>
      <c r="D349" s="1">
        <v>23000</v>
      </c>
      <c r="E349" s="1" t="s">
        <v>80</v>
      </c>
      <c r="F349" s="1">
        <v>245.64</v>
      </c>
      <c r="G349" s="1">
        <v>23000</v>
      </c>
      <c r="H349" s="1">
        <f t="shared" si="6"/>
        <v>0</v>
      </c>
      <c r="I349" s="89"/>
      <c r="J349" s="89"/>
      <c r="K349" s="388"/>
      <c r="L349" s="48"/>
      <c r="M349" s="48"/>
      <c r="N349" s="370"/>
      <c r="O349" s="48"/>
    </row>
    <row r="350" spans="1:15" s="403" customFormat="1" ht="15.75" thickBot="1" x14ac:dyDescent="0.3">
      <c r="A350" s="1">
        <v>346</v>
      </c>
      <c r="B350" s="1" t="s">
        <v>656</v>
      </c>
      <c r="C350" s="32">
        <v>4751</v>
      </c>
      <c r="D350" s="1">
        <v>28000</v>
      </c>
      <c r="E350" s="1" t="s">
        <v>80</v>
      </c>
      <c r="F350" s="1">
        <v>298.48</v>
      </c>
      <c r="G350" s="1">
        <v>28000</v>
      </c>
      <c r="H350" s="1">
        <f t="shared" si="6"/>
        <v>0</v>
      </c>
      <c r="I350" s="89"/>
      <c r="J350" s="89"/>
      <c r="K350" s="103">
        <f>2649768-2643178</f>
        <v>6590</v>
      </c>
      <c r="L350" s="359" t="s">
        <v>619</v>
      </c>
      <c r="M350" s="359">
        <v>10323</v>
      </c>
      <c r="N350" s="367" t="s">
        <v>620</v>
      </c>
      <c r="O350" s="360">
        <f>10323-6596</f>
        <v>3727</v>
      </c>
    </row>
    <row r="351" spans="1:15" s="404" customFormat="1" ht="15" x14ac:dyDescent="0.25">
      <c r="A351" s="1">
        <v>347</v>
      </c>
      <c r="B351" s="1" t="s">
        <v>657</v>
      </c>
      <c r="C351" s="32">
        <v>8565</v>
      </c>
      <c r="D351" s="1">
        <v>13000</v>
      </c>
      <c r="E351" s="1" t="s">
        <v>80</v>
      </c>
      <c r="F351" s="1">
        <v>144.13</v>
      </c>
      <c r="G351" s="1">
        <v>13000</v>
      </c>
      <c r="H351" s="1">
        <f t="shared" si="6"/>
        <v>0</v>
      </c>
      <c r="I351" s="89"/>
      <c r="J351" s="89"/>
      <c r="K351" s="388"/>
      <c r="L351" s="48"/>
      <c r="M351" s="48"/>
      <c r="N351" s="370"/>
      <c r="O351" s="48"/>
    </row>
    <row r="352" spans="1:15" s="404" customFormat="1" ht="15" x14ac:dyDescent="0.25">
      <c r="A352" s="1">
        <v>348</v>
      </c>
      <c r="B352" s="1" t="s">
        <v>657</v>
      </c>
      <c r="C352" s="32">
        <v>4565</v>
      </c>
      <c r="D352" s="1">
        <v>13000</v>
      </c>
      <c r="E352" s="1" t="s">
        <v>80</v>
      </c>
      <c r="F352" s="1">
        <v>144.13</v>
      </c>
      <c r="G352" s="1">
        <v>13000</v>
      </c>
      <c r="H352" s="1">
        <f t="shared" si="6"/>
        <v>0</v>
      </c>
      <c r="I352" s="89"/>
      <c r="J352" s="89"/>
      <c r="K352" s="388"/>
      <c r="L352" s="48"/>
      <c r="M352" s="48"/>
      <c r="N352" s="370"/>
      <c r="O352" s="48"/>
    </row>
    <row r="353" spans="1:15" s="404" customFormat="1" ht="15" x14ac:dyDescent="0.25">
      <c r="A353" s="1">
        <v>349</v>
      </c>
      <c r="B353" s="1" t="s">
        <v>657</v>
      </c>
      <c r="C353" s="32">
        <v>7252</v>
      </c>
      <c r="D353" s="1">
        <v>15000</v>
      </c>
      <c r="E353" s="1" t="s">
        <v>80</v>
      </c>
      <c r="F353" s="1">
        <v>167.15</v>
      </c>
      <c r="G353" s="1">
        <v>15000</v>
      </c>
      <c r="H353" s="1">
        <f t="shared" si="6"/>
        <v>0</v>
      </c>
      <c r="I353" s="89"/>
      <c r="J353" s="89"/>
      <c r="K353" s="388"/>
      <c r="L353" s="48"/>
      <c r="M353" s="48"/>
      <c r="N353" s="370"/>
      <c r="O353" s="48"/>
    </row>
    <row r="354" spans="1:15" s="404" customFormat="1" ht="15" x14ac:dyDescent="0.25">
      <c r="A354" s="1">
        <v>350</v>
      </c>
      <c r="B354" s="1" t="s">
        <v>657</v>
      </c>
      <c r="C354" s="32">
        <v>4.4499999999999998E-2</v>
      </c>
      <c r="D354" s="1">
        <v>13000</v>
      </c>
      <c r="E354" s="1" t="s">
        <v>80</v>
      </c>
      <c r="F354" s="1">
        <v>144.13</v>
      </c>
      <c r="G354" s="1">
        <v>13000</v>
      </c>
      <c r="H354" s="1">
        <f t="shared" si="6"/>
        <v>0</v>
      </c>
      <c r="I354" s="89"/>
      <c r="J354" s="89"/>
      <c r="K354" s="388"/>
      <c r="L354" s="48"/>
      <c r="M354" s="48"/>
      <c r="N354" s="370"/>
      <c r="O354" s="48"/>
    </row>
    <row r="355" spans="1:15" s="404" customFormat="1" ht="15" x14ac:dyDescent="0.25">
      <c r="A355" s="1">
        <v>351</v>
      </c>
      <c r="B355" s="1" t="s">
        <v>657</v>
      </c>
      <c r="C355" s="32">
        <v>4747</v>
      </c>
      <c r="D355" s="1">
        <v>12000</v>
      </c>
      <c r="E355" s="1" t="s">
        <v>80</v>
      </c>
      <c r="F355" s="1">
        <v>133.52000000000001</v>
      </c>
      <c r="G355" s="1">
        <v>12000</v>
      </c>
      <c r="H355" s="1">
        <f t="shared" si="6"/>
        <v>0</v>
      </c>
      <c r="I355" s="89"/>
      <c r="J355" s="89"/>
      <c r="K355" s="388"/>
      <c r="L355" s="48"/>
      <c r="M355" s="48"/>
      <c r="N355" s="370"/>
      <c r="O355" s="48"/>
    </row>
    <row r="356" spans="1:15" s="404" customFormat="1" ht="15" x14ac:dyDescent="0.25">
      <c r="A356" s="1">
        <v>352</v>
      </c>
      <c r="B356" s="1" t="s">
        <v>657</v>
      </c>
      <c r="C356" s="32">
        <v>6957</v>
      </c>
      <c r="D356" s="1">
        <v>17000</v>
      </c>
      <c r="E356" s="1" t="s">
        <v>80</v>
      </c>
      <c r="F356" s="1">
        <v>189.75</v>
      </c>
      <c r="G356" s="1">
        <v>17000</v>
      </c>
      <c r="H356" s="1">
        <f t="shared" si="6"/>
        <v>0</v>
      </c>
      <c r="I356" s="89"/>
      <c r="J356" s="89"/>
      <c r="K356" s="388"/>
      <c r="L356" s="48"/>
      <c r="M356" s="48"/>
      <c r="N356" s="370"/>
      <c r="O356" s="48"/>
    </row>
    <row r="357" spans="1:15" s="404" customFormat="1" ht="15" x14ac:dyDescent="0.25">
      <c r="A357" s="1">
        <v>353</v>
      </c>
      <c r="B357" s="1" t="s">
        <v>657</v>
      </c>
      <c r="C357" s="32">
        <v>8981</v>
      </c>
      <c r="D357" s="1">
        <v>29000</v>
      </c>
      <c r="E357" s="1" t="s">
        <v>80</v>
      </c>
      <c r="F357" s="1">
        <v>323.74</v>
      </c>
      <c r="G357" s="1">
        <v>29000</v>
      </c>
      <c r="H357" s="1">
        <f t="shared" si="6"/>
        <v>0</v>
      </c>
      <c r="I357" s="89"/>
      <c r="J357" s="89"/>
      <c r="K357" s="388"/>
      <c r="L357" s="48"/>
      <c r="M357" s="48"/>
      <c r="N357" s="370"/>
      <c r="O357" s="48"/>
    </row>
    <row r="358" spans="1:15" s="404" customFormat="1" ht="15" x14ac:dyDescent="0.25">
      <c r="A358" s="1">
        <v>354</v>
      </c>
      <c r="B358" s="1" t="s">
        <v>657</v>
      </c>
      <c r="C358" s="32">
        <v>7088</v>
      </c>
      <c r="D358" s="1">
        <v>20000</v>
      </c>
      <c r="E358" s="1" t="s">
        <v>80</v>
      </c>
      <c r="F358" s="1">
        <v>222.82</v>
      </c>
      <c r="G358" s="1">
        <v>20000</v>
      </c>
      <c r="H358" s="1">
        <f t="shared" si="6"/>
        <v>0</v>
      </c>
      <c r="I358" s="89"/>
      <c r="J358" s="89"/>
      <c r="K358" s="388"/>
      <c r="L358" s="48"/>
      <c r="M358" s="48"/>
      <c r="N358" s="370"/>
      <c r="O358" s="48"/>
    </row>
    <row r="359" spans="1:15" s="404" customFormat="1" ht="15" x14ac:dyDescent="0.25">
      <c r="A359" s="1">
        <v>355</v>
      </c>
      <c r="B359" s="1" t="s">
        <v>657</v>
      </c>
      <c r="C359" s="32">
        <v>6088</v>
      </c>
      <c r="D359" s="1">
        <v>20000</v>
      </c>
      <c r="E359" s="1" t="s">
        <v>80</v>
      </c>
      <c r="F359" s="1">
        <v>222.82</v>
      </c>
      <c r="G359" s="1">
        <v>20000</v>
      </c>
      <c r="H359" s="1">
        <f t="shared" si="6"/>
        <v>0</v>
      </c>
      <c r="I359" s="89"/>
      <c r="J359" s="89"/>
      <c r="K359" s="388"/>
      <c r="L359" s="48"/>
      <c r="M359" s="48"/>
      <c r="N359" s="370"/>
      <c r="O359" s="48"/>
    </row>
    <row r="360" spans="1:15" s="404" customFormat="1" ht="15" x14ac:dyDescent="0.25">
      <c r="A360" s="1">
        <v>356</v>
      </c>
      <c r="B360" s="1" t="s">
        <v>657</v>
      </c>
      <c r="C360" s="32">
        <v>9777</v>
      </c>
      <c r="D360" s="1">
        <v>16000</v>
      </c>
      <c r="E360" s="1" t="s">
        <v>80</v>
      </c>
      <c r="F360" s="1">
        <v>178.22</v>
      </c>
      <c r="G360" s="1">
        <v>16000</v>
      </c>
      <c r="H360" s="1">
        <f t="shared" si="6"/>
        <v>0</v>
      </c>
      <c r="I360" s="89"/>
      <c r="J360" s="89"/>
      <c r="K360" s="388"/>
      <c r="L360" s="48"/>
      <c r="M360" s="48"/>
      <c r="N360" s="370"/>
      <c r="O360" s="48"/>
    </row>
    <row r="361" spans="1:15" s="404" customFormat="1" ht="15" x14ac:dyDescent="0.25">
      <c r="A361" s="1">
        <v>357</v>
      </c>
      <c r="B361" s="1" t="s">
        <v>657</v>
      </c>
      <c r="C361" s="32">
        <v>8327</v>
      </c>
      <c r="D361" s="1">
        <v>13000</v>
      </c>
      <c r="E361" s="1" t="s">
        <v>80</v>
      </c>
      <c r="F361" s="1">
        <v>144.13</v>
      </c>
      <c r="G361" s="1">
        <v>13000</v>
      </c>
      <c r="H361" s="1">
        <f t="shared" si="6"/>
        <v>0</v>
      </c>
      <c r="I361" s="89"/>
      <c r="J361" s="89"/>
      <c r="K361" s="388"/>
      <c r="L361" s="48"/>
      <c r="M361" s="48"/>
      <c r="N361" s="370"/>
      <c r="O361" s="48"/>
    </row>
    <row r="362" spans="1:15" s="404" customFormat="1" ht="15" x14ac:dyDescent="0.25">
      <c r="A362" s="1">
        <v>358</v>
      </c>
      <c r="B362" s="1" t="s">
        <v>657</v>
      </c>
      <c r="C362" s="32" t="s">
        <v>634</v>
      </c>
      <c r="D362" s="1">
        <v>3500</v>
      </c>
      <c r="E362" s="1" t="s">
        <v>80</v>
      </c>
      <c r="F362" s="1">
        <v>38.450000000000003</v>
      </c>
      <c r="G362" s="1">
        <v>3500</v>
      </c>
      <c r="H362" s="1">
        <f t="shared" si="6"/>
        <v>0</v>
      </c>
      <c r="I362" s="89"/>
      <c r="J362" s="89"/>
      <c r="K362" s="388"/>
      <c r="L362" s="48"/>
      <c r="M362" s="48"/>
      <c r="N362" s="370"/>
      <c r="O362" s="48"/>
    </row>
    <row r="363" spans="1:15" s="404" customFormat="1" ht="15" x14ac:dyDescent="0.25">
      <c r="A363" s="1">
        <v>359</v>
      </c>
      <c r="B363" s="1" t="s">
        <v>657</v>
      </c>
      <c r="C363" s="32">
        <v>5481</v>
      </c>
      <c r="D363" s="1">
        <v>25000</v>
      </c>
      <c r="E363" s="1" t="s">
        <v>80</v>
      </c>
      <c r="F363" s="1">
        <v>278.22000000000003</v>
      </c>
      <c r="G363" s="1">
        <v>25000</v>
      </c>
      <c r="H363" s="1">
        <f t="shared" si="6"/>
        <v>0</v>
      </c>
      <c r="I363" s="89"/>
      <c r="J363" s="89"/>
      <c r="K363" s="388"/>
      <c r="L363" s="48"/>
      <c r="M363" s="48"/>
      <c r="N363" s="370"/>
      <c r="O363" s="48"/>
    </row>
    <row r="364" spans="1:15" s="404" customFormat="1" ht="15" x14ac:dyDescent="0.25">
      <c r="A364" s="1">
        <v>360</v>
      </c>
      <c r="B364" s="1" t="s">
        <v>657</v>
      </c>
      <c r="C364" s="32" t="s">
        <v>30</v>
      </c>
      <c r="D364" s="1">
        <v>5000</v>
      </c>
      <c r="E364" s="1" t="s">
        <v>80</v>
      </c>
      <c r="F364" s="1">
        <v>55.55</v>
      </c>
      <c r="G364" s="1">
        <v>5000</v>
      </c>
      <c r="H364" s="1">
        <f t="shared" si="6"/>
        <v>0</v>
      </c>
      <c r="I364" s="89"/>
      <c r="J364" s="89"/>
      <c r="K364" s="388"/>
      <c r="L364" s="48"/>
      <c r="M364" s="48"/>
      <c r="N364" s="370"/>
      <c r="O364" s="48"/>
    </row>
    <row r="365" spans="1:15" s="404" customFormat="1" ht="15" x14ac:dyDescent="0.25">
      <c r="A365" s="1">
        <v>361</v>
      </c>
      <c r="B365" s="1" t="s">
        <v>657</v>
      </c>
      <c r="C365" s="32">
        <v>3972</v>
      </c>
      <c r="D365" s="1">
        <v>30000</v>
      </c>
      <c r="E365" s="1" t="s">
        <v>80</v>
      </c>
      <c r="F365" s="1">
        <v>334.22</v>
      </c>
      <c r="G365" s="1">
        <v>30000</v>
      </c>
      <c r="H365" s="1">
        <f t="shared" si="6"/>
        <v>0</v>
      </c>
      <c r="I365" s="89"/>
      <c r="J365" s="89"/>
      <c r="K365" s="388"/>
      <c r="L365" s="48"/>
      <c r="M365" s="48"/>
      <c r="N365" s="370"/>
      <c r="O365" s="48"/>
    </row>
    <row r="366" spans="1:15" s="404" customFormat="1" ht="15" x14ac:dyDescent="0.25">
      <c r="A366" s="1">
        <v>362</v>
      </c>
      <c r="B366" s="1" t="s">
        <v>657</v>
      </c>
      <c r="C366" s="32">
        <v>7804</v>
      </c>
      <c r="D366" s="1">
        <v>22000</v>
      </c>
      <c r="E366" s="1" t="s">
        <v>80</v>
      </c>
      <c r="F366" s="1">
        <v>232.44</v>
      </c>
      <c r="G366" s="1">
        <v>22000</v>
      </c>
      <c r="H366" s="1">
        <f t="shared" si="6"/>
        <v>0</v>
      </c>
      <c r="I366" s="89"/>
      <c r="J366" s="89"/>
      <c r="K366" s="388"/>
      <c r="L366" s="48"/>
      <c r="M366" s="48"/>
      <c r="N366" s="370"/>
      <c r="O366" s="48"/>
    </row>
    <row r="367" spans="1:15" s="404" customFormat="1" ht="15" x14ac:dyDescent="0.25">
      <c r="A367" s="1">
        <v>363</v>
      </c>
      <c r="B367" s="1" t="s">
        <v>657</v>
      </c>
      <c r="C367" s="32">
        <v>2786</v>
      </c>
      <c r="D367" s="1">
        <v>20000</v>
      </c>
      <c r="E367" s="1" t="s">
        <v>80</v>
      </c>
      <c r="F367" s="1">
        <v>222.82</v>
      </c>
      <c r="G367" s="1">
        <v>20000</v>
      </c>
      <c r="H367" s="1">
        <f t="shared" si="6"/>
        <v>0</v>
      </c>
      <c r="I367" s="89"/>
      <c r="J367" s="89"/>
      <c r="K367" s="388"/>
      <c r="L367" s="48"/>
      <c r="M367" s="48"/>
      <c r="N367" s="370"/>
      <c r="O367" s="48"/>
    </row>
    <row r="368" spans="1:15" s="404" customFormat="1" ht="15" x14ac:dyDescent="0.25">
      <c r="A368" s="1">
        <v>364</v>
      </c>
      <c r="B368" s="1" t="s">
        <v>657</v>
      </c>
      <c r="C368" s="32">
        <v>1786</v>
      </c>
      <c r="D368" s="1">
        <v>20000</v>
      </c>
      <c r="E368" s="1" t="s">
        <v>80</v>
      </c>
      <c r="F368" s="1">
        <v>222.82</v>
      </c>
      <c r="G368" s="1">
        <v>20000</v>
      </c>
      <c r="H368" s="1">
        <f t="shared" si="6"/>
        <v>0</v>
      </c>
      <c r="I368" s="89"/>
      <c r="J368" s="89"/>
      <c r="K368" s="388"/>
      <c r="L368" s="48"/>
      <c r="M368" s="48"/>
      <c r="N368" s="370"/>
      <c r="O368" s="48"/>
    </row>
    <row r="369" spans="1:15" s="404" customFormat="1" ht="15" x14ac:dyDescent="0.25">
      <c r="A369" s="1">
        <v>365</v>
      </c>
      <c r="B369" s="1" t="s">
        <v>657</v>
      </c>
      <c r="C369" s="32">
        <v>7786</v>
      </c>
      <c r="D369" s="1">
        <v>20000</v>
      </c>
      <c r="E369" s="1" t="s">
        <v>80</v>
      </c>
      <c r="F369" s="1">
        <v>222.82</v>
      </c>
      <c r="G369" s="1">
        <v>20000</v>
      </c>
      <c r="H369" s="1">
        <f t="shared" si="6"/>
        <v>0</v>
      </c>
      <c r="I369" s="89"/>
      <c r="J369" s="89"/>
      <c r="K369" s="388"/>
      <c r="L369" s="48"/>
      <c r="M369" s="48"/>
      <c r="N369" s="370"/>
      <c r="O369" s="48"/>
    </row>
    <row r="370" spans="1:15" s="404" customFormat="1" ht="15" x14ac:dyDescent="0.25">
      <c r="A370" s="1">
        <v>366</v>
      </c>
      <c r="B370" s="1" t="s">
        <v>657</v>
      </c>
      <c r="C370" s="32">
        <v>8046</v>
      </c>
      <c r="D370" s="1">
        <v>20000</v>
      </c>
      <c r="E370" s="1" t="s">
        <v>80</v>
      </c>
      <c r="F370" s="1">
        <v>222.82</v>
      </c>
      <c r="G370" s="1">
        <v>20000</v>
      </c>
      <c r="H370" s="1">
        <f t="shared" si="6"/>
        <v>0</v>
      </c>
      <c r="I370" s="89"/>
      <c r="J370" s="89"/>
      <c r="K370" s="388"/>
      <c r="L370" s="48"/>
      <c r="M370" s="48"/>
      <c r="N370" s="370"/>
      <c r="O370" s="48"/>
    </row>
    <row r="371" spans="1:15" s="404" customFormat="1" ht="15" x14ac:dyDescent="0.25">
      <c r="A371" s="1">
        <v>367</v>
      </c>
      <c r="B371" s="1" t="s">
        <v>657</v>
      </c>
      <c r="C371" s="32">
        <v>7605</v>
      </c>
      <c r="D371" s="1">
        <v>20000</v>
      </c>
      <c r="E371" s="1" t="s">
        <v>80</v>
      </c>
      <c r="F371" s="1">
        <v>222.82</v>
      </c>
      <c r="G371" s="1">
        <v>20000</v>
      </c>
      <c r="H371" s="1">
        <f t="shared" si="6"/>
        <v>0</v>
      </c>
      <c r="I371" s="89"/>
      <c r="J371" s="89"/>
      <c r="K371" s="388"/>
      <c r="L371" s="48"/>
      <c r="M371" s="48"/>
      <c r="N371" s="370"/>
      <c r="O371" s="48"/>
    </row>
    <row r="372" spans="1:15" s="404" customFormat="1" ht="15" x14ac:dyDescent="0.25">
      <c r="A372" s="1">
        <v>368</v>
      </c>
      <c r="B372" s="1" t="s">
        <v>657</v>
      </c>
      <c r="C372" s="32">
        <v>8192</v>
      </c>
      <c r="D372" s="1">
        <v>20000</v>
      </c>
      <c r="E372" s="1" t="s">
        <v>80</v>
      </c>
      <c r="F372" s="1">
        <v>222.82</v>
      </c>
      <c r="G372" s="1">
        <v>20000</v>
      </c>
      <c r="H372" s="1">
        <f t="shared" si="6"/>
        <v>0</v>
      </c>
      <c r="I372" s="89"/>
      <c r="J372" s="89"/>
      <c r="K372" s="388"/>
      <c r="L372" s="48"/>
      <c r="M372" s="48"/>
      <c r="N372" s="370"/>
      <c r="O372" s="48"/>
    </row>
    <row r="373" spans="1:15" s="404" customFormat="1" ht="15" x14ac:dyDescent="0.25">
      <c r="A373" s="1">
        <v>369</v>
      </c>
      <c r="B373" s="1" t="s">
        <v>657</v>
      </c>
      <c r="C373" s="32">
        <v>7672</v>
      </c>
      <c r="D373" s="1">
        <v>25000</v>
      </c>
      <c r="E373" s="1" t="s">
        <v>80</v>
      </c>
      <c r="F373" s="1">
        <v>278.22000000000003</v>
      </c>
      <c r="G373" s="1">
        <v>25000</v>
      </c>
      <c r="H373" s="1">
        <f t="shared" si="6"/>
        <v>0</v>
      </c>
      <c r="I373" s="89"/>
      <c r="J373" s="89"/>
      <c r="K373" s="388"/>
      <c r="L373" s="48"/>
      <c r="M373" s="48"/>
      <c r="N373" s="370"/>
      <c r="O373" s="48"/>
    </row>
    <row r="374" spans="1:15" s="405" customFormat="1" ht="15" x14ac:dyDescent="0.25">
      <c r="A374" s="1">
        <v>370</v>
      </c>
      <c r="B374" s="1" t="s">
        <v>658</v>
      </c>
      <c r="C374" s="32" t="s">
        <v>30</v>
      </c>
      <c r="D374" s="1">
        <v>4500</v>
      </c>
      <c r="E374" s="1" t="s">
        <v>80</v>
      </c>
      <c r="F374" s="1">
        <v>50.45</v>
      </c>
      <c r="G374" s="1">
        <v>4500</v>
      </c>
      <c r="H374" s="1">
        <f t="shared" si="6"/>
        <v>0</v>
      </c>
      <c r="I374" s="89"/>
      <c r="J374" s="89"/>
      <c r="K374" s="388"/>
      <c r="L374" s="48"/>
      <c r="M374" s="48"/>
      <c r="N374" s="370"/>
      <c r="O374" s="48"/>
    </row>
    <row r="375" spans="1:15" s="405" customFormat="1" ht="15" x14ac:dyDescent="0.25">
      <c r="A375" s="1">
        <v>371</v>
      </c>
      <c r="B375" s="1" t="s">
        <v>658</v>
      </c>
      <c r="C375" s="32">
        <v>1652</v>
      </c>
      <c r="D375" s="1">
        <v>13000</v>
      </c>
      <c r="E375" s="1" t="s">
        <v>80</v>
      </c>
      <c r="F375" s="1">
        <v>144.13</v>
      </c>
      <c r="G375" s="1">
        <v>13000</v>
      </c>
      <c r="H375" s="1">
        <f t="shared" si="6"/>
        <v>0</v>
      </c>
      <c r="I375" s="89"/>
      <c r="J375" s="89"/>
      <c r="K375" s="388"/>
      <c r="L375" s="48"/>
      <c r="M375" s="48"/>
      <c r="N375" s="370"/>
      <c r="O375" s="48"/>
    </row>
    <row r="376" spans="1:15" s="405" customFormat="1" ht="15" x14ac:dyDescent="0.25">
      <c r="A376" s="1">
        <v>372</v>
      </c>
      <c r="B376" s="1" t="s">
        <v>658</v>
      </c>
      <c r="C376" s="32">
        <v>4575</v>
      </c>
      <c r="D376" s="1">
        <v>13000</v>
      </c>
      <c r="E376" s="1" t="s">
        <v>80</v>
      </c>
      <c r="F376" s="1">
        <v>144.13</v>
      </c>
      <c r="G376" s="1">
        <v>13000</v>
      </c>
      <c r="H376" s="1">
        <f t="shared" si="6"/>
        <v>0</v>
      </c>
      <c r="I376" s="89"/>
      <c r="J376" s="89"/>
      <c r="K376" s="388"/>
      <c r="L376" s="48"/>
      <c r="M376" s="48"/>
      <c r="N376" s="370"/>
      <c r="O376" s="48"/>
    </row>
    <row r="377" spans="1:15" s="405" customFormat="1" ht="15" x14ac:dyDescent="0.25">
      <c r="A377" s="1">
        <v>373</v>
      </c>
      <c r="B377" s="1" t="s">
        <v>658</v>
      </c>
      <c r="C377" s="32">
        <v>9179</v>
      </c>
      <c r="D377" s="1">
        <v>12000</v>
      </c>
      <c r="E377" s="1" t="s">
        <v>80</v>
      </c>
      <c r="F377" s="1">
        <v>133.41999999999999</v>
      </c>
      <c r="G377" s="1">
        <v>12000</v>
      </c>
      <c r="H377" s="1">
        <f t="shared" si="6"/>
        <v>0</v>
      </c>
      <c r="I377" s="89"/>
      <c r="J377" s="89"/>
      <c r="K377" s="388"/>
      <c r="L377" s="48"/>
      <c r="M377" s="48"/>
      <c r="N377" s="370"/>
      <c r="O377" s="48"/>
    </row>
    <row r="378" spans="1:15" s="405" customFormat="1" ht="15" x14ac:dyDescent="0.25">
      <c r="A378" s="1">
        <v>374</v>
      </c>
      <c r="B378" s="1" t="s">
        <v>658</v>
      </c>
      <c r="C378" s="32">
        <v>1552</v>
      </c>
      <c r="D378" s="1">
        <v>15000</v>
      </c>
      <c r="E378" s="1" t="s">
        <v>80</v>
      </c>
      <c r="F378" s="1">
        <v>167.15</v>
      </c>
      <c r="G378" s="1">
        <v>15000</v>
      </c>
      <c r="H378" s="1">
        <f t="shared" si="6"/>
        <v>0</v>
      </c>
      <c r="I378" s="89"/>
      <c r="J378" s="89"/>
      <c r="K378" s="388"/>
      <c r="L378" s="48"/>
      <c r="M378" s="48"/>
      <c r="N378" s="370"/>
      <c r="O378" s="48"/>
    </row>
    <row r="379" spans="1:15" s="405" customFormat="1" ht="15" x14ac:dyDescent="0.25">
      <c r="A379" s="1">
        <v>375</v>
      </c>
      <c r="B379" s="1" t="s">
        <v>658</v>
      </c>
      <c r="C379" s="32">
        <v>5.3699999999999998E-2</v>
      </c>
      <c r="D379" s="1">
        <v>13000</v>
      </c>
      <c r="E379" s="1" t="s">
        <v>80</v>
      </c>
      <c r="F379" s="1">
        <v>144.13</v>
      </c>
      <c r="G379" s="1">
        <v>13000</v>
      </c>
      <c r="H379" s="1">
        <f t="shared" si="6"/>
        <v>0</v>
      </c>
      <c r="I379" s="89"/>
      <c r="J379" s="89"/>
      <c r="K379" s="388"/>
      <c r="L379" s="48"/>
      <c r="M379" s="48"/>
      <c r="N379" s="370"/>
      <c r="O379" s="48"/>
    </row>
    <row r="380" spans="1:15" s="405" customFormat="1" ht="15" x14ac:dyDescent="0.25">
      <c r="A380" s="1">
        <v>376</v>
      </c>
      <c r="B380" s="1" t="s">
        <v>658</v>
      </c>
      <c r="C380" s="32">
        <v>2121</v>
      </c>
      <c r="D380" s="1">
        <v>14500</v>
      </c>
      <c r="E380" s="1" t="s">
        <v>80</v>
      </c>
      <c r="F380" s="1">
        <v>161.57</v>
      </c>
      <c r="G380" s="1">
        <v>14500</v>
      </c>
      <c r="H380" s="1">
        <f t="shared" si="6"/>
        <v>0</v>
      </c>
      <c r="I380" s="89"/>
      <c r="J380" s="89"/>
      <c r="K380" s="388"/>
      <c r="L380" s="48"/>
      <c r="M380" s="48"/>
      <c r="N380" s="370"/>
      <c r="O380" s="48"/>
    </row>
    <row r="381" spans="1:15" s="405" customFormat="1" ht="15" x14ac:dyDescent="0.25">
      <c r="A381" s="1">
        <v>377</v>
      </c>
      <c r="B381" s="1" t="s">
        <v>658</v>
      </c>
      <c r="C381" s="32">
        <v>3.2099999999999997E-2</v>
      </c>
      <c r="D381" s="1">
        <v>14500</v>
      </c>
      <c r="E381" s="1" t="s">
        <v>80</v>
      </c>
      <c r="F381" s="1">
        <v>161.57</v>
      </c>
      <c r="G381" s="1">
        <v>14500</v>
      </c>
      <c r="H381" s="1">
        <f t="shared" si="6"/>
        <v>0</v>
      </c>
      <c r="I381" s="89"/>
      <c r="J381" s="89"/>
      <c r="K381" s="388"/>
      <c r="L381" s="48"/>
      <c r="M381" s="48"/>
      <c r="N381" s="370"/>
      <c r="O381" s="48"/>
    </row>
    <row r="382" spans="1:15" s="405" customFormat="1" ht="15" x14ac:dyDescent="0.25">
      <c r="A382" s="1">
        <v>378</v>
      </c>
      <c r="B382" s="1" t="s">
        <v>658</v>
      </c>
      <c r="C382" s="32">
        <v>5298</v>
      </c>
      <c r="D382" s="1">
        <v>30000</v>
      </c>
      <c r="E382" s="1" t="s">
        <v>80</v>
      </c>
      <c r="F382" s="1">
        <v>334.35</v>
      </c>
      <c r="G382" s="1">
        <v>30000</v>
      </c>
      <c r="H382" s="1">
        <f t="shared" si="6"/>
        <v>0</v>
      </c>
      <c r="I382" s="89"/>
      <c r="J382" s="89"/>
      <c r="K382" s="388"/>
      <c r="L382" s="48"/>
      <c r="M382" s="48"/>
      <c r="N382" s="370"/>
      <c r="O382" s="48"/>
    </row>
    <row r="383" spans="1:15" s="405" customFormat="1" ht="15" x14ac:dyDescent="0.25">
      <c r="A383" s="1">
        <v>379</v>
      </c>
      <c r="B383" s="1" t="s">
        <v>658</v>
      </c>
      <c r="C383" s="32">
        <v>1.4200000000000001E-2</v>
      </c>
      <c r="D383" s="1">
        <v>20000</v>
      </c>
      <c r="E383" s="1" t="s">
        <v>80</v>
      </c>
      <c r="F383" s="1">
        <v>222.82</v>
      </c>
      <c r="G383" s="1">
        <v>20000</v>
      </c>
      <c r="H383" s="1">
        <f t="shared" si="6"/>
        <v>0</v>
      </c>
      <c r="I383" s="89"/>
      <c r="J383" s="89"/>
      <c r="K383" s="388"/>
      <c r="L383" s="48"/>
      <c r="M383" s="48"/>
      <c r="N383" s="370"/>
      <c r="O383" s="48"/>
    </row>
    <row r="384" spans="1:15" s="405" customFormat="1" ht="15" x14ac:dyDescent="0.25">
      <c r="A384" s="1">
        <v>380</v>
      </c>
      <c r="B384" s="1" t="s">
        <v>658</v>
      </c>
      <c r="C384" s="32">
        <v>7923</v>
      </c>
      <c r="D384" s="1">
        <v>15000</v>
      </c>
      <c r="E384" s="1" t="s">
        <v>80</v>
      </c>
      <c r="F384" s="1">
        <v>167.15</v>
      </c>
      <c r="G384" s="1">
        <v>15000</v>
      </c>
      <c r="H384" s="1">
        <f t="shared" si="6"/>
        <v>0</v>
      </c>
      <c r="I384" s="89"/>
      <c r="J384" s="89"/>
      <c r="K384" s="388"/>
      <c r="L384" s="48"/>
      <c r="M384" s="48"/>
      <c r="N384" s="370"/>
      <c r="O384" s="48"/>
    </row>
    <row r="385" spans="1:15" s="405" customFormat="1" ht="15" x14ac:dyDescent="0.25">
      <c r="A385" s="1">
        <v>381</v>
      </c>
      <c r="B385" s="1" t="s">
        <v>658</v>
      </c>
      <c r="C385" s="32">
        <v>3000</v>
      </c>
      <c r="D385" s="1">
        <v>31000</v>
      </c>
      <c r="E385" s="1" t="s">
        <v>80</v>
      </c>
      <c r="F385" s="1">
        <v>345.67</v>
      </c>
      <c r="G385" s="1">
        <v>31000</v>
      </c>
      <c r="H385" s="1">
        <f t="shared" si="6"/>
        <v>0</v>
      </c>
      <c r="I385" s="89"/>
      <c r="J385" s="89"/>
      <c r="K385" s="388"/>
      <c r="L385" s="48"/>
      <c r="M385" s="48"/>
      <c r="N385" s="370"/>
      <c r="O385" s="48"/>
    </row>
    <row r="386" spans="1:15" s="405" customFormat="1" ht="15" x14ac:dyDescent="0.25">
      <c r="A386" s="1">
        <v>382</v>
      </c>
      <c r="B386" s="1" t="s">
        <v>658</v>
      </c>
      <c r="C386" s="32">
        <v>4575</v>
      </c>
      <c r="D386" s="1">
        <v>30000</v>
      </c>
      <c r="E386" s="1" t="s">
        <v>80</v>
      </c>
      <c r="F386" s="1">
        <v>334.35</v>
      </c>
      <c r="G386" s="1">
        <v>30000</v>
      </c>
      <c r="H386" s="1">
        <f t="shared" si="6"/>
        <v>0</v>
      </c>
      <c r="I386" s="89"/>
      <c r="J386" s="89"/>
      <c r="K386" s="388"/>
      <c r="L386" s="48"/>
      <c r="M386" s="48"/>
      <c r="N386" s="370"/>
      <c r="O386" s="48"/>
    </row>
    <row r="387" spans="1:15" s="405" customFormat="1" ht="15" x14ac:dyDescent="0.25">
      <c r="A387" s="1">
        <v>383</v>
      </c>
      <c r="B387" s="1" t="s">
        <v>658</v>
      </c>
      <c r="C387" s="32">
        <v>2608</v>
      </c>
      <c r="D387" s="1">
        <v>30000</v>
      </c>
      <c r="E387" s="1" t="s">
        <v>80</v>
      </c>
      <c r="F387" s="1">
        <v>334.35</v>
      </c>
      <c r="G387" s="1">
        <v>30000</v>
      </c>
      <c r="H387" s="1">
        <f t="shared" si="6"/>
        <v>0</v>
      </c>
      <c r="I387" s="89"/>
      <c r="J387" s="89"/>
      <c r="K387" s="388"/>
      <c r="L387" s="48"/>
      <c r="M387" s="48"/>
      <c r="N387" s="370"/>
      <c r="O387" s="48"/>
    </row>
    <row r="388" spans="1:15" s="405" customFormat="1" ht="15" x14ac:dyDescent="0.25">
      <c r="A388" s="1">
        <v>384</v>
      </c>
      <c r="B388" s="1" t="s">
        <v>658</v>
      </c>
      <c r="C388" s="32">
        <v>9853</v>
      </c>
      <c r="D388" s="1">
        <v>19700</v>
      </c>
      <c r="E388" s="1" t="s">
        <v>80</v>
      </c>
      <c r="F388" s="1">
        <v>229.87</v>
      </c>
      <c r="G388" s="1">
        <v>19700</v>
      </c>
      <c r="H388" s="1">
        <f t="shared" si="6"/>
        <v>0</v>
      </c>
      <c r="I388" s="89"/>
      <c r="J388" s="89"/>
      <c r="K388" s="388"/>
      <c r="L388" s="48"/>
      <c r="M388" s="48"/>
      <c r="N388" s="370"/>
      <c r="O388" s="48"/>
    </row>
    <row r="389" spans="1:15" s="405" customFormat="1" ht="15" x14ac:dyDescent="0.25">
      <c r="A389" s="1">
        <v>385</v>
      </c>
      <c r="B389" s="1" t="s">
        <v>658</v>
      </c>
      <c r="C389" s="32">
        <v>1011</v>
      </c>
      <c r="D389" s="1">
        <v>20000</v>
      </c>
      <c r="E389" s="1" t="s">
        <v>80</v>
      </c>
      <c r="F389" s="1">
        <v>222.82</v>
      </c>
      <c r="G389" s="1">
        <v>20000</v>
      </c>
      <c r="H389" s="1">
        <f t="shared" si="6"/>
        <v>0</v>
      </c>
      <c r="I389" s="89"/>
      <c r="J389" s="89"/>
      <c r="K389" s="388"/>
      <c r="L389" s="48"/>
      <c r="M389" s="48"/>
      <c r="N389" s="370"/>
      <c r="O389" s="48"/>
    </row>
    <row r="390" spans="1:15" s="405" customFormat="1" ht="15" x14ac:dyDescent="0.25">
      <c r="A390" s="1">
        <v>386</v>
      </c>
      <c r="B390" s="1" t="s">
        <v>658</v>
      </c>
      <c r="C390" s="32">
        <v>7186</v>
      </c>
      <c r="D390" s="1">
        <v>30000</v>
      </c>
      <c r="E390" s="1" t="s">
        <v>80</v>
      </c>
      <c r="F390" s="1">
        <v>334.35</v>
      </c>
      <c r="G390" s="1">
        <v>30000</v>
      </c>
      <c r="H390" s="1">
        <f t="shared" si="6"/>
        <v>0</v>
      </c>
      <c r="I390" s="89"/>
      <c r="J390" s="89"/>
      <c r="K390" s="388"/>
      <c r="L390" s="48"/>
      <c r="M390" s="48"/>
      <c r="N390" s="370"/>
      <c r="O390" s="48"/>
    </row>
    <row r="391" spans="1:15" s="405" customFormat="1" ht="15" x14ac:dyDescent="0.25">
      <c r="A391" s="1">
        <v>387</v>
      </c>
      <c r="B391" s="1" t="s">
        <v>658</v>
      </c>
      <c r="C391" s="32">
        <v>1.72E-2</v>
      </c>
      <c r="D391" s="1">
        <v>25000</v>
      </c>
      <c r="E391" s="1" t="s">
        <v>80</v>
      </c>
      <c r="F391" s="1">
        <v>278.22000000000003</v>
      </c>
      <c r="G391" s="1">
        <v>25000</v>
      </c>
      <c r="H391" s="1">
        <f t="shared" si="6"/>
        <v>0</v>
      </c>
      <c r="I391" s="89"/>
      <c r="J391" s="89"/>
      <c r="K391" s="388"/>
      <c r="L391" s="48"/>
      <c r="M391" s="48"/>
      <c r="N391" s="370"/>
      <c r="O391" s="48"/>
    </row>
    <row r="392" spans="1:15" s="405" customFormat="1" ht="15" x14ac:dyDescent="0.25">
      <c r="A392" s="1">
        <v>388</v>
      </c>
      <c r="B392" s="1" t="s">
        <v>658</v>
      </c>
      <c r="C392" s="32">
        <v>7792</v>
      </c>
      <c r="D392" s="1">
        <v>25000</v>
      </c>
      <c r="E392" s="1" t="s">
        <v>80</v>
      </c>
      <c r="F392" s="1">
        <v>278.22000000000003</v>
      </c>
      <c r="G392" s="1">
        <v>25000</v>
      </c>
      <c r="H392" s="1">
        <f t="shared" si="6"/>
        <v>0</v>
      </c>
      <c r="I392" s="89"/>
      <c r="J392" s="89"/>
      <c r="K392" s="388"/>
      <c r="L392" s="48"/>
      <c r="M392" s="48"/>
      <c r="N392" s="370"/>
      <c r="O392" s="48"/>
    </row>
    <row r="393" spans="1:15" s="405" customFormat="1" ht="15" x14ac:dyDescent="0.25">
      <c r="A393" s="1">
        <v>389</v>
      </c>
      <c r="B393" s="1" t="s">
        <v>658</v>
      </c>
      <c r="C393" s="32">
        <v>4.9200000000000001E-2</v>
      </c>
      <c r="D393" s="1">
        <v>30000</v>
      </c>
      <c r="E393" s="1" t="s">
        <v>80</v>
      </c>
      <c r="F393" s="1">
        <v>334.35</v>
      </c>
      <c r="G393" s="1">
        <v>30000</v>
      </c>
      <c r="H393" s="1">
        <f t="shared" si="6"/>
        <v>0</v>
      </c>
      <c r="I393" s="89"/>
      <c r="J393" s="89"/>
      <c r="K393" s="388"/>
      <c r="L393" s="48"/>
      <c r="M393" s="48"/>
      <c r="N393" s="370"/>
      <c r="O393" s="48"/>
    </row>
    <row r="394" spans="1:15" s="405" customFormat="1" ht="15" x14ac:dyDescent="0.25">
      <c r="A394" s="1">
        <v>390</v>
      </c>
      <c r="B394" s="1" t="s">
        <v>658</v>
      </c>
      <c r="C394" s="32">
        <v>4704</v>
      </c>
      <c r="D394" s="1">
        <v>20000</v>
      </c>
      <c r="E394" s="1" t="s">
        <v>80</v>
      </c>
      <c r="F394" s="1">
        <v>222.82</v>
      </c>
      <c r="G394" s="1">
        <v>20000</v>
      </c>
      <c r="H394" s="1">
        <f t="shared" si="6"/>
        <v>0</v>
      </c>
      <c r="I394" s="89"/>
      <c r="J394" s="89"/>
      <c r="K394" s="388"/>
      <c r="L394" s="48"/>
      <c r="M394" s="48"/>
      <c r="N394" s="370"/>
      <c r="O394" s="48"/>
    </row>
    <row r="395" spans="1:15" s="405" customFormat="1" ht="15" x14ac:dyDescent="0.25">
      <c r="A395" s="1">
        <v>391</v>
      </c>
      <c r="B395" s="1" t="s">
        <v>658</v>
      </c>
      <c r="C395" s="32">
        <v>8542</v>
      </c>
      <c r="D395" s="1">
        <v>12500</v>
      </c>
      <c r="E395" s="1" t="s">
        <v>80</v>
      </c>
      <c r="F395" s="1">
        <v>135.87</v>
      </c>
      <c r="G395" s="1">
        <v>12500</v>
      </c>
      <c r="H395" s="1">
        <f t="shared" si="6"/>
        <v>0</v>
      </c>
      <c r="I395" s="89"/>
      <c r="J395" s="89"/>
      <c r="K395" s="388"/>
      <c r="L395" s="48"/>
      <c r="M395" s="48"/>
      <c r="N395" s="370"/>
      <c r="O395" s="48"/>
    </row>
    <row r="396" spans="1:15" s="405" customFormat="1" ht="15" x14ac:dyDescent="0.25">
      <c r="A396" s="1">
        <v>392</v>
      </c>
      <c r="B396" s="1" t="s">
        <v>658</v>
      </c>
      <c r="C396" s="32">
        <v>9451</v>
      </c>
      <c r="D396" s="1">
        <v>12000</v>
      </c>
      <c r="E396" s="1" t="s">
        <v>80</v>
      </c>
      <c r="F396" s="1">
        <v>133.41999999999999</v>
      </c>
      <c r="G396" s="1">
        <v>12000</v>
      </c>
      <c r="H396" s="1">
        <f t="shared" si="6"/>
        <v>0</v>
      </c>
      <c r="I396" s="89"/>
      <c r="J396" s="89"/>
      <c r="K396" s="388"/>
      <c r="L396" s="48"/>
      <c r="M396" s="48"/>
      <c r="N396" s="370"/>
      <c r="O396" s="48"/>
    </row>
    <row r="397" spans="1:15" s="405" customFormat="1" ht="15" x14ac:dyDescent="0.25">
      <c r="A397" s="1">
        <v>393</v>
      </c>
      <c r="B397" s="1" t="s">
        <v>658</v>
      </c>
      <c r="C397" s="32">
        <v>5876</v>
      </c>
      <c r="D397" s="1">
        <v>12000</v>
      </c>
      <c r="E397" s="1" t="s">
        <v>80</v>
      </c>
      <c r="F397" s="1">
        <v>133.41999999999999</v>
      </c>
      <c r="G397" s="1">
        <v>12000</v>
      </c>
      <c r="H397" s="1">
        <f t="shared" si="6"/>
        <v>0</v>
      </c>
      <c r="I397" s="89"/>
      <c r="J397" s="89"/>
      <c r="K397" s="388"/>
      <c r="L397" s="48"/>
      <c r="M397" s="48"/>
      <c r="N397" s="370"/>
      <c r="O397" s="48"/>
    </row>
    <row r="398" spans="1:15" s="405" customFormat="1" ht="15" x14ac:dyDescent="0.25">
      <c r="A398" s="1">
        <v>394</v>
      </c>
      <c r="B398" s="1" t="s">
        <v>658</v>
      </c>
      <c r="C398" s="32">
        <v>2953</v>
      </c>
      <c r="D398" s="1">
        <v>20000</v>
      </c>
      <c r="E398" s="1" t="s">
        <v>80</v>
      </c>
      <c r="F398" s="1">
        <v>222.82</v>
      </c>
      <c r="G398" s="1">
        <v>20000</v>
      </c>
      <c r="H398" s="1">
        <f t="shared" si="6"/>
        <v>0</v>
      </c>
      <c r="I398" s="89"/>
      <c r="J398" s="89"/>
      <c r="K398" s="388"/>
      <c r="L398" s="48"/>
      <c r="M398" s="48"/>
      <c r="N398" s="370"/>
      <c r="O398" s="48"/>
    </row>
    <row r="399" spans="1:15" s="405" customFormat="1" ht="15" x14ac:dyDescent="0.25">
      <c r="A399" s="1">
        <v>395</v>
      </c>
      <c r="B399" s="1" t="s">
        <v>658</v>
      </c>
      <c r="C399" s="32">
        <v>4115</v>
      </c>
      <c r="D399" s="1">
        <v>25000</v>
      </c>
      <c r="E399" s="1" t="s">
        <v>80</v>
      </c>
      <c r="F399" s="1">
        <v>278.22000000000003</v>
      </c>
      <c r="G399" s="1">
        <v>25000</v>
      </c>
      <c r="H399" s="1">
        <f t="shared" si="6"/>
        <v>0</v>
      </c>
      <c r="I399" s="89"/>
      <c r="J399" s="89"/>
      <c r="K399" s="388"/>
      <c r="L399" s="48"/>
      <c r="M399" s="48"/>
      <c r="N399" s="370"/>
      <c r="O399" s="48"/>
    </row>
    <row r="400" spans="1:15" s="405" customFormat="1" ht="15" x14ac:dyDescent="0.25">
      <c r="A400" s="1">
        <v>396</v>
      </c>
      <c r="B400" s="1" t="s">
        <v>658</v>
      </c>
      <c r="C400" s="32">
        <v>4530</v>
      </c>
      <c r="D400" s="1">
        <v>25000</v>
      </c>
      <c r="E400" s="1" t="s">
        <v>80</v>
      </c>
      <c r="F400" s="1">
        <v>278.22000000000003</v>
      </c>
      <c r="G400" s="1">
        <v>25000</v>
      </c>
      <c r="H400" s="1">
        <f t="shared" si="6"/>
        <v>0</v>
      </c>
      <c r="I400" s="89"/>
      <c r="J400" s="89"/>
      <c r="K400" s="388"/>
      <c r="L400" s="48"/>
      <c r="M400" s="48"/>
      <c r="N400" s="370"/>
      <c r="O400" s="48"/>
    </row>
    <row r="401" spans="1:15" s="405" customFormat="1" ht="15" x14ac:dyDescent="0.25">
      <c r="A401" s="1">
        <v>397</v>
      </c>
      <c r="B401" s="1" t="s">
        <v>658</v>
      </c>
      <c r="C401" s="32">
        <v>5175</v>
      </c>
      <c r="D401" s="1">
        <v>27000</v>
      </c>
      <c r="E401" s="1" t="s">
        <v>80</v>
      </c>
      <c r="F401" s="1">
        <v>300.58</v>
      </c>
      <c r="G401" s="1">
        <v>27000</v>
      </c>
      <c r="H401" s="1">
        <f t="shared" si="6"/>
        <v>0</v>
      </c>
      <c r="I401" s="89"/>
      <c r="J401" s="89"/>
      <c r="K401" s="388"/>
      <c r="L401" s="48"/>
      <c r="M401" s="48"/>
      <c r="N401" s="370"/>
      <c r="O401" s="48"/>
    </row>
    <row r="402" spans="1:15" s="405" customFormat="1" ht="15" x14ac:dyDescent="0.25">
      <c r="A402" s="1">
        <v>398</v>
      </c>
      <c r="B402" s="1" t="s">
        <v>658</v>
      </c>
      <c r="C402" s="32">
        <v>3826</v>
      </c>
      <c r="D402" s="1">
        <v>27000</v>
      </c>
      <c r="E402" s="1" t="s">
        <v>80</v>
      </c>
      <c r="F402" s="1">
        <v>300.58</v>
      </c>
      <c r="G402" s="1">
        <v>27000</v>
      </c>
      <c r="H402" s="1">
        <f t="shared" si="6"/>
        <v>0</v>
      </c>
      <c r="I402" s="89"/>
      <c r="J402" s="89"/>
      <c r="K402" s="388"/>
      <c r="L402" s="48"/>
      <c r="M402" s="48"/>
      <c r="N402" s="370"/>
      <c r="O402" s="48"/>
    </row>
    <row r="403" spans="1:15" s="405" customFormat="1" ht="15" x14ac:dyDescent="0.25">
      <c r="A403" s="1">
        <v>399</v>
      </c>
      <c r="B403" s="1" t="s">
        <v>658</v>
      </c>
      <c r="C403" s="32">
        <v>3886</v>
      </c>
      <c r="D403" s="1">
        <v>14500</v>
      </c>
      <c r="E403" s="1" t="s">
        <v>80</v>
      </c>
      <c r="F403" s="1">
        <v>161.78</v>
      </c>
      <c r="G403" s="1">
        <v>14500</v>
      </c>
      <c r="H403" s="1">
        <f t="shared" si="6"/>
        <v>0</v>
      </c>
      <c r="I403" s="89"/>
      <c r="J403" s="89"/>
      <c r="K403" s="388"/>
      <c r="L403" s="48"/>
      <c r="M403" s="48"/>
      <c r="N403" s="370"/>
      <c r="O403" s="48"/>
    </row>
    <row r="404" spans="1:15" s="405" customFormat="1" ht="15" x14ac:dyDescent="0.25">
      <c r="A404" s="1">
        <v>400</v>
      </c>
      <c r="B404" s="1" t="s">
        <v>658</v>
      </c>
      <c r="C404" s="32">
        <v>1.4800000000000001E-2</v>
      </c>
      <c r="D404" s="1">
        <v>14000</v>
      </c>
      <c r="E404" s="1" t="s">
        <v>80</v>
      </c>
      <c r="F404" s="1">
        <v>155.44999999999999</v>
      </c>
      <c r="G404" s="1">
        <v>14000</v>
      </c>
      <c r="H404" s="1">
        <f t="shared" si="6"/>
        <v>0</v>
      </c>
      <c r="I404" s="89"/>
      <c r="J404" s="89"/>
      <c r="K404" s="388"/>
      <c r="L404" s="48"/>
      <c r="M404" s="48"/>
      <c r="N404" s="370"/>
      <c r="O404" s="48"/>
    </row>
    <row r="405" spans="1:15" s="405" customFormat="1" ht="15" x14ac:dyDescent="0.25">
      <c r="A405" s="1">
        <v>401</v>
      </c>
      <c r="B405" s="1" t="s">
        <v>658</v>
      </c>
      <c r="C405" s="32">
        <v>6650</v>
      </c>
      <c r="D405" s="1">
        <v>25000</v>
      </c>
      <c r="E405" s="1" t="s">
        <v>80</v>
      </c>
      <c r="F405" s="1">
        <v>278.22000000000003</v>
      </c>
      <c r="G405" s="1">
        <v>25000</v>
      </c>
      <c r="H405" s="1">
        <f t="shared" si="6"/>
        <v>0</v>
      </c>
      <c r="I405" s="89"/>
      <c r="J405" s="89"/>
      <c r="K405" s="388"/>
      <c r="L405" s="48"/>
      <c r="M405" s="48"/>
      <c r="N405" s="370"/>
      <c r="O405" s="48"/>
    </row>
    <row r="406" spans="1:15" s="405" customFormat="1" ht="15" x14ac:dyDescent="0.25">
      <c r="A406" s="1">
        <v>402</v>
      </c>
      <c r="B406" s="1" t="s">
        <v>658</v>
      </c>
      <c r="C406" s="32">
        <v>2258</v>
      </c>
      <c r="D406" s="1">
        <v>25000</v>
      </c>
      <c r="E406" s="1" t="s">
        <v>80</v>
      </c>
      <c r="F406" s="1">
        <v>278.22000000000003</v>
      </c>
      <c r="G406" s="1">
        <v>25000</v>
      </c>
      <c r="H406" s="1">
        <f t="shared" si="6"/>
        <v>0</v>
      </c>
      <c r="I406" s="89"/>
      <c r="J406" s="89"/>
      <c r="K406" s="388"/>
      <c r="L406" s="48"/>
      <c r="M406" s="48"/>
      <c r="N406" s="370"/>
      <c r="O406" s="48"/>
    </row>
    <row r="407" spans="1:15" s="405" customFormat="1" ht="15" x14ac:dyDescent="0.25">
      <c r="A407" s="1">
        <v>403</v>
      </c>
      <c r="B407" s="1" t="s">
        <v>658</v>
      </c>
      <c r="C407" s="32">
        <v>3337</v>
      </c>
      <c r="D407" s="1">
        <v>19000</v>
      </c>
      <c r="E407" s="1" t="s">
        <v>80</v>
      </c>
      <c r="F407" s="1">
        <v>221.78</v>
      </c>
      <c r="G407" s="1">
        <v>19000</v>
      </c>
      <c r="H407" s="1">
        <f t="shared" ref="H407:H470" si="7">D407-G407</f>
        <v>0</v>
      </c>
      <c r="I407" s="89"/>
      <c r="J407" s="89"/>
      <c r="K407" s="388"/>
      <c r="L407" s="48"/>
      <c r="M407" s="48"/>
      <c r="N407" s="370"/>
      <c r="O407" s="48"/>
    </row>
    <row r="408" spans="1:15" s="405" customFormat="1" ht="15" x14ac:dyDescent="0.25">
      <c r="A408" s="1">
        <v>404</v>
      </c>
      <c r="B408" s="1" t="s">
        <v>658</v>
      </c>
      <c r="C408" s="32">
        <v>2496</v>
      </c>
      <c r="D408" s="1">
        <v>13000</v>
      </c>
      <c r="E408" s="1" t="s">
        <v>80</v>
      </c>
      <c r="F408" s="1">
        <v>144.13</v>
      </c>
      <c r="G408" s="1">
        <v>13000</v>
      </c>
      <c r="H408" s="1">
        <f t="shared" si="7"/>
        <v>0</v>
      </c>
      <c r="I408" s="89"/>
      <c r="J408" s="89"/>
      <c r="K408" s="388"/>
      <c r="L408" s="48"/>
      <c r="M408" s="48"/>
      <c r="N408" s="370"/>
      <c r="O408" s="48"/>
    </row>
    <row r="409" spans="1:15" s="405" customFormat="1" ht="15" x14ac:dyDescent="0.25">
      <c r="A409" s="1">
        <v>405</v>
      </c>
      <c r="B409" s="1" t="s">
        <v>664</v>
      </c>
      <c r="C409" s="32">
        <v>1383</v>
      </c>
      <c r="D409" s="1">
        <v>11000</v>
      </c>
      <c r="E409" s="1" t="s">
        <v>80</v>
      </c>
      <c r="F409" s="1">
        <v>122.44</v>
      </c>
      <c r="G409" s="1">
        <v>11000</v>
      </c>
      <c r="H409" s="1">
        <f t="shared" si="7"/>
        <v>0</v>
      </c>
      <c r="I409" s="89"/>
      <c r="J409" s="89"/>
      <c r="K409" s="388"/>
      <c r="L409" s="48"/>
      <c r="M409" s="48"/>
      <c r="N409" s="370"/>
      <c r="O409" s="48"/>
    </row>
    <row r="410" spans="1:15" s="405" customFormat="1" ht="15" x14ac:dyDescent="0.25">
      <c r="A410" s="1">
        <v>406</v>
      </c>
      <c r="B410" s="1" t="s">
        <v>664</v>
      </c>
      <c r="C410" s="32">
        <v>2648</v>
      </c>
      <c r="D410" s="1">
        <v>14000</v>
      </c>
      <c r="E410" s="1" t="s">
        <v>80</v>
      </c>
      <c r="F410" s="1">
        <v>155.24</v>
      </c>
      <c r="G410" s="1">
        <v>14000</v>
      </c>
      <c r="H410" s="1">
        <f t="shared" si="7"/>
        <v>0</v>
      </c>
      <c r="I410" s="89"/>
      <c r="J410" s="89"/>
      <c r="K410" s="388"/>
      <c r="L410" s="48"/>
      <c r="M410" s="48"/>
      <c r="N410" s="370"/>
      <c r="O410" s="48"/>
    </row>
    <row r="411" spans="1:15" s="405" customFormat="1" ht="15" x14ac:dyDescent="0.25">
      <c r="A411" s="1">
        <v>407</v>
      </c>
      <c r="B411" s="1" t="s">
        <v>664</v>
      </c>
      <c r="C411" s="32" t="s">
        <v>30</v>
      </c>
      <c r="D411" s="1">
        <v>5000</v>
      </c>
      <c r="E411" s="1" t="s">
        <v>80</v>
      </c>
      <c r="F411" s="1">
        <v>55.45</v>
      </c>
      <c r="G411" s="1">
        <v>5000</v>
      </c>
      <c r="H411" s="1">
        <f t="shared" si="7"/>
        <v>0</v>
      </c>
      <c r="I411" s="89"/>
      <c r="J411" s="89"/>
      <c r="K411" s="388"/>
      <c r="L411" s="48"/>
      <c r="M411" s="48"/>
      <c r="N411" s="370"/>
      <c r="O411" s="48"/>
    </row>
    <row r="412" spans="1:15" s="405" customFormat="1" ht="15" x14ac:dyDescent="0.25">
      <c r="A412" s="1">
        <v>408</v>
      </c>
      <c r="B412" s="1" t="s">
        <v>664</v>
      </c>
      <c r="C412" s="32">
        <v>6393</v>
      </c>
      <c r="D412" s="1">
        <v>15000</v>
      </c>
      <c r="E412" s="1" t="s">
        <v>80</v>
      </c>
      <c r="F412" s="1">
        <v>167.15</v>
      </c>
      <c r="G412" s="1">
        <v>15000</v>
      </c>
      <c r="H412" s="1">
        <f t="shared" si="7"/>
        <v>0</v>
      </c>
      <c r="I412" s="89"/>
      <c r="J412" s="89"/>
      <c r="K412" s="388"/>
      <c r="L412" s="48"/>
      <c r="M412" s="48"/>
      <c r="N412" s="370"/>
      <c r="O412" s="48"/>
    </row>
    <row r="413" spans="1:15" s="405" customFormat="1" ht="15" x14ac:dyDescent="0.25">
      <c r="A413" s="1">
        <v>409</v>
      </c>
      <c r="B413" s="1" t="s">
        <v>664</v>
      </c>
      <c r="C413" s="32">
        <v>1184</v>
      </c>
      <c r="D413" s="1">
        <v>12000</v>
      </c>
      <c r="E413" s="1" t="s">
        <v>80</v>
      </c>
      <c r="F413" s="1">
        <v>133.44999999999999</v>
      </c>
      <c r="G413" s="1">
        <v>12000</v>
      </c>
      <c r="H413" s="1">
        <f t="shared" si="7"/>
        <v>0</v>
      </c>
      <c r="I413" s="89"/>
      <c r="J413" s="89"/>
      <c r="K413" s="388"/>
      <c r="L413" s="48"/>
      <c r="M413" s="48"/>
      <c r="N413" s="370"/>
      <c r="O413" s="48"/>
    </row>
    <row r="414" spans="1:15" s="405" customFormat="1" ht="15" x14ac:dyDescent="0.25">
      <c r="A414" s="1">
        <v>410</v>
      </c>
      <c r="B414" s="1" t="s">
        <v>664</v>
      </c>
      <c r="C414" s="32">
        <v>2461</v>
      </c>
      <c r="D414" s="1">
        <v>13000</v>
      </c>
      <c r="E414" s="1" t="s">
        <v>80</v>
      </c>
      <c r="F414" s="1">
        <v>144.13</v>
      </c>
      <c r="G414" s="1">
        <v>13000</v>
      </c>
      <c r="H414" s="1">
        <f t="shared" si="7"/>
        <v>0</v>
      </c>
      <c r="I414" s="89"/>
      <c r="J414" s="89"/>
      <c r="K414" s="388"/>
      <c r="L414" s="48"/>
      <c r="M414" s="48"/>
      <c r="N414" s="370"/>
      <c r="O414" s="48"/>
    </row>
    <row r="415" spans="1:15" s="405" customFormat="1" ht="15" x14ac:dyDescent="0.25">
      <c r="A415" s="1">
        <v>411</v>
      </c>
      <c r="B415" s="1" t="s">
        <v>664</v>
      </c>
      <c r="C415" s="32">
        <v>1385</v>
      </c>
      <c r="D415" s="1">
        <v>20000</v>
      </c>
      <c r="E415" s="1" t="s">
        <v>80</v>
      </c>
      <c r="F415" s="1">
        <v>222.82</v>
      </c>
      <c r="G415" s="1">
        <v>20000</v>
      </c>
      <c r="H415" s="1">
        <f t="shared" si="7"/>
        <v>0</v>
      </c>
      <c r="I415" s="89"/>
      <c r="J415" s="89"/>
      <c r="K415" s="388"/>
      <c r="L415" s="48"/>
      <c r="M415" s="48"/>
      <c r="N415" s="370"/>
      <c r="O415" s="48"/>
    </row>
    <row r="416" spans="1:15" s="405" customFormat="1" ht="15" x14ac:dyDescent="0.25">
      <c r="A416" s="1">
        <v>412</v>
      </c>
      <c r="B416" s="1" t="s">
        <v>664</v>
      </c>
      <c r="C416" s="32">
        <v>5011</v>
      </c>
      <c r="D416" s="1">
        <v>12000</v>
      </c>
      <c r="E416" s="1" t="s">
        <v>80</v>
      </c>
      <c r="F416" s="1">
        <v>133.41999999999999</v>
      </c>
      <c r="G416" s="1">
        <v>12000</v>
      </c>
      <c r="H416" s="1">
        <f t="shared" si="7"/>
        <v>0</v>
      </c>
      <c r="I416" s="89"/>
      <c r="J416" s="89"/>
      <c r="K416" s="388"/>
      <c r="L416" s="48"/>
      <c r="M416" s="48"/>
      <c r="N416" s="370"/>
      <c r="O416" s="48"/>
    </row>
    <row r="417" spans="1:15" s="405" customFormat="1" ht="15" x14ac:dyDescent="0.25">
      <c r="A417" s="1">
        <v>413</v>
      </c>
      <c r="B417" s="1" t="s">
        <v>664</v>
      </c>
      <c r="C417" s="32" t="s">
        <v>30</v>
      </c>
      <c r="D417" s="1">
        <v>4500</v>
      </c>
      <c r="E417" s="1" t="s">
        <v>80</v>
      </c>
      <c r="F417" s="1">
        <v>50.55</v>
      </c>
      <c r="G417" s="1">
        <v>4500</v>
      </c>
      <c r="H417" s="1">
        <f t="shared" si="7"/>
        <v>0</v>
      </c>
      <c r="I417" s="89"/>
      <c r="J417" s="89"/>
      <c r="K417" s="388"/>
      <c r="L417" s="48"/>
      <c r="M417" s="48"/>
      <c r="N417" s="370"/>
      <c r="O417" s="48"/>
    </row>
    <row r="418" spans="1:15" s="405" customFormat="1" ht="15" x14ac:dyDescent="0.25">
      <c r="A418" s="1">
        <v>414</v>
      </c>
      <c r="B418" s="1" t="s">
        <v>664</v>
      </c>
      <c r="C418" s="32">
        <v>4700</v>
      </c>
      <c r="D418" s="1">
        <v>25000</v>
      </c>
      <c r="E418" s="1" t="s">
        <v>80</v>
      </c>
      <c r="F418" s="1">
        <v>278.22000000000003</v>
      </c>
      <c r="G418" s="1">
        <v>25000</v>
      </c>
      <c r="H418" s="1">
        <f t="shared" si="7"/>
        <v>0</v>
      </c>
      <c r="I418" s="89"/>
      <c r="J418" s="89"/>
      <c r="K418" s="388"/>
      <c r="L418" s="48"/>
      <c r="M418" s="48"/>
      <c r="N418" s="370"/>
      <c r="O418" s="48"/>
    </row>
    <row r="419" spans="1:15" s="405" customFormat="1" ht="15" x14ac:dyDescent="0.25">
      <c r="A419" s="1">
        <v>415</v>
      </c>
      <c r="B419" s="1" t="s">
        <v>664</v>
      </c>
      <c r="C419" s="32">
        <v>4683</v>
      </c>
      <c r="D419" s="1">
        <v>17000</v>
      </c>
      <c r="E419" s="1" t="s">
        <v>80</v>
      </c>
      <c r="F419" s="1">
        <v>189.57</v>
      </c>
      <c r="G419" s="1">
        <v>17000</v>
      </c>
      <c r="H419" s="1">
        <f t="shared" si="7"/>
        <v>0</v>
      </c>
      <c r="I419" s="89"/>
      <c r="J419" s="89"/>
      <c r="K419" s="388"/>
      <c r="L419" s="48"/>
      <c r="M419" s="48"/>
      <c r="N419" s="370"/>
      <c r="O419" s="48"/>
    </row>
    <row r="420" spans="1:15" s="405" customFormat="1" ht="15" x14ac:dyDescent="0.25">
      <c r="A420" s="1">
        <v>416</v>
      </c>
      <c r="B420" s="1" t="s">
        <v>664</v>
      </c>
      <c r="C420" s="32">
        <v>3.0700000000000002E-2</v>
      </c>
      <c r="D420" s="1">
        <v>20000</v>
      </c>
      <c r="E420" s="1" t="s">
        <v>80</v>
      </c>
      <c r="F420" s="1">
        <v>222.82</v>
      </c>
      <c r="G420" s="1">
        <v>20000</v>
      </c>
      <c r="H420" s="1">
        <f t="shared" si="7"/>
        <v>0</v>
      </c>
      <c r="I420" s="89"/>
      <c r="J420" s="89"/>
      <c r="K420" s="388"/>
      <c r="L420" s="48"/>
      <c r="M420" s="48"/>
      <c r="N420" s="370"/>
      <c r="O420" s="48"/>
    </row>
    <row r="421" spans="1:15" s="405" customFormat="1" ht="15" x14ac:dyDescent="0.25">
      <c r="A421" s="1">
        <v>417</v>
      </c>
      <c r="B421" s="1" t="s">
        <v>664</v>
      </c>
      <c r="C421" s="32">
        <v>1036</v>
      </c>
      <c r="D421" s="1">
        <v>30000</v>
      </c>
      <c r="E421" s="1" t="s">
        <v>80</v>
      </c>
      <c r="F421" s="1">
        <v>344.35</v>
      </c>
      <c r="G421" s="1">
        <v>30000</v>
      </c>
      <c r="H421" s="1">
        <f t="shared" si="7"/>
        <v>0</v>
      </c>
      <c r="I421" s="89"/>
      <c r="J421" s="89"/>
      <c r="K421" s="388"/>
      <c r="L421" s="48"/>
      <c r="M421" s="48"/>
      <c r="N421" s="370"/>
      <c r="O421" s="48"/>
    </row>
    <row r="422" spans="1:15" s="405" customFormat="1" ht="15" x14ac:dyDescent="0.25">
      <c r="A422" s="1">
        <v>418</v>
      </c>
      <c r="B422" s="1" t="s">
        <v>664</v>
      </c>
      <c r="C422" s="32" t="s">
        <v>634</v>
      </c>
      <c r="D422" s="1">
        <v>3500</v>
      </c>
      <c r="E422" s="1" t="s">
        <v>642</v>
      </c>
      <c r="F422" s="1">
        <v>38.450000000000003</v>
      </c>
      <c r="G422" s="1">
        <v>3500</v>
      </c>
      <c r="H422" s="1">
        <f t="shared" si="7"/>
        <v>0</v>
      </c>
      <c r="I422" s="89"/>
      <c r="J422" s="89"/>
      <c r="K422" s="388"/>
      <c r="L422" s="48"/>
      <c r="M422" s="48"/>
      <c r="N422" s="370"/>
      <c r="O422" s="48"/>
    </row>
    <row r="423" spans="1:15" s="405" customFormat="1" ht="15" x14ac:dyDescent="0.25">
      <c r="A423" s="1">
        <v>419</v>
      </c>
      <c r="B423" s="1" t="s">
        <v>664</v>
      </c>
      <c r="C423" s="32">
        <v>4365</v>
      </c>
      <c r="D423" s="1">
        <v>19000</v>
      </c>
      <c r="E423" s="1" t="s">
        <v>80</v>
      </c>
      <c r="F423" s="1">
        <v>211.47</v>
      </c>
      <c r="G423" s="1">
        <v>19000</v>
      </c>
      <c r="H423" s="1">
        <f t="shared" si="7"/>
        <v>0</v>
      </c>
      <c r="I423" s="89"/>
      <c r="J423" s="89"/>
      <c r="K423" s="388"/>
      <c r="L423" s="48"/>
      <c r="M423" s="48"/>
      <c r="N423" s="370"/>
      <c r="O423" s="48"/>
    </row>
    <row r="424" spans="1:15" s="405" customFormat="1" ht="15" x14ac:dyDescent="0.25">
      <c r="A424" s="1">
        <v>420</v>
      </c>
      <c r="B424" s="1" t="s">
        <v>664</v>
      </c>
      <c r="C424" s="32">
        <v>5225</v>
      </c>
      <c r="D424" s="1">
        <v>14750</v>
      </c>
      <c r="E424" s="1" t="s">
        <v>80</v>
      </c>
      <c r="F424" s="1">
        <v>164.87</v>
      </c>
      <c r="G424" s="1">
        <v>14750</v>
      </c>
      <c r="H424" s="1">
        <f t="shared" si="7"/>
        <v>0</v>
      </c>
      <c r="I424" s="89"/>
      <c r="J424" s="89"/>
      <c r="K424" s="388"/>
      <c r="L424" s="48"/>
      <c r="M424" s="48"/>
      <c r="N424" s="370"/>
      <c r="O424" s="48"/>
    </row>
    <row r="425" spans="1:15" s="405" customFormat="1" ht="15" x14ac:dyDescent="0.25">
      <c r="A425" s="1">
        <v>421</v>
      </c>
      <c r="B425" s="1" t="s">
        <v>664</v>
      </c>
      <c r="C425" s="32">
        <v>6317</v>
      </c>
      <c r="D425" s="1">
        <v>20000</v>
      </c>
      <c r="E425" s="1" t="s">
        <v>80</v>
      </c>
      <c r="F425" s="1">
        <v>222.82</v>
      </c>
      <c r="G425" s="1">
        <v>20000</v>
      </c>
      <c r="H425" s="1">
        <f t="shared" si="7"/>
        <v>0</v>
      </c>
      <c r="I425" s="89"/>
      <c r="J425" s="89"/>
      <c r="K425" s="388"/>
      <c r="L425" s="48"/>
      <c r="M425" s="48"/>
      <c r="N425" s="370"/>
      <c r="O425" s="48"/>
    </row>
    <row r="426" spans="1:15" s="405" customFormat="1" ht="15" x14ac:dyDescent="0.25">
      <c r="A426" s="1">
        <v>422</v>
      </c>
      <c r="B426" s="1" t="s">
        <v>664</v>
      </c>
      <c r="C426" s="32">
        <v>2683</v>
      </c>
      <c r="D426" s="1">
        <v>25000</v>
      </c>
      <c r="E426" s="1" t="s">
        <v>80</v>
      </c>
      <c r="F426" s="1">
        <v>278.22000000000003</v>
      </c>
      <c r="G426" s="1">
        <v>25000</v>
      </c>
      <c r="H426" s="1">
        <f t="shared" si="7"/>
        <v>0</v>
      </c>
      <c r="I426" s="89"/>
      <c r="J426" s="89"/>
      <c r="K426" s="388"/>
      <c r="L426" s="48"/>
      <c r="M426" s="48"/>
      <c r="N426" s="370"/>
      <c r="O426" s="48"/>
    </row>
    <row r="427" spans="1:15" s="405" customFormat="1" ht="15" x14ac:dyDescent="0.25">
      <c r="A427" s="1">
        <v>423</v>
      </c>
      <c r="B427" s="1" t="s">
        <v>664</v>
      </c>
      <c r="C427" s="32">
        <v>7446</v>
      </c>
      <c r="D427" s="1">
        <v>25000</v>
      </c>
      <c r="E427" s="1" t="s">
        <v>80</v>
      </c>
      <c r="F427" s="1">
        <v>278.22000000000003</v>
      </c>
      <c r="G427" s="1">
        <v>25000</v>
      </c>
      <c r="H427" s="1">
        <f t="shared" si="7"/>
        <v>0</v>
      </c>
      <c r="I427" s="89"/>
      <c r="J427" s="89"/>
      <c r="K427" s="388"/>
      <c r="L427" s="48"/>
      <c r="M427" s="48"/>
      <c r="N427" s="370"/>
      <c r="O427" s="48"/>
    </row>
    <row r="428" spans="1:15" s="405" customFormat="1" ht="15" x14ac:dyDescent="0.25">
      <c r="A428" s="1">
        <v>424</v>
      </c>
      <c r="B428" s="1" t="s">
        <v>664</v>
      </c>
      <c r="C428" s="32">
        <v>4.3400000000000001E-2</v>
      </c>
      <c r="D428" s="1">
        <v>25000</v>
      </c>
      <c r="E428" s="1" t="s">
        <v>80</v>
      </c>
      <c r="F428" s="1">
        <v>278.22000000000003</v>
      </c>
      <c r="G428" s="1">
        <v>25000</v>
      </c>
      <c r="H428" s="1">
        <f t="shared" si="7"/>
        <v>0</v>
      </c>
      <c r="I428" s="89"/>
      <c r="J428" s="89"/>
      <c r="K428" s="388"/>
      <c r="L428" s="48"/>
      <c r="M428" s="48"/>
      <c r="N428" s="370"/>
      <c r="O428" s="48"/>
    </row>
    <row r="429" spans="1:15" s="405" customFormat="1" ht="15" x14ac:dyDescent="0.25">
      <c r="A429" s="1">
        <v>425</v>
      </c>
      <c r="B429" s="1" t="s">
        <v>664</v>
      </c>
      <c r="C429" s="32">
        <v>4590</v>
      </c>
      <c r="D429" s="1">
        <v>12000</v>
      </c>
      <c r="E429" s="1" t="s">
        <v>80</v>
      </c>
      <c r="F429" s="1">
        <v>133.44999999999999</v>
      </c>
      <c r="G429" s="1">
        <v>12000</v>
      </c>
      <c r="H429" s="1">
        <f t="shared" si="7"/>
        <v>0</v>
      </c>
      <c r="I429" s="89"/>
      <c r="J429" s="89"/>
      <c r="K429" s="388"/>
      <c r="L429" s="48"/>
      <c r="M429" s="48"/>
      <c r="N429" s="370"/>
      <c r="O429" s="48"/>
    </row>
    <row r="430" spans="1:15" s="405" customFormat="1" ht="15" x14ac:dyDescent="0.25">
      <c r="A430" s="1">
        <v>426</v>
      </c>
      <c r="B430" s="1" t="s">
        <v>664</v>
      </c>
      <c r="C430" s="32">
        <v>6177</v>
      </c>
      <c r="D430" s="1">
        <v>27000</v>
      </c>
      <c r="E430" s="1" t="s">
        <v>80</v>
      </c>
      <c r="F430" s="1">
        <v>300.58</v>
      </c>
      <c r="G430" s="1">
        <v>27000</v>
      </c>
      <c r="H430" s="1">
        <f t="shared" si="7"/>
        <v>0</v>
      </c>
      <c r="I430" s="89"/>
      <c r="J430" s="89"/>
      <c r="K430" s="388"/>
      <c r="L430" s="48"/>
      <c r="M430" s="48"/>
      <c r="N430" s="370"/>
      <c r="O430" s="48"/>
    </row>
    <row r="431" spans="1:15" s="405" customFormat="1" ht="15" x14ac:dyDescent="0.25">
      <c r="A431" s="1">
        <v>427</v>
      </c>
      <c r="B431" s="1" t="s">
        <v>664</v>
      </c>
      <c r="C431" s="32">
        <v>2653</v>
      </c>
      <c r="D431" s="1">
        <v>23000</v>
      </c>
      <c r="E431" s="1" t="s">
        <v>80</v>
      </c>
      <c r="F431" s="1">
        <v>225.75</v>
      </c>
      <c r="G431" s="1">
        <v>23000</v>
      </c>
      <c r="H431" s="1">
        <f t="shared" si="7"/>
        <v>0</v>
      </c>
      <c r="I431" s="89"/>
      <c r="J431" s="89"/>
      <c r="K431" s="388"/>
      <c r="L431" s="48"/>
      <c r="M431" s="48"/>
      <c r="N431" s="370"/>
      <c r="O431" s="48"/>
    </row>
    <row r="432" spans="1:15" s="405" customFormat="1" ht="15" x14ac:dyDescent="0.25">
      <c r="A432" s="1">
        <v>428</v>
      </c>
      <c r="B432" s="1" t="s">
        <v>664</v>
      </c>
      <c r="C432" s="32">
        <v>8325</v>
      </c>
      <c r="D432" s="1">
        <v>25000</v>
      </c>
      <c r="E432" s="1" t="s">
        <v>80</v>
      </c>
      <c r="F432" s="1">
        <v>278.22000000000003</v>
      </c>
      <c r="G432" s="1">
        <v>25000</v>
      </c>
      <c r="H432" s="1">
        <f t="shared" si="7"/>
        <v>0</v>
      </c>
      <c r="I432" s="89"/>
      <c r="J432" s="89"/>
      <c r="K432" s="388"/>
      <c r="L432" s="48"/>
      <c r="M432" s="48"/>
      <c r="N432" s="370"/>
      <c r="O432" s="48"/>
    </row>
    <row r="433" spans="1:17" s="405" customFormat="1" ht="15" x14ac:dyDescent="0.25">
      <c r="A433" s="1">
        <v>429</v>
      </c>
      <c r="B433" s="1" t="s">
        <v>664</v>
      </c>
      <c r="C433" s="32">
        <v>1632</v>
      </c>
      <c r="D433" s="1">
        <v>27000</v>
      </c>
      <c r="E433" s="1" t="s">
        <v>80</v>
      </c>
      <c r="F433" s="1">
        <v>266.95</v>
      </c>
      <c r="G433" s="1">
        <v>27000</v>
      </c>
      <c r="H433" s="1">
        <f t="shared" si="7"/>
        <v>0</v>
      </c>
      <c r="I433" s="89"/>
      <c r="J433" s="89"/>
      <c r="K433" s="388"/>
      <c r="L433" s="48"/>
      <c r="M433" s="48"/>
      <c r="N433" s="370"/>
      <c r="O433" s="48"/>
    </row>
    <row r="434" spans="1:17" s="405" customFormat="1" ht="15.75" thickBot="1" x14ac:dyDescent="0.3">
      <c r="A434" s="1">
        <v>430</v>
      </c>
      <c r="B434" s="1" t="s">
        <v>664</v>
      </c>
      <c r="C434" s="32">
        <v>6777</v>
      </c>
      <c r="D434" s="1">
        <v>25000</v>
      </c>
      <c r="E434" s="1" t="s">
        <v>80</v>
      </c>
      <c r="F434" s="1">
        <v>278.22000000000003</v>
      </c>
      <c r="G434" s="1">
        <v>25000</v>
      </c>
      <c r="H434" s="1">
        <f t="shared" si="7"/>
        <v>0</v>
      </c>
      <c r="I434" s="89"/>
      <c r="J434" s="89"/>
      <c r="K434" s="388"/>
      <c r="L434" s="48"/>
      <c r="M434" s="48"/>
      <c r="N434" s="370"/>
      <c r="O434" s="48"/>
    </row>
    <row r="435" spans="1:17" s="405" customFormat="1" ht="15.75" thickBot="1" x14ac:dyDescent="0.3">
      <c r="A435" s="1">
        <v>431</v>
      </c>
      <c r="B435" s="1" t="s">
        <v>664</v>
      </c>
      <c r="C435" s="32">
        <v>3.5299999999999998E-2</v>
      </c>
      <c r="D435" s="1">
        <v>26100</v>
      </c>
      <c r="E435" s="1" t="s">
        <v>80</v>
      </c>
      <c r="F435" s="1">
        <v>290.87</v>
      </c>
      <c r="G435" s="1">
        <v>26100</v>
      </c>
      <c r="H435" s="1">
        <f t="shared" si="7"/>
        <v>0</v>
      </c>
      <c r="I435" s="89"/>
      <c r="J435" s="89"/>
      <c r="K435" s="103">
        <f>2426664-2407073</f>
        <v>19591</v>
      </c>
      <c r="L435" s="359" t="s">
        <v>619</v>
      </c>
      <c r="M435" s="359">
        <v>10319</v>
      </c>
      <c r="N435" s="367" t="s">
        <v>620</v>
      </c>
      <c r="O435" s="360">
        <f>19591-10319</f>
        <v>9272</v>
      </c>
      <c r="Q435" s="405">
        <f>9272-3727</f>
        <v>5545</v>
      </c>
    </row>
    <row r="436" spans="1:17" s="409" customFormat="1" ht="15" x14ac:dyDescent="0.25">
      <c r="A436" s="1">
        <v>432</v>
      </c>
      <c r="B436" s="1" t="s">
        <v>665</v>
      </c>
      <c r="C436" s="32">
        <v>8311</v>
      </c>
      <c r="D436" s="1">
        <v>24000</v>
      </c>
      <c r="E436" s="1" t="s">
        <v>642</v>
      </c>
      <c r="F436" s="1">
        <v>264.54000000000002</v>
      </c>
      <c r="G436" s="1">
        <v>24000</v>
      </c>
      <c r="H436" s="1">
        <f t="shared" si="7"/>
        <v>0</v>
      </c>
      <c r="I436" s="89"/>
      <c r="J436" s="89"/>
      <c r="K436" s="388"/>
      <c r="L436" s="48"/>
      <c r="M436" s="48"/>
      <c r="N436" s="370"/>
      <c r="O436" s="48"/>
    </row>
    <row r="437" spans="1:17" s="409" customFormat="1" ht="15" x14ac:dyDescent="0.25">
      <c r="A437" s="1">
        <v>433</v>
      </c>
      <c r="B437" s="1" t="s">
        <v>665</v>
      </c>
      <c r="C437" s="32">
        <v>5151</v>
      </c>
      <c r="D437" s="1">
        <v>17000</v>
      </c>
      <c r="E437" s="1" t="s">
        <v>642</v>
      </c>
      <c r="F437" s="1">
        <v>189.18</v>
      </c>
      <c r="G437" s="1">
        <v>17000</v>
      </c>
      <c r="H437" s="1">
        <f t="shared" si="7"/>
        <v>0</v>
      </c>
      <c r="I437" s="89"/>
      <c r="J437" s="89"/>
      <c r="K437" s="388"/>
      <c r="L437" s="48"/>
      <c r="M437" s="48"/>
      <c r="N437" s="370"/>
      <c r="O437" s="48"/>
    </row>
    <row r="438" spans="1:17" s="409" customFormat="1" ht="15" x14ac:dyDescent="0.25">
      <c r="A438" s="1">
        <v>434</v>
      </c>
      <c r="B438" s="1" t="s">
        <v>665</v>
      </c>
      <c r="C438" s="32">
        <v>1381</v>
      </c>
      <c r="D438" s="1">
        <v>14000</v>
      </c>
      <c r="E438" s="1" t="s">
        <v>80</v>
      </c>
      <c r="F438" s="1">
        <v>148.75</v>
      </c>
      <c r="G438" s="1">
        <v>14000</v>
      </c>
      <c r="H438" s="1">
        <f t="shared" si="7"/>
        <v>0</v>
      </c>
      <c r="I438" s="89"/>
      <c r="J438" s="89"/>
      <c r="K438" s="388"/>
      <c r="L438" s="48"/>
      <c r="M438" s="48"/>
      <c r="N438" s="370"/>
      <c r="O438" s="48"/>
    </row>
    <row r="439" spans="1:17" s="409" customFormat="1" ht="15" x14ac:dyDescent="0.25">
      <c r="A439" s="1">
        <v>435</v>
      </c>
      <c r="B439" s="1" t="s">
        <v>665</v>
      </c>
      <c r="C439" s="32">
        <v>1827</v>
      </c>
      <c r="D439" s="1">
        <v>10000</v>
      </c>
      <c r="E439" s="1" t="s">
        <v>642</v>
      </c>
      <c r="F439" s="1">
        <v>111.42</v>
      </c>
      <c r="G439" s="1">
        <v>10000</v>
      </c>
      <c r="H439" s="1">
        <f t="shared" si="7"/>
        <v>0</v>
      </c>
      <c r="I439" s="89"/>
      <c r="J439" s="89"/>
      <c r="K439" s="388"/>
      <c r="L439" s="48"/>
      <c r="M439" s="48"/>
      <c r="N439" s="370"/>
      <c r="O439" s="48"/>
    </row>
    <row r="440" spans="1:17" s="409" customFormat="1" ht="15" x14ac:dyDescent="0.25">
      <c r="A440" s="1">
        <v>436</v>
      </c>
      <c r="B440" s="1" t="s">
        <v>665</v>
      </c>
      <c r="C440" s="32">
        <v>2111</v>
      </c>
      <c r="D440" s="1">
        <v>11000</v>
      </c>
      <c r="E440" s="1" t="s">
        <v>80</v>
      </c>
      <c r="F440" s="1">
        <v>122.65</v>
      </c>
      <c r="G440" s="1">
        <v>11000</v>
      </c>
      <c r="H440" s="1">
        <f t="shared" si="7"/>
        <v>0</v>
      </c>
      <c r="I440" s="89"/>
      <c r="J440" s="89"/>
      <c r="K440" s="388"/>
      <c r="L440" s="48"/>
      <c r="M440" s="48"/>
      <c r="N440" s="370"/>
      <c r="O440" s="48"/>
    </row>
    <row r="441" spans="1:17" s="409" customFormat="1" ht="15" x14ac:dyDescent="0.25">
      <c r="A441" s="1">
        <v>437</v>
      </c>
      <c r="B441" s="1" t="s">
        <v>665</v>
      </c>
      <c r="C441" s="32">
        <v>4932</v>
      </c>
      <c r="D441" s="1">
        <v>12000</v>
      </c>
      <c r="E441" s="1" t="s">
        <v>80</v>
      </c>
      <c r="F441" s="1">
        <v>133.44999999999999</v>
      </c>
      <c r="G441" s="1">
        <v>12000</v>
      </c>
      <c r="H441" s="1">
        <f t="shared" si="7"/>
        <v>0</v>
      </c>
      <c r="I441" s="89"/>
      <c r="J441" s="89"/>
      <c r="K441" s="388"/>
      <c r="L441" s="48"/>
      <c r="M441" s="48"/>
      <c r="N441" s="370"/>
      <c r="O441" s="48"/>
    </row>
    <row r="442" spans="1:17" s="409" customFormat="1" ht="15" x14ac:dyDescent="0.25">
      <c r="A442" s="1">
        <v>438</v>
      </c>
      <c r="B442" s="1" t="s">
        <v>665</v>
      </c>
      <c r="C442" s="32">
        <v>5012</v>
      </c>
      <c r="D442" s="1">
        <v>14000</v>
      </c>
      <c r="E442" s="1" t="s">
        <v>80</v>
      </c>
      <c r="F442" s="1">
        <v>149.85</v>
      </c>
      <c r="G442" s="1">
        <v>14000</v>
      </c>
      <c r="H442" s="1">
        <f t="shared" si="7"/>
        <v>0</v>
      </c>
      <c r="I442" s="89"/>
      <c r="J442" s="89"/>
      <c r="K442" s="388"/>
      <c r="L442" s="48"/>
      <c r="M442" s="48"/>
      <c r="N442" s="370"/>
      <c r="O442" s="48"/>
    </row>
    <row r="443" spans="1:17" s="409" customFormat="1" ht="15" x14ac:dyDescent="0.25">
      <c r="A443" s="1">
        <v>439</v>
      </c>
      <c r="B443" s="1" t="s">
        <v>665</v>
      </c>
      <c r="C443" s="32" t="s">
        <v>30</v>
      </c>
      <c r="D443" s="1">
        <v>5000</v>
      </c>
      <c r="E443" s="1" t="s">
        <v>80</v>
      </c>
      <c r="F443" s="1">
        <v>55.45</v>
      </c>
      <c r="G443" s="1">
        <v>5000</v>
      </c>
      <c r="H443" s="1">
        <f t="shared" si="7"/>
        <v>0</v>
      </c>
      <c r="I443" s="89"/>
      <c r="J443" s="89"/>
      <c r="K443" s="388"/>
      <c r="L443" s="48"/>
      <c r="M443" s="48"/>
      <c r="N443" s="370"/>
      <c r="O443" s="48"/>
    </row>
    <row r="444" spans="1:17" s="409" customFormat="1" ht="15" x14ac:dyDescent="0.25">
      <c r="A444" s="1">
        <v>440</v>
      </c>
      <c r="B444" s="1" t="s">
        <v>665</v>
      </c>
      <c r="C444" s="32">
        <v>9434</v>
      </c>
      <c r="D444" s="1">
        <v>10000</v>
      </c>
      <c r="E444" s="1" t="s">
        <v>80</v>
      </c>
      <c r="F444" s="1">
        <v>111.41</v>
      </c>
      <c r="G444" s="1">
        <v>10000</v>
      </c>
      <c r="H444" s="1">
        <f t="shared" si="7"/>
        <v>0</v>
      </c>
      <c r="I444" s="89"/>
      <c r="J444" s="89"/>
      <c r="K444" s="388"/>
      <c r="L444" s="48"/>
      <c r="M444" s="48"/>
      <c r="N444" s="370"/>
      <c r="O444" s="48"/>
    </row>
    <row r="445" spans="1:17" s="409" customFormat="1" ht="15" x14ac:dyDescent="0.25">
      <c r="A445" s="1">
        <v>441</v>
      </c>
      <c r="B445" s="1" t="s">
        <v>665</v>
      </c>
      <c r="C445" s="32">
        <v>4530</v>
      </c>
      <c r="D445" s="1">
        <v>20000</v>
      </c>
      <c r="E445" s="1" t="s">
        <v>642</v>
      </c>
      <c r="F445" s="1">
        <v>222.82</v>
      </c>
      <c r="G445" s="1">
        <v>20000</v>
      </c>
      <c r="H445" s="1">
        <f t="shared" si="7"/>
        <v>0</v>
      </c>
      <c r="I445" s="89"/>
      <c r="J445" s="89"/>
      <c r="K445" s="388"/>
      <c r="L445" s="48"/>
      <c r="M445" s="48"/>
      <c r="N445" s="370"/>
      <c r="O445" s="48"/>
    </row>
    <row r="446" spans="1:17" s="409" customFormat="1" ht="15" x14ac:dyDescent="0.25">
      <c r="A446" s="1">
        <v>442</v>
      </c>
      <c r="B446" s="1" t="s">
        <v>665</v>
      </c>
      <c r="C446" s="32">
        <v>8.1000000000000003E-2</v>
      </c>
      <c r="D446" s="1">
        <v>33000</v>
      </c>
      <c r="E446" s="1" t="s">
        <v>642</v>
      </c>
      <c r="F446" s="1">
        <v>367.22</v>
      </c>
      <c r="G446" s="1">
        <v>33000</v>
      </c>
      <c r="H446" s="1">
        <f t="shared" si="7"/>
        <v>0</v>
      </c>
      <c r="I446" s="89"/>
      <c r="J446" s="89"/>
      <c r="K446" s="388"/>
      <c r="L446" s="48"/>
      <c r="M446" s="48"/>
      <c r="N446" s="370"/>
      <c r="O446" s="48"/>
    </row>
    <row r="447" spans="1:17" s="409" customFormat="1" ht="15" x14ac:dyDescent="0.25">
      <c r="A447" s="1">
        <v>443</v>
      </c>
      <c r="B447" s="1" t="s">
        <v>665</v>
      </c>
      <c r="C447" s="32">
        <v>2865</v>
      </c>
      <c r="D447" s="1">
        <v>15000</v>
      </c>
      <c r="E447" s="1" t="s">
        <v>80</v>
      </c>
      <c r="F447" s="1">
        <v>167.15</v>
      </c>
      <c r="G447" s="1">
        <v>15000</v>
      </c>
      <c r="H447" s="1">
        <f t="shared" si="7"/>
        <v>0</v>
      </c>
      <c r="I447" s="89"/>
      <c r="J447" s="89"/>
      <c r="K447" s="388"/>
      <c r="L447" s="48"/>
      <c r="M447" s="48"/>
      <c r="N447" s="370"/>
      <c r="O447" s="48"/>
    </row>
    <row r="448" spans="1:17" s="409" customFormat="1" ht="15" x14ac:dyDescent="0.25">
      <c r="A448" s="1">
        <v>444</v>
      </c>
      <c r="B448" s="1" t="s">
        <v>665</v>
      </c>
      <c r="C448" s="32">
        <v>9378</v>
      </c>
      <c r="D448" s="1">
        <v>24000</v>
      </c>
      <c r="E448" s="1" t="s">
        <v>642</v>
      </c>
      <c r="F448" s="1">
        <v>257.85000000000002</v>
      </c>
      <c r="G448" s="1">
        <v>24000</v>
      </c>
      <c r="H448" s="1">
        <f t="shared" si="7"/>
        <v>0</v>
      </c>
      <c r="I448" s="89"/>
      <c r="J448" s="89"/>
      <c r="K448" s="388"/>
      <c r="L448" s="48"/>
      <c r="M448" s="48"/>
      <c r="N448" s="370"/>
      <c r="O448" s="48"/>
    </row>
    <row r="449" spans="1:15" s="409" customFormat="1" ht="15" x14ac:dyDescent="0.25">
      <c r="A449" s="1">
        <v>445</v>
      </c>
      <c r="B449" s="1" t="s">
        <v>665</v>
      </c>
      <c r="C449" s="32">
        <v>7632</v>
      </c>
      <c r="D449" s="1">
        <v>33000</v>
      </c>
      <c r="E449" s="1" t="s">
        <v>642</v>
      </c>
      <c r="F449" s="1">
        <v>367.41</v>
      </c>
      <c r="G449" s="1">
        <v>33000</v>
      </c>
      <c r="H449" s="1">
        <f t="shared" si="7"/>
        <v>0</v>
      </c>
      <c r="I449" s="89"/>
      <c r="J449" s="89"/>
      <c r="K449" s="388"/>
      <c r="L449" s="48"/>
      <c r="M449" s="48"/>
      <c r="N449" s="370"/>
      <c r="O449" s="48"/>
    </row>
    <row r="450" spans="1:15" s="409" customFormat="1" ht="15" x14ac:dyDescent="0.25">
      <c r="A450" s="1">
        <v>446</v>
      </c>
      <c r="B450" s="1" t="s">
        <v>665</v>
      </c>
      <c r="C450" s="32">
        <v>3799</v>
      </c>
      <c r="D450" s="1">
        <v>26000</v>
      </c>
      <c r="E450" s="1" t="s">
        <v>642</v>
      </c>
      <c r="F450" s="1">
        <v>289.77999999999997</v>
      </c>
      <c r="G450" s="1">
        <v>26000</v>
      </c>
      <c r="H450" s="1">
        <f t="shared" si="7"/>
        <v>0</v>
      </c>
      <c r="I450" s="89"/>
      <c r="J450" s="89"/>
      <c r="K450" s="388"/>
      <c r="L450" s="48"/>
      <c r="M450" s="48"/>
      <c r="N450" s="370"/>
      <c r="O450" s="48"/>
    </row>
    <row r="451" spans="1:15" s="409" customFormat="1" ht="15" x14ac:dyDescent="0.25">
      <c r="A451" s="1">
        <v>447</v>
      </c>
      <c r="B451" s="1" t="s">
        <v>665</v>
      </c>
      <c r="C451" s="32">
        <v>9815</v>
      </c>
      <c r="D451" s="1">
        <v>15000</v>
      </c>
      <c r="E451" s="1" t="s">
        <v>642</v>
      </c>
      <c r="F451" s="1">
        <v>167.15</v>
      </c>
      <c r="G451" s="1">
        <v>15000</v>
      </c>
      <c r="H451" s="1">
        <f t="shared" si="7"/>
        <v>0</v>
      </c>
      <c r="I451" s="89"/>
      <c r="J451" s="89"/>
      <c r="K451" s="388"/>
      <c r="L451" s="48"/>
      <c r="M451" s="48"/>
      <c r="N451" s="370"/>
      <c r="O451" s="48"/>
    </row>
    <row r="452" spans="1:15" s="409" customFormat="1" ht="15" x14ac:dyDescent="0.25">
      <c r="A452" s="1">
        <v>448</v>
      </c>
      <c r="B452" s="1" t="s">
        <v>665</v>
      </c>
      <c r="C452" s="32">
        <v>2711</v>
      </c>
      <c r="D452" s="1">
        <v>15000</v>
      </c>
      <c r="E452" s="1" t="s">
        <v>80</v>
      </c>
      <c r="F452" s="1">
        <v>167.15</v>
      </c>
      <c r="G452" s="1">
        <v>15000</v>
      </c>
      <c r="H452" s="1">
        <f t="shared" si="7"/>
        <v>0</v>
      </c>
      <c r="I452" s="89"/>
      <c r="J452" s="89"/>
      <c r="K452" s="388"/>
      <c r="L452" s="48"/>
      <c r="M452" s="48"/>
      <c r="N452" s="370"/>
      <c r="O452" s="48"/>
    </row>
    <row r="453" spans="1:15" s="409" customFormat="1" ht="15" x14ac:dyDescent="0.25">
      <c r="A453" s="1">
        <v>449</v>
      </c>
      <c r="B453" s="1" t="s">
        <v>665</v>
      </c>
      <c r="C453" s="32">
        <v>3468</v>
      </c>
      <c r="D453" s="1">
        <v>27000</v>
      </c>
      <c r="E453" s="1" t="s">
        <v>642</v>
      </c>
      <c r="F453" s="1">
        <v>300.87</v>
      </c>
      <c r="G453" s="1">
        <v>27000</v>
      </c>
      <c r="H453" s="1">
        <f t="shared" si="7"/>
        <v>0</v>
      </c>
      <c r="I453" s="89"/>
      <c r="J453" s="89"/>
      <c r="K453" s="388"/>
      <c r="L453" s="48"/>
      <c r="M453" s="48"/>
      <c r="N453" s="370"/>
      <c r="O453" s="48"/>
    </row>
    <row r="454" spans="1:15" s="409" customFormat="1" ht="15" x14ac:dyDescent="0.25">
      <c r="A454" s="1">
        <v>450</v>
      </c>
      <c r="B454" s="1" t="s">
        <v>665</v>
      </c>
      <c r="C454" s="32">
        <v>8515</v>
      </c>
      <c r="D454" s="1">
        <v>15000</v>
      </c>
      <c r="E454" s="1" t="s">
        <v>642</v>
      </c>
      <c r="F454" s="1">
        <v>167.15</v>
      </c>
      <c r="G454" s="1">
        <v>15000</v>
      </c>
      <c r="H454" s="1">
        <f t="shared" si="7"/>
        <v>0</v>
      </c>
      <c r="I454" s="89"/>
      <c r="J454" s="89"/>
      <c r="K454" s="388"/>
      <c r="L454" s="48"/>
      <c r="M454" s="48"/>
      <c r="N454" s="370"/>
      <c r="O454" s="48"/>
    </row>
    <row r="455" spans="1:15" s="409" customFormat="1" ht="15" x14ac:dyDescent="0.25">
      <c r="A455" s="1">
        <v>451</v>
      </c>
      <c r="B455" s="1" t="s">
        <v>665</v>
      </c>
      <c r="C455" s="32">
        <v>4196</v>
      </c>
      <c r="D455" s="1">
        <v>30000</v>
      </c>
      <c r="E455" s="1" t="s">
        <v>642</v>
      </c>
      <c r="F455" s="1">
        <v>334.82</v>
      </c>
      <c r="G455" s="1">
        <v>30000</v>
      </c>
      <c r="H455" s="1">
        <f t="shared" si="7"/>
        <v>0</v>
      </c>
      <c r="I455" s="89"/>
      <c r="J455" s="89"/>
      <c r="K455" s="388"/>
      <c r="L455" s="48"/>
      <c r="M455" s="48"/>
      <c r="N455" s="370"/>
      <c r="O455" s="48"/>
    </row>
    <row r="456" spans="1:15" s="409" customFormat="1" ht="15" x14ac:dyDescent="0.25">
      <c r="A456" s="1">
        <v>452</v>
      </c>
      <c r="B456" s="1" t="s">
        <v>665</v>
      </c>
      <c r="C456" s="32">
        <v>5866</v>
      </c>
      <c r="D456" s="1">
        <v>20000</v>
      </c>
      <c r="E456" s="1" t="s">
        <v>642</v>
      </c>
      <c r="F456" s="1">
        <v>222.82</v>
      </c>
      <c r="G456" s="1">
        <v>20000</v>
      </c>
      <c r="H456" s="1">
        <f t="shared" si="7"/>
        <v>0</v>
      </c>
      <c r="I456" s="89"/>
      <c r="J456" s="89"/>
      <c r="K456" s="388"/>
      <c r="L456" s="48"/>
      <c r="M456" s="48"/>
      <c r="N456" s="370"/>
      <c r="O456" s="48"/>
    </row>
    <row r="457" spans="1:15" s="409" customFormat="1" ht="15" x14ac:dyDescent="0.25">
      <c r="A457" s="1">
        <v>453</v>
      </c>
      <c r="B457" s="1" t="s">
        <v>665</v>
      </c>
      <c r="C457" s="32">
        <v>1851</v>
      </c>
      <c r="D457" s="1">
        <v>25000</v>
      </c>
      <c r="E457" s="1" t="s">
        <v>642</v>
      </c>
      <c r="F457" s="1">
        <v>278.22000000000003</v>
      </c>
      <c r="G457" s="1">
        <v>25000</v>
      </c>
      <c r="H457" s="1">
        <f t="shared" si="7"/>
        <v>0</v>
      </c>
      <c r="I457" s="89"/>
      <c r="J457" s="89"/>
      <c r="K457" s="388"/>
      <c r="L457" s="48"/>
      <c r="M457" s="48"/>
      <c r="N457" s="370"/>
      <c r="O457" s="48"/>
    </row>
    <row r="458" spans="1:15" s="409" customFormat="1" ht="15" x14ac:dyDescent="0.25">
      <c r="A458" s="1">
        <v>454</v>
      </c>
      <c r="B458" s="1" t="s">
        <v>665</v>
      </c>
      <c r="C458" s="32">
        <v>1501</v>
      </c>
      <c r="D458" s="1">
        <v>18000</v>
      </c>
      <c r="E458" s="1" t="s">
        <v>642</v>
      </c>
      <c r="F458" s="1">
        <v>200.82</v>
      </c>
      <c r="G458" s="1">
        <v>18000</v>
      </c>
      <c r="H458" s="1">
        <f t="shared" si="7"/>
        <v>0</v>
      </c>
      <c r="I458" s="89"/>
      <c r="J458" s="89"/>
      <c r="K458" s="388"/>
      <c r="L458" s="48"/>
      <c r="M458" s="48"/>
      <c r="N458" s="370"/>
      <c r="O458" s="48"/>
    </row>
    <row r="459" spans="1:15" s="409" customFormat="1" ht="15" x14ac:dyDescent="0.25">
      <c r="A459" s="1">
        <v>455</v>
      </c>
      <c r="B459" s="1" t="s">
        <v>665</v>
      </c>
      <c r="C459" s="32">
        <v>1467</v>
      </c>
      <c r="D459" s="1">
        <v>18000</v>
      </c>
      <c r="E459" s="1" t="s">
        <v>642</v>
      </c>
      <c r="F459" s="1">
        <v>200.82</v>
      </c>
      <c r="G459" s="1">
        <v>18000</v>
      </c>
      <c r="H459" s="1">
        <f t="shared" si="7"/>
        <v>0</v>
      </c>
      <c r="I459" s="89"/>
      <c r="J459" s="89"/>
      <c r="K459" s="388"/>
      <c r="L459" s="48"/>
      <c r="M459" s="48"/>
      <c r="N459" s="370"/>
      <c r="O459" s="48"/>
    </row>
    <row r="460" spans="1:15" s="409" customFormat="1" ht="15" x14ac:dyDescent="0.25">
      <c r="A460" s="1">
        <v>456</v>
      </c>
      <c r="B460" s="1" t="s">
        <v>665</v>
      </c>
      <c r="C460" s="32">
        <v>3239</v>
      </c>
      <c r="D460" s="1">
        <v>19000</v>
      </c>
      <c r="E460" s="1" t="s">
        <v>642</v>
      </c>
      <c r="F460" s="1">
        <v>199.78</v>
      </c>
      <c r="G460" s="1">
        <v>19000</v>
      </c>
      <c r="H460" s="1">
        <f t="shared" si="7"/>
        <v>0</v>
      </c>
      <c r="I460" s="89"/>
      <c r="J460" s="89"/>
      <c r="K460" s="388"/>
      <c r="L460" s="48"/>
      <c r="M460" s="48"/>
      <c r="N460" s="370"/>
      <c r="O460" s="48"/>
    </row>
    <row r="461" spans="1:15" s="409" customFormat="1" ht="15" x14ac:dyDescent="0.25">
      <c r="A461" s="1">
        <v>457</v>
      </c>
      <c r="B461" s="1" t="s">
        <v>665</v>
      </c>
      <c r="C461" s="32">
        <v>7932</v>
      </c>
      <c r="D461" s="1">
        <v>20000</v>
      </c>
      <c r="E461" s="1" t="s">
        <v>642</v>
      </c>
      <c r="F461" s="1">
        <v>222.82</v>
      </c>
      <c r="G461" s="1">
        <v>20000</v>
      </c>
      <c r="H461" s="1">
        <f t="shared" si="7"/>
        <v>0</v>
      </c>
      <c r="I461" s="89"/>
      <c r="J461" s="89"/>
      <c r="K461" s="388"/>
      <c r="L461" s="48"/>
      <c r="M461" s="48"/>
      <c r="N461" s="370"/>
      <c r="O461" s="48"/>
    </row>
    <row r="462" spans="1:15" s="409" customFormat="1" ht="15" x14ac:dyDescent="0.25">
      <c r="A462" s="1">
        <v>458</v>
      </c>
      <c r="B462" s="1" t="s">
        <v>665</v>
      </c>
      <c r="C462" s="32">
        <v>6455</v>
      </c>
      <c r="D462" s="1">
        <v>30000</v>
      </c>
      <c r="E462" s="1" t="s">
        <v>642</v>
      </c>
      <c r="F462" s="1">
        <v>334.82</v>
      </c>
      <c r="G462" s="1">
        <v>30000</v>
      </c>
      <c r="H462" s="1">
        <f t="shared" si="7"/>
        <v>0</v>
      </c>
      <c r="I462" s="89"/>
      <c r="J462" s="89"/>
      <c r="K462" s="388"/>
      <c r="L462" s="48"/>
      <c r="M462" s="48"/>
      <c r="N462" s="370"/>
      <c r="O462" s="48"/>
    </row>
    <row r="463" spans="1:15" s="409" customFormat="1" ht="15" x14ac:dyDescent="0.25">
      <c r="A463" s="1">
        <v>459</v>
      </c>
      <c r="B463" s="1" t="s">
        <v>665</v>
      </c>
      <c r="C463" s="32">
        <v>1124</v>
      </c>
      <c r="D463" s="1">
        <v>25000</v>
      </c>
      <c r="E463" s="1" t="s">
        <v>642</v>
      </c>
      <c r="F463" s="1">
        <v>278.22000000000003</v>
      </c>
      <c r="G463" s="1">
        <v>25000</v>
      </c>
      <c r="H463" s="1">
        <f t="shared" si="7"/>
        <v>0</v>
      </c>
      <c r="I463" s="89"/>
      <c r="J463" s="89"/>
      <c r="K463" s="388"/>
      <c r="L463" s="48"/>
      <c r="M463" s="48"/>
      <c r="N463" s="370"/>
      <c r="O463" s="48"/>
    </row>
    <row r="464" spans="1:15" s="409" customFormat="1" ht="15" x14ac:dyDescent="0.25">
      <c r="A464" s="1">
        <v>460</v>
      </c>
      <c r="B464" s="1" t="s">
        <v>665</v>
      </c>
      <c r="C464" s="32">
        <v>4396</v>
      </c>
      <c r="D464" s="1">
        <v>23000</v>
      </c>
      <c r="E464" s="1" t="s">
        <v>642</v>
      </c>
      <c r="F464" s="1">
        <v>256.68</v>
      </c>
      <c r="G464" s="1">
        <v>23000</v>
      </c>
      <c r="H464" s="1">
        <f t="shared" si="7"/>
        <v>0</v>
      </c>
      <c r="I464" s="89"/>
      <c r="J464" s="89"/>
      <c r="K464" s="388"/>
      <c r="L464" s="48"/>
      <c r="M464" s="48"/>
      <c r="N464" s="370"/>
      <c r="O464" s="48"/>
    </row>
    <row r="465" spans="1:15" s="409" customFormat="1" ht="15" x14ac:dyDescent="0.25">
      <c r="A465" s="1">
        <v>461</v>
      </c>
      <c r="B465" s="1" t="s">
        <v>665</v>
      </c>
      <c r="C465" s="32">
        <v>1986</v>
      </c>
      <c r="D465" s="1">
        <v>20000</v>
      </c>
      <c r="E465" s="1"/>
      <c r="F465" s="1">
        <v>222.82</v>
      </c>
      <c r="G465" s="1">
        <v>20000</v>
      </c>
      <c r="H465" s="1">
        <f t="shared" si="7"/>
        <v>0</v>
      </c>
      <c r="I465" s="89"/>
      <c r="J465" s="89"/>
      <c r="K465" s="388"/>
      <c r="L465" s="48"/>
      <c r="M465" s="48"/>
      <c r="N465" s="370"/>
      <c r="O465" s="48"/>
    </row>
    <row r="466" spans="1:15" s="409" customFormat="1" ht="15" x14ac:dyDescent="0.25">
      <c r="A466" s="1">
        <v>462</v>
      </c>
      <c r="B466" s="1" t="s">
        <v>665</v>
      </c>
      <c r="C466" s="32">
        <v>3651</v>
      </c>
      <c r="D466" s="1">
        <v>25000</v>
      </c>
      <c r="E466" s="1" t="s">
        <v>642</v>
      </c>
      <c r="F466" s="1">
        <v>278.22000000000003</v>
      </c>
      <c r="G466" s="1">
        <v>25000</v>
      </c>
      <c r="H466" s="1">
        <f t="shared" si="7"/>
        <v>0</v>
      </c>
      <c r="I466" s="89"/>
      <c r="J466" s="89"/>
      <c r="K466" s="388"/>
      <c r="L466" s="48"/>
      <c r="M466" s="48"/>
      <c r="N466" s="370"/>
      <c r="O466" s="48"/>
    </row>
    <row r="467" spans="1:15" s="409" customFormat="1" ht="15" x14ac:dyDescent="0.25">
      <c r="A467" s="1">
        <v>463</v>
      </c>
      <c r="B467" s="1" t="s">
        <v>665</v>
      </c>
      <c r="C467" s="32">
        <v>2.2499999999999999E-2</v>
      </c>
      <c r="D467" s="1">
        <v>15500</v>
      </c>
      <c r="E467" s="1" t="s">
        <v>642</v>
      </c>
      <c r="F467" s="1">
        <v>172.74</v>
      </c>
      <c r="G467" s="1">
        <v>15500</v>
      </c>
      <c r="H467" s="1">
        <f t="shared" si="7"/>
        <v>0</v>
      </c>
      <c r="I467" s="89"/>
      <c r="J467" s="89"/>
      <c r="K467" s="388"/>
      <c r="L467" s="48"/>
      <c r="M467" s="48"/>
      <c r="N467" s="370"/>
      <c r="O467" s="48"/>
    </row>
    <row r="468" spans="1:15" s="409" customFormat="1" ht="15" x14ac:dyDescent="0.25">
      <c r="A468" s="1">
        <v>464</v>
      </c>
      <c r="B468" s="1" t="s">
        <v>665</v>
      </c>
      <c r="C468" s="32" t="s">
        <v>30</v>
      </c>
      <c r="D468" s="1">
        <v>4500</v>
      </c>
      <c r="E468" s="1"/>
      <c r="F468" s="1">
        <v>50.45</v>
      </c>
      <c r="G468" s="1">
        <v>4500</v>
      </c>
      <c r="H468" s="1">
        <f t="shared" si="7"/>
        <v>0</v>
      </c>
      <c r="I468" s="89"/>
      <c r="J468" s="89"/>
      <c r="K468" s="388"/>
      <c r="L468" s="48"/>
      <c r="M468" s="48"/>
      <c r="N468" s="370"/>
      <c r="O468" s="48"/>
    </row>
    <row r="469" spans="1:15" s="409" customFormat="1" ht="15" x14ac:dyDescent="0.25">
      <c r="A469" s="1">
        <v>465</v>
      </c>
      <c r="B469" s="1" t="s">
        <v>665</v>
      </c>
      <c r="C469" s="32">
        <v>6.1699999999999998E-2</v>
      </c>
      <c r="D469" s="1">
        <v>20000</v>
      </c>
      <c r="E469" s="1" t="s">
        <v>642</v>
      </c>
      <c r="F469" s="1">
        <v>222.82</v>
      </c>
      <c r="G469" s="1">
        <v>20000</v>
      </c>
      <c r="H469" s="1">
        <f t="shared" si="7"/>
        <v>0</v>
      </c>
      <c r="I469" s="89"/>
      <c r="J469" s="89"/>
      <c r="K469" s="388"/>
      <c r="L469" s="48"/>
      <c r="M469" s="48"/>
      <c r="N469" s="370"/>
      <c r="O469" s="48"/>
    </row>
    <row r="470" spans="1:15" s="409" customFormat="1" ht="15" x14ac:dyDescent="0.25">
      <c r="A470" s="1">
        <v>466</v>
      </c>
      <c r="B470" s="1" t="s">
        <v>665</v>
      </c>
      <c r="C470" s="32">
        <v>8696</v>
      </c>
      <c r="D470" s="1">
        <v>25000</v>
      </c>
      <c r="E470" s="1" t="s">
        <v>642</v>
      </c>
      <c r="F470" s="1">
        <v>278.22000000000003</v>
      </c>
      <c r="G470" s="1">
        <v>25000</v>
      </c>
      <c r="H470" s="1">
        <f t="shared" si="7"/>
        <v>0</v>
      </c>
      <c r="I470" s="89"/>
      <c r="J470" s="89"/>
      <c r="K470" s="388"/>
      <c r="L470" s="48"/>
      <c r="M470" s="48"/>
      <c r="N470" s="370"/>
      <c r="O470" s="48"/>
    </row>
    <row r="471" spans="1:15" s="409" customFormat="1" ht="15" x14ac:dyDescent="0.25">
      <c r="A471" s="1">
        <v>467</v>
      </c>
      <c r="B471" s="1" t="s">
        <v>666</v>
      </c>
      <c r="C471" s="32" t="s">
        <v>634</v>
      </c>
      <c r="D471" s="1">
        <v>2500</v>
      </c>
      <c r="E471" s="1" t="s">
        <v>642</v>
      </c>
      <c r="F471" s="1">
        <v>27.55</v>
      </c>
      <c r="G471" s="1">
        <v>2500</v>
      </c>
      <c r="H471" s="1">
        <f t="shared" ref="H471:H534" si="8">D471-G471</f>
        <v>0</v>
      </c>
      <c r="I471" s="89"/>
      <c r="J471" s="89"/>
      <c r="K471" s="388"/>
      <c r="L471" s="48"/>
      <c r="M471" s="48"/>
      <c r="N471" s="370"/>
      <c r="O471" s="48"/>
    </row>
    <row r="472" spans="1:15" s="409" customFormat="1" ht="15" x14ac:dyDescent="0.25">
      <c r="A472" s="1">
        <v>468</v>
      </c>
      <c r="B472" s="1" t="s">
        <v>666</v>
      </c>
      <c r="C472" s="32">
        <v>4.4499999999999998E-2</v>
      </c>
      <c r="D472" s="1">
        <v>13000</v>
      </c>
      <c r="E472" s="1" t="s">
        <v>642</v>
      </c>
      <c r="F472" s="1">
        <v>144.13</v>
      </c>
      <c r="G472" s="1">
        <v>13000</v>
      </c>
      <c r="H472" s="1">
        <f t="shared" si="8"/>
        <v>0</v>
      </c>
      <c r="I472" s="89"/>
      <c r="J472" s="89"/>
      <c r="K472" s="388"/>
      <c r="L472" s="48"/>
      <c r="M472" s="48"/>
      <c r="N472" s="370"/>
      <c r="O472" s="48"/>
    </row>
    <row r="473" spans="1:15" s="410" customFormat="1" ht="15" x14ac:dyDescent="0.25">
      <c r="A473" s="1">
        <v>469</v>
      </c>
      <c r="B473" s="1" t="s">
        <v>666</v>
      </c>
      <c r="C473" s="32">
        <v>6311</v>
      </c>
      <c r="D473" s="1">
        <v>26000</v>
      </c>
      <c r="E473" s="1" t="s">
        <v>642</v>
      </c>
      <c r="F473" s="1">
        <v>289.83999999999997</v>
      </c>
      <c r="G473" s="1">
        <v>26000</v>
      </c>
      <c r="H473" s="1">
        <f t="shared" si="8"/>
        <v>0</v>
      </c>
      <c r="I473" s="89"/>
      <c r="J473" s="89"/>
      <c r="K473" s="388"/>
      <c r="L473" s="48"/>
      <c r="M473" s="48"/>
      <c r="N473" s="370"/>
      <c r="O473" s="48"/>
    </row>
    <row r="474" spans="1:15" s="410" customFormat="1" ht="15" x14ac:dyDescent="0.25">
      <c r="A474" s="1">
        <v>470</v>
      </c>
      <c r="B474" s="1" t="s">
        <v>666</v>
      </c>
      <c r="C474" s="32">
        <v>9777</v>
      </c>
      <c r="D474" s="1">
        <v>16000</v>
      </c>
      <c r="E474" s="1" t="s">
        <v>642</v>
      </c>
      <c r="F474" s="1">
        <v>178.22</v>
      </c>
      <c r="G474" s="1">
        <v>16000</v>
      </c>
      <c r="H474" s="1">
        <f t="shared" si="8"/>
        <v>0</v>
      </c>
      <c r="I474" s="89"/>
      <c r="J474" s="89"/>
      <c r="K474" s="388"/>
      <c r="L474" s="48"/>
      <c r="M474" s="48"/>
      <c r="N474" s="370"/>
      <c r="O474" s="48"/>
    </row>
    <row r="475" spans="1:15" s="410" customFormat="1" ht="15" x14ac:dyDescent="0.25">
      <c r="A475" s="1">
        <v>471</v>
      </c>
      <c r="B475" s="1" t="s">
        <v>666</v>
      </c>
      <c r="C475" s="32">
        <v>5.1999999999999998E-3</v>
      </c>
      <c r="D475" s="1">
        <v>17000</v>
      </c>
      <c r="E475" s="1" t="s">
        <v>642</v>
      </c>
      <c r="F475" s="1">
        <v>189.57</v>
      </c>
      <c r="G475" s="1">
        <v>17000</v>
      </c>
      <c r="H475" s="1">
        <f t="shared" si="8"/>
        <v>0</v>
      </c>
      <c r="I475" s="89"/>
      <c r="J475" s="89"/>
      <c r="K475" s="388"/>
      <c r="L475" s="48"/>
      <c r="M475" s="48"/>
      <c r="N475" s="370"/>
      <c r="O475" s="48"/>
    </row>
    <row r="476" spans="1:15" s="410" customFormat="1" ht="15" x14ac:dyDescent="0.25">
      <c r="A476" s="1">
        <v>472</v>
      </c>
      <c r="B476" s="1" t="s">
        <v>666</v>
      </c>
      <c r="C476" s="32">
        <v>5252</v>
      </c>
      <c r="D476" s="1">
        <v>17000</v>
      </c>
      <c r="E476" s="1" t="s">
        <v>642</v>
      </c>
      <c r="F476" s="1">
        <v>189.57</v>
      </c>
      <c r="G476" s="1">
        <v>17000</v>
      </c>
      <c r="H476" s="1">
        <f t="shared" si="8"/>
        <v>0</v>
      </c>
      <c r="I476" s="89"/>
      <c r="J476" s="89"/>
      <c r="K476" s="388"/>
      <c r="L476" s="48"/>
      <c r="M476" s="48"/>
      <c r="N476" s="370"/>
      <c r="O476" s="48"/>
    </row>
    <row r="477" spans="1:15" s="410" customFormat="1" ht="15" x14ac:dyDescent="0.25">
      <c r="A477" s="1">
        <v>473</v>
      </c>
      <c r="B477" s="1" t="s">
        <v>666</v>
      </c>
      <c r="C477" s="32">
        <v>8799</v>
      </c>
      <c r="D477" s="1">
        <v>22000</v>
      </c>
      <c r="E477" s="1" t="s">
        <v>642</v>
      </c>
      <c r="F477" s="1">
        <v>222.82</v>
      </c>
      <c r="G477" s="1">
        <v>22000</v>
      </c>
      <c r="H477" s="1">
        <f t="shared" si="8"/>
        <v>0</v>
      </c>
      <c r="I477" s="89"/>
      <c r="J477" s="89"/>
      <c r="K477" s="388"/>
      <c r="L477" s="48"/>
      <c r="M477" s="48"/>
      <c r="N477" s="370"/>
      <c r="O477" s="48"/>
    </row>
    <row r="478" spans="1:15" s="410" customFormat="1" ht="15" x14ac:dyDescent="0.25">
      <c r="A478" s="1">
        <v>474</v>
      </c>
      <c r="B478" s="1" t="s">
        <v>666</v>
      </c>
      <c r="C478" s="32">
        <v>9108</v>
      </c>
      <c r="D478" s="1">
        <v>31000</v>
      </c>
      <c r="E478" s="1" t="s">
        <v>642</v>
      </c>
      <c r="F478" s="1">
        <v>345.95</v>
      </c>
      <c r="G478" s="1">
        <v>31000</v>
      </c>
      <c r="H478" s="1">
        <f t="shared" si="8"/>
        <v>0</v>
      </c>
      <c r="I478" s="89"/>
      <c r="J478" s="89"/>
      <c r="K478" s="388"/>
      <c r="L478" s="48"/>
      <c r="M478" s="48"/>
      <c r="N478" s="370"/>
      <c r="O478" s="48"/>
    </row>
    <row r="479" spans="1:15" s="410" customFormat="1" ht="15" x14ac:dyDescent="0.25">
      <c r="A479" s="1">
        <v>475</v>
      </c>
      <c r="B479" s="1" t="s">
        <v>666</v>
      </c>
      <c r="C479" s="32">
        <v>7365</v>
      </c>
      <c r="D479" s="1">
        <v>25000</v>
      </c>
      <c r="E479" s="1" t="s">
        <v>642</v>
      </c>
      <c r="F479" s="1">
        <v>278.22000000000003</v>
      </c>
      <c r="G479" s="1">
        <v>25000</v>
      </c>
      <c r="H479" s="1">
        <f t="shared" si="8"/>
        <v>0</v>
      </c>
      <c r="I479" s="89"/>
      <c r="J479" s="89"/>
      <c r="K479" s="388"/>
      <c r="L479" s="48"/>
      <c r="M479" s="48"/>
      <c r="N479" s="370"/>
      <c r="O479" s="48"/>
    </row>
    <row r="480" spans="1:15" s="410" customFormat="1" ht="15" x14ac:dyDescent="0.25">
      <c r="A480" s="1">
        <v>476</v>
      </c>
      <c r="B480" s="1" t="s">
        <v>666</v>
      </c>
      <c r="C480" s="32">
        <v>7004</v>
      </c>
      <c r="D480" s="1">
        <v>25000</v>
      </c>
      <c r="E480" s="1" t="s">
        <v>642</v>
      </c>
      <c r="F480" s="1">
        <v>278.22000000000003</v>
      </c>
      <c r="G480" s="1">
        <v>25000</v>
      </c>
      <c r="H480" s="1">
        <f t="shared" si="8"/>
        <v>0</v>
      </c>
      <c r="I480" s="89"/>
      <c r="J480" s="89"/>
      <c r="K480" s="388"/>
      <c r="L480" s="48"/>
      <c r="M480" s="48"/>
      <c r="N480" s="370"/>
      <c r="O480" s="48"/>
    </row>
    <row r="481" spans="1:15" s="410" customFormat="1" ht="15" x14ac:dyDescent="0.25">
      <c r="A481" s="1">
        <v>477</v>
      </c>
      <c r="B481" s="1" t="s">
        <v>666</v>
      </c>
      <c r="C481" s="32">
        <v>2150</v>
      </c>
      <c r="D481" s="1">
        <v>27000</v>
      </c>
      <c r="E481" s="1" t="s">
        <v>642</v>
      </c>
      <c r="F481" s="1">
        <v>300.87</v>
      </c>
      <c r="G481" s="1">
        <v>27000</v>
      </c>
      <c r="H481" s="1">
        <f t="shared" si="8"/>
        <v>0</v>
      </c>
      <c r="I481" s="89"/>
      <c r="J481" s="89"/>
      <c r="K481" s="388"/>
      <c r="L481" s="48"/>
      <c r="M481" s="48"/>
      <c r="N481" s="370"/>
      <c r="O481" s="48"/>
    </row>
    <row r="482" spans="1:15" s="410" customFormat="1" ht="15" x14ac:dyDescent="0.25">
      <c r="A482" s="1">
        <v>478</v>
      </c>
      <c r="B482" s="1" t="s">
        <v>666</v>
      </c>
      <c r="C482" s="32">
        <v>6802</v>
      </c>
      <c r="D482" s="1">
        <v>25000</v>
      </c>
      <c r="E482" s="1" t="s">
        <v>642</v>
      </c>
      <c r="F482" s="1">
        <v>278.22000000000003</v>
      </c>
      <c r="G482" s="1">
        <v>25000</v>
      </c>
      <c r="H482" s="1">
        <f t="shared" si="8"/>
        <v>0</v>
      </c>
      <c r="I482" s="89"/>
      <c r="J482" s="89"/>
      <c r="K482" s="388"/>
      <c r="L482" s="48"/>
      <c r="M482" s="48"/>
      <c r="N482" s="370"/>
      <c r="O482" s="48"/>
    </row>
    <row r="483" spans="1:15" s="410" customFormat="1" ht="15" x14ac:dyDescent="0.25">
      <c r="A483" s="1">
        <v>479</v>
      </c>
      <c r="B483" s="1" t="s">
        <v>666</v>
      </c>
      <c r="C483" s="32">
        <v>2081</v>
      </c>
      <c r="D483" s="1">
        <v>30000</v>
      </c>
      <c r="E483" s="1" t="s">
        <v>642</v>
      </c>
      <c r="F483" s="1">
        <v>334.82</v>
      </c>
      <c r="G483" s="1">
        <v>30000</v>
      </c>
      <c r="H483" s="1">
        <f t="shared" si="8"/>
        <v>0</v>
      </c>
      <c r="I483" s="89"/>
      <c r="J483" s="89"/>
      <c r="K483" s="388"/>
      <c r="L483" s="48"/>
      <c r="M483" s="48"/>
      <c r="N483" s="370"/>
      <c r="O483" s="48"/>
    </row>
    <row r="484" spans="1:15" s="410" customFormat="1" ht="15" x14ac:dyDescent="0.25">
      <c r="A484" s="1">
        <v>480</v>
      </c>
      <c r="B484" s="1" t="s">
        <v>666</v>
      </c>
      <c r="C484" s="32">
        <v>2593</v>
      </c>
      <c r="D484" s="1">
        <v>27000</v>
      </c>
      <c r="E484" s="1" t="s">
        <v>642</v>
      </c>
      <c r="F484" s="1">
        <v>300.33999999999997</v>
      </c>
      <c r="G484" s="1">
        <v>27000</v>
      </c>
      <c r="H484" s="1">
        <f t="shared" si="8"/>
        <v>0</v>
      </c>
      <c r="I484" s="89"/>
      <c r="J484" s="89"/>
      <c r="K484" s="388"/>
      <c r="L484" s="48"/>
      <c r="M484" s="48"/>
      <c r="N484" s="370"/>
      <c r="O484" s="48"/>
    </row>
    <row r="485" spans="1:15" s="410" customFormat="1" ht="15" x14ac:dyDescent="0.25">
      <c r="A485" s="1">
        <v>481</v>
      </c>
      <c r="B485" s="1" t="s">
        <v>666</v>
      </c>
      <c r="C485" s="32">
        <v>7095</v>
      </c>
      <c r="D485" s="1">
        <v>21000</v>
      </c>
      <c r="E485" s="1" t="s">
        <v>642</v>
      </c>
      <c r="F485" s="1">
        <v>215.74</v>
      </c>
      <c r="G485" s="1">
        <v>21000</v>
      </c>
      <c r="H485" s="1">
        <f t="shared" si="8"/>
        <v>0</v>
      </c>
      <c r="I485" s="89"/>
      <c r="J485" s="89"/>
      <c r="K485" s="388"/>
      <c r="L485" s="48"/>
      <c r="M485" s="48"/>
      <c r="N485" s="370"/>
      <c r="O485" s="48"/>
    </row>
    <row r="486" spans="1:15" s="410" customFormat="1" ht="15" x14ac:dyDescent="0.25">
      <c r="A486" s="1">
        <v>482</v>
      </c>
      <c r="B486" s="1" t="s">
        <v>666</v>
      </c>
      <c r="C486" s="32">
        <v>9817</v>
      </c>
      <c r="D486" s="1">
        <v>25000</v>
      </c>
      <c r="E486" s="1" t="s">
        <v>642</v>
      </c>
      <c r="F486" s="1">
        <v>278.22000000000003</v>
      </c>
      <c r="G486" s="1">
        <v>25000</v>
      </c>
      <c r="H486" s="1">
        <f t="shared" si="8"/>
        <v>0</v>
      </c>
      <c r="I486" s="89"/>
      <c r="J486" s="89"/>
      <c r="K486" s="388"/>
      <c r="L486" s="48"/>
      <c r="M486" s="48"/>
      <c r="N486" s="370"/>
      <c r="O486" s="48"/>
    </row>
    <row r="487" spans="1:15" s="410" customFormat="1" ht="15" x14ac:dyDescent="0.25">
      <c r="A487" s="1">
        <v>483</v>
      </c>
      <c r="B487" s="1" t="s">
        <v>666</v>
      </c>
      <c r="C487" s="32">
        <v>6748</v>
      </c>
      <c r="D487" s="1">
        <v>18000</v>
      </c>
      <c r="E487" s="1" t="s">
        <v>642</v>
      </c>
      <c r="F487" s="1">
        <v>200.82</v>
      </c>
      <c r="G487" s="1">
        <v>18000</v>
      </c>
      <c r="H487" s="1">
        <f t="shared" si="8"/>
        <v>0</v>
      </c>
      <c r="I487" s="89"/>
      <c r="J487" s="89"/>
      <c r="K487" s="388"/>
      <c r="L487" s="48"/>
      <c r="M487" s="48"/>
      <c r="N487" s="370"/>
      <c r="O487" s="48"/>
    </row>
    <row r="488" spans="1:15" s="410" customFormat="1" ht="15" x14ac:dyDescent="0.25">
      <c r="A488" s="1">
        <v>484</v>
      </c>
      <c r="B488" s="1" t="s">
        <v>666</v>
      </c>
      <c r="C488" s="32">
        <v>8.4699999999999998E-2</v>
      </c>
      <c r="D488" s="1">
        <v>18970</v>
      </c>
      <c r="E488" s="1" t="s">
        <v>642</v>
      </c>
      <c r="F488" s="1">
        <v>211.35</v>
      </c>
      <c r="G488" s="1">
        <v>18970</v>
      </c>
      <c r="H488" s="1">
        <f t="shared" si="8"/>
        <v>0</v>
      </c>
      <c r="I488" s="89"/>
      <c r="J488" s="89"/>
      <c r="K488" s="388"/>
      <c r="L488" s="48"/>
      <c r="M488" s="48"/>
      <c r="N488" s="370"/>
      <c r="O488" s="48"/>
    </row>
    <row r="489" spans="1:15" s="410" customFormat="1" ht="15.75" thickBot="1" x14ac:dyDescent="0.3">
      <c r="A489" s="1">
        <v>485</v>
      </c>
      <c r="B489" s="1" t="s">
        <v>666</v>
      </c>
      <c r="C489" s="32">
        <v>9992</v>
      </c>
      <c r="D489" s="1">
        <v>25000</v>
      </c>
      <c r="E489" s="1" t="s">
        <v>642</v>
      </c>
      <c r="F489" s="1">
        <v>278.22000000000003</v>
      </c>
      <c r="G489" s="1">
        <v>25000</v>
      </c>
      <c r="H489" s="1">
        <f t="shared" si="8"/>
        <v>0</v>
      </c>
      <c r="I489" s="89"/>
      <c r="J489" s="89"/>
      <c r="K489" s="388"/>
      <c r="L489" s="48"/>
      <c r="M489" s="48"/>
      <c r="N489" s="370"/>
      <c r="O489" s="48"/>
    </row>
    <row r="490" spans="1:15" s="410" customFormat="1" ht="15.75" thickBot="1" x14ac:dyDescent="0.3">
      <c r="A490" s="1">
        <v>486</v>
      </c>
      <c r="B490" s="1" t="s">
        <v>666</v>
      </c>
      <c r="C490" s="32">
        <v>9107</v>
      </c>
      <c r="D490" s="1">
        <v>27000</v>
      </c>
      <c r="E490" s="1" t="s">
        <v>642</v>
      </c>
      <c r="F490" s="1">
        <v>300.87</v>
      </c>
      <c r="G490" s="1">
        <v>27000</v>
      </c>
      <c r="H490" s="1">
        <f t="shared" si="8"/>
        <v>0</v>
      </c>
      <c r="I490" s="89"/>
      <c r="J490" s="89"/>
      <c r="K490" s="103">
        <f>2330134-2323543</f>
        <v>6591</v>
      </c>
      <c r="L490" s="359" t="s">
        <v>667</v>
      </c>
      <c r="M490" s="359">
        <v>10319</v>
      </c>
      <c r="N490" s="367" t="s">
        <v>620</v>
      </c>
      <c r="O490" s="360">
        <f>10319-6591</f>
        <v>3728</v>
      </c>
    </row>
    <row r="491" spans="1:15" s="411" customFormat="1" ht="15" x14ac:dyDescent="0.25">
      <c r="A491" s="1">
        <v>487</v>
      </c>
      <c r="B491" s="1" t="s">
        <v>668</v>
      </c>
      <c r="C491" s="32">
        <v>1547</v>
      </c>
      <c r="D491" s="1">
        <v>17000</v>
      </c>
      <c r="E491" s="1" t="s">
        <v>80</v>
      </c>
      <c r="F491" s="1">
        <v>189.24</v>
      </c>
      <c r="G491" s="1">
        <v>17000</v>
      </c>
      <c r="H491" s="1">
        <f t="shared" si="8"/>
        <v>0</v>
      </c>
      <c r="I491" s="89"/>
      <c r="J491" s="89"/>
      <c r="K491" s="388"/>
      <c r="L491" s="48"/>
      <c r="M491" s="48"/>
      <c r="N491" s="370"/>
      <c r="O491" s="48"/>
    </row>
    <row r="492" spans="1:15" s="411" customFormat="1" ht="15" x14ac:dyDescent="0.25">
      <c r="A492" s="1">
        <v>488</v>
      </c>
      <c r="B492" s="1" t="s">
        <v>668</v>
      </c>
      <c r="C492" s="32" t="s">
        <v>30</v>
      </c>
      <c r="D492" s="1">
        <v>5000</v>
      </c>
      <c r="E492" s="1" t="s">
        <v>80</v>
      </c>
      <c r="F492" s="1">
        <v>55.45</v>
      </c>
      <c r="G492" s="1">
        <v>5000</v>
      </c>
      <c r="H492" s="1">
        <f t="shared" si="8"/>
        <v>0</v>
      </c>
      <c r="I492" s="89"/>
      <c r="J492" s="89"/>
      <c r="K492" s="388"/>
      <c r="L492" s="48"/>
      <c r="M492" s="48"/>
      <c r="N492" s="370"/>
      <c r="O492" s="48"/>
    </row>
    <row r="493" spans="1:15" s="411" customFormat="1" ht="15" x14ac:dyDescent="0.25">
      <c r="A493" s="1">
        <v>489</v>
      </c>
      <c r="B493" s="1" t="s">
        <v>668</v>
      </c>
      <c r="C493" s="32">
        <v>9.7500000000000003E-2</v>
      </c>
      <c r="D493" s="1">
        <v>24000</v>
      </c>
      <c r="E493" s="1" t="s">
        <v>80</v>
      </c>
      <c r="F493" s="1">
        <v>258.74</v>
      </c>
      <c r="G493" s="1">
        <v>24000</v>
      </c>
      <c r="H493" s="1">
        <f t="shared" si="8"/>
        <v>0</v>
      </c>
      <c r="I493" s="89"/>
      <c r="J493" s="89"/>
      <c r="K493" s="388"/>
      <c r="L493" s="48"/>
      <c r="M493" s="48"/>
      <c r="N493" s="370"/>
      <c r="O493" s="48"/>
    </row>
    <row r="494" spans="1:15" s="411" customFormat="1" ht="15" x14ac:dyDescent="0.25">
      <c r="A494" s="1">
        <v>490</v>
      </c>
      <c r="B494" s="1" t="s">
        <v>668</v>
      </c>
      <c r="C494" s="32">
        <v>7626</v>
      </c>
      <c r="D494" s="1">
        <v>13000</v>
      </c>
      <c r="E494" s="1" t="s">
        <v>80</v>
      </c>
      <c r="F494" s="1">
        <v>144.13</v>
      </c>
      <c r="G494" s="1">
        <v>13000</v>
      </c>
      <c r="H494" s="1">
        <f t="shared" si="8"/>
        <v>0</v>
      </c>
      <c r="I494" s="89"/>
      <c r="J494" s="89"/>
      <c r="K494" s="388"/>
      <c r="L494" s="48"/>
      <c r="M494" s="48"/>
      <c r="N494" s="370"/>
      <c r="O494" s="48"/>
    </row>
    <row r="495" spans="1:15" s="411" customFormat="1" ht="15" x14ac:dyDescent="0.25">
      <c r="A495" s="1">
        <v>491</v>
      </c>
      <c r="B495" s="1" t="s">
        <v>668</v>
      </c>
      <c r="C495" s="32">
        <v>5.1000000000000004E-3</v>
      </c>
      <c r="D495" s="1">
        <v>17000</v>
      </c>
      <c r="E495" s="1" t="s">
        <v>80</v>
      </c>
      <c r="F495" s="1">
        <v>189.24</v>
      </c>
      <c r="G495" s="1">
        <v>17000</v>
      </c>
      <c r="H495" s="1">
        <f t="shared" si="8"/>
        <v>0</v>
      </c>
      <c r="I495" s="89"/>
      <c r="J495" s="89"/>
      <c r="K495" s="388"/>
      <c r="L495" s="48"/>
      <c r="M495" s="48"/>
      <c r="N495" s="370"/>
      <c r="O495" s="48"/>
    </row>
    <row r="496" spans="1:15" s="411" customFormat="1" ht="15" x14ac:dyDescent="0.25">
      <c r="A496" s="1">
        <v>492</v>
      </c>
      <c r="B496" s="1" t="s">
        <v>668</v>
      </c>
      <c r="C496" s="32" t="s">
        <v>634</v>
      </c>
      <c r="D496" s="1">
        <v>2000</v>
      </c>
      <c r="E496" s="1" t="s">
        <v>80</v>
      </c>
      <c r="F496" s="1">
        <v>22.52</v>
      </c>
      <c r="G496" s="1">
        <v>2000</v>
      </c>
      <c r="H496" s="1">
        <f t="shared" si="8"/>
        <v>0</v>
      </c>
      <c r="I496" s="89"/>
      <c r="J496" s="89"/>
      <c r="K496" s="388"/>
      <c r="L496" s="48"/>
      <c r="M496" s="48"/>
      <c r="N496" s="370"/>
      <c r="O496" s="48"/>
    </row>
    <row r="497" spans="1:15" s="411" customFormat="1" ht="15" x14ac:dyDescent="0.25">
      <c r="A497" s="1">
        <v>493</v>
      </c>
      <c r="B497" s="1" t="s">
        <v>668</v>
      </c>
      <c r="C497" s="32">
        <v>9578</v>
      </c>
      <c r="D497" s="1">
        <v>30000</v>
      </c>
      <c r="E497" s="1" t="s">
        <v>80</v>
      </c>
      <c r="F497" s="1">
        <v>334.82</v>
      </c>
      <c r="G497" s="1">
        <v>30000</v>
      </c>
      <c r="H497" s="1">
        <f t="shared" si="8"/>
        <v>0</v>
      </c>
      <c r="I497" s="89"/>
      <c r="J497" s="89"/>
      <c r="K497" s="388"/>
      <c r="L497" s="48"/>
      <c r="M497" s="48"/>
      <c r="N497" s="370"/>
      <c r="O497" s="48"/>
    </row>
    <row r="498" spans="1:15" s="411" customFormat="1" ht="15" x14ac:dyDescent="0.25">
      <c r="A498" s="1">
        <v>494</v>
      </c>
      <c r="B498" s="1" t="s">
        <v>668</v>
      </c>
      <c r="C498" s="32">
        <v>9972</v>
      </c>
      <c r="D498" s="1">
        <v>20000</v>
      </c>
      <c r="E498" s="1" t="s">
        <v>80</v>
      </c>
      <c r="F498" s="1">
        <v>222.82</v>
      </c>
      <c r="G498" s="1">
        <v>20000</v>
      </c>
      <c r="H498" s="1">
        <f t="shared" si="8"/>
        <v>0</v>
      </c>
      <c r="I498" s="89"/>
      <c r="J498" s="89"/>
      <c r="K498" s="388"/>
      <c r="L498" s="48"/>
      <c r="M498" s="48"/>
      <c r="N498" s="370"/>
      <c r="O498" s="48"/>
    </row>
    <row r="499" spans="1:15" s="411" customFormat="1" ht="15" x14ac:dyDescent="0.25">
      <c r="A499" s="1">
        <v>495</v>
      </c>
      <c r="B499" s="1" t="s">
        <v>668</v>
      </c>
      <c r="C499" s="32">
        <v>5204</v>
      </c>
      <c r="D499" s="1">
        <v>26000</v>
      </c>
      <c r="E499" s="1" t="s">
        <v>80</v>
      </c>
      <c r="F499" s="1">
        <v>289.64</v>
      </c>
      <c r="G499" s="1">
        <v>26000</v>
      </c>
      <c r="H499" s="1">
        <f t="shared" si="8"/>
        <v>0</v>
      </c>
      <c r="I499" s="89"/>
      <c r="J499" s="89"/>
      <c r="K499" s="388"/>
      <c r="L499" s="48"/>
      <c r="M499" s="48"/>
      <c r="N499" s="370"/>
      <c r="O499" s="48"/>
    </row>
    <row r="500" spans="1:15" s="411" customFormat="1" ht="15" x14ac:dyDescent="0.25">
      <c r="A500" s="1">
        <v>496</v>
      </c>
      <c r="B500" s="1" t="s">
        <v>668</v>
      </c>
      <c r="C500" s="32" t="s">
        <v>30</v>
      </c>
      <c r="D500" s="1">
        <v>4500</v>
      </c>
      <c r="E500" s="1" t="s">
        <v>80</v>
      </c>
      <c r="F500" s="1">
        <v>50.55</v>
      </c>
      <c r="G500" s="1">
        <v>4500</v>
      </c>
      <c r="H500" s="1">
        <f t="shared" si="8"/>
        <v>0</v>
      </c>
      <c r="I500" s="89"/>
      <c r="J500" s="89"/>
      <c r="K500" s="388"/>
      <c r="L500" s="48"/>
      <c r="M500" s="48"/>
      <c r="N500" s="370"/>
      <c r="O500" s="48"/>
    </row>
    <row r="501" spans="1:15" s="411" customFormat="1" ht="15" x14ac:dyDescent="0.25">
      <c r="A501" s="1">
        <v>497</v>
      </c>
      <c r="B501" s="1" t="s">
        <v>668</v>
      </c>
      <c r="C501" s="32">
        <v>6009</v>
      </c>
      <c r="D501" s="1">
        <v>25000</v>
      </c>
      <c r="E501" s="1" t="s">
        <v>80</v>
      </c>
      <c r="F501" s="1">
        <v>278.22000000000003</v>
      </c>
      <c r="G501" s="1">
        <v>25000</v>
      </c>
      <c r="H501" s="1">
        <f t="shared" si="8"/>
        <v>0</v>
      </c>
      <c r="I501" s="89"/>
      <c r="J501" s="89"/>
      <c r="K501" s="388"/>
      <c r="L501" s="48"/>
      <c r="M501" s="48"/>
      <c r="N501" s="370"/>
      <c r="O501" s="48"/>
    </row>
    <row r="502" spans="1:15" s="411" customFormat="1" ht="15" x14ac:dyDescent="0.25">
      <c r="A502" s="1">
        <v>498</v>
      </c>
      <c r="B502" s="1" t="s">
        <v>668</v>
      </c>
      <c r="C502" s="32">
        <v>5571</v>
      </c>
      <c r="D502" s="1">
        <v>25000</v>
      </c>
      <c r="E502" s="1" t="s">
        <v>80</v>
      </c>
      <c r="F502" s="1">
        <v>278.22000000000003</v>
      </c>
      <c r="G502" s="1">
        <v>25000</v>
      </c>
      <c r="H502" s="1">
        <f t="shared" si="8"/>
        <v>0</v>
      </c>
      <c r="I502" s="89"/>
      <c r="J502" s="89"/>
      <c r="K502" s="388"/>
      <c r="L502" s="48"/>
      <c r="M502" s="48"/>
      <c r="N502" s="370"/>
      <c r="O502" s="48"/>
    </row>
    <row r="503" spans="1:15" s="411" customFormat="1" ht="15" x14ac:dyDescent="0.25">
      <c r="A503" s="1">
        <v>499</v>
      </c>
      <c r="B503" s="1" t="s">
        <v>668</v>
      </c>
      <c r="C503" s="32">
        <v>6488</v>
      </c>
      <c r="D503" s="1">
        <v>20000</v>
      </c>
      <c r="E503" s="1" t="s">
        <v>80</v>
      </c>
      <c r="F503" s="1">
        <v>222.82</v>
      </c>
      <c r="G503" s="1">
        <v>20000</v>
      </c>
      <c r="H503" s="1">
        <f t="shared" si="8"/>
        <v>0</v>
      </c>
      <c r="I503" s="89"/>
      <c r="J503" s="89"/>
      <c r="K503" s="388"/>
      <c r="L503" s="48"/>
      <c r="M503" s="48"/>
      <c r="N503" s="370"/>
      <c r="O503" s="48"/>
    </row>
    <row r="504" spans="1:15" s="411" customFormat="1" ht="15" x14ac:dyDescent="0.25">
      <c r="A504" s="1">
        <v>500</v>
      </c>
      <c r="B504" s="1" t="s">
        <v>668</v>
      </c>
      <c r="C504" s="32">
        <v>1589</v>
      </c>
      <c r="D504" s="1">
        <v>23000</v>
      </c>
      <c r="E504" s="1" t="s">
        <v>80</v>
      </c>
      <c r="F504" s="1">
        <v>256.44</v>
      </c>
      <c r="G504" s="1">
        <v>23000</v>
      </c>
      <c r="H504" s="1">
        <f t="shared" si="8"/>
        <v>0</v>
      </c>
      <c r="I504" s="89"/>
      <c r="J504" s="89"/>
      <c r="K504" s="388"/>
      <c r="L504" s="48"/>
      <c r="M504" s="48"/>
      <c r="N504" s="370"/>
      <c r="O504" s="48"/>
    </row>
    <row r="505" spans="1:15" s="411" customFormat="1" ht="15" x14ac:dyDescent="0.25">
      <c r="A505" s="1">
        <v>501</v>
      </c>
      <c r="B505" s="1" t="s">
        <v>668</v>
      </c>
      <c r="C505" s="32">
        <v>4995</v>
      </c>
      <c r="D505" s="1">
        <v>21000</v>
      </c>
      <c r="E505" s="1" t="s">
        <v>80</v>
      </c>
      <c r="F505" s="1">
        <v>233.34</v>
      </c>
      <c r="G505" s="1">
        <v>21000</v>
      </c>
      <c r="H505" s="1">
        <f t="shared" si="8"/>
        <v>0</v>
      </c>
      <c r="I505" s="89"/>
      <c r="J505" s="89"/>
      <c r="K505" s="388"/>
      <c r="L505" s="48"/>
      <c r="M505" s="48"/>
      <c r="N505" s="370"/>
      <c r="O505" s="48"/>
    </row>
    <row r="506" spans="1:15" s="411" customFormat="1" ht="15" x14ac:dyDescent="0.25">
      <c r="A506" s="1">
        <v>502</v>
      </c>
      <c r="B506" s="1" t="s">
        <v>668</v>
      </c>
      <c r="C506" s="32">
        <v>3837</v>
      </c>
      <c r="D506" s="1">
        <v>22000</v>
      </c>
      <c r="E506" s="1" t="s">
        <v>80</v>
      </c>
      <c r="F506" s="1">
        <v>245.22</v>
      </c>
      <c r="G506" s="1">
        <v>22000</v>
      </c>
      <c r="H506" s="1">
        <f t="shared" si="8"/>
        <v>0</v>
      </c>
      <c r="I506" s="89"/>
      <c r="J506" s="89"/>
      <c r="K506" s="388"/>
      <c r="L506" s="48"/>
      <c r="M506" s="48"/>
      <c r="N506" s="370"/>
      <c r="O506" s="48"/>
    </row>
    <row r="507" spans="1:15" s="411" customFormat="1" ht="15" x14ac:dyDescent="0.25">
      <c r="A507" s="1">
        <v>503</v>
      </c>
      <c r="B507" s="1" t="s">
        <v>668</v>
      </c>
      <c r="C507" s="32">
        <v>1960</v>
      </c>
      <c r="D507" s="1">
        <v>25000</v>
      </c>
      <c r="E507" s="1" t="s">
        <v>80</v>
      </c>
      <c r="F507" s="1">
        <v>278.22000000000003</v>
      </c>
      <c r="G507" s="1">
        <v>25000</v>
      </c>
      <c r="H507" s="1">
        <f t="shared" si="8"/>
        <v>0</v>
      </c>
      <c r="I507" s="89"/>
      <c r="J507" s="89"/>
      <c r="K507" s="388"/>
      <c r="L507" s="48"/>
      <c r="M507" s="48"/>
      <c r="N507" s="370"/>
      <c r="O507" s="48"/>
    </row>
    <row r="508" spans="1:15" s="411" customFormat="1" ht="15" x14ac:dyDescent="0.25">
      <c r="A508" s="1">
        <v>504</v>
      </c>
      <c r="B508" s="1" t="s">
        <v>668</v>
      </c>
      <c r="C508" s="32">
        <v>4.4000000000000003E-3</v>
      </c>
      <c r="D508" s="1">
        <v>15000</v>
      </c>
      <c r="E508" s="1" t="s">
        <v>80</v>
      </c>
      <c r="F508" s="1">
        <v>167.15</v>
      </c>
      <c r="G508" s="1">
        <v>15000</v>
      </c>
      <c r="H508" s="1">
        <f t="shared" si="8"/>
        <v>0</v>
      </c>
      <c r="I508" s="89"/>
      <c r="J508" s="89"/>
      <c r="K508" s="388"/>
      <c r="L508" s="48"/>
      <c r="M508" s="48"/>
      <c r="N508" s="370"/>
      <c r="O508" s="48"/>
    </row>
    <row r="509" spans="1:15" s="411" customFormat="1" ht="15" x14ac:dyDescent="0.25">
      <c r="A509" s="1">
        <v>505</v>
      </c>
      <c r="B509" s="1" t="s">
        <v>668</v>
      </c>
      <c r="C509" s="32">
        <v>3585</v>
      </c>
      <c r="D509" s="1">
        <v>20000</v>
      </c>
      <c r="E509" s="1" t="s">
        <v>80</v>
      </c>
      <c r="F509" s="1">
        <v>222.82</v>
      </c>
      <c r="G509" s="1">
        <v>20000</v>
      </c>
      <c r="H509" s="1">
        <f t="shared" si="8"/>
        <v>0</v>
      </c>
      <c r="I509" s="89"/>
      <c r="J509" s="89"/>
      <c r="K509" s="388"/>
      <c r="L509" s="48"/>
      <c r="M509" s="48"/>
      <c r="N509" s="370"/>
      <c r="O509" s="48"/>
    </row>
    <row r="510" spans="1:15" s="411" customFormat="1" ht="15" x14ac:dyDescent="0.25">
      <c r="A510" s="1">
        <v>506</v>
      </c>
      <c r="B510" s="1" t="s">
        <v>668</v>
      </c>
      <c r="C510" s="32">
        <v>4083</v>
      </c>
      <c r="D510" s="1">
        <v>32000</v>
      </c>
      <c r="E510" s="1" t="s">
        <v>80</v>
      </c>
      <c r="F510" s="1">
        <v>356.67</v>
      </c>
      <c r="G510" s="1">
        <v>32000</v>
      </c>
      <c r="H510" s="1">
        <f t="shared" si="8"/>
        <v>0</v>
      </c>
      <c r="I510" s="89"/>
      <c r="J510" s="89"/>
      <c r="K510" s="388"/>
      <c r="L510" s="48"/>
      <c r="M510" s="48"/>
      <c r="N510" s="370"/>
      <c r="O510" s="48"/>
    </row>
    <row r="511" spans="1:15" s="411" customFormat="1" ht="15" x14ac:dyDescent="0.25">
      <c r="A511" s="1">
        <v>507</v>
      </c>
      <c r="B511" s="1" t="s">
        <v>668</v>
      </c>
      <c r="C511" s="32">
        <v>4509</v>
      </c>
      <c r="D511" s="1">
        <v>20000</v>
      </c>
      <c r="E511" s="1" t="s">
        <v>80</v>
      </c>
      <c r="F511" s="1">
        <v>222.82</v>
      </c>
      <c r="G511" s="1">
        <v>20000</v>
      </c>
      <c r="H511" s="1">
        <f t="shared" si="8"/>
        <v>0</v>
      </c>
      <c r="I511" s="89"/>
      <c r="J511" s="89"/>
      <c r="K511" s="388"/>
      <c r="L511" s="48"/>
      <c r="M511" s="48"/>
      <c r="N511" s="370"/>
      <c r="O511" s="48"/>
    </row>
    <row r="512" spans="1:15" s="411" customFormat="1" ht="15" x14ac:dyDescent="0.25">
      <c r="A512" s="1">
        <v>508</v>
      </c>
      <c r="B512" s="1" t="s">
        <v>668</v>
      </c>
      <c r="C512" s="32">
        <v>9477</v>
      </c>
      <c r="D512" s="1">
        <v>23000</v>
      </c>
      <c r="E512" s="1" t="s">
        <v>80</v>
      </c>
      <c r="F512" s="1">
        <v>256.33999999999997</v>
      </c>
      <c r="G512" s="1">
        <v>23000</v>
      </c>
      <c r="H512" s="1">
        <f t="shared" si="8"/>
        <v>0</v>
      </c>
      <c r="I512" s="89"/>
      <c r="J512" s="89"/>
      <c r="K512" s="388"/>
      <c r="L512" s="48"/>
      <c r="M512" s="48"/>
      <c r="N512" s="370"/>
      <c r="O512" s="48"/>
    </row>
    <row r="513" spans="1:17" s="411" customFormat="1" ht="15" x14ac:dyDescent="0.25">
      <c r="A513" s="1">
        <v>509</v>
      </c>
      <c r="B513" s="1" t="s">
        <v>668</v>
      </c>
      <c r="C513" s="32">
        <v>1139</v>
      </c>
      <c r="D513" s="1">
        <v>25000</v>
      </c>
      <c r="E513" s="1" t="s">
        <v>80</v>
      </c>
      <c r="F513" s="1">
        <v>278.22000000000003</v>
      </c>
      <c r="G513" s="1">
        <v>25000</v>
      </c>
      <c r="H513" s="1">
        <f t="shared" si="8"/>
        <v>0</v>
      </c>
      <c r="I513" s="89"/>
      <c r="J513" s="89"/>
      <c r="K513" s="388"/>
      <c r="L513" s="48"/>
      <c r="M513" s="48"/>
      <c r="N513" s="370"/>
      <c r="O513" s="48"/>
    </row>
    <row r="514" spans="1:17" s="411" customFormat="1" ht="15" x14ac:dyDescent="0.25">
      <c r="A514" s="1">
        <v>510</v>
      </c>
      <c r="B514" s="1" t="s">
        <v>668</v>
      </c>
      <c r="C514" s="32">
        <v>3624</v>
      </c>
      <c r="D514" s="1">
        <v>20000</v>
      </c>
      <c r="E514" s="1" t="s">
        <v>80</v>
      </c>
      <c r="F514" s="1">
        <v>222.82</v>
      </c>
      <c r="G514" s="1">
        <v>20000</v>
      </c>
      <c r="H514" s="1">
        <f t="shared" si="8"/>
        <v>0</v>
      </c>
      <c r="I514" s="89"/>
      <c r="J514" s="89"/>
      <c r="K514" s="388"/>
      <c r="L514" s="48"/>
      <c r="M514" s="48"/>
      <c r="N514" s="370"/>
      <c r="O514" s="48"/>
    </row>
    <row r="515" spans="1:17" s="411" customFormat="1" ht="15" x14ac:dyDescent="0.25">
      <c r="A515" s="1">
        <v>511</v>
      </c>
      <c r="B515" s="1" t="s">
        <v>668</v>
      </c>
      <c r="C515" s="32">
        <v>9356</v>
      </c>
      <c r="D515" s="1">
        <v>25000</v>
      </c>
      <c r="E515" s="1" t="s">
        <v>80</v>
      </c>
      <c r="F515" s="1">
        <v>278.22000000000003</v>
      </c>
      <c r="G515" s="1">
        <v>25000</v>
      </c>
      <c r="H515" s="1">
        <f t="shared" si="8"/>
        <v>0</v>
      </c>
      <c r="I515" s="89"/>
      <c r="J515" s="89"/>
      <c r="K515" s="388"/>
      <c r="L515" s="48"/>
      <c r="M515" s="48"/>
      <c r="N515" s="370"/>
      <c r="O515" s="48"/>
    </row>
    <row r="516" spans="1:17" s="411" customFormat="1" ht="15" x14ac:dyDescent="0.25">
      <c r="A516" s="1">
        <v>512</v>
      </c>
      <c r="B516" s="1" t="s">
        <v>668</v>
      </c>
      <c r="C516" s="32">
        <v>2379</v>
      </c>
      <c r="D516" s="1">
        <v>32000</v>
      </c>
      <c r="E516" s="1" t="s">
        <v>80</v>
      </c>
      <c r="F516" s="1">
        <v>356.57</v>
      </c>
      <c r="G516" s="1">
        <v>32000</v>
      </c>
      <c r="H516" s="1">
        <f t="shared" si="8"/>
        <v>0</v>
      </c>
      <c r="I516" s="89"/>
      <c r="J516" s="89"/>
      <c r="K516" s="388"/>
      <c r="L516" s="48"/>
      <c r="M516" s="48"/>
      <c r="N516" s="370"/>
      <c r="O516" s="48"/>
    </row>
    <row r="517" spans="1:17" s="411" customFormat="1" ht="15" x14ac:dyDescent="0.25">
      <c r="A517" s="1">
        <v>513</v>
      </c>
      <c r="B517" s="1" t="s">
        <v>668</v>
      </c>
      <c r="C517" s="32" t="s">
        <v>633</v>
      </c>
      <c r="D517" s="1">
        <v>160</v>
      </c>
      <c r="E517" s="1" t="s">
        <v>80</v>
      </c>
      <c r="F517" s="1">
        <v>1.85</v>
      </c>
      <c r="G517" s="1">
        <v>160</v>
      </c>
      <c r="H517" s="1">
        <f t="shared" si="8"/>
        <v>0</v>
      </c>
      <c r="I517" s="89"/>
      <c r="J517" s="89"/>
      <c r="K517" s="388"/>
      <c r="L517" s="48"/>
      <c r="M517" s="48"/>
      <c r="N517" s="370"/>
      <c r="O517" s="48"/>
    </row>
    <row r="518" spans="1:17" s="411" customFormat="1" ht="15" x14ac:dyDescent="0.25">
      <c r="A518" s="1">
        <v>514</v>
      </c>
      <c r="B518" s="1" t="s">
        <v>669</v>
      </c>
      <c r="C518" s="32">
        <v>1.4E-2</v>
      </c>
      <c r="D518" s="1">
        <v>21000</v>
      </c>
      <c r="E518" s="1" t="s">
        <v>80</v>
      </c>
      <c r="F518" s="1">
        <v>233.54</v>
      </c>
      <c r="G518" s="1">
        <v>21000</v>
      </c>
      <c r="H518" s="1">
        <f t="shared" si="8"/>
        <v>0</v>
      </c>
      <c r="I518" s="89"/>
      <c r="J518" s="89"/>
      <c r="K518" s="388"/>
      <c r="L518" s="48"/>
      <c r="M518" s="48"/>
      <c r="N518" s="370"/>
      <c r="O518" s="48"/>
    </row>
    <row r="519" spans="1:17" s="411" customFormat="1" ht="15" x14ac:dyDescent="0.25">
      <c r="A519" s="1">
        <v>515</v>
      </c>
      <c r="B519" s="1" t="s">
        <v>669</v>
      </c>
      <c r="C519" s="32" t="s">
        <v>634</v>
      </c>
      <c r="D519" s="1">
        <v>2000</v>
      </c>
      <c r="E519" s="1" t="s">
        <v>80</v>
      </c>
      <c r="F519" s="1">
        <v>22.82</v>
      </c>
      <c r="G519" s="1">
        <v>2000</v>
      </c>
      <c r="H519" s="1">
        <f t="shared" si="8"/>
        <v>0</v>
      </c>
      <c r="I519" s="89"/>
      <c r="J519" s="89"/>
      <c r="K519" s="388"/>
      <c r="L519" s="48"/>
      <c r="M519" s="48"/>
      <c r="N519" s="370"/>
      <c r="O519" s="48"/>
    </row>
    <row r="520" spans="1:17" s="411" customFormat="1" ht="15" x14ac:dyDescent="0.25">
      <c r="A520" s="1">
        <v>516</v>
      </c>
      <c r="B520" s="1" t="s">
        <v>669</v>
      </c>
      <c r="C520" s="32" t="s">
        <v>30</v>
      </c>
      <c r="D520" s="1">
        <v>3000</v>
      </c>
      <c r="E520" s="1" t="s">
        <v>80</v>
      </c>
      <c r="F520" s="1">
        <v>35.74</v>
      </c>
      <c r="G520" s="1">
        <v>3000</v>
      </c>
      <c r="H520" s="1">
        <f t="shared" si="8"/>
        <v>0</v>
      </c>
      <c r="I520" s="89"/>
      <c r="J520" s="89"/>
      <c r="K520" s="388"/>
      <c r="L520" s="48"/>
      <c r="M520" s="48"/>
      <c r="N520" s="370"/>
      <c r="O520" s="48"/>
    </row>
    <row r="521" spans="1:17" s="411" customFormat="1" ht="15" x14ac:dyDescent="0.25">
      <c r="A521" s="1">
        <v>517</v>
      </c>
      <c r="B521" s="1" t="s">
        <v>669</v>
      </c>
      <c r="C521" s="32">
        <v>7258</v>
      </c>
      <c r="D521" s="1">
        <v>34000</v>
      </c>
      <c r="E521" s="1" t="s">
        <v>80</v>
      </c>
      <c r="F521" s="1">
        <v>350.87</v>
      </c>
      <c r="G521" s="1">
        <v>34000</v>
      </c>
      <c r="H521" s="1">
        <f t="shared" si="8"/>
        <v>0</v>
      </c>
      <c r="I521" s="89"/>
      <c r="J521" s="89"/>
      <c r="K521" s="388"/>
      <c r="L521" s="48"/>
      <c r="M521" s="48"/>
      <c r="N521" s="370"/>
      <c r="O521" s="48"/>
    </row>
    <row r="522" spans="1:17" s="411" customFormat="1" ht="15" x14ac:dyDescent="0.25">
      <c r="A522" s="1">
        <v>518</v>
      </c>
      <c r="B522" s="1" t="s">
        <v>669</v>
      </c>
      <c r="C522" s="32">
        <v>1185</v>
      </c>
      <c r="D522" s="1">
        <v>20000</v>
      </c>
      <c r="E522" s="1" t="s">
        <v>80</v>
      </c>
      <c r="F522" s="1">
        <v>222.82</v>
      </c>
      <c r="G522" s="1">
        <v>20000</v>
      </c>
      <c r="H522" s="1">
        <f t="shared" si="8"/>
        <v>0</v>
      </c>
      <c r="I522" s="89"/>
      <c r="J522" s="89"/>
      <c r="K522" s="388"/>
      <c r="L522" s="48"/>
      <c r="M522" s="48"/>
      <c r="N522" s="370"/>
      <c r="O522" s="48"/>
    </row>
    <row r="523" spans="1:17" s="411" customFormat="1" ht="15" x14ac:dyDescent="0.25">
      <c r="A523" s="1">
        <v>519</v>
      </c>
      <c r="B523" s="1" t="s">
        <v>669</v>
      </c>
      <c r="C523" s="32">
        <v>2.1700000000000001E-2</v>
      </c>
      <c r="D523" s="1">
        <v>27000</v>
      </c>
      <c r="E523" s="1" t="s">
        <v>80</v>
      </c>
      <c r="F523" s="1">
        <v>300.33</v>
      </c>
      <c r="G523" s="1">
        <v>27000</v>
      </c>
      <c r="H523" s="1">
        <f t="shared" si="8"/>
        <v>0</v>
      </c>
      <c r="I523" s="89"/>
      <c r="J523" s="89"/>
      <c r="K523" s="388"/>
      <c r="L523" s="48"/>
      <c r="M523" s="48"/>
      <c r="N523" s="370"/>
      <c r="O523" s="48"/>
    </row>
    <row r="524" spans="1:17" s="411" customFormat="1" ht="15" x14ac:dyDescent="0.25">
      <c r="A524" s="1">
        <v>520</v>
      </c>
      <c r="B524" s="1" t="s">
        <v>669</v>
      </c>
      <c r="C524" s="32">
        <v>8274</v>
      </c>
      <c r="D524" s="1">
        <v>25000</v>
      </c>
      <c r="E524" s="1" t="s">
        <v>80</v>
      </c>
      <c r="F524" s="1">
        <v>278.22000000000003</v>
      </c>
      <c r="G524" s="1">
        <v>25000</v>
      </c>
      <c r="H524" s="1">
        <f t="shared" si="8"/>
        <v>0</v>
      </c>
      <c r="I524" s="89"/>
      <c r="J524" s="89"/>
      <c r="K524" s="388"/>
      <c r="L524" s="48"/>
      <c r="M524" s="48"/>
      <c r="N524" s="370"/>
      <c r="O524" s="48"/>
    </row>
    <row r="525" spans="1:17" s="411" customFormat="1" ht="15" x14ac:dyDescent="0.25">
      <c r="A525" s="1">
        <v>521</v>
      </c>
      <c r="B525" s="1" t="s">
        <v>669</v>
      </c>
      <c r="C525" s="32">
        <v>5.8400000000000001E-2</v>
      </c>
      <c r="D525" s="1">
        <v>25000</v>
      </c>
      <c r="E525" s="1" t="s">
        <v>80</v>
      </c>
      <c r="F525" s="1">
        <v>278.22000000000003</v>
      </c>
      <c r="G525" s="1">
        <v>25000</v>
      </c>
      <c r="H525" s="1">
        <f t="shared" si="8"/>
        <v>0</v>
      </c>
      <c r="I525" s="89"/>
      <c r="J525" s="89"/>
      <c r="K525" s="388"/>
      <c r="L525" s="48"/>
      <c r="M525" s="48"/>
      <c r="N525" s="370"/>
      <c r="O525" s="48"/>
    </row>
    <row r="526" spans="1:17" s="411" customFormat="1" ht="15" x14ac:dyDescent="0.25">
      <c r="A526" s="1">
        <v>522</v>
      </c>
      <c r="B526" s="1" t="s">
        <v>669</v>
      </c>
      <c r="C526" s="32">
        <v>9249</v>
      </c>
      <c r="D526" s="1">
        <v>15000</v>
      </c>
      <c r="E526" s="1" t="s">
        <v>80</v>
      </c>
      <c r="F526" s="1">
        <v>167.15</v>
      </c>
      <c r="G526" s="1">
        <v>15000</v>
      </c>
      <c r="H526" s="1">
        <f t="shared" si="8"/>
        <v>0</v>
      </c>
      <c r="I526" s="89"/>
      <c r="J526" s="89"/>
      <c r="K526" s="388"/>
      <c r="L526" s="48"/>
      <c r="M526" s="48"/>
      <c r="N526" s="370"/>
      <c r="O526" s="48"/>
    </row>
    <row r="527" spans="1:17" s="411" customFormat="1" ht="15.75" thickBot="1" x14ac:dyDescent="0.3">
      <c r="A527" s="1">
        <v>523</v>
      </c>
      <c r="B527" s="1" t="s">
        <v>669</v>
      </c>
      <c r="C527" s="32">
        <v>9349</v>
      </c>
      <c r="D527" s="1">
        <v>15000</v>
      </c>
      <c r="E527" s="1" t="s">
        <v>80</v>
      </c>
      <c r="F527" s="1">
        <v>167.15</v>
      </c>
      <c r="G527" s="1">
        <v>15000</v>
      </c>
      <c r="H527" s="1">
        <f t="shared" si="8"/>
        <v>0</v>
      </c>
      <c r="I527" s="89"/>
      <c r="J527" s="89"/>
      <c r="K527" s="388"/>
      <c r="L527" s="48"/>
      <c r="M527" s="48"/>
      <c r="N527" s="370"/>
      <c r="O527" s="48"/>
    </row>
    <row r="528" spans="1:17" s="411" customFormat="1" ht="15.75" thickBot="1" x14ac:dyDescent="0.3">
      <c r="A528" s="1">
        <v>524</v>
      </c>
      <c r="B528" s="1" t="s">
        <v>669</v>
      </c>
      <c r="C528" s="32">
        <v>1675</v>
      </c>
      <c r="D528" s="1">
        <v>5000</v>
      </c>
      <c r="E528" s="1" t="s">
        <v>80</v>
      </c>
      <c r="F528" s="1">
        <v>55.52</v>
      </c>
      <c r="G528" s="1">
        <v>5000</v>
      </c>
      <c r="H528" s="1">
        <f t="shared" si="8"/>
        <v>0</v>
      </c>
      <c r="I528" s="89"/>
      <c r="J528" s="89"/>
      <c r="K528" s="103">
        <f>2653794-2635503</f>
        <v>18291</v>
      </c>
      <c r="L528" s="359" t="s">
        <v>667</v>
      </c>
      <c r="M528" s="359">
        <v>10319</v>
      </c>
      <c r="N528" s="367" t="s">
        <v>620</v>
      </c>
      <c r="O528" s="360">
        <f>10319-6591</f>
        <v>3728</v>
      </c>
      <c r="P528" s="412" t="s">
        <v>670</v>
      </c>
      <c r="Q528" s="412"/>
    </row>
    <row r="529" spans="1:15" s="413" customFormat="1" ht="15" x14ac:dyDescent="0.25">
      <c r="A529" s="1">
        <v>525</v>
      </c>
      <c r="B529" s="1" t="s">
        <v>671</v>
      </c>
      <c r="C529" s="32" t="s">
        <v>633</v>
      </c>
      <c r="D529" s="1">
        <v>210</v>
      </c>
      <c r="E529" s="1" t="s">
        <v>80</v>
      </c>
      <c r="F529" s="1">
        <v>2.08</v>
      </c>
      <c r="G529" s="1">
        <v>210</v>
      </c>
      <c r="H529" s="1">
        <f t="shared" si="8"/>
        <v>0</v>
      </c>
      <c r="I529" s="89"/>
      <c r="J529" s="89"/>
      <c r="K529" s="388"/>
      <c r="L529" s="48"/>
      <c r="M529" s="48"/>
      <c r="N529" s="370"/>
      <c r="O529" s="48"/>
    </row>
    <row r="530" spans="1:15" s="413" customFormat="1" ht="15" x14ac:dyDescent="0.25">
      <c r="A530" s="1">
        <v>526</v>
      </c>
      <c r="B530" s="1" t="s">
        <v>671</v>
      </c>
      <c r="C530" s="32">
        <v>4314</v>
      </c>
      <c r="D530" s="1">
        <v>20000</v>
      </c>
      <c r="E530" s="1" t="s">
        <v>80</v>
      </c>
      <c r="F530" s="1">
        <v>222.82</v>
      </c>
      <c r="G530" s="1">
        <v>20000</v>
      </c>
      <c r="H530" s="1">
        <f t="shared" si="8"/>
        <v>0</v>
      </c>
      <c r="I530" s="89"/>
      <c r="J530" s="89"/>
      <c r="K530" s="388"/>
      <c r="L530" s="48"/>
      <c r="M530" s="48"/>
      <c r="N530" s="370"/>
      <c r="O530" s="48"/>
    </row>
    <row r="531" spans="1:15" s="413" customFormat="1" ht="15" x14ac:dyDescent="0.25">
      <c r="A531" s="1">
        <v>527</v>
      </c>
      <c r="B531" s="1" t="s">
        <v>671</v>
      </c>
      <c r="C531" s="32" t="s">
        <v>634</v>
      </c>
      <c r="D531" s="1">
        <v>3500</v>
      </c>
      <c r="E531" s="1" t="s">
        <v>80</v>
      </c>
      <c r="F531" s="1">
        <v>38.450000000000003</v>
      </c>
      <c r="G531" s="1">
        <v>3500</v>
      </c>
      <c r="H531" s="1">
        <f t="shared" si="8"/>
        <v>0</v>
      </c>
      <c r="I531" s="89"/>
      <c r="J531" s="89"/>
      <c r="K531" s="388"/>
      <c r="L531" s="48"/>
      <c r="M531" s="48"/>
      <c r="N531" s="370"/>
      <c r="O531" s="48"/>
    </row>
    <row r="532" spans="1:15" s="413" customFormat="1" ht="15" x14ac:dyDescent="0.25">
      <c r="A532" s="1">
        <v>528</v>
      </c>
      <c r="B532" s="1" t="s">
        <v>671</v>
      </c>
      <c r="C532" s="32" t="s">
        <v>30</v>
      </c>
      <c r="D532" s="1">
        <v>4500</v>
      </c>
      <c r="E532" s="1" t="s">
        <v>80</v>
      </c>
      <c r="F532" s="1">
        <v>50.48</v>
      </c>
      <c r="G532" s="1">
        <v>4500</v>
      </c>
      <c r="H532" s="1">
        <f t="shared" si="8"/>
        <v>0</v>
      </c>
      <c r="I532" s="89"/>
      <c r="J532" s="89"/>
      <c r="K532" s="388"/>
      <c r="L532" s="48"/>
      <c r="M532" s="48"/>
      <c r="N532" s="370"/>
      <c r="O532" s="48"/>
    </row>
    <row r="533" spans="1:15" s="413" customFormat="1" ht="15" x14ac:dyDescent="0.25">
      <c r="A533" s="1">
        <v>529</v>
      </c>
      <c r="B533" s="1" t="s">
        <v>671</v>
      </c>
      <c r="C533" s="32">
        <v>4.7000000000000002E-3</v>
      </c>
      <c r="D533" s="1">
        <v>15000</v>
      </c>
      <c r="E533" s="1" t="s">
        <v>80</v>
      </c>
      <c r="F533" s="1">
        <v>167.15</v>
      </c>
      <c r="G533" s="1">
        <v>15000</v>
      </c>
      <c r="H533" s="1">
        <f t="shared" si="8"/>
        <v>0</v>
      </c>
      <c r="I533" s="89"/>
      <c r="J533" s="89"/>
      <c r="K533" s="388"/>
      <c r="L533" s="48"/>
      <c r="M533" s="48"/>
      <c r="N533" s="370"/>
      <c r="O533" s="48"/>
    </row>
    <row r="534" spans="1:15" s="413" customFormat="1" ht="15" x14ac:dyDescent="0.25">
      <c r="A534" s="1">
        <v>530</v>
      </c>
      <c r="B534" s="1" t="s">
        <v>671</v>
      </c>
      <c r="C534" s="32">
        <v>1543</v>
      </c>
      <c r="D534" s="1">
        <v>15000</v>
      </c>
      <c r="E534" s="1" t="s">
        <v>80</v>
      </c>
      <c r="F534" s="1">
        <v>167.15</v>
      </c>
      <c r="G534" s="1">
        <v>15000</v>
      </c>
      <c r="H534" s="1">
        <f t="shared" si="8"/>
        <v>0</v>
      </c>
      <c r="I534" s="89"/>
      <c r="J534" s="89"/>
      <c r="K534" s="388"/>
      <c r="L534" s="48"/>
      <c r="M534" s="48"/>
      <c r="N534" s="370"/>
      <c r="O534" s="48"/>
    </row>
    <row r="535" spans="1:15" s="413" customFormat="1" ht="15" x14ac:dyDescent="0.25">
      <c r="A535" s="1">
        <v>531</v>
      </c>
      <c r="B535" s="1" t="s">
        <v>671</v>
      </c>
      <c r="C535" s="32">
        <v>7088</v>
      </c>
      <c r="D535" s="1">
        <v>21000</v>
      </c>
      <c r="E535" s="1" t="s">
        <v>80</v>
      </c>
      <c r="F535" s="1">
        <v>230.84</v>
      </c>
      <c r="G535" s="1">
        <v>21000</v>
      </c>
      <c r="H535" s="1">
        <f t="shared" ref="H535:H582" si="9">D535-G535</f>
        <v>0</v>
      </c>
      <c r="I535" s="89"/>
      <c r="J535" s="89"/>
      <c r="K535" s="388"/>
      <c r="L535" s="48"/>
      <c r="M535" s="48"/>
      <c r="N535" s="370"/>
      <c r="O535" s="48"/>
    </row>
    <row r="536" spans="1:15" s="413" customFormat="1" ht="15" x14ac:dyDescent="0.25">
      <c r="A536" s="1">
        <v>532</v>
      </c>
      <c r="B536" s="1" t="s">
        <v>671</v>
      </c>
      <c r="C536" s="32">
        <v>6088</v>
      </c>
      <c r="D536" s="1">
        <v>20000</v>
      </c>
      <c r="E536" s="1" t="s">
        <v>80</v>
      </c>
      <c r="F536" s="1">
        <v>222.82</v>
      </c>
      <c r="G536" s="1">
        <v>20000</v>
      </c>
      <c r="H536" s="1">
        <f t="shared" si="9"/>
        <v>0</v>
      </c>
      <c r="I536" s="89"/>
      <c r="J536" s="89"/>
      <c r="K536" s="388"/>
      <c r="L536" s="48"/>
      <c r="M536" s="48"/>
      <c r="N536" s="370"/>
      <c r="O536" s="48"/>
    </row>
    <row r="537" spans="1:15" s="413" customFormat="1" ht="15" x14ac:dyDescent="0.25">
      <c r="A537" s="1">
        <v>533</v>
      </c>
      <c r="B537" s="1" t="s">
        <v>671</v>
      </c>
      <c r="C537" s="32">
        <v>1155</v>
      </c>
      <c r="D537" s="1">
        <v>27000</v>
      </c>
      <c r="E537" s="1" t="s">
        <v>80</v>
      </c>
      <c r="F537" s="1">
        <v>300.67</v>
      </c>
      <c r="G537" s="1">
        <v>27000</v>
      </c>
      <c r="H537" s="1">
        <f t="shared" si="9"/>
        <v>0</v>
      </c>
      <c r="I537" s="89"/>
      <c r="J537" s="89"/>
      <c r="K537" s="388"/>
      <c r="L537" s="48"/>
      <c r="M537" s="48"/>
      <c r="N537" s="370"/>
      <c r="O537" s="48"/>
    </row>
    <row r="538" spans="1:15" s="413" customFormat="1" ht="15" x14ac:dyDescent="0.25">
      <c r="A538" s="1">
        <v>534</v>
      </c>
      <c r="B538" s="1" t="s">
        <v>671</v>
      </c>
      <c r="C538" s="32">
        <v>3643</v>
      </c>
      <c r="D538" s="1">
        <v>30000</v>
      </c>
      <c r="E538" s="1" t="s">
        <v>80</v>
      </c>
      <c r="F538" s="1">
        <v>334.82</v>
      </c>
      <c r="G538" s="1">
        <v>30000</v>
      </c>
      <c r="H538" s="1">
        <f t="shared" si="9"/>
        <v>0</v>
      </c>
      <c r="I538" s="89"/>
      <c r="J538" s="89"/>
      <c r="K538" s="388"/>
      <c r="L538" s="48"/>
      <c r="M538" s="48"/>
      <c r="N538" s="370"/>
      <c r="O538" s="48"/>
    </row>
    <row r="539" spans="1:15" s="413" customFormat="1" ht="15" x14ac:dyDescent="0.25">
      <c r="A539" s="1">
        <v>535</v>
      </c>
      <c r="B539" s="1" t="s">
        <v>671</v>
      </c>
      <c r="C539" s="32">
        <v>3317</v>
      </c>
      <c r="D539" s="1">
        <v>30000</v>
      </c>
      <c r="E539" s="1" t="s">
        <v>80</v>
      </c>
      <c r="F539" s="1">
        <v>334.82</v>
      </c>
      <c r="G539" s="1">
        <v>30000</v>
      </c>
      <c r="H539" s="1">
        <f t="shared" si="9"/>
        <v>0</v>
      </c>
      <c r="I539" s="89"/>
      <c r="J539" s="89"/>
      <c r="K539" s="388"/>
      <c r="L539" s="48"/>
      <c r="M539" s="48"/>
      <c r="N539" s="370"/>
      <c r="O539" s="48"/>
    </row>
    <row r="540" spans="1:15" s="413" customFormat="1" ht="15" x14ac:dyDescent="0.25">
      <c r="A540" s="1">
        <v>536</v>
      </c>
      <c r="B540" s="1" t="s">
        <v>671</v>
      </c>
      <c r="C540" s="32">
        <v>6461</v>
      </c>
      <c r="D540" s="1">
        <v>30000</v>
      </c>
      <c r="E540" s="1" t="s">
        <v>80</v>
      </c>
      <c r="F540" s="1">
        <v>334.82</v>
      </c>
      <c r="G540" s="1">
        <v>30000</v>
      </c>
      <c r="H540" s="1">
        <f t="shared" si="9"/>
        <v>0</v>
      </c>
      <c r="I540" s="89"/>
      <c r="J540" s="89"/>
      <c r="K540" s="388"/>
      <c r="L540" s="48"/>
      <c r="M540" s="48"/>
      <c r="N540" s="370"/>
      <c r="O540" s="48"/>
    </row>
    <row r="541" spans="1:15" s="413" customFormat="1" ht="15" x14ac:dyDescent="0.25">
      <c r="A541" s="1">
        <v>537</v>
      </c>
      <c r="B541" s="1" t="s">
        <v>671</v>
      </c>
      <c r="C541" s="32">
        <v>2029</v>
      </c>
      <c r="D541" s="1">
        <v>25000</v>
      </c>
      <c r="E541" s="1" t="s">
        <v>80</v>
      </c>
      <c r="F541" s="1">
        <v>278.22000000000003</v>
      </c>
      <c r="G541" s="1">
        <v>25000</v>
      </c>
      <c r="H541" s="1">
        <f t="shared" si="9"/>
        <v>0</v>
      </c>
      <c r="I541" s="89"/>
      <c r="J541" s="89"/>
      <c r="K541" s="388"/>
      <c r="L541" s="48"/>
      <c r="M541" s="48"/>
      <c r="N541" s="370"/>
      <c r="O541" s="48"/>
    </row>
    <row r="542" spans="1:15" s="413" customFormat="1" ht="15" x14ac:dyDescent="0.25">
      <c r="A542" s="1">
        <v>538</v>
      </c>
      <c r="B542" s="1" t="s">
        <v>671</v>
      </c>
      <c r="C542" s="32">
        <v>8007</v>
      </c>
      <c r="D542" s="1">
        <v>25000</v>
      </c>
      <c r="E542" s="1" t="s">
        <v>80</v>
      </c>
      <c r="F542" s="1">
        <v>278.22000000000003</v>
      </c>
      <c r="G542" s="1">
        <v>25000</v>
      </c>
      <c r="H542" s="1">
        <f t="shared" si="9"/>
        <v>0</v>
      </c>
      <c r="I542" s="89"/>
      <c r="J542" s="89"/>
      <c r="K542" s="388"/>
      <c r="L542" s="48"/>
      <c r="M542" s="48"/>
      <c r="N542" s="370"/>
      <c r="O542" s="48"/>
    </row>
    <row r="543" spans="1:15" s="413" customFormat="1" ht="15" x14ac:dyDescent="0.25">
      <c r="A543" s="1">
        <v>539</v>
      </c>
      <c r="B543" s="1" t="s">
        <v>671</v>
      </c>
      <c r="C543" s="32">
        <v>7672</v>
      </c>
      <c r="D543" s="1">
        <v>22000</v>
      </c>
      <c r="E543" s="1" t="s">
        <v>80</v>
      </c>
      <c r="F543" s="1">
        <v>245.37</v>
      </c>
      <c r="G543" s="1">
        <v>22000</v>
      </c>
      <c r="H543" s="1">
        <f t="shared" si="9"/>
        <v>0</v>
      </c>
      <c r="I543" s="89"/>
      <c r="J543" s="89"/>
      <c r="K543" s="388"/>
      <c r="L543" s="48"/>
      <c r="M543" s="48"/>
      <c r="N543" s="370"/>
      <c r="O543" s="48"/>
    </row>
    <row r="544" spans="1:15" s="413" customFormat="1" ht="15" x14ac:dyDescent="0.25">
      <c r="A544" s="1">
        <v>540</v>
      </c>
      <c r="B544" s="1" t="s">
        <v>671</v>
      </c>
      <c r="C544" s="32">
        <v>6393</v>
      </c>
      <c r="D544" s="1">
        <v>22000</v>
      </c>
      <c r="E544" s="1" t="s">
        <v>80</v>
      </c>
      <c r="F544" s="1">
        <v>245.37</v>
      </c>
      <c r="G544" s="1">
        <v>22000</v>
      </c>
      <c r="H544" s="1">
        <f t="shared" si="9"/>
        <v>0</v>
      </c>
      <c r="I544" s="89"/>
      <c r="J544" s="89"/>
      <c r="K544" s="388"/>
      <c r="L544" s="48"/>
      <c r="M544" s="48"/>
      <c r="N544" s="370"/>
      <c r="O544" s="48"/>
    </row>
    <row r="545" spans="1:15" s="413" customFormat="1" ht="15" x14ac:dyDescent="0.25">
      <c r="A545" s="1">
        <v>541</v>
      </c>
      <c r="B545" s="1" t="s">
        <v>671</v>
      </c>
      <c r="C545" s="32">
        <v>5589</v>
      </c>
      <c r="D545" s="1">
        <v>20000</v>
      </c>
      <c r="E545" s="1" t="s">
        <v>80</v>
      </c>
      <c r="F545" s="1">
        <v>222.82</v>
      </c>
      <c r="G545" s="1">
        <v>20000</v>
      </c>
      <c r="H545" s="1">
        <f t="shared" si="9"/>
        <v>0</v>
      </c>
      <c r="I545" s="89"/>
      <c r="J545" s="89"/>
      <c r="K545" s="388"/>
      <c r="L545" s="48"/>
      <c r="M545" s="48"/>
      <c r="N545" s="370"/>
      <c r="O545" s="48"/>
    </row>
    <row r="546" spans="1:15" s="413" customFormat="1" ht="15" x14ac:dyDescent="0.25">
      <c r="A546" s="1">
        <v>542</v>
      </c>
      <c r="B546" s="1" t="s">
        <v>671</v>
      </c>
      <c r="C546" s="32">
        <v>4.2500000000000003E-2</v>
      </c>
      <c r="D546" s="1">
        <v>32000</v>
      </c>
      <c r="E546" s="1" t="s">
        <v>80</v>
      </c>
      <c r="F546" s="1">
        <v>356.57</v>
      </c>
      <c r="G546" s="1">
        <v>32000</v>
      </c>
      <c r="H546" s="1">
        <f t="shared" si="9"/>
        <v>0</v>
      </c>
      <c r="I546" s="89"/>
      <c r="J546" s="89"/>
      <c r="K546" s="388"/>
      <c r="L546" s="48"/>
      <c r="M546" s="48"/>
      <c r="N546" s="370"/>
      <c r="O546" s="48"/>
    </row>
    <row r="547" spans="1:15" s="413" customFormat="1" ht="15" x14ac:dyDescent="0.25">
      <c r="A547" s="1">
        <v>543</v>
      </c>
      <c r="B547" s="1" t="s">
        <v>671</v>
      </c>
      <c r="C547" s="32">
        <v>8382</v>
      </c>
      <c r="D547" s="1">
        <v>23000</v>
      </c>
      <c r="E547" s="1" t="s">
        <v>80</v>
      </c>
      <c r="F547" s="1">
        <v>238.72</v>
      </c>
      <c r="G547" s="1">
        <v>23000</v>
      </c>
      <c r="H547" s="1">
        <f t="shared" si="9"/>
        <v>0</v>
      </c>
      <c r="I547" s="89"/>
      <c r="J547" s="89"/>
      <c r="K547" s="388"/>
      <c r="L547" s="48"/>
      <c r="M547" s="48"/>
      <c r="N547" s="370"/>
      <c r="O547" s="48"/>
    </row>
    <row r="548" spans="1:15" s="413" customFormat="1" ht="15.75" thickBot="1" x14ac:dyDescent="0.3">
      <c r="A548" s="1">
        <v>544</v>
      </c>
      <c r="B548" s="1" t="s">
        <v>671</v>
      </c>
      <c r="C548" s="32">
        <v>6125</v>
      </c>
      <c r="D548" s="1">
        <v>26000</v>
      </c>
      <c r="E548" s="1" t="s">
        <v>80</v>
      </c>
      <c r="F548" s="1">
        <v>289.57</v>
      </c>
      <c r="G548" s="1">
        <v>26000</v>
      </c>
      <c r="H548" s="1">
        <f t="shared" si="9"/>
        <v>0</v>
      </c>
      <c r="I548" s="89"/>
      <c r="J548" s="89"/>
      <c r="K548" s="388"/>
      <c r="L548" s="48"/>
      <c r="M548" s="48"/>
      <c r="N548" s="370"/>
      <c r="O548" s="48"/>
    </row>
    <row r="549" spans="1:15" s="413" customFormat="1" ht="15.75" thickBot="1" x14ac:dyDescent="0.3">
      <c r="A549" s="1">
        <v>545</v>
      </c>
      <c r="B549" s="1" t="s">
        <v>671</v>
      </c>
      <c r="C549" s="32">
        <v>9727</v>
      </c>
      <c r="D549" s="1">
        <v>30000</v>
      </c>
      <c r="E549" s="1" t="s">
        <v>80</v>
      </c>
      <c r="F549" s="1">
        <v>334.82</v>
      </c>
      <c r="G549" s="1">
        <v>30000</v>
      </c>
      <c r="H549" s="1">
        <f t="shared" si="9"/>
        <v>0</v>
      </c>
      <c r="I549" s="89"/>
      <c r="J549" s="89"/>
      <c r="K549" s="103">
        <f>2295004-2288413</f>
        <v>6591</v>
      </c>
      <c r="L549" s="359" t="s">
        <v>667</v>
      </c>
      <c r="M549" s="359">
        <v>10319</v>
      </c>
      <c r="N549" s="367" t="s">
        <v>620</v>
      </c>
      <c r="O549" s="360">
        <f>10319-6591</f>
        <v>3728</v>
      </c>
    </row>
    <row r="550" spans="1:15" s="414" customFormat="1" ht="15" x14ac:dyDescent="0.25">
      <c r="A550" s="1">
        <v>546</v>
      </c>
      <c r="B550" s="1" t="s">
        <v>672</v>
      </c>
      <c r="C550" s="32">
        <v>1598</v>
      </c>
      <c r="D550" s="1">
        <v>13000</v>
      </c>
      <c r="E550" s="1" t="s">
        <v>80</v>
      </c>
      <c r="F550" s="1">
        <v>144.13</v>
      </c>
      <c r="G550" s="1">
        <v>13000</v>
      </c>
      <c r="H550" s="1">
        <f t="shared" si="9"/>
        <v>0</v>
      </c>
      <c r="I550" s="89"/>
      <c r="J550" s="89"/>
      <c r="K550" s="388"/>
      <c r="L550" s="48"/>
      <c r="M550" s="48"/>
      <c r="N550" s="370"/>
      <c r="O550" s="48"/>
    </row>
    <row r="551" spans="1:15" s="414" customFormat="1" ht="15" x14ac:dyDescent="0.25">
      <c r="A551" s="1">
        <v>547</v>
      </c>
      <c r="B551" s="1" t="s">
        <v>672</v>
      </c>
      <c r="C551" s="32">
        <v>5.1999999999999998E-3</v>
      </c>
      <c r="D551" s="1">
        <v>15000</v>
      </c>
      <c r="E551" s="1" t="s">
        <v>80</v>
      </c>
      <c r="F551" s="1">
        <v>167.15</v>
      </c>
      <c r="G551" s="1">
        <v>15000</v>
      </c>
      <c r="H551" s="1">
        <f t="shared" si="9"/>
        <v>0</v>
      </c>
      <c r="I551" s="89"/>
      <c r="J551" s="89"/>
      <c r="K551" s="388"/>
      <c r="L551" s="48"/>
      <c r="M551" s="48"/>
      <c r="N551" s="370"/>
      <c r="O551" s="48"/>
    </row>
    <row r="552" spans="1:15" s="414" customFormat="1" ht="15" x14ac:dyDescent="0.25">
      <c r="A552" s="1">
        <v>548</v>
      </c>
      <c r="B552" s="1" t="s">
        <v>672</v>
      </c>
      <c r="C552" s="32">
        <v>8311</v>
      </c>
      <c r="D552" s="1">
        <v>25000</v>
      </c>
      <c r="E552" s="1" t="s">
        <v>80</v>
      </c>
      <c r="F552" s="1">
        <v>278.22000000000003</v>
      </c>
      <c r="G552" s="1">
        <v>25000</v>
      </c>
      <c r="H552" s="1">
        <f t="shared" si="9"/>
        <v>0</v>
      </c>
      <c r="I552" s="89"/>
      <c r="J552" s="89"/>
      <c r="K552" s="388"/>
      <c r="L552" s="48"/>
      <c r="M552" s="48"/>
      <c r="N552" s="370"/>
      <c r="O552" s="48"/>
    </row>
    <row r="553" spans="1:15" s="414" customFormat="1" ht="15" x14ac:dyDescent="0.25">
      <c r="A553" s="1">
        <v>549</v>
      </c>
      <c r="B553" s="1" t="s">
        <v>672</v>
      </c>
      <c r="C553" s="32">
        <v>5151</v>
      </c>
      <c r="D553" s="1">
        <v>15000</v>
      </c>
      <c r="E553" s="1" t="s">
        <v>80</v>
      </c>
      <c r="F553" s="1">
        <v>167.15</v>
      </c>
      <c r="G553" s="1">
        <v>15000</v>
      </c>
      <c r="H553" s="1">
        <f t="shared" si="9"/>
        <v>0</v>
      </c>
      <c r="I553" s="89"/>
      <c r="J553" s="89"/>
      <c r="K553" s="388"/>
      <c r="L553" s="48"/>
      <c r="M553" s="48"/>
      <c r="N553" s="370"/>
      <c r="O553" s="48"/>
    </row>
    <row r="554" spans="1:15" s="414" customFormat="1" ht="15" x14ac:dyDescent="0.25">
      <c r="A554" s="1">
        <v>550</v>
      </c>
      <c r="B554" s="1" t="s">
        <v>672</v>
      </c>
      <c r="C554" s="32">
        <v>9777</v>
      </c>
      <c r="D554" s="1">
        <v>15000</v>
      </c>
      <c r="E554" s="1" t="s">
        <v>80</v>
      </c>
      <c r="F554" s="1">
        <v>167.15</v>
      </c>
      <c r="G554" s="1">
        <v>15000</v>
      </c>
      <c r="H554" s="1">
        <f t="shared" si="9"/>
        <v>0</v>
      </c>
      <c r="I554" s="89"/>
      <c r="J554" s="89"/>
      <c r="K554" s="388"/>
      <c r="L554" s="48"/>
      <c r="M554" s="48"/>
      <c r="N554" s="370"/>
      <c r="O554" s="48"/>
    </row>
    <row r="555" spans="1:15" s="414" customFormat="1" ht="15" x14ac:dyDescent="0.25">
      <c r="A555" s="1">
        <v>551</v>
      </c>
      <c r="B555" s="1" t="s">
        <v>672</v>
      </c>
      <c r="C555" s="32" t="s">
        <v>30</v>
      </c>
      <c r="D555" s="1">
        <v>5000</v>
      </c>
      <c r="E555" s="1" t="s">
        <v>80</v>
      </c>
      <c r="F555" s="1">
        <v>55.45</v>
      </c>
      <c r="G555" s="1">
        <v>5000</v>
      </c>
      <c r="H555" s="1">
        <f t="shared" si="9"/>
        <v>0</v>
      </c>
      <c r="I555" s="89"/>
      <c r="J555" s="89"/>
      <c r="K555" s="388"/>
      <c r="L555" s="48"/>
      <c r="M555" s="48"/>
      <c r="N555" s="370"/>
      <c r="O555" s="48"/>
    </row>
    <row r="556" spans="1:15" s="414" customFormat="1" ht="15" x14ac:dyDescent="0.25">
      <c r="A556" s="1">
        <v>552</v>
      </c>
      <c r="B556" s="1" t="s">
        <v>672</v>
      </c>
      <c r="C556" s="32">
        <v>9704</v>
      </c>
      <c r="D556" s="1">
        <v>30000</v>
      </c>
      <c r="E556" s="1" t="s">
        <v>80</v>
      </c>
      <c r="F556" s="1">
        <v>334.82</v>
      </c>
      <c r="G556" s="1">
        <v>30000</v>
      </c>
      <c r="H556" s="1">
        <f t="shared" si="9"/>
        <v>0</v>
      </c>
      <c r="I556" s="89"/>
      <c r="J556" s="89"/>
      <c r="K556" s="388"/>
      <c r="L556" s="48"/>
      <c r="M556" s="48"/>
      <c r="N556" s="370"/>
      <c r="O556" s="48"/>
    </row>
    <row r="557" spans="1:15" s="414" customFormat="1" ht="15" x14ac:dyDescent="0.25">
      <c r="A557" s="1">
        <v>553</v>
      </c>
      <c r="B557" s="1" t="s">
        <v>672</v>
      </c>
      <c r="C557" s="32">
        <v>8902</v>
      </c>
      <c r="D557" s="1">
        <v>25000</v>
      </c>
      <c r="E557" s="1" t="s">
        <v>80</v>
      </c>
      <c r="F557" s="1">
        <v>278.22000000000003</v>
      </c>
      <c r="G557" s="1">
        <v>25000</v>
      </c>
      <c r="H557" s="1">
        <f t="shared" si="9"/>
        <v>0</v>
      </c>
      <c r="I557" s="89"/>
      <c r="J557" s="89"/>
      <c r="K557" s="388"/>
      <c r="L557" s="48"/>
      <c r="M557" s="48"/>
      <c r="N557" s="370"/>
      <c r="O557" s="48"/>
    </row>
    <row r="558" spans="1:15" s="414" customFormat="1" ht="15" x14ac:dyDescent="0.25">
      <c r="A558" s="1">
        <v>554</v>
      </c>
      <c r="B558" s="1" t="s">
        <v>672</v>
      </c>
      <c r="C558" s="32">
        <v>9458</v>
      </c>
      <c r="D558" s="1">
        <v>25000</v>
      </c>
      <c r="E558" s="1" t="s">
        <v>80</v>
      </c>
      <c r="F558" s="1">
        <v>278.22000000000003</v>
      </c>
      <c r="G558" s="1">
        <v>25000</v>
      </c>
      <c r="H558" s="1">
        <f t="shared" si="9"/>
        <v>0</v>
      </c>
      <c r="I558" s="89"/>
      <c r="J558" s="89"/>
      <c r="K558" s="388"/>
      <c r="L558" s="48"/>
      <c r="M558" s="48"/>
      <c r="N558" s="370"/>
      <c r="O558" s="48"/>
    </row>
    <row r="559" spans="1:15" s="414" customFormat="1" ht="15" x14ac:dyDescent="0.25">
      <c r="A559" s="1">
        <v>555</v>
      </c>
      <c r="B559" s="1" t="s">
        <v>672</v>
      </c>
      <c r="C559" s="32">
        <v>2004</v>
      </c>
      <c r="D559" s="1">
        <v>23000</v>
      </c>
      <c r="E559" s="1" t="s">
        <v>80</v>
      </c>
      <c r="F559" s="1">
        <v>242.67</v>
      </c>
      <c r="G559" s="1">
        <v>23000</v>
      </c>
      <c r="H559" s="1">
        <f t="shared" si="9"/>
        <v>0</v>
      </c>
      <c r="I559" s="89"/>
      <c r="J559" s="89"/>
      <c r="K559" s="388"/>
      <c r="L559" s="48"/>
      <c r="M559" s="48"/>
      <c r="N559" s="370"/>
      <c r="O559" s="48"/>
    </row>
    <row r="560" spans="1:15" s="414" customFormat="1" ht="15" x14ac:dyDescent="0.25">
      <c r="A560" s="1">
        <v>556</v>
      </c>
      <c r="B560" s="1" t="s">
        <v>672</v>
      </c>
      <c r="C560" s="32">
        <v>5185</v>
      </c>
      <c r="D560" s="1">
        <v>20000</v>
      </c>
      <c r="E560" s="1" t="s">
        <v>80</v>
      </c>
      <c r="F560" s="1">
        <v>222.82</v>
      </c>
      <c r="G560" s="1">
        <v>20000</v>
      </c>
      <c r="H560" s="1">
        <f t="shared" si="9"/>
        <v>0</v>
      </c>
      <c r="I560" s="89"/>
      <c r="J560" s="89"/>
      <c r="K560" s="388"/>
      <c r="L560" s="48"/>
      <c r="M560" s="48"/>
      <c r="N560" s="370"/>
      <c r="O560" s="48"/>
    </row>
    <row r="561" spans="1:15" s="414" customFormat="1" ht="15" x14ac:dyDescent="0.25">
      <c r="A561" s="1">
        <v>557</v>
      </c>
      <c r="B561" s="1" t="s">
        <v>672</v>
      </c>
      <c r="C561" s="32">
        <v>6459</v>
      </c>
      <c r="D561" s="1">
        <v>32000</v>
      </c>
      <c r="E561" s="1" t="s">
        <v>80</v>
      </c>
      <c r="F561" s="1">
        <v>356.57</v>
      </c>
      <c r="G561" s="1">
        <v>32000</v>
      </c>
      <c r="H561" s="1">
        <f t="shared" si="9"/>
        <v>0</v>
      </c>
      <c r="I561" s="89"/>
      <c r="J561" s="89"/>
      <c r="K561" s="388"/>
      <c r="L561" s="48"/>
      <c r="M561" s="48"/>
      <c r="N561" s="370"/>
      <c r="O561" s="48"/>
    </row>
    <row r="562" spans="1:15" s="414" customFormat="1" ht="15" x14ac:dyDescent="0.25">
      <c r="A562" s="1">
        <v>558</v>
      </c>
      <c r="B562" s="1" t="s">
        <v>672</v>
      </c>
      <c r="C562" s="32">
        <v>9543</v>
      </c>
      <c r="D562" s="1">
        <v>23000</v>
      </c>
      <c r="E562" s="1" t="s">
        <v>80</v>
      </c>
      <c r="F562" s="1">
        <v>238.72</v>
      </c>
      <c r="G562" s="1">
        <v>23000</v>
      </c>
      <c r="H562" s="1">
        <f t="shared" si="9"/>
        <v>0</v>
      </c>
      <c r="I562" s="89"/>
      <c r="J562" s="89"/>
      <c r="K562" s="388"/>
      <c r="L562" s="48"/>
      <c r="M562" s="48"/>
      <c r="N562" s="370"/>
      <c r="O562" s="48"/>
    </row>
    <row r="563" spans="1:15" s="414" customFormat="1" ht="15" x14ac:dyDescent="0.25">
      <c r="A563" s="1">
        <v>559</v>
      </c>
      <c r="B563" s="1" t="s">
        <v>672</v>
      </c>
      <c r="C563" s="32">
        <v>8360</v>
      </c>
      <c r="D563" s="1">
        <v>21000</v>
      </c>
      <c r="E563" s="1" t="s">
        <v>80</v>
      </c>
      <c r="F563" s="1">
        <v>219.87</v>
      </c>
      <c r="G563" s="1">
        <v>21000</v>
      </c>
      <c r="H563" s="1">
        <f t="shared" si="9"/>
        <v>0</v>
      </c>
      <c r="I563" s="89"/>
      <c r="J563" s="89"/>
      <c r="K563" s="388"/>
      <c r="L563" s="48"/>
      <c r="M563" s="48"/>
      <c r="N563" s="370"/>
      <c r="O563" s="48"/>
    </row>
    <row r="564" spans="1:15" s="414" customFormat="1" ht="15.75" thickBot="1" x14ac:dyDescent="0.3">
      <c r="A564" s="1">
        <v>560</v>
      </c>
      <c r="B564" s="1" t="s">
        <v>672</v>
      </c>
      <c r="C564" s="32">
        <v>4805</v>
      </c>
      <c r="D564" s="1">
        <v>26000</v>
      </c>
      <c r="E564" s="1" t="s">
        <v>80</v>
      </c>
      <c r="F564" s="1">
        <v>289.83999999999997</v>
      </c>
      <c r="G564" s="1">
        <v>26000</v>
      </c>
      <c r="H564" s="1">
        <f t="shared" si="9"/>
        <v>0</v>
      </c>
      <c r="I564" s="89"/>
      <c r="J564" s="89"/>
      <c r="K564" s="388"/>
      <c r="L564" s="48"/>
      <c r="M564" s="48"/>
      <c r="N564" s="370"/>
      <c r="O564" s="48"/>
    </row>
    <row r="565" spans="1:15" s="414" customFormat="1" ht="15.75" thickBot="1" x14ac:dyDescent="0.3">
      <c r="A565" s="1">
        <v>561</v>
      </c>
      <c r="B565" s="1" t="s">
        <v>672</v>
      </c>
      <c r="C565" s="32">
        <v>4251</v>
      </c>
      <c r="D565" s="1">
        <v>30000</v>
      </c>
      <c r="E565" s="1" t="s">
        <v>80</v>
      </c>
      <c r="F565" s="1">
        <v>334.82</v>
      </c>
      <c r="G565" s="1">
        <v>30000</v>
      </c>
      <c r="H565" s="1">
        <f t="shared" si="9"/>
        <v>0</v>
      </c>
      <c r="I565" s="89"/>
      <c r="J565" s="89"/>
      <c r="K565" s="103">
        <f>2238006-2231413</f>
        <v>6593</v>
      </c>
      <c r="L565" s="359" t="s">
        <v>667</v>
      </c>
      <c r="M565" s="359">
        <v>10319</v>
      </c>
      <c r="N565" s="367" t="s">
        <v>620</v>
      </c>
      <c r="O565" s="360">
        <f>10319-6593</f>
        <v>3726</v>
      </c>
    </row>
    <row r="566" spans="1:15" s="415" customFormat="1" ht="15" x14ac:dyDescent="0.25">
      <c r="A566" s="1">
        <v>562</v>
      </c>
      <c r="B566" s="1" t="s">
        <v>673</v>
      </c>
      <c r="C566" s="32">
        <v>6311</v>
      </c>
      <c r="D566" s="1">
        <v>26000</v>
      </c>
      <c r="E566" s="1" t="s">
        <v>80</v>
      </c>
      <c r="F566" s="1">
        <v>289.57</v>
      </c>
      <c r="G566" s="1">
        <v>26000</v>
      </c>
      <c r="H566" s="1">
        <f t="shared" si="9"/>
        <v>0</v>
      </c>
      <c r="I566" s="89"/>
      <c r="J566" s="89"/>
      <c r="K566" s="388"/>
      <c r="L566" s="48"/>
      <c r="M566" s="48"/>
      <c r="N566" s="370"/>
      <c r="O566" s="48"/>
    </row>
    <row r="567" spans="1:15" s="415" customFormat="1" ht="15" x14ac:dyDescent="0.25">
      <c r="A567" s="1">
        <v>563</v>
      </c>
      <c r="B567" s="1" t="s">
        <v>673</v>
      </c>
      <c r="C567" s="32">
        <v>5.1000000000000004E-3</v>
      </c>
      <c r="D567" s="1">
        <v>16000</v>
      </c>
      <c r="E567" s="1" t="s">
        <v>80</v>
      </c>
      <c r="F567" s="1">
        <v>178.22</v>
      </c>
      <c r="G567" s="1">
        <v>16000</v>
      </c>
      <c r="H567" s="1">
        <f t="shared" si="9"/>
        <v>0</v>
      </c>
      <c r="I567" s="89"/>
      <c r="J567" s="89"/>
      <c r="K567" s="388"/>
      <c r="L567" s="48"/>
      <c r="M567" s="48"/>
      <c r="N567" s="370"/>
      <c r="O567" s="48"/>
    </row>
    <row r="568" spans="1:15" s="415" customFormat="1" ht="15" x14ac:dyDescent="0.25">
      <c r="A568" s="1">
        <v>564</v>
      </c>
      <c r="B568" s="1" t="s">
        <v>673</v>
      </c>
      <c r="C568" s="32" t="s">
        <v>634</v>
      </c>
      <c r="D568" s="1">
        <v>2000</v>
      </c>
      <c r="E568" s="1" t="s">
        <v>80</v>
      </c>
      <c r="F568" s="1">
        <v>22.87</v>
      </c>
      <c r="G568" s="1">
        <v>2000</v>
      </c>
      <c r="H568" s="1">
        <f t="shared" si="9"/>
        <v>0</v>
      </c>
      <c r="I568" s="89"/>
      <c r="J568" s="89"/>
      <c r="K568" s="388"/>
      <c r="L568" s="48"/>
      <c r="M568" s="48"/>
      <c r="N568" s="370"/>
      <c r="O568" s="48"/>
    </row>
    <row r="569" spans="1:15" s="415" customFormat="1" ht="15" x14ac:dyDescent="0.25">
      <c r="A569" s="1">
        <v>565</v>
      </c>
      <c r="B569" s="1" t="s">
        <v>673</v>
      </c>
      <c r="C569" s="32" t="s">
        <v>30</v>
      </c>
      <c r="D569" s="1">
        <v>4500</v>
      </c>
      <c r="E569" s="1" t="s">
        <v>80</v>
      </c>
      <c r="F569" s="1">
        <v>50.55</v>
      </c>
      <c r="G569" s="1">
        <v>4500</v>
      </c>
      <c r="H569" s="1">
        <f t="shared" si="9"/>
        <v>0</v>
      </c>
      <c r="I569" s="89"/>
      <c r="J569" s="89"/>
      <c r="K569" s="388"/>
      <c r="L569" s="48"/>
      <c r="M569" s="48"/>
      <c r="N569" s="370"/>
      <c r="O569" s="48"/>
    </row>
    <row r="570" spans="1:15" s="415" customFormat="1" ht="15" x14ac:dyDescent="0.25">
      <c r="A570" s="1">
        <v>566</v>
      </c>
      <c r="B570" s="1" t="s">
        <v>673</v>
      </c>
      <c r="C570" s="32">
        <v>5252</v>
      </c>
      <c r="D570" s="1">
        <v>15000</v>
      </c>
      <c r="E570" s="1" t="s">
        <v>80</v>
      </c>
      <c r="F570" s="1">
        <v>167.15</v>
      </c>
      <c r="G570" s="1">
        <v>15000</v>
      </c>
      <c r="H570" s="1">
        <f t="shared" si="9"/>
        <v>0</v>
      </c>
      <c r="I570" s="89"/>
      <c r="J570" s="89"/>
      <c r="K570" s="388"/>
      <c r="L570" s="48"/>
      <c r="M570" s="48"/>
      <c r="N570" s="370"/>
      <c r="O570" s="48"/>
    </row>
    <row r="571" spans="1:15" s="415" customFormat="1" ht="15" x14ac:dyDescent="0.25">
      <c r="A571" s="1">
        <v>567</v>
      </c>
      <c r="B571" s="1" t="s">
        <v>673</v>
      </c>
      <c r="C571" s="32">
        <v>1467</v>
      </c>
      <c r="D571" s="1">
        <v>17000</v>
      </c>
      <c r="E571" s="1" t="s">
        <v>80</v>
      </c>
      <c r="F571" s="1">
        <v>189.74</v>
      </c>
      <c r="G571" s="1">
        <v>17000</v>
      </c>
      <c r="H571" s="1">
        <f t="shared" si="9"/>
        <v>0</v>
      </c>
      <c r="I571" s="89"/>
      <c r="J571" s="89"/>
      <c r="K571" s="388"/>
      <c r="L571" s="48"/>
      <c r="M571" s="48"/>
      <c r="N571" s="370"/>
      <c r="O571" s="48"/>
    </row>
    <row r="572" spans="1:15" s="415" customFormat="1" ht="15" x14ac:dyDescent="0.25">
      <c r="A572" s="1">
        <v>568</v>
      </c>
      <c r="B572" s="1" t="s">
        <v>673</v>
      </c>
      <c r="C572" s="32">
        <v>4396</v>
      </c>
      <c r="D572" s="1">
        <v>23000</v>
      </c>
      <c r="E572" s="1" t="s">
        <v>80</v>
      </c>
      <c r="F572" s="1">
        <v>256.85000000000002</v>
      </c>
      <c r="G572" s="1">
        <v>23000</v>
      </c>
      <c r="H572" s="1">
        <f t="shared" si="9"/>
        <v>0</v>
      </c>
      <c r="I572" s="89"/>
      <c r="J572" s="89"/>
      <c r="K572" s="388"/>
      <c r="L572" s="48"/>
      <c r="M572" s="48"/>
      <c r="N572" s="370"/>
      <c r="O572" s="48"/>
    </row>
    <row r="573" spans="1:15" s="415" customFormat="1" ht="15" x14ac:dyDescent="0.25">
      <c r="A573" s="1">
        <v>569</v>
      </c>
      <c r="B573" s="1" t="s">
        <v>673</v>
      </c>
      <c r="C573" s="32" t="s">
        <v>674</v>
      </c>
      <c r="D573" s="1">
        <v>20000</v>
      </c>
      <c r="E573" s="1" t="s">
        <v>80</v>
      </c>
      <c r="F573" s="1">
        <v>222.82</v>
      </c>
      <c r="G573" s="1">
        <v>20000</v>
      </c>
      <c r="H573" s="1">
        <f t="shared" si="9"/>
        <v>0</v>
      </c>
      <c r="I573" s="89"/>
      <c r="J573" s="89"/>
      <c r="K573" s="388"/>
      <c r="L573" s="48"/>
      <c r="M573" s="48"/>
      <c r="N573" s="370"/>
      <c r="O573" s="48"/>
    </row>
    <row r="574" spans="1:15" s="415" customFormat="1" ht="15" x14ac:dyDescent="0.25">
      <c r="A574" s="1">
        <v>570</v>
      </c>
      <c r="B574" s="1" t="s">
        <v>673</v>
      </c>
      <c r="C574" s="32" t="s">
        <v>675</v>
      </c>
      <c r="D574" s="1">
        <v>20000</v>
      </c>
      <c r="E574" s="1" t="s">
        <v>80</v>
      </c>
      <c r="F574" s="1">
        <v>222.82</v>
      </c>
      <c r="G574" s="1">
        <v>20000</v>
      </c>
      <c r="H574" s="1">
        <f t="shared" si="9"/>
        <v>0</v>
      </c>
      <c r="I574" s="89"/>
      <c r="J574" s="89"/>
      <c r="K574" s="388"/>
      <c r="L574" s="48"/>
      <c r="M574" s="48"/>
      <c r="N574" s="370"/>
      <c r="O574" s="48"/>
    </row>
    <row r="575" spans="1:15" s="415" customFormat="1" ht="15" x14ac:dyDescent="0.25">
      <c r="A575" s="1">
        <v>571</v>
      </c>
      <c r="B575" s="1" t="s">
        <v>673</v>
      </c>
      <c r="C575" s="32">
        <v>3597</v>
      </c>
      <c r="D575" s="1">
        <v>30000</v>
      </c>
      <c r="E575" s="1" t="s">
        <v>80</v>
      </c>
      <c r="F575" s="1">
        <v>334.82</v>
      </c>
      <c r="G575" s="1">
        <v>30000</v>
      </c>
      <c r="H575" s="1">
        <f t="shared" si="9"/>
        <v>0</v>
      </c>
      <c r="I575" s="89"/>
      <c r="J575" s="89"/>
      <c r="K575" s="388"/>
      <c r="L575" s="48"/>
      <c r="M575" s="48"/>
      <c r="N575" s="370"/>
      <c r="O575" s="48"/>
    </row>
    <row r="576" spans="1:15" s="415" customFormat="1" ht="15" x14ac:dyDescent="0.25">
      <c r="A576" s="1">
        <v>572</v>
      </c>
      <c r="B576" s="1" t="s">
        <v>673</v>
      </c>
      <c r="C576" s="32">
        <v>9261</v>
      </c>
      <c r="D576" s="1">
        <v>20000</v>
      </c>
      <c r="E576" s="1" t="s">
        <v>80</v>
      </c>
      <c r="F576" s="1">
        <v>222.82</v>
      </c>
      <c r="G576" s="1">
        <v>20000</v>
      </c>
      <c r="H576" s="1">
        <f t="shared" si="9"/>
        <v>0</v>
      </c>
      <c r="I576" s="89"/>
      <c r="J576" s="89"/>
      <c r="K576" s="388"/>
      <c r="L576" s="48"/>
      <c r="M576" s="48"/>
      <c r="N576" s="370"/>
      <c r="O576" s="48"/>
    </row>
    <row r="577" spans="1:15" s="415" customFormat="1" ht="15" x14ac:dyDescent="0.25">
      <c r="A577" s="1">
        <v>573</v>
      </c>
      <c r="B577" s="1" t="s">
        <v>673</v>
      </c>
      <c r="C577" s="32">
        <v>2519</v>
      </c>
      <c r="D577" s="1">
        <v>28000</v>
      </c>
      <c r="E577" s="1" t="s">
        <v>80</v>
      </c>
      <c r="F577" s="1">
        <v>311.74</v>
      </c>
      <c r="G577" s="1">
        <v>28000</v>
      </c>
      <c r="H577" s="1">
        <f t="shared" si="9"/>
        <v>0</v>
      </c>
      <c r="I577" s="89"/>
      <c r="J577" s="89"/>
      <c r="K577" s="388"/>
      <c r="L577" s="48"/>
      <c r="M577" s="48"/>
      <c r="N577" s="370"/>
      <c r="O577" s="48"/>
    </row>
    <row r="578" spans="1:15" s="415" customFormat="1" ht="15" x14ac:dyDescent="0.25">
      <c r="A578" s="1">
        <v>574</v>
      </c>
      <c r="B578" s="1" t="s">
        <v>673</v>
      </c>
      <c r="C578" s="32">
        <v>3415</v>
      </c>
      <c r="D578" s="1">
        <v>15000</v>
      </c>
      <c r="E578" s="1" t="s">
        <v>80</v>
      </c>
      <c r="F578" s="1">
        <v>167.15</v>
      </c>
      <c r="G578" s="1">
        <v>15000</v>
      </c>
      <c r="H578" s="1">
        <f t="shared" si="9"/>
        <v>0</v>
      </c>
      <c r="I578" s="89"/>
      <c r="J578" s="89"/>
      <c r="K578" s="388"/>
      <c r="L578" s="48"/>
      <c r="M578" s="48"/>
      <c r="N578" s="370"/>
      <c r="O578" s="48"/>
    </row>
    <row r="579" spans="1:15" s="415" customFormat="1" ht="15" x14ac:dyDescent="0.25">
      <c r="A579" s="1">
        <v>575</v>
      </c>
      <c r="B579" s="1" t="s">
        <v>673</v>
      </c>
      <c r="C579" s="32">
        <v>3651</v>
      </c>
      <c r="D579" s="1">
        <v>25000</v>
      </c>
      <c r="E579" s="1" t="s">
        <v>80</v>
      </c>
      <c r="F579" s="1">
        <v>278.22000000000003</v>
      </c>
      <c r="G579" s="1">
        <v>25000</v>
      </c>
      <c r="H579" s="1">
        <f t="shared" si="9"/>
        <v>0</v>
      </c>
      <c r="I579" s="89"/>
      <c r="J579" s="89"/>
      <c r="K579" s="388"/>
      <c r="L579" s="48"/>
      <c r="M579" s="48"/>
      <c r="N579" s="370"/>
      <c r="O579" s="48"/>
    </row>
    <row r="580" spans="1:15" s="415" customFormat="1" ht="15" x14ac:dyDescent="0.25">
      <c r="A580" s="1">
        <v>576</v>
      </c>
      <c r="B580" s="1" t="s">
        <v>673</v>
      </c>
      <c r="C580" s="32">
        <v>4115</v>
      </c>
      <c r="D580" s="1">
        <v>25000</v>
      </c>
      <c r="E580" s="1" t="s">
        <v>80</v>
      </c>
      <c r="F580" s="1">
        <v>278.22000000000003</v>
      </c>
      <c r="G580" s="1">
        <v>25000</v>
      </c>
      <c r="H580" s="1">
        <f t="shared" si="9"/>
        <v>0</v>
      </c>
      <c r="I580" s="89"/>
      <c r="J580" s="89"/>
      <c r="K580" s="388"/>
      <c r="L580" s="48"/>
      <c r="M580" s="48"/>
      <c r="N580" s="370"/>
      <c r="O580" s="48"/>
    </row>
    <row r="581" spans="1:15" s="415" customFormat="1" ht="15.75" thickBot="1" x14ac:dyDescent="0.3">
      <c r="A581" s="1">
        <v>577</v>
      </c>
      <c r="B581" s="1" t="s">
        <v>673</v>
      </c>
      <c r="C581" s="32">
        <v>4451</v>
      </c>
      <c r="D581" s="1">
        <v>10000</v>
      </c>
      <c r="E581" s="1" t="s">
        <v>80</v>
      </c>
      <c r="F581" s="1">
        <v>111.41</v>
      </c>
      <c r="G581" s="1">
        <v>10000</v>
      </c>
      <c r="H581" s="1">
        <f t="shared" si="9"/>
        <v>0</v>
      </c>
      <c r="I581" s="89"/>
      <c r="J581" s="89"/>
      <c r="K581" s="388"/>
      <c r="L581" s="48"/>
      <c r="M581" s="48"/>
      <c r="N581" s="370"/>
      <c r="O581" s="48"/>
    </row>
    <row r="582" spans="1:15" s="415" customFormat="1" ht="15.75" thickBot="1" x14ac:dyDescent="0.3">
      <c r="A582" s="1">
        <v>578</v>
      </c>
      <c r="B582" s="1" t="s">
        <v>673</v>
      </c>
      <c r="C582" s="32" t="s">
        <v>633</v>
      </c>
      <c r="D582" s="1">
        <v>100</v>
      </c>
      <c r="E582" s="1" t="s">
        <v>80</v>
      </c>
      <c r="F582" s="1">
        <v>1.08</v>
      </c>
      <c r="G582" s="1">
        <v>100</v>
      </c>
      <c r="H582" s="1">
        <f t="shared" si="9"/>
        <v>0</v>
      </c>
      <c r="I582" s="89"/>
      <c r="J582" s="89"/>
      <c r="K582" s="103">
        <f>2234606-2228013</f>
        <v>6593</v>
      </c>
      <c r="L582" s="359" t="s">
        <v>667</v>
      </c>
      <c r="M582" s="359">
        <v>10319</v>
      </c>
      <c r="N582" s="367" t="s">
        <v>620</v>
      </c>
      <c r="O582" s="360">
        <f>10319-6593</f>
        <v>3726</v>
      </c>
    </row>
    <row r="583" spans="1:15" ht="15" x14ac:dyDescent="0.25">
      <c r="A583" s="1" t="s">
        <v>640</v>
      </c>
      <c r="B583" s="1"/>
      <c r="C583" s="20" t="s">
        <v>9</v>
      </c>
      <c r="D583" s="21">
        <f>SUM(D5:D582)</f>
        <v>13577213</v>
      </c>
      <c r="E583" s="22"/>
      <c r="F583" s="23">
        <f>SUM(F7:F582)</f>
        <v>121305.39000000042</v>
      </c>
      <c r="G583" s="21">
        <f>SUM(G5:G582)</f>
        <v>13577213</v>
      </c>
      <c r="H583" s="22"/>
      <c r="I583" s="24">
        <f>SUM(I7:I50)</f>
        <v>11349200</v>
      </c>
      <c r="J583" s="1"/>
    </row>
    <row r="584" spans="1:15" ht="15" x14ac:dyDescent="0.25">
      <c r="A584" s="44"/>
      <c r="B584" s="1"/>
      <c r="C584" s="20" t="s">
        <v>10</v>
      </c>
      <c r="D584" s="25">
        <f>SUM(D583-I583)</f>
        <v>2228013</v>
      </c>
      <c r="E584" s="22"/>
      <c r="F584" s="22"/>
      <c r="G584" s="26" t="s">
        <v>10</v>
      </c>
      <c r="H584" s="25">
        <f>SUM(G583-I583)</f>
        <v>2228013</v>
      </c>
      <c r="I584" s="25"/>
      <c r="J584" s="1"/>
    </row>
    <row r="585" spans="1:15" x14ac:dyDescent="0.2">
      <c r="A585" s="385"/>
      <c r="B585" s="385"/>
      <c r="C585" s="385"/>
      <c r="D585" s="385"/>
      <c r="E585" s="385"/>
      <c r="F585" s="385"/>
      <c r="G585" s="385"/>
      <c r="H585" s="385"/>
      <c r="I585" s="385"/>
      <c r="J585" s="385"/>
    </row>
    <row r="586" spans="1:15" ht="15" thickBot="1" x14ac:dyDescent="0.25">
      <c r="A586" s="385"/>
      <c r="B586" s="385"/>
      <c r="C586" s="403"/>
      <c r="D586" s="403"/>
      <c r="E586" s="403"/>
      <c r="F586" s="403"/>
      <c r="G586" s="403"/>
      <c r="H586" s="403"/>
      <c r="I586" s="403"/>
      <c r="J586" s="385"/>
    </row>
    <row r="587" spans="1:15" ht="15" x14ac:dyDescent="0.25">
      <c r="A587" s="385"/>
      <c r="B587" s="385"/>
      <c r="C587" s="199"/>
      <c r="D587" s="197" t="s">
        <v>678</v>
      </c>
      <c r="E587" s="179"/>
      <c r="F587" s="179"/>
      <c r="G587" s="179"/>
      <c r="H587" s="75"/>
      <c r="I587" s="76"/>
      <c r="J587" s="385"/>
    </row>
    <row r="588" spans="1:15" ht="15.75" thickBot="1" x14ac:dyDescent="0.3">
      <c r="A588" s="385"/>
      <c r="B588" s="385"/>
      <c r="C588" s="200" t="s">
        <v>423</v>
      </c>
      <c r="D588" s="198"/>
      <c r="E588" s="181"/>
      <c r="F588" s="181" t="s">
        <v>186</v>
      </c>
      <c r="G588" s="181"/>
      <c r="H588" s="183"/>
      <c r="I588" s="184"/>
      <c r="J588" s="385"/>
    </row>
    <row r="589" spans="1:15" ht="15" x14ac:dyDescent="0.25">
      <c r="A589" s="385"/>
      <c r="B589" s="385"/>
      <c r="C589" s="91" t="s">
        <v>184</v>
      </c>
      <c r="D589" s="90">
        <v>13577213</v>
      </c>
      <c r="E589" s="90"/>
      <c r="F589" s="90" t="s">
        <v>187</v>
      </c>
      <c r="G589" s="90">
        <v>13613470</v>
      </c>
      <c r="H589" s="90" t="s">
        <v>364</v>
      </c>
      <c r="I589" s="187">
        <f>16615139-16602176</f>
        <v>12963</v>
      </c>
      <c r="J589" s="385"/>
    </row>
    <row r="590" spans="1:15" ht="15" x14ac:dyDescent="0.25">
      <c r="A590" s="385"/>
      <c r="B590" s="385"/>
      <c r="C590" s="93" t="s">
        <v>143</v>
      </c>
      <c r="D590" s="42">
        <v>11349200</v>
      </c>
      <c r="E590" s="42"/>
      <c r="F590" s="42" t="s">
        <v>191</v>
      </c>
      <c r="G590" s="42">
        <v>11376814</v>
      </c>
      <c r="H590" s="42" t="s">
        <v>365</v>
      </c>
      <c r="I590" s="188">
        <f>14000000-13978708</f>
        <v>21292</v>
      </c>
      <c r="J590" s="385"/>
    </row>
    <row r="591" spans="1:15" ht="18.75" x14ac:dyDescent="0.3">
      <c r="A591" s="385"/>
      <c r="B591" s="385"/>
      <c r="C591" s="189" t="s">
        <v>95</v>
      </c>
      <c r="D591" s="89">
        <f>13577213-11349200</f>
        <v>2228013</v>
      </c>
      <c r="E591" s="89"/>
      <c r="F591" s="89" t="s">
        <v>95</v>
      </c>
      <c r="G591" s="89">
        <f>13613470-11376814</f>
        <v>2236656</v>
      </c>
      <c r="H591" s="89" t="s">
        <v>390</v>
      </c>
      <c r="I591" s="201">
        <f>2236656-2228013</f>
        <v>8643</v>
      </c>
      <c r="J591" s="385"/>
    </row>
    <row r="592" spans="1:15" s="403" customFormat="1" ht="19.5" thickBot="1" x14ac:dyDescent="0.35">
      <c r="C592" s="202"/>
      <c r="D592" s="203"/>
      <c r="E592" s="203"/>
      <c r="F592" s="204"/>
      <c r="G592" s="204"/>
      <c r="H592" s="204" t="s">
        <v>421</v>
      </c>
      <c r="I592" s="205">
        <v>10319</v>
      </c>
    </row>
    <row r="593" spans="1:12" ht="18.75" thickBot="1" x14ac:dyDescent="0.3">
      <c r="A593" s="385"/>
      <c r="B593" s="385"/>
      <c r="C593" s="206"/>
      <c r="D593" s="207"/>
      <c r="E593" s="207"/>
      <c r="F593" s="208" t="s">
        <v>192</v>
      </c>
      <c r="G593" s="208"/>
      <c r="H593" s="208"/>
      <c r="I593" s="209">
        <f>10319-8643</f>
        <v>1676</v>
      </c>
      <c r="J593" s="385"/>
    </row>
    <row r="594" spans="1:12" x14ac:dyDescent="0.2">
      <c r="A594" s="385"/>
      <c r="B594" s="385"/>
      <c r="C594" s="385"/>
      <c r="D594" s="385"/>
      <c r="E594" s="385"/>
      <c r="F594" s="385"/>
      <c r="G594" s="385"/>
      <c r="H594" s="385"/>
      <c r="I594" s="385"/>
      <c r="J594" s="385"/>
    </row>
    <row r="595" spans="1:12" x14ac:dyDescent="0.2">
      <c r="A595" s="385"/>
      <c r="B595" s="385"/>
      <c r="C595" s="385"/>
      <c r="D595" s="385"/>
      <c r="E595" s="385"/>
      <c r="F595" s="385"/>
      <c r="G595" s="385"/>
      <c r="H595" s="385"/>
      <c r="I595" s="385"/>
      <c r="J595" s="385"/>
    </row>
    <row r="596" spans="1:12" x14ac:dyDescent="0.2">
      <c r="A596" s="385"/>
      <c r="B596" s="385"/>
      <c r="C596" s="385"/>
      <c r="D596" s="385"/>
      <c r="E596" s="385"/>
      <c r="F596" s="385"/>
      <c r="G596" s="385"/>
      <c r="H596" s="385"/>
      <c r="I596" s="385"/>
      <c r="J596" s="385"/>
    </row>
    <row r="597" spans="1:12" x14ac:dyDescent="0.2">
      <c r="A597" s="385"/>
      <c r="B597" s="385"/>
      <c r="C597" s="385"/>
      <c r="D597" s="385"/>
      <c r="E597" s="385"/>
      <c r="F597" s="385"/>
      <c r="G597" s="385"/>
      <c r="H597" s="385"/>
      <c r="I597" s="385"/>
      <c r="J597" s="385"/>
      <c r="L597">
        <v>2255286</v>
      </c>
    </row>
    <row r="598" spans="1:12" x14ac:dyDescent="0.2">
      <c r="A598" s="385"/>
      <c r="B598" s="385"/>
      <c r="C598" s="385"/>
      <c r="D598" s="385"/>
      <c r="E598" s="385"/>
      <c r="F598" s="385"/>
      <c r="G598" s="385"/>
      <c r="H598" s="385"/>
      <c r="I598" s="385"/>
      <c r="J598" s="385"/>
    </row>
    <row r="599" spans="1:12" x14ac:dyDescent="0.2">
      <c r="A599" s="385"/>
      <c r="B599" s="385"/>
      <c r="C599" s="385"/>
      <c r="D599" s="385"/>
      <c r="E599" s="385"/>
      <c r="F599" s="385"/>
      <c r="G599" s="385"/>
      <c r="H599" s="385"/>
      <c r="I599" s="385"/>
      <c r="J599" s="385"/>
    </row>
    <row r="600" spans="1:12" x14ac:dyDescent="0.2">
      <c r="A600" s="385"/>
      <c r="B600" s="385"/>
      <c r="C600" s="385"/>
      <c r="D600" s="385"/>
      <c r="E600" s="385"/>
      <c r="F600" s="385"/>
      <c r="G600" s="385"/>
      <c r="H600" s="385"/>
      <c r="I600" s="385"/>
      <c r="J600" s="385"/>
    </row>
    <row r="601" spans="1:12" x14ac:dyDescent="0.2">
      <c r="A601" s="385"/>
      <c r="B601" s="385"/>
      <c r="C601" s="385"/>
      <c r="D601" s="385"/>
      <c r="E601" s="385"/>
      <c r="F601" s="385"/>
      <c r="G601" s="385"/>
      <c r="H601" s="385"/>
      <c r="I601" s="385"/>
      <c r="J601" s="385"/>
    </row>
    <row r="602" spans="1:12" x14ac:dyDescent="0.2">
      <c r="A602" s="385"/>
      <c r="B602" s="385"/>
      <c r="C602" s="385"/>
      <c r="D602" s="385"/>
      <c r="E602" s="385"/>
      <c r="F602" s="385"/>
      <c r="G602" s="385"/>
      <c r="H602" s="385"/>
      <c r="I602" s="385"/>
      <c r="J602" s="385"/>
    </row>
    <row r="603" spans="1:12" x14ac:dyDescent="0.2">
      <c r="A603" s="385"/>
      <c r="B603" s="385"/>
      <c r="C603" s="385"/>
      <c r="D603" s="385"/>
      <c r="E603" s="385"/>
      <c r="F603" s="385"/>
      <c r="G603" s="385"/>
      <c r="H603" s="385"/>
      <c r="I603" s="385"/>
      <c r="J603" s="385"/>
    </row>
    <row r="604" spans="1:12" x14ac:dyDescent="0.2">
      <c r="A604" s="385"/>
      <c r="B604" s="385"/>
      <c r="C604" s="385"/>
      <c r="D604" s="385"/>
      <c r="E604" s="385"/>
      <c r="F604" s="385"/>
      <c r="G604" s="385"/>
      <c r="H604" s="385"/>
      <c r="I604" s="385"/>
      <c r="J604" s="385"/>
    </row>
    <row r="605" spans="1:12" x14ac:dyDescent="0.2">
      <c r="A605" s="385"/>
      <c r="B605" s="385"/>
      <c r="C605" s="385"/>
      <c r="D605" s="385"/>
      <c r="E605" s="385"/>
      <c r="F605" s="385"/>
      <c r="G605" s="385"/>
      <c r="H605" s="385"/>
      <c r="I605" s="385"/>
      <c r="J605" s="385"/>
    </row>
    <row r="606" spans="1:12" x14ac:dyDescent="0.2">
      <c r="A606" s="385"/>
      <c r="B606" s="385"/>
      <c r="C606" s="385"/>
      <c r="D606" s="385"/>
      <c r="E606" s="385"/>
      <c r="F606" s="385"/>
      <c r="G606" s="385"/>
      <c r="H606" s="385"/>
      <c r="I606" s="385"/>
      <c r="J606" s="385"/>
    </row>
    <row r="607" spans="1:12" x14ac:dyDescent="0.2">
      <c r="A607" s="385"/>
      <c r="B607" s="385"/>
      <c r="C607" s="385"/>
      <c r="D607" s="385"/>
      <c r="E607" s="385"/>
      <c r="F607" s="385"/>
      <c r="G607" s="385"/>
      <c r="H607" s="385"/>
      <c r="I607" s="385"/>
      <c r="J607" s="385"/>
    </row>
    <row r="608" spans="1:12" x14ac:dyDescent="0.2">
      <c r="A608" s="385"/>
      <c r="B608" s="385"/>
      <c r="C608" s="385"/>
      <c r="D608" s="385"/>
      <c r="E608" s="385"/>
      <c r="F608" s="385"/>
      <c r="G608" s="385"/>
      <c r="H608" s="385"/>
      <c r="I608" s="385"/>
      <c r="J608" s="385"/>
    </row>
    <row r="609" spans="1:10" x14ac:dyDescent="0.2">
      <c r="A609" s="385"/>
      <c r="B609" s="385"/>
      <c r="C609" s="385"/>
      <c r="D609" s="385"/>
      <c r="E609" s="385"/>
      <c r="F609" s="385"/>
      <c r="G609" s="385"/>
      <c r="H609" s="385"/>
      <c r="I609" s="385"/>
      <c r="J609" s="385"/>
    </row>
    <row r="610" spans="1:10" x14ac:dyDescent="0.2">
      <c r="A610" s="385"/>
      <c r="B610" s="385"/>
      <c r="C610" s="385"/>
      <c r="D610" s="385"/>
      <c r="E610" s="385"/>
      <c r="F610" s="385"/>
      <c r="G610" s="385"/>
      <c r="H610" s="385"/>
      <c r="I610" s="385"/>
      <c r="J610" s="385"/>
    </row>
    <row r="611" spans="1:10" x14ac:dyDescent="0.2">
      <c r="A611" s="385"/>
      <c r="B611" s="385"/>
      <c r="C611" s="385"/>
      <c r="D611" s="385"/>
      <c r="E611" s="385"/>
      <c r="F611" s="385"/>
      <c r="G611" s="385"/>
      <c r="H611" s="385"/>
      <c r="I611" s="385"/>
      <c r="J611" s="385"/>
    </row>
    <row r="612" spans="1:10" x14ac:dyDescent="0.2">
      <c r="A612" s="385"/>
      <c r="B612" s="385"/>
      <c r="C612" s="385"/>
      <c r="D612" s="385"/>
      <c r="E612" s="385"/>
      <c r="F612" s="385"/>
      <c r="G612" s="385"/>
      <c r="H612" s="385"/>
      <c r="I612" s="385"/>
      <c r="J612" s="385"/>
    </row>
    <row r="613" spans="1:10" x14ac:dyDescent="0.2">
      <c r="A613" s="385"/>
      <c r="B613" s="385"/>
      <c r="C613" s="385"/>
      <c r="D613" s="385"/>
      <c r="E613" s="385"/>
      <c r="F613" s="385"/>
      <c r="G613" s="385"/>
      <c r="H613" s="385"/>
      <c r="I613" s="385"/>
      <c r="J613" s="385"/>
    </row>
    <row r="614" spans="1:10" x14ac:dyDescent="0.2">
      <c r="A614" s="385"/>
      <c r="B614" s="385"/>
      <c r="C614" s="385"/>
      <c r="D614" s="385"/>
      <c r="E614" s="385"/>
      <c r="F614" s="385"/>
      <c r="G614" s="385"/>
      <c r="H614" s="385"/>
      <c r="I614" s="385"/>
      <c r="J614" s="385"/>
    </row>
    <row r="615" spans="1:10" x14ac:dyDescent="0.2">
      <c r="A615" s="385"/>
      <c r="B615" s="385"/>
      <c r="C615" s="385"/>
      <c r="D615" s="385"/>
      <c r="E615" s="385"/>
      <c r="F615" s="385"/>
      <c r="G615" s="385"/>
      <c r="H615" s="385"/>
      <c r="I615" s="385"/>
      <c r="J615" s="385"/>
    </row>
    <row r="616" spans="1:10" x14ac:dyDescent="0.2">
      <c r="A616" s="385"/>
      <c r="B616" s="385"/>
      <c r="C616" s="385"/>
      <c r="D616" s="385"/>
      <c r="E616" s="385"/>
      <c r="F616" s="385"/>
      <c r="G616" s="385"/>
      <c r="H616" s="385"/>
      <c r="I616" s="385"/>
      <c r="J616" s="385"/>
    </row>
    <row r="617" spans="1:10" x14ac:dyDescent="0.2">
      <c r="A617" s="385"/>
      <c r="B617" s="385"/>
      <c r="C617" s="385"/>
      <c r="D617" s="385"/>
      <c r="E617" s="385"/>
      <c r="F617" s="385"/>
      <c r="G617" s="385"/>
      <c r="H617" s="385"/>
      <c r="I617" s="385"/>
      <c r="J617" s="385"/>
    </row>
    <row r="618" spans="1:10" x14ac:dyDescent="0.2">
      <c r="A618" s="385"/>
      <c r="B618" s="385"/>
      <c r="C618" s="385"/>
      <c r="D618" s="385"/>
      <c r="E618" s="385"/>
      <c r="F618" s="385"/>
      <c r="G618" s="385"/>
      <c r="H618" s="385"/>
      <c r="I618" s="385"/>
      <c r="J618" s="385"/>
    </row>
    <row r="619" spans="1:10" x14ac:dyDescent="0.2">
      <c r="A619" s="385"/>
      <c r="B619" s="385"/>
      <c r="C619" s="385"/>
      <c r="D619" s="385"/>
      <c r="E619" s="385"/>
      <c r="F619" s="385"/>
      <c r="G619" s="385"/>
      <c r="H619" s="385"/>
      <c r="I619" s="385"/>
      <c r="J619" s="385"/>
    </row>
    <row r="620" spans="1:10" x14ac:dyDescent="0.2">
      <c r="A620" s="385"/>
      <c r="B620" s="385"/>
      <c r="C620" s="385"/>
      <c r="D620" s="385"/>
      <c r="E620" s="385"/>
      <c r="F620" s="385"/>
      <c r="G620" s="385"/>
      <c r="H620" s="385"/>
      <c r="I620" s="385"/>
      <c r="J620" s="385"/>
    </row>
    <row r="621" spans="1:10" x14ac:dyDescent="0.2">
      <c r="A621" s="385"/>
      <c r="B621" s="385"/>
      <c r="C621" s="385"/>
      <c r="D621" s="385"/>
      <c r="E621" s="385"/>
      <c r="F621" s="385"/>
      <c r="G621" s="385"/>
      <c r="H621" s="385"/>
      <c r="I621" s="385"/>
      <c r="J621" s="385"/>
    </row>
    <row r="622" spans="1:10" x14ac:dyDescent="0.2">
      <c r="A622" s="385"/>
      <c r="B622" s="385"/>
      <c r="C622" s="385"/>
      <c r="D622" s="385"/>
      <c r="E622" s="385"/>
      <c r="F622" s="385"/>
      <c r="G622" s="385"/>
      <c r="H622" s="385"/>
      <c r="I622" s="385"/>
      <c r="J622" s="385"/>
    </row>
    <row r="623" spans="1:10" x14ac:dyDescent="0.2">
      <c r="A623" s="385"/>
      <c r="B623" s="385"/>
      <c r="C623" s="385"/>
      <c r="D623" s="385"/>
      <c r="E623" s="385"/>
      <c r="F623" s="385"/>
      <c r="G623" s="385"/>
      <c r="H623" s="385"/>
      <c r="I623" s="385"/>
      <c r="J623" s="385"/>
    </row>
    <row r="624" spans="1:10" x14ac:dyDescent="0.2">
      <c r="A624" s="385"/>
      <c r="B624" s="385"/>
      <c r="C624" s="385"/>
      <c r="D624" s="385"/>
      <c r="E624" s="385"/>
      <c r="F624" s="385"/>
      <c r="G624" s="385"/>
      <c r="H624" s="385"/>
      <c r="I624" s="385"/>
      <c r="J624" s="385"/>
    </row>
    <row r="625" spans="1:10" x14ac:dyDescent="0.2">
      <c r="A625" s="385"/>
      <c r="B625" s="385"/>
      <c r="C625" s="385"/>
      <c r="D625" s="385"/>
      <c r="E625" s="385"/>
      <c r="F625" s="385"/>
      <c r="G625" s="385"/>
      <c r="H625" s="385"/>
      <c r="I625" s="385"/>
      <c r="J625" s="385"/>
    </row>
    <row r="626" spans="1:10" x14ac:dyDescent="0.2">
      <c r="A626" s="385"/>
      <c r="B626" s="385"/>
      <c r="C626" s="385"/>
      <c r="D626" s="385"/>
      <c r="E626" s="385"/>
      <c r="F626" s="385"/>
      <c r="G626" s="385"/>
      <c r="H626" s="385"/>
      <c r="I626" s="385"/>
      <c r="J626" s="385"/>
    </row>
    <row r="627" spans="1:10" x14ac:dyDescent="0.2">
      <c r="A627" s="385"/>
      <c r="B627" s="385"/>
      <c r="C627" s="385"/>
      <c r="D627" s="385"/>
      <c r="E627" s="385"/>
      <c r="F627" s="385"/>
      <c r="G627" s="385"/>
      <c r="H627" s="385"/>
      <c r="I627" s="385"/>
      <c r="J627" s="385"/>
    </row>
    <row r="628" spans="1:10" x14ac:dyDescent="0.2">
      <c r="A628" s="385"/>
      <c r="B628" s="385"/>
      <c r="C628" s="385"/>
      <c r="D628" s="385"/>
      <c r="E628" s="385"/>
      <c r="F628" s="385"/>
      <c r="G628" s="385"/>
      <c r="H628" s="385"/>
      <c r="I628" s="385"/>
      <c r="J628" s="385"/>
    </row>
    <row r="629" spans="1:10" x14ac:dyDescent="0.2">
      <c r="A629" s="385"/>
      <c r="B629" s="385"/>
      <c r="C629" s="385"/>
      <c r="D629" s="385"/>
      <c r="E629" s="385"/>
      <c r="F629" s="385"/>
      <c r="G629" s="385"/>
      <c r="H629" s="385"/>
      <c r="I629" s="385"/>
      <c r="J629" s="385"/>
    </row>
    <row r="630" spans="1:10" x14ac:dyDescent="0.2">
      <c r="A630" s="385"/>
      <c r="B630" s="385"/>
      <c r="C630" s="385"/>
      <c r="D630" s="385"/>
      <c r="E630" s="385"/>
      <c r="F630" s="385"/>
      <c r="G630" s="385"/>
      <c r="H630" s="385"/>
      <c r="I630" s="385"/>
      <c r="J630" s="385"/>
    </row>
    <row r="631" spans="1:10" x14ac:dyDescent="0.2">
      <c r="A631" s="385"/>
      <c r="B631" s="385"/>
      <c r="C631" s="385"/>
      <c r="D631" s="385"/>
      <c r="E631" s="385"/>
      <c r="F631" s="385"/>
      <c r="G631" s="385"/>
      <c r="H631" s="385"/>
      <c r="I631" s="385"/>
      <c r="J631" s="385"/>
    </row>
    <row r="632" spans="1:10" x14ac:dyDescent="0.2">
      <c r="A632" s="385"/>
      <c r="B632" s="385"/>
      <c r="C632" s="385"/>
      <c r="D632" s="385"/>
      <c r="E632" s="385"/>
      <c r="F632" s="385"/>
      <c r="G632" s="385"/>
      <c r="H632" s="385"/>
      <c r="I632" s="385"/>
      <c r="J632" s="385"/>
    </row>
    <row r="633" spans="1:10" x14ac:dyDescent="0.2">
      <c r="A633" s="385"/>
      <c r="B633" s="385"/>
      <c r="C633" s="385"/>
      <c r="D633" s="385"/>
      <c r="E633" s="385"/>
      <c r="F633" s="385"/>
      <c r="G633" s="385"/>
      <c r="H633" s="385"/>
      <c r="I633" s="385"/>
      <c r="J633" s="385"/>
    </row>
    <row r="634" spans="1:10" x14ac:dyDescent="0.2">
      <c r="A634" s="385"/>
      <c r="B634" s="385"/>
      <c r="C634" s="385"/>
      <c r="D634" s="385"/>
      <c r="E634" s="385"/>
      <c r="F634" s="385"/>
      <c r="G634" s="385"/>
      <c r="H634" s="385"/>
      <c r="I634" s="385"/>
      <c r="J634" s="385"/>
    </row>
    <row r="635" spans="1:10" x14ac:dyDescent="0.2">
      <c r="A635" s="385"/>
      <c r="B635" s="385"/>
      <c r="C635" s="385"/>
      <c r="D635" s="385"/>
      <c r="E635" s="385"/>
      <c r="F635" s="385"/>
      <c r="G635" s="385"/>
      <c r="H635" s="385"/>
      <c r="I635" s="385"/>
      <c r="J635" s="385"/>
    </row>
    <row r="636" spans="1:10" x14ac:dyDescent="0.2">
      <c r="A636" s="385"/>
      <c r="B636" s="385"/>
      <c r="C636" s="385"/>
      <c r="D636" s="385"/>
      <c r="E636" s="385"/>
      <c r="F636" s="385"/>
      <c r="G636" s="385"/>
      <c r="H636" s="385"/>
      <c r="I636" s="385"/>
      <c r="J636" s="385"/>
    </row>
    <row r="637" spans="1:10" x14ac:dyDescent="0.2">
      <c r="A637" s="385"/>
      <c r="B637" s="385"/>
      <c r="C637" s="385"/>
      <c r="D637" s="385"/>
      <c r="E637" s="385"/>
      <c r="F637" s="385"/>
      <c r="G637" s="385"/>
      <c r="H637" s="385"/>
      <c r="I637" s="385"/>
      <c r="J637" s="385"/>
    </row>
    <row r="638" spans="1:10" x14ac:dyDescent="0.2">
      <c r="A638" s="385"/>
      <c r="B638" s="385"/>
      <c r="C638" s="385"/>
      <c r="D638" s="385"/>
      <c r="E638" s="385"/>
      <c r="F638" s="385"/>
      <c r="G638" s="385"/>
      <c r="H638" s="385"/>
      <c r="I638" s="385"/>
      <c r="J638" s="385"/>
    </row>
    <row r="639" spans="1:10" x14ac:dyDescent="0.2">
      <c r="A639" s="385"/>
      <c r="B639" s="385"/>
      <c r="C639" s="385"/>
      <c r="D639" s="385"/>
      <c r="E639" s="385"/>
      <c r="F639" s="385"/>
      <c r="G639" s="385"/>
      <c r="H639" s="385"/>
      <c r="I639" s="385"/>
      <c r="J639" s="385"/>
    </row>
    <row r="640" spans="1:10" x14ac:dyDescent="0.2">
      <c r="A640" s="385"/>
      <c r="B640" s="385"/>
      <c r="C640" s="385"/>
      <c r="D640" s="385"/>
      <c r="E640" s="385"/>
      <c r="F640" s="385"/>
      <c r="G640" s="385"/>
      <c r="H640" s="385"/>
      <c r="I640" s="385"/>
      <c r="J640" s="385"/>
    </row>
    <row r="641" spans="1:10" x14ac:dyDescent="0.2">
      <c r="A641" s="385"/>
      <c r="B641" s="385"/>
      <c r="C641" s="385"/>
      <c r="D641" s="385"/>
      <c r="E641" s="385"/>
      <c r="F641" s="385"/>
      <c r="G641" s="385"/>
      <c r="H641" s="385"/>
      <c r="I641" s="385"/>
      <c r="J641" s="385"/>
    </row>
    <row r="642" spans="1:10" x14ac:dyDescent="0.2">
      <c r="A642" s="385"/>
      <c r="B642" s="385"/>
      <c r="C642" s="385"/>
      <c r="D642" s="385"/>
      <c r="E642" s="385"/>
      <c r="F642" s="385"/>
      <c r="G642" s="385"/>
      <c r="H642" s="385"/>
      <c r="I642" s="385"/>
      <c r="J642" s="385"/>
    </row>
    <row r="643" spans="1:10" x14ac:dyDescent="0.2">
      <c r="A643" s="385"/>
      <c r="B643" s="385"/>
      <c r="C643" s="385"/>
      <c r="D643" s="385"/>
      <c r="E643" s="385"/>
      <c r="F643" s="385"/>
      <c r="G643" s="385"/>
      <c r="H643" s="385"/>
      <c r="I643" s="385"/>
      <c r="J643" s="385"/>
    </row>
    <row r="644" spans="1:10" x14ac:dyDescent="0.2">
      <c r="A644" s="385"/>
      <c r="B644" s="385"/>
      <c r="C644" s="385"/>
      <c r="D644" s="385"/>
      <c r="E644" s="385"/>
      <c r="F644" s="385"/>
      <c r="G644" s="385"/>
      <c r="H644" s="385"/>
      <c r="I644" s="385"/>
      <c r="J644" s="385"/>
    </row>
    <row r="645" spans="1:10" x14ac:dyDescent="0.2">
      <c r="A645" s="385"/>
      <c r="B645" s="385"/>
      <c r="C645" s="385"/>
      <c r="D645" s="385"/>
      <c r="E645" s="385"/>
      <c r="F645" s="385"/>
      <c r="G645" s="385"/>
      <c r="H645" s="385"/>
      <c r="I645" s="385"/>
      <c r="J645" s="385"/>
    </row>
    <row r="646" spans="1:10" x14ac:dyDescent="0.2">
      <c r="A646" s="385"/>
      <c r="B646" s="385"/>
      <c r="C646" s="385"/>
      <c r="D646" s="385"/>
      <c r="E646" s="385"/>
      <c r="F646" s="385"/>
      <c r="G646" s="385"/>
      <c r="H646" s="385"/>
      <c r="I646" s="385"/>
      <c r="J646" s="385"/>
    </row>
    <row r="647" spans="1:10" x14ac:dyDescent="0.2">
      <c r="A647" s="385"/>
      <c r="B647" s="385"/>
      <c r="C647" s="385"/>
      <c r="D647" s="385"/>
      <c r="E647" s="385"/>
      <c r="F647" s="385"/>
      <c r="G647" s="385"/>
      <c r="H647" s="385"/>
      <c r="I647" s="385"/>
      <c r="J647" s="385"/>
    </row>
    <row r="648" spans="1:10" x14ac:dyDescent="0.2">
      <c r="A648" s="385"/>
      <c r="B648" s="385"/>
      <c r="C648" s="385"/>
      <c r="D648" s="385"/>
      <c r="E648" s="385"/>
      <c r="F648" s="385"/>
      <c r="G648" s="385"/>
      <c r="H648" s="385"/>
      <c r="I648" s="385"/>
      <c r="J648" s="385"/>
    </row>
    <row r="649" spans="1:10" x14ac:dyDescent="0.2">
      <c r="A649" s="385"/>
      <c r="B649" s="385"/>
      <c r="C649" s="385"/>
      <c r="D649" s="385"/>
      <c r="E649" s="385"/>
      <c r="F649" s="385"/>
      <c r="G649" s="385"/>
      <c r="H649" s="385"/>
      <c r="I649" s="385"/>
      <c r="J649" s="385"/>
    </row>
    <row r="650" spans="1:10" x14ac:dyDescent="0.2">
      <c r="A650" s="385"/>
      <c r="B650" s="385"/>
      <c r="C650" s="385"/>
      <c r="D650" s="385"/>
      <c r="E650" s="385"/>
      <c r="F650" s="385"/>
      <c r="G650" s="385"/>
      <c r="H650" s="385"/>
      <c r="I650" s="385"/>
      <c r="J650" s="385"/>
    </row>
    <row r="651" spans="1:10" x14ac:dyDescent="0.2">
      <c r="A651" s="385"/>
      <c r="B651" s="385"/>
      <c r="C651" s="385"/>
      <c r="D651" s="385"/>
      <c r="E651" s="385"/>
      <c r="F651" s="385"/>
      <c r="G651" s="385"/>
      <c r="H651" s="385"/>
      <c r="I651" s="385"/>
      <c r="J651" s="385"/>
    </row>
    <row r="652" spans="1:10" x14ac:dyDescent="0.2">
      <c r="A652" s="385"/>
      <c r="B652" s="385"/>
      <c r="C652" s="385"/>
      <c r="D652" s="385"/>
      <c r="E652" s="385"/>
      <c r="F652" s="385"/>
      <c r="G652" s="385"/>
      <c r="H652" s="385"/>
      <c r="I652" s="385"/>
      <c r="J652" s="385"/>
    </row>
    <row r="653" spans="1:10" x14ac:dyDescent="0.2">
      <c r="A653" s="385"/>
      <c r="B653" s="385"/>
      <c r="C653" s="385"/>
      <c r="D653" s="385"/>
      <c r="E653" s="385"/>
      <c r="F653" s="385"/>
      <c r="G653" s="385"/>
      <c r="H653" s="385"/>
      <c r="I653" s="385"/>
      <c r="J653" s="385"/>
    </row>
    <row r="654" spans="1:10" x14ac:dyDescent="0.2">
      <c r="A654" s="385"/>
      <c r="B654" s="385"/>
      <c r="C654" s="385"/>
      <c r="D654" s="385"/>
      <c r="E654" s="385"/>
      <c r="F654" s="385"/>
      <c r="G654" s="385"/>
      <c r="H654" s="385"/>
      <c r="I654" s="385"/>
      <c r="J654" s="385"/>
    </row>
    <row r="655" spans="1:10" x14ac:dyDescent="0.2">
      <c r="A655" s="385"/>
      <c r="B655" s="385"/>
      <c r="C655" s="385"/>
      <c r="D655" s="385"/>
      <c r="E655" s="385"/>
      <c r="F655" s="385"/>
      <c r="G655" s="385"/>
      <c r="H655" s="385"/>
      <c r="I655" s="385"/>
      <c r="J655" s="385"/>
    </row>
    <row r="656" spans="1:10" x14ac:dyDescent="0.2">
      <c r="A656" s="385"/>
      <c r="B656" s="385"/>
      <c r="C656" s="385"/>
      <c r="D656" s="385"/>
      <c r="E656" s="385"/>
      <c r="F656" s="385"/>
      <c r="G656" s="385"/>
      <c r="H656" s="385"/>
      <c r="I656" s="385"/>
      <c r="J656" s="385"/>
    </row>
    <row r="657" spans="1:10" x14ac:dyDescent="0.2">
      <c r="A657" s="385"/>
      <c r="B657" s="385"/>
      <c r="C657" s="385"/>
      <c r="D657" s="385"/>
      <c r="E657" s="385"/>
      <c r="F657" s="385"/>
      <c r="G657" s="385"/>
      <c r="H657" s="385"/>
      <c r="I657" s="385"/>
      <c r="J657" s="385"/>
    </row>
    <row r="658" spans="1:10" x14ac:dyDescent="0.2">
      <c r="A658" s="385"/>
      <c r="B658" s="385"/>
      <c r="C658" s="385"/>
      <c r="D658" s="385"/>
      <c r="E658" s="385"/>
      <c r="F658" s="385"/>
      <c r="G658" s="385"/>
      <c r="H658" s="385"/>
      <c r="I658" s="385"/>
      <c r="J658" s="385"/>
    </row>
    <row r="659" spans="1:10" x14ac:dyDescent="0.2">
      <c r="A659" s="385"/>
      <c r="B659" s="385"/>
      <c r="C659" s="385"/>
      <c r="D659" s="385"/>
      <c r="E659" s="385"/>
      <c r="F659" s="385"/>
      <c r="G659" s="385"/>
      <c r="H659" s="385"/>
      <c r="I659" s="385"/>
      <c r="J659" s="385"/>
    </row>
    <row r="660" spans="1:10" x14ac:dyDescent="0.2">
      <c r="A660" s="385"/>
      <c r="B660" s="385"/>
      <c r="C660" s="385"/>
      <c r="D660" s="385"/>
      <c r="E660" s="385"/>
      <c r="F660" s="385"/>
      <c r="G660" s="385"/>
      <c r="H660" s="385"/>
      <c r="I660" s="385"/>
      <c r="J660" s="385"/>
    </row>
    <row r="661" spans="1:10" x14ac:dyDescent="0.2">
      <c r="A661" s="385"/>
      <c r="B661" s="385"/>
      <c r="C661" s="385"/>
      <c r="D661" s="385"/>
      <c r="E661" s="385"/>
      <c r="F661" s="385"/>
      <c r="G661" s="385"/>
      <c r="H661" s="385"/>
      <c r="I661" s="385"/>
      <c r="J661" s="385"/>
    </row>
    <row r="662" spans="1:10" x14ac:dyDescent="0.2">
      <c r="A662" s="385"/>
      <c r="B662" s="385"/>
      <c r="C662" s="385"/>
      <c r="D662" s="385"/>
      <c r="E662" s="385"/>
      <c r="F662" s="385"/>
      <c r="G662" s="385"/>
      <c r="H662" s="385"/>
      <c r="I662" s="385"/>
      <c r="J662" s="385"/>
    </row>
    <row r="663" spans="1:10" x14ac:dyDescent="0.2">
      <c r="A663" s="385"/>
      <c r="B663" s="385"/>
      <c r="C663" s="385"/>
      <c r="D663" s="385"/>
      <c r="E663" s="385"/>
      <c r="F663" s="385"/>
      <c r="G663" s="385"/>
      <c r="H663" s="385"/>
      <c r="I663" s="385"/>
      <c r="J663" s="385"/>
    </row>
    <row r="664" spans="1:10" x14ac:dyDescent="0.2">
      <c r="A664" s="385"/>
      <c r="B664" s="385"/>
      <c r="C664" s="385"/>
      <c r="D664" s="385"/>
      <c r="E664" s="385"/>
      <c r="F664" s="385"/>
      <c r="G664" s="385"/>
      <c r="H664" s="385"/>
      <c r="I664" s="385"/>
      <c r="J664" s="385"/>
    </row>
    <row r="665" spans="1:10" x14ac:dyDescent="0.2">
      <c r="A665" s="385"/>
      <c r="B665" s="385"/>
      <c r="C665" s="385"/>
      <c r="D665" s="385"/>
      <c r="E665" s="385"/>
      <c r="F665" s="385"/>
      <c r="G665" s="385"/>
      <c r="H665" s="385"/>
      <c r="I665" s="385"/>
      <c r="J665" s="385"/>
    </row>
    <row r="666" spans="1:10" x14ac:dyDescent="0.2">
      <c r="A666" s="385"/>
      <c r="B666" s="385"/>
      <c r="C666" s="385"/>
      <c r="D666" s="385"/>
      <c r="E666" s="385"/>
      <c r="F666" s="385"/>
      <c r="G666" s="385"/>
      <c r="H666" s="385"/>
      <c r="I666" s="385"/>
      <c r="J666" s="385"/>
    </row>
    <row r="667" spans="1:10" x14ac:dyDescent="0.2">
      <c r="A667" s="385"/>
      <c r="B667" s="385"/>
      <c r="C667" s="385"/>
      <c r="D667" s="385"/>
      <c r="E667" s="385"/>
      <c r="F667" s="385"/>
      <c r="G667" s="385"/>
      <c r="H667" s="385"/>
      <c r="I667" s="385"/>
      <c r="J667" s="385"/>
    </row>
    <row r="668" spans="1:10" x14ac:dyDescent="0.2">
      <c r="A668" s="385"/>
      <c r="B668" s="385"/>
      <c r="C668" s="385"/>
      <c r="D668" s="385"/>
      <c r="E668" s="385"/>
      <c r="F668" s="385"/>
      <c r="G668" s="385"/>
      <c r="H668" s="385"/>
      <c r="I668" s="385"/>
      <c r="J668" s="385"/>
    </row>
    <row r="669" spans="1:10" x14ac:dyDescent="0.2">
      <c r="A669" s="385"/>
      <c r="B669" s="385"/>
      <c r="C669" s="385"/>
      <c r="D669" s="385"/>
      <c r="E669" s="385"/>
      <c r="F669" s="385"/>
      <c r="G669" s="385"/>
      <c r="H669" s="385"/>
      <c r="I669" s="385"/>
      <c r="J669" s="385"/>
    </row>
    <row r="670" spans="1:10" x14ac:dyDescent="0.2">
      <c r="A670" s="385"/>
      <c r="B670" s="385"/>
      <c r="C670" s="385"/>
      <c r="D670" s="385"/>
      <c r="E670" s="385"/>
      <c r="F670" s="385"/>
      <c r="G670" s="385"/>
      <c r="H670" s="385"/>
      <c r="I670" s="385"/>
      <c r="J670" s="385"/>
    </row>
    <row r="671" spans="1:10" x14ac:dyDescent="0.2">
      <c r="A671" s="385"/>
      <c r="B671" s="385"/>
      <c r="C671" s="385"/>
      <c r="D671" s="385"/>
      <c r="E671" s="385"/>
      <c r="F671" s="385"/>
      <c r="G671" s="385"/>
      <c r="H671" s="385"/>
      <c r="I671" s="385"/>
      <c r="J671" s="385"/>
    </row>
    <row r="672" spans="1:10" x14ac:dyDescent="0.2">
      <c r="A672" s="385"/>
      <c r="B672" s="385"/>
      <c r="C672" s="385"/>
      <c r="D672" s="385"/>
      <c r="E672" s="385"/>
      <c r="F672" s="385"/>
      <c r="G672" s="385"/>
      <c r="H672" s="385"/>
      <c r="I672" s="385"/>
      <c r="J672" s="385"/>
    </row>
    <row r="673" spans="1:10" x14ac:dyDescent="0.2">
      <c r="A673" s="385"/>
      <c r="B673" s="385"/>
      <c r="C673" s="385"/>
      <c r="D673" s="385"/>
      <c r="E673" s="385"/>
      <c r="F673" s="385"/>
      <c r="G673" s="385"/>
      <c r="H673" s="385"/>
      <c r="I673" s="385"/>
      <c r="J673" s="385"/>
    </row>
    <row r="674" spans="1:10" x14ac:dyDescent="0.2">
      <c r="A674" s="385"/>
      <c r="B674" s="385"/>
      <c r="C674" s="385"/>
      <c r="D674" s="385"/>
      <c r="E674" s="385"/>
      <c r="F674" s="385"/>
      <c r="G674" s="385"/>
      <c r="H674" s="385"/>
      <c r="I674" s="385"/>
      <c r="J674" s="385"/>
    </row>
    <row r="675" spans="1:10" x14ac:dyDescent="0.2">
      <c r="A675" s="385"/>
      <c r="B675" s="385"/>
      <c r="C675" s="385"/>
      <c r="D675" s="385"/>
      <c r="E675" s="385"/>
      <c r="F675" s="385"/>
      <c r="G675" s="385"/>
      <c r="H675" s="385"/>
      <c r="I675" s="385"/>
      <c r="J675" s="385"/>
    </row>
    <row r="676" spans="1:10" x14ac:dyDescent="0.2">
      <c r="A676" s="385"/>
      <c r="B676" s="385"/>
      <c r="C676" s="385"/>
      <c r="D676" s="385"/>
      <c r="E676" s="385"/>
      <c r="F676" s="385"/>
      <c r="G676" s="385"/>
      <c r="H676" s="385"/>
      <c r="I676" s="385"/>
      <c r="J676" s="385"/>
    </row>
    <row r="677" spans="1:10" x14ac:dyDescent="0.2">
      <c r="A677" s="385"/>
      <c r="B677" s="385"/>
      <c r="C677" s="385"/>
      <c r="D677" s="385"/>
      <c r="E677" s="385"/>
      <c r="F677" s="385"/>
      <c r="G677" s="385"/>
      <c r="H677" s="385"/>
      <c r="I677" s="385"/>
      <c r="J677" s="385"/>
    </row>
    <row r="678" spans="1:10" x14ac:dyDescent="0.2">
      <c r="A678" s="385"/>
      <c r="B678" s="385"/>
      <c r="C678" s="385"/>
      <c r="D678" s="385"/>
      <c r="E678" s="385"/>
      <c r="F678" s="385"/>
      <c r="G678" s="385"/>
      <c r="H678" s="385"/>
      <c r="I678" s="385"/>
      <c r="J678" s="385"/>
    </row>
    <row r="679" spans="1:10" x14ac:dyDescent="0.2">
      <c r="A679" s="385"/>
      <c r="B679" s="385"/>
      <c r="C679" s="385"/>
      <c r="D679" s="385"/>
      <c r="E679" s="385"/>
      <c r="F679" s="385"/>
      <c r="G679" s="385"/>
      <c r="H679" s="385"/>
      <c r="I679" s="385"/>
      <c r="J679" s="385"/>
    </row>
    <row r="680" spans="1:10" x14ac:dyDescent="0.2">
      <c r="A680" s="385"/>
      <c r="B680" s="385"/>
      <c r="C680" s="385"/>
      <c r="D680" s="385"/>
      <c r="E680" s="385"/>
      <c r="F680" s="385"/>
      <c r="G680" s="385"/>
      <c r="H680" s="385"/>
      <c r="I680" s="385"/>
      <c r="J680" s="385"/>
    </row>
    <row r="681" spans="1:10" x14ac:dyDescent="0.2">
      <c r="A681" s="385"/>
      <c r="B681" s="385"/>
      <c r="C681" s="385"/>
      <c r="D681" s="385"/>
      <c r="E681" s="385"/>
      <c r="F681" s="385"/>
      <c r="G681" s="385"/>
      <c r="H681" s="385"/>
      <c r="I681" s="385"/>
      <c r="J681" s="385"/>
    </row>
    <row r="682" spans="1:10" x14ac:dyDescent="0.2">
      <c r="A682" s="385"/>
      <c r="B682" s="385"/>
      <c r="C682" s="385"/>
      <c r="D682" s="385"/>
      <c r="E682" s="385"/>
      <c r="F682" s="385"/>
      <c r="G682" s="385"/>
      <c r="H682" s="385"/>
      <c r="I682" s="385"/>
      <c r="J682" s="385"/>
    </row>
    <row r="683" spans="1:10" x14ac:dyDescent="0.2">
      <c r="A683" s="385"/>
      <c r="B683" s="385"/>
      <c r="C683" s="385"/>
      <c r="D683" s="385"/>
      <c r="E683" s="385"/>
      <c r="F683" s="385"/>
      <c r="G683" s="385"/>
      <c r="H683" s="385"/>
      <c r="I683" s="385"/>
      <c r="J683" s="385"/>
    </row>
    <row r="684" spans="1:10" x14ac:dyDescent="0.2">
      <c r="A684" s="385"/>
      <c r="B684" s="385"/>
      <c r="C684" s="385"/>
      <c r="D684" s="385"/>
      <c r="E684" s="385"/>
      <c r="F684" s="385"/>
      <c r="G684" s="385"/>
      <c r="H684" s="385"/>
      <c r="I684" s="385"/>
      <c r="J684" s="385"/>
    </row>
    <row r="685" spans="1:10" x14ac:dyDescent="0.2">
      <c r="A685" s="385"/>
      <c r="B685" s="385"/>
      <c r="C685" s="385"/>
      <c r="D685" s="385"/>
      <c r="E685" s="385"/>
      <c r="F685" s="385"/>
      <c r="G685" s="385"/>
      <c r="H685" s="385"/>
      <c r="I685" s="385"/>
      <c r="J685" s="385"/>
    </row>
    <row r="686" spans="1:10" x14ac:dyDescent="0.2">
      <c r="A686" s="385"/>
      <c r="B686" s="385"/>
      <c r="C686" s="385"/>
      <c r="D686" s="385"/>
      <c r="E686" s="385"/>
      <c r="F686" s="385"/>
      <c r="G686" s="385"/>
      <c r="H686" s="385"/>
      <c r="I686" s="385"/>
      <c r="J686" s="385"/>
    </row>
    <row r="687" spans="1:10" x14ac:dyDescent="0.2">
      <c r="A687" s="385"/>
      <c r="B687" s="385"/>
      <c r="C687" s="385"/>
      <c r="D687" s="385"/>
      <c r="E687" s="385"/>
      <c r="F687" s="385"/>
      <c r="G687" s="385"/>
      <c r="H687" s="385"/>
      <c r="I687" s="385"/>
      <c r="J687" s="385"/>
    </row>
    <row r="688" spans="1:10" x14ac:dyDescent="0.2">
      <c r="A688" s="385"/>
      <c r="B688" s="385"/>
      <c r="C688" s="385"/>
      <c r="D688" s="385"/>
      <c r="E688" s="385"/>
      <c r="F688" s="385"/>
      <c r="G688" s="385"/>
      <c r="H688" s="385"/>
      <c r="I688" s="385"/>
      <c r="J688" s="385"/>
    </row>
    <row r="689" spans="1:10" x14ac:dyDescent="0.2">
      <c r="A689" s="385"/>
      <c r="B689" s="385"/>
      <c r="C689" s="385"/>
      <c r="D689" s="385"/>
      <c r="E689" s="385"/>
      <c r="F689" s="385"/>
      <c r="G689" s="385"/>
      <c r="H689" s="385"/>
      <c r="I689" s="385"/>
      <c r="J689" s="385"/>
    </row>
    <row r="690" spans="1:10" x14ac:dyDescent="0.2">
      <c r="A690" s="385"/>
      <c r="B690" s="385"/>
      <c r="C690" s="385"/>
      <c r="D690" s="385"/>
      <c r="E690" s="385"/>
      <c r="F690" s="385"/>
      <c r="G690" s="385"/>
      <c r="H690" s="385"/>
      <c r="I690" s="385"/>
      <c r="J690" s="385"/>
    </row>
    <row r="691" spans="1:10" x14ac:dyDescent="0.2">
      <c r="A691" s="385"/>
      <c r="B691" s="385"/>
      <c r="C691" s="385"/>
      <c r="D691" s="385"/>
      <c r="E691" s="385"/>
      <c r="F691" s="385"/>
      <c r="G691" s="385"/>
      <c r="H691" s="385"/>
      <c r="I691" s="385"/>
      <c r="J691" s="385"/>
    </row>
    <row r="692" spans="1:10" x14ac:dyDescent="0.2">
      <c r="A692" s="385"/>
      <c r="B692" s="385"/>
      <c r="C692" s="385"/>
      <c r="D692" s="385"/>
      <c r="E692" s="385"/>
      <c r="F692" s="385"/>
      <c r="G692" s="385"/>
      <c r="H692" s="385"/>
      <c r="I692" s="385"/>
      <c r="J692" s="385"/>
    </row>
    <row r="693" spans="1:10" x14ac:dyDescent="0.2">
      <c r="A693" s="385"/>
      <c r="B693" s="385"/>
      <c r="C693" s="385"/>
      <c r="D693" s="385"/>
      <c r="E693" s="385"/>
      <c r="F693" s="385"/>
      <c r="G693" s="385"/>
      <c r="H693" s="385"/>
      <c r="I693" s="385"/>
      <c r="J693" s="385"/>
    </row>
    <row r="694" spans="1:10" x14ac:dyDescent="0.2">
      <c r="A694" s="385"/>
      <c r="B694" s="385"/>
      <c r="C694" s="385"/>
      <c r="D694" s="385"/>
      <c r="E694" s="385"/>
      <c r="F694" s="385"/>
      <c r="G694" s="385"/>
      <c r="H694" s="385"/>
      <c r="I694" s="385"/>
      <c r="J694" s="385"/>
    </row>
    <row r="695" spans="1:10" x14ac:dyDescent="0.2">
      <c r="A695" s="385"/>
      <c r="B695" s="385"/>
      <c r="C695" s="385"/>
      <c r="D695" s="385"/>
      <c r="E695" s="385"/>
      <c r="F695" s="385"/>
      <c r="G695" s="385"/>
      <c r="H695" s="385"/>
      <c r="I695" s="385"/>
      <c r="J695" s="385"/>
    </row>
    <row r="696" spans="1:10" x14ac:dyDescent="0.2">
      <c r="A696" s="385"/>
      <c r="B696" s="385"/>
      <c r="C696" s="385"/>
      <c r="D696" s="385"/>
      <c r="E696" s="385"/>
      <c r="F696" s="385"/>
      <c r="G696" s="385"/>
      <c r="H696" s="385"/>
      <c r="I696" s="385"/>
      <c r="J696" s="385"/>
    </row>
    <row r="697" spans="1:10" x14ac:dyDescent="0.2">
      <c r="A697" s="385"/>
      <c r="B697" s="385"/>
      <c r="C697" s="385"/>
      <c r="D697" s="385"/>
      <c r="E697" s="385"/>
      <c r="F697" s="385"/>
      <c r="G697" s="385"/>
      <c r="H697" s="385"/>
      <c r="I697" s="385"/>
      <c r="J697" s="385"/>
    </row>
    <row r="698" spans="1:10" x14ac:dyDescent="0.2">
      <c r="A698" s="385"/>
      <c r="B698" s="385"/>
      <c r="C698" s="385"/>
      <c r="D698" s="385"/>
      <c r="E698" s="385"/>
      <c r="F698" s="385"/>
      <c r="G698" s="385"/>
      <c r="H698" s="385"/>
      <c r="I698" s="385"/>
      <c r="J698" s="385"/>
    </row>
    <row r="699" spans="1:10" x14ac:dyDescent="0.2">
      <c r="A699" s="385"/>
      <c r="B699" s="385"/>
      <c r="C699" s="385"/>
      <c r="D699" s="385"/>
      <c r="E699" s="385"/>
      <c r="F699" s="385"/>
      <c r="G699" s="385"/>
      <c r="H699" s="385"/>
      <c r="I699" s="385"/>
      <c r="J699" s="385"/>
    </row>
    <row r="700" spans="1:10" x14ac:dyDescent="0.2">
      <c r="A700" s="385"/>
      <c r="B700" s="385"/>
      <c r="C700" s="385"/>
      <c r="D700" s="385"/>
      <c r="E700" s="385"/>
      <c r="F700" s="385"/>
      <c r="G700" s="385"/>
      <c r="H700" s="385"/>
      <c r="I700" s="385"/>
      <c r="J700" s="385"/>
    </row>
    <row r="701" spans="1:10" x14ac:dyDescent="0.2">
      <c r="A701" s="385"/>
      <c r="B701" s="385"/>
      <c r="C701" s="385"/>
      <c r="D701" s="385"/>
      <c r="E701" s="385"/>
      <c r="F701" s="385"/>
      <c r="G701" s="385"/>
      <c r="H701" s="385"/>
      <c r="I701" s="385"/>
      <c r="J701" s="385"/>
    </row>
    <row r="702" spans="1:10" x14ac:dyDescent="0.2">
      <c r="A702" s="385"/>
      <c r="B702" s="385"/>
      <c r="C702" s="385"/>
      <c r="D702" s="385"/>
      <c r="E702" s="385"/>
      <c r="F702" s="385"/>
      <c r="G702" s="385"/>
      <c r="H702" s="385"/>
      <c r="I702" s="385"/>
      <c r="J702" s="385"/>
    </row>
    <row r="703" spans="1:10" x14ac:dyDescent="0.2">
      <c r="A703" s="385"/>
      <c r="B703" s="385"/>
      <c r="C703" s="385"/>
      <c r="D703" s="385"/>
      <c r="E703" s="385"/>
      <c r="F703" s="385"/>
      <c r="G703" s="385"/>
      <c r="H703" s="385"/>
      <c r="I703" s="385"/>
      <c r="J703" s="385"/>
    </row>
    <row r="704" spans="1:10" x14ac:dyDescent="0.2">
      <c r="A704" s="385"/>
      <c r="B704" s="385"/>
      <c r="C704" s="385"/>
      <c r="D704" s="385"/>
      <c r="E704" s="385"/>
      <c r="F704" s="385"/>
      <c r="G704" s="385"/>
      <c r="H704" s="385"/>
      <c r="I704" s="385"/>
      <c r="J704" s="385"/>
    </row>
    <row r="705" spans="1:10" x14ac:dyDescent="0.2">
      <c r="A705" s="385"/>
      <c r="B705" s="385"/>
      <c r="C705" s="385"/>
      <c r="D705" s="385"/>
      <c r="E705" s="385"/>
      <c r="F705" s="385"/>
      <c r="G705" s="385"/>
      <c r="H705" s="385"/>
      <c r="I705" s="385"/>
      <c r="J705" s="385"/>
    </row>
    <row r="706" spans="1:10" x14ac:dyDescent="0.2">
      <c r="A706" s="385"/>
      <c r="B706" s="385"/>
      <c r="C706" s="385"/>
      <c r="D706" s="385"/>
      <c r="E706" s="385"/>
      <c r="F706" s="385"/>
      <c r="G706" s="385"/>
      <c r="H706" s="385"/>
      <c r="I706" s="385"/>
      <c r="J706" s="385"/>
    </row>
    <row r="707" spans="1:10" x14ac:dyDescent="0.2">
      <c r="A707" s="385"/>
      <c r="B707" s="385"/>
      <c r="C707" s="385"/>
      <c r="D707" s="385"/>
      <c r="E707" s="385"/>
      <c r="F707" s="385"/>
      <c r="G707" s="385"/>
      <c r="H707" s="385"/>
      <c r="I707" s="385"/>
      <c r="J707" s="385"/>
    </row>
    <row r="708" spans="1:10" x14ac:dyDescent="0.2">
      <c r="A708" s="385"/>
      <c r="B708" s="385"/>
      <c r="C708" s="385"/>
      <c r="D708" s="385"/>
      <c r="E708" s="385"/>
      <c r="F708" s="385"/>
      <c r="G708" s="385"/>
      <c r="H708" s="385"/>
      <c r="I708" s="385"/>
      <c r="J708" s="385"/>
    </row>
    <row r="709" spans="1:10" x14ac:dyDescent="0.2">
      <c r="A709" s="385"/>
      <c r="B709" s="385"/>
      <c r="C709" s="385"/>
      <c r="D709" s="385"/>
      <c r="E709" s="385"/>
      <c r="F709" s="385"/>
      <c r="G709" s="385"/>
      <c r="H709" s="385"/>
      <c r="I709" s="385"/>
      <c r="J709" s="385"/>
    </row>
    <row r="710" spans="1:10" x14ac:dyDescent="0.2">
      <c r="A710" s="385"/>
      <c r="B710" s="385"/>
      <c r="C710" s="385"/>
      <c r="D710" s="385"/>
      <c r="E710" s="385"/>
      <c r="F710" s="385"/>
      <c r="G710" s="385"/>
      <c r="H710" s="385"/>
      <c r="I710" s="385"/>
      <c r="J710" s="385"/>
    </row>
    <row r="711" spans="1:10" x14ac:dyDescent="0.2">
      <c r="A711" s="385"/>
      <c r="B711" s="385"/>
      <c r="C711" s="385"/>
      <c r="D711" s="385"/>
      <c r="E711" s="385"/>
      <c r="F711" s="385"/>
      <c r="G711" s="385"/>
      <c r="H711" s="385"/>
      <c r="I711" s="385"/>
      <c r="J711" s="385"/>
    </row>
    <row r="712" spans="1:10" x14ac:dyDescent="0.2">
      <c r="A712" s="385"/>
      <c r="B712" s="385"/>
      <c r="C712" s="385"/>
      <c r="D712" s="385"/>
      <c r="E712" s="385"/>
      <c r="F712" s="385"/>
      <c r="G712" s="385"/>
      <c r="H712" s="385"/>
      <c r="I712" s="385"/>
      <c r="J712" s="385"/>
    </row>
    <row r="713" spans="1:10" x14ac:dyDescent="0.2">
      <c r="A713" s="385"/>
      <c r="B713" s="385"/>
      <c r="C713" s="385"/>
      <c r="D713" s="385"/>
      <c r="E713" s="385"/>
      <c r="F713" s="385"/>
      <c r="G713" s="385"/>
      <c r="H713" s="385"/>
      <c r="I713" s="385"/>
      <c r="J713" s="385"/>
    </row>
    <row r="714" spans="1:10" x14ac:dyDescent="0.2">
      <c r="A714" s="385"/>
      <c r="B714" s="385"/>
      <c r="C714" s="385"/>
      <c r="D714" s="385"/>
      <c r="E714" s="385"/>
      <c r="F714" s="385"/>
      <c r="G714" s="385"/>
      <c r="H714" s="385"/>
      <c r="I714" s="385"/>
      <c r="J714" s="385"/>
    </row>
    <row r="715" spans="1:10" x14ac:dyDescent="0.2">
      <c r="A715" s="385"/>
      <c r="B715" s="385"/>
      <c r="C715" s="385"/>
      <c r="D715" s="385"/>
      <c r="E715" s="385"/>
      <c r="F715" s="385"/>
      <c r="G715" s="385"/>
      <c r="H715" s="385"/>
      <c r="I715" s="385"/>
      <c r="J715" s="385"/>
    </row>
    <row r="716" spans="1:10" x14ac:dyDescent="0.2">
      <c r="A716" s="385"/>
      <c r="B716" s="385"/>
      <c r="C716" s="385"/>
      <c r="D716" s="385"/>
      <c r="E716" s="385"/>
      <c r="F716" s="385"/>
      <c r="G716" s="385"/>
      <c r="H716" s="385"/>
      <c r="I716" s="385"/>
      <c r="J716" s="385"/>
    </row>
    <row r="717" spans="1:10" x14ac:dyDescent="0.2">
      <c r="A717" s="385"/>
      <c r="B717" s="385"/>
      <c r="C717" s="385"/>
      <c r="D717" s="385"/>
      <c r="E717" s="385"/>
      <c r="F717" s="385"/>
      <c r="G717" s="385"/>
      <c r="H717" s="385"/>
      <c r="I717" s="385"/>
      <c r="J717" s="385"/>
    </row>
    <row r="718" spans="1:10" x14ac:dyDescent="0.2">
      <c r="A718" s="385"/>
      <c r="B718" s="385"/>
      <c r="C718" s="385"/>
      <c r="D718" s="385"/>
      <c r="E718" s="385"/>
      <c r="F718" s="385"/>
      <c r="G718" s="385"/>
      <c r="H718" s="385"/>
      <c r="I718" s="385"/>
      <c r="J718" s="385"/>
    </row>
    <row r="719" spans="1:10" x14ac:dyDescent="0.2">
      <c r="A719" s="385"/>
      <c r="B719" s="385"/>
      <c r="C719" s="385"/>
      <c r="D719" s="385"/>
      <c r="E719" s="385"/>
      <c r="F719" s="385"/>
      <c r="G719" s="385"/>
      <c r="H719" s="385"/>
      <c r="I719" s="385"/>
      <c r="J719" s="385"/>
    </row>
    <row r="720" spans="1:10" x14ac:dyDescent="0.2">
      <c r="A720" s="385"/>
      <c r="B720" s="385"/>
      <c r="C720" s="385"/>
      <c r="D720" s="385"/>
      <c r="E720" s="385"/>
      <c r="F720" s="385"/>
      <c r="G720" s="385"/>
      <c r="H720" s="385"/>
      <c r="I720" s="385"/>
      <c r="J720" s="385"/>
    </row>
    <row r="721" spans="1:10" x14ac:dyDescent="0.2">
      <c r="A721" s="385"/>
      <c r="B721" s="385"/>
      <c r="C721" s="385"/>
      <c r="D721" s="385"/>
      <c r="E721" s="385"/>
      <c r="F721" s="385"/>
      <c r="G721" s="385"/>
      <c r="H721" s="385"/>
      <c r="I721" s="385"/>
      <c r="J721" s="385"/>
    </row>
    <row r="722" spans="1:10" x14ac:dyDescent="0.2">
      <c r="A722" s="385"/>
      <c r="B722" s="385"/>
      <c r="C722" s="385"/>
      <c r="D722" s="385"/>
      <c r="E722" s="385"/>
      <c r="F722" s="385"/>
      <c r="G722" s="385"/>
      <c r="H722" s="385"/>
      <c r="I722" s="385"/>
      <c r="J722" s="385"/>
    </row>
    <row r="723" spans="1:10" x14ac:dyDescent="0.2">
      <c r="A723" s="385"/>
      <c r="B723" s="385"/>
      <c r="C723" s="385"/>
      <c r="D723" s="385"/>
      <c r="E723" s="385"/>
      <c r="F723" s="385"/>
      <c r="G723" s="385"/>
      <c r="H723" s="385"/>
      <c r="I723" s="385"/>
      <c r="J723" s="385"/>
    </row>
    <row r="724" spans="1:10" x14ac:dyDescent="0.2">
      <c r="A724" s="385"/>
      <c r="B724" s="385"/>
      <c r="C724" s="385"/>
      <c r="D724" s="385"/>
      <c r="E724" s="385"/>
      <c r="F724" s="385"/>
      <c r="G724" s="385"/>
      <c r="H724" s="385"/>
      <c r="I724" s="385"/>
      <c r="J724" s="385"/>
    </row>
    <row r="725" spans="1:10" x14ac:dyDescent="0.2">
      <c r="A725" s="385"/>
      <c r="B725" s="385"/>
      <c r="C725" s="385"/>
      <c r="D725" s="385"/>
      <c r="E725" s="385"/>
      <c r="F725" s="385"/>
      <c r="G725" s="385"/>
      <c r="H725" s="385"/>
      <c r="I725" s="385"/>
      <c r="J725" s="385"/>
    </row>
    <row r="726" spans="1:10" x14ac:dyDescent="0.2">
      <c r="A726" s="385"/>
      <c r="B726" s="385"/>
      <c r="C726" s="385"/>
      <c r="D726" s="385"/>
      <c r="E726" s="385"/>
      <c r="F726" s="385"/>
      <c r="G726" s="385"/>
      <c r="H726" s="385"/>
      <c r="I726" s="385"/>
      <c r="J726" s="385"/>
    </row>
    <row r="727" spans="1:10" x14ac:dyDescent="0.2">
      <c r="A727" s="385"/>
      <c r="B727" s="385"/>
      <c r="C727" s="385"/>
      <c r="D727" s="385"/>
      <c r="E727" s="385"/>
      <c r="F727" s="385"/>
      <c r="G727" s="385"/>
      <c r="H727" s="385"/>
      <c r="I727" s="385"/>
      <c r="J727" s="385"/>
    </row>
    <row r="728" spans="1:10" x14ac:dyDescent="0.2">
      <c r="A728" s="385"/>
      <c r="B728" s="385"/>
      <c r="C728" s="385"/>
      <c r="D728" s="385"/>
      <c r="E728" s="385"/>
      <c r="F728" s="385"/>
      <c r="G728" s="385"/>
      <c r="H728" s="385"/>
      <c r="I728" s="385"/>
      <c r="J728" s="385"/>
    </row>
    <row r="729" spans="1:10" x14ac:dyDescent="0.2">
      <c r="A729" s="385"/>
      <c r="B729" s="385"/>
      <c r="C729" s="385"/>
      <c r="D729" s="385"/>
      <c r="E729" s="385"/>
      <c r="F729" s="385"/>
      <c r="G729" s="385"/>
      <c r="H729" s="385"/>
      <c r="I729" s="385"/>
      <c r="J729" s="385"/>
    </row>
    <row r="730" spans="1:10" x14ac:dyDescent="0.2">
      <c r="A730" s="385"/>
      <c r="B730" s="385"/>
      <c r="C730" s="385"/>
      <c r="D730" s="385"/>
      <c r="E730" s="385"/>
      <c r="F730" s="385"/>
      <c r="G730" s="385"/>
      <c r="H730" s="385"/>
      <c r="I730" s="385"/>
      <c r="J730" s="385"/>
    </row>
    <row r="731" spans="1:10" x14ac:dyDescent="0.2">
      <c r="A731" s="385"/>
      <c r="B731" s="385"/>
      <c r="C731" s="385"/>
      <c r="D731" s="385"/>
      <c r="E731" s="385"/>
      <c r="F731" s="385"/>
      <c r="G731" s="385"/>
      <c r="H731" s="385"/>
      <c r="I731" s="385"/>
      <c r="J731" s="385"/>
    </row>
    <row r="732" spans="1:10" x14ac:dyDescent="0.2">
      <c r="A732" s="385"/>
      <c r="B732" s="385"/>
      <c r="C732" s="385"/>
      <c r="D732" s="385"/>
      <c r="E732" s="385"/>
      <c r="F732" s="385"/>
      <c r="G732" s="385"/>
      <c r="H732" s="385"/>
      <c r="I732" s="385"/>
      <c r="J732" s="385"/>
    </row>
    <row r="733" spans="1:10" x14ac:dyDescent="0.2">
      <c r="A733" s="385"/>
      <c r="B733" s="385"/>
      <c r="C733" s="385"/>
      <c r="D733" s="385"/>
      <c r="E733" s="385"/>
      <c r="F733" s="385"/>
      <c r="G733" s="385"/>
      <c r="H733" s="385"/>
      <c r="I733" s="385"/>
      <c r="J733" s="385"/>
    </row>
    <row r="734" spans="1:10" x14ac:dyDescent="0.2">
      <c r="A734" s="385"/>
      <c r="B734" s="385"/>
      <c r="C734" s="385"/>
      <c r="D734" s="385"/>
      <c r="E734" s="385"/>
      <c r="F734" s="385"/>
      <c r="G734" s="385"/>
      <c r="H734" s="385"/>
      <c r="I734" s="385"/>
      <c r="J734" s="385"/>
    </row>
    <row r="735" spans="1:10" x14ac:dyDescent="0.2">
      <c r="A735" s="385"/>
      <c r="B735" s="385"/>
      <c r="C735" s="385"/>
      <c r="D735" s="385"/>
      <c r="E735" s="385"/>
      <c r="F735" s="385"/>
      <c r="G735" s="385"/>
      <c r="H735" s="385"/>
      <c r="I735" s="385"/>
      <c r="J735" s="385"/>
    </row>
    <row r="736" spans="1:10" x14ac:dyDescent="0.2">
      <c r="A736" s="385"/>
      <c r="B736" s="385"/>
      <c r="C736" s="385"/>
      <c r="D736" s="385"/>
      <c r="E736" s="385"/>
      <c r="F736" s="385"/>
      <c r="G736" s="385"/>
      <c r="H736" s="385"/>
      <c r="I736" s="385"/>
      <c r="J736" s="385"/>
    </row>
    <row r="737" spans="1:10" x14ac:dyDescent="0.2">
      <c r="A737" s="385"/>
      <c r="B737" s="385"/>
      <c r="C737" s="385"/>
      <c r="D737" s="385"/>
      <c r="E737" s="385"/>
      <c r="F737" s="385"/>
      <c r="G737" s="385"/>
      <c r="H737" s="385"/>
      <c r="I737" s="385"/>
      <c r="J737" s="385"/>
    </row>
    <row r="738" spans="1:10" x14ac:dyDescent="0.2">
      <c r="A738" s="385"/>
      <c r="B738" s="385"/>
      <c r="C738" s="385"/>
      <c r="D738" s="385"/>
      <c r="E738" s="385"/>
      <c r="F738" s="385"/>
      <c r="G738" s="385"/>
      <c r="H738" s="385"/>
      <c r="I738" s="385"/>
      <c r="J738" s="385"/>
    </row>
    <row r="739" spans="1:10" x14ac:dyDescent="0.2">
      <c r="A739" s="385"/>
      <c r="B739" s="385"/>
      <c r="C739" s="385"/>
      <c r="D739" s="385"/>
      <c r="E739" s="385"/>
      <c r="F739" s="385"/>
      <c r="G739" s="385"/>
      <c r="H739" s="385"/>
      <c r="I739" s="385"/>
      <c r="J739" s="385"/>
    </row>
    <row r="740" spans="1:10" x14ac:dyDescent="0.2">
      <c r="A740" s="385"/>
      <c r="B740" s="385"/>
      <c r="C740" s="385"/>
      <c r="D740" s="385"/>
      <c r="E740" s="385"/>
      <c r="F740" s="385"/>
      <c r="G740" s="385"/>
      <c r="H740" s="385"/>
      <c r="I740" s="385"/>
      <c r="J740" s="385"/>
    </row>
    <row r="741" spans="1:10" x14ac:dyDescent="0.2">
      <c r="A741" s="385"/>
      <c r="B741" s="385"/>
      <c r="C741" s="385"/>
      <c r="D741" s="385"/>
      <c r="E741" s="385"/>
      <c r="F741" s="385"/>
      <c r="G741" s="385"/>
      <c r="H741" s="385"/>
      <c r="I741" s="385"/>
      <c r="J741" s="385"/>
    </row>
    <row r="742" spans="1:10" x14ac:dyDescent="0.2">
      <c r="A742" s="385"/>
      <c r="B742" s="385"/>
      <c r="C742" s="385"/>
      <c r="D742" s="385"/>
      <c r="E742" s="385"/>
      <c r="F742" s="385"/>
      <c r="G742" s="385"/>
      <c r="H742" s="385"/>
      <c r="I742" s="385"/>
      <c r="J742" s="385"/>
    </row>
    <row r="743" spans="1:10" x14ac:dyDescent="0.2">
      <c r="A743" s="385"/>
      <c r="B743" s="385"/>
      <c r="C743" s="385"/>
      <c r="D743" s="385"/>
      <c r="E743" s="385"/>
      <c r="F743" s="385"/>
      <c r="G743" s="385"/>
      <c r="H743" s="385"/>
      <c r="I743" s="385"/>
      <c r="J743" s="385"/>
    </row>
    <row r="744" spans="1:10" x14ac:dyDescent="0.2">
      <c r="A744" s="385"/>
      <c r="B744" s="385"/>
      <c r="C744" s="385"/>
      <c r="D744" s="385"/>
      <c r="E744" s="385"/>
      <c r="F744" s="385"/>
      <c r="G744" s="385"/>
      <c r="H744" s="385"/>
      <c r="I744" s="385"/>
      <c r="J744" s="385"/>
    </row>
    <row r="745" spans="1:10" x14ac:dyDescent="0.2">
      <c r="A745" s="385"/>
      <c r="B745" s="385"/>
      <c r="C745" s="385"/>
      <c r="D745" s="385"/>
      <c r="E745" s="385"/>
      <c r="F745" s="385"/>
      <c r="G745" s="385"/>
      <c r="H745" s="385"/>
      <c r="I745" s="385"/>
      <c r="J745" s="385"/>
    </row>
    <row r="746" spans="1:10" x14ac:dyDescent="0.2">
      <c r="A746" s="385"/>
      <c r="B746" s="385"/>
      <c r="C746" s="385"/>
      <c r="D746" s="385"/>
      <c r="E746" s="385"/>
      <c r="F746" s="385"/>
      <c r="G746" s="385"/>
      <c r="H746" s="385"/>
      <c r="I746" s="385"/>
      <c r="J746" s="385"/>
    </row>
    <row r="747" spans="1:10" x14ac:dyDescent="0.2">
      <c r="A747" s="385"/>
      <c r="B747" s="385"/>
      <c r="C747" s="385"/>
      <c r="D747" s="385"/>
      <c r="E747" s="385"/>
      <c r="F747" s="385"/>
      <c r="G747" s="385"/>
      <c r="H747" s="385"/>
      <c r="I747" s="385"/>
      <c r="J747" s="385"/>
    </row>
    <row r="748" spans="1:10" x14ac:dyDescent="0.2">
      <c r="A748" s="385"/>
      <c r="B748" s="385"/>
      <c r="C748" s="385"/>
      <c r="D748" s="385"/>
      <c r="E748" s="385"/>
      <c r="F748" s="385"/>
      <c r="G748" s="385"/>
      <c r="H748" s="385"/>
      <c r="I748" s="385"/>
      <c r="J748" s="385"/>
    </row>
    <row r="749" spans="1:10" x14ac:dyDescent="0.2">
      <c r="A749" s="385"/>
      <c r="B749" s="385"/>
      <c r="C749" s="385"/>
      <c r="D749" s="385"/>
      <c r="E749" s="385"/>
      <c r="F749" s="385"/>
      <c r="G749" s="385"/>
      <c r="H749" s="385"/>
      <c r="I749" s="385"/>
      <c r="J749" s="385"/>
    </row>
    <row r="750" spans="1:10" x14ac:dyDescent="0.2">
      <c r="A750" s="385"/>
      <c r="B750" s="385"/>
      <c r="C750" s="385"/>
      <c r="D750" s="385"/>
      <c r="E750" s="385"/>
      <c r="F750" s="385"/>
      <c r="G750" s="385"/>
      <c r="H750" s="385"/>
      <c r="I750" s="385"/>
      <c r="J750" s="385"/>
    </row>
    <row r="751" spans="1:10" x14ac:dyDescent="0.2">
      <c r="A751" s="385"/>
      <c r="B751" s="385"/>
      <c r="C751" s="385"/>
      <c r="D751" s="385"/>
      <c r="E751" s="385"/>
      <c r="F751" s="385"/>
      <c r="G751" s="385"/>
      <c r="H751" s="385"/>
      <c r="I751" s="385"/>
      <c r="J751" s="385"/>
    </row>
    <row r="752" spans="1:10" x14ac:dyDescent="0.2">
      <c r="A752" s="385"/>
      <c r="B752" s="385"/>
      <c r="C752" s="385"/>
      <c r="D752" s="385"/>
      <c r="E752" s="385"/>
      <c r="F752" s="385"/>
      <c r="G752" s="385"/>
      <c r="H752" s="385"/>
      <c r="I752" s="385"/>
      <c r="J752" s="385"/>
    </row>
    <row r="753" spans="1:10" x14ac:dyDescent="0.2">
      <c r="A753" s="385"/>
      <c r="B753" s="385"/>
      <c r="C753" s="385"/>
      <c r="D753" s="385"/>
      <c r="E753" s="385"/>
      <c r="F753" s="385"/>
      <c r="G753" s="385"/>
      <c r="H753" s="385"/>
      <c r="I753" s="385"/>
      <c r="J753" s="385"/>
    </row>
    <row r="754" spans="1:10" x14ac:dyDescent="0.2">
      <c r="A754" s="385"/>
      <c r="B754" s="385"/>
      <c r="C754" s="385"/>
      <c r="D754" s="385"/>
      <c r="E754" s="385"/>
      <c r="F754" s="385"/>
      <c r="G754" s="385"/>
      <c r="H754" s="385"/>
      <c r="I754" s="385"/>
      <c r="J754" s="385"/>
    </row>
    <row r="755" spans="1:10" x14ac:dyDescent="0.2">
      <c r="A755" s="385"/>
      <c r="B755" s="385"/>
      <c r="C755" s="385"/>
      <c r="D755" s="385"/>
      <c r="E755" s="385"/>
      <c r="F755" s="385"/>
      <c r="G755" s="385"/>
      <c r="H755" s="385"/>
      <c r="I755" s="385"/>
      <c r="J755" s="385"/>
    </row>
    <row r="756" spans="1:10" x14ac:dyDescent="0.2">
      <c r="A756" s="385"/>
      <c r="B756" s="385"/>
      <c r="C756" s="385"/>
      <c r="D756" s="385"/>
      <c r="E756" s="385"/>
      <c r="F756" s="385"/>
      <c r="G756" s="385"/>
      <c r="H756" s="385"/>
      <c r="I756" s="385"/>
      <c r="J756" s="385"/>
    </row>
    <row r="757" spans="1:10" x14ac:dyDescent="0.2">
      <c r="A757" s="385"/>
      <c r="B757" s="385"/>
      <c r="C757" s="385"/>
      <c r="D757" s="385"/>
      <c r="E757" s="385"/>
      <c r="F757" s="385"/>
      <c r="G757" s="385"/>
      <c r="H757" s="385"/>
      <c r="I757" s="385"/>
      <c r="J757" s="385"/>
    </row>
    <row r="758" spans="1:10" x14ac:dyDescent="0.2">
      <c r="A758" s="385"/>
      <c r="B758" s="385"/>
      <c r="C758" s="385"/>
      <c r="D758" s="385"/>
      <c r="E758" s="385"/>
      <c r="F758" s="385"/>
      <c r="G758" s="385"/>
      <c r="H758" s="385"/>
      <c r="I758" s="385"/>
      <c r="J758" s="385"/>
    </row>
    <row r="759" spans="1:10" x14ac:dyDescent="0.2">
      <c r="A759" s="385"/>
      <c r="B759" s="385"/>
      <c r="C759" s="385"/>
      <c r="D759" s="385"/>
      <c r="E759" s="385"/>
      <c r="F759" s="385"/>
      <c r="G759" s="385"/>
      <c r="H759" s="385"/>
      <c r="I759" s="385"/>
      <c r="J759" s="385"/>
    </row>
    <row r="760" spans="1:10" x14ac:dyDescent="0.2">
      <c r="A760" s="385"/>
      <c r="B760" s="385"/>
      <c r="C760" s="385"/>
      <c r="D760" s="385"/>
      <c r="E760" s="385"/>
      <c r="F760" s="385"/>
      <c r="G760" s="385"/>
      <c r="H760" s="385"/>
      <c r="I760" s="385"/>
      <c r="J760" s="385"/>
    </row>
    <row r="761" spans="1:10" x14ac:dyDescent="0.2">
      <c r="A761" s="385"/>
      <c r="B761" s="385"/>
      <c r="C761" s="385"/>
      <c r="D761" s="385"/>
      <c r="E761" s="385"/>
      <c r="F761" s="385"/>
      <c r="G761" s="385"/>
      <c r="H761" s="385"/>
      <c r="I761" s="385"/>
      <c r="J761" s="385"/>
    </row>
    <row r="762" spans="1:10" x14ac:dyDescent="0.2">
      <c r="A762" s="385"/>
      <c r="B762" s="385"/>
      <c r="C762" s="385"/>
      <c r="D762" s="385"/>
      <c r="E762" s="385"/>
      <c r="F762" s="385"/>
      <c r="G762" s="385"/>
      <c r="H762" s="385"/>
      <c r="I762" s="385"/>
      <c r="J762" s="385"/>
    </row>
    <row r="763" spans="1:10" x14ac:dyDescent="0.2">
      <c r="A763" s="385"/>
      <c r="B763" s="385"/>
      <c r="C763" s="385"/>
      <c r="D763" s="385"/>
      <c r="E763" s="385"/>
      <c r="F763" s="385"/>
      <c r="G763" s="385"/>
      <c r="H763" s="385"/>
      <c r="I763" s="385"/>
      <c r="J763" s="385"/>
    </row>
    <row r="764" spans="1:10" x14ac:dyDescent="0.2">
      <c r="A764" s="385"/>
      <c r="B764" s="385"/>
      <c r="C764" s="385"/>
      <c r="D764" s="385"/>
      <c r="E764" s="385"/>
      <c r="F764" s="385"/>
      <c r="G764" s="385"/>
      <c r="H764" s="385"/>
      <c r="I764" s="385"/>
      <c r="J764" s="385"/>
    </row>
    <row r="765" spans="1:10" x14ac:dyDescent="0.2">
      <c r="A765" s="385"/>
      <c r="B765" s="385"/>
      <c r="C765" s="385"/>
      <c r="D765" s="385"/>
      <c r="E765" s="385"/>
      <c r="F765" s="385"/>
      <c r="G765" s="385"/>
      <c r="H765" s="385"/>
      <c r="I765" s="385"/>
      <c r="J765" s="385"/>
    </row>
    <row r="766" spans="1:10" x14ac:dyDescent="0.2">
      <c r="A766" s="385"/>
      <c r="B766" s="385"/>
      <c r="C766" s="385"/>
      <c r="D766" s="385"/>
      <c r="E766" s="385"/>
      <c r="F766" s="385"/>
      <c r="G766" s="385"/>
      <c r="H766" s="385"/>
      <c r="I766" s="385"/>
      <c r="J766" s="385"/>
    </row>
    <row r="767" spans="1:10" x14ac:dyDescent="0.2">
      <c r="A767" s="385"/>
      <c r="B767" s="385"/>
      <c r="C767" s="385"/>
      <c r="D767" s="385"/>
      <c r="E767" s="385"/>
      <c r="F767" s="385"/>
      <c r="G767" s="385"/>
      <c r="H767" s="385"/>
      <c r="I767" s="385"/>
      <c r="J767" s="385"/>
    </row>
    <row r="768" spans="1:10" x14ac:dyDescent="0.2">
      <c r="A768" s="385"/>
      <c r="B768" s="385"/>
      <c r="C768" s="385"/>
      <c r="D768" s="385"/>
      <c r="E768" s="385"/>
      <c r="F768" s="385"/>
      <c r="G768" s="385"/>
      <c r="H768" s="385"/>
      <c r="I768" s="385"/>
      <c r="J768" s="385"/>
    </row>
    <row r="769" spans="1:10" x14ac:dyDescent="0.2">
      <c r="A769" s="385"/>
      <c r="B769" s="385"/>
      <c r="C769" s="385"/>
      <c r="D769" s="385"/>
      <c r="E769" s="385"/>
      <c r="F769" s="385"/>
      <c r="G769" s="385"/>
      <c r="H769" s="385"/>
      <c r="I769" s="385"/>
      <c r="J769" s="385"/>
    </row>
    <row r="770" spans="1:10" x14ac:dyDescent="0.2">
      <c r="A770" s="385"/>
      <c r="B770" s="385"/>
      <c r="C770" s="385"/>
      <c r="D770" s="385"/>
      <c r="E770" s="385"/>
      <c r="F770" s="385"/>
      <c r="G770" s="385"/>
      <c r="H770" s="385"/>
      <c r="I770" s="385"/>
      <c r="J770" s="385"/>
    </row>
    <row r="771" spans="1:10" x14ac:dyDescent="0.2">
      <c r="A771" s="385"/>
      <c r="B771" s="385"/>
      <c r="C771" s="385"/>
      <c r="D771" s="385"/>
      <c r="E771" s="385"/>
      <c r="F771" s="385"/>
      <c r="G771" s="385"/>
      <c r="H771" s="385"/>
      <c r="I771" s="385"/>
      <c r="J771" s="385"/>
    </row>
    <row r="772" spans="1:10" x14ac:dyDescent="0.2">
      <c r="A772" s="385"/>
      <c r="B772" s="385"/>
      <c r="C772" s="385"/>
      <c r="D772" s="385"/>
      <c r="E772" s="385"/>
      <c r="F772" s="385"/>
      <c r="G772" s="385"/>
      <c r="H772" s="385"/>
      <c r="I772" s="385"/>
      <c r="J772" s="385"/>
    </row>
    <row r="773" spans="1:10" x14ac:dyDescent="0.2">
      <c r="A773" s="385"/>
      <c r="B773" s="385"/>
      <c r="C773" s="385"/>
      <c r="D773" s="385"/>
      <c r="E773" s="385"/>
      <c r="F773" s="385"/>
      <c r="G773" s="385"/>
      <c r="H773" s="385"/>
      <c r="I773" s="385"/>
      <c r="J773" s="385"/>
    </row>
    <row r="774" spans="1:10" x14ac:dyDescent="0.2">
      <c r="A774" s="385"/>
      <c r="B774" s="385"/>
      <c r="C774" s="385"/>
      <c r="D774" s="385"/>
      <c r="E774" s="385"/>
      <c r="F774" s="385"/>
      <c r="G774" s="385"/>
      <c r="H774" s="385"/>
      <c r="I774" s="385"/>
      <c r="J774" s="385"/>
    </row>
    <row r="775" spans="1:10" x14ac:dyDescent="0.2">
      <c r="A775" s="385"/>
      <c r="B775" s="385"/>
      <c r="C775" s="385"/>
      <c r="D775" s="385"/>
      <c r="E775" s="385"/>
      <c r="F775" s="385"/>
      <c r="G775" s="385"/>
      <c r="H775" s="385"/>
      <c r="I775" s="385"/>
      <c r="J775" s="385"/>
    </row>
    <row r="776" spans="1:10" x14ac:dyDescent="0.2">
      <c r="A776" s="385"/>
      <c r="B776" s="385"/>
      <c r="C776" s="385"/>
      <c r="D776" s="385"/>
      <c r="E776" s="385"/>
      <c r="F776" s="385"/>
      <c r="G776" s="385"/>
      <c r="H776" s="385"/>
      <c r="I776" s="385"/>
      <c r="J776" s="385"/>
    </row>
    <row r="777" spans="1:10" x14ac:dyDescent="0.2">
      <c r="A777" s="385"/>
      <c r="B777" s="385"/>
      <c r="C777" s="385"/>
      <c r="D777" s="385"/>
      <c r="E777" s="385"/>
      <c r="F777" s="385"/>
      <c r="G777" s="385"/>
      <c r="H777" s="385"/>
      <c r="I777" s="385"/>
      <c r="J777" s="385"/>
    </row>
    <row r="778" spans="1:10" x14ac:dyDescent="0.2">
      <c r="A778" s="385"/>
      <c r="B778" s="385"/>
      <c r="C778" s="385"/>
      <c r="D778" s="385"/>
      <c r="E778" s="385"/>
      <c r="F778" s="385"/>
      <c r="G778" s="385"/>
      <c r="H778" s="385"/>
      <c r="I778" s="385"/>
      <c r="J778" s="385"/>
    </row>
    <row r="779" spans="1:10" x14ac:dyDescent="0.2">
      <c r="A779" s="385"/>
      <c r="B779" s="385"/>
      <c r="C779" s="385"/>
      <c r="D779" s="385"/>
      <c r="E779" s="385"/>
      <c r="F779" s="385"/>
      <c r="G779" s="385"/>
      <c r="H779" s="385"/>
      <c r="I779" s="385"/>
      <c r="J779" s="385"/>
    </row>
    <row r="780" spans="1:10" x14ac:dyDescent="0.2">
      <c r="A780" s="385"/>
      <c r="B780" s="385"/>
      <c r="C780" s="385"/>
      <c r="D780" s="385"/>
      <c r="E780" s="385"/>
      <c r="F780" s="385"/>
      <c r="G780" s="385"/>
      <c r="H780" s="385"/>
      <c r="I780" s="385"/>
      <c r="J780" s="385"/>
    </row>
    <row r="781" spans="1:10" x14ac:dyDescent="0.2">
      <c r="A781" s="385"/>
      <c r="B781" s="385"/>
      <c r="C781" s="385"/>
      <c r="D781" s="385"/>
      <c r="E781" s="385"/>
      <c r="F781" s="385"/>
      <c r="G781" s="385"/>
      <c r="H781" s="385"/>
      <c r="I781" s="385"/>
      <c r="J781" s="385"/>
    </row>
    <row r="782" spans="1:10" x14ac:dyDescent="0.2">
      <c r="A782" s="385"/>
      <c r="B782" s="385"/>
      <c r="C782" s="385"/>
      <c r="D782" s="385"/>
      <c r="E782" s="385"/>
      <c r="F782" s="385"/>
      <c r="G782" s="385"/>
      <c r="H782" s="385"/>
      <c r="I782" s="385"/>
      <c r="J782" s="385"/>
    </row>
    <row r="783" spans="1:10" x14ac:dyDescent="0.2">
      <c r="A783" s="385"/>
      <c r="B783" s="385"/>
      <c r="C783" s="385"/>
      <c r="D783" s="385"/>
      <c r="E783" s="385"/>
      <c r="F783" s="385"/>
      <c r="G783" s="385"/>
      <c r="H783" s="385"/>
      <c r="I783" s="385"/>
      <c r="J783" s="385"/>
    </row>
    <row r="784" spans="1:10" x14ac:dyDescent="0.2">
      <c r="A784" s="385"/>
      <c r="B784" s="385"/>
      <c r="C784" s="385"/>
      <c r="D784" s="385"/>
      <c r="E784" s="385"/>
      <c r="F784" s="385"/>
      <c r="G784" s="385"/>
      <c r="H784" s="385"/>
      <c r="I784" s="385"/>
      <c r="J784" s="385"/>
    </row>
    <row r="785" spans="1:10" x14ac:dyDescent="0.2">
      <c r="A785" s="385"/>
      <c r="B785" s="385"/>
      <c r="C785" s="385"/>
      <c r="D785" s="385"/>
      <c r="E785" s="385"/>
      <c r="F785" s="385"/>
      <c r="G785" s="385"/>
      <c r="H785" s="385"/>
      <c r="I785" s="385"/>
      <c r="J785" s="385"/>
    </row>
    <row r="786" spans="1:10" x14ac:dyDescent="0.2">
      <c r="A786" s="385"/>
      <c r="B786" s="385"/>
      <c r="C786" s="385"/>
      <c r="D786" s="385"/>
      <c r="E786" s="385"/>
      <c r="F786" s="385"/>
      <c r="G786" s="385"/>
      <c r="H786" s="385"/>
      <c r="I786" s="385"/>
      <c r="J786" s="385"/>
    </row>
    <row r="787" spans="1:10" x14ac:dyDescent="0.2">
      <c r="A787" s="385"/>
      <c r="B787" s="385"/>
      <c r="C787" s="385"/>
      <c r="D787" s="385"/>
      <c r="E787" s="385"/>
      <c r="F787" s="385"/>
      <c r="G787" s="385"/>
      <c r="H787" s="385"/>
      <c r="I787" s="385"/>
      <c r="J787" s="385"/>
    </row>
    <row r="788" spans="1:10" x14ac:dyDescent="0.2">
      <c r="A788" s="385"/>
      <c r="B788" s="385"/>
      <c r="C788" s="385"/>
      <c r="D788" s="385"/>
      <c r="E788" s="385"/>
      <c r="F788" s="385"/>
      <c r="G788" s="385"/>
      <c r="H788" s="385"/>
      <c r="I788" s="385"/>
      <c r="J788" s="385"/>
    </row>
    <row r="789" spans="1:10" x14ac:dyDescent="0.2">
      <c r="A789" s="385"/>
      <c r="B789" s="385"/>
      <c r="C789" s="385"/>
      <c r="D789" s="385"/>
      <c r="E789" s="385"/>
      <c r="F789" s="385"/>
      <c r="G789" s="385"/>
      <c r="H789" s="385"/>
      <c r="I789" s="385"/>
      <c r="J789" s="385"/>
    </row>
    <row r="790" spans="1:10" x14ac:dyDescent="0.2">
      <c r="A790" s="385"/>
      <c r="B790" s="385"/>
      <c r="C790" s="385"/>
      <c r="D790" s="385"/>
      <c r="E790" s="385"/>
      <c r="F790" s="385"/>
      <c r="G790" s="385"/>
      <c r="H790" s="385"/>
      <c r="I790" s="385"/>
      <c r="J790" s="385"/>
    </row>
    <row r="791" spans="1:10" x14ac:dyDescent="0.2">
      <c r="A791" s="385"/>
      <c r="B791" s="385"/>
      <c r="C791" s="385"/>
      <c r="D791" s="385"/>
      <c r="E791" s="385"/>
      <c r="F791" s="385"/>
      <c r="G791" s="385"/>
      <c r="H791" s="385"/>
      <c r="I791" s="385"/>
      <c r="J791" s="385"/>
    </row>
    <row r="792" spans="1:10" x14ac:dyDescent="0.2">
      <c r="A792" s="385"/>
      <c r="B792" s="385"/>
      <c r="C792" s="385"/>
      <c r="D792" s="385"/>
      <c r="E792" s="385"/>
      <c r="F792" s="385"/>
      <c r="G792" s="385"/>
      <c r="H792" s="385"/>
      <c r="I792" s="385"/>
      <c r="J792" s="385"/>
    </row>
    <row r="793" spans="1:10" x14ac:dyDescent="0.2">
      <c r="A793" s="385"/>
      <c r="B793" s="385"/>
      <c r="C793" s="385"/>
      <c r="D793" s="385"/>
      <c r="E793" s="385"/>
      <c r="F793" s="385"/>
      <c r="G793" s="385"/>
      <c r="H793" s="385"/>
      <c r="I793" s="385"/>
      <c r="J793" s="385"/>
    </row>
    <row r="794" spans="1:10" x14ac:dyDescent="0.2">
      <c r="A794" s="385"/>
      <c r="B794" s="385"/>
      <c r="C794" s="385"/>
      <c r="D794" s="385"/>
      <c r="E794" s="385"/>
      <c r="F794" s="385"/>
      <c r="G794" s="385"/>
      <c r="H794" s="385"/>
      <c r="I794" s="385"/>
      <c r="J794" s="385"/>
    </row>
    <row r="795" spans="1:10" x14ac:dyDescent="0.2">
      <c r="A795" s="385"/>
      <c r="B795" s="385"/>
      <c r="C795" s="385"/>
      <c r="D795" s="385"/>
      <c r="E795" s="385"/>
      <c r="F795" s="385"/>
      <c r="G795" s="385"/>
      <c r="H795" s="385"/>
      <c r="I795" s="385"/>
      <c r="J795" s="385"/>
    </row>
    <row r="796" spans="1:10" x14ac:dyDescent="0.2">
      <c r="A796" s="385"/>
      <c r="B796" s="385"/>
      <c r="C796" s="385"/>
      <c r="D796" s="385"/>
      <c r="E796" s="385"/>
      <c r="F796" s="385"/>
      <c r="G796" s="385"/>
      <c r="H796" s="385"/>
      <c r="I796" s="385"/>
      <c r="J796" s="385"/>
    </row>
    <row r="797" spans="1:10" x14ac:dyDescent="0.2">
      <c r="A797" s="385"/>
      <c r="B797" s="385"/>
      <c r="C797" s="385"/>
      <c r="D797" s="385"/>
      <c r="E797" s="385"/>
      <c r="F797" s="385"/>
      <c r="G797" s="385"/>
      <c r="H797" s="385"/>
      <c r="I797" s="385"/>
      <c r="J797" s="385"/>
    </row>
    <row r="798" spans="1:10" x14ac:dyDescent="0.2">
      <c r="A798" s="385"/>
      <c r="B798" s="385"/>
      <c r="C798" s="385"/>
      <c r="D798" s="385"/>
      <c r="E798" s="385"/>
      <c r="F798" s="385"/>
      <c r="G798" s="385"/>
      <c r="H798" s="385"/>
      <c r="I798" s="385"/>
      <c r="J798" s="385"/>
    </row>
    <row r="799" spans="1:10" x14ac:dyDescent="0.2">
      <c r="A799" s="385"/>
      <c r="B799" s="385"/>
      <c r="C799" s="385"/>
      <c r="D799" s="385"/>
      <c r="E799" s="385"/>
      <c r="F799" s="385"/>
      <c r="G799" s="385"/>
      <c r="H799" s="385"/>
      <c r="I799" s="385"/>
      <c r="J799" s="385"/>
    </row>
    <row r="800" spans="1:10" x14ac:dyDescent="0.2">
      <c r="A800" s="385"/>
      <c r="B800" s="385"/>
      <c r="C800" s="385"/>
      <c r="D800" s="385"/>
      <c r="E800" s="385"/>
      <c r="F800" s="385"/>
      <c r="G800" s="385"/>
      <c r="H800" s="385"/>
      <c r="I800" s="385"/>
      <c r="J800" s="385"/>
    </row>
    <row r="801" spans="1:10" x14ac:dyDescent="0.2">
      <c r="A801" s="385"/>
      <c r="B801" s="385"/>
      <c r="C801" s="385"/>
      <c r="D801" s="385"/>
      <c r="E801" s="385"/>
      <c r="F801" s="385"/>
      <c r="G801" s="385"/>
      <c r="H801" s="385"/>
      <c r="I801" s="385"/>
      <c r="J801" s="385"/>
    </row>
    <row r="802" spans="1:10" x14ac:dyDescent="0.2">
      <c r="A802" s="385"/>
      <c r="B802" s="385"/>
      <c r="C802" s="385"/>
      <c r="D802" s="385"/>
      <c r="E802" s="385"/>
      <c r="F802" s="385"/>
      <c r="G802" s="385"/>
      <c r="H802" s="385"/>
      <c r="I802" s="385"/>
      <c r="J802" s="385"/>
    </row>
    <row r="803" spans="1:10" x14ac:dyDescent="0.2">
      <c r="A803" s="385"/>
      <c r="B803" s="385"/>
      <c r="C803" s="385"/>
      <c r="D803" s="385"/>
      <c r="E803" s="385"/>
      <c r="F803" s="385"/>
      <c r="G803" s="385"/>
      <c r="H803" s="385"/>
      <c r="I803" s="385"/>
      <c r="J803" s="385"/>
    </row>
    <row r="804" spans="1:10" x14ac:dyDescent="0.2">
      <c r="A804" s="385"/>
      <c r="B804" s="385"/>
      <c r="C804" s="385"/>
      <c r="D804" s="385"/>
      <c r="E804" s="385"/>
      <c r="F804" s="385"/>
      <c r="G804" s="385"/>
      <c r="H804" s="385"/>
      <c r="I804" s="385"/>
      <c r="J804" s="385"/>
    </row>
    <row r="805" spans="1:10" x14ac:dyDescent="0.2">
      <c r="A805" s="385"/>
      <c r="B805" s="385"/>
      <c r="C805" s="385"/>
      <c r="D805" s="385"/>
      <c r="E805" s="385"/>
      <c r="F805" s="385"/>
      <c r="G805" s="385"/>
      <c r="H805" s="385"/>
      <c r="I805" s="385"/>
      <c r="J805" s="385"/>
    </row>
    <row r="806" spans="1:10" x14ac:dyDescent="0.2">
      <c r="A806" s="385"/>
      <c r="B806" s="385"/>
      <c r="C806" s="385"/>
      <c r="D806" s="385"/>
      <c r="E806" s="385"/>
      <c r="F806" s="385"/>
      <c r="G806" s="385"/>
      <c r="H806" s="385"/>
      <c r="I806" s="385"/>
      <c r="J806" s="385"/>
    </row>
    <row r="807" spans="1:10" x14ac:dyDescent="0.2">
      <c r="A807" s="385"/>
      <c r="B807" s="385"/>
      <c r="C807" s="385"/>
      <c r="D807" s="385"/>
      <c r="E807" s="385"/>
      <c r="F807" s="385"/>
      <c r="G807" s="385"/>
      <c r="H807" s="385"/>
      <c r="I807" s="385"/>
      <c r="J807" s="385"/>
    </row>
    <row r="808" spans="1:10" x14ac:dyDescent="0.2">
      <c r="A808" s="385"/>
      <c r="B808" s="385"/>
      <c r="C808" s="385"/>
      <c r="D808" s="385"/>
      <c r="E808" s="385"/>
      <c r="F808" s="385"/>
      <c r="G808" s="385"/>
      <c r="H808" s="385"/>
      <c r="I808" s="385"/>
      <c r="J808" s="385"/>
    </row>
    <row r="809" spans="1:10" x14ac:dyDescent="0.2">
      <c r="A809" s="385"/>
      <c r="B809" s="385"/>
      <c r="C809" s="385"/>
      <c r="D809" s="385"/>
      <c r="E809" s="385"/>
      <c r="F809" s="385"/>
      <c r="G809" s="385"/>
      <c r="H809" s="385"/>
      <c r="I809" s="385"/>
      <c r="J809" s="385"/>
    </row>
    <row r="810" spans="1:10" x14ac:dyDescent="0.2">
      <c r="A810" s="386"/>
      <c r="B810" s="386"/>
      <c r="C810" s="386"/>
      <c r="D810" s="386"/>
      <c r="E810" s="386"/>
      <c r="F810" s="386"/>
      <c r="G810" s="386"/>
      <c r="H810" s="386"/>
      <c r="I810" s="386"/>
      <c r="J810" s="386"/>
    </row>
    <row r="811" spans="1:10" x14ac:dyDescent="0.2">
      <c r="A811" s="386"/>
      <c r="B811" s="386"/>
      <c r="C811" s="386"/>
      <c r="D811" s="386"/>
      <c r="E811" s="386"/>
      <c r="F811" s="386"/>
      <c r="G811" s="386"/>
      <c r="H811" s="386"/>
      <c r="I811" s="386"/>
      <c r="J811" s="38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67"/>
  <sheetViews>
    <sheetView topLeftCell="A298" workbookViewId="0">
      <selection activeCell="B6" sqref="B6:G6"/>
    </sheetView>
  </sheetViews>
  <sheetFormatPr defaultColWidth="11.625" defaultRowHeight="14.25" x14ac:dyDescent="0.2"/>
  <cols>
    <col min="1" max="1" width="4.25" customWidth="1"/>
    <col min="2" max="2" width="9.125" customWidth="1"/>
    <col min="3" max="3" width="13.25" customWidth="1"/>
    <col min="4" max="4" width="14.125" customWidth="1"/>
    <col min="7" max="7" width="13.5" customWidth="1"/>
    <col min="8" max="8" width="12.5" customWidth="1"/>
    <col min="9" max="9" width="14.625" customWidth="1"/>
    <col min="10" max="10" width="8.5" customWidth="1"/>
    <col min="13" max="13" width="16" customWidth="1"/>
    <col min="15" max="15" width="17.25" customWidth="1"/>
    <col min="16" max="16" width="8.375" customWidth="1"/>
  </cols>
  <sheetData>
    <row r="2" spans="1:13" ht="21" x14ac:dyDescent="0.35">
      <c r="A2" s="418"/>
      <c r="B2" s="418"/>
      <c r="C2" s="418"/>
      <c r="D2" s="419" t="s">
        <v>331</v>
      </c>
      <c r="E2" s="419"/>
      <c r="F2" s="419"/>
      <c r="G2" s="419"/>
      <c r="H2" s="418"/>
      <c r="I2" s="418"/>
      <c r="J2" s="418"/>
    </row>
    <row r="3" spans="1:13" ht="18" x14ac:dyDescent="0.25">
      <c r="A3" s="418"/>
      <c r="B3" s="418"/>
      <c r="C3" s="418"/>
      <c r="D3" s="420"/>
      <c r="E3" s="421" t="s">
        <v>723</v>
      </c>
      <c r="F3" s="422"/>
      <c r="G3" s="422"/>
      <c r="H3" s="418"/>
      <c r="I3" s="418"/>
      <c r="J3" s="418"/>
    </row>
    <row r="4" spans="1:13" ht="15.75" x14ac:dyDescent="0.25">
      <c r="A4" s="6" t="s">
        <v>1</v>
      </c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98</v>
      </c>
      <c r="I4" s="417" t="s">
        <v>8</v>
      </c>
      <c r="J4" s="417" t="s">
        <v>2</v>
      </c>
    </row>
    <row r="5" spans="1:13" ht="15.75" x14ac:dyDescent="0.25">
      <c r="A5" s="1">
        <v>1</v>
      </c>
      <c r="B5" s="108" t="s">
        <v>673</v>
      </c>
      <c r="C5" s="162" t="s">
        <v>374</v>
      </c>
      <c r="D5" s="210">
        <v>2228013</v>
      </c>
      <c r="E5" s="162"/>
      <c r="F5" s="162"/>
      <c r="G5" s="210">
        <v>2228013</v>
      </c>
      <c r="H5" s="30"/>
      <c r="I5" s="107"/>
      <c r="J5" s="107"/>
    </row>
    <row r="6" spans="1:13" s="430" customFormat="1" ht="15.75" x14ac:dyDescent="0.25">
      <c r="A6" s="1">
        <v>2</v>
      </c>
      <c r="B6" s="108" t="s">
        <v>687</v>
      </c>
      <c r="C6" s="162" t="s">
        <v>690</v>
      </c>
      <c r="D6" s="210">
        <v>10967</v>
      </c>
      <c r="E6" s="162"/>
      <c r="F6" s="162"/>
      <c r="G6" s="210">
        <v>10967</v>
      </c>
      <c r="H6" s="30"/>
      <c r="I6" s="107"/>
      <c r="J6" s="107"/>
    </row>
    <row r="7" spans="1:13" ht="15" x14ac:dyDescent="0.25">
      <c r="A7" s="1">
        <v>3</v>
      </c>
      <c r="B7" s="32" t="s">
        <v>676</v>
      </c>
      <c r="C7" s="32" t="s">
        <v>633</v>
      </c>
      <c r="D7" s="32">
        <v>210</v>
      </c>
      <c r="E7" s="1" t="s">
        <v>80</v>
      </c>
      <c r="F7" s="1">
        <v>2.08</v>
      </c>
      <c r="G7" s="1">
        <v>210</v>
      </c>
      <c r="H7" s="1">
        <f t="shared" ref="H7:H20" si="0">D7-G7</f>
        <v>0</v>
      </c>
      <c r="I7" s="89">
        <v>400000</v>
      </c>
      <c r="J7" s="89" t="s">
        <v>676</v>
      </c>
      <c r="K7" s="89" t="s">
        <v>548</v>
      </c>
      <c r="L7" s="89"/>
      <c r="M7" s="47"/>
    </row>
    <row r="8" spans="1:13" ht="15" x14ac:dyDescent="0.25">
      <c r="A8" s="1">
        <v>4</v>
      </c>
      <c r="B8" s="32" t="s">
        <v>676</v>
      </c>
      <c r="C8" s="32" t="s">
        <v>30</v>
      </c>
      <c r="D8" s="32">
        <v>5000</v>
      </c>
      <c r="E8" s="1" t="s">
        <v>80</v>
      </c>
      <c r="F8" s="1">
        <v>55.45</v>
      </c>
      <c r="G8" s="1">
        <v>5000</v>
      </c>
      <c r="H8" s="1">
        <f t="shared" si="0"/>
        <v>0</v>
      </c>
      <c r="I8" s="89">
        <v>400000</v>
      </c>
      <c r="J8" s="89" t="s">
        <v>679</v>
      </c>
      <c r="K8" s="89" t="s">
        <v>548</v>
      </c>
      <c r="L8" s="89"/>
      <c r="M8" s="47"/>
    </row>
    <row r="9" spans="1:13" ht="15" x14ac:dyDescent="0.25">
      <c r="A9" s="1">
        <v>5</v>
      </c>
      <c r="B9" s="32" t="s">
        <v>676</v>
      </c>
      <c r="C9" s="32">
        <v>4.4000000000000003E-3</v>
      </c>
      <c r="D9" s="32">
        <v>15000</v>
      </c>
      <c r="E9" s="1" t="s">
        <v>80</v>
      </c>
      <c r="F9" s="1">
        <v>167.15</v>
      </c>
      <c r="G9" s="1">
        <v>15000</v>
      </c>
      <c r="H9" s="1">
        <f t="shared" si="0"/>
        <v>0</v>
      </c>
      <c r="I9" s="89">
        <v>500000</v>
      </c>
      <c r="J9" s="89" t="s">
        <v>680</v>
      </c>
      <c r="K9" s="89" t="s">
        <v>548</v>
      </c>
      <c r="L9" s="89"/>
      <c r="M9" s="47"/>
    </row>
    <row r="10" spans="1:13" ht="15" x14ac:dyDescent="0.25">
      <c r="A10" s="1">
        <v>6</v>
      </c>
      <c r="B10" s="32" t="s">
        <v>676</v>
      </c>
      <c r="C10" s="32">
        <v>2496</v>
      </c>
      <c r="D10" s="32">
        <v>13000</v>
      </c>
      <c r="E10" s="1" t="s">
        <v>80</v>
      </c>
      <c r="F10" s="1">
        <v>144.13</v>
      </c>
      <c r="G10" s="1">
        <v>13000</v>
      </c>
      <c r="H10" s="1">
        <f t="shared" si="0"/>
        <v>0</v>
      </c>
      <c r="I10" s="89">
        <v>700000</v>
      </c>
      <c r="J10" s="89" t="s">
        <v>682</v>
      </c>
      <c r="K10" s="89" t="s">
        <v>548</v>
      </c>
      <c r="L10" s="89"/>
      <c r="M10" s="47"/>
    </row>
    <row r="11" spans="1:13" ht="15" x14ac:dyDescent="0.25">
      <c r="A11" s="1">
        <v>7</v>
      </c>
      <c r="B11" s="32" t="s">
        <v>676</v>
      </c>
      <c r="C11" s="32">
        <v>2774</v>
      </c>
      <c r="D11" s="32">
        <v>12000</v>
      </c>
      <c r="E11" s="1" t="s">
        <v>80</v>
      </c>
      <c r="F11" s="1">
        <v>133.41999999999999</v>
      </c>
      <c r="G11" s="1">
        <v>12000</v>
      </c>
      <c r="H11" s="1">
        <f t="shared" si="0"/>
        <v>0</v>
      </c>
      <c r="I11" s="89">
        <v>300000</v>
      </c>
      <c r="J11" s="89" t="s">
        <v>683</v>
      </c>
      <c r="K11" s="204" t="s">
        <v>548</v>
      </c>
      <c r="L11" s="204"/>
      <c r="M11" s="203"/>
    </row>
    <row r="12" spans="1:13" ht="15" x14ac:dyDescent="0.25">
      <c r="A12" s="1">
        <v>8</v>
      </c>
      <c r="B12" s="32" t="s">
        <v>676</v>
      </c>
      <c r="C12" s="32">
        <v>1811</v>
      </c>
      <c r="D12" s="32">
        <v>29420</v>
      </c>
      <c r="E12" s="1" t="s">
        <v>80</v>
      </c>
      <c r="F12" s="1">
        <v>327.85</v>
      </c>
      <c r="G12" s="1">
        <v>29420</v>
      </c>
      <c r="H12" s="1">
        <f t="shared" si="0"/>
        <v>0</v>
      </c>
      <c r="I12" s="89">
        <v>200000</v>
      </c>
      <c r="J12" s="423" t="s">
        <v>685</v>
      </c>
      <c r="K12" s="204" t="s">
        <v>548</v>
      </c>
      <c r="L12" s="204"/>
      <c r="M12" s="203"/>
    </row>
    <row r="13" spans="1:13" ht="15" x14ac:dyDescent="0.25">
      <c r="A13" s="1">
        <v>9</v>
      </c>
      <c r="B13" s="32" t="s">
        <v>676</v>
      </c>
      <c r="C13" s="32">
        <v>4579</v>
      </c>
      <c r="D13" s="32">
        <v>22000</v>
      </c>
      <c r="E13" s="1" t="s">
        <v>80</v>
      </c>
      <c r="F13" s="1">
        <v>245.74</v>
      </c>
      <c r="G13" s="1">
        <v>22000</v>
      </c>
      <c r="H13" s="1">
        <f t="shared" si="0"/>
        <v>0</v>
      </c>
      <c r="I13" s="89">
        <v>400000</v>
      </c>
      <c r="J13" s="423" t="s">
        <v>687</v>
      </c>
      <c r="K13" s="204" t="s">
        <v>688</v>
      </c>
      <c r="L13" s="204"/>
      <c r="M13" s="203"/>
    </row>
    <row r="14" spans="1:13" ht="15" x14ac:dyDescent="0.25">
      <c r="A14" s="1">
        <v>10</v>
      </c>
      <c r="B14" s="32" t="s">
        <v>676</v>
      </c>
      <c r="C14" s="32">
        <v>4.1000000000000003E-3</v>
      </c>
      <c r="D14" s="32">
        <v>21000</v>
      </c>
      <c r="E14" s="1" t="s">
        <v>80</v>
      </c>
      <c r="F14" s="1">
        <v>233.87</v>
      </c>
      <c r="G14" s="1">
        <v>21000</v>
      </c>
      <c r="H14" s="1">
        <f t="shared" si="0"/>
        <v>0</v>
      </c>
      <c r="I14" s="89">
        <v>200000</v>
      </c>
      <c r="J14" s="423" t="s">
        <v>691</v>
      </c>
      <c r="K14" s="204" t="s">
        <v>482</v>
      </c>
      <c r="L14" s="204"/>
      <c r="M14" s="203"/>
    </row>
    <row r="15" spans="1:13" ht="15" x14ac:dyDescent="0.25">
      <c r="A15" s="1">
        <v>11</v>
      </c>
      <c r="B15" s="32" t="s">
        <v>676</v>
      </c>
      <c r="C15" s="32">
        <v>5271</v>
      </c>
      <c r="D15" s="32">
        <v>19000</v>
      </c>
      <c r="E15" s="1" t="s">
        <v>80</v>
      </c>
      <c r="F15" s="1">
        <v>194.74</v>
      </c>
      <c r="G15" s="1">
        <v>19000</v>
      </c>
      <c r="H15" s="1">
        <f t="shared" si="0"/>
        <v>0</v>
      </c>
      <c r="I15" s="89">
        <v>300000</v>
      </c>
      <c r="J15" s="423" t="s">
        <v>693</v>
      </c>
      <c r="K15" s="204" t="s">
        <v>482</v>
      </c>
      <c r="L15" s="204"/>
      <c r="M15" s="203"/>
    </row>
    <row r="16" spans="1:13" ht="15" x14ac:dyDescent="0.25">
      <c r="A16" s="1">
        <v>12</v>
      </c>
      <c r="B16" s="32" t="s">
        <v>676</v>
      </c>
      <c r="C16" s="32">
        <v>6318</v>
      </c>
      <c r="D16" s="32">
        <v>23000</v>
      </c>
      <c r="E16" s="1" t="s">
        <v>80</v>
      </c>
      <c r="F16" s="1">
        <v>256.24</v>
      </c>
      <c r="G16" s="1">
        <v>23000</v>
      </c>
      <c r="H16" s="1">
        <f t="shared" si="0"/>
        <v>0</v>
      </c>
      <c r="I16" s="89">
        <v>400000</v>
      </c>
      <c r="J16" s="423" t="s">
        <v>695</v>
      </c>
      <c r="K16" s="204" t="s">
        <v>482</v>
      </c>
      <c r="L16" s="204"/>
      <c r="M16" s="203"/>
    </row>
    <row r="17" spans="1:17" ht="15" x14ac:dyDescent="0.25">
      <c r="A17" s="1">
        <v>13</v>
      </c>
      <c r="B17" s="32" t="s">
        <v>676</v>
      </c>
      <c r="C17" s="85">
        <v>9867</v>
      </c>
      <c r="D17" s="32">
        <v>30000</v>
      </c>
      <c r="E17" s="1" t="s">
        <v>80</v>
      </c>
      <c r="F17" s="1">
        <v>334.82</v>
      </c>
      <c r="G17" s="1">
        <v>30000</v>
      </c>
      <c r="H17" s="1">
        <f t="shared" si="0"/>
        <v>0</v>
      </c>
      <c r="I17" s="89">
        <v>300000</v>
      </c>
      <c r="J17" s="423" t="s">
        <v>696</v>
      </c>
      <c r="K17" s="204" t="s">
        <v>482</v>
      </c>
      <c r="L17" s="204"/>
      <c r="M17" s="203"/>
    </row>
    <row r="18" spans="1:17" ht="15" x14ac:dyDescent="0.25">
      <c r="A18" s="1">
        <v>14</v>
      </c>
      <c r="B18" s="32" t="s">
        <v>676</v>
      </c>
      <c r="C18" s="32">
        <v>3383</v>
      </c>
      <c r="D18" s="32">
        <v>25000</v>
      </c>
      <c r="E18" s="1" t="s">
        <v>80</v>
      </c>
      <c r="F18" s="1">
        <v>278.22000000000003</v>
      </c>
      <c r="G18" s="1">
        <v>25000</v>
      </c>
      <c r="H18" s="1">
        <f t="shared" si="0"/>
        <v>0</v>
      </c>
      <c r="I18" s="89">
        <v>300000</v>
      </c>
      <c r="J18" s="423" t="s">
        <v>697</v>
      </c>
      <c r="K18" s="204" t="s">
        <v>482</v>
      </c>
      <c r="L18" s="204"/>
      <c r="M18" s="203"/>
    </row>
    <row r="19" spans="1:17" ht="15" x14ac:dyDescent="0.25">
      <c r="A19" s="1">
        <v>15</v>
      </c>
      <c r="B19" s="32" t="s">
        <v>676</v>
      </c>
      <c r="C19" s="32">
        <v>1121</v>
      </c>
      <c r="D19" s="32">
        <v>24000</v>
      </c>
      <c r="E19" s="1" t="s">
        <v>80</v>
      </c>
      <c r="F19" s="1">
        <v>258.63</v>
      </c>
      <c r="G19" s="1">
        <v>24000</v>
      </c>
      <c r="H19" s="1">
        <f t="shared" si="0"/>
        <v>0</v>
      </c>
      <c r="I19" s="89">
        <v>200000</v>
      </c>
      <c r="J19" s="423" t="s">
        <v>700</v>
      </c>
      <c r="K19" s="204" t="s">
        <v>482</v>
      </c>
      <c r="L19" s="204"/>
      <c r="M19" s="203"/>
    </row>
    <row r="20" spans="1:17" ht="15" x14ac:dyDescent="0.25">
      <c r="A20" s="1">
        <v>16</v>
      </c>
      <c r="B20" s="32" t="s">
        <v>676</v>
      </c>
      <c r="C20" s="32">
        <v>2044</v>
      </c>
      <c r="D20" s="32">
        <v>23000</v>
      </c>
      <c r="E20" s="1" t="s">
        <v>80</v>
      </c>
      <c r="F20" s="1">
        <v>256.27999999999997</v>
      </c>
      <c r="G20" s="1">
        <v>23000</v>
      </c>
      <c r="H20" s="1">
        <f t="shared" si="0"/>
        <v>0</v>
      </c>
      <c r="I20" s="89">
        <v>200000</v>
      </c>
      <c r="J20" s="423" t="s">
        <v>701</v>
      </c>
      <c r="K20" s="204" t="s">
        <v>482</v>
      </c>
      <c r="L20" s="204"/>
      <c r="M20" s="203"/>
    </row>
    <row r="21" spans="1:17" ht="15" x14ac:dyDescent="0.25">
      <c r="A21" s="1">
        <v>17</v>
      </c>
      <c r="B21" s="32" t="s">
        <v>676</v>
      </c>
      <c r="C21" s="32">
        <v>2258</v>
      </c>
      <c r="D21" s="32">
        <v>25000</v>
      </c>
      <c r="E21" s="1" t="s">
        <v>80</v>
      </c>
      <c r="F21" s="1">
        <v>278.22000000000003</v>
      </c>
      <c r="G21" s="1">
        <v>25000</v>
      </c>
      <c r="H21" s="1">
        <f>D21-G21</f>
        <v>0</v>
      </c>
      <c r="I21" s="89">
        <v>300000</v>
      </c>
      <c r="J21" s="423" t="s">
        <v>702</v>
      </c>
      <c r="K21" s="204" t="s">
        <v>482</v>
      </c>
      <c r="L21" s="204"/>
      <c r="M21" s="203"/>
    </row>
    <row r="22" spans="1:17" ht="15" x14ac:dyDescent="0.25">
      <c r="A22" s="1">
        <v>18</v>
      </c>
      <c r="B22" s="32" t="s">
        <v>676</v>
      </c>
      <c r="C22" s="32">
        <v>9391</v>
      </c>
      <c r="D22" s="32">
        <v>30000</v>
      </c>
      <c r="E22" s="1" t="s">
        <v>80</v>
      </c>
      <c r="F22" s="1">
        <v>334.82</v>
      </c>
      <c r="G22" s="1">
        <v>30000</v>
      </c>
      <c r="H22" s="1">
        <f t="shared" ref="H22:H25" si="1">D22-G22</f>
        <v>0</v>
      </c>
      <c r="I22" s="89">
        <v>400000</v>
      </c>
      <c r="J22" s="423" t="s">
        <v>704</v>
      </c>
      <c r="K22" s="204" t="s">
        <v>482</v>
      </c>
      <c r="L22" s="204"/>
      <c r="M22" s="203"/>
    </row>
    <row r="23" spans="1:17" ht="15" x14ac:dyDescent="0.25">
      <c r="A23" s="1">
        <v>19</v>
      </c>
      <c r="B23" s="32" t="s">
        <v>676</v>
      </c>
      <c r="C23" s="32">
        <v>6951</v>
      </c>
      <c r="D23" s="32">
        <v>15000</v>
      </c>
      <c r="E23" s="1" t="s">
        <v>80</v>
      </c>
      <c r="F23" s="1">
        <v>167.15</v>
      </c>
      <c r="G23" s="1">
        <v>15000</v>
      </c>
      <c r="H23" s="1">
        <f t="shared" si="1"/>
        <v>0</v>
      </c>
      <c r="I23" s="89">
        <v>400000</v>
      </c>
      <c r="J23" s="423" t="s">
        <v>705</v>
      </c>
      <c r="K23" s="204" t="s">
        <v>482</v>
      </c>
      <c r="L23" s="204"/>
      <c r="M23" s="203"/>
    </row>
    <row r="24" spans="1:17" ht="15" x14ac:dyDescent="0.25">
      <c r="A24" s="1">
        <v>20</v>
      </c>
      <c r="B24" s="32" t="s">
        <v>676</v>
      </c>
      <c r="C24" s="32">
        <v>3585</v>
      </c>
      <c r="D24" s="32">
        <v>20000</v>
      </c>
      <c r="E24" s="1" t="s">
        <v>80</v>
      </c>
      <c r="F24" s="1">
        <v>222.82</v>
      </c>
      <c r="G24" s="1">
        <v>20000</v>
      </c>
      <c r="H24" s="1">
        <f t="shared" si="1"/>
        <v>0</v>
      </c>
      <c r="I24" s="89">
        <v>200000</v>
      </c>
      <c r="J24" s="423" t="s">
        <v>707</v>
      </c>
      <c r="K24" s="204" t="s">
        <v>482</v>
      </c>
      <c r="L24" s="204"/>
      <c r="M24" s="203"/>
    </row>
    <row r="25" spans="1:17" ht="15" x14ac:dyDescent="0.25">
      <c r="A25" s="1">
        <v>21</v>
      </c>
      <c r="B25" s="32" t="s">
        <v>676</v>
      </c>
      <c r="C25" s="32">
        <v>3339</v>
      </c>
      <c r="D25" s="32">
        <v>25000</v>
      </c>
      <c r="E25" s="1" t="s">
        <v>80</v>
      </c>
      <c r="F25" s="1">
        <v>278.22000000000003</v>
      </c>
      <c r="G25" s="1">
        <v>25000</v>
      </c>
      <c r="H25" s="1">
        <f t="shared" si="1"/>
        <v>0</v>
      </c>
      <c r="I25" s="89">
        <v>200000</v>
      </c>
      <c r="J25" s="423" t="s">
        <v>709</v>
      </c>
      <c r="K25" s="204" t="s">
        <v>482</v>
      </c>
      <c r="L25" s="204"/>
      <c r="M25" s="203"/>
    </row>
    <row r="26" spans="1:17" ht="15.75" thickBot="1" x14ac:dyDescent="0.3">
      <c r="A26" s="1">
        <v>22</v>
      </c>
      <c r="B26" s="32" t="s">
        <v>676</v>
      </c>
      <c r="C26" s="32">
        <v>7689</v>
      </c>
      <c r="D26" s="32">
        <v>30000</v>
      </c>
      <c r="E26" s="1" t="s">
        <v>80</v>
      </c>
      <c r="F26" s="1">
        <v>334.82</v>
      </c>
      <c r="G26" s="1">
        <v>30000</v>
      </c>
      <c r="H26" s="1">
        <f t="shared" ref="H26:H88" si="2">D26-G26</f>
        <v>0</v>
      </c>
      <c r="I26" s="89">
        <v>300000</v>
      </c>
      <c r="J26" s="423" t="s">
        <v>711</v>
      </c>
      <c r="K26" s="204" t="s">
        <v>482</v>
      </c>
      <c r="L26" s="204"/>
      <c r="M26" s="203"/>
    </row>
    <row r="27" spans="1:17" ht="15.75" thickBot="1" x14ac:dyDescent="0.3">
      <c r="A27" s="1">
        <v>23</v>
      </c>
      <c r="B27" s="32" t="s">
        <v>676</v>
      </c>
      <c r="C27" s="32">
        <v>2535</v>
      </c>
      <c r="D27" s="32">
        <v>14000</v>
      </c>
      <c r="E27" s="1" t="s">
        <v>80</v>
      </c>
      <c r="F27" s="1">
        <v>155.68</v>
      </c>
      <c r="G27" s="1">
        <v>14000</v>
      </c>
      <c r="H27" s="1">
        <f t="shared" si="2"/>
        <v>0</v>
      </c>
      <c r="I27" s="89">
        <v>700000</v>
      </c>
      <c r="J27" s="423" t="s">
        <v>712</v>
      </c>
      <c r="K27" s="204" t="s">
        <v>482</v>
      </c>
      <c r="L27" s="204"/>
      <c r="M27" s="203"/>
      <c r="N27" s="103">
        <f>2255286-2248643</f>
        <v>6643</v>
      </c>
      <c r="O27" s="359" t="s">
        <v>667</v>
      </c>
      <c r="P27" s="367" t="s">
        <v>620</v>
      </c>
      <c r="Q27" s="360">
        <f>10319-6643</f>
        <v>3676</v>
      </c>
    </row>
    <row r="28" spans="1:17" s="425" customFormat="1" ht="15" x14ac:dyDescent="0.25">
      <c r="A28" s="1">
        <v>24</v>
      </c>
      <c r="B28" s="32" t="s">
        <v>679</v>
      </c>
      <c r="C28" s="32" t="s">
        <v>634</v>
      </c>
      <c r="D28" s="32">
        <v>3500</v>
      </c>
      <c r="E28" s="1" t="s">
        <v>80</v>
      </c>
      <c r="F28" s="1">
        <v>38.450000000000003</v>
      </c>
      <c r="G28" s="1">
        <v>3500</v>
      </c>
      <c r="H28" s="1">
        <f t="shared" si="2"/>
        <v>0</v>
      </c>
      <c r="I28" s="89">
        <v>700000</v>
      </c>
      <c r="J28" s="423" t="s">
        <v>715</v>
      </c>
      <c r="K28" s="204" t="s">
        <v>482</v>
      </c>
      <c r="L28" s="204"/>
      <c r="M28" s="203"/>
      <c r="N28" s="388"/>
      <c r="O28" s="48"/>
      <c r="P28" s="370"/>
      <c r="Q28" s="48"/>
    </row>
    <row r="29" spans="1:17" s="425" customFormat="1" ht="15" x14ac:dyDescent="0.25">
      <c r="A29" s="1">
        <v>25</v>
      </c>
      <c r="B29" s="32" t="s">
        <v>679</v>
      </c>
      <c r="C29" s="32" t="s">
        <v>30</v>
      </c>
      <c r="D29" s="32">
        <v>5000</v>
      </c>
      <c r="E29" s="1" t="s">
        <v>80</v>
      </c>
      <c r="F29" s="1">
        <v>55.45</v>
      </c>
      <c r="G29" s="1">
        <v>5000</v>
      </c>
      <c r="H29" s="1">
        <f t="shared" si="2"/>
        <v>0</v>
      </c>
      <c r="I29" s="89">
        <v>500000</v>
      </c>
      <c r="J29" s="423" t="s">
        <v>716</v>
      </c>
      <c r="K29" s="204" t="s">
        <v>482</v>
      </c>
      <c r="L29" s="204"/>
      <c r="M29" s="203"/>
      <c r="N29" s="388"/>
      <c r="O29" s="48"/>
      <c r="P29" s="370"/>
      <c r="Q29" s="48"/>
    </row>
    <row r="30" spans="1:17" s="425" customFormat="1" ht="15" x14ac:dyDescent="0.25">
      <c r="A30" s="1">
        <v>26</v>
      </c>
      <c r="B30" s="32" t="s">
        <v>679</v>
      </c>
      <c r="C30" s="32">
        <v>2832</v>
      </c>
      <c r="D30" s="32">
        <v>32000</v>
      </c>
      <c r="E30" s="1" t="s">
        <v>80</v>
      </c>
      <c r="F30" s="1">
        <v>353.84</v>
      </c>
      <c r="G30" s="1">
        <v>32000</v>
      </c>
      <c r="H30" s="1">
        <f t="shared" si="2"/>
        <v>0</v>
      </c>
      <c r="I30" s="89">
        <v>400000</v>
      </c>
      <c r="J30" s="423" t="s">
        <v>718</v>
      </c>
      <c r="K30" s="204" t="s">
        <v>482</v>
      </c>
      <c r="L30" s="204"/>
      <c r="M30" s="203"/>
      <c r="N30" s="388"/>
      <c r="O30" s="48"/>
      <c r="P30" s="370"/>
      <c r="Q30" s="48"/>
    </row>
    <row r="31" spans="1:17" s="425" customFormat="1" ht="15" x14ac:dyDescent="0.25">
      <c r="A31" s="1">
        <v>27</v>
      </c>
      <c r="B31" s="32" t="s">
        <v>679</v>
      </c>
      <c r="C31" s="32">
        <v>1744</v>
      </c>
      <c r="D31" s="32">
        <v>20000</v>
      </c>
      <c r="E31" s="1" t="s">
        <v>80</v>
      </c>
      <c r="F31" s="1">
        <v>222.82</v>
      </c>
      <c r="G31" s="1">
        <v>20000</v>
      </c>
      <c r="H31" s="1">
        <f t="shared" si="2"/>
        <v>0</v>
      </c>
      <c r="I31" s="89">
        <v>300000</v>
      </c>
      <c r="J31" s="423" t="s">
        <v>720</v>
      </c>
      <c r="K31" s="204" t="s">
        <v>482</v>
      </c>
      <c r="L31" s="204"/>
      <c r="M31" s="203"/>
      <c r="N31" s="388"/>
      <c r="O31" s="48"/>
      <c r="P31" s="370"/>
      <c r="Q31" s="48"/>
    </row>
    <row r="32" spans="1:17" s="425" customFormat="1" ht="15" x14ac:dyDescent="0.25">
      <c r="A32" s="1">
        <v>28</v>
      </c>
      <c r="B32" s="32" t="s">
        <v>679</v>
      </c>
      <c r="C32" s="32">
        <v>5091</v>
      </c>
      <c r="D32" s="32">
        <v>10000</v>
      </c>
      <c r="E32" s="1" t="s">
        <v>80</v>
      </c>
      <c r="F32" s="1">
        <v>111.41</v>
      </c>
      <c r="G32" s="1">
        <v>10000</v>
      </c>
      <c r="H32" s="1">
        <f t="shared" si="2"/>
        <v>0</v>
      </c>
      <c r="I32" s="89">
        <v>400000</v>
      </c>
      <c r="J32" s="423" t="s">
        <v>721</v>
      </c>
      <c r="K32" s="204" t="s">
        <v>482</v>
      </c>
      <c r="L32" s="204"/>
      <c r="M32" s="203"/>
      <c r="N32" s="388"/>
      <c r="O32" s="48"/>
      <c r="P32" s="370"/>
      <c r="Q32" s="48"/>
    </row>
    <row r="33" spans="1:17" s="425" customFormat="1" ht="15" x14ac:dyDescent="0.25">
      <c r="A33" s="1">
        <v>29</v>
      </c>
      <c r="B33" s="32" t="s">
        <v>679</v>
      </c>
      <c r="C33" s="32">
        <v>6957</v>
      </c>
      <c r="D33" s="32">
        <v>17000</v>
      </c>
      <c r="E33" s="1" t="s">
        <v>80</v>
      </c>
      <c r="F33" s="1">
        <v>189.87</v>
      </c>
      <c r="G33" s="1">
        <v>17000</v>
      </c>
      <c r="H33" s="1">
        <f t="shared" si="2"/>
        <v>0</v>
      </c>
      <c r="I33" s="89"/>
      <c r="J33" s="423"/>
      <c r="K33" s="204"/>
      <c r="L33" s="204"/>
      <c r="M33" s="203"/>
      <c r="N33" s="388"/>
      <c r="O33" s="48"/>
      <c r="P33" s="370"/>
      <c r="Q33" s="48"/>
    </row>
    <row r="34" spans="1:17" s="425" customFormat="1" ht="15" x14ac:dyDescent="0.25">
      <c r="A34" s="1">
        <v>30</v>
      </c>
      <c r="B34" s="32" t="s">
        <v>679</v>
      </c>
      <c r="C34" s="32" t="s">
        <v>30</v>
      </c>
      <c r="D34" s="32">
        <v>4500</v>
      </c>
      <c r="E34" s="1" t="s">
        <v>80</v>
      </c>
      <c r="F34" s="1">
        <v>50.45</v>
      </c>
      <c r="G34" s="1">
        <v>4500</v>
      </c>
      <c r="H34" s="1">
        <f t="shared" si="2"/>
        <v>0</v>
      </c>
      <c r="I34" s="89"/>
      <c r="J34" s="423"/>
      <c r="K34" s="204"/>
      <c r="L34" s="204"/>
      <c r="M34" s="203"/>
      <c r="N34" s="388"/>
      <c r="O34" s="48"/>
      <c r="P34" s="370"/>
      <c r="Q34" s="48"/>
    </row>
    <row r="35" spans="1:17" s="425" customFormat="1" ht="15" x14ac:dyDescent="0.25">
      <c r="A35" s="1">
        <v>31</v>
      </c>
      <c r="B35" s="32" t="s">
        <v>679</v>
      </c>
      <c r="C35" s="32">
        <v>5958</v>
      </c>
      <c r="D35" s="32">
        <v>7000</v>
      </c>
      <c r="E35" s="1" t="s">
        <v>80</v>
      </c>
      <c r="F35" s="1">
        <v>77.849999999999994</v>
      </c>
      <c r="G35" s="1">
        <v>7000</v>
      </c>
      <c r="H35" s="1">
        <f t="shared" si="2"/>
        <v>0</v>
      </c>
      <c r="I35" s="89"/>
      <c r="J35" s="423"/>
      <c r="K35" s="204"/>
      <c r="L35" s="204"/>
      <c r="M35" s="203"/>
      <c r="N35" s="388"/>
      <c r="O35" s="48"/>
      <c r="P35" s="370"/>
      <c r="Q35" s="48"/>
    </row>
    <row r="36" spans="1:17" s="425" customFormat="1" ht="15" x14ac:dyDescent="0.25">
      <c r="A36" s="1">
        <v>32</v>
      </c>
      <c r="B36" s="32" t="s">
        <v>679</v>
      </c>
      <c r="C36" s="32">
        <v>7258</v>
      </c>
      <c r="D36" s="32">
        <v>27850</v>
      </c>
      <c r="E36" s="1" t="s">
        <v>80</v>
      </c>
      <c r="F36" s="1">
        <v>310.67</v>
      </c>
      <c r="G36" s="1">
        <v>27850</v>
      </c>
      <c r="H36" s="1">
        <f t="shared" si="2"/>
        <v>0</v>
      </c>
      <c r="I36" s="89"/>
      <c r="J36" s="423"/>
      <c r="K36" s="204"/>
      <c r="L36" s="204"/>
      <c r="M36" s="203"/>
      <c r="N36" s="388"/>
      <c r="O36" s="48"/>
      <c r="P36" s="370"/>
      <c r="Q36" s="48"/>
    </row>
    <row r="37" spans="1:17" s="425" customFormat="1" ht="15" x14ac:dyDescent="0.25">
      <c r="A37" s="1">
        <v>33</v>
      </c>
      <c r="B37" s="32" t="s">
        <v>679</v>
      </c>
      <c r="C37" s="32">
        <v>3763</v>
      </c>
      <c r="D37" s="32">
        <v>18000</v>
      </c>
      <c r="E37" s="1" t="s">
        <v>80</v>
      </c>
      <c r="F37" s="1">
        <v>200.18</v>
      </c>
      <c r="G37" s="1">
        <v>18000</v>
      </c>
      <c r="H37" s="1">
        <f t="shared" si="2"/>
        <v>0</v>
      </c>
      <c r="I37" s="89"/>
      <c r="J37" s="423"/>
      <c r="K37" s="204"/>
      <c r="L37" s="204"/>
      <c r="M37" s="203"/>
      <c r="N37" s="388"/>
      <c r="O37" s="48"/>
      <c r="P37" s="370"/>
      <c r="Q37" s="48"/>
    </row>
    <row r="38" spans="1:17" s="425" customFormat="1" ht="15" x14ac:dyDescent="0.25">
      <c r="A38" s="1">
        <v>34</v>
      </c>
      <c r="B38" s="32" t="s">
        <v>679</v>
      </c>
      <c r="C38" s="32">
        <v>7677</v>
      </c>
      <c r="D38" s="32">
        <v>14000</v>
      </c>
      <c r="E38" s="1" t="s">
        <v>80</v>
      </c>
      <c r="F38" s="1">
        <v>155.82</v>
      </c>
      <c r="G38" s="1">
        <v>14000</v>
      </c>
      <c r="H38" s="1">
        <f t="shared" si="2"/>
        <v>0</v>
      </c>
      <c r="I38" s="89"/>
      <c r="J38" s="423"/>
      <c r="K38" s="204"/>
      <c r="L38" s="204"/>
      <c r="M38" s="203"/>
      <c r="N38" s="388"/>
      <c r="O38" s="48"/>
      <c r="P38" s="370"/>
      <c r="Q38" s="48"/>
    </row>
    <row r="39" spans="1:17" s="425" customFormat="1" ht="15" x14ac:dyDescent="0.25">
      <c r="A39" s="1">
        <v>35</v>
      </c>
      <c r="B39" s="32" t="s">
        <v>679</v>
      </c>
      <c r="C39" s="32">
        <v>9977</v>
      </c>
      <c r="D39" s="32">
        <v>14000</v>
      </c>
      <c r="E39" s="1" t="s">
        <v>80</v>
      </c>
      <c r="F39" s="1">
        <v>155.47</v>
      </c>
      <c r="G39" s="1">
        <v>14000</v>
      </c>
      <c r="H39" s="1">
        <f t="shared" si="2"/>
        <v>0</v>
      </c>
      <c r="I39" s="89"/>
      <c r="J39" s="423"/>
      <c r="K39" s="204"/>
      <c r="L39" s="204"/>
      <c r="M39" s="203"/>
      <c r="N39" s="388"/>
      <c r="O39" s="48"/>
      <c r="P39" s="370"/>
      <c r="Q39" s="48"/>
    </row>
    <row r="40" spans="1:17" s="425" customFormat="1" ht="15" x14ac:dyDescent="0.25">
      <c r="A40" s="1">
        <v>36</v>
      </c>
      <c r="B40" s="32" t="s">
        <v>679</v>
      </c>
      <c r="C40" s="32">
        <v>5872</v>
      </c>
      <c r="D40" s="32">
        <v>20000</v>
      </c>
      <c r="E40" s="1" t="s">
        <v>80</v>
      </c>
      <c r="F40" s="1">
        <v>222.82</v>
      </c>
      <c r="G40" s="1">
        <v>20000</v>
      </c>
      <c r="H40" s="1">
        <f t="shared" si="2"/>
        <v>0</v>
      </c>
      <c r="I40" s="89"/>
      <c r="J40" s="423"/>
      <c r="K40" s="204"/>
      <c r="L40" s="204"/>
      <c r="M40" s="203"/>
      <c r="N40" s="388"/>
      <c r="O40" s="48"/>
      <c r="P40" s="370"/>
      <c r="Q40" s="48"/>
    </row>
    <row r="41" spans="1:17" s="425" customFormat="1" ht="15" x14ac:dyDescent="0.25">
      <c r="A41" s="1">
        <v>37</v>
      </c>
      <c r="B41" s="32" t="s">
        <v>679</v>
      </c>
      <c r="C41" s="32">
        <v>3977</v>
      </c>
      <c r="D41" s="32">
        <v>20000</v>
      </c>
      <c r="E41" s="1" t="s">
        <v>642</v>
      </c>
      <c r="F41" s="1">
        <v>222.82</v>
      </c>
      <c r="G41" s="1">
        <v>20000</v>
      </c>
      <c r="H41" s="1">
        <f t="shared" si="2"/>
        <v>0</v>
      </c>
      <c r="I41" s="89"/>
      <c r="J41" s="423"/>
      <c r="K41" s="204"/>
      <c r="L41" s="204"/>
      <c r="M41" s="203"/>
      <c r="N41" s="388"/>
      <c r="O41" s="48"/>
      <c r="P41" s="370"/>
      <c r="Q41" s="48"/>
    </row>
    <row r="42" spans="1:17" s="425" customFormat="1" ht="15" x14ac:dyDescent="0.25">
      <c r="A42" s="1">
        <v>38</v>
      </c>
      <c r="B42" s="32" t="s">
        <v>679</v>
      </c>
      <c r="C42" s="32">
        <v>2323</v>
      </c>
      <c r="D42" s="32">
        <v>25000</v>
      </c>
      <c r="E42" s="1" t="s">
        <v>642</v>
      </c>
      <c r="F42" s="1">
        <v>278.22000000000003</v>
      </c>
      <c r="G42" s="1">
        <v>25000</v>
      </c>
      <c r="H42" s="1">
        <f t="shared" si="2"/>
        <v>0</v>
      </c>
      <c r="I42" s="89"/>
      <c r="J42" s="423"/>
      <c r="K42" s="204"/>
      <c r="L42" s="204"/>
      <c r="M42" s="203"/>
      <c r="N42" s="388"/>
      <c r="O42" s="48"/>
      <c r="P42" s="370"/>
      <c r="Q42" s="48"/>
    </row>
    <row r="43" spans="1:17" s="425" customFormat="1" ht="15" x14ac:dyDescent="0.25">
      <c r="A43" s="1">
        <v>39</v>
      </c>
      <c r="B43" s="32" t="s">
        <v>679</v>
      </c>
      <c r="C43" s="32">
        <v>1286</v>
      </c>
      <c r="D43" s="32">
        <v>23000</v>
      </c>
      <c r="E43" s="1" t="s">
        <v>642</v>
      </c>
      <c r="F43" s="1">
        <v>256.72000000000003</v>
      </c>
      <c r="G43" s="1">
        <v>23000</v>
      </c>
      <c r="H43" s="1">
        <f t="shared" si="2"/>
        <v>0</v>
      </c>
      <c r="I43" s="89"/>
      <c r="J43" s="423"/>
      <c r="K43" s="204"/>
      <c r="L43" s="204"/>
      <c r="M43" s="203"/>
      <c r="N43" s="388"/>
      <c r="O43" s="48"/>
      <c r="P43" s="370"/>
      <c r="Q43" s="48"/>
    </row>
    <row r="44" spans="1:17" s="425" customFormat="1" ht="15" x14ac:dyDescent="0.25">
      <c r="A44" s="1">
        <v>40</v>
      </c>
      <c r="B44" s="32" t="s">
        <v>679</v>
      </c>
      <c r="C44" s="32">
        <v>9457</v>
      </c>
      <c r="D44" s="32">
        <v>30000</v>
      </c>
      <c r="E44" s="1" t="s">
        <v>642</v>
      </c>
      <c r="F44" s="1">
        <v>334.95</v>
      </c>
      <c r="G44" s="1">
        <v>30000</v>
      </c>
      <c r="H44" s="1">
        <f t="shared" si="2"/>
        <v>0</v>
      </c>
      <c r="I44" s="89"/>
      <c r="J44" s="423"/>
      <c r="K44" s="204"/>
      <c r="L44" s="204"/>
      <c r="M44" s="203"/>
      <c r="N44" s="388"/>
      <c r="O44" s="48"/>
      <c r="P44" s="370"/>
      <c r="Q44" s="48"/>
    </row>
    <row r="45" spans="1:17" s="425" customFormat="1" ht="15" x14ac:dyDescent="0.25">
      <c r="A45" s="1">
        <v>41</v>
      </c>
      <c r="B45" s="32" t="s">
        <v>679</v>
      </c>
      <c r="C45" s="32">
        <v>5137</v>
      </c>
      <c r="D45" s="32">
        <v>20000</v>
      </c>
      <c r="E45" s="1" t="s">
        <v>642</v>
      </c>
      <c r="F45" s="1">
        <v>222.82</v>
      </c>
      <c r="G45" s="1">
        <v>20000</v>
      </c>
      <c r="H45" s="1">
        <f t="shared" si="2"/>
        <v>0</v>
      </c>
      <c r="I45" s="89"/>
      <c r="J45" s="423"/>
      <c r="K45" s="204"/>
      <c r="L45" s="204"/>
      <c r="M45" s="203"/>
      <c r="N45" s="388"/>
      <c r="O45" s="48"/>
      <c r="P45" s="370"/>
      <c r="Q45" s="48"/>
    </row>
    <row r="46" spans="1:17" s="425" customFormat="1" ht="15" x14ac:dyDescent="0.25">
      <c r="A46" s="1">
        <v>42</v>
      </c>
      <c r="B46" s="32" t="s">
        <v>679</v>
      </c>
      <c r="C46" s="32">
        <v>5103</v>
      </c>
      <c r="D46" s="32">
        <v>20000</v>
      </c>
      <c r="E46" s="1" t="s">
        <v>642</v>
      </c>
      <c r="F46" s="1">
        <v>222.82</v>
      </c>
      <c r="G46" s="1">
        <v>20000</v>
      </c>
      <c r="H46" s="1">
        <f t="shared" si="2"/>
        <v>0</v>
      </c>
      <c r="I46" s="89"/>
      <c r="J46" s="423"/>
      <c r="K46" s="204"/>
      <c r="L46" s="204"/>
      <c r="M46" s="203"/>
      <c r="N46" s="388"/>
      <c r="O46" s="48"/>
      <c r="P46" s="370"/>
      <c r="Q46" s="48"/>
    </row>
    <row r="47" spans="1:17" s="425" customFormat="1" ht="15" x14ac:dyDescent="0.25">
      <c r="A47" s="1">
        <v>43</v>
      </c>
      <c r="B47" s="32" t="s">
        <v>679</v>
      </c>
      <c r="C47" s="32">
        <v>4252</v>
      </c>
      <c r="D47" s="32">
        <v>18000</v>
      </c>
      <c r="E47" s="1" t="s">
        <v>642</v>
      </c>
      <c r="F47" s="1">
        <v>200.18</v>
      </c>
      <c r="G47" s="1">
        <v>18000</v>
      </c>
      <c r="H47" s="1">
        <f t="shared" si="2"/>
        <v>0</v>
      </c>
      <c r="I47" s="89"/>
      <c r="J47" s="423"/>
      <c r="K47" s="204"/>
      <c r="L47" s="204"/>
      <c r="M47" s="203"/>
      <c r="N47" s="388"/>
      <c r="O47" s="48"/>
      <c r="P47" s="370"/>
      <c r="Q47" s="48"/>
    </row>
    <row r="48" spans="1:17" s="425" customFormat="1" ht="15" x14ac:dyDescent="0.25">
      <c r="A48" s="1">
        <v>44</v>
      </c>
      <c r="B48" s="32" t="s">
        <v>679</v>
      </c>
      <c r="C48" s="32">
        <v>2790</v>
      </c>
      <c r="D48" s="32">
        <v>25000</v>
      </c>
      <c r="E48" s="1" t="s">
        <v>642</v>
      </c>
      <c r="F48" s="1">
        <v>278.22000000000003</v>
      </c>
      <c r="G48" s="1">
        <v>25000</v>
      </c>
      <c r="H48" s="1">
        <f t="shared" si="2"/>
        <v>0</v>
      </c>
      <c r="I48" s="89"/>
      <c r="J48" s="423"/>
      <c r="K48" s="204"/>
      <c r="L48" s="204"/>
      <c r="M48" s="203"/>
      <c r="N48" s="388"/>
      <c r="O48" s="48"/>
      <c r="P48" s="370"/>
      <c r="Q48" s="48"/>
    </row>
    <row r="49" spans="1:17" s="425" customFormat="1" ht="15" x14ac:dyDescent="0.25">
      <c r="A49" s="1">
        <v>45</v>
      </c>
      <c r="B49" s="32" t="s">
        <v>679</v>
      </c>
      <c r="C49" s="32">
        <v>1212</v>
      </c>
      <c r="D49" s="32">
        <v>20000</v>
      </c>
      <c r="E49" s="1" t="s">
        <v>642</v>
      </c>
      <c r="F49" s="1">
        <v>222.82</v>
      </c>
      <c r="G49" s="1">
        <v>20000</v>
      </c>
      <c r="H49" s="1">
        <f t="shared" si="2"/>
        <v>0</v>
      </c>
      <c r="I49" s="89"/>
      <c r="J49" s="423"/>
      <c r="K49" s="204"/>
      <c r="L49" s="204"/>
      <c r="M49" s="203"/>
      <c r="N49" s="388"/>
      <c r="O49" s="48"/>
      <c r="P49" s="370"/>
      <c r="Q49" s="48"/>
    </row>
    <row r="50" spans="1:17" s="425" customFormat="1" ht="15.75" thickBot="1" x14ac:dyDescent="0.3">
      <c r="A50" s="1">
        <v>46</v>
      </c>
      <c r="B50" s="32" t="s">
        <v>679</v>
      </c>
      <c r="C50" s="32">
        <v>4225</v>
      </c>
      <c r="D50" s="32">
        <v>30000</v>
      </c>
      <c r="E50" s="1" t="s">
        <v>642</v>
      </c>
      <c r="F50" s="1">
        <v>334.95</v>
      </c>
      <c r="G50" s="1">
        <v>30000</v>
      </c>
      <c r="H50" s="1">
        <f t="shared" si="2"/>
        <v>0</v>
      </c>
      <c r="I50" s="89"/>
      <c r="J50" s="423"/>
      <c r="K50" s="204"/>
      <c r="L50" s="204"/>
      <c r="M50" s="203"/>
      <c r="N50" s="388"/>
      <c r="O50" s="48"/>
      <c r="P50" s="370"/>
      <c r="Q50" s="48"/>
    </row>
    <row r="51" spans="1:17" s="425" customFormat="1" ht="15.75" thickBot="1" x14ac:dyDescent="0.3">
      <c r="A51" s="1">
        <v>47</v>
      </c>
      <c r="B51" s="85" t="s">
        <v>679</v>
      </c>
      <c r="C51" s="85">
        <v>3468</v>
      </c>
      <c r="D51" s="85">
        <v>23000</v>
      </c>
      <c r="E51" s="70" t="s">
        <v>642</v>
      </c>
      <c r="F51" s="70">
        <v>256.62</v>
      </c>
      <c r="G51" s="70">
        <v>23000</v>
      </c>
      <c r="H51" s="70">
        <f t="shared" si="2"/>
        <v>0</v>
      </c>
      <c r="I51" s="89"/>
      <c r="J51" s="423"/>
      <c r="K51" s="204"/>
      <c r="L51" s="204"/>
      <c r="M51" s="203"/>
      <c r="N51" s="103">
        <f>2311293-2304086</f>
        <v>7207</v>
      </c>
      <c r="O51" s="359" t="s">
        <v>667</v>
      </c>
      <c r="P51" s="367" t="s">
        <v>620</v>
      </c>
      <c r="Q51" s="360">
        <f>10319-7207</f>
        <v>3112</v>
      </c>
    </row>
    <row r="52" spans="1:17" s="426" customFormat="1" ht="15" x14ac:dyDescent="0.25">
      <c r="A52" s="1">
        <v>48</v>
      </c>
      <c r="B52" s="32" t="s">
        <v>680</v>
      </c>
      <c r="C52" s="32">
        <v>1827</v>
      </c>
      <c r="D52" s="32">
        <v>12500</v>
      </c>
      <c r="E52" s="1" t="s">
        <v>80</v>
      </c>
      <c r="F52" s="1">
        <v>139.52000000000001</v>
      </c>
      <c r="G52" s="1">
        <v>12500</v>
      </c>
      <c r="H52" s="1">
        <f t="shared" si="2"/>
        <v>0</v>
      </c>
      <c r="I52" s="89"/>
      <c r="J52" s="423"/>
      <c r="K52" s="204"/>
      <c r="L52" s="204"/>
      <c r="M52" s="203"/>
      <c r="N52" s="388"/>
      <c r="O52" s="48"/>
      <c r="P52" s="370"/>
      <c r="Q52" s="48"/>
    </row>
    <row r="53" spans="1:17" s="426" customFormat="1" ht="15" x14ac:dyDescent="0.25">
      <c r="A53" s="1">
        <v>49</v>
      </c>
      <c r="B53" s="32" t="s">
        <v>680</v>
      </c>
      <c r="C53" s="32" t="s">
        <v>30</v>
      </c>
      <c r="D53" s="32">
        <v>4500</v>
      </c>
      <c r="E53" s="1" t="s">
        <v>80</v>
      </c>
      <c r="F53" s="1">
        <v>50.45</v>
      </c>
      <c r="G53" s="1">
        <v>4500</v>
      </c>
      <c r="H53" s="1">
        <f t="shared" si="2"/>
        <v>0</v>
      </c>
      <c r="I53" s="89"/>
      <c r="J53" s="423"/>
      <c r="K53" s="204"/>
      <c r="L53" s="204"/>
      <c r="M53" s="203"/>
      <c r="N53" s="388"/>
      <c r="O53" s="48"/>
      <c r="P53" s="370"/>
      <c r="Q53" s="48"/>
    </row>
    <row r="54" spans="1:17" s="426" customFormat="1" ht="15" x14ac:dyDescent="0.25">
      <c r="A54" s="1">
        <v>50</v>
      </c>
      <c r="B54" s="32" t="s">
        <v>680</v>
      </c>
      <c r="C54" s="32" t="s">
        <v>30</v>
      </c>
      <c r="D54" s="32">
        <v>5000</v>
      </c>
      <c r="E54" s="1" t="s">
        <v>80</v>
      </c>
      <c r="F54" s="1">
        <v>55.55</v>
      </c>
      <c r="G54" s="1">
        <v>5000</v>
      </c>
      <c r="H54" s="1">
        <f t="shared" si="2"/>
        <v>0</v>
      </c>
      <c r="I54" s="89"/>
      <c r="J54" s="423"/>
      <c r="K54" s="204"/>
      <c r="L54" s="204"/>
      <c r="M54" s="203"/>
      <c r="N54" s="388"/>
      <c r="O54" s="48"/>
      <c r="P54" s="370"/>
      <c r="Q54" s="48"/>
    </row>
    <row r="55" spans="1:17" s="426" customFormat="1" ht="15" x14ac:dyDescent="0.25">
      <c r="A55" s="1">
        <v>51</v>
      </c>
      <c r="B55" s="32" t="s">
        <v>680</v>
      </c>
      <c r="C55" s="32" t="s">
        <v>30</v>
      </c>
      <c r="D55" s="32">
        <v>5000</v>
      </c>
      <c r="E55" s="1" t="s">
        <v>80</v>
      </c>
      <c r="F55" s="1">
        <v>55.55</v>
      </c>
      <c r="G55" s="1">
        <v>5000</v>
      </c>
      <c r="H55" s="1">
        <f t="shared" si="2"/>
        <v>0</v>
      </c>
      <c r="I55" s="89"/>
      <c r="J55" s="423"/>
      <c r="K55" s="204"/>
      <c r="L55" s="204"/>
      <c r="M55" s="203"/>
      <c r="N55" s="388"/>
      <c r="O55" s="48"/>
      <c r="P55" s="370"/>
      <c r="Q55" s="48"/>
    </row>
    <row r="56" spans="1:17" s="426" customFormat="1" ht="15" x14ac:dyDescent="0.25">
      <c r="A56" s="1">
        <v>52</v>
      </c>
      <c r="B56" s="32" t="s">
        <v>680</v>
      </c>
      <c r="C56" s="32">
        <v>8474</v>
      </c>
      <c r="D56" s="32">
        <v>18000</v>
      </c>
      <c r="E56" s="1" t="s">
        <v>80</v>
      </c>
      <c r="F56" s="1">
        <v>200.82</v>
      </c>
      <c r="G56" s="1">
        <v>18000</v>
      </c>
      <c r="H56" s="1">
        <f t="shared" si="2"/>
        <v>0</v>
      </c>
      <c r="I56" s="89"/>
      <c r="J56" s="423"/>
      <c r="K56" s="204"/>
      <c r="L56" s="204"/>
      <c r="M56" s="203"/>
      <c r="N56" s="388"/>
      <c r="O56" s="48"/>
      <c r="P56" s="370"/>
      <c r="Q56" s="48"/>
    </row>
    <row r="57" spans="1:17" s="426" customFormat="1" ht="15" x14ac:dyDescent="0.25">
      <c r="A57" s="1">
        <v>53</v>
      </c>
      <c r="B57" s="32" t="s">
        <v>680</v>
      </c>
      <c r="C57" s="32">
        <v>8274</v>
      </c>
      <c r="D57" s="32">
        <v>21000</v>
      </c>
      <c r="E57" s="1" t="s">
        <v>80</v>
      </c>
      <c r="F57" s="1">
        <v>233.87</v>
      </c>
      <c r="G57" s="1">
        <v>21000</v>
      </c>
      <c r="H57" s="1">
        <f t="shared" si="2"/>
        <v>0</v>
      </c>
      <c r="I57" s="89"/>
      <c r="J57" s="423"/>
      <c r="K57" s="204"/>
      <c r="L57" s="204"/>
      <c r="M57" s="203"/>
      <c r="N57" s="388"/>
      <c r="O57" s="48"/>
      <c r="P57" s="370"/>
      <c r="Q57" s="48"/>
    </row>
    <row r="58" spans="1:17" s="426" customFormat="1" ht="15" x14ac:dyDescent="0.25">
      <c r="A58" s="1">
        <v>54</v>
      </c>
      <c r="B58" s="32" t="s">
        <v>680</v>
      </c>
      <c r="C58" s="32">
        <v>4365</v>
      </c>
      <c r="D58" s="32">
        <v>19000</v>
      </c>
      <c r="E58" s="1" t="s">
        <v>80</v>
      </c>
      <c r="F58" s="1">
        <v>211.75</v>
      </c>
      <c r="G58" s="1">
        <v>19000</v>
      </c>
      <c r="H58" s="1">
        <f t="shared" si="2"/>
        <v>0</v>
      </c>
      <c r="I58" s="89"/>
      <c r="J58" s="423"/>
      <c r="K58" s="204"/>
      <c r="L58" s="204"/>
      <c r="M58" s="203"/>
      <c r="N58" s="388"/>
      <c r="O58" s="48"/>
      <c r="P58" s="370"/>
      <c r="Q58" s="48"/>
    </row>
    <row r="59" spans="1:17" s="426" customFormat="1" ht="15" x14ac:dyDescent="0.25">
      <c r="A59" s="1">
        <v>55</v>
      </c>
      <c r="B59" s="32" t="s">
        <v>680</v>
      </c>
      <c r="C59" s="32">
        <v>5.8400000000000001E-2</v>
      </c>
      <c r="D59" s="32">
        <v>21000</v>
      </c>
      <c r="E59" s="1" t="s">
        <v>80</v>
      </c>
      <c r="F59" s="1">
        <v>233.75</v>
      </c>
      <c r="G59" s="1">
        <v>21000</v>
      </c>
      <c r="H59" s="1">
        <f t="shared" si="2"/>
        <v>0</v>
      </c>
      <c r="I59" s="89"/>
      <c r="J59" s="423"/>
      <c r="K59" s="204"/>
      <c r="L59" s="204"/>
      <c r="M59" s="203"/>
      <c r="N59" s="388"/>
      <c r="O59" s="48"/>
      <c r="P59" s="370"/>
      <c r="Q59" s="48"/>
    </row>
    <row r="60" spans="1:17" s="426" customFormat="1" ht="15" x14ac:dyDescent="0.25">
      <c r="A60" s="1">
        <v>56</v>
      </c>
      <c r="B60" s="32" t="s">
        <v>680</v>
      </c>
      <c r="C60" s="32">
        <v>4295</v>
      </c>
      <c r="D60" s="32">
        <v>36000</v>
      </c>
      <c r="E60" s="1" t="s">
        <v>80</v>
      </c>
      <c r="F60" s="1">
        <v>392.85</v>
      </c>
      <c r="G60" s="1">
        <v>36000</v>
      </c>
      <c r="H60" s="1">
        <f t="shared" si="2"/>
        <v>0</v>
      </c>
      <c r="I60" s="89"/>
      <c r="J60" s="423"/>
      <c r="K60" s="204"/>
      <c r="L60" s="204"/>
      <c r="M60" s="203"/>
      <c r="N60" s="388"/>
      <c r="O60" s="48"/>
      <c r="P60" s="370"/>
      <c r="Q60" s="48"/>
    </row>
    <row r="61" spans="1:17" s="426" customFormat="1" ht="15" x14ac:dyDescent="0.25">
      <c r="A61" s="1">
        <v>57</v>
      </c>
      <c r="B61" s="32" t="s">
        <v>680</v>
      </c>
      <c r="C61" s="32">
        <v>1547</v>
      </c>
      <c r="D61" s="32">
        <v>17000</v>
      </c>
      <c r="E61" s="1" t="s">
        <v>80</v>
      </c>
      <c r="F61" s="1">
        <v>189.64</v>
      </c>
      <c r="G61" s="1">
        <v>17000</v>
      </c>
      <c r="H61" s="1">
        <f t="shared" si="2"/>
        <v>0</v>
      </c>
      <c r="I61" s="89"/>
      <c r="J61" s="423"/>
      <c r="K61" s="204"/>
      <c r="L61" s="204"/>
      <c r="M61" s="203"/>
      <c r="N61" s="388"/>
      <c r="O61" s="48"/>
      <c r="P61" s="370"/>
      <c r="Q61" s="48"/>
    </row>
    <row r="62" spans="1:17" s="426" customFormat="1" ht="15" x14ac:dyDescent="0.25">
      <c r="A62" s="1">
        <v>58</v>
      </c>
      <c r="B62" s="32" t="s">
        <v>680</v>
      </c>
      <c r="C62" s="32">
        <v>6009</v>
      </c>
      <c r="D62" s="32">
        <v>25000</v>
      </c>
      <c r="E62" s="1" t="s">
        <v>80</v>
      </c>
      <c r="F62" s="1">
        <v>278.22000000000003</v>
      </c>
      <c r="G62" s="1">
        <v>25000</v>
      </c>
      <c r="H62" s="1">
        <f t="shared" si="2"/>
        <v>0</v>
      </c>
      <c r="I62" s="89"/>
      <c r="J62" s="423"/>
      <c r="K62" s="204"/>
      <c r="L62" s="204"/>
      <c r="M62" s="203"/>
      <c r="N62" s="388"/>
      <c r="O62" s="48"/>
      <c r="P62" s="370"/>
      <c r="Q62" s="48"/>
    </row>
    <row r="63" spans="1:17" s="426" customFormat="1" ht="15" x14ac:dyDescent="0.25">
      <c r="A63" s="1">
        <v>59</v>
      </c>
      <c r="B63" s="32" t="s">
        <v>680</v>
      </c>
      <c r="C63" s="32">
        <v>6212</v>
      </c>
      <c r="D63" s="32">
        <v>20000</v>
      </c>
      <c r="E63" s="1" t="s">
        <v>80</v>
      </c>
      <c r="F63" s="1">
        <v>222.82</v>
      </c>
      <c r="G63" s="1">
        <v>20000</v>
      </c>
      <c r="H63" s="1">
        <f t="shared" si="2"/>
        <v>0</v>
      </c>
      <c r="I63" s="89"/>
      <c r="J63" s="423"/>
      <c r="K63" s="204"/>
      <c r="L63" s="204"/>
      <c r="M63" s="203"/>
      <c r="N63" s="388"/>
      <c r="O63" s="48"/>
      <c r="P63" s="370"/>
      <c r="Q63" s="48"/>
    </row>
    <row r="64" spans="1:17" s="426" customFormat="1" ht="15" x14ac:dyDescent="0.25">
      <c r="A64" s="1">
        <v>60</v>
      </c>
      <c r="B64" s="32" t="s">
        <v>680</v>
      </c>
      <c r="C64" s="32">
        <v>9944</v>
      </c>
      <c r="D64" s="32">
        <v>30000</v>
      </c>
      <c r="E64" s="1" t="s">
        <v>80</v>
      </c>
      <c r="F64" s="1">
        <v>334.82</v>
      </c>
      <c r="G64" s="1">
        <v>30000</v>
      </c>
      <c r="H64" s="1">
        <f t="shared" si="2"/>
        <v>0</v>
      </c>
      <c r="I64" s="89"/>
      <c r="J64" s="423"/>
      <c r="K64" s="204"/>
      <c r="L64" s="204"/>
      <c r="M64" s="203"/>
      <c r="N64" s="388"/>
      <c r="O64" s="48"/>
      <c r="P64" s="370"/>
      <c r="Q64" s="48"/>
    </row>
    <row r="65" spans="1:17" s="426" customFormat="1" ht="15" x14ac:dyDescent="0.25">
      <c r="A65" s="1">
        <v>61</v>
      </c>
      <c r="B65" s="32" t="s">
        <v>680</v>
      </c>
      <c r="C65" s="32">
        <v>9330</v>
      </c>
      <c r="D65" s="32">
        <v>30000</v>
      </c>
      <c r="E65" s="1" t="s">
        <v>80</v>
      </c>
      <c r="F65" s="1">
        <v>334.82</v>
      </c>
      <c r="G65" s="1">
        <v>30000</v>
      </c>
      <c r="H65" s="1">
        <f t="shared" si="2"/>
        <v>0</v>
      </c>
      <c r="I65" s="89"/>
      <c r="J65" s="423"/>
      <c r="K65" s="204"/>
      <c r="L65" s="204"/>
      <c r="M65" s="203"/>
      <c r="N65" s="388"/>
      <c r="O65" s="48"/>
      <c r="P65" s="370"/>
      <c r="Q65" s="48"/>
    </row>
    <row r="66" spans="1:17" s="426" customFormat="1" ht="15" x14ac:dyDescent="0.25">
      <c r="A66" s="1">
        <v>62</v>
      </c>
      <c r="B66" s="32" t="s">
        <v>680</v>
      </c>
      <c r="C66" s="32">
        <v>6126</v>
      </c>
      <c r="D66" s="32">
        <v>30000</v>
      </c>
      <c r="E66" s="1" t="s">
        <v>80</v>
      </c>
      <c r="F66" s="1">
        <v>334.82</v>
      </c>
      <c r="G66" s="1">
        <v>30000</v>
      </c>
      <c r="H66" s="1">
        <f t="shared" si="2"/>
        <v>0</v>
      </c>
      <c r="I66" s="89"/>
      <c r="J66" s="423"/>
      <c r="K66" s="204"/>
      <c r="L66" s="204"/>
      <c r="M66" s="203"/>
      <c r="N66" s="388"/>
      <c r="O66" s="48"/>
      <c r="P66" s="370"/>
      <c r="Q66" s="48"/>
    </row>
    <row r="67" spans="1:17" s="426" customFormat="1" ht="15" x14ac:dyDescent="0.25">
      <c r="A67" s="1">
        <v>63</v>
      </c>
      <c r="B67" s="32" t="s">
        <v>680</v>
      </c>
      <c r="C67" s="32">
        <v>9.0499999999999997E-2</v>
      </c>
      <c r="D67" s="32">
        <v>24000</v>
      </c>
      <c r="E67" s="1" t="s">
        <v>80</v>
      </c>
      <c r="F67" s="1">
        <v>267.85000000000002</v>
      </c>
      <c r="G67" s="1">
        <v>24000</v>
      </c>
      <c r="H67" s="1">
        <f t="shared" si="2"/>
        <v>0</v>
      </c>
      <c r="I67" s="89"/>
      <c r="J67" s="423"/>
      <c r="K67" s="204"/>
      <c r="L67" s="204"/>
      <c r="M67" s="203"/>
      <c r="N67" s="388"/>
      <c r="O67" s="48"/>
      <c r="P67" s="370"/>
      <c r="Q67" s="48"/>
    </row>
    <row r="68" spans="1:17" s="426" customFormat="1" ht="15" x14ac:dyDescent="0.25">
      <c r="A68" s="1">
        <v>64</v>
      </c>
      <c r="B68" s="32" t="s">
        <v>680</v>
      </c>
      <c r="C68" s="32">
        <v>4409</v>
      </c>
      <c r="D68" s="32">
        <v>24000</v>
      </c>
      <c r="E68" s="1" t="s">
        <v>80</v>
      </c>
      <c r="F68" s="1">
        <v>267.85000000000002</v>
      </c>
      <c r="G68" s="1">
        <v>24000</v>
      </c>
      <c r="H68" s="1">
        <f t="shared" si="2"/>
        <v>0</v>
      </c>
      <c r="I68" s="89"/>
      <c r="J68" s="423"/>
      <c r="K68" s="204"/>
      <c r="L68" s="204"/>
      <c r="M68" s="203"/>
      <c r="N68" s="388"/>
      <c r="O68" s="48"/>
      <c r="P68" s="370"/>
      <c r="Q68" s="48"/>
    </row>
    <row r="69" spans="1:17" s="426" customFormat="1" ht="15" x14ac:dyDescent="0.25">
      <c r="A69" s="1">
        <v>65</v>
      </c>
      <c r="B69" s="32" t="s">
        <v>680</v>
      </c>
      <c r="C69" s="32">
        <v>7282</v>
      </c>
      <c r="D69" s="32">
        <v>25000</v>
      </c>
      <c r="E69" s="1" t="s">
        <v>80</v>
      </c>
      <c r="F69" s="1">
        <v>278.22000000000003</v>
      </c>
      <c r="G69" s="1">
        <v>25000</v>
      </c>
      <c r="H69" s="1">
        <f t="shared" si="2"/>
        <v>0</v>
      </c>
      <c r="I69" s="89"/>
      <c r="J69" s="423"/>
      <c r="K69" s="204"/>
      <c r="L69" s="204"/>
      <c r="M69" s="203"/>
      <c r="N69" s="388"/>
      <c r="O69" s="48"/>
      <c r="P69" s="370"/>
      <c r="Q69" s="48"/>
    </row>
    <row r="70" spans="1:17" s="426" customFormat="1" ht="15" x14ac:dyDescent="0.25">
      <c r="A70" s="1">
        <v>66</v>
      </c>
      <c r="B70" s="32" t="s">
        <v>680</v>
      </c>
      <c r="C70" s="32">
        <v>6365</v>
      </c>
      <c r="D70" s="32">
        <v>18000</v>
      </c>
      <c r="E70" s="1" t="s">
        <v>80</v>
      </c>
      <c r="F70" s="1">
        <v>200.18</v>
      </c>
      <c r="G70" s="1">
        <v>18000</v>
      </c>
      <c r="H70" s="1">
        <f t="shared" si="2"/>
        <v>0</v>
      </c>
      <c r="I70" s="89"/>
      <c r="J70" s="423"/>
      <c r="K70" s="204"/>
      <c r="L70" s="204"/>
      <c r="M70" s="203"/>
      <c r="N70" s="388"/>
      <c r="O70" s="48"/>
      <c r="P70" s="370"/>
      <c r="Q70" s="48"/>
    </row>
    <row r="71" spans="1:17" s="426" customFormat="1" ht="15" x14ac:dyDescent="0.25">
      <c r="A71" s="1">
        <v>67</v>
      </c>
      <c r="B71" s="32" t="s">
        <v>680</v>
      </c>
      <c r="C71" s="32">
        <v>5686</v>
      </c>
      <c r="D71" s="32">
        <v>25000</v>
      </c>
      <c r="E71" s="1" t="s">
        <v>80</v>
      </c>
      <c r="F71" s="1">
        <v>278.22000000000003</v>
      </c>
      <c r="G71" s="1">
        <v>25000</v>
      </c>
      <c r="H71" s="1">
        <f t="shared" si="2"/>
        <v>0</v>
      </c>
      <c r="I71" s="89"/>
      <c r="J71" s="423"/>
      <c r="K71" s="204"/>
      <c r="L71" s="204"/>
      <c r="M71" s="203"/>
      <c r="N71" s="388"/>
      <c r="O71" s="48"/>
      <c r="P71" s="370"/>
      <c r="Q71" s="48"/>
    </row>
    <row r="72" spans="1:17" s="426" customFormat="1" ht="15" x14ac:dyDescent="0.25">
      <c r="A72" s="1">
        <v>68</v>
      </c>
      <c r="B72" s="32" t="s">
        <v>681</v>
      </c>
      <c r="C72" s="32" t="s">
        <v>633</v>
      </c>
      <c r="D72" s="32">
        <v>100</v>
      </c>
      <c r="E72" s="1" t="s">
        <v>80</v>
      </c>
      <c r="F72" s="1">
        <v>1.08</v>
      </c>
      <c r="G72" s="1">
        <v>100</v>
      </c>
      <c r="H72" s="1">
        <f t="shared" si="2"/>
        <v>0</v>
      </c>
      <c r="I72" s="89"/>
      <c r="J72" s="423"/>
      <c r="K72" s="204"/>
      <c r="L72" s="204"/>
      <c r="M72" s="203"/>
      <c r="N72" s="388"/>
      <c r="O72" s="48"/>
      <c r="P72" s="370"/>
      <c r="Q72" s="48"/>
    </row>
    <row r="73" spans="1:17" s="426" customFormat="1" ht="15" x14ac:dyDescent="0.25">
      <c r="A73" s="1">
        <v>69</v>
      </c>
      <c r="B73" s="32" t="s">
        <v>681</v>
      </c>
      <c r="C73" s="32">
        <v>2496</v>
      </c>
      <c r="D73" s="32">
        <v>13000</v>
      </c>
      <c r="E73" s="1" t="s">
        <v>80</v>
      </c>
      <c r="F73" s="1">
        <v>144.13</v>
      </c>
      <c r="G73" s="1">
        <v>13000</v>
      </c>
      <c r="H73" s="1">
        <f t="shared" si="2"/>
        <v>0</v>
      </c>
      <c r="I73" s="89"/>
      <c r="J73" s="423"/>
      <c r="K73" s="204"/>
      <c r="L73" s="204"/>
      <c r="M73" s="203"/>
      <c r="N73" s="388"/>
      <c r="O73" s="48"/>
      <c r="P73" s="370"/>
      <c r="Q73" s="48"/>
    </row>
    <row r="74" spans="1:17" s="426" customFormat="1" ht="15" x14ac:dyDescent="0.25">
      <c r="A74" s="1">
        <v>70</v>
      </c>
      <c r="B74" s="32" t="s">
        <v>681</v>
      </c>
      <c r="C74" s="32" t="s">
        <v>30</v>
      </c>
      <c r="D74" s="32">
        <v>5000</v>
      </c>
      <c r="E74" s="1" t="s">
        <v>80</v>
      </c>
      <c r="F74" s="1">
        <v>55.45</v>
      </c>
      <c r="G74" s="1">
        <v>5000</v>
      </c>
      <c r="H74" s="1">
        <f t="shared" si="2"/>
        <v>0</v>
      </c>
      <c r="I74" s="89"/>
      <c r="J74" s="423"/>
      <c r="K74" s="204"/>
      <c r="L74" s="204"/>
      <c r="M74" s="203"/>
      <c r="N74" s="388"/>
      <c r="O74" s="48"/>
      <c r="P74" s="370"/>
      <c r="Q74" s="48"/>
    </row>
    <row r="75" spans="1:17" s="426" customFormat="1" ht="15" x14ac:dyDescent="0.25">
      <c r="A75" s="1">
        <v>71</v>
      </c>
      <c r="B75" s="32" t="s">
        <v>681</v>
      </c>
      <c r="C75" s="32" t="s">
        <v>633</v>
      </c>
      <c r="D75" s="32">
        <v>210</v>
      </c>
      <c r="E75" s="1" t="s">
        <v>80</v>
      </c>
      <c r="F75" s="1">
        <v>2.25</v>
      </c>
      <c r="G75" s="1">
        <v>210</v>
      </c>
      <c r="H75" s="1">
        <f t="shared" si="2"/>
        <v>0</v>
      </c>
      <c r="I75" s="89"/>
      <c r="J75" s="423"/>
      <c r="K75" s="204"/>
      <c r="L75" s="204"/>
      <c r="M75" s="203"/>
      <c r="N75" s="388"/>
      <c r="O75" s="48"/>
      <c r="P75" s="370"/>
      <c r="Q75" s="48"/>
    </row>
    <row r="76" spans="1:17" s="426" customFormat="1" ht="15" x14ac:dyDescent="0.25">
      <c r="A76" s="1">
        <v>72</v>
      </c>
      <c r="B76" s="32" t="s">
        <v>681</v>
      </c>
      <c r="C76" s="32">
        <v>6957</v>
      </c>
      <c r="D76" s="32">
        <v>17000</v>
      </c>
      <c r="E76" s="1" t="s">
        <v>80</v>
      </c>
      <c r="F76" s="1">
        <v>189.74</v>
      </c>
      <c r="G76" s="1">
        <v>17000</v>
      </c>
      <c r="H76" s="1">
        <f t="shared" si="2"/>
        <v>0</v>
      </c>
      <c r="I76" s="89"/>
      <c r="J76" s="423"/>
      <c r="K76" s="204"/>
      <c r="L76" s="204"/>
      <c r="M76" s="203"/>
      <c r="N76" s="388"/>
      <c r="O76" s="48"/>
      <c r="P76" s="370"/>
      <c r="Q76" s="48"/>
    </row>
    <row r="77" spans="1:17" s="426" customFormat="1" ht="15" x14ac:dyDescent="0.25">
      <c r="A77" s="1">
        <v>73</v>
      </c>
      <c r="B77" s="32" t="s">
        <v>681</v>
      </c>
      <c r="C77" s="32">
        <v>4075</v>
      </c>
      <c r="D77" s="32">
        <v>20000</v>
      </c>
      <c r="E77" s="1" t="s">
        <v>80</v>
      </c>
      <c r="F77" s="1">
        <v>222.82</v>
      </c>
      <c r="G77" s="1">
        <v>20000</v>
      </c>
      <c r="H77" s="1">
        <f t="shared" si="2"/>
        <v>0</v>
      </c>
      <c r="I77" s="89"/>
      <c r="J77" s="423"/>
      <c r="K77" s="204"/>
      <c r="L77" s="204"/>
      <c r="M77" s="203"/>
      <c r="N77" s="388"/>
      <c r="O77" s="48"/>
      <c r="P77" s="370"/>
      <c r="Q77" s="48"/>
    </row>
    <row r="78" spans="1:17" s="426" customFormat="1" ht="15" x14ac:dyDescent="0.25">
      <c r="A78" s="1">
        <v>74</v>
      </c>
      <c r="B78" s="32" t="s">
        <v>681</v>
      </c>
      <c r="C78" s="32">
        <v>4314</v>
      </c>
      <c r="D78" s="32">
        <v>20000</v>
      </c>
      <c r="E78" s="1" t="s">
        <v>80</v>
      </c>
      <c r="F78" s="1">
        <v>222.82</v>
      </c>
      <c r="G78" s="1">
        <v>20000</v>
      </c>
      <c r="H78" s="1">
        <f t="shared" si="2"/>
        <v>0</v>
      </c>
      <c r="I78" s="89"/>
      <c r="J78" s="423"/>
      <c r="K78" s="204"/>
      <c r="L78" s="204"/>
      <c r="M78" s="203"/>
      <c r="N78" s="388"/>
      <c r="O78" s="48"/>
      <c r="P78" s="370"/>
      <c r="Q78" s="48"/>
    </row>
    <row r="79" spans="1:17" s="426" customFormat="1" ht="15" x14ac:dyDescent="0.25">
      <c r="A79" s="1">
        <v>75</v>
      </c>
      <c r="B79" s="32" t="s">
        <v>681</v>
      </c>
      <c r="C79" s="32">
        <v>9777</v>
      </c>
      <c r="D79" s="32">
        <v>16000</v>
      </c>
      <c r="E79" s="1" t="s">
        <v>80</v>
      </c>
      <c r="F79" s="1">
        <v>178.22</v>
      </c>
      <c r="G79" s="1">
        <v>16000</v>
      </c>
      <c r="H79" s="1">
        <f t="shared" si="2"/>
        <v>0</v>
      </c>
      <c r="I79" s="89"/>
      <c r="J79" s="423"/>
      <c r="K79" s="204"/>
      <c r="L79" s="204"/>
      <c r="M79" s="203"/>
      <c r="N79" s="388"/>
      <c r="O79" s="48"/>
      <c r="P79" s="370"/>
      <c r="Q79" s="48"/>
    </row>
    <row r="80" spans="1:17" s="426" customFormat="1" ht="15" x14ac:dyDescent="0.25">
      <c r="A80" s="1">
        <v>76</v>
      </c>
      <c r="B80" s="32" t="s">
        <v>681</v>
      </c>
      <c r="C80" s="32">
        <v>5.1999999999999998E-3</v>
      </c>
      <c r="D80" s="32">
        <v>16000</v>
      </c>
      <c r="E80" s="1" t="s">
        <v>80</v>
      </c>
      <c r="F80" s="1">
        <v>178.22</v>
      </c>
      <c r="G80" s="1">
        <v>16000</v>
      </c>
      <c r="H80" s="1">
        <f t="shared" si="2"/>
        <v>0</v>
      </c>
      <c r="I80" s="89"/>
      <c r="J80" s="423"/>
      <c r="K80" s="204"/>
      <c r="L80" s="204"/>
      <c r="M80" s="203"/>
      <c r="N80" s="388"/>
      <c r="O80" s="48"/>
      <c r="P80" s="370"/>
      <c r="Q80" s="48"/>
    </row>
    <row r="81" spans="1:17" s="426" customFormat="1" ht="15" x14ac:dyDescent="0.25">
      <c r="A81" s="1">
        <v>77</v>
      </c>
      <c r="B81" s="32" t="s">
        <v>681</v>
      </c>
      <c r="C81" s="32">
        <v>9584</v>
      </c>
      <c r="D81" s="32">
        <v>27000</v>
      </c>
      <c r="E81" s="1" t="s">
        <v>80</v>
      </c>
      <c r="F81" s="1">
        <v>288.97000000000003</v>
      </c>
      <c r="G81" s="1">
        <v>27000</v>
      </c>
      <c r="H81" s="1">
        <f t="shared" si="2"/>
        <v>0</v>
      </c>
      <c r="I81" s="89"/>
      <c r="J81" s="423"/>
      <c r="K81" s="204"/>
      <c r="L81" s="204"/>
      <c r="M81" s="203"/>
      <c r="N81" s="388"/>
      <c r="O81" s="48"/>
      <c r="P81" s="370"/>
      <c r="Q81" s="48"/>
    </row>
    <row r="82" spans="1:17" s="426" customFormat="1" ht="15" x14ac:dyDescent="0.25">
      <c r="A82" s="1">
        <v>78</v>
      </c>
      <c r="B82" s="32" t="s">
        <v>681</v>
      </c>
      <c r="C82" s="32">
        <v>9888</v>
      </c>
      <c r="D82" s="32">
        <v>28000</v>
      </c>
      <c r="E82" s="1" t="s">
        <v>80</v>
      </c>
      <c r="F82" s="1">
        <v>311.27</v>
      </c>
      <c r="G82" s="1">
        <v>28000</v>
      </c>
      <c r="H82" s="1">
        <f t="shared" si="2"/>
        <v>0</v>
      </c>
      <c r="I82" s="89"/>
      <c r="J82" s="423"/>
      <c r="K82" s="204"/>
      <c r="L82" s="204"/>
      <c r="M82" s="203"/>
      <c r="N82" s="388"/>
      <c r="O82" s="48"/>
      <c r="P82" s="370"/>
      <c r="Q82" s="48"/>
    </row>
    <row r="83" spans="1:17" s="426" customFormat="1" ht="15" x14ac:dyDescent="0.25">
      <c r="A83" s="1">
        <v>79</v>
      </c>
      <c r="B83" s="32" t="s">
        <v>681</v>
      </c>
      <c r="C83" s="32">
        <v>8064</v>
      </c>
      <c r="D83" s="32">
        <v>20000</v>
      </c>
      <c r="E83" s="1" t="s">
        <v>80</v>
      </c>
      <c r="F83" s="1">
        <v>222.82</v>
      </c>
      <c r="G83" s="1">
        <v>20000</v>
      </c>
      <c r="H83" s="1">
        <f t="shared" si="2"/>
        <v>0</v>
      </c>
      <c r="I83" s="89"/>
      <c r="J83" s="423"/>
      <c r="K83" s="204"/>
      <c r="L83" s="204"/>
      <c r="M83" s="203"/>
      <c r="N83" s="388"/>
      <c r="O83" s="48"/>
      <c r="P83" s="370"/>
      <c r="Q83" s="48"/>
    </row>
    <row r="84" spans="1:17" s="426" customFormat="1" ht="15" x14ac:dyDescent="0.25">
      <c r="A84" s="1">
        <v>80</v>
      </c>
      <c r="B84" s="32" t="s">
        <v>681</v>
      </c>
      <c r="C84" s="32">
        <v>6802</v>
      </c>
      <c r="D84" s="32">
        <v>23000</v>
      </c>
      <c r="E84" s="1" t="s">
        <v>80</v>
      </c>
      <c r="F84" s="1">
        <v>255.78</v>
      </c>
      <c r="G84" s="1">
        <v>23000</v>
      </c>
      <c r="H84" s="1">
        <f t="shared" si="2"/>
        <v>0</v>
      </c>
      <c r="I84" s="89"/>
      <c r="J84" s="423"/>
      <c r="K84" s="204"/>
      <c r="L84" s="204"/>
      <c r="M84" s="203"/>
      <c r="N84" s="388"/>
      <c r="O84" s="48"/>
      <c r="P84" s="370"/>
      <c r="Q84" s="48"/>
    </row>
    <row r="85" spans="1:17" s="426" customFormat="1" ht="15" x14ac:dyDescent="0.25">
      <c r="A85" s="1">
        <v>81</v>
      </c>
      <c r="B85" s="32" t="s">
        <v>681</v>
      </c>
      <c r="C85" s="32">
        <v>7672</v>
      </c>
      <c r="D85" s="32">
        <v>22000</v>
      </c>
      <c r="E85" s="1" t="s">
        <v>80</v>
      </c>
      <c r="F85" s="1">
        <v>245.34</v>
      </c>
      <c r="G85" s="1">
        <v>22000</v>
      </c>
      <c r="H85" s="1">
        <f t="shared" si="2"/>
        <v>0</v>
      </c>
      <c r="I85" s="89"/>
      <c r="J85" s="423"/>
      <c r="K85" s="204"/>
      <c r="L85" s="204"/>
      <c r="M85" s="203"/>
      <c r="N85" s="388"/>
      <c r="O85" s="48"/>
      <c r="P85" s="370"/>
      <c r="Q85" s="48"/>
    </row>
    <row r="86" spans="1:17" s="426" customFormat="1" ht="15" x14ac:dyDescent="0.25">
      <c r="A86" s="1">
        <v>82</v>
      </c>
      <c r="B86" s="32" t="s">
        <v>681</v>
      </c>
      <c r="C86" s="32">
        <v>3551</v>
      </c>
      <c r="D86" s="32">
        <v>30000</v>
      </c>
      <c r="E86" s="1" t="s">
        <v>80</v>
      </c>
      <c r="F86" s="1">
        <v>334.82</v>
      </c>
      <c r="G86" s="1">
        <v>30000</v>
      </c>
      <c r="H86" s="1">
        <f t="shared" si="2"/>
        <v>0</v>
      </c>
      <c r="I86" s="89"/>
      <c r="J86" s="423"/>
      <c r="K86" s="204"/>
      <c r="L86" s="204"/>
      <c r="M86" s="203"/>
      <c r="N86" s="388"/>
      <c r="O86" s="48"/>
      <c r="P86" s="370"/>
      <c r="Q86" s="48"/>
    </row>
    <row r="87" spans="1:17" s="426" customFormat="1" ht="15" x14ac:dyDescent="0.25">
      <c r="A87" s="1">
        <v>83</v>
      </c>
      <c r="B87" s="32" t="s">
        <v>681</v>
      </c>
      <c r="C87" s="32">
        <v>5870</v>
      </c>
      <c r="D87" s="32">
        <v>10000</v>
      </c>
      <c r="E87" s="1" t="s">
        <v>80</v>
      </c>
      <c r="F87" s="1">
        <v>111.41</v>
      </c>
      <c r="G87" s="1">
        <v>10000</v>
      </c>
      <c r="H87" s="1">
        <f t="shared" si="2"/>
        <v>0</v>
      </c>
      <c r="I87" s="89"/>
      <c r="J87" s="423"/>
      <c r="K87" s="204"/>
      <c r="L87" s="204"/>
      <c r="M87" s="203"/>
      <c r="N87" s="388"/>
      <c r="O87" s="48"/>
      <c r="P87" s="370"/>
      <c r="Q87" s="48"/>
    </row>
    <row r="88" spans="1:17" s="426" customFormat="1" ht="15" x14ac:dyDescent="0.25">
      <c r="A88" s="1">
        <v>84</v>
      </c>
      <c r="B88" s="32" t="s">
        <v>681</v>
      </c>
      <c r="C88" s="32">
        <v>8820</v>
      </c>
      <c r="D88" s="32">
        <v>5000</v>
      </c>
      <c r="E88" s="1" t="s">
        <v>80</v>
      </c>
      <c r="F88" s="1">
        <v>55.55</v>
      </c>
      <c r="G88" s="1">
        <v>5000</v>
      </c>
      <c r="H88" s="1">
        <f t="shared" si="2"/>
        <v>0</v>
      </c>
      <c r="I88" s="89"/>
      <c r="J88" s="423"/>
      <c r="K88" s="204"/>
      <c r="L88" s="204"/>
      <c r="M88" s="203"/>
      <c r="N88" s="388"/>
      <c r="O88" s="48"/>
      <c r="P88" s="370"/>
      <c r="Q88" s="48"/>
    </row>
    <row r="89" spans="1:17" s="426" customFormat="1" ht="15" x14ac:dyDescent="0.25">
      <c r="A89" s="1">
        <v>85</v>
      </c>
      <c r="B89" s="32" t="s">
        <v>681</v>
      </c>
      <c r="C89" s="32">
        <v>5958</v>
      </c>
      <c r="D89" s="32">
        <v>7000</v>
      </c>
      <c r="E89" s="1" t="s">
        <v>80</v>
      </c>
      <c r="F89" s="1">
        <v>72.849999999999994</v>
      </c>
      <c r="G89" s="1">
        <v>7000</v>
      </c>
      <c r="H89" s="1">
        <f t="shared" ref="H89:H154" si="3">D89-G89</f>
        <v>0</v>
      </c>
      <c r="I89" s="89"/>
      <c r="J89" s="423"/>
      <c r="K89" s="204"/>
      <c r="L89" s="204"/>
      <c r="M89" s="203"/>
      <c r="N89" s="388"/>
      <c r="O89" s="48"/>
      <c r="P89" s="370"/>
      <c r="Q89" s="48"/>
    </row>
    <row r="90" spans="1:17" s="426" customFormat="1" ht="15" x14ac:dyDescent="0.25">
      <c r="A90" s="1">
        <v>86</v>
      </c>
      <c r="B90" s="32" t="s">
        <v>681</v>
      </c>
      <c r="C90" s="32">
        <v>3798</v>
      </c>
      <c r="D90" s="32">
        <v>26000</v>
      </c>
      <c r="E90" s="1" t="s">
        <v>80</v>
      </c>
      <c r="F90" s="1">
        <v>289.54000000000002</v>
      </c>
      <c r="G90" s="1">
        <v>26000</v>
      </c>
      <c r="H90" s="1">
        <f t="shared" si="3"/>
        <v>0</v>
      </c>
      <c r="I90" s="89"/>
      <c r="J90" s="423"/>
      <c r="K90" s="204"/>
      <c r="L90" s="204"/>
      <c r="M90" s="203"/>
      <c r="N90" s="388"/>
      <c r="O90" s="48"/>
      <c r="P90" s="370"/>
      <c r="Q90" s="48"/>
    </row>
    <row r="91" spans="1:17" s="426" customFormat="1" ht="15" x14ac:dyDescent="0.25">
      <c r="A91" s="1">
        <v>87</v>
      </c>
      <c r="B91" s="32" t="s">
        <v>681</v>
      </c>
      <c r="C91" s="32">
        <v>2029</v>
      </c>
      <c r="D91" s="32">
        <v>25000</v>
      </c>
      <c r="E91" s="1" t="s">
        <v>80</v>
      </c>
      <c r="F91" s="1">
        <v>278.22000000000003</v>
      </c>
      <c r="G91" s="1">
        <v>25000</v>
      </c>
      <c r="H91" s="1">
        <f t="shared" si="3"/>
        <v>0</v>
      </c>
      <c r="I91" s="89"/>
      <c r="J91" s="423"/>
      <c r="K91" s="204"/>
      <c r="L91" s="204"/>
      <c r="M91" s="203"/>
      <c r="N91" s="388"/>
      <c r="O91" s="48"/>
      <c r="P91" s="370"/>
      <c r="Q91" s="48"/>
    </row>
    <row r="92" spans="1:17" s="426" customFormat="1" ht="15.75" thickBot="1" x14ac:dyDescent="0.3">
      <c r="A92" s="1">
        <v>88</v>
      </c>
      <c r="B92" s="32" t="s">
        <v>681</v>
      </c>
      <c r="C92" s="32">
        <v>9191</v>
      </c>
      <c r="D92" s="32">
        <v>25000</v>
      </c>
      <c r="E92" s="1" t="s">
        <v>80</v>
      </c>
      <c r="F92" s="1">
        <v>278.22000000000003</v>
      </c>
      <c r="G92" s="1">
        <v>25000</v>
      </c>
      <c r="H92" s="1">
        <f t="shared" si="3"/>
        <v>0</v>
      </c>
      <c r="I92" s="89"/>
      <c r="J92" s="423"/>
      <c r="K92" s="204"/>
      <c r="L92" s="204"/>
      <c r="M92" s="203"/>
      <c r="N92" s="388"/>
      <c r="O92" s="48"/>
      <c r="P92" s="370"/>
      <c r="Q92" s="48"/>
    </row>
    <row r="93" spans="1:17" s="426" customFormat="1" ht="15.75" thickBot="1" x14ac:dyDescent="0.3">
      <c r="A93" s="6">
        <v>89</v>
      </c>
      <c r="B93" s="58" t="s">
        <v>681</v>
      </c>
      <c r="C93" s="58">
        <v>1577</v>
      </c>
      <c r="D93" s="58">
        <v>30000</v>
      </c>
      <c r="E93" s="1" t="s">
        <v>80</v>
      </c>
      <c r="F93" s="6">
        <v>334.82</v>
      </c>
      <c r="G93" s="6">
        <v>30000</v>
      </c>
      <c r="H93" s="6">
        <f t="shared" si="3"/>
        <v>0</v>
      </c>
      <c r="I93" s="89"/>
      <c r="J93" s="423"/>
      <c r="K93" s="204"/>
      <c r="L93" s="204"/>
      <c r="M93" s="203"/>
      <c r="N93" s="103">
        <f>2606603-2599397</f>
        <v>7206</v>
      </c>
      <c r="O93" s="359" t="s">
        <v>667</v>
      </c>
      <c r="P93" s="367" t="s">
        <v>620</v>
      </c>
      <c r="Q93" s="360">
        <f>10319-7207</f>
        <v>3112</v>
      </c>
    </row>
    <row r="94" spans="1:17" s="427" customFormat="1" ht="15" x14ac:dyDescent="0.25">
      <c r="A94" s="1">
        <v>90</v>
      </c>
      <c r="B94" s="32" t="s">
        <v>682</v>
      </c>
      <c r="C94" s="32" t="s">
        <v>30</v>
      </c>
      <c r="D94" s="32">
        <v>5000</v>
      </c>
      <c r="E94" s="1" t="s">
        <v>80</v>
      </c>
      <c r="F94" s="1">
        <v>55.7</v>
      </c>
      <c r="G94" s="1">
        <v>5000</v>
      </c>
      <c r="H94" s="1">
        <f t="shared" si="3"/>
        <v>0</v>
      </c>
      <c r="I94" s="89"/>
      <c r="J94" s="423"/>
      <c r="K94" s="204"/>
      <c r="L94" s="204"/>
      <c r="M94" s="203"/>
      <c r="N94" s="388"/>
      <c r="O94" s="48"/>
      <c r="P94" s="370"/>
      <c r="Q94" s="48"/>
    </row>
    <row r="95" spans="1:17" s="427" customFormat="1" ht="15" x14ac:dyDescent="0.25">
      <c r="A95" s="1">
        <v>91</v>
      </c>
      <c r="B95" s="32" t="s">
        <v>682</v>
      </c>
      <c r="C95" s="32" t="s">
        <v>30</v>
      </c>
      <c r="D95" s="32">
        <v>4500</v>
      </c>
      <c r="E95" s="1" t="s">
        <v>80</v>
      </c>
      <c r="F95" s="1">
        <v>50.55</v>
      </c>
      <c r="G95" s="1">
        <v>4500</v>
      </c>
      <c r="H95" s="1">
        <f t="shared" si="3"/>
        <v>0</v>
      </c>
      <c r="I95" s="89"/>
      <c r="J95" s="423"/>
      <c r="K95" s="204"/>
      <c r="L95" s="204"/>
      <c r="M95" s="203"/>
      <c r="N95" s="388"/>
      <c r="O95" s="48"/>
      <c r="P95" s="370"/>
      <c r="Q95" s="48"/>
    </row>
    <row r="96" spans="1:17" s="427" customFormat="1" ht="15" x14ac:dyDescent="0.25">
      <c r="A96" s="1">
        <v>92</v>
      </c>
      <c r="B96" s="32" t="s">
        <v>682</v>
      </c>
      <c r="C96" s="32">
        <v>4.7000000000000002E-3</v>
      </c>
      <c r="D96" s="32">
        <v>14000</v>
      </c>
      <c r="E96" s="1" t="s">
        <v>80</v>
      </c>
      <c r="F96" s="1">
        <v>155.87</v>
      </c>
      <c r="G96" s="1">
        <v>14000</v>
      </c>
      <c r="H96" s="1">
        <f t="shared" si="3"/>
        <v>0</v>
      </c>
      <c r="I96" s="89"/>
      <c r="J96" s="423"/>
      <c r="K96" s="204"/>
      <c r="L96" s="204"/>
      <c r="M96" s="203"/>
      <c r="N96" s="388"/>
      <c r="O96" s="48"/>
      <c r="P96" s="370"/>
      <c r="Q96" s="48"/>
    </row>
    <row r="97" spans="1:17" s="432" customFormat="1" ht="15" x14ac:dyDescent="0.25">
      <c r="A97" s="1">
        <v>93</v>
      </c>
      <c r="B97" s="32" t="s">
        <v>682</v>
      </c>
      <c r="C97" s="32">
        <v>4.4499999999999998E-2</v>
      </c>
      <c r="D97" s="32">
        <v>13000</v>
      </c>
      <c r="E97" s="1" t="s">
        <v>80</v>
      </c>
      <c r="F97" s="1">
        <v>144.13</v>
      </c>
      <c r="G97" s="1">
        <v>13000</v>
      </c>
      <c r="H97" s="1">
        <f t="shared" si="3"/>
        <v>0</v>
      </c>
      <c r="I97" s="89"/>
      <c r="J97" s="423"/>
      <c r="K97" s="204"/>
      <c r="L97" s="204"/>
      <c r="M97" s="203"/>
      <c r="N97" s="388"/>
      <c r="O97" s="48"/>
      <c r="P97" s="370"/>
      <c r="Q97" s="48"/>
    </row>
    <row r="98" spans="1:17" s="427" customFormat="1" ht="15" x14ac:dyDescent="0.25">
      <c r="A98" s="1">
        <v>94</v>
      </c>
      <c r="B98" s="32" t="s">
        <v>682</v>
      </c>
      <c r="C98" s="32">
        <v>5151</v>
      </c>
      <c r="D98" s="32">
        <v>16000</v>
      </c>
      <c r="E98" s="1" t="s">
        <v>80</v>
      </c>
      <c r="F98" s="1">
        <v>178.22</v>
      </c>
      <c r="G98" s="1">
        <v>16000</v>
      </c>
      <c r="H98" s="1">
        <f t="shared" si="3"/>
        <v>0</v>
      </c>
      <c r="I98" s="89"/>
      <c r="J98" s="423"/>
      <c r="K98" s="204"/>
      <c r="L98" s="204"/>
      <c r="M98" s="203"/>
      <c r="N98" s="388"/>
      <c r="O98" s="48"/>
      <c r="P98" s="370"/>
      <c r="Q98" s="48"/>
    </row>
    <row r="99" spans="1:17" s="427" customFormat="1" ht="15" x14ac:dyDescent="0.25">
      <c r="A99" s="1">
        <v>95</v>
      </c>
      <c r="B99" s="32" t="s">
        <v>682</v>
      </c>
      <c r="C99" s="32">
        <v>5.1000000000000004E-3</v>
      </c>
      <c r="D99" s="32">
        <v>16000</v>
      </c>
      <c r="E99" s="1" t="s">
        <v>80</v>
      </c>
      <c r="F99" s="1">
        <v>178.22</v>
      </c>
      <c r="G99" s="1">
        <v>16000</v>
      </c>
      <c r="H99" s="1">
        <f t="shared" si="3"/>
        <v>0</v>
      </c>
      <c r="I99" s="89"/>
      <c r="J99" s="423"/>
      <c r="K99" s="204"/>
      <c r="L99" s="204"/>
      <c r="M99" s="203"/>
      <c r="N99" s="388"/>
      <c r="O99" s="48"/>
      <c r="P99" s="370"/>
      <c r="Q99" s="48"/>
    </row>
    <row r="100" spans="1:17" s="427" customFormat="1" ht="15" x14ac:dyDescent="0.25">
      <c r="A100" s="1">
        <v>96</v>
      </c>
      <c r="B100" s="32" t="s">
        <v>682</v>
      </c>
      <c r="C100" s="32" t="s">
        <v>633</v>
      </c>
      <c r="D100" s="32">
        <v>210</v>
      </c>
      <c r="E100" s="1" t="s">
        <v>80</v>
      </c>
      <c r="F100" s="1">
        <v>2.25</v>
      </c>
      <c r="G100" s="1">
        <v>210</v>
      </c>
      <c r="H100" s="1">
        <f t="shared" si="3"/>
        <v>0</v>
      </c>
      <c r="I100" s="89"/>
      <c r="J100" s="423"/>
      <c r="K100" s="204"/>
      <c r="L100" s="204"/>
      <c r="M100" s="203"/>
      <c r="N100" s="388"/>
      <c r="O100" s="48"/>
      <c r="P100" s="370"/>
      <c r="Q100" s="48"/>
    </row>
    <row r="101" spans="1:17" s="427" customFormat="1" ht="15" x14ac:dyDescent="0.25">
      <c r="A101" s="1">
        <v>97</v>
      </c>
      <c r="B101" s="32" t="s">
        <v>682</v>
      </c>
      <c r="C101" s="32">
        <v>4304</v>
      </c>
      <c r="D101" s="32">
        <v>20350</v>
      </c>
      <c r="E101" s="1" t="s">
        <v>80</v>
      </c>
      <c r="F101" s="1">
        <v>226.64</v>
      </c>
      <c r="G101" s="1">
        <v>20350</v>
      </c>
      <c r="H101" s="1">
        <f t="shared" si="3"/>
        <v>0</v>
      </c>
      <c r="I101" s="89"/>
      <c r="J101" s="423"/>
      <c r="K101" s="204"/>
      <c r="L101" s="204"/>
      <c r="M101" s="203"/>
      <c r="N101" s="388"/>
      <c r="O101" s="48"/>
      <c r="P101" s="370"/>
      <c r="Q101" s="48"/>
    </row>
    <row r="102" spans="1:17" s="427" customFormat="1" ht="15" x14ac:dyDescent="0.25">
      <c r="A102" s="1">
        <v>98</v>
      </c>
      <c r="B102" s="32" t="s">
        <v>682</v>
      </c>
      <c r="C102" s="32">
        <v>1846</v>
      </c>
      <c r="D102" s="32">
        <v>19600</v>
      </c>
      <c r="E102" s="1" t="s">
        <v>80</v>
      </c>
      <c r="F102" s="1">
        <v>218.74</v>
      </c>
      <c r="G102" s="1">
        <v>19600</v>
      </c>
      <c r="H102" s="1">
        <f t="shared" si="3"/>
        <v>0</v>
      </c>
      <c r="I102" s="89"/>
      <c r="J102" s="423"/>
      <c r="K102" s="204"/>
      <c r="L102" s="204"/>
      <c r="M102" s="203"/>
      <c r="N102" s="388"/>
      <c r="O102" s="48"/>
      <c r="P102" s="370"/>
      <c r="Q102" s="48"/>
    </row>
    <row r="103" spans="1:17" s="427" customFormat="1" ht="15" x14ac:dyDescent="0.25">
      <c r="A103" s="1">
        <v>99</v>
      </c>
      <c r="B103" s="32" t="s">
        <v>682</v>
      </c>
      <c r="C103" s="32">
        <v>8007</v>
      </c>
      <c r="D103" s="32">
        <v>18000</v>
      </c>
      <c r="E103" s="1" t="s">
        <v>80</v>
      </c>
      <c r="F103" s="1">
        <v>200.82</v>
      </c>
      <c r="G103" s="1">
        <v>18000</v>
      </c>
      <c r="H103" s="1">
        <f t="shared" si="3"/>
        <v>0</v>
      </c>
      <c r="I103" s="89"/>
      <c r="J103" s="423"/>
      <c r="K103" s="204"/>
      <c r="L103" s="204"/>
      <c r="M103" s="203"/>
      <c r="N103" s="388"/>
      <c r="O103" s="48"/>
      <c r="P103" s="370"/>
      <c r="Q103" s="48"/>
    </row>
    <row r="104" spans="1:17" s="427" customFormat="1" ht="15" x14ac:dyDescent="0.25">
      <c r="A104" s="1">
        <v>100</v>
      </c>
      <c r="B104" s="32" t="s">
        <v>682</v>
      </c>
      <c r="C104" s="32">
        <v>9677</v>
      </c>
      <c r="D104" s="32">
        <v>28000</v>
      </c>
      <c r="E104" s="1" t="s">
        <v>80</v>
      </c>
      <c r="F104" s="1">
        <v>328.52</v>
      </c>
      <c r="G104" s="1">
        <v>28000</v>
      </c>
      <c r="H104" s="1">
        <f t="shared" si="3"/>
        <v>0</v>
      </c>
      <c r="I104" s="89"/>
      <c r="J104" s="423"/>
      <c r="K104" s="204"/>
      <c r="L104" s="204"/>
      <c r="M104" s="203"/>
      <c r="N104" s="388"/>
      <c r="O104" s="48"/>
      <c r="P104" s="370"/>
      <c r="Q104" s="48"/>
    </row>
    <row r="105" spans="1:17" s="428" customFormat="1" ht="15" x14ac:dyDescent="0.25">
      <c r="A105" s="1">
        <v>101</v>
      </c>
      <c r="B105" s="32" t="s">
        <v>683</v>
      </c>
      <c r="C105" s="32" t="s">
        <v>30</v>
      </c>
      <c r="D105" s="32">
        <v>5000</v>
      </c>
      <c r="E105" s="1" t="s">
        <v>80</v>
      </c>
      <c r="F105" s="1">
        <v>55.45</v>
      </c>
      <c r="G105" s="1">
        <v>5000</v>
      </c>
      <c r="H105" s="1">
        <f t="shared" si="3"/>
        <v>0</v>
      </c>
      <c r="I105" s="89"/>
      <c r="J105" s="423"/>
      <c r="K105" s="204"/>
      <c r="L105" s="204"/>
      <c r="M105" s="203"/>
      <c r="N105" s="388"/>
      <c r="O105" s="48"/>
      <c r="P105" s="370"/>
      <c r="Q105" s="48"/>
    </row>
    <row r="106" spans="1:17" s="428" customFormat="1" ht="15" x14ac:dyDescent="0.25">
      <c r="A106" s="1">
        <v>102</v>
      </c>
      <c r="B106" s="32" t="s">
        <v>683</v>
      </c>
      <c r="C106" s="32" t="s">
        <v>30</v>
      </c>
      <c r="D106" s="32">
        <v>2500</v>
      </c>
      <c r="E106" s="1" t="s">
        <v>80</v>
      </c>
      <c r="F106" s="1">
        <v>27.78</v>
      </c>
      <c r="G106" s="1">
        <v>2500</v>
      </c>
      <c r="H106" s="1">
        <f t="shared" si="3"/>
        <v>0</v>
      </c>
      <c r="I106" s="89"/>
      <c r="J106" s="423"/>
      <c r="K106" s="204"/>
      <c r="L106" s="204"/>
      <c r="M106" s="203"/>
      <c r="N106" s="388"/>
      <c r="O106" s="48"/>
      <c r="P106" s="370"/>
      <c r="Q106" s="48"/>
    </row>
    <row r="107" spans="1:17" s="428" customFormat="1" ht="15" x14ac:dyDescent="0.25">
      <c r="A107" s="1">
        <v>103</v>
      </c>
      <c r="B107" s="32" t="s">
        <v>683</v>
      </c>
      <c r="C107" s="32">
        <v>9376</v>
      </c>
      <c r="D107" s="32">
        <v>25000</v>
      </c>
      <c r="E107" s="1" t="s">
        <v>80</v>
      </c>
      <c r="F107" s="1">
        <v>278.22000000000003</v>
      </c>
      <c r="G107" s="1">
        <v>25000</v>
      </c>
      <c r="H107" s="1">
        <f t="shared" si="3"/>
        <v>0</v>
      </c>
      <c r="I107" s="89"/>
      <c r="J107" s="423"/>
      <c r="K107" s="204"/>
      <c r="L107" s="204"/>
      <c r="M107" s="203"/>
      <c r="N107" s="388"/>
      <c r="O107" s="48"/>
      <c r="P107" s="370"/>
      <c r="Q107" s="48"/>
    </row>
    <row r="108" spans="1:17" s="428" customFormat="1" ht="15" x14ac:dyDescent="0.25">
      <c r="A108" s="1">
        <v>104</v>
      </c>
      <c r="B108" s="32" t="s">
        <v>683</v>
      </c>
      <c r="C108" s="32">
        <v>6957</v>
      </c>
      <c r="D108" s="32">
        <v>20000</v>
      </c>
      <c r="E108" s="1" t="s">
        <v>80</v>
      </c>
      <c r="F108" s="1">
        <v>222.82</v>
      </c>
      <c r="G108" s="1">
        <v>20000</v>
      </c>
      <c r="H108" s="1">
        <f t="shared" si="3"/>
        <v>0</v>
      </c>
      <c r="I108" s="89"/>
      <c r="J108" s="423"/>
      <c r="K108" s="204"/>
      <c r="L108" s="204"/>
      <c r="M108" s="203"/>
      <c r="N108" s="388"/>
      <c r="O108" s="48"/>
      <c r="P108" s="370"/>
      <c r="Q108" s="48"/>
    </row>
    <row r="109" spans="1:17" s="428" customFormat="1" ht="15" x14ac:dyDescent="0.25">
      <c r="A109" s="1">
        <v>105</v>
      </c>
      <c r="B109" s="32" t="s">
        <v>683</v>
      </c>
      <c r="C109" s="32">
        <v>1547</v>
      </c>
      <c r="D109" s="32">
        <v>19000</v>
      </c>
      <c r="E109" s="1" t="s">
        <v>80</v>
      </c>
      <c r="F109" s="1">
        <v>211.74</v>
      </c>
      <c r="G109" s="1">
        <v>19000</v>
      </c>
      <c r="H109" s="1">
        <f t="shared" si="3"/>
        <v>0</v>
      </c>
      <c r="I109" s="89"/>
      <c r="J109" s="423"/>
      <c r="K109" s="204"/>
      <c r="L109" s="204"/>
      <c r="M109" s="203"/>
      <c r="N109" s="388"/>
      <c r="O109" s="48"/>
      <c r="P109" s="370"/>
      <c r="Q109" s="48"/>
    </row>
    <row r="110" spans="1:17" s="428" customFormat="1" ht="15" x14ac:dyDescent="0.25">
      <c r="A110" s="1">
        <v>106</v>
      </c>
      <c r="B110" s="32" t="s">
        <v>683</v>
      </c>
      <c r="C110" s="32">
        <v>6777</v>
      </c>
      <c r="D110" s="32">
        <v>20000</v>
      </c>
      <c r="E110" s="1" t="s">
        <v>80</v>
      </c>
      <c r="F110" s="1">
        <v>222.82</v>
      </c>
      <c r="G110" s="1">
        <v>20000</v>
      </c>
      <c r="H110" s="1">
        <f t="shared" si="3"/>
        <v>0</v>
      </c>
      <c r="I110" s="89"/>
      <c r="J110" s="423"/>
      <c r="K110" s="204"/>
      <c r="L110" s="204"/>
      <c r="M110" s="203"/>
      <c r="N110" s="388"/>
      <c r="O110" s="48"/>
      <c r="P110" s="370"/>
      <c r="Q110" s="48"/>
    </row>
    <row r="111" spans="1:17" s="428" customFormat="1" ht="15" x14ac:dyDescent="0.25">
      <c r="A111" s="1">
        <v>107</v>
      </c>
      <c r="B111" s="32" t="s">
        <v>683</v>
      </c>
      <c r="C111" s="32">
        <v>8676</v>
      </c>
      <c r="D111" s="32">
        <v>25000</v>
      </c>
      <c r="E111" s="1" t="s">
        <v>80</v>
      </c>
      <c r="F111" s="1">
        <v>278.22000000000003</v>
      </c>
      <c r="G111" s="1">
        <v>25000</v>
      </c>
      <c r="H111" s="1">
        <f t="shared" si="3"/>
        <v>0</v>
      </c>
      <c r="I111" s="89"/>
      <c r="J111" s="423"/>
      <c r="K111" s="204"/>
      <c r="L111" s="204"/>
      <c r="M111" s="203"/>
      <c r="N111" s="388"/>
      <c r="O111" s="48"/>
      <c r="P111" s="370"/>
      <c r="Q111" s="48"/>
    </row>
    <row r="112" spans="1:17" s="428" customFormat="1" ht="15" x14ac:dyDescent="0.25">
      <c r="A112" s="1">
        <v>108</v>
      </c>
      <c r="B112" s="32" t="s">
        <v>683</v>
      </c>
      <c r="C112" s="32">
        <v>9817</v>
      </c>
      <c r="D112" s="32">
        <v>22763</v>
      </c>
      <c r="E112" s="1" t="s">
        <v>80</v>
      </c>
      <c r="F112" s="1">
        <v>253.67</v>
      </c>
      <c r="G112" s="1">
        <v>22763</v>
      </c>
      <c r="H112" s="1">
        <f t="shared" si="3"/>
        <v>0</v>
      </c>
      <c r="I112" s="89"/>
      <c r="J112" s="423"/>
      <c r="K112" s="204"/>
      <c r="L112" s="204"/>
      <c r="M112" s="203"/>
      <c r="N112" s="388"/>
      <c r="O112" s="48"/>
      <c r="P112" s="370"/>
      <c r="Q112" s="48"/>
    </row>
    <row r="113" spans="1:17" s="428" customFormat="1" ht="15" x14ac:dyDescent="0.25">
      <c r="A113" s="1">
        <v>109</v>
      </c>
      <c r="B113" s="32" t="s">
        <v>683</v>
      </c>
      <c r="C113" s="32">
        <v>5326</v>
      </c>
      <c r="D113" s="32">
        <v>30000</v>
      </c>
      <c r="E113" s="1" t="s">
        <v>80</v>
      </c>
      <c r="F113" s="1">
        <v>334.82</v>
      </c>
      <c r="G113" s="1">
        <v>30000</v>
      </c>
      <c r="H113" s="1">
        <f t="shared" si="3"/>
        <v>0</v>
      </c>
      <c r="I113" s="89"/>
      <c r="J113" s="423"/>
      <c r="K113" s="204"/>
      <c r="L113" s="204"/>
      <c r="M113" s="203"/>
      <c r="N113" s="388"/>
      <c r="O113" s="48"/>
      <c r="P113" s="370"/>
      <c r="Q113" s="48"/>
    </row>
    <row r="114" spans="1:17" s="428" customFormat="1" ht="15" x14ac:dyDescent="0.25">
      <c r="A114" s="1">
        <v>110</v>
      </c>
      <c r="B114" s="32" t="s">
        <v>683</v>
      </c>
      <c r="C114" s="32" t="s">
        <v>633</v>
      </c>
      <c r="D114" s="32">
        <v>100</v>
      </c>
      <c r="E114" s="1" t="s">
        <v>80</v>
      </c>
      <c r="F114" s="1">
        <v>1.08</v>
      </c>
      <c r="G114" s="1">
        <v>100</v>
      </c>
      <c r="H114" s="1">
        <f t="shared" si="3"/>
        <v>0</v>
      </c>
      <c r="I114" s="89"/>
      <c r="J114" s="423"/>
      <c r="K114" s="204"/>
      <c r="L114" s="204"/>
      <c r="M114" s="203"/>
      <c r="N114" s="388"/>
      <c r="O114" s="48"/>
      <c r="P114" s="370"/>
      <c r="Q114" s="48"/>
    </row>
    <row r="115" spans="1:17" s="428" customFormat="1" ht="15" x14ac:dyDescent="0.25">
      <c r="A115" s="1">
        <v>111</v>
      </c>
      <c r="B115" s="32" t="s">
        <v>683</v>
      </c>
      <c r="C115" s="32">
        <v>4413</v>
      </c>
      <c r="D115" s="32">
        <v>13000</v>
      </c>
      <c r="E115" s="1" t="s">
        <v>80</v>
      </c>
      <c r="F115" s="1">
        <v>144.16999999999999</v>
      </c>
      <c r="G115" s="1">
        <v>13000</v>
      </c>
      <c r="H115" s="1">
        <f t="shared" si="3"/>
        <v>0</v>
      </c>
      <c r="I115" s="89"/>
      <c r="J115" s="423"/>
      <c r="K115" s="204"/>
      <c r="L115" s="204"/>
      <c r="M115" s="203"/>
      <c r="N115" s="388"/>
      <c r="O115" s="48"/>
      <c r="P115" s="370"/>
      <c r="Q115" s="48"/>
    </row>
    <row r="116" spans="1:17" s="428" customFormat="1" ht="15" x14ac:dyDescent="0.25">
      <c r="A116" s="1">
        <v>112</v>
      </c>
      <c r="B116" s="32" t="s">
        <v>683</v>
      </c>
      <c r="C116" s="32">
        <v>5657</v>
      </c>
      <c r="D116" s="32">
        <v>24000</v>
      </c>
      <c r="E116" s="1" t="s">
        <v>80</v>
      </c>
      <c r="F116" s="1">
        <v>274.54000000000002</v>
      </c>
      <c r="G116" s="1">
        <v>24000</v>
      </c>
      <c r="H116" s="1">
        <f t="shared" si="3"/>
        <v>0</v>
      </c>
      <c r="I116" s="89"/>
      <c r="J116" s="423"/>
      <c r="K116" s="204"/>
      <c r="L116" s="204"/>
      <c r="M116" s="203"/>
      <c r="N116" s="388"/>
      <c r="O116" s="48"/>
      <c r="P116" s="370"/>
      <c r="Q116" s="48"/>
    </row>
    <row r="117" spans="1:17" s="428" customFormat="1" ht="15.75" thickBot="1" x14ac:dyDescent="0.3">
      <c r="A117" s="1">
        <v>113</v>
      </c>
      <c r="B117" s="32" t="s">
        <v>683</v>
      </c>
      <c r="C117" s="32">
        <v>7638</v>
      </c>
      <c r="D117" s="32">
        <v>25000</v>
      </c>
      <c r="E117" s="1" t="s">
        <v>80</v>
      </c>
      <c r="F117" s="1">
        <v>278.22000000000003</v>
      </c>
      <c r="G117" s="1">
        <v>25000</v>
      </c>
      <c r="H117" s="1">
        <f t="shared" si="3"/>
        <v>0</v>
      </c>
      <c r="I117" s="89"/>
      <c r="J117" s="423"/>
      <c r="K117" s="204"/>
      <c r="L117" s="204"/>
      <c r="M117" s="203"/>
      <c r="N117" s="388"/>
      <c r="O117" s="48"/>
      <c r="P117" s="370"/>
      <c r="Q117" s="48"/>
    </row>
    <row r="118" spans="1:17" s="428" customFormat="1" ht="15.75" thickBot="1" x14ac:dyDescent="0.3">
      <c r="A118" s="1">
        <v>114</v>
      </c>
      <c r="B118" s="32" t="s">
        <v>683</v>
      </c>
      <c r="C118" s="32">
        <v>9012</v>
      </c>
      <c r="D118" s="32">
        <v>25000</v>
      </c>
      <c r="E118" s="1" t="s">
        <v>80</v>
      </c>
      <c r="F118" s="1">
        <v>278.22000000000003</v>
      </c>
      <c r="G118" s="1">
        <v>25000</v>
      </c>
      <c r="H118" s="1">
        <f t="shared" si="3"/>
        <v>0</v>
      </c>
      <c r="I118" s="89"/>
      <c r="J118" s="423"/>
      <c r="K118" s="204"/>
      <c r="L118" s="204"/>
      <c r="M118" s="203"/>
      <c r="N118" s="103">
        <f>2140493-1988836</f>
        <v>151657</v>
      </c>
      <c r="O118" s="359" t="s">
        <v>684</v>
      </c>
      <c r="P118" s="367" t="s">
        <v>620</v>
      </c>
      <c r="Q118" s="360">
        <f>151657-140318</f>
        <v>11339</v>
      </c>
    </row>
    <row r="119" spans="1:17" s="429" customFormat="1" ht="15" x14ac:dyDescent="0.25">
      <c r="A119" s="1">
        <v>115</v>
      </c>
      <c r="B119" s="32" t="s">
        <v>685</v>
      </c>
      <c r="C119" s="32">
        <v>9311</v>
      </c>
      <c r="D119" s="32">
        <v>24000</v>
      </c>
      <c r="E119" s="1" t="s">
        <v>80</v>
      </c>
      <c r="F119" s="1">
        <v>267.88</v>
      </c>
      <c r="G119" s="1">
        <v>24000</v>
      </c>
      <c r="H119" s="1">
        <f t="shared" si="3"/>
        <v>0</v>
      </c>
      <c r="I119" s="89"/>
      <c r="J119" s="423"/>
      <c r="K119" s="204"/>
      <c r="L119" s="204"/>
      <c r="M119" s="203"/>
      <c r="N119" s="388"/>
      <c r="O119" s="48"/>
      <c r="P119" s="370"/>
      <c r="Q119" s="48"/>
    </row>
    <row r="120" spans="1:17" s="429" customFormat="1" ht="15" x14ac:dyDescent="0.25">
      <c r="A120" s="1">
        <v>116</v>
      </c>
      <c r="B120" s="32" t="s">
        <v>685</v>
      </c>
      <c r="C120" s="32">
        <v>2.4299999999999999E-2</v>
      </c>
      <c r="D120" s="32">
        <v>24000</v>
      </c>
      <c r="E120" s="1" t="s">
        <v>80</v>
      </c>
      <c r="F120" s="1">
        <v>267.88</v>
      </c>
      <c r="G120" s="1">
        <v>24000</v>
      </c>
      <c r="H120" s="1">
        <f t="shared" si="3"/>
        <v>0</v>
      </c>
      <c r="I120" s="89"/>
      <c r="J120" s="423"/>
      <c r="K120" s="204"/>
      <c r="L120" s="204"/>
      <c r="M120" s="203"/>
      <c r="N120" s="388"/>
      <c r="O120" s="48"/>
      <c r="P120" s="370"/>
      <c r="Q120" s="48"/>
    </row>
    <row r="121" spans="1:17" s="429" customFormat="1" ht="15" x14ac:dyDescent="0.25">
      <c r="A121" s="1">
        <v>117</v>
      </c>
      <c r="B121" s="32" t="s">
        <v>685</v>
      </c>
      <c r="C121" s="32">
        <v>8311</v>
      </c>
      <c r="D121" s="32">
        <v>24000</v>
      </c>
      <c r="E121" s="1" t="s">
        <v>80</v>
      </c>
      <c r="F121" s="1">
        <v>267.88</v>
      </c>
      <c r="G121" s="1">
        <v>24000</v>
      </c>
      <c r="H121" s="1">
        <f t="shared" si="3"/>
        <v>0</v>
      </c>
      <c r="I121" s="89"/>
      <c r="J121" s="423"/>
      <c r="K121" s="204"/>
      <c r="L121" s="204"/>
      <c r="M121" s="203"/>
      <c r="N121" s="388"/>
      <c r="O121" s="48"/>
      <c r="P121" s="370"/>
      <c r="Q121" s="48"/>
    </row>
    <row r="122" spans="1:17" s="429" customFormat="1" ht="15" x14ac:dyDescent="0.25">
      <c r="A122" s="1">
        <v>118</v>
      </c>
      <c r="B122" s="32" t="s">
        <v>685</v>
      </c>
      <c r="C122" s="32" t="s">
        <v>634</v>
      </c>
      <c r="D122" s="32">
        <v>2500</v>
      </c>
      <c r="E122" s="1" t="s">
        <v>80</v>
      </c>
      <c r="F122" s="1">
        <v>27.75</v>
      </c>
      <c r="G122" s="1">
        <v>2500</v>
      </c>
      <c r="H122" s="1">
        <f t="shared" si="3"/>
        <v>0</v>
      </c>
      <c r="I122" s="89"/>
      <c r="J122" s="423"/>
      <c r="K122" s="204"/>
      <c r="L122" s="204"/>
      <c r="M122" s="203"/>
      <c r="N122" s="388"/>
      <c r="O122" s="48"/>
      <c r="P122" s="370"/>
      <c r="Q122" s="48"/>
    </row>
    <row r="123" spans="1:17" s="429" customFormat="1" ht="15" x14ac:dyDescent="0.25">
      <c r="A123" s="1">
        <v>119</v>
      </c>
      <c r="B123" s="32" t="s">
        <v>685</v>
      </c>
      <c r="C123" s="32">
        <v>4.4000000000000003E-3</v>
      </c>
      <c r="D123" s="32">
        <v>15000</v>
      </c>
      <c r="E123" s="1" t="s">
        <v>80</v>
      </c>
      <c r="F123" s="1">
        <v>167.15</v>
      </c>
      <c r="G123" s="1">
        <v>15000</v>
      </c>
      <c r="H123" s="1">
        <f t="shared" si="3"/>
        <v>0</v>
      </c>
      <c r="I123" s="89"/>
      <c r="J123" s="423"/>
      <c r="K123" s="204"/>
      <c r="L123" s="204"/>
      <c r="M123" s="203"/>
      <c r="N123" s="388"/>
      <c r="O123" s="48"/>
      <c r="P123" s="370"/>
      <c r="Q123" s="48"/>
    </row>
    <row r="124" spans="1:17" s="429" customFormat="1" ht="15" x14ac:dyDescent="0.25">
      <c r="A124" s="1">
        <v>120</v>
      </c>
      <c r="B124" s="32" t="s">
        <v>685</v>
      </c>
      <c r="C124" s="32">
        <v>9767</v>
      </c>
      <c r="D124" s="32">
        <v>12500</v>
      </c>
      <c r="E124" s="1" t="s">
        <v>80</v>
      </c>
      <c r="F124" s="1">
        <v>139.62</v>
      </c>
      <c r="G124" s="1">
        <v>12500</v>
      </c>
      <c r="H124" s="1">
        <f t="shared" si="3"/>
        <v>0</v>
      </c>
      <c r="I124" s="89"/>
      <c r="J124" s="423"/>
      <c r="K124" s="204"/>
      <c r="L124" s="204"/>
      <c r="M124" s="203"/>
      <c r="N124" s="388"/>
      <c r="O124" s="48"/>
      <c r="P124" s="370"/>
      <c r="Q124" s="48"/>
    </row>
    <row r="125" spans="1:17" s="429" customFormat="1" ht="15" x14ac:dyDescent="0.25">
      <c r="A125" s="1">
        <v>121</v>
      </c>
      <c r="B125" s="32" t="s">
        <v>685</v>
      </c>
      <c r="C125" s="32">
        <v>1827</v>
      </c>
      <c r="D125" s="32">
        <v>13000</v>
      </c>
      <c r="E125" s="1" t="s">
        <v>80</v>
      </c>
      <c r="F125" s="1">
        <v>144.13</v>
      </c>
      <c r="G125" s="1">
        <v>13000</v>
      </c>
      <c r="H125" s="1">
        <f t="shared" si="3"/>
        <v>0</v>
      </c>
      <c r="I125" s="89"/>
      <c r="J125" s="423"/>
      <c r="K125" s="204"/>
      <c r="L125" s="204"/>
      <c r="M125" s="203"/>
      <c r="N125" s="388"/>
      <c r="O125" s="48"/>
      <c r="P125" s="370"/>
      <c r="Q125" s="48"/>
    </row>
    <row r="126" spans="1:17" s="429" customFormat="1" ht="15" x14ac:dyDescent="0.25">
      <c r="A126" s="1">
        <v>122</v>
      </c>
      <c r="B126" s="32" t="s">
        <v>685</v>
      </c>
      <c r="C126" s="32">
        <v>1421</v>
      </c>
      <c r="D126" s="32">
        <v>17000</v>
      </c>
      <c r="E126" s="1" t="s">
        <v>80</v>
      </c>
      <c r="F126" s="1">
        <v>189.74</v>
      </c>
      <c r="G126" s="1">
        <v>17000</v>
      </c>
      <c r="H126" s="1">
        <f t="shared" si="3"/>
        <v>0</v>
      </c>
      <c r="I126" s="89"/>
      <c r="J126" s="423"/>
      <c r="K126" s="204"/>
      <c r="L126" s="204"/>
      <c r="M126" s="203"/>
      <c r="N126" s="388"/>
      <c r="O126" s="48"/>
      <c r="P126" s="370"/>
      <c r="Q126" s="48"/>
    </row>
    <row r="127" spans="1:17" s="429" customFormat="1" ht="15" x14ac:dyDescent="0.25">
      <c r="A127" s="1">
        <v>123</v>
      </c>
      <c r="B127" s="32" t="s">
        <v>685</v>
      </c>
      <c r="C127" s="32">
        <v>2.1700000000000001E-2</v>
      </c>
      <c r="D127" s="32">
        <v>30000</v>
      </c>
      <c r="E127" s="1" t="s">
        <v>80</v>
      </c>
      <c r="F127" s="1">
        <v>334.82</v>
      </c>
      <c r="G127" s="1">
        <v>30000</v>
      </c>
      <c r="H127" s="1">
        <f t="shared" si="3"/>
        <v>0</v>
      </c>
      <c r="I127" s="89"/>
      <c r="J127" s="423"/>
      <c r="K127" s="204"/>
      <c r="L127" s="204"/>
      <c r="M127" s="203"/>
      <c r="N127" s="388"/>
      <c r="O127" s="48"/>
      <c r="P127" s="370"/>
      <c r="Q127" s="48"/>
    </row>
    <row r="128" spans="1:17" s="429" customFormat="1" ht="15" x14ac:dyDescent="0.25">
      <c r="A128" s="1">
        <v>124</v>
      </c>
      <c r="B128" s="32" t="s">
        <v>685</v>
      </c>
      <c r="C128" s="32">
        <v>5949</v>
      </c>
      <c r="D128" s="32">
        <v>40000</v>
      </c>
      <c r="E128" s="1" t="s">
        <v>80</v>
      </c>
      <c r="F128" s="1">
        <v>445.65</v>
      </c>
      <c r="G128" s="1">
        <v>40000</v>
      </c>
      <c r="H128" s="1">
        <f t="shared" si="3"/>
        <v>0</v>
      </c>
      <c r="I128" s="89"/>
      <c r="J128" s="423"/>
      <c r="K128" s="204"/>
      <c r="L128" s="204"/>
      <c r="M128" s="203"/>
      <c r="N128" s="388"/>
      <c r="O128" s="48"/>
      <c r="P128" s="370"/>
      <c r="Q128" s="48"/>
    </row>
    <row r="129" spans="1:17" s="429" customFormat="1" ht="15" x14ac:dyDescent="0.25">
      <c r="A129" s="1">
        <v>125</v>
      </c>
      <c r="B129" s="32" t="s">
        <v>685</v>
      </c>
      <c r="C129" s="32">
        <v>6059</v>
      </c>
      <c r="D129" s="32">
        <v>30000</v>
      </c>
      <c r="E129" s="1" t="s">
        <v>80</v>
      </c>
      <c r="F129" s="1">
        <v>334.82</v>
      </c>
      <c r="G129" s="1">
        <v>30000</v>
      </c>
      <c r="H129" s="1">
        <f t="shared" si="3"/>
        <v>0</v>
      </c>
      <c r="I129" s="89"/>
      <c r="J129" s="423"/>
      <c r="K129" s="204"/>
      <c r="L129" s="204"/>
      <c r="M129" s="203"/>
      <c r="N129" s="388"/>
      <c r="O129" s="48"/>
      <c r="P129" s="370"/>
      <c r="Q129" s="48"/>
    </row>
    <row r="130" spans="1:17" s="429" customFormat="1" ht="15" x14ac:dyDescent="0.25">
      <c r="A130" s="1">
        <v>126</v>
      </c>
      <c r="B130" s="32" t="s">
        <v>685</v>
      </c>
      <c r="C130" s="32">
        <v>1550</v>
      </c>
      <c r="D130" s="32">
        <v>12000</v>
      </c>
      <c r="E130" s="1" t="s">
        <v>80</v>
      </c>
      <c r="F130" s="1">
        <v>133.74</v>
      </c>
      <c r="G130" s="1">
        <v>12000</v>
      </c>
      <c r="H130" s="1">
        <f t="shared" si="3"/>
        <v>0</v>
      </c>
      <c r="I130" s="89"/>
      <c r="J130" s="423"/>
      <c r="K130" s="204"/>
      <c r="L130" s="204"/>
      <c r="M130" s="203"/>
      <c r="N130" s="388"/>
      <c r="O130" s="48"/>
      <c r="P130" s="370"/>
      <c r="Q130" s="48"/>
    </row>
    <row r="131" spans="1:17" s="429" customFormat="1" ht="15" x14ac:dyDescent="0.25">
      <c r="A131" s="1">
        <v>127</v>
      </c>
      <c r="B131" s="32" t="s">
        <v>685</v>
      </c>
      <c r="C131" s="32">
        <v>2496</v>
      </c>
      <c r="D131" s="32">
        <v>13000</v>
      </c>
      <c r="E131" s="1" t="s">
        <v>80</v>
      </c>
      <c r="F131" s="1">
        <v>144.13</v>
      </c>
      <c r="G131" s="1">
        <v>13000</v>
      </c>
      <c r="H131" s="1">
        <f t="shared" si="3"/>
        <v>0</v>
      </c>
      <c r="I131" s="89"/>
      <c r="J131" s="423"/>
      <c r="K131" s="204"/>
      <c r="L131" s="204"/>
      <c r="M131" s="203"/>
      <c r="N131" s="388"/>
      <c r="O131" s="48"/>
      <c r="P131" s="370"/>
      <c r="Q131" s="48"/>
    </row>
    <row r="132" spans="1:17" s="429" customFormat="1" ht="15" x14ac:dyDescent="0.25">
      <c r="A132" s="1">
        <v>128</v>
      </c>
      <c r="B132" s="32" t="s">
        <v>685</v>
      </c>
      <c r="C132" s="32">
        <v>7446</v>
      </c>
      <c r="D132" s="32">
        <v>26000</v>
      </c>
      <c r="E132" s="1" t="s">
        <v>80</v>
      </c>
      <c r="F132" s="1">
        <v>289.95</v>
      </c>
      <c r="G132" s="1">
        <v>26000</v>
      </c>
      <c r="H132" s="1">
        <f t="shared" si="3"/>
        <v>0</v>
      </c>
      <c r="I132" s="89"/>
      <c r="J132" s="423"/>
      <c r="K132" s="204"/>
      <c r="L132" s="204"/>
      <c r="M132" s="203"/>
      <c r="N132" s="388"/>
      <c r="O132" s="48"/>
      <c r="P132" s="370"/>
      <c r="Q132" s="48"/>
    </row>
    <row r="133" spans="1:17" s="429" customFormat="1" ht="15" x14ac:dyDescent="0.25">
      <c r="A133" s="1">
        <v>129</v>
      </c>
      <c r="B133" s="32" t="s">
        <v>685</v>
      </c>
      <c r="C133" s="32">
        <v>4600</v>
      </c>
      <c r="D133" s="32">
        <v>20000</v>
      </c>
      <c r="E133" s="1" t="s">
        <v>80</v>
      </c>
      <c r="F133" s="1">
        <v>222.82</v>
      </c>
      <c r="G133" s="1">
        <v>20000</v>
      </c>
      <c r="H133" s="1">
        <f t="shared" si="3"/>
        <v>0</v>
      </c>
      <c r="I133" s="89"/>
      <c r="J133" s="423"/>
      <c r="K133" s="204"/>
      <c r="L133" s="204"/>
      <c r="M133" s="203"/>
      <c r="N133" s="388"/>
      <c r="O133" s="48"/>
      <c r="P133" s="370"/>
      <c r="Q133" s="48"/>
    </row>
    <row r="134" spans="1:17" s="429" customFormat="1" ht="15" x14ac:dyDescent="0.25">
      <c r="A134" s="1">
        <v>130</v>
      </c>
      <c r="B134" s="32" t="s">
        <v>685</v>
      </c>
      <c r="C134" s="32">
        <v>8291</v>
      </c>
      <c r="D134" s="32">
        <v>25000</v>
      </c>
      <c r="E134" s="1" t="s">
        <v>80</v>
      </c>
      <c r="F134" s="1">
        <v>278.22000000000003</v>
      </c>
      <c r="G134" s="1">
        <v>25000</v>
      </c>
      <c r="H134" s="1">
        <f t="shared" si="3"/>
        <v>0</v>
      </c>
      <c r="I134" s="89"/>
      <c r="J134" s="423"/>
      <c r="K134" s="204"/>
      <c r="L134" s="204"/>
      <c r="M134" s="203"/>
      <c r="N134" s="388"/>
      <c r="O134" s="48"/>
      <c r="P134" s="370"/>
      <c r="Q134" s="48"/>
    </row>
    <row r="135" spans="1:17" s="429" customFormat="1" ht="15" x14ac:dyDescent="0.25">
      <c r="A135" s="1">
        <v>131</v>
      </c>
      <c r="B135" s="32" t="s">
        <v>685</v>
      </c>
      <c r="C135" s="32">
        <v>6155</v>
      </c>
      <c r="D135" s="32">
        <v>30000</v>
      </c>
      <c r="E135" s="1" t="s">
        <v>80</v>
      </c>
      <c r="F135" s="1">
        <v>334.82</v>
      </c>
      <c r="G135" s="1">
        <v>30000</v>
      </c>
      <c r="H135" s="1">
        <f t="shared" si="3"/>
        <v>0</v>
      </c>
      <c r="I135" s="89"/>
      <c r="J135" s="423"/>
      <c r="K135" s="204"/>
      <c r="L135" s="204"/>
      <c r="M135" s="203"/>
      <c r="N135" s="388"/>
      <c r="O135" s="48"/>
      <c r="P135" s="370"/>
      <c r="Q135" s="48"/>
    </row>
    <row r="136" spans="1:17" s="429" customFormat="1" ht="15" x14ac:dyDescent="0.25">
      <c r="A136" s="1">
        <v>132</v>
      </c>
      <c r="B136" s="32" t="s">
        <v>685</v>
      </c>
      <c r="C136" s="32">
        <v>7988</v>
      </c>
      <c r="D136" s="32">
        <v>12000</v>
      </c>
      <c r="E136" s="1" t="s">
        <v>80</v>
      </c>
      <c r="F136" s="1">
        <v>133.41999999999999</v>
      </c>
      <c r="G136" s="1">
        <v>12000</v>
      </c>
      <c r="H136" s="1">
        <f t="shared" si="3"/>
        <v>0</v>
      </c>
      <c r="I136" s="89"/>
      <c r="J136" s="423"/>
      <c r="K136" s="204"/>
      <c r="L136" s="204"/>
      <c r="M136" s="203"/>
      <c r="N136" s="388"/>
      <c r="O136" s="48"/>
      <c r="P136" s="370"/>
      <c r="Q136" s="48"/>
    </row>
    <row r="137" spans="1:17" s="429" customFormat="1" ht="15" x14ac:dyDescent="0.25">
      <c r="A137" s="1">
        <v>133</v>
      </c>
      <c r="B137" s="32" t="s">
        <v>685</v>
      </c>
      <c r="C137" s="32">
        <v>1315</v>
      </c>
      <c r="D137" s="32">
        <v>30000</v>
      </c>
      <c r="E137" s="1" t="s">
        <v>80</v>
      </c>
      <c r="F137" s="1">
        <v>334.82</v>
      </c>
      <c r="G137" s="1">
        <v>30000</v>
      </c>
      <c r="H137" s="1">
        <f t="shared" si="3"/>
        <v>0</v>
      </c>
      <c r="I137" s="89"/>
      <c r="J137" s="423"/>
      <c r="K137" s="204"/>
      <c r="L137" s="204"/>
      <c r="M137" s="203"/>
      <c r="N137" s="388"/>
      <c r="O137" s="48"/>
      <c r="P137" s="370"/>
      <c r="Q137" s="48"/>
    </row>
    <row r="138" spans="1:17" s="429" customFormat="1" ht="15" x14ac:dyDescent="0.25">
      <c r="A138" s="1">
        <v>134</v>
      </c>
      <c r="B138" s="32" t="s">
        <v>685</v>
      </c>
      <c r="C138" s="32">
        <v>7031</v>
      </c>
      <c r="D138" s="32">
        <v>25000</v>
      </c>
      <c r="E138" s="1" t="s">
        <v>80</v>
      </c>
      <c r="F138" s="1">
        <v>278.22000000000003</v>
      </c>
      <c r="G138" s="1">
        <v>25000</v>
      </c>
      <c r="H138" s="1">
        <f t="shared" si="3"/>
        <v>0</v>
      </c>
      <c r="I138" s="89"/>
      <c r="J138" s="423"/>
      <c r="K138" s="204"/>
      <c r="L138" s="204"/>
      <c r="M138" s="203"/>
      <c r="N138" s="388"/>
      <c r="O138" s="48"/>
      <c r="P138" s="370"/>
      <c r="Q138" s="48"/>
    </row>
    <row r="139" spans="1:17" s="429" customFormat="1" ht="15" x14ac:dyDescent="0.25">
      <c r="A139" s="1">
        <v>135</v>
      </c>
      <c r="B139" s="32" t="s">
        <v>685</v>
      </c>
      <c r="C139" s="32">
        <v>5485</v>
      </c>
      <c r="D139" s="32">
        <v>40000</v>
      </c>
      <c r="E139" s="1" t="s">
        <v>80</v>
      </c>
      <c r="F139" s="1">
        <v>445.72</v>
      </c>
      <c r="G139" s="1">
        <v>40000</v>
      </c>
      <c r="H139" s="1">
        <f t="shared" si="3"/>
        <v>0</v>
      </c>
      <c r="I139" s="89"/>
      <c r="J139" s="423"/>
      <c r="K139" s="204"/>
      <c r="L139" s="204"/>
      <c r="M139" s="203"/>
      <c r="N139" s="388"/>
      <c r="O139" s="48"/>
      <c r="P139" s="370"/>
      <c r="Q139" s="48"/>
    </row>
    <row r="140" spans="1:17" s="429" customFormat="1" ht="15.75" thickBot="1" x14ac:dyDescent="0.3">
      <c r="A140" s="1">
        <v>136</v>
      </c>
      <c r="B140" s="32" t="s">
        <v>685</v>
      </c>
      <c r="C140" s="32">
        <v>3579</v>
      </c>
      <c r="D140" s="32">
        <v>36000</v>
      </c>
      <c r="E140" s="1" t="s">
        <v>80</v>
      </c>
      <c r="F140" s="1">
        <v>401.27</v>
      </c>
      <c r="G140" s="1">
        <v>36000</v>
      </c>
      <c r="H140" s="1">
        <f t="shared" si="3"/>
        <v>0</v>
      </c>
      <c r="I140" s="89"/>
      <c r="J140" s="423"/>
      <c r="K140" s="204"/>
      <c r="L140" s="204"/>
      <c r="M140" s="203"/>
      <c r="N140" s="388"/>
      <c r="O140" s="48"/>
      <c r="P140" s="370"/>
      <c r="Q140" s="48"/>
    </row>
    <row r="141" spans="1:17" s="429" customFormat="1" ht="15.75" thickBot="1" x14ac:dyDescent="0.3">
      <c r="A141" s="1">
        <v>137</v>
      </c>
      <c r="B141" s="32" t="s">
        <v>685</v>
      </c>
      <c r="C141" s="32">
        <v>7268</v>
      </c>
      <c r="D141" s="32">
        <v>24000</v>
      </c>
      <c r="E141" s="1" t="s">
        <v>80</v>
      </c>
      <c r="F141" s="1">
        <v>267.41000000000003</v>
      </c>
      <c r="G141" s="1">
        <v>24000</v>
      </c>
      <c r="H141" s="1">
        <f t="shared" si="3"/>
        <v>0</v>
      </c>
      <c r="I141" s="89"/>
      <c r="J141" s="423"/>
      <c r="K141" s="204"/>
      <c r="L141" s="204"/>
      <c r="M141" s="203"/>
      <c r="N141" s="103">
        <f>2325493-2313836</f>
        <v>11657</v>
      </c>
      <c r="O141" s="359" t="s">
        <v>686</v>
      </c>
      <c r="P141" s="367" t="s">
        <v>620</v>
      </c>
      <c r="Q141" s="360">
        <f>11657-378</f>
        <v>11279</v>
      </c>
    </row>
    <row r="142" spans="1:17" s="430" customFormat="1" ht="15" x14ac:dyDescent="0.25">
      <c r="A142" s="1">
        <v>138</v>
      </c>
      <c r="B142" s="32" t="s">
        <v>687</v>
      </c>
      <c r="C142" s="32" t="s">
        <v>30</v>
      </c>
      <c r="D142" s="32">
        <v>5000</v>
      </c>
      <c r="E142" s="1" t="s">
        <v>80</v>
      </c>
      <c r="F142" s="1">
        <v>55.45</v>
      </c>
      <c r="G142" s="1">
        <v>5000</v>
      </c>
      <c r="H142" s="1">
        <f t="shared" si="3"/>
        <v>0</v>
      </c>
      <c r="I142" s="89"/>
      <c r="J142" s="423"/>
      <c r="K142" s="204"/>
      <c r="L142" s="204"/>
      <c r="M142" s="203"/>
      <c r="N142" s="388"/>
      <c r="O142" s="48"/>
      <c r="P142" s="370"/>
      <c r="Q142" s="48"/>
    </row>
    <row r="143" spans="1:17" s="430" customFormat="1" ht="15" x14ac:dyDescent="0.25">
      <c r="A143" s="1">
        <v>139</v>
      </c>
      <c r="B143" s="32" t="s">
        <v>687</v>
      </c>
      <c r="C143" s="32">
        <v>5820</v>
      </c>
      <c r="D143" s="32">
        <v>10000</v>
      </c>
      <c r="E143" s="1" t="s">
        <v>80</v>
      </c>
      <c r="F143" s="1">
        <v>178.22</v>
      </c>
      <c r="G143" s="1">
        <v>10000</v>
      </c>
      <c r="H143" s="1">
        <f t="shared" si="3"/>
        <v>0</v>
      </c>
      <c r="I143" s="89"/>
      <c r="J143" s="423"/>
      <c r="K143" s="204"/>
      <c r="L143" s="204"/>
      <c r="M143" s="203"/>
      <c r="N143" s="388"/>
      <c r="O143" s="48"/>
      <c r="P143" s="370"/>
      <c r="Q143" s="48"/>
    </row>
    <row r="144" spans="1:17" s="430" customFormat="1" ht="15" x14ac:dyDescent="0.25">
      <c r="A144" s="1">
        <v>140</v>
      </c>
      <c r="B144" s="32" t="s">
        <v>687</v>
      </c>
      <c r="C144" s="32">
        <v>8820</v>
      </c>
      <c r="D144" s="32">
        <v>10000</v>
      </c>
      <c r="E144" s="1" t="s">
        <v>80</v>
      </c>
      <c r="F144" s="1">
        <v>111.41</v>
      </c>
      <c r="G144" s="1">
        <v>10000</v>
      </c>
      <c r="H144" s="1">
        <f t="shared" si="3"/>
        <v>0</v>
      </c>
      <c r="I144" s="89"/>
      <c r="J144" s="423"/>
      <c r="K144" s="204"/>
      <c r="L144" s="204"/>
      <c r="M144" s="203"/>
      <c r="N144" s="388"/>
      <c r="O144" s="48"/>
      <c r="P144" s="370"/>
      <c r="Q144" s="48"/>
    </row>
    <row r="145" spans="1:17" s="430" customFormat="1" ht="15" x14ac:dyDescent="0.25">
      <c r="A145" s="1">
        <v>141</v>
      </c>
      <c r="B145" s="32" t="s">
        <v>687</v>
      </c>
      <c r="C145" s="32">
        <v>4.7000000000000002E-3</v>
      </c>
      <c r="D145" s="32">
        <v>14500</v>
      </c>
      <c r="E145" s="1" t="s">
        <v>80</v>
      </c>
      <c r="F145" s="1">
        <v>161.84</v>
      </c>
      <c r="G145" s="1">
        <v>14500</v>
      </c>
      <c r="H145" s="1">
        <f t="shared" si="3"/>
        <v>0</v>
      </c>
      <c r="I145" s="89"/>
      <c r="J145" s="423"/>
      <c r="K145" s="204"/>
      <c r="L145" s="204"/>
      <c r="M145" s="203"/>
      <c r="N145" s="388"/>
      <c r="O145" s="48"/>
      <c r="P145" s="370"/>
      <c r="Q145" s="48"/>
    </row>
    <row r="146" spans="1:17" s="430" customFormat="1" ht="15" x14ac:dyDescent="0.25">
      <c r="A146" s="1">
        <v>142</v>
      </c>
      <c r="B146" s="32" t="s">
        <v>687</v>
      </c>
      <c r="C146" s="32">
        <v>4.4499999999999998E-2</v>
      </c>
      <c r="D146" s="32">
        <v>13500</v>
      </c>
      <c r="E146" s="1" t="s">
        <v>80</v>
      </c>
      <c r="F146" s="1">
        <v>151.87</v>
      </c>
      <c r="G146" s="1">
        <v>13500</v>
      </c>
      <c r="H146" s="1">
        <f t="shared" si="3"/>
        <v>0</v>
      </c>
      <c r="I146" s="89"/>
      <c r="J146" s="423"/>
      <c r="K146" s="204"/>
      <c r="L146" s="204"/>
      <c r="M146" s="203"/>
      <c r="N146" s="388"/>
      <c r="O146" s="48"/>
      <c r="P146" s="370"/>
      <c r="Q146" s="48"/>
    </row>
    <row r="147" spans="1:17" s="430" customFormat="1" ht="15" x14ac:dyDescent="0.25">
      <c r="A147" s="1">
        <v>143</v>
      </c>
      <c r="B147" s="32" t="s">
        <v>687</v>
      </c>
      <c r="C147" s="32" t="s">
        <v>30</v>
      </c>
      <c r="D147" s="32">
        <v>4500</v>
      </c>
      <c r="E147" s="1" t="s">
        <v>80</v>
      </c>
      <c r="F147" s="1">
        <v>50.45</v>
      </c>
      <c r="G147" s="1">
        <v>4500</v>
      </c>
      <c r="H147" s="1">
        <f t="shared" si="3"/>
        <v>0</v>
      </c>
      <c r="I147" s="89"/>
      <c r="J147" s="423"/>
      <c r="K147" s="204"/>
      <c r="L147" s="204"/>
      <c r="M147" s="203"/>
      <c r="N147" s="388"/>
      <c r="O147" s="48"/>
      <c r="P147" s="370"/>
      <c r="Q147" s="48"/>
    </row>
    <row r="148" spans="1:17" s="430" customFormat="1" ht="15" x14ac:dyDescent="0.25">
      <c r="A148" s="1">
        <v>144</v>
      </c>
      <c r="B148" s="32" t="s">
        <v>687</v>
      </c>
      <c r="C148" s="32">
        <v>7.6600000000000001E-2</v>
      </c>
      <c r="D148" s="32">
        <v>17952</v>
      </c>
      <c r="E148" s="1" t="s">
        <v>80</v>
      </c>
      <c r="F148" s="1">
        <v>180.72</v>
      </c>
      <c r="G148" s="1">
        <v>17952</v>
      </c>
      <c r="H148" s="1">
        <f t="shared" si="3"/>
        <v>0</v>
      </c>
      <c r="I148" s="89"/>
      <c r="J148" s="423"/>
      <c r="K148" s="204"/>
      <c r="L148" s="204"/>
      <c r="M148" s="203"/>
      <c r="N148" s="388"/>
      <c r="O148" s="48"/>
      <c r="P148" s="370"/>
      <c r="Q148" s="48"/>
    </row>
    <row r="149" spans="1:17" s="430" customFormat="1" ht="15" x14ac:dyDescent="0.25">
      <c r="A149" s="1">
        <v>145</v>
      </c>
      <c r="B149" s="32" t="s">
        <v>687</v>
      </c>
      <c r="C149" s="32">
        <v>4494</v>
      </c>
      <c r="D149" s="32">
        <v>20000</v>
      </c>
      <c r="E149" s="1" t="s">
        <v>80</v>
      </c>
      <c r="F149" s="1">
        <v>222.82</v>
      </c>
      <c r="G149" s="1">
        <v>20000</v>
      </c>
      <c r="H149" s="1">
        <f t="shared" si="3"/>
        <v>0</v>
      </c>
      <c r="I149" s="89"/>
      <c r="J149" s="423"/>
      <c r="K149" s="204"/>
      <c r="L149" s="204"/>
      <c r="M149" s="203"/>
      <c r="N149" s="388"/>
      <c r="O149" s="48"/>
      <c r="P149" s="370"/>
      <c r="Q149" s="48"/>
    </row>
    <row r="150" spans="1:17" s="430" customFormat="1" ht="15" x14ac:dyDescent="0.25">
      <c r="A150" s="1">
        <v>146</v>
      </c>
      <c r="B150" s="32" t="s">
        <v>687</v>
      </c>
      <c r="C150" s="32">
        <v>3877</v>
      </c>
      <c r="D150" s="32">
        <v>15000</v>
      </c>
      <c r="E150" s="1" t="s">
        <v>80</v>
      </c>
      <c r="F150" s="1">
        <v>167.15</v>
      </c>
      <c r="G150" s="1">
        <v>15000</v>
      </c>
      <c r="H150" s="1">
        <f t="shared" si="3"/>
        <v>0</v>
      </c>
      <c r="I150" s="89"/>
      <c r="J150" s="423"/>
      <c r="K150" s="204"/>
      <c r="L150" s="204"/>
      <c r="M150" s="203"/>
      <c r="N150" s="388"/>
      <c r="O150" s="48"/>
      <c r="P150" s="370"/>
      <c r="Q150" s="48"/>
    </row>
    <row r="151" spans="1:17" s="430" customFormat="1" ht="15" x14ac:dyDescent="0.25">
      <c r="A151" s="1">
        <v>147</v>
      </c>
      <c r="B151" s="32" t="s">
        <v>687</v>
      </c>
      <c r="C151" s="32">
        <v>3068</v>
      </c>
      <c r="D151" s="32">
        <v>16000</v>
      </c>
      <c r="E151" s="1" t="s">
        <v>80</v>
      </c>
      <c r="F151" s="1">
        <v>178.22</v>
      </c>
      <c r="G151" s="1">
        <v>16000</v>
      </c>
      <c r="H151" s="1">
        <f t="shared" si="3"/>
        <v>0</v>
      </c>
      <c r="I151" s="89"/>
      <c r="J151" s="423"/>
      <c r="K151" s="204"/>
      <c r="L151" s="204"/>
      <c r="M151" s="203"/>
      <c r="N151" s="388"/>
      <c r="O151" s="48"/>
      <c r="P151" s="370"/>
      <c r="Q151" s="48"/>
    </row>
    <row r="152" spans="1:17" s="430" customFormat="1" ht="15.75" thickBot="1" x14ac:dyDescent="0.3">
      <c r="A152" s="1">
        <v>148</v>
      </c>
      <c r="B152" s="32" t="s">
        <v>687</v>
      </c>
      <c r="C152" s="32">
        <v>2181</v>
      </c>
      <c r="D152" s="32">
        <v>19000</v>
      </c>
      <c r="E152" s="1" t="s">
        <v>80</v>
      </c>
      <c r="F152" s="1">
        <v>218.42</v>
      </c>
      <c r="G152" s="1">
        <v>19000</v>
      </c>
      <c r="H152" s="1">
        <f t="shared" si="3"/>
        <v>0</v>
      </c>
      <c r="I152" s="89"/>
      <c r="J152" s="423"/>
      <c r="K152" s="204"/>
      <c r="L152" s="204"/>
      <c r="M152" s="203"/>
      <c r="N152" s="388"/>
      <c r="O152" s="48"/>
      <c r="P152" s="370"/>
      <c r="Q152" s="48"/>
    </row>
    <row r="153" spans="1:17" s="430" customFormat="1" ht="15.75" thickBot="1" x14ac:dyDescent="0.3">
      <c r="A153" s="1">
        <v>149</v>
      </c>
      <c r="B153" s="32" t="s">
        <v>687</v>
      </c>
      <c r="C153" s="32">
        <v>6.7000000000000004E-2</v>
      </c>
      <c r="D153" s="32">
        <v>32000</v>
      </c>
      <c r="E153" s="1" t="s">
        <v>80</v>
      </c>
      <c r="F153" s="1">
        <v>356.82</v>
      </c>
      <c r="G153" s="1">
        <v>32000</v>
      </c>
      <c r="H153" s="1">
        <f t="shared" si="3"/>
        <v>0</v>
      </c>
      <c r="I153" s="89"/>
      <c r="J153" s="423"/>
      <c r="K153" s="204"/>
      <c r="L153" s="204"/>
      <c r="M153" s="203"/>
      <c r="N153" s="103">
        <f>2123415-2102245</f>
        <v>21170</v>
      </c>
      <c r="O153" s="359" t="s">
        <v>689</v>
      </c>
      <c r="P153" s="367" t="s">
        <v>620</v>
      </c>
      <c r="Q153" s="360">
        <f>21170-9881</f>
        <v>11289</v>
      </c>
    </row>
    <row r="154" spans="1:17" s="431" customFormat="1" ht="15" x14ac:dyDescent="0.25">
      <c r="A154" s="1">
        <v>150</v>
      </c>
      <c r="B154" s="32" t="s">
        <v>691</v>
      </c>
      <c r="C154" s="32">
        <v>9777</v>
      </c>
      <c r="D154" s="32">
        <v>16000</v>
      </c>
      <c r="E154" s="1" t="s">
        <v>80</v>
      </c>
      <c r="F154" s="1">
        <v>178.22</v>
      </c>
      <c r="G154" s="1">
        <v>16000</v>
      </c>
      <c r="H154" s="1">
        <f t="shared" si="3"/>
        <v>0</v>
      </c>
      <c r="I154" s="89"/>
      <c r="J154" s="423"/>
      <c r="K154" s="204"/>
      <c r="L154" s="204"/>
      <c r="M154" s="203"/>
      <c r="N154" s="388"/>
      <c r="O154" s="48"/>
      <c r="P154" s="370"/>
      <c r="Q154" s="48"/>
    </row>
    <row r="155" spans="1:17" s="431" customFormat="1" ht="15" x14ac:dyDescent="0.25">
      <c r="A155" s="1">
        <v>151</v>
      </c>
      <c r="B155" s="32" t="s">
        <v>691</v>
      </c>
      <c r="C155" s="32" t="s">
        <v>633</v>
      </c>
      <c r="D155" s="32">
        <v>210</v>
      </c>
      <c r="E155" s="1" t="s">
        <v>80</v>
      </c>
      <c r="F155" s="1">
        <v>2.08</v>
      </c>
      <c r="G155" s="1">
        <v>210</v>
      </c>
      <c r="H155" s="1">
        <f t="shared" ref="H155:H218" si="4">D155-G155</f>
        <v>0</v>
      </c>
      <c r="I155" s="89"/>
      <c r="J155" s="423"/>
      <c r="K155" s="204"/>
      <c r="L155" s="204"/>
      <c r="M155" s="203"/>
      <c r="N155" s="388"/>
      <c r="O155" s="48"/>
      <c r="P155" s="370"/>
      <c r="Q155" s="48"/>
    </row>
    <row r="156" spans="1:17" s="431" customFormat="1" ht="15" x14ac:dyDescent="0.25">
      <c r="A156" s="1">
        <v>152</v>
      </c>
      <c r="B156" s="32" t="s">
        <v>691</v>
      </c>
      <c r="C156" s="32" t="s">
        <v>634</v>
      </c>
      <c r="D156" s="32">
        <v>3500</v>
      </c>
      <c r="E156" s="1" t="s">
        <v>80</v>
      </c>
      <c r="F156" s="1">
        <v>38.47</v>
      </c>
      <c r="G156" s="1">
        <v>3500</v>
      </c>
      <c r="H156" s="1">
        <f t="shared" si="4"/>
        <v>0</v>
      </c>
      <c r="I156" s="89"/>
      <c r="J156" s="423"/>
      <c r="K156" s="204"/>
      <c r="L156" s="204"/>
      <c r="M156" s="203"/>
      <c r="N156" s="388"/>
      <c r="O156" s="48"/>
      <c r="P156" s="370"/>
      <c r="Q156" s="48"/>
    </row>
    <row r="157" spans="1:17" s="431" customFormat="1" ht="15" x14ac:dyDescent="0.25">
      <c r="A157" s="1">
        <v>153</v>
      </c>
      <c r="B157" s="32" t="s">
        <v>691</v>
      </c>
      <c r="C157" s="32">
        <v>6447</v>
      </c>
      <c r="D157" s="32">
        <v>23000</v>
      </c>
      <c r="E157" s="1" t="s">
        <v>80</v>
      </c>
      <c r="F157" s="1">
        <v>256.87</v>
      </c>
      <c r="G157" s="1">
        <v>23000</v>
      </c>
      <c r="H157" s="1">
        <f t="shared" si="4"/>
        <v>0</v>
      </c>
      <c r="I157" s="89"/>
      <c r="J157" s="423"/>
      <c r="K157" s="204"/>
      <c r="L157" s="204"/>
      <c r="M157" s="203"/>
      <c r="N157" s="388"/>
      <c r="O157" s="48"/>
      <c r="P157" s="370"/>
      <c r="Q157" s="48"/>
    </row>
    <row r="158" spans="1:17" s="431" customFormat="1" ht="15" x14ac:dyDescent="0.25">
      <c r="A158" s="1">
        <v>154</v>
      </c>
      <c r="B158" s="32" t="s">
        <v>691</v>
      </c>
      <c r="C158" s="32">
        <v>2892</v>
      </c>
      <c r="D158" s="32">
        <v>25000</v>
      </c>
      <c r="E158" s="1" t="s">
        <v>80</v>
      </c>
      <c r="F158" s="1">
        <v>278.22000000000003</v>
      </c>
      <c r="G158" s="1">
        <v>25000</v>
      </c>
      <c r="H158" s="1">
        <f t="shared" si="4"/>
        <v>0</v>
      </c>
      <c r="I158" s="89"/>
      <c r="J158" s="423"/>
      <c r="K158" s="204"/>
      <c r="L158" s="204"/>
      <c r="M158" s="203"/>
      <c r="N158" s="388"/>
      <c r="O158" s="48"/>
      <c r="P158" s="370"/>
      <c r="Q158" s="48"/>
    </row>
    <row r="159" spans="1:17" s="431" customFormat="1" ht="15.75" thickBot="1" x14ac:dyDescent="0.3">
      <c r="A159" s="1">
        <v>155</v>
      </c>
      <c r="B159" s="32" t="s">
        <v>691</v>
      </c>
      <c r="C159" s="32">
        <v>5364</v>
      </c>
      <c r="D159" s="32">
        <v>30000</v>
      </c>
      <c r="E159" s="1" t="s">
        <v>80</v>
      </c>
      <c r="F159" s="1">
        <v>334.82</v>
      </c>
      <c r="G159" s="1">
        <v>30000</v>
      </c>
      <c r="H159" s="1">
        <f t="shared" si="4"/>
        <v>0</v>
      </c>
      <c r="I159" s="89"/>
      <c r="J159" s="423"/>
      <c r="K159" s="204"/>
      <c r="L159" s="204"/>
      <c r="M159" s="203"/>
      <c r="N159" s="388"/>
      <c r="O159" s="48"/>
      <c r="P159" s="370"/>
      <c r="Q159" s="48"/>
    </row>
    <row r="160" spans="1:17" s="431" customFormat="1" ht="15.75" thickBot="1" x14ac:dyDescent="0.3">
      <c r="A160" s="1">
        <v>156</v>
      </c>
      <c r="B160" s="32" t="s">
        <v>691</v>
      </c>
      <c r="C160" s="32">
        <v>6311</v>
      </c>
      <c r="D160" s="32">
        <v>26000</v>
      </c>
      <c r="E160" s="1" t="s">
        <v>80</v>
      </c>
      <c r="F160" s="1">
        <v>289.69</v>
      </c>
      <c r="G160" s="1">
        <v>26000</v>
      </c>
      <c r="H160" s="1">
        <f t="shared" si="4"/>
        <v>0</v>
      </c>
      <c r="I160" s="89"/>
      <c r="J160" s="423"/>
      <c r="K160" s="204"/>
      <c r="L160" s="204"/>
      <c r="M160" s="203"/>
      <c r="N160" s="103">
        <f>2037622-2025955</f>
        <v>11667</v>
      </c>
      <c r="O160" s="359" t="s">
        <v>692</v>
      </c>
      <c r="P160" s="367" t="s">
        <v>620</v>
      </c>
      <c r="Q160" s="360">
        <f>11667-377</f>
        <v>11290</v>
      </c>
    </row>
    <row r="161" spans="1:17" s="432" customFormat="1" ht="15" x14ac:dyDescent="0.25">
      <c r="A161" s="1">
        <v>157</v>
      </c>
      <c r="B161" s="32" t="s">
        <v>693</v>
      </c>
      <c r="C161" s="32" t="s">
        <v>30</v>
      </c>
      <c r="D161" s="32">
        <v>5000</v>
      </c>
      <c r="E161" s="1" t="s">
        <v>80</v>
      </c>
      <c r="F161" s="1">
        <v>55.45</v>
      </c>
      <c r="G161" s="1">
        <v>5000</v>
      </c>
      <c r="H161" s="1">
        <f t="shared" si="4"/>
        <v>0</v>
      </c>
      <c r="I161" s="89"/>
      <c r="J161" s="423"/>
      <c r="K161" s="204"/>
      <c r="L161" s="204"/>
      <c r="M161" s="203"/>
      <c r="N161" s="388"/>
      <c r="O161" s="48"/>
      <c r="P161" s="370"/>
      <c r="Q161" s="48"/>
    </row>
    <row r="162" spans="1:17" s="432" customFormat="1" ht="15" x14ac:dyDescent="0.25">
      <c r="A162" s="1">
        <v>158</v>
      </c>
      <c r="B162" s="32" t="s">
        <v>693</v>
      </c>
      <c r="C162" s="32">
        <v>9509</v>
      </c>
      <c r="D162" s="32">
        <v>26000</v>
      </c>
      <c r="E162" s="1" t="s">
        <v>80</v>
      </c>
      <c r="F162" s="1">
        <v>289.57</v>
      </c>
      <c r="G162" s="1">
        <v>26000</v>
      </c>
      <c r="H162" s="1">
        <f t="shared" si="4"/>
        <v>0</v>
      </c>
      <c r="I162" s="89"/>
      <c r="J162" s="423"/>
      <c r="K162" s="204"/>
      <c r="L162" s="204"/>
      <c r="M162" s="203"/>
      <c r="N162" s="388"/>
      <c r="O162" s="48"/>
      <c r="P162" s="370"/>
      <c r="Q162" s="48"/>
    </row>
    <row r="163" spans="1:17" s="432" customFormat="1" ht="15" x14ac:dyDescent="0.25">
      <c r="A163" s="1">
        <v>159</v>
      </c>
      <c r="B163" s="32" t="s">
        <v>693</v>
      </c>
      <c r="C163" s="32">
        <v>9879</v>
      </c>
      <c r="D163" s="32">
        <v>18000</v>
      </c>
      <c r="E163" s="1" t="s">
        <v>80</v>
      </c>
      <c r="F163" s="1">
        <v>200.82</v>
      </c>
      <c r="G163" s="1">
        <v>18000</v>
      </c>
      <c r="H163" s="1">
        <f t="shared" si="4"/>
        <v>0</v>
      </c>
      <c r="I163" s="89"/>
      <c r="J163" s="423"/>
      <c r="K163" s="204"/>
      <c r="L163" s="204"/>
      <c r="M163" s="203"/>
      <c r="N163" s="388"/>
      <c r="O163" s="48"/>
      <c r="P163" s="370"/>
      <c r="Q163" s="48"/>
    </row>
    <row r="164" spans="1:17" s="432" customFormat="1" ht="15" x14ac:dyDescent="0.25">
      <c r="A164" s="1">
        <v>160</v>
      </c>
      <c r="B164" s="32" t="s">
        <v>693</v>
      </c>
      <c r="C164" s="32">
        <v>2004</v>
      </c>
      <c r="D164" s="32">
        <v>21000</v>
      </c>
      <c r="E164" s="1" t="s">
        <v>80</v>
      </c>
      <c r="F164" s="1">
        <v>229.71</v>
      </c>
      <c r="G164" s="1">
        <v>21000</v>
      </c>
      <c r="H164" s="1">
        <f t="shared" si="4"/>
        <v>0</v>
      </c>
      <c r="I164" s="89"/>
      <c r="J164" s="423"/>
      <c r="K164" s="204"/>
      <c r="L164" s="204"/>
      <c r="M164" s="203"/>
      <c r="N164" s="388"/>
      <c r="O164" s="48"/>
      <c r="P164" s="370"/>
      <c r="Q164" s="48"/>
    </row>
    <row r="165" spans="1:17" s="432" customFormat="1" ht="15" x14ac:dyDescent="0.25">
      <c r="A165" s="1">
        <v>161</v>
      </c>
      <c r="B165" s="32" t="s">
        <v>693</v>
      </c>
      <c r="C165" s="32">
        <v>8274</v>
      </c>
      <c r="D165" s="32">
        <v>22000</v>
      </c>
      <c r="E165" s="1" t="s">
        <v>80</v>
      </c>
      <c r="F165" s="1">
        <v>245.57</v>
      </c>
      <c r="G165" s="1">
        <v>22000</v>
      </c>
      <c r="H165" s="1">
        <f t="shared" si="4"/>
        <v>0</v>
      </c>
      <c r="I165" s="89"/>
      <c r="J165" s="423"/>
      <c r="K165" s="204"/>
      <c r="L165" s="204"/>
      <c r="M165" s="203"/>
      <c r="N165" s="388"/>
      <c r="O165" s="48"/>
      <c r="P165" s="370"/>
      <c r="Q165" s="48"/>
    </row>
    <row r="166" spans="1:17" s="432" customFormat="1" ht="15" x14ac:dyDescent="0.25">
      <c r="A166" s="1">
        <v>162</v>
      </c>
      <c r="B166" s="32" t="s">
        <v>693</v>
      </c>
      <c r="C166" s="32">
        <v>5204</v>
      </c>
      <c r="D166" s="32">
        <v>23000</v>
      </c>
      <c r="E166" s="1" t="s">
        <v>80</v>
      </c>
      <c r="F166" s="1">
        <v>256.72000000000003</v>
      </c>
      <c r="G166" s="1">
        <v>23000</v>
      </c>
      <c r="H166" s="1">
        <f t="shared" si="4"/>
        <v>0</v>
      </c>
      <c r="I166" s="89"/>
      <c r="J166" s="423"/>
      <c r="K166" s="204"/>
      <c r="L166" s="204"/>
      <c r="M166" s="203"/>
      <c r="N166" s="388"/>
      <c r="O166" s="48"/>
      <c r="P166" s="370"/>
      <c r="Q166" s="48"/>
    </row>
    <row r="167" spans="1:17" s="432" customFormat="1" ht="15" x14ac:dyDescent="0.25">
      <c r="A167" s="1">
        <v>163</v>
      </c>
      <c r="B167" s="32" t="s">
        <v>693</v>
      </c>
      <c r="C167" s="32">
        <v>9711</v>
      </c>
      <c r="D167" s="32">
        <v>31000</v>
      </c>
      <c r="E167" s="1" t="s">
        <v>80</v>
      </c>
      <c r="F167" s="1">
        <v>330.62</v>
      </c>
      <c r="G167" s="1">
        <v>31000</v>
      </c>
      <c r="H167" s="1">
        <f t="shared" si="4"/>
        <v>0</v>
      </c>
      <c r="I167" s="89"/>
      <c r="J167" s="423"/>
      <c r="K167" s="204"/>
      <c r="L167" s="204"/>
      <c r="M167" s="203"/>
      <c r="N167" s="388"/>
      <c r="O167" s="48"/>
      <c r="P167" s="370"/>
      <c r="Q167" s="48"/>
    </row>
    <row r="168" spans="1:17" s="432" customFormat="1" ht="15" x14ac:dyDescent="0.25">
      <c r="A168" s="1">
        <v>164</v>
      </c>
      <c r="B168" s="32" t="s">
        <v>693</v>
      </c>
      <c r="C168" s="32">
        <v>5.8400000000000001E-2</v>
      </c>
      <c r="D168" s="32">
        <v>21000</v>
      </c>
      <c r="E168" s="1" t="s">
        <v>80</v>
      </c>
      <c r="F168" s="1">
        <v>233.82</v>
      </c>
      <c r="G168" s="1">
        <v>21000</v>
      </c>
      <c r="H168" s="1">
        <f t="shared" si="4"/>
        <v>0</v>
      </c>
      <c r="I168" s="89"/>
      <c r="J168" s="423"/>
      <c r="K168" s="204"/>
      <c r="L168" s="204"/>
      <c r="M168" s="203"/>
      <c r="N168" s="388"/>
      <c r="O168" s="48"/>
      <c r="P168" s="370"/>
      <c r="Q168" s="48"/>
    </row>
    <row r="169" spans="1:17" s="432" customFormat="1" ht="15" x14ac:dyDescent="0.25">
      <c r="A169" s="1">
        <v>165</v>
      </c>
      <c r="B169" s="32" t="s">
        <v>693</v>
      </c>
      <c r="C169" s="32">
        <v>7.5499999999999998E-2</v>
      </c>
      <c r="D169" s="32">
        <v>24000</v>
      </c>
      <c r="E169" s="1" t="s">
        <v>80</v>
      </c>
      <c r="F169" s="1">
        <v>267.41000000000003</v>
      </c>
      <c r="G169" s="1">
        <v>24000</v>
      </c>
      <c r="H169" s="1">
        <f t="shared" si="4"/>
        <v>0</v>
      </c>
      <c r="I169" s="89"/>
      <c r="J169" s="423"/>
      <c r="K169" s="204"/>
      <c r="L169" s="204"/>
      <c r="M169" s="203"/>
      <c r="N169" s="388"/>
      <c r="O169" s="48"/>
      <c r="P169" s="370"/>
      <c r="Q169" s="48"/>
    </row>
    <row r="170" spans="1:17" s="432" customFormat="1" ht="15" x14ac:dyDescent="0.25">
      <c r="A170" s="1">
        <v>166</v>
      </c>
      <c r="B170" s="32" t="s">
        <v>693</v>
      </c>
      <c r="C170" s="32">
        <v>9.1999999999999998E-3</v>
      </c>
      <c r="D170" s="32">
        <v>25000</v>
      </c>
      <c r="E170" s="1" t="s">
        <v>80</v>
      </c>
      <c r="F170" s="1">
        <v>278.22000000000003</v>
      </c>
      <c r="G170" s="1">
        <v>25000</v>
      </c>
      <c r="H170" s="1">
        <f t="shared" si="4"/>
        <v>0</v>
      </c>
      <c r="I170" s="89"/>
      <c r="J170" s="423"/>
      <c r="K170" s="204"/>
      <c r="L170" s="204"/>
      <c r="M170" s="203"/>
      <c r="N170" s="388"/>
      <c r="O170" s="48"/>
      <c r="P170" s="370"/>
      <c r="Q170" s="48"/>
    </row>
    <row r="171" spans="1:17" s="432" customFormat="1" ht="15" x14ac:dyDescent="0.25">
      <c r="A171" s="1">
        <v>167</v>
      </c>
      <c r="B171" s="32" t="s">
        <v>693</v>
      </c>
      <c r="C171" s="32">
        <v>5786</v>
      </c>
      <c r="D171" s="32">
        <v>22000</v>
      </c>
      <c r="E171" s="1" t="s">
        <v>80</v>
      </c>
      <c r="F171" s="1">
        <v>245.22</v>
      </c>
      <c r="G171" s="1">
        <v>22000</v>
      </c>
      <c r="H171" s="1">
        <f t="shared" si="4"/>
        <v>0</v>
      </c>
      <c r="I171" s="89"/>
      <c r="J171" s="423"/>
      <c r="K171" s="204"/>
      <c r="L171" s="204"/>
      <c r="M171" s="203"/>
      <c r="N171" s="388"/>
      <c r="O171" s="48"/>
      <c r="P171" s="370"/>
      <c r="Q171" s="48"/>
    </row>
    <row r="172" spans="1:17" s="432" customFormat="1" ht="15" x14ac:dyDescent="0.25">
      <c r="A172" s="1">
        <v>168</v>
      </c>
      <c r="B172" s="32" t="s">
        <v>693</v>
      </c>
      <c r="C172" s="32">
        <v>7672</v>
      </c>
      <c r="D172" s="32">
        <v>20000</v>
      </c>
      <c r="E172" s="1" t="s">
        <v>80</v>
      </c>
      <c r="F172" s="1">
        <v>222.82</v>
      </c>
      <c r="G172" s="1">
        <v>20000</v>
      </c>
      <c r="H172" s="1">
        <f t="shared" si="4"/>
        <v>0</v>
      </c>
      <c r="I172" s="89"/>
      <c r="J172" s="423"/>
      <c r="K172" s="204"/>
      <c r="L172" s="204"/>
      <c r="M172" s="203"/>
      <c r="N172" s="388"/>
      <c r="O172" s="48"/>
      <c r="P172" s="370"/>
      <c r="Q172" s="48"/>
    </row>
    <row r="173" spans="1:17" s="432" customFormat="1" ht="15" x14ac:dyDescent="0.25">
      <c r="A173" s="1">
        <v>169</v>
      </c>
      <c r="B173" s="32" t="s">
        <v>693</v>
      </c>
      <c r="C173" s="32">
        <v>9458</v>
      </c>
      <c r="D173" s="32">
        <v>30000</v>
      </c>
      <c r="E173" s="1" t="s">
        <v>80</v>
      </c>
      <c r="F173" s="1">
        <v>334.82</v>
      </c>
      <c r="G173" s="1">
        <v>30000</v>
      </c>
      <c r="H173" s="1">
        <f t="shared" si="4"/>
        <v>0</v>
      </c>
      <c r="I173" s="89"/>
      <c r="J173" s="423"/>
      <c r="K173" s="204"/>
      <c r="L173" s="204"/>
      <c r="M173" s="203"/>
      <c r="N173" s="388"/>
      <c r="O173" s="48"/>
      <c r="P173" s="370"/>
      <c r="Q173" s="48"/>
    </row>
    <row r="174" spans="1:17" s="432" customFormat="1" ht="15" x14ac:dyDescent="0.25">
      <c r="A174" s="1">
        <v>170</v>
      </c>
      <c r="B174" s="32" t="s">
        <v>694</v>
      </c>
      <c r="C174" s="32">
        <v>5151</v>
      </c>
      <c r="D174" s="32">
        <v>16000</v>
      </c>
      <c r="E174" s="1" t="s">
        <v>80</v>
      </c>
      <c r="F174" s="1">
        <v>178.22</v>
      </c>
      <c r="G174" s="1">
        <v>16000</v>
      </c>
      <c r="H174" s="1">
        <f t="shared" si="4"/>
        <v>0</v>
      </c>
      <c r="I174" s="89"/>
      <c r="J174" s="423"/>
      <c r="K174" s="204"/>
      <c r="L174" s="204"/>
      <c r="M174" s="203"/>
      <c r="N174" s="388"/>
      <c r="O174" s="48"/>
      <c r="P174" s="370"/>
      <c r="Q174" s="48"/>
    </row>
    <row r="175" spans="1:17" s="432" customFormat="1" ht="15" x14ac:dyDescent="0.25">
      <c r="A175" s="1">
        <v>171</v>
      </c>
      <c r="B175" s="32" t="s">
        <v>694</v>
      </c>
      <c r="C175" s="32">
        <v>5.1000000000000004E-3</v>
      </c>
      <c r="D175" s="32">
        <v>17000</v>
      </c>
      <c r="E175" s="1" t="s">
        <v>80</v>
      </c>
      <c r="F175" s="1">
        <v>189.57</v>
      </c>
      <c r="G175" s="1">
        <v>17000</v>
      </c>
      <c r="H175" s="1">
        <f t="shared" si="4"/>
        <v>0</v>
      </c>
      <c r="I175" s="89"/>
      <c r="J175" s="423"/>
      <c r="K175" s="204"/>
      <c r="L175" s="204"/>
      <c r="M175" s="203"/>
      <c r="N175" s="388"/>
      <c r="O175" s="48"/>
      <c r="P175" s="370"/>
      <c r="Q175" s="48"/>
    </row>
    <row r="176" spans="1:17" s="432" customFormat="1" ht="15" x14ac:dyDescent="0.25">
      <c r="A176" s="1">
        <v>172</v>
      </c>
      <c r="B176" s="32" t="s">
        <v>694</v>
      </c>
      <c r="C176" s="32">
        <v>5.1999999999999998E-3</v>
      </c>
      <c r="D176" s="32">
        <v>17000</v>
      </c>
      <c r="E176" s="1" t="s">
        <v>80</v>
      </c>
      <c r="F176" s="1">
        <v>189.57</v>
      </c>
      <c r="G176" s="1">
        <v>17000</v>
      </c>
      <c r="H176" s="1">
        <f t="shared" si="4"/>
        <v>0</v>
      </c>
      <c r="I176" s="89"/>
      <c r="J176" s="423"/>
      <c r="K176" s="204"/>
      <c r="L176" s="204"/>
      <c r="M176" s="203"/>
      <c r="N176" s="388"/>
      <c r="O176" s="48"/>
      <c r="P176" s="370"/>
      <c r="Q176" s="48"/>
    </row>
    <row r="177" spans="1:17" s="432" customFormat="1" ht="15" x14ac:dyDescent="0.25">
      <c r="A177" s="1">
        <v>173</v>
      </c>
      <c r="B177" s="32" t="s">
        <v>694</v>
      </c>
      <c r="C177" s="32">
        <v>4.7000000000000002E-3</v>
      </c>
      <c r="D177" s="32">
        <v>14000</v>
      </c>
      <c r="E177" s="1" t="s">
        <v>80</v>
      </c>
      <c r="F177" s="1">
        <v>155.85</v>
      </c>
      <c r="G177" s="1">
        <v>14000</v>
      </c>
      <c r="H177" s="1">
        <f t="shared" si="4"/>
        <v>0</v>
      </c>
      <c r="I177" s="89"/>
      <c r="J177" s="423"/>
      <c r="K177" s="204"/>
      <c r="L177" s="204"/>
      <c r="M177" s="203"/>
      <c r="N177" s="388"/>
      <c r="O177" s="48"/>
      <c r="P177" s="370"/>
      <c r="Q177" s="48"/>
    </row>
    <row r="178" spans="1:17" s="432" customFormat="1" ht="15" x14ac:dyDescent="0.25">
      <c r="A178" s="1">
        <v>174</v>
      </c>
      <c r="B178" s="32" t="s">
        <v>694</v>
      </c>
      <c r="C178" s="32">
        <v>6794</v>
      </c>
      <c r="D178" s="32">
        <v>10000</v>
      </c>
      <c r="E178" s="1" t="s">
        <v>80</v>
      </c>
      <c r="F178" s="1">
        <v>111.41</v>
      </c>
      <c r="G178" s="1">
        <v>10000</v>
      </c>
      <c r="H178" s="1">
        <f t="shared" si="4"/>
        <v>0</v>
      </c>
      <c r="I178" s="89"/>
      <c r="J178" s="423"/>
      <c r="K178" s="204"/>
      <c r="L178" s="204"/>
      <c r="M178" s="203"/>
      <c r="N178" s="388"/>
      <c r="O178" s="48"/>
      <c r="P178" s="370"/>
      <c r="Q178" s="48"/>
    </row>
    <row r="179" spans="1:17" s="432" customFormat="1" ht="15" x14ac:dyDescent="0.25">
      <c r="A179" s="1">
        <v>175</v>
      </c>
      <c r="B179" s="32" t="s">
        <v>694</v>
      </c>
      <c r="C179" s="32">
        <v>8820</v>
      </c>
      <c r="D179" s="32">
        <v>10000</v>
      </c>
      <c r="E179" s="1" t="s">
        <v>80</v>
      </c>
      <c r="F179" s="1">
        <v>111.41</v>
      </c>
      <c r="G179" s="1">
        <v>10000</v>
      </c>
      <c r="H179" s="1">
        <f t="shared" si="4"/>
        <v>0</v>
      </c>
      <c r="I179" s="89"/>
      <c r="J179" s="423"/>
      <c r="K179" s="204"/>
      <c r="L179" s="204"/>
      <c r="M179" s="203"/>
      <c r="N179" s="388"/>
      <c r="O179" s="48"/>
      <c r="P179" s="370"/>
      <c r="Q179" s="48"/>
    </row>
    <row r="180" spans="1:17" s="432" customFormat="1" ht="15" x14ac:dyDescent="0.25">
      <c r="A180" s="1">
        <v>176</v>
      </c>
      <c r="B180" s="32" t="s">
        <v>694</v>
      </c>
      <c r="C180" s="32">
        <v>1720</v>
      </c>
      <c r="D180" s="32">
        <v>10000</v>
      </c>
      <c r="E180" s="1" t="s">
        <v>80</v>
      </c>
      <c r="F180" s="1">
        <v>111.41</v>
      </c>
      <c r="G180" s="1">
        <v>10000</v>
      </c>
      <c r="H180" s="1">
        <f t="shared" si="4"/>
        <v>0</v>
      </c>
      <c r="I180" s="89"/>
      <c r="J180" s="423"/>
      <c r="K180" s="204"/>
      <c r="L180" s="204"/>
      <c r="M180" s="203"/>
      <c r="N180" s="388"/>
      <c r="O180" s="48"/>
      <c r="P180" s="370"/>
      <c r="Q180" s="48"/>
    </row>
    <row r="181" spans="1:17" s="432" customFormat="1" ht="15" x14ac:dyDescent="0.25">
      <c r="A181" s="1">
        <v>177</v>
      </c>
      <c r="B181" s="32" t="s">
        <v>694</v>
      </c>
      <c r="C181" s="32">
        <v>4.4499999999999998E-2</v>
      </c>
      <c r="D181" s="32">
        <v>13500</v>
      </c>
      <c r="E181" s="1" t="s">
        <v>80</v>
      </c>
      <c r="F181" s="1">
        <v>150.57</v>
      </c>
      <c r="G181" s="1">
        <v>13500</v>
      </c>
      <c r="H181" s="1">
        <f t="shared" si="4"/>
        <v>0</v>
      </c>
      <c r="I181" s="89"/>
      <c r="J181" s="423"/>
      <c r="K181" s="204"/>
      <c r="L181" s="204"/>
      <c r="M181" s="203"/>
      <c r="N181" s="388"/>
      <c r="O181" s="48"/>
      <c r="P181" s="370"/>
      <c r="Q181" s="48"/>
    </row>
    <row r="182" spans="1:17" s="432" customFormat="1" ht="15" x14ac:dyDescent="0.25">
      <c r="A182" s="1">
        <v>178</v>
      </c>
      <c r="B182" s="32" t="s">
        <v>694</v>
      </c>
      <c r="C182" s="32">
        <v>9651</v>
      </c>
      <c r="D182" s="32">
        <v>16000</v>
      </c>
      <c r="E182" s="1" t="s">
        <v>80</v>
      </c>
      <c r="F182" s="1">
        <v>178.22</v>
      </c>
      <c r="G182" s="1">
        <v>16000</v>
      </c>
      <c r="H182" s="1">
        <f t="shared" si="4"/>
        <v>0</v>
      </c>
      <c r="I182" s="89"/>
      <c r="J182" s="423"/>
      <c r="K182" s="204"/>
      <c r="L182" s="204"/>
      <c r="M182" s="203"/>
      <c r="N182" s="388"/>
      <c r="O182" s="48"/>
      <c r="P182" s="370"/>
      <c r="Q182" s="48"/>
    </row>
    <row r="183" spans="1:17" s="432" customFormat="1" ht="15" x14ac:dyDescent="0.25">
      <c r="A183" s="1">
        <v>179</v>
      </c>
      <c r="B183" s="32" t="s">
        <v>694</v>
      </c>
      <c r="C183" s="32">
        <v>6031</v>
      </c>
      <c r="D183" s="32">
        <v>32000</v>
      </c>
      <c r="E183" s="1" t="s">
        <v>80</v>
      </c>
      <c r="F183" s="1">
        <v>337.42</v>
      </c>
      <c r="G183" s="1">
        <v>32000</v>
      </c>
      <c r="H183" s="1">
        <f t="shared" si="4"/>
        <v>0</v>
      </c>
      <c r="I183" s="89"/>
      <c r="J183" s="423"/>
      <c r="K183" s="204"/>
      <c r="L183" s="204"/>
      <c r="M183" s="203"/>
      <c r="N183" s="388"/>
      <c r="O183" s="48"/>
      <c r="P183" s="370"/>
      <c r="Q183" s="48"/>
    </row>
    <row r="184" spans="1:17" s="432" customFormat="1" ht="15" x14ac:dyDescent="0.25">
      <c r="A184" s="1">
        <v>180</v>
      </c>
      <c r="B184" s="32" t="s">
        <v>694</v>
      </c>
      <c r="C184" s="32">
        <v>6393</v>
      </c>
      <c r="D184" s="32">
        <v>22000</v>
      </c>
      <c r="E184" s="1" t="s">
        <v>80</v>
      </c>
      <c r="F184" s="1">
        <v>245.22</v>
      </c>
      <c r="G184" s="1">
        <v>22000</v>
      </c>
      <c r="H184" s="1">
        <f t="shared" si="4"/>
        <v>0</v>
      </c>
      <c r="I184" s="89"/>
      <c r="J184" s="423"/>
      <c r="K184" s="204"/>
      <c r="L184" s="204"/>
      <c r="M184" s="203"/>
      <c r="N184" s="388"/>
      <c r="O184" s="48"/>
      <c r="P184" s="370"/>
      <c r="Q184" s="48"/>
    </row>
    <row r="185" spans="1:17" s="432" customFormat="1" ht="15" x14ac:dyDescent="0.25">
      <c r="A185" s="1">
        <v>181</v>
      </c>
      <c r="B185" s="32" t="s">
        <v>694</v>
      </c>
      <c r="C185" s="32">
        <v>2.87E-2</v>
      </c>
      <c r="D185" s="32">
        <v>24000</v>
      </c>
      <c r="E185" s="1" t="s">
        <v>80</v>
      </c>
      <c r="F185" s="1">
        <v>224.74</v>
      </c>
      <c r="G185" s="1">
        <v>24000</v>
      </c>
      <c r="H185" s="1">
        <f t="shared" si="4"/>
        <v>0</v>
      </c>
      <c r="I185" s="89"/>
      <c r="J185" s="423"/>
      <c r="K185" s="204"/>
      <c r="L185" s="204"/>
      <c r="M185" s="203"/>
      <c r="N185" s="388"/>
      <c r="O185" s="48"/>
      <c r="P185" s="370"/>
      <c r="Q185" s="48"/>
    </row>
    <row r="186" spans="1:17" s="432" customFormat="1" ht="15" x14ac:dyDescent="0.25">
      <c r="A186" s="1">
        <v>182</v>
      </c>
      <c r="B186" s="32" t="s">
        <v>694</v>
      </c>
      <c r="C186" s="32">
        <v>5271</v>
      </c>
      <c r="D186" s="32">
        <v>21000</v>
      </c>
      <c r="E186" s="1" t="s">
        <v>80</v>
      </c>
      <c r="F186" s="1">
        <v>233.72</v>
      </c>
      <c r="G186" s="1">
        <v>21000</v>
      </c>
      <c r="H186" s="1">
        <f t="shared" si="4"/>
        <v>0</v>
      </c>
      <c r="I186" s="89"/>
      <c r="J186" s="423"/>
      <c r="K186" s="204"/>
      <c r="L186" s="204"/>
      <c r="M186" s="203"/>
      <c r="N186" s="388"/>
      <c r="O186" s="48"/>
      <c r="P186" s="370"/>
      <c r="Q186" s="48"/>
    </row>
    <row r="187" spans="1:17" s="432" customFormat="1" ht="15" x14ac:dyDescent="0.25">
      <c r="A187" s="1">
        <v>183</v>
      </c>
      <c r="B187" s="32" t="s">
        <v>694</v>
      </c>
      <c r="C187" s="32">
        <v>6245</v>
      </c>
      <c r="D187" s="32">
        <v>13000</v>
      </c>
      <c r="E187" s="1" t="s">
        <v>80</v>
      </c>
      <c r="F187" s="1">
        <v>144.13</v>
      </c>
      <c r="G187" s="1">
        <v>13000</v>
      </c>
      <c r="H187" s="1">
        <f t="shared" si="4"/>
        <v>0</v>
      </c>
      <c r="I187" s="89"/>
      <c r="J187" s="423"/>
      <c r="K187" s="204"/>
      <c r="L187" s="204"/>
      <c r="M187" s="203"/>
      <c r="N187" s="388"/>
      <c r="O187" s="48"/>
      <c r="P187" s="370"/>
      <c r="Q187" s="48"/>
    </row>
    <row r="188" spans="1:17" s="432" customFormat="1" ht="15" x14ac:dyDescent="0.25">
      <c r="A188" s="1">
        <v>184</v>
      </c>
      <c r="B188" s="32" t="s">
        <v>694</v>
      </c>
      <c r="C188" s="32">
        <v>3732</v>
      </c>
      <c r="D188" s="32">
        <v>16000</v>
      </c>
      <c r="E188" s="1" t="s">
        <v>80</v>
      </c>
      <c r="F188" s="1">
        <v>178.22</v>
      </c>
      <c r="G188" s="1">
        <v>16000</v>
      </c>
      <c r="H188" s="1">
        <f t="shared" si="4"/>
        <v>0</v>
      </c>
      <c r="I188" s="89"/>
      <c r="J188" s="423"/>
      <c r="K188" s="204"/>
      <c r="L188" s="204"/>
      <c r="M188" s="203"/>
      <c r="N188" s="388"/>
      <c r="O188" s="48"/>
      <c r="P188" s="370"/>
      <c r="Q188" s="48"/>
    </row>
    <row r="189" spans="1:17" s="432" customFormat="1" ht="15.75" thickBot="1" x14ac:dyDescent="0.3">
      <c r="A189" s="1">
        <v>185</v>
      </c>
      <c r="B189" s="32" t="s">
        <v>694</v>
      </c>
      <c r="C189" s="32">
        <v>7526</v>
      </c>
      <c r="D189" s="32">
        <v>16000</v>
      </c>
      <c r="E189" s="1" t="s">
        <v>80</v>
      </c>
      <c r="F189" s="1">
        <v>178.22</v>
      </c>
      <c r="G189" s="1">
        <v>16000</v>
      </c>
      <c r="H189" s="1">
        <f t="shared" si="4"/>
        <v>0</v>
      </c>
      <c r="I189" s="89"/>
      <c r="J189" s="423"/>
      <c r="K189" s="204"/>
      <c r="L189" s="204"/>
      <c r="M189" s="203"/>
      <c r="N189" s="388"/>
      <c r="O189" s="48"/>
      <c r="P189" s="370"/>
      <c r="Q189" s="48"/>
    </row>
    <row r="190" spans="1:17" s="432" customFormat="1" ht="15.75" thickBot="1" x14ac:dyDescent="0.3">
      <c r="A190" s="1">
        <v>186</v>
      </c>
      <c r="B190" s="32" t="s">
        <v>694</v>
      </c>
      <c r="C190" s="32">
        <v>4970</v>
      </c>
      <c r="D190" s="32">
        <v>35000</v>
      </c>
      <c r="E190" s="1" t="s">
        <v>80</v>
      </c>
      <c r="F190" s="295">
        <v>389.85</v>
      </c>
      <c r="G190" s="1">
        <v>35000</v>
      </c>
      <c r="H190" s="1">
        <f t="shared" si="4"/>
        <v>0</v>
      </c>
      <c r="I190" s="89"/>
      <c r="J190" s="423"/>
      <c r="K190" s="204"/>
      <c r="L190" s="204"/>
      <c r="M190" s="203"/>
      <c r="N190" s="103">
        <f>2329455-2328122</f>
        <v>1333</v>
      </c>
      <c r="O190" s="359" t="s">
        <v>692</v>
      </c>
      <c r="P190" s="367" t="s">
        <v>620</v>
      </c>
      <c r="Q190" s="360">
        <f>1333-377</f>
        <v>956</v>
      </c>
    </row>
    <row r="191" spans="1:17" s="433" customFormat="1" ht="15" x14ac:dyDescent="0.25">
      <c r="A191" s="1">
        <v>187</v>
      </c>
      <c r="B191" s="32" t="s">
        <v>695</v>
      </c>
      <c r="C191" s="32">
        <v>9977</v>
      </c>
      <c r="D191" s="32">
        <v>14000</v>
      </c>
      <c r="E191" s="1" t="s">
        <v>80</v>
      </c>
      <c r="F191" s="295">
        <v>155.74</v>
      </c>
      <c r="G191" s="1">
        <v>14000</v>
      </c>
      <c r="H191" s="1">
        <f t="shared" si="4"/>
        <v>0</v>
      </c>
      <c r="I191" s="89"/>
      <c r="J191" s="423"/>
      <c r="K191" s="204"/>
      <c r="L191" s="204"/>
      <c r="M191" s="203"/>
      <c r="N191" s="388"/>
      <c r="O191" s="48"/>
      <c r="P191" s="370"/>
      <c r="Q191" s="48"/>
    </row>
    <row r="192" spans="1:17" s="433" customFormat="1" ht="15" x14ac:dyDescent="0.25">
      <c r="A192" s="1">
        <v>188</v>
      </c>
      <c r="B192" s="32" t="s">
        <v>695</v>
      </c>
      <c r="C192" s="32" t="s">
        <v>30</v>
      </c>
      <c r="D192" s="32">
        <v>5000</v>
      </c>
      <c r="E192" s="1" t="s">
        <v>80</v>
      </c>
      <c r="F192" s="295">
        <v>55.85</v>
      </c>
      <c r="G192" s="1">
        <v>5000</v>
      </c>
      <c r="H192" s="1">
        <f t="shared" si="4"/>
        <v>0</v>
      </c>
      <c r="I192" s="89"/>
      <c r="J192" s="423"/>
      <c r="K192" s="204"/>
      <c r="L192" s="204"/>
      <c r="M192" s="203"/>
      <c r="N192" s="388"/>
      <c r="O192" s="48"/>
      <c r="P192" s="370"/>
      <c r="Q192" s="48"/>
    </row>
    <row r="193" spans="1:17" s="433" customFormat="1" ht="15" x14ac:dyDescent="0.25">
      <c r="A193" s="1">
        <v>189</v>
      </c>
      <c r="B193" s="32" t="s">
        <v>695</v>
      </c>
      <c r="C193" s="32">
        <v>7677</v>
      </c>
      <c r="D193" s="32">
        <v>17000</v>
      </c>
      <c r="E193" s="1" t="s">
        <v>80</v>
      </c>
      <c r="F193" s="295">
        <v>189.57</v>
      </c>
      <c r="G193" s="1">
        <v>17000</v>
      </c>
      <c r="H193" s="1">
        <f t="shared" si="4"/>
        <v>0</v>
      </c>
      <c r="I193" s="89"/>
      <c r="J193" s="423"/>
      <c r="K193" s="204"/>
      <c r="L193" s="204"/>
      <c r="M193" s="203"/>
      <c r="N193" s="388"/>
      <c r="O193" s="48"/>
      <c r="P193" s="370"/>
      <c r="Q193" s="48"/>
    </row>
    <row r="194" spans="1:17" s="433" customFormat="1" ht="15" x14ac:dyDescent="0.25">
      <c r="A194" s="1">
        <v>190</v>
      </c>
      <c r="B194" s="32" t="s">
        <v>695</v>
      </c>
      <c r="C194" s="32" t="s">
        <v>30</v>
      </c>
      <c r="D194" s="32">
        <v>3500</v>
      </c>
      <c r="E194" s="1" t="s">
        <v>80</v>
      </c>
      <c r="F194" s="295">
        <v>38.450000000000003</v>
      </c>
      <c r="G194" s="1">
        <v>3500</v>
      </c>
      <c r="H194" s="1">
        <f t="shared" si="4"/>
        <v>0</v>
      </c>
      <c r="I194" s="89"/>
      <c r="J194" s="423"/>
      <c r="K194" s="204"/>
      <c r="L194" s="204"/>
      <c r="M194" s="203"/>
      <c r="N194" s="388"/>
      <c r="O194" s="48"/>
      <c r="P194" s="370"/>
      <c r="Q194" s="48"/>
    </row>
    <row r="195" spans="1:17" s="433" customFormat="1" ht="15" x14ac:dyDescent="0.25">
      <c r="A195" s="1">
        <v>191</v>
      </c>
      <c r="B195" s="32" t="s">
        <v>695</v>
      </c>
      <c r="C195" s="32">
        <v>2648</v>
      </c>
      <c r="D195" s="32">
        <v>14000</v>
      </c>
      <c r="E195" s="1" t="s">
        <v>80</v>
      </c>
      <c r="F195" s="295">
        <v>155.74</v>
      </c>
      <c r="G195" s="1">
        <v>14000</v>
      </c>
      <c r="H195" s="1">
        <f t="shared" si="4"/>
        <v>0</v>
      </c>
      <c r="I195" s="89"/>
      <c r="J195" s="423"/>
      <c r="K195" s="204"/>
      <c r="L195" s="204"/>
      <c r="M195" s="203"/>
      <c r="N195" s="388"/>
      <c r="O195" s="48"/>
      <c r="P195" s="370"/>
      <c r="Q195" s="48"/>
    </row>
    <row r="196" spans="1:17" s="433" customFormat="1" ht="15" x14ac:dyDescent="0.25">
      <c r="A196" s="1">
        <v>192</v>
      </c>
      <c r="B196" s="32" t="s">
        <v>695</v>
      </c>
      <c r="C196" s="32">
        <v>6957</v>
      </c>
      <c r="D196" s="32">
        <v>17000</v>
      </c>
      <c r="E196" s="1" t="s">
        <v>80</v>
      </c>
      <c r="F196" s="295">
        <v>189.52</v>
      </c>
      <c r="G196" s="1">
        <v>17000</v>
      </c>
      <c r="H196" s="1">
        <f t="shared" si="4"/>
        <v>0</v>
      </c>
      <c r="I196" s="89"/>
      <c r="J196" s="423"/>
      <c r="K196" s="204"/>
      <c r="L196" s="204"/>
      <c r="M196" s="203"/>
      <c r="N196" s="388"/>
      <c r="O196" s="48"/>
      <c r="P196" s="370"/>
      <c r="Q196" s="48"/>
    </row>
    <row r="197" spans="1:17" s="433" customFormat="1" ht="15" x14ac:dyDescent="0.25">
      <c r="A197" s="1">
        <v>193</v>
      </c>
      <c r="B197" s="32" t="s">
        <v>695</v>
      </c>
      <c r="C197" s="32" t="s">
        <v>634</v>
      </c>
      <c r="D197" s="32">
        <v>3500</v>
      </c>
      <c r="E197" s="1" t="s">
        <v>80</v>
      </c>
      <c r="F197" s="295">
        <v>38.450000000000003</v>
      </c>
      <c r="G197" s="1">
        <v>3500</v>
      </c>
      <c r="H197" s="1">
        <f t="shared" si="4"/>
        <v>0</v>
      </c>
      <c r="I197" s="89"/>
      <c r="J197" s="423"/>
      <c r="K197" s="204"/>
      <c r="L197" s="204"/>
      <c r="M197" s="203"/>
      <c r="N197" s="388"/>
      <c r="O197" s="48"/>
      <c r="P197" s="370"/>
      <c r="Q197" s="48"/>
    </row>
    <row r="198" spans="1:17" s="433" customFormat="1" ht="15" x14ac:dyDescent="0.25">
      <c r="A198" s="1">
        <v>194</v>
      </c>
      <c r="B198" s="32" t="s">
        <v>695</v>
      </c>
      <c r="C198" s="32">
        <v>1446</v>
      </c>
      <c r="D198" s="32">
        <v>14000</v>
      </c>
      <c r="E198" s="1" t="s">
        <v>80</v>
      </c>
      <c r="F198" s="295">
        <v>155.74</v>
      </c>
      <c r="G198" s="1">
        <v>14000</v>
      </c>
      <c r="H198" s="1">
        <f t="shared" si="4"/>
        <v>0</v>
      </c>
      <c r="I198" s="89"/>
      <c r="J198" s="423"/>
      <c r="K198" s="204"/>
      <c r="L198" s="204"/>
      <c r="M198" s="203"/>
      <c r="N198" s="388"/>
      <c r="O198" s="48"/>
      <c r="P198" s="370"/>
      <c r="Q198" s="48"/>
    </row>
    <row r="199" spans="1:17" s="433" customFormat="1" ht="15" x14ac:dyDescent="0.25">
      <c r="A199" s="1">
        <v>195</v>
      </c>
      <c r="B199" s="32" t="s">
        <v>695</v>
      </c>
      <c r="C199" s="32" t="s">
        <v>633</v>
      </c>
      <c r="D199" s="32">
        <v>100</v>
      </c>
      <c r="E199" s="1" t="s">
        <v>80</v>
      </c>
      <c r="F199" s="295">
        <v>1.08</v>
      </c>
      <c r="G199" s="1">
        <v>100</v>
      </c>
      <c r="H199" s="1">
        <f t="shared" si="4"/>
        <v>0</v>
      </c>
      <c r="I199" s="89"/>
      <c r="J199" s="423"/>
      <c r="K199" s="204"/>
      <c r="L199" s="204"/>
      <c r="M199" s="203"/>
      <c r="N199" s="388"/>
      <c r="O199" s="48"/>
      <c r="P199" s="370"/>
      <c r="Q199" s="48"/>
    </row>
    <row r="200" spans="1:17" s="433" customFormat="1" ht="15" x14ac:dyDescent="0.25">
      <c r="A200" s="1">
        <v>196</v>
      </c>
      <c r="B200" s="32" t="s">
        <v>695</v>
      </c>
      <c r="C200" s="32">
        <v>4575</v>
      </c>
      <c r="D200" s="32">
        <v>13500</v>
      </c>
      <c r="E200" s="1" t="s">
        <v>80</v>
      </c>
      <c r="F200" s="295">
        <v>150.66999999999999</v>
      </c>
      <c r="G200" s="1">
        <v>13500</v>
      </c>
      <c r="H200" s="1">
        <f t="shared" si="4"/>
        <v>0</v>
      </c>
      <c r="I200" s="89"/>
      <c r="J200" s="423"/>
      <c r="K200" s="204"/>
      <c r="L200" s="204"/>
      <c r="M200" s="203"/>
      <c r="N200" s="388"/>
      <c r="O200" s="48"/>
      <c r="P200" s="370"/>
      <c r="Q200" s="48"/>
    </row>
    <row r="201" spans="1:17" s="433" customFormat="1" ht="15" x14ac:dyDescent="0.25">
      <c r="A201" s="1">
        <v>197</v>
      </c>
      <c r="B201" s="32" t="s">
        <v>695</v>
      </c>
      <c r="C201" s="32">
        <v>8758</v>
      </c>
      <c r="D201" s="32">
        <v>13000</v>
      </c>
      <c r="E201" s="1" t="s">
        <v>80</v>
      </c>
      <c r="F201" s="295">
        <v>144.13</v>
      </c>
      <c r="G201" s="1">
        <v>13000</v>
      </c>
      <c r="H201" s="1">
        <f t="shared" si="4"/>
        <v>0</v>
      </c>
      <c r="I201" s="89"/>
      <c r="J201" s="423"/>
      <c r="K201" s="204"/>
      <c r="L201" s="204"/>
      <c r="M201" s="203"/>
      <c r="N201" s="388"/>
      <c r="O201" s="48"/>
      <c r="P201" s="370"/>
      <c r="Q201" s="48"/>
    </row>
    <row r="202" spans="1:17" s="433" customFormat="1" ht="15" x14ac:dyDescent="0.25">
      <c r="A202" s="1">
        <v>198</v>
      </c>
      <c r="B202" s="32" t="s">
        <v>695</v>
      </c>
      <c r="C202" s="32">
        <v>3211</v>
      </c>
      <c r="D202" s="32">
        <v>13000</v>
      </c>
      <c r="E202" s="1" t="s">
        <v>80</v>
      </c>
      <c r="F202" s="295">
        <v>144.13</v>
      </c>
      <c r="G202" s="1">
        <v>13000</v>
      </c>
      <c r="H202" s="1">
        <f t="shared" si="4"/>
        <v>0</v>
      </c>
      <c r="I202" s="89"/>
      <c r="J202" s="423"/>
      <c r="K202" s="204"/>
      <c r="L202" s="204"/>
      <c r="M202" s="203"/>
      <c r="N202" s="388"/>
      <c r="O202" s="48"/>
      <c r="P202" s="370"/>
      <c r="Q202" s="48"/>
    </row>
    <row r="203" spans="1:17" s="433" customFormat="1" ht="15" x14ac:dyDescent="0.25">
      <c r="A203" s="1">
        <v>199</v>
      </c>
      <c r="B203" s="32" t="s">
        <v>695</v>
      </c>
      <c r="C203" s="32">
        <v>9522</v>
      </c>
      <c r="D203" s="32">
        <v>20000</v>
      </c>
      <c r="E203" s="1" t="s">
        <v>80</v>
      </c>
      <c r="F203" s="295">
        <v>222.82</v>
      </c>
      <c r="G203" s="1">
        <v>20000</v>
      </c>
      <c r="H203" s="1">
        <f t="shared" si="4"/>
        <v>0</v>
      </c>
      <c r="I203" s="89"/>
      <c r="J203" s="423"/>
      <c r="K203" s="204"/>
      <c r="L203" s="204"/>
      <c r="M203" s="203"/>
      <c r="N203" s="388"/>
      <c r="O203" s="48"/>
      <c r="P203" s="370"/>
      <c r="Q203" s="48"/>
    </row>
    <row r="204" spans="1:17" s="433" customFormat="1" ht="15" x14ac:dyDescent="0.25">
      <c r="A204" s="1">
        <v>200</v>
      </c>
      <c r="B204" s="32" t="s">
        <v>695</v>
      </c>
      <c r="C204" s="32">
        <v>5601</v>
      </c>
      <c r="D204" s="32">
        <v>20000</v>
      </c>
      <c r="E204" s="1" t="s">
        <v>80</v>
      </c>
      <c r="F204" s="295">
        <v>222.82</v>
      </c>
      <c r="G204" s="1">
        <v>20000</v>
      </c>
      <c r="H204" s="1">
        <f t="shared" si="4"/>
        <v>0</v>
      </c>
      <c r="I204" s="89"/>
      <c r="J204" s="423"/>
      <c r="K204" s="204"/>
      <c r="L204" s="204"/>
      <c r="M204" s="203"/>
      <c r="N204" s="388"/>
      <c r="O204" s="48"/>
      <c r="P204" s="370"/>
      <c r="Q204" s="48"/>
    </row>
    <row r="205" spans="1:17" s="433" customFormat="1" ht="15" x14ac:dyDescent="0.25">
      <c r="A205" s="1">
        <v>201</v>
      </c>
      <c r="B205" s="32" t="s">
        <v>695</v>
      </c>
      <c r="C205" s="32">
        <v>8007</v>
      </c>
      <c r="D205" s="32">
        <v>20000</v>
      </c>
      <c r="E205" s="1" t="s">
        <v>80</v>
      </c>
      <c r="F205" s="295">
        <v>222.82</v>
      </c>
      <c r="G205" s="1">
        <v>20000</v>
      </c>
      <c r="H205" s="1">
        <f t="shared" si="4"/>
        <v>0</v>
      </c>
      <c r="I205" s="89"/>
      <c r="J205" s="423"/>
      <c r="K205" s="204"/>
      <c r="L205" s="204"/>
      <c r="M205" s="203"/>
      <c r="N205" s="388"/>
      <c r="O205" s="48"/>
      <c r="P205" s="370"/>
      <c r="Q205" s="48"/>
    </row>
    <row r="206" spans="1:17" s="433" customFormat="1" ht="15" x14ac:dyDescent="0.25">
      <c r="A206" s="1">
        <v>202</v>
      </c>
      <c r="B206" s="32" t="s">
        <v>695</v>
      </c>
      <c r="C206" s="32">
        <v>3386</v>
      </c>
      <c r="D206" s="32">
        <v>18000</v>
      </c>
      <c r="E206" s="1" t="s">
        <v>80</v>
      </c>
      <c r="F206" s="295">
        <v>200.18</v>
      </c>
      <c r="G206" s="1">
        <v>18000</v>
      </c>
      <c r="H206" s="1">
        <f t="shared" si="4"/>
        <v>0</v>
      </c>
      <c r="I206" s="89"/>
      <c r="J206" s="423"/>
      <c r="K206" s="204"/>
      <c r="L206" s="204"/>
      <c r="M206" s="203"/>
      <c r="N206" s="388"/>
      <c r="O206" s="48"/>
      <c r="P206" s="370"/>
      <c r="Q206" s="48"/>
    </row>
    <row r="207" spans="1:17" s="433" customFormat="1" ht="15.75" thickBot="1" x14ac:dyDescent="0.3">
      <c r="A207" s="1">
        <v>203</v>
      </c>
      <c r="B207" s="32" t="s">
        <v>695</v>
      </c>
      <c r="C207" s="32">
        <v>5264</v>
      </c>
      <c r="D207" s="32">
        <v>18000</v>
      </c>
      <c r="E207" s="1" t="s">
        <v>80</v>
      </c>
      <c r="F207" s="295">
        <v>200.18</v>
      </c>
      <c r="G207" s="1">
        <v>18000</v>
      </c>
      <c r="H207" s="1">
        <f t="shared" si="4"/>
        <v>0</v>
      </c>
      <c r="I207" s="89"/>
      <c r="J207" s="423"/>
      <c r="K207" s="204"/>
      <c r="L207" s="204"/>
      <c r="M207" s="203"/>
      <c r="N207" s="388"/>
      <c r="O207" s="48"/>
      <c r="P207" s="370"/>
      <c r="Q207" s="48"/>
    </row>
    <row r="208" spans="1:17" s="433" customFormat="1" ht="15.75" thickBot="1" x14ac:dyDescent="0.3">
      <c r="A208" s="1">
        <v>204</v>
      </c>
      <c r="B208" s="32" t="s">
        <v>695</v>
      </c>
      <c r="C208" s="32">
        <v>4608</v>
      </c>
      <c r="D208" s="32">
        <v>20000</v>
      </c>
      <c r="E208" s="1" t="s">
        <v>80</v>
      </c>
      <c r="F208" s="295">
        <v>222.82</v>
      </c>
      <c r="G208" s="1">
        <v>20000</v>
      </c>
      <c r="H208" s="1">
        <f t="shared" si="4"/>
        <v>0</v>
      </c>
      <c r="I208" s="89"/>
      <c r="J208" s="423"/>
      <c r="K208" s="204"/>
      <c r="L208" s="204"/>
      <c r="M208" s="203"/>
      <c r="N208" s="103">
        <f>2173055-2171722</f>
        <v>1333</v>
      </c>
      <c r="O208" s="359" t="s">
        <v>692</v>
      </c>
      <c r="P208" s="367" t="s">
        <v>620</v>
      </c>
      <c r="Q208" s="360">
        <f>1333-377</f>
        <v>956</v>
      </c>
    </row>
    <row r="209" spans="1:17" s="434" customFormat="1" ht="15" x14ac:dyDescent="0.25">
      <c r="A209" s="1">
        <v>205</v>
      </c>
      <c r="B209" s="32" t="s">
        <v>696</v>
      </c>
      <c r="C209" s="32">
        <v>4820</v>
      </c>
      <c r="D209" s="32">
        <v>10000</v>
      </c>
      <c r="E209" s="1" t="s">
        <v>80</v>
      </c>
      <c r="F209" s="295">
        <v>111.41</v>
      </c>
      <c r="G209" s="1">
        <v>10000</v>
      </c>
      <c r="H209" s="1">
        <f t="shared" si="4"/>
        <v>0</v>
      </c>
      <c r="I209" s="89"/>
      <c r="J209" s="423"/>
      <c r="K209" s="204"/>
      <c r="L209" s="204"/>
      <c r="M209" s="203"/>
      <c r="N209" s="388"/>
      <c r="O209" s="48"/>
      <c r="P209" s="370"/>
      <c r="Q209" s="48"/>
    </row>
    <row r="210" spans="1:17" s="434" customFormat="1" ht="15" x14ac:dyDescent="0.25">
      <c r="A210" s="1">
        <v>206</v>
      </c>
      <c r="B210" s="32" t="s">
        <v>696</v>
      </c>
      <c r="C210" s="32">
        <v>9759</v>
      </c>
      <c r="D210" s="32">
        <v>31000</v>
      </c>
      <c r="E210" s="1" t="s">
        <v>80</v>
      </c>
      <c r="F210" s="295">
        <v>345.82</v>
      </c>
      <c r="G210" s="1">
        <v>31000</v>
      </c>
      <c r="H210" s="1">
        <f t="shared" si="4"/>
        <v>0</v>
      </c>
      <c r="I210" s="89"/>
      <c r="J210" s="423"/>
      <c r="K210" s="204"/>
      <c r="L210" s="204"/>
      <c r="M210" s="203"/>
      <c r="N210" s="388"/>
      <c r="O210" s="48"/>
      <c r="P210" s="370"/>
      <c r="Q210" s="48"/>
    </row>
    <row r="211" spans="1:17" s="434" customFormat="1" ht="15" x14ac:dyDescent="0.25">
      <c r="A211" s="1">
        <v>207</v>
      </c>
      <c r="B211" s="32" t="s">
        <v>696</v>
      </c>
      <c r="C211" s="32">
        <v>2306</v>
      </c>
      <c r="D211" s="32">
        <v>12000</v>
      </c>
      <c r="E211" s="1" t="s">
        <v>80</v>
      </c>
      <c r="F211" s="295">
        <v>133.52000000000001</v>
      </c>
      <c r="G211" s="1">
        <v>12000</v>
      </c>
      <c r="H211" s="1">
        <f t="shared" si="4"/>
        <v>0</v>
      </c>
      <c r="I211" s="89"/>
      <c r="J211" s="423"/>
      <c r="K211" s="204"/>
      <c r="L211" s="204"/>
      <c r="M211" s="203"/>
      <c r="N211" s="388"/>
      <c r="O211" s="48"/>
      <c r="P211" s="370"/>
      <c r="Q211" s="48"/>
    </row>
    <row r="212" spans="1:17" s="434" customFormat="1" ht="15" x14ac:dyDescent="0.25">
      <c r="A212" s="1">
        <v>208</v>
      </c>
      <c r="B212" s="32" t="s">
        <v>696</v>
      </c>
      <c r="C212" s="32">
        <v>7962</v>
      </c>
      <c r="D212" s="32">
        <v>17000</v>
      </c>
      <c r="E212" s="1" t="s">
        <v>80</v>
      </c>
      <c r="F212" s="295">
        <v>189.37</v>
      </c>
      <c r="G212" s="1">
        <v>17000</v>
      </c>
      <c r="H212" s="1">
        <f t="shared" si="4"/>
        <v>0</v>
      </c>
      <c r="I212" s="89"/>
      <c r="J212" s="423"/>
      <c r="K212" s="204"/>
      <c r="L212" s="204"/>
      <c r="M212" s="203"/>
      <c r="N212" s="388"/>
      <c r="O212" s="48"/>
      <c r="P212" s="370"/>
      <c r="Q212" s="48"/>
    </row>
    <row r="213" spans="1:17" s="434" customFormat="1" ht="15" x14ac:dyDescent="0.25">
      <c r="A213" s="1">
        <v>209</v>
      </c>
      <c r="B213" s="32" t="s">
        <v>696</v>
      </c>
      <c r="C213" s="32">
        <v>8079</v>
      </c>
      <c r="D213" s="32">
        <v>28000</v>
      </c>
      <c r="E213" s="1" t="s">
        <v>80</v>
      </c>
      <c r="F213" s="295">
        <v>311.67</v>
      </c>
      <c r="G213" s="1">
        <v>28000</v>
      </c>
      <c r="H213" s="1">
        <f t="shared" si="4"/>
        <v>0</v>
      </c>
      <c r="I213" s="89"/>
      <c r="J213" s="423"/>
      <c r="K213" s="204"/>
      <c r="L213" s="204"/>
      <c r="M213" s="203"/>
      <c r="N213" s="388"/>
      <c r="O213" s="48"/>
      <c r="P213" s="370"/>
      <c r="Q213" s="48"/>
    </row>
    <row r="214" spans="1:17" s="434" customFormat="1" ht="15" x14ac:dyDescent="0.25">
      <c r="A214" s="1">
        <v>210</v>
      </c>
      <c r="B214" s="32" t="s">
        <v>696</v>
      </c>
      <c r="C214" s="32">
        <v>7985</v>
      </c>
      <c r="D214" s="32">
        <v>30000</v>
      </c>
      <c r="E214" s="1" t="s">
        <v>80</v>
      </c>
      <c r="F214" s="295">
        <v>334.82</v>
      </c>
      <c r="G214" s="1">
        <v>30000</v>
      </c>
      <c r="H214" s="1">
        <f t="shared" si="4"/>
        <v>0</v>
      </c>
      <c r="I214" s="89"/>
      <c r="J214" s="423"/>
      <c r="K214" s="204"/>
      <c r="L214" s="204"/>
      <c r="M214" s="203"/>
      <c r="N214" s="388"/>
      <c r="O214" s="48"/>
      <c r="P214" s="370"/>
      <c r="Q214" s="48"/>
    </row>
    <row r="215" spans="1:17" s="434" customFormat="1" ht="15.75" thickBot="1" x14ac:dyDescent="0.3">
      <c r="A215" s="1">
        <v>211</v>
      </c>
      <c r="B215" s="32" t="s">
        <v>696</v>
      </c>
      <c r="C215" s="32" t="s">
        <v>633</v>
      </c>
      <c r="D215" s="32">
        <v>100</v>
      </c>
      <c r="E215" s="1" t="s">
        <v>80</v>
      </c>
      <c r="F215" s="295">
        <v>1.08</v>
      </c>
      <c r="G215" s="1">
        <v>100</v>
      </c>
      <c r="H215" s="1">
        <f t="shared" si="4"/>
        <v>0</v>
      </c>
      <c r="I215" s="89"/>
      <c r="J215" s="423"/>
      <c r="K215" s="204"/>
      <c r="L215" s="204"/>
      <c r="M215" s="203"/>
      <c r="N215" s="388"/>
      <c r="O215" s="48"/>
      <c r="P215" s="370"/>
      <c r="Q215" s="48"/>
    </row>
    <row r="216" spans="1:17" s="434" customFormat="1" ht="15.75" thickBot="1" x14ac:dyDescent="0.3">
      <c r="A216" s="1">
        <v>212</v>
      </c>
      <c r="B216" s="32" t="s">
        <v>696</v>
      </c>
      <c r="C216" s="32">
        <v>9777</v>
      </c>
      <c r="D216" s="32">
        <v>16000</v>
      </c>
      <c r="E216" s="1" t="s">
        <v>80</v>
      </c>
      <c r="F216" s="295">
        <v>178.22</v>
      </c>
      <c r="G216" s="1">
        <v>16000</v>
      </c>
      <c r="H216" s="1">
        <f t="shared" si="4"/>
        <v>0</v>
      </c>
      <c r="I216" s="89"/>
      <c r="J216" s="423"/>
      <c r="K216" s="204"/>
      <c r="L216" s="204"/>
      <c r="M216" s="203"/>
      <c r="N216" s="103">
        <f>2017155-2015822</f>
        <v>1333</v>
      </c>
      <c r="O216" s="359" t="s">
        <v>692</v>
      </c>
      <c r="P216" s="367" t="s">
        <v>620</v>
      </c>
      <c r="Q216" s="360">
        <f>1333-377</f>
        <v>956</v>
      </c>
    </row>
    <row r="217" spans="1:17" s="435" customFormat="1" ht="15" x14ac:dyDescent="0.25">
      <c r="A217" s="1">
        <v>213</v>
      </c>
      <c r="B217" s="32" t="s">
        <v>697</v>
      </c>
      <c r="C217" s="32" t="s">
        <v>30</v>
      </c>
      <c r="D217" s="32">
        <v>5000</v>
      </c>
      <c r="E217" s="1" t="s">
        <v>80</v>
      </c>
      <c r="F217" s="295">
        <v>55.45</v>
      </c>
      <c r="G217" s="1">
        <v>5000</v>
      </c>
      <c r="H217" s="1">
        <f t="shared" si="4"/>
        <v>0</v>
      </c>
      <c r="I217" s="89"/>
      <c r="J217" s="423"/>
      <c r="K217" s="204"/>
      <c r="L217" s="204"/>
      <c r="M217" s="203"/>
      <c r="N217" s="388"/>
      <c r="O217" s="48"/>
      <c r="P217" s="370"/>
      <c r="Q217" s="48"/>
    </row>
    <row r="218" spans="1:17" s="435" customFormat="1" ht="15" x14ac:dyDescent="0.25">
      <c r="A218" s="1">
        <v>214</v>
      </c>
      <c r="B218" s="32" t="s">
        <v>697</v>
      </c>
      <c r="C218" s="32" t="s">
        <v>634</v>
      </c>
      <c r="D218" s="32">
        <v>3000</v>
      </c>
      <c r="E218" s="1" t="s">
        <v>80</v>
      </c>
      <c r="F218" s="295">
        <v>33.549999999999997</v>
      </c>
      <c r="G218" s="1">
        <v>3000</v>
      </c>
      <c r="H218" s="1">
        <f t="shared" si="4"/>
        <v>0</v>
      </c>
      <c r="I218" s="89"/>
      <c r="J218" s="423"/>
      <c r="K218" s="204"/>
      <c r="L218" s="204"/>
      <c r="M218" s="203"/>
      <c r="N218" s="388"/>
      <c r="O218" s="48"/>
      <c r="P218" s="370"/>
      <c r="Q218" s="48"/>
    </row>
    <row r="219" spans="1:17" s="435" customFormat="1" ht="15" x14ac:dyDescent="0.25">
      <c r="A219" s="1">
        <v>215</v>
      </c>
      <c r="B219" s="32" t="s">
        <v>697</v>
      </c>
      <c r="C219" s="32">
        <v>4451</v>
      </c>
      <c r="D219" s="32">
        <v>10000</v>
      </c>
      <c r="E219" s="1" t="s">
        <v>80</v>
      </c>
      <c r="F219" s="295">
        <v>111.42</v>
      </c>
      <c r="G219" s="1">
        <v>10000</v>
      </c>
      <c r="H219" s="1">
        <f t="shared" ref="H219:H282" si="5">D219-G219</f>
        <v>0</v>
      </c>
      <c r="I219" s="89"/>
      <c r="J219" s="423"/>
      <c r="K219" s="204"/>
      <c r="L219" s="204"/>
      <c r="M219" s="203"/>
      <c r="N219" s="388"/>
      <c r="O219" s="48"/>
      <c r="P219" s="370"/>
      <c r="Q219" s="48"/>
    </row>
    <row r="220" spans="1:17" s="435" customFormat="1" ht="15" x14ac:dyDescent="0.25">
      <c r="A220" s="1">
        <v>216</v>
      </c>
      <c r="B220" s="32" t="s">
        <v>697</v>
      </c>
      <c r="C220" s="32">
        <v>5252</v>
      </c>
      <c r="D220" s="32">
        <v>17000</v>
      </c>
      <c r="E220" s="1" t="s">
        <v>80</v>
      </c>
      <c r="F220" s="295">
        <v>189.45</v>
      </c>
      <c r="G220" s="1">
        <v>17000</v>
      </c>
      <c r="H220" s="1">
        <f t="shared" si="5"/>
        <v>0</v>
      </c>
      <c r="I220" s="89"/>
      <c r="J220" s="423"/>
      <c r="K220" s="204"/>
      <c r="L220" s="204"/>
      <c r="M220" s="203"/>
      <c r="N220" s="388"/>
      <c r="O220" s="48"/>
      <c r="P220" s="370"/>
      <c r="Q220" s="48"/>
    </row>
    <row r="221" spans="1:17" s="435" customFormat="1" ht="15" x14ac:dyDescent="0.25">
      <c r="A221" s="1">
        <v>217</v>
      </c>
      <c r="B221" s="32" t="s">
        <v>697</v>
      </c>
      <c r="C221" s="32">
        <v>2957</v>
      </c>
      <c r="D221" s="32">
        <v>20000</v>
      </c>
      <c r="E221" s="1" t="s">
        <v>80</v>
      </c>
      <c r="F221" s="295">
        <v>222.82</v>
      </c>
      <c r="G221" s="1">
        <v>20000</v>
      </c>
      <c r="H221" s="1">
        <f t="shared" si="5"/>
        <v>0</v>
      </c>
      <c r="I221" s="89"/>
      <c r="J221" s="423"/>
      <c r="K221" s="204"/>
      <c r="L221" s="204"/>
      <c r="M221" s="203"/>
      <c r="N221" s="388"/>
      <c r="O221" s="48"/>
      <c r="P221" s="370"/>
      <c r="Q221" s="48"/>
    </row>
    <row r="222" spans="1:17" s="435" customFormat="1" ht="15" x14ac:dyDescent="0.25">
      <c r="A222" s="1">
        <v>218</v>
      </c>
      <c r="B222" s="32" t="s">
        <v>697</v>
      </c>
      <c r="C222" s="32" t="s">
        <v>698</v>
      </c>
      <c r="D222" s="32">
        <v>20000</v>
      </c>
      <c r="E222" s="1" t="s">
        <v>80</v>
      </c>
      <c r="F222" s="295">
        <v>222.82</v>
      </c>
      <c r="G222" s="1">
        <v>20000</v>
      </c>
      <c r="H222" s="1">
        <f t="shared" si="5"/>
        <v>0</v>
      </c>
      <c r="I222" s="89"/>
      <c r="J222" s="423"/>
      <c r="K222" s="204"/>
      <c r="L222" s="204"/>
      <c r="M222" s="203"/>
      <c r="N222" s="388"/>
      <c r="O222" s="48"/>
      <c r="P222" s="370"/>
      <c r="Q222" s="48"/>
    </row>
    <row r="223" spans="1:17" s="435" customFormat="1" ht="15" x14ac:dyDescent="0.25">
      <c r="A223" s="1">
        <v>219</v>
      </c>
      <c r="B223" s="32" t="s">
        <v>697</v>
      </c>
      <c r="C223" s="32">
        <v>1336</v>
      </c>
      <c r="D223" s="32">
        <v>22000</v>
      </c>
      <c r="E223" s="1" t="s">
        <v>80</v>
      </c>
      <c r="F223" s="295">
        <v>245.65</v>
      </c>
      <c r="G223" s="1">
        <v>22000</v>
      </c>
      <c r="H223" s="1">
        <f t="shared" si="5"/>
        <v>0</v>
      </c>
      <c r="I223" s="89"/>
      <c r="J223" s="423"/>
      <c r="K223" s="204"/>
      <c r="L223" s="204"/>
      <c r="M223" s="203"/>
      <c r="N223" s="388"/>
      <c r="O223" s="48"/>
      <c r="P223" s="370"/>
      <c r="Q223" s="48"/>
    </row>
    <row r="224" spans="1:17" s="435" customFormat="1" ht="15.75" thickBot="1" x14ac:dyDescent="0.3">
      <c r="A224" s="1">
        <v>220</v>
      </c>
      <c r="B224" s="32" t="s">
        <v>697</v>
      </c>
      <c r="C224" s="32">
        <v>4952</v>
      </c>
      <c r="D224" s="32">
        <v>40000</v>
      </c>
      <c r="E224" s="1" t="s">
        <v>80</v>
      </c>
      <c r="F224" s="295">
        <v>445.38</v>
      </c>
      <c r="G224" s="1">
        <v>40000</v>
      </c>
      <c r="H224" s="1">
        <f t="shared" si="5"/>
        <v>0</v>
      </c>
      <c r="I224" s="89"/>
      <c r="J224" s="423"/>
      <c r="K224" s="204"/>
      <c r="L224" s="204"/>
      <c r="M224" s="203"/>
      <c r="N224" s="388"/>
      <c r="O224" s="48"/>
      <c r="P224" s="370"/>
      <c r="Q224" s="48"/>
    </row>
    <row r="225" spans="1:17" s="435" customFormat="1" ht="15.75" thickBot="1" x14ac:dyDescent="0.3">
      <c r="A225" s="1">
        <v>221</v>
      </c>
      <c r="B225" s="32" t="s">
        <v>697</v>
      </c>
      <c r="C225" s="32">
        <v>4.2500000000000003E-2</v>
      </c>
      <c r="D225" s="32">
        <v>30000</v>
      </c>
      <c r="E225" s="1" t="s">
        <v>80</v>
      </c>
      <c r="F225" s="295">
        <v>334.42</v>
      </c>
      <c r="G225" s="1">
        <v>30000</v>
      </c>
      <c r="H225" s="1">
        <f t="shared" si="5"/>
        <v>0</v>
      </c>
      <c r="I225" s="89"/>
      <c r="J225" s="423"/>
      <c r="K225" s="204"/>
      <c r="L225" s="204"/>
      <c r="M225" s="203"/>
      <c r="N225" s="103">
        <f>1884155-1883314</f>
        <v>841</v>
      </c>
      <c r="O225" s="359" t="s">
        <v>699</v>
      </c>
      <c r="P225" s="367" t="s">
        <v>620</v>
      </c>
      <c r="Q225" s="360">
        <f>867-841</f>
        <v>26</v>
      </c>
    </row>
    <row r="226" spans="1:17" s="436" customFormat="1" ht="15" x14ac:dyDescent="0.25">
      <c r="A226" s="1">
        <v>222</v>
      </c>
      <c r="B226" s="32" t="s">
        <v>700</v>
      </c>
      <c r="C226" s="32">
        <v>8311</v>
      </c>
      <c r="D226" s="32">
        <v>25000</v>
      </c>
      <c r="E226" s="1"/>
      <c r="F226" s="295">
        <v>278.22000000000003</v>
      </c>
      <c r="G226" s="1">
        <v>25000</v>
      </c>
      <c r="H226" s="1">
        <f t="shared" si="5"/>
        <v>0</v>
      </c>
      <c r="I226" s="89"/>
      <c r="J226" s="423"/>
      <c r="K226" s="204"/>
      <c r="L226" s="204"/>
      <c r="M226" s="203"/>
      <c r="N226" s="388"/>
      <c r="O226" s="48"/>
      <c r="P226" s="370"/>
      <c r="Q226" s="48"/>
    </row>
    <row r="227" spans="1:17" s="436" customFormat="1" ht="15" x14ac:dyDescent="0.25">
      <c r="A227" s="1">
        <v>223</v>
      </c>
      <c r="B227" s="32" t="s">
        <v>700</v>
      </c>
      <c r="C227" s="32" t="s">
        <v>30</v>
      </c>
      <c r="D227" s="32">
        <v>5000</v>
      </c>
      <c r="E227" s="1" t="s">
        <v>80</v>
      </c>
      <c r="F227" s="295">
        <v>55.45</v>
      </c>
      <c r="G227" s="1">
        <v>5000</v>
      </c>
      <c r="H227" s="1">
        <f t="shared" si="5"/>
        <v>0</v>
      </c>
      <c r="I227" s="89"/>
      <c r="J227" s="423"/>
      <c r="K227" s="204"/>
      <c r="L227" s="204"/>
      <c r="M227" s="203"/>
      <c r="N227" s="388"/>
      <c r="O227" s="48"/>
      <c r="P227" s="370"/>
      <c r="Q227" s="48"/>
    </row>
    <row r="228" spans="1:17" s="436" customFormat="1" ht="15" x14ac:dyDescent="0.25">
      <c r="A228" s="1">
        <v>224</v>
      </c>
      <c r="B228" s="32" t="s">
        <v>700</v>
      </c>
      <c r="C228" s="32" t="s">
        <v>633</v>
      </c>
      <c r="D228" s="32">
        <v>210</v>
      </c>
      <c r="E228" s="1" t="s">
        <v>80</v>
      </c>
      <c r="F228" s="295">
        <v>2.08</v>
      </c>
      <c r="G228" s="1">
        <v>210</v>
      </c>
      <c r="H228" s="1">
        <f t="shared" si="5"/>
        <v>0</v>
      </c>
      <c r="I228" s="89"/>
      <c r="J228" s="423"/>
      <c r="K228" s="204"/>
      <c r="L228" s="204"/>
      <c r="M228" s="203"/>
      <c r="N228" s="388"/>
      <c r="O228" s="48"/>
      <c r="P228" s="370"/>
      <c r="Q228" s="48"/>
    </row>
    <row r="229" spans="1:17" s="436" customFormat="1" ht="15" x14ac:dyDescent="0.25">
      <c r="A229" s="1">
        <v>225</v>
      </c>
      <c r="B229" s="32" t="s">
        <v>700</v>
      </c>
      <c r="C229" s="32">
        <v>9876</v>
      </c>
      <c r="D229" s="32">
        <v>16000</v>
      </c>
      <c r="E229" s="1" t="s">
        <v>80</v>
      </c>
      <c r="F229" s="295">
        <v>178.22</v>
      </c>
      <c r="G229" s="1">
        <v>16000</v>
      </c>
      <c r="H229" s="1">
        <f t="shared" si="5"/>
        <v>0</v>
      </c>
      <c r="I229" s="89"/>
      <c r="J229" s="423"/>
      <c r="K229" s="204"/>
      <c r="L229" s="204"/>
      <c r="M229" s="203"/>
      <c r="N229" s="388"/>
      <c r="O229" s="48"/>
      <c r="P229" s="370"/>
      <c r="Q229" s="48"/>
    </row>
    <row r="230" spans="1:17" s="436" customFormat="1" ht="15" x14ac:dyDescent="0.25">
      <c r="A230" s="1">
        <v>226</v>
      </c>
      <c r="B230" s="32" t="s">
        <v>700</v>
      </c>
      <c r="C230" s="32">
        <v>5272</v>
      </c>
      <c r="D230" s="32">
        <v>13000</v>
      </c>
      <c r="E230" s="1" t="s">
        <v>80</v>
      </c>
      <c r="F230" s="295">
        <v>144.13</v>
      </c>
      <c r="G230" s="1">
        <v>13000</v>
      </c>
      <c r="H230" s="1">
        <f t="shared" si="5"/>
        <v>0</v>
      </c>
      <c r="I230" s="89"/>
      <c r="J230" s="423"/>
      <c r="K230" s="204"/>
      <c r="L230" s="204"/>
      <c r="M230" s="203"/>
      <c r="N230" s="388"/>
      <c r="O230" s="48"/>
      <c r="P230" s="370"/>
      <c r="Q230" s="48"/>
    </row>
    <row r="231" spans="1:17" s="436" customFormat="1" ht="15" x14ac:dyDescent="0.25">
      <c r="A231" s="1">
        <v>227</v>
      </c>
      <c r="B231" s="32" t="s">
        <v>700</v>
      </c>
      <c r="C231" s="32">
        <v>6582</v>
      </c>
      <c r="D231" s="32">
        <v>28000</v>
      </c>
      <c r="E231" s="1" t="s">
        <v>80</v>
      </c>
      <c r="F231" s="295">
        <v>306.87</v>
      </c>
      <c r="G231" s="1">
        <v>28000</v>
      </c>
      <c r="H231" s="1">
        <f t="shared" si="5"/>
        <v>0</v>
      </c>
      <c r="I231" s="89"/>
      <c r="J231" s="423"/>
      <c r="K231" s="204"/>
      <c r="L231" s="204"/>
      <c r="M231" s="203"/>
      <c r="N231" s="388"/>
      <c r="O231" s="48"/>
      <c r="P231" s="370"/>
      <c r="Q231" s="48"/>
    </row>
    <row r="232" spans="1:17" s="436" customFormat="1" ht="15" x14ac:dyDescent="0.25">
      <c r="A232" s="1">
        <v>228</v>
      </c>
      <c r="B232" s="32" t="s">
        <v>700</v>
      </c>
      <c r="C232" s="32">
        <v>5372</v>
      </c>
      <c r="D232" s="32">
        <v>13000</v>
      </c>
      <c r="E232" s="1" t="s">
        <v>80</v>
      </c>
      <c r="F232" s="295">
        <v>144.13</v>
      </c>
      <c r="G232" s="1">
        <v>13000</v>
      </c>
      <c r="H232" s="1">
        <f t="shared" si="5"/>
        <v>0</v>
      </c>
      <c r="I232" s="89"/>
      <c r="J232" s="423"/>
      <c r="K232" s="204"/>
      <c r="L232" s="204"/>
      <c r="M232" s="203"/>
      <c r="N232" s="388"/>
      <c r="O232" s="48"/>
      <c r="P232" s="370"/>
      <c r="Q232" s="48"/>
    </row>
    <row r="233" spans="1:17" s="436" customFormat="1" ht="15" x14ac:dyDescent="0.25">
      <c r="A233" s="1">
        <v>229</v>
      </c>
      <c r="B233" s="32" t="s">
        <v>700</v>
      </c>
      <c r="C233" s="32">
        <v>6447</v>
      </c>
      <c r="D233" s="32">
        <v>25000</v>
      </c>
      <c r="E233" s="1" t="s">
        <v>80</v>
      </c>
      <c r="F233" s="295">
        <v>278.22000000000003</v>
      </c>
      <c r="G233" s="1">
        <v>25000</v>
      </c>
      <c r="H233" s="1">
        <f t="shared" si="5"/>
        <v>0</v>
      </c>
      <c r="I233" s="89"/>
      <c r="J233" s="423"/>
      <c r="K233" s="204"/>
      <c r="L233" s="204"/>
      <c r="M233" s="203"/>
      <c r="N233" s="388"/>
      <c r="O233" s="48"/>
      <c r="P233" s="370"/>
      <c r="Q233" s="48"/>
    </row>
    <row r="234" spans="1:17" s="436" customFormat="1" ht="15" x14ac:dyDescent="0.25">
      <c r="A234" s="1">
        <v>230</v>
      </c>
      <c r="B234" s="32" t="s">
        <v>700</v>
      </c>
      <c r="C234" s="32">
        <v>4571</v>
      </c>
      <c r="D234" s="32">
        <v>16000</v>
      </c>
      <c r="E234" s="1" t="s">
        <v>80</v>
      </c>
      <c r="F234" s="295">
        <v>178.22</v>
      </c>
      <c r="G234" s="1">
        <v>16000</v>
      </c>
      <c r="H234" s="1">
        <f t="shared" si="5"/>
        <v>0</v>
      </c>
      <c r="I234" s="89"/>
      <c r="J234" s="423"/>
      <c r="K234" s="204"/>
      <c r="L234" s="204"/>
      <c r="M234" s="203"/>
      <c r="N234" s="388"/>
      <c r="O234" s="48"/>
      <c r="P234" s="370"/>
      <c r="Q234" s="48"/>
    </row>
    <row r="235" spans="1:17" s="436" customFormat="1" ht="15.75" thickBot="1" x14ac:dyDescent="0.3">
      <c r="A235" s="1">
        <v>231</v>
      </c>
      <c r="B235" s="32" t="s">
        <v>700</v>
      </c>
      <c r="C235" s="32">
        <v>7610</v>
      </c>
      <c r="D235" s="32">
        <v>35000</v>
      </c>
      <c r="E235" s="1" t="s">
        <v>80</v>
      </c>
      <c r="F235" s="295">
        <v>389.82</v>
      </c>
      <c r="G235" s="1">
        <v>35000</v>
      </c>
      <c r="H235" s="1">
        <f t="shared" si="5"/>
        <v>0</v>
      </c>
      <c r="I235" s="89"/>
      <c r="J235" s="423"/>
      <c r="K235" s="204"/>
      <c r="L235" s="204"/>
      <c r="M235" s="203"/>
      <c r="N235" s="388"/>
      <c r="O235" s="48"/>
      <c r="P235" s="370"/>
      <c r="Q235" s="48"/>
    </row>
    <row r="236" spans="1:17" s="436" customFormat="1" ht="15.75" thickBot="1" x14ac:dyDescent="0.3">
      <c r="A236" s="1">
        <v>232</v>
      </c>
      <c r="B236" s="32" t="s">
        <v>700</v>
      </c>
      <c r="C236" s="32">
        <v>3366</v>
      </c>
      <c r="D236" s="32">
        <v>17000</v>
      </c>
      <c r="E236" s="1" t="s">
        <v>80</v>
      </c>
      <c r="F236" s="295">
        <v>189.67</v>
      </c>
      <c r="G236" s="1">
        <v>17000</v>
      </c>
      <c r="H236" s="1">
        <f t="shared" si="5"/>
        <v>0</v>
      </c>
      <c r="I236" s="89"/>
      <c r="J236" s="423"/>
      <c r="K236" s="204"/>
      <c r="L236" s="204"/>
      <c r="M236" s="203"/>
      <c r="N236" s="103">
        <f>1877365-1876524</f>
        <v>841</v>
      </c>
      <c r="O236" s="359" t="s">
        <v>699</v>
      </c>
      <c r="P236" s="367" t="s">
        <v>620</v>
      </c>
      <c r="Q236" s="360">
        <f>867-841</f>
        <v>26</v>
      </c>
    </row>
    <row r="237" spans="1:17" s="437" customFormat="1" ht="15" x14ac:dyDescent="0.25">
      <c r="A237" s="1">
        <v>233</v>
      </c>
      <c r="B237" s="32" t="s">
        <v>701</v>
      </c>
      <c r="C237" s="32">
        <v>1543</v>
      </c>
      <c r="D237" s="32">
        <v>14500</v>
      </c>
      <c r="E237" s="1" t="s">
        <v>80</v>
      </c>
      <c r="F237" s="295">
        <v>161.82</v>
      </c>
      <c r="G237" s="1">
        <v>14500</v>
      </c>
      <c r="H237" s="1">
        <f t="shared" si="5"/>
        <v>0</v>
      </c>
      <c r="I237" s="89"/>
      <c r="J237" s="423"/>
      <c r="K237" s="204"/>
      <c r="L237" s="204"/>
      <c r="M237" s="203"/>
      <c r="N237" s="388"/>
      <c r="O237" s="48"/>
      <c r="P237" s="370"/>
      <c r="Q237" s="48"/>
    </row>
    <row r="238" spans="1:17" s="437" customFormat="1" ht="15" x14ac:dyDescent="0.25">
      <c r="A238" s="1">
        <v>234</v>
      </c>
      <c r="B238" s="32" t="s">
        <v>701</v>
      </c>
      <c r="C238" s="32">
        <v>4.7000000000000002E-3</v>
      </c>
      <c r="D238" s="32">
        <v>15000</v>
      </c>
      <c r="E238" s="1" t="s">
        <v>80</v>
      </c>
      <c r="F238" s="295">
        <v>167.15</v>
      </c>
      <c r="G238" s="1">
        <v>15000</v>
      </c>
      <c r="H238" s="1">
        <f t="shared" si="5"/>
        <v>0</v>
      </c>
      <c r="I238" s="89"/>
      <c r="J238" s="423"/>
      <c r="K238" s="204"/>
      <c r="L238" s="204"/>
      <c r="M238" s="203"/>
      <c r="N238" s="388"/>
      <c r="O238" s="48"/>
      <c r="P238" s="370"/>
      <c r="Q238" s="48"/>
    </row>
    <row r="239" spans="1:17" s="437" customFormat="1" ht="15" x14ac:dyDescent="0.25">
      <c r="A239" s="1">
        <v>235</v>
      </c>
      <c r="B239" s="32" t="s">
        <v>701</v>
      </c>
      <c r="C239" s="32">
        <v>3176</v>
      </c>
      <c r="D239" s="32">
        <v>15000</v>
      </c>
      <c r="E239" s="1" t="s">
        <v>80</v>
      </c>
      <c r="F239" s="295">
        <v>167.15</v>
      </c>
      <c r="G239" s="1">
        <v>15000</v>
      </c>
      <c r="H239" s="1">
        <f t="shared" si="5"/>
        <v>0</v>
      </c>
      <c r="I239" s="89"/>
      <c r="J239" s="423"/>
      <c r="K239" s="204"/>
      <c r="L239" s="204"/>
      <c r="M239" s="203"/>
      <c r="N239" s="388"/>
      <c r="O239" s="48"/>
      <c r="P239" s="370"/>
      <c r="Q239" s="48"/>
    </row>
    <row r="240" spans="1:17" s="437" customFormat="1" ht="15" x14ac:dyDescent="0.25">
      <c r="A240" s="1">
        <v>236</v>
      </c>
      <c r="B240" s="32" t="s">
        <v>701</v>
      </c>
      <c r="C240" s="32">
        <v>1416</v>
      </c>
      <c r="D240" s="32">
        <v>8000</v>
      </c>
      <c r="E240" s="1" t="s">
        <v>80</v>
      </c>
      <c r="F240" s="295">
        <v>89.65</v>
      </c>
      <c r="G240" s="1">
        <v>8000</v>
      </c>
      <c r="H240" s="1">
        <f t="shared" si="5"/>
        <v>0</v>
      </c>
      <c r="I240" s="89"/>
      <c r="J240" s="423"/>
      <c r="K240" s="204"/>
      <c r="L240" s="204"/>
      <c r="M240" s="203"/>
      <c r="N240" s="388"/>
      <c r="O240" s="48"/>
      <c r="P240" s="370"/>
      <c r="Q240" s="48"/>
    </row>
    <row r="241" spans="1:17" s="437" customFormat="1" ht="15" x14ac:dyDescent="0.25">
      <c r="A241" s="1">
        <v>237</v>
      </c>
      <c r="B241" s="32" t="s">
        <v>701</v>
      </c>
      <c r="C241" s="32">
        <v>2774</v>
      </c>
      <c r="D241" s="32">
        <v>12000</v>
      </c>
      <c r="E241" s="1" t="s">
        <v>80</v>
      </c>
      <c r="F241" s="295">
        <v>133.22999999999999</v>
      </c>
      <c r="G241" s="1">
        <v>12000</v>
      </c>
      <c r="H241" s="1">
        <f t="shared" si="5"/>
        <v>0</v>
      </c>
      <c r="I241" s="89"/>
      <c r="J241" s="423"/>
      <c r="K241" s="204"/>
      <c r="L241" s="204"/>
      <c r="M241" s="203"/>
      <c r="N241" s="388"/>
      <c r="O241" s="48"/>
      <c r="P241" s="370"/>
      <c r="Q241" s="48"/>
    </row>
    <row r="242" spans="1:17" s="437" customFormat="1" ht="15" x14ac:dyDescent="0.25">
      <c r="A242" s="1">
        <v>238</v>
      </c>
      <c r="B242" s="32" t="s">
        <v>701</v>
      </c>
      <c r="C242" s="32">
        <v>8758</v>
      </c>
      <c r="D242" s="32">
        <v>13000</v>
      </c>
      <c r="E242" s="1" t="s">
        <v>80</v>
      </c>
      <c r="F242" s="295">
        <v>144.13</v>
      </c>
      <c r="G242" s="1">
        <v>13000</v>
      </c>
      <c r="H242" s="1">
        <f t="shared" si="5"/>
        <v>0</v>
      </c>
      <c r="I242" s="89"/>
      <c r="J242" s="423"/>
      <c r="K242" s="204"/>
      <c r="L242" s="204"/>
      <c r="M242" s="203"/>
      <c r="N242" s="388"/>
      <c r="O242" s="48"/>
      <c r="P242" s="370"/>
      <c r="Q242" s="48"/>
    </row>
    <row r="243" spans="1:17" s="437" customFormat="1" ht="15" x14ac:dyDescent="0.25">
      <c r="A243" s="1">
        <v>239</v>
      </c>
      <c r="B243" s="32" t="s">
        <v>701</v>
      </c>
      <c r="C243" s="32">
        <v>4566</v>
      </c>
      <c r="D243" s="32">
        <v>20000</v>
      </c>
      <c r="E243" s="1" t="s">
        <v>80</v>
      </c>
      <c r="F243" s="295">
        <v>222.82</v>
      </c>
      <c r="G243" s="1">
        <v>20000</v>
      </c>
      <c r="H243" s="1">
        <f t="shared" si="5"/>
        <v>0</v>
      </c>
      <c r="I243" s="89"/>
      <c r="J243" s="423"/>
      <c r="K243" s="204"/>
      <c r="L243" s="204"/>
      <c r="M243" s="203"/>
      <c r="N243" s="388"/>
      <c r="O243" s="48"/>
      <c r="P243" s="370"/>
      <c r="Q243" s="48"/>
    </row>
    <row r="244" spans="1:17" s="437" customFormat="1" ht="15" x14ac:dyDescent="0.25">
      <c r="A244" s="1">
        <v>240</v>
      </c>
      <c r="B244" s="32" t="s">
        <v>701</v>
      </c>
      <c r="C244" s="32">
        <v>1547</v>
      </c>
      <c r="D244" s="32">
        <v>17000</v>
      </c>
      <c r="E244" s="1" t="s">
        <v>80</v>
      </c>
      <c r="F244" s="295">
        <v>189.74</v>
      </c>
      <c r="G244" s="1">
        <v>17000</v>
      </c>
      <c r="H244" s="1">
        <f t="shared" si="5"/>
        <v>0</v>
      </c>
      <c r="I244" s="89"/>
      <c r="J244" s="423"/>
      <c r="K244" s="204"/>
      <c r="L244" s="204"/>
      <c r="M244" s="203"/>
      <c r="N244" s="388"/>
      <c r="O244" s="48"/>
      <c r="P244" s="370"/>
      <c r="Q244" s="48"/>
    </row>
    <row r="245" spans="1:17" s="437" customFormat="1" ht="15" x14ac:dyDescent="0.25">
      <c r="A245" s="1">
        <v>241</v>
      </c>
      <c r="B245" s="32" t="s">
        <v>701</v>
      </c>
      <c r="C245" s="32">
        <v>7211</v>
      </c>
      <c r="D245" s="32">
        <v>25000</v>
      </c>
      <c r="E245" s="1" t="s">
        <v>80</v>
      </c>
      <c r="F245" s="295">
        <v>278.22000000000003</v>
      </c>
      <c r="G245" s="1">
        <v>25000</v>
      </c>
      <c r="H245" s="1">
        <f t="shared" si="5"/>
        <v>0</v>
      </c>
      <c r="I245" s="89"/>
      <c r="J245" s="423"/>
      <c r="K245" s="204"/>
      <c r="L245" s="204"/>
      <c r="M245" s="203"/>
      <c r="N245" s="388"/>
      <c r="O245" s="48"/>
      <c r="P245" s="370"/>
      <c r="Q245" s="48"/>
    </row>
    <row r="246" spans="1:17" s="437" customFormat="1" ht="15" x14ac:dyDescent="0.25">
      <c r="A246" s="1">
        <v>242</v>
      </c>
      <c r="B246" s="32" t="s">
        <v>701</v>
      </c>
      <c r="C246" s="32">
        <v>6311</v>
      </c>
      <c r="D246" s="32">
        <v>22000</v>
      </c>
      <c r="E246" s="1" t="s">
        <v>80</v>
      </c>
      <c r="F246" s="295">
        <v>245.96</v>
      </c>
      <c r="G246" s="1">
        <v>22000</v>
      </c>
      <c r="H246" s="1">
        <f t="shared" si="5"/>
        <v>0</v>
      </c>
      <c r="I246" s="89"/>
      <c r="J246" s="423"/>
      <c r="K246" s="204"/>
      <c r="L246" s="204"/>
      <c r="M246" s="203"/>
      <c r="N246" s="388"/>
      <c r="O246" s="48"/>
      <c r="P246" s="370"/>
      <c r="Q246" s="48"/>
    </row>
    <row r="247" spans="1:17" s="437" customFormat="1" ht="15" x14ac:dyDescent="0.25">
      <c r="A247" s="1">
        <v>243</v>
      </c>
      <c r="B247" s="32" t="s">
        <v>701</v>
      </c>
      <c r="C247" s="32">
        <v>4575</v>
      </c>
      <c r="D247" s="32">
        <v>13500</v>
      </c>
      <c r="E247" s="1" t="s">
        <v>80</v>
      </c>
      <c r="F247" s="295">
        <v>150.72</v>
      </c>
      <c r="G247" s="1">
        <v>13500</v>
      </c>
      <c r="H247" s="1">
        <f t="shared" si="5"/>
        <v>0</v>
      </c>
      <c r="I247" s="89"/>
      <c r="J247" s="423"/>
      <c r="K247" s="204"/>
      <c r="L247" s="204"/>
      <c r="M247" s="203"/>
      <c r="N247" s="388"/>
      <c r="O247" s="48"/>
      <c r="P247" s="370"/>
      <c r="Q247" s="48"/>
    </row>
    <row r="248" spans="1:17" s="437" customFormat="1" ht="15" x14ac:dyDescent="0.25">
      <c r="A248" s="1">
        <v>244</v>
      </c>
      <c r="B248" s="32" t="s">
        <v>701</v>
      </c>
      <c r="C248" s="32">
        <v>4314</v>
      </c>
      <c r="D248" s="32">
        <v>12000</v>
      </c>
      <c r="E248" s="1" t="s">
        <v>80</v>
      </c>
      <c r="F248" s="295">
        <v>133.83000000000001</v>
      </c>
      <c r="G248" s="1">
        <v>12000</v>
      </c>
      <c r="H248" s="1">
        <f t="shared" si="5"/>
        <v>0</v>
      </c>
      <c r="I248" s="89"/>
      <c r="J248" s="423"/>
      <c r="K248" s="204"/>
      <c r="L248" s="204"/>
      <c r="M248" s="203"/>
      <c r="N248" s="388"/>
      <c r="O248" s="48"/>
      <c r="P248" s="370"/>
      <c r="Q248" s="48"/>
    </row>
    <row r="249" spans="1:17" s="437" customFormat="1" ht="15" x14ac:dyDescent="0.25">
      <c r="A249" s="1">
        <v>245</v>
      </c>
      <c r="B249" s="32" t="s">
        <v>701</v>
      </c>
      <c r="C249" s="32">
        <v>8544</v>
      </c>
      <c r="D249" s="32">
        <v>10000</v>
      </c>
      <c r="E249" s="1" t="s">
        <v>80</v>
      </c>
      <c r="F249" s="295">
        <v>111.42</v>
      </c>
      <c r="G249" s="1">
        <v>10000</v>
      </c>
      <c r="H249" s="1">
        <f t="shared" si="5"/>
        <v>0</v>
      </c>
      <c r="I249" s="89"/>
      <c r="J249" s="423"/>
      <c r="K249" s="204"/>
      <c r="L249" s="204"/>
      <c r="M249" s="203"/>
      <c r="N249" s="388"/>
      <c r="O249" s="48"/>
      <c r="P249" s="370"/>
      <c r="Q249" s="48"/>
    </row>
    <row r="250" spans="1:17" s="437" customFormat="1" ht="15" x14ac:dyDescent="0.25">
      <c r="A250" s="1">
        <v>246</v>
      </c>
      <c r="B250" s="32" t="s">
        <v>701</v>
      </c>
      <c r="C250" s="32">
        <v>2016</v>
      </c>
      <c r="D250" s="32">
        <v>23000</v>
      </c>
      <c r="E250" s="1" t="s">
        <v>80</v>
      </c>
      <c r="F250" s="295">
        <v>222.81</v>
      </c>
      <c r="G250" s="1">
        <v>23000</v>
      </c>
      <c r="H250" s="1">
        <f t="shared" si="5"/>
        <v>0</v>
      </c>
      <c r="I250" s="89"/>
      <c r="J250" s="423"/>
      <c r="K250" s="204"/>
      <c r="L250" s="204"/>
      <c r="M250" s="203"/>
      <c r="N250" s="388"/>
      <c r="O250" s="48"/>
      <c r="P250" s="370"/>
      <c r="Q250" s="48"/>
    </row>
    <row r="251" spans="1:17" s="437" customFormat="1" ht="15" x14ac:dyDescent="0.25">
      <c r="A251" s="1">
        <v>247</v>
      </c>
      <c r="B251" s="32" t="s">
        <v>701</v>
      </c>
      <c r="C251" s="32">
        <v>9269</v>
      </c>
      <c r="D251" s="32">
        <v>30000</v>
      </c>
      <c r="E251" s="1" t="s">
        <v>80</v>
      </c>
      <c r="F251" s="295">
        <v>334.32</v>
      </c>
      <c r="G251" s="1">
        <v>30000</v>
      </c>
      <c r="H251" s="1">
        <f t="shared" si="5"/>
        <v>0</v>
      </c>
      <c r="I251" s="89"/>
      <c r="J251" s="423"/>
      <c r="K251" s="204"/>
      <c r="L251" s="204"/>
      <c r="M251" s="203"/>
      <c r="N251" s="388"/>
      <c r="O251" s="48"/>
      <c r="P251" s="370"/>
      <c r="Q251" s="48"/>
    </row>
    <row r="252" spans="1:17" s="437" customFormat="1" ht="15" x14ac:dyDescent="0.25">
      <c r="A252" s="1">
        <v>248</v>
      </c>
      <c r="B252" s="32" t="s">
        <v>701</v>
      </c>
      <c r="C252" s="32">
        <v>9235</v>
      </c>
      <c r="D252" s="32">
        <v>30000</v>
      </c>
      <c r="E252" s="1" t="s">
        <v>80</v>
      </c>
      <c r="F252" s="295">
        <v>334.32</v>
      </c>
      <c r="G252" s="1">
        <v>30000</v>
      </c>
      <c r="H252" s="1">
        <f t="shared" si="5"/>
        <v>0</v>
      </c>
      <c r="I252" s="89"/>
      <c r="J252" s="423"/>
      <c r="K252" s="204"/>
      <c r="L252" s="204"/>
      <c r="M252" s="203"/>
      <c r="N252" s="388"/>
      <c r="O252" s="48"/>
      <c r="P252" s="370"/>
      <c r="Q252" s="48"/>
    </row>
    <row r="253" spans="1:17" s="437" customFormat="1" ht="15" x14ac:dyDescent="0.25">
      <c r="A253" s="1">
        <v>249</v>
      </c>
      <c r="B253" s="32" t="s">
        <v>701</v>
      </c>
      <c r="C253" s="32">
        <v>8595</v>
      </c>
      <c r="D253" s="32">
        <v>13500</v>
      </c>
      <c r="E253" s="1" t="s">
        <v>80</v>
      </c>
      <c r="F253" s="295">
        <v>150.74</v>
      </c>
      <c r="G253" s="1">
        <v>13500</v>
      </c>
      <c r="H253" s="1">
        <f t="shared" si="5"/>
        <v>0</v>
      </c>
      <c r="I253" s="89"/>
      <c r="J253" s="423"/>
      <c r="K253" s="204"/>
      <c r="L253" s="204"/>
      <c r="M253" s="203"/>
      <c r="N253" s="388"/>
      <c r="O253" s="48"/>
      <c r="P253" s="370"/>
      <c r="Q253" s="48"/>
    </row>
    <row r="254" spans="1:17" s="437" customFormat="1" ht="15" x14ac:dyDescent="0.25">
      <c r="A254" s="1">
        <v>250</v>
      </c>
      <c r="B254" s="32" t="s">
        <v>701</v>
      </c>
      <c r="C254" s="32">
        <v>5225</v>
      </c>
      <c r="D254" s="32">
        <v>13500</v>
      </c>
      <c r="E254" s="1" t="s">
        <v>80</v>
      </c>
      <c r="F254" s="295">
        <v>150.74</v>
      </c>
      <c r="G254" s="1">
        <v>13500</v>
      </c>
      <c r="H254" s="1">
        <f t="shared" si="5"/>
        <v>0</v>
      </c>
      <c r="I254" s="89"/>
      <c r="J254" s="423"/>
      <c r="K254" s="204"/>
      <c r="L254" s="204"/>
      <c r="M254" s="203"/>
      <c r="N254" s="388"/>
      <c r="O254" s="48"/>
      <c r="P254" s="370"/>
      <c r="Q254" s="48"/>
    </row>
    <row r="255" spans="1:17" s="437" customFormat="1" ht="15" x14ac:dyDescent="0.25">
      <c r="A255" s="1">
        <v>251</v>
      </c>
      <c r="B255" s="32" t="s">
        <v>701</v>
      </c>
      <c r="C255" s="32" t="s">
        <v>634</v>
      </c>
      <c r="D255" s="32">
        <v>3500</v>
      </c>
      <c r="E255" s="1" t="s">
        <v>80</v>
      </c>
      <c r="F255" s="295">
        <v>38.450000000000003</v>
      </c>
      <c r="G255" s="1">
        <v>3500</v>
      </c>
      <c r="H255" s="1">
        <f t="shared" si="5"/>
        <v>0</v>
      </c>
      <c r="I255" s="89"/>
      <c r="J255" s="423"/>
      <c r="K255" s="204"/>
      <c r="L255" s="204"/>
      <c r="M255" s="203"/>
      <c r="N255" s="388"/>
      <c r="O255" s="48"/>
      <c r="P255" s="370"/>
      <c r="Q255" s="48"/>
    </row>
    <row r="256" spans="1:17" s="437" customFormat="1" ht="15" x14ac:dyDescent="0.25">
      <c r="A256" s="1">
        <v>252</v>
      </c>
      <c r="B256" s="32" t="s">
        <v>701</v>
      </c>
      <c r="C256" s="32">
        <v>9295</v>
      </c>
      <c r="D256" s="32">
        <v>18000</v>
      </c>
      <c r="E256" s="1" t="s">
        <v>80</v>
      </c>
      <c r="F256" s="295">
        <v>200.18</v>
      </c>
      <c r="G256" s="1">
        <v>18000</v>
      </c>
      <c r="H256" s="1">
        <f t="shared" si="5"/>
        <v>0</v>
      </c>
      <c r="I256" s="89"/>
      <c r="J256" s="423"/>
      <c r="K256" s="204"/>
      <c r="L256" s="204"/>
      <c r="M256" s="203"/>
      <c r="N256" s="388"/>
      <c r="O256" s="48"/>
      <c r="P256" s="370"/>
      <c r="Q256" s="48"/>
    </row>
    <row r="257" spans="1:17" s="437" customFormat="1" ht="15" x14ac:dyDescent="0.25">
      <c r="A257" s="1">
        <v>253</v>
      </c>
      <c r="B257" s="32" t="s">
        <v>701</v>
      </c>
      <c r="C257" s="32">
        <v>7476</v>
      </c>
      <c r="D257" s="32">
        <v>15320</v>
      </c>
      <c r="E257" s="1" t="s">
        <v>80</v>
      </c>
      <c r="F257" s="1">
        <v>170.72</v>
      </c>
      <c r="G257" s="1">
        <v>15320</v>
      </c>
      <c r="H257" s="1">
        <f t="shared" si="5"/>
        <v>0</v>
      </c>
      <c r="I257" s="89"/>
      <c r="J257" s="423"/>
      <c r="K257" s="204"/>
      <c r="L257" s="204"/>
      <c r="M257" s="203"/>
      <c r="N257" s="388"/>
      <c r="O257" s="48"/>
      <c r="P257" s="370"/>
      <c r="Q257" s="48"/>
    </row>
    <row r="258" spans="1:17" s="437" customFormat="1" ht="15" x14ac:dyDescent="0.25">
      <c r="A258" s="1">
        <v>254</v>
      </c>
      <c r="B258" s="32" t="s">
        <v>701</v>
      </c>
      <c r="C258" s="32">
        <v>5.8400000000000001E-2</v>
      </c>
      <c r="D258" s="32">
        <v>23000</v>
      </c>
      <c r="E258" s="1" t="s">
        <v>80</v>
      </c>
      <c r="F258" s="295">
        <v>232.96</v>
      </c>
      <c r="G258" s="1">
        <v>23000</v>
      </c>
      <c r="H258" s="1">
        <f t="shared" si="5"/>
        <v>0</v>
      </c>
      <c r="I258" s="89"/>
      <c r="J258" s="423"/>
      <c r="K258" s="204"/>
      <c r="L258" s="204"/>
      <c r="M258" s="203"/>
      <c r="N258" s="388"/>
      <c r="O258" s="48"/>
      <c r="P258" s="370"/>
      <c r="Q258" s="48"/>
    </row>
    <row r="259" spans="1:17" s="437" customFormat="1" ht="15.75" thickBot="1" x14ac:dyDescent="0.3">
      <c r="A259" s="1">
        <v>255</v>
      </c>
      <c r="B259" s="32" t="s">
        <v>701</v>
      </c>
      <c r="C259" s="32">
        <v>4556</v>
      </c>
      <c r="D259" s="32">
        <v>15000</v>
      </c>
      <c r="E259" s="1" t="s">
        <v>80</v>
      </c>
      <c r="F259" s="295">
        <v>167.15</v>
      </c>
      <c r="G259" s="1">
        <v>15000</v>
      </c>
      <c r="H259" s="1">
        <f t="shared" si="5"/>
        <v>0</v>
      </c>
      <c r="I259" s="89"/>
      <c r="J259" s="423"/>
      <c r="K259" s="204"/>
      <c r="L259" s="204"/>
      <c r="M259" s="203"/>
      <c r="N259" s="388"/>
      <c r="O259" s="48"/>
      <c r="P259" s="370"/>
      <c r="Q259" s="48"/>
    </row>
    <row r="260" spans="1:17" s="437" customFormat="1" ht="15.75" thickBot="1" x14ac:dyDescent="0.3">
      <c r="A260" s="1">
        <v>256</v>
      </c>
      <c r="B260" s="32" t="s">
        <v>701</v>
      </c>
      <c r="C260" s="32">
        <v>9032</v>
      </c>
      <c r="D260" s="32">
        <v>13000</v>
      </c>
      <c r="E260" s="1" t="s">
        <v>80</v>
      </c>
      <c r="F260" s="295">
        <v>144.13</v>
      </c>
      <c r="G260" s="1">
        <v>13000</v>
      </c>
      <c r="H260" s="1">
        <f t="shared" si="5"/>
        <v>0</v>
      </c>
      <c r="I260" s="89"/>
      <c r="J260" s="423"/>
      <c r="K260" s="204"/>
      <c r="L260" s="204"/>
      <c r="M260" s="203"/>
      <c r="N260" s="103">
        <f>2072185-2071344</f>
        <v>841</v>
      </c>
      <c r="O260" s="359" t="s">
        <v>699</v>
      </c>
      <c r="P260" s="367" t="s">
        <v>620</v>
      </c>
      <c r="Q260" s="360">
        <f>867-841</f>
        <v>26</v>
      </c>
    </row>
    <row r="261" spans="1:17" s="438" customFormat="1" ht="15" x14ac:dyDescent="0.25">
      <c r="A261" s="1">
        <v>257</v>
      </c>
      <c r="B261" s="32" t="s">
        <v>702</v>
      </c>
      <c r="C261" s="32">
        <v>4.4499999999999998E-2</v>
      </c>
      <c r="D261" s="32">
        <v>13000</v>
      </c>
      <c r="E261" s="1" t="s">
        <v>80</v>
      </c>
      <c r="F261" s="295">
        <v>144.13</v>
      </c>
      <c r="G261" s="1">
        <v>13000</v>
      </c>
      <c r="H261" s="1">
        <f t="shared" si="5"/>
        <v>0</v>
      </c>
      <c r="I261" s="89"/>
      <c r="J261" s="423"/>
      <c r="K261" s="204"/>
      <c r="L261" s="204"/>
      <c r="M261" s="203"/>
      <c r="N261" s="388"/>
      <c r="O261" s="48"/>
      <c r="P261" s="370"/>
      <c r="Q261" s="48"/>
    </row>
    <row r="262" spans="1:17" s="438" customFormat="1" ht="15" x14ac:dyDescent="0.25">
      <c r="A262" s="1">
        <v>258</v>
      </c>
      <c r="B262" s="32" t="s">
        <v>702</v>
      </c>
      <c r="C262" s="32">
        <v>8565</v>
      </c>
      <c r="D262" s="32">
        <v>13000</v>
      </c>
      <c r="E262" s="1" t="s">
        <v>80</v>
      </c>
      <c r="F262" s="295">
        <v>144.13</v>
      </c>
      <c r="G262" s="1">
        <v>13000</v>
      </c>
      <c r="H262" s="1">
        <f t="shared" si="5"/>
        <v>0</v>
      </c>
      <c r="I262" s="89"/>
      <c r="J262" s="423"/>
      <c r="K262" s="204"/>
      <c r="L262" s="204"/>
      <c r="M262" s="203"/>
      <c r="N262" s="388"/>
      <c r="O262" s="48"/>
      <c r="P262" s="370"/>
      <c r="Q262" s="48"/>
    </row>
    <row r="263" spans="1:17" s="438" customFormat="1" ht="15" x14ac:dyDescent="0.25">
      <c r="A263" s="1">
        <v>259</v>
      </c>
      <c r="B263" s="32" t="s">
        <v>702</v>
      </c>
      <c r="C263" s="32" t="s">
        <v>30</v>
      </c>
      <c r="D263" s="32">
        <v>5000</v>
      </c>
      <c r="E263" s="1" t="s">
        <v>80</v>
      </c>
      <c r="F263" s="295">
        <v>55.85</v>
      </c>
      <c r="G263" s="1">
        <v>5000</v>
      </c>
      <c r="H263" s="1">
        <f t="shared" si="5"/>
        <v>0</v>
      </c>
      <c r="I263" s="89"/>
      <c r="J263" s="423"/>
      <c r="K263" s="204"/>
      <c r="L263" s="204"/>
      <c r="M263" s="203"/>
      <c r="N263" s="388"/>
      <c r="O263" s="48"/>
      <c r="P263" s="370"/>
      <c r="Q263" s="48"/>
    </row>
    <row r="264" spans="1:17" s="438" customFormat="1" ht="15" x14ac:dyDescent="0.25">
      <c r="A264" s="1">
        <v>260</v>
      </c>
      <c r="B264" s="32" t="s">
        <v>702</v>
      </c>
      <c r="C264" s="32">
        <v>9777</v>
      </c>
      <c r="D264" s="32">
        <v>16000</v>
      </c>
      <c r="E264" s="1" t="s">
        <v>80</v>
      </c>
      <c r="F264" s="295">
        <v>178.22</v>
      </c>
      <c r="G264" s="1">
        <v>16000</v>
      </c>
      <c r="H264" s="1">
        <f t="shared" si="5"/>
        <v>0</v>
      </c>
      <c r="I264" s="89"/>
      <c r="J264" s="423"/>
      <c r="K264" s="204"/>
      <c r="L264" s="204"/>
      <c r="M264" s="203"/>
      <c r="N264" s="388"/>
      <c r="O264" s="48"/>
      <c r="P264" s="370"/>
      <c r="Q264" s="48"/>
    </row>
    <row r="265" spans="1:17" s="438" customFormat="1" ht="15" x14ac:dyDescent="0.25">
      <c r="A265" s="1">
        <v>261</v>
      </c>
      <c r="B265" s="32" t="s">
        <v>702</v>
      </c>
      <c r="C265" s="32">
        <v>5199</v>
      </c>
      <c r="D265" s="32">
        <v>32000</v>
      </c>
      <c r="E265" s="1" t="s">
        <v>80</v>
      </c>
      <c r="F265" s="295">
        <v>344.82</v>
      </c>
      <c r="G265" s="1">
        <v>32000</v>
      </c>
      <c r="H265" s="1">
        <f t="shared" si="5"/>
        <v>0</v>
      </c>
      <c r="I265" s="89"/>
      <c r="J265" s="423"/>
      <c r="K265" s="204"/>
      <c r="L265" s="204"/>
      <c r="M265" s="203"/>
      <c r="N265" s="388"/>
      <c r="O265" s="48"/>
      <c r="P265" s="370"/>
      <c r="Q265" s="48"/>
    </row>
    <row r="266" spans="1:17" s="438" customFormat="1" ht="15" x14ac:dyDescent="0.25">
      <c r="A266" s="1">
        <v>262</v>
      </c>
      <c r="B266" s="32" t="s">
        <v>702</v>
      </c>
      <c r="C266" s="32">
        <v>8274</v>
      </c>
      <c r="D266" s="32">
        <v>24000</v>
      </c>
      <c r="E266" s="1" t="s">
        <v>80</v>
      </c>
      <c r="F266" s="295">
        <v>253.47</v>
      </c>
      <c r="G266" s="1">
        <v>24000</v>
      </c>
      <c r="H266" s="1">
        <f t="shared" si="5"/>
        <v>0</v>
      </c>
      <c r="I266" s="89"/>
      <c r="J266" s="423"/>
      <c r="K266" s="204"/>
      <c r="L266" s="204"/>
      <c r="M266" s="203"/>
      <c r="N266" s="388"/>
      <c r="O266" s="48"/>
      <c r="P266" s="370"/>
      <c r="Q266" s="48"/>
    </row>
    <row r="267" spans="1:17" s="438" customFormat="1" ht="15" x14ac:dyDescent="0.25">
      <c r="A267" s="1">
        <v>263</v>
      </c>
      <c r="B267" s="32" t="s">
        <v>702</v>
      </c>
      <c r="C267" s="32">
        <v>9370</v>
      </c>
      <c r="D267" s="32">
        <v>35000</v>
      </c>
      <c r="E267" s="1" t="s">
        <v>80</v>
      </c>
      <c r="F267" s="295">
        <v>366.85</v>
      </c>
      <c r="G267" s="1">
        <v>35000</v>
      </c>
      <c r="H267" s="1">
        <f t="shared" si="5"/>
        <v>0</v>
      </c>
      <c r="I267" s="89"/>
      <c r="J267" s="423"/>
      <c r="K267" s="204"/>
      <c r="L267" s="204"/>
      <c r="M267" s="203"/>
      <c r="N267" s="388"/>
      <c r="O267" s="48"/>
      <c r="P267" s="370"/>
      <c r="Q267" s="48"/>
    </row>
    <row r="268" spans="1:17" s="438" customFormat="1" ht="15" x14ac:dyDescent="0.25">
      <c r="A268" s="1">
        <v>264</v>
      </c>
      <c r="B268" s="32" t="s">
        <v>702</v>
      </c>
      <c r="C268" s="32">
        <v>9477</v>
      </c>
      <c r="D268" s="32">
        <v>24000</v>
      </c>
      <c r="E268" s="1" t="s">
        <v>80</v>
      </c>
      <c r="F268" s="295">
        <v>253.47</v>
      </c>
      <c r="G268" s="1">
        <v>24000</v>
      </c>
      <c r="H268" s="1">
        <f t="shared" si="5"/>
        <v>0</v>
      </c>
      <c r="I268" s="89"/>
      <c r="J268" s="423"/>
      <c r="K268" s="204"/>
      <c r="L268" s="204"/>
      <c r="M268" s="203"/>
      <c r="N268" s="388"/>
      <c r="O268" s="48"/>
      <c r="P268" s="370"/>
      <c r="Q268" s="48"/>
    </row>
    <row r="269" spans="1:17" s="438" customFormat="1" ht="15" x14ac:dyDescent="0.25">
      <c r="A269" s="1">
        <v>265</v>
      </c>
      <c r="B269" s="32" t="s">
        <v>702</v>
      </c>
      <c r="C269" s="32">
        <v>6775</v>
      </c>
      <c r="D269" s="32">
        <v>39000</v>
      </c>
      <c r="E269" s="1" t="s">
        <v>80</v>
      </c>
      <c r="F269" s="295">
        <v>434.97</v>
      </c>
      <c r="G269" s="1">
        <v>39000</v>
      </c>
      <c r="H269" s="1">
        <f t="shared" si="5"/>
        <v>0</v>
      </c>
      <c r="I269" s="89"/>
      <c r="J269" s="423"/>
      <c r="K269" s="204"/>
      <c r="L269" s="204"/>
      <c r="M269" s="203"/>
      <c r="N269" s="388"/>
      <c r="O269" s="48"/>
      <c r="P269" s="370"/>
      <c r="Q269" s="48"/>
    </row>
    <row r="270" spans="1:17" s="438" customFormat="1" ht="15" x14ac:dyDescent="0.25">
      <c r="A270" s="1">
        <v>266</v>
      </c>
      <c r="B270" s="32" t="s">
        <v>702</v>
      </c>
      <c r="C270" s="32">
        <v>4256</v>
      </c>
      <c r="D270" s="32">
        <v>25000</v>
      </c>
      <c r="E270" s="1" t="s">
        <v>80</v>
      </c>
      <c r="F270" s="295">
        <v>278.22000000000003</v>
      </c>
      <c r="G270" s="1">
        <v>25000</v>
      </c>
      <c r="H270" s="1">
        <f t="shared" si="5"/>
        <v>0</v>
      </c>
      <c r="I270" s="89"/>
      <c r="J270" s="423"/>
      <c r="K270" s="204"/>
      <c r="L270" s="204"/>
      <c r="M270" s="203"/>
      <c r="N270" s="388"/>
      <c r="O270" s="48"/>
      <c r="P270" s="370"/>
      <c r="Q270" s="48"/>
    </row>
    <row r="271" spans="1:17" s="438" customFormat="1" ht="15" x14ac:dyDescent="0.25">
      <c r="A271" s="1">
        <v>267</v>
      </c>
      <c r="B271" s="32" t="s">
        <v>702</v>
      </c>
      <c r="C271" s="32">
        <v>7326</v>
      </c>
      <c r="D271" s="32">
        <v>15178</v>
      </c>
      <c r="E271" s="1" t="s">
        <v>80</v>
      </c>
      <c r="F271" s="295">
        <v>182.97</v>
      </c>
      <c r="G271" s="1">
        <v>15178</v>
      </c>
      <c r="H271" s="1">
        <f t="shared" si="5"/>
        <v>0</v>
      </c>
      <c r="I271" s="89"/>
      <c r="J271" s="423"/>
      <c r="K271" s="204"/>
      <c r="L271" s="204"/>
      <c r="M271" s="203"/>
      <c r="N271" s="388"/>
      <c r="O271" s="48"/>
      <c r="P271" s="370"/>
      <c r="Q271" s="48"/>
    </row>
    <row r="272" spans="1:17" s="438" customFormat="1" ht="15" x14ac:dyDescent="0.25">
      <c r="A272" s="1">
        <v>268</v>
      </c>
      <c r="B272" s="32" t="s">
        <v>702</v>
      </c>
      <c r="C272" s="32">
        <v>7526</v>
      </c>
      <c r="D272" s="32">
        <v>20000</v>
      </c>
      <c r="E272" s="1" t="s">
        <v>80</v>
      </c>
      <c r="F272" s="295">
        <v>222.82</v>
      </c>
      <c r="G272" s="1">
        <v>20000</v>
      </c>
      <c r="H272" s="1">
        <f t="shared" si="5"/>
        <v>0</v>
      </c>
      <c r="I272" s="89"/>
      <c r="J272" s="423"/>
      <c r="K272" s="204"/>
      <c r="L272" s="204"/>
      <c r="M272" s="203"/>
      <c r="N272" s="388"/>
      <c r="O272" s="48"/>
      <c r="P272" s="370"/>
      <c r="Q272" s="48"/>
    </row>
    <row r="273" spans="1:17" s="438" customFormat="1" ht="15" x14ac:dyDescent="0.25">
      <c r="A273" s="1">
        <v>269</v>
      </c>
      <c r="B273" s="32" t="s">
        <v>702</v>
      </c>
      <c r="C273" s="32">
        <v>8327</v>
      </c>
      <c r="D273" s="32">
        <v>13000</v>
      </c>
      <c r="E273" s="1" t="s">
        <v>80</v>
      </c>
      <c r="F273" s="295">
        <v>144.13</v>
      </c>
      <c r="G273" s="1">
        <v>13000</v>
      </c>
      <c r="H273" s="1">
        <f t="shared" si="5"/>
        <v>0</v>
      </c>
      <c r="I273" s="89"/>
      <c r="J273" s="423"/>
      <c r="K273" s="204"/>
      <c r="L273" s="204"/>
      <c r="M273" s="203"/>
      <c r="N273" s="388"/>
      <c r="O273" s="48"/>
      <c r="P273" s="370"/>
      <c r="Q273" s="48"/>
    </row>
    <row r="274" spans="1:17" s="438" customFormat="1" ht="15" x14ac:dyDescent="0.25">
      <c r="A274" s="1">
        <v>270</v>
      </c>
      <c r="B274" s="32" t="s">
        <v>702</v>
      </c>
      <c r="C274" s="32" t="s">
        <v>633</v>
      </c>
      <c r="D274" s="32">
        <v>100</v>
      </c>
      <c r="E274" s="1" t="s">
        <v>80</v>
      </c>
      <c r="F274" s="295">
        <v>1.08</v>
      </c>
      <c r="G274" s="1">
        <v>100</v>
      </c>
      <c r="H274" s="1">
        <f t="shared" si="5"/>
        <v>0</v>
      </c>
      <c r="I274" s="89"/>
      <c r="J274" s="423"/>
      <c r="K274" s="204"/>
      <c r="L274" s="204"/>
      <c r="M274" s="203"/>
      <c r="N274" s="388"/>
      <c r="O274" s="48"/>
      <c r="P274" s="370"/>
      <c r="Q274" s="48"/>
    </row>
    <row r="275" spans="1:17" s="438" customFormat="1" ht="15" x14ac:dyDescent="0.25">
      <c r="A275" s="1">
        <v>271</v>
      </c>
      <c r="B275" s="32" t="s">
        <v>703</v>
      </c>
      <c r="C275" s="32">
        <v>3177</v>
      </c>
      <c r="D275" s="32">
        <v>33000</v>
      </c>
      <c r="E275" s="1" t="s">
        <v>80</v>
      </c>
      <c r="F275" s="295">
        <v>356.75</v>
      </c>
      <c r="G275" s="1">
        <v>33000</v>
      </c>
      <c r="H275" s="1">
        <f t="shared" si="5"/>
        <v>0</v>
      </c>
      <c r="I275" s="89"/>
      <c r="J275" s="423"/>
      <c r="K275" s="204"/>
      <c r="L275" s="204"/>
      <c r="M275" s="203"/>
      <c r="N275" s="388"/>
      <c r="O275" s="48"/>
      <c r="P275" s="370"/>
      <c r="Q275" s="48"/>
    </row>
    <row r="276" spans="1:17" s="438" customFormat="1" ht="15" x14ac:dyDescent="0.25">
      <c r="A276" s="1">
        <v>272</v>
      </c>
      <c r="B276" s="32" t="s">
        <v>703</v>
      </c>
      <c r="C276" s="32">
        <v>5.1999999999999998E-3</v>
      </c>
      <c r="D276" s="32">
        <v>17000</v>
      </c>
      <c r="E276" s="1" t="s">
        <v>80</v>
      </c>
      <c r="F276" s="295">
        <v>189.67</v>
      </c>
      <c r="G276" s="1">
        <v>17000</v>
      </c>
      <c r="H276" s="1">
        <f t="shared" si="5"/>
        <v>0</v>
      </c>
      <c r="I276" s="89"/>
      <c r="J276" s="423"/>
      <c r="K276" s="204"/>
      <c r="L276" s="204"/>
      <c r="M276" s="203"/>
      <c r="N276" s="388"/>
      <c r="O276" s="48"/>
      <c r="P276" s="370"/>
      <c r="Q276" s="48"/>
    </row>
    <row r="277" spans="1:17" s="438" customFormat="1" ht="15" x14ac:dyDescent="0.25">
      <c r="A277" s="1">
        <v>273</v>
      </c>
      <c r="B277" s="32" t="s">
        <v>703</v>
      </c>
      <c r="C277" s="32">
        <v>5.1000000000000004E-3</v>
      </c>
      <c r="D277" s="32">
        <v>17000</v>
      </c>
      <c r="E277" s="1" t="s">
        <v>80</v>
      </c>
      <c r="F277" s="295">
        <v>189.67</v>
      </c>
      <c r="G277" s="1">
        <v>17000</v>
      </c>
      <c r="H277" s="1">
        <f t="shared" si="5"/>
        <v>0</v>
      </c>
      <c r="I277" s="89"/>
      <c r="J277" s="423"/>
      <c r="K277" s="204"/>
      <c r="L277" s="204"/>
      <c r="M277" s="203"/>
      <c r="N277" s="388"/>
      <c r="O277" s="48"/>
      <c r="P277" s="370"/>
      <c r="Q277" s="48"/>
    </row>
    <row r="278" spans="1:17" s="438" customFormat="1" ht="15" x14ac:dyDescent="0.25">
      <c r="A278" s="1">
        <v>274</v>
      </c>
      <c r="B278" s="32" t="s">
        <v>703</v>
      </c>
      <c r="C278" s="32" t="s">
        <v>634</v>
      </c>
      <c r="D278" s="32">
        <v>2500</v>
      </c>
      <c r="E278" s="1"/>
      <c r="F278" s="1">
        <v>27.84</v>
      </c>
      <c r="G278" s="1">
        <v>2500</v>
      </c>
      <c r="H278" s="1">
        <f t="shared" si="5"/>
        <v>0</v>
      </c>
      <c r="I278" s="89"/>
      <c r="J278" s="423"/>
      <c r="K278" s="204"/>
      <c r="L278" s="204"/>
      <c r="M278" s="203"/>
      <c r="N278" s="388"/>
      <c r="O278" s="48"/>
      <c r="P278" s="370"/>
      <c r="Q278" s="48"/>
    </row>
    <row r="279" spans="1:17" s="438" customFormat="1" ht="15" x14ac:dyDescent="0.25">
      <c r="A279" s="1">
        <v>275</v>
      </c>
      <c r="B279" s="32" t="s">
        <v>703</v>
      </c>
      <c r="C279" s="32">
        <v>1598</v>
      </c>
      <c r="D279" s="32">
        <v>11000</v>
      </c>
      <c r="E279" s="1" t="s">
        <v>80</v>
      </c>
      <c r="F279" s="295">
        <v>122.37</v>
      </c>
      <c r="G279" s="1">
        <v>11000</v>
      </c>
      <c r="H279" s="1">
        <f t="shared" si="5"/>
        <v>0</v>
      </c>
      <c r="I279" s="89"/>
      <c r="J279" s="423"/>
      <c r="K279" s="204"/>
      <c r="L279" s="204"/>
      <c r="M279" s="203"/>
      <c r="N279" s="388"/>
      <c r="O279" s="48"/>
      <c r="P279" s="370"/>
      <c r="Q279" s="48"/>
    </row>
    <row r="280" spans="1:17" s="438" customFormat="1" ht="15" x14ac:dyDescent="0.25">
      <c r="A280" s="1">
        <v>276</v>
      </c>
      <c r="B280" s="32" t="s">
        <v>703</v>
      </c>
      <c r="C280" s="32">
        <v>1215</v>
      </c>
      <c r="D280" s="32">
        <v>18000</v>
      </c>
      <c r="E280" s="1" t="s">
        <v>80</v>
      </c>
      <c r="F280" s="295">
        <v>200.82</v>
      </c>
      <c r="G280" s="1">
        <v>18000</v>
      </c>
      <c r="H280" s="1">
        <f t="shared" si="5"/>
        <v>0</v>
      </c>
      <c r="I280" s="89"/>
      <c r="J280" s="423"/>
      <c r="K280" s="204"/>
      <c r="L280" s="204"/>
      <c r="M280" s="203"/>
      <c r="N280" s="388"/>
      <c r="O280" s="48"/>
      <c r="P280" s="370"/>
      <c r="Q280" s="48"/>
    </row>
    <row r="281" spans="1:17" s="438" customFormat="1" ht="15" x14ac:dyDescent="0.25">
      <c r="A281" s="1">
        <v>277</v>
      </c>
      <c r="B281" s="32" t="s">
        <v>703</v>
      </c>
      <c r="C281" s="32" t="s">
        <v>30</v>
      </c>
      <c r="D281" s="32">
        <v>4500</v>
      </c>
      <c r="E281" s="1"/>
      <c r="F281" s="295">
        <v>50.57</v>
      </c>
      <c r="G281" s="1">
        <v>4500</v>
      </c>
      <c r="H281" s="1">
        <f t="shared" si="5"/>
        <v>0</v>
      </c>
      <c r="I281" s="89"/>
      <c r="J281" s="423"/>
      <c r="K281" s="204"/>
      <c r="L281" s="204"/>
      <c r="M281" s="203"/>
      <c r="N281" s="388"/>
      <c r="O281" s="48"/>
      <c r="P281" s="370"/>
      <c r="Q281" s="48"/>
    </row>
    <row r="282" spans="1:17" s="438" customFormat="1" ht="15" x14ac:dyDescent="0.25">
      <c r="A282" s="1">
        <v>278</v>
      </c>
      <c r="B282" s="32" t="s">
        <v>703</v>
      </c>
      <c r="C282" s="32">
        <v>4.7000000000000002E-3</v>
      </c>
      <c r="D282" s="32">
        <v>16000</v>
      </c>
      <c r="E282" s="1" t="s">
        <v>80</v>
      </c>
      <c r="F282" s="295">
        <v>178.22</v>
      </c>
      <c r="G282" s="1">
        <v>16000</v>
      </c>
      <c r="H282" s="1">
        <f t="shared" si="5"/>
        <v>0</v>
      </c>
      <c r="I282" s="89"/>
      <c r="J282" s="423"/>
      <c r="K282" s="204"/>
      <c r="L282" s="204"/>
      <c r="M282" s="203"/>
      <c r="N282" s="388"/>
      <c r="O282" s="48"/>
      <c r="P282" s="370"/>
      <c r="Q282" s="48"/>
    </row>
    <row r="283" spans="1:17" s="438" customFormat="1" ht="15" x14ac:dyDescent="0.25">
      <c r="A283" s="1">
        <v>279</v>
      </c>
      <c r="B283" s="32" t="s">
        <v>703</v>
      </c>
      <c r="C283" s="32">
        <v>1547</v>
      </c>
      <c r="D283" s="32">
        <v>17000</v>
      </c>
      <c r="E283" s="1" t="s">
        <v>80</v>
      </c>
      <c r="F283" s="295">
        <v>189.67</v>
      </c>
      <c r="G283" s="1">
        <v>17000</v>
      </c>
      <c r="H283" s="1">
        <f t="shared" ref="H283:H346" si="6">D283-G283</f>
        <v>0</v>
      </c>
      <c r="I283" s="89"/>
      <c r="J283" s="423"/>
      <c r="K283" s="204"/>
      <c r="L283" s="204"/>
      <c r="M283" s="203"/>
      <c r="N283" s="388"/>
      <c r="O283" s="48"/>
      <c r="P283" s="370"/>
      <c r="Q283" s="48"/>
    </row>
    <row r="284" spans="1:17" s="438" customFormat="1" ht="15" x14ac:dyDescent="0.25">
      <c r="A284" s="1">
        <v>280</v>
      </c>
      <c r="B284" s="32" t="s">
        <v>703</v>
      </c>
      <c r="C284" s="32">
        <v>7581</v>
      </c>
      <c r="D284" s="32">
        <v>28000</v>
      </c>
      <c r="E284" s="1" t="s">
        <v>80</v>
      </c>
      <c r="F284" s="295">
        <v>306.87</v>
      </c>
      <c r="G284" s="1">
        <v>28000</v>
      </c>
      <c r="H284" s="1">
        <f t="shared" si="6"/>
        <v>0</v>
      </c>
      <c r="I284" s="89"/>
      <c r="J284" s="423"/>
      <c r="K284" s="204"/>
      <c r="L284" s="204"/>
      <c r="M284" s="203"/>
      <c r="N284" s="388"/>
      <c r="O284" s="48"/>
      <c r="P284" s="370"/>
      <c r="Q284" s="48"/>
    </row>
    <row r="285" spans="1:17" s="438" customFormat="1" ht="15" x14ac:dyDescent="0.25">
      <c r="A285" s="1">
        <v>281</v>
      </c>
      <c r="B285" s="32" t="s">
        <v>703</v>
      </c>
      <c r="C285" s="32">
        <v>7874</v>
      </c>
      <c r="D285" s="32">
        <v>15000</v>
      </c>
      <c r="E285" s="1" t="s">
        <v>80</v>
      </c>
      <c r="F285" s="295">
        <v>167.15</v>
      </c>
      <c r="G285" s="1">
        <v>15000</v>
      </c>
      <c r="H285" s="1">
        <f t="shared" si="6"/>
        <v>0</v>
      </c>
      <c r="I285" s="89"/>
      <c r="J285" s="423"/>
      <c r="K285" s="204"/>
      <c r="L285" s="204"/>
      <c r="M285" s="203"/>
      <c r="N285" s="388"/>
      <c r="O285" s="48"/>
      <c r="P285" s="370"/>
      <c r="Q285" s="48"/>
    </row>
    <row r="286" spans="1:17" s="438" customFormat="1" ht="15" x14ac:dyDescent="0.25">
      <c r="A286" s="1">
        <v>282</v>
      </c>
      <c r="B286" s="32" t="s">
        <v>703</v>
      </c>
      <c r="C286" s="32">
        <v>6.2799999999999995E-2</v>
      </c>
      <c r="D286" s="32">
        <v>15000</v>
      </c>
      <c r="E286" s="1" t="s">
        <v>80</v>
      </c>
      <c r="F286" s="295">
        <v>167.15</v>
      </c>
      <c r="G286" s="1">
        <v>15000</v>
      </c>
      <c r="H286" s="1">
        <f t="shared" si="6"/>
        <v>0</v>
      </c>
      <c r="I286" s="89"/>
      <c r="J286" s="423"/>
      <c r="K286" s="204"/>
      <c r="L286" s="204"/>
      <c r="M286" s="203"/>
      <c r="N286" s="388"/>
      <c r="O286" s="48"/>
      <c r="P286" s="370"/>
      <c r="Q286" s="48"/>
    </row>
    <row r="287" spans="1:17" s="438" customFormat="1" ht="15" x14ac:dyDescent="0.25">
      <c r="A287" s="1">
        <v>283</v>
      </c>
      <c r="B287" s="32" t="s">
        <v>703</v>
      </c>
      <c r="C287" s="32">
        <v>3482</v>
      </c>
      <c r="D287" s="32">
        <v>22000</v>
      </c>
      <c r="E287" s="1" t="s">
        <v>80</v>
      </c>
      <c r="F287" s="295">
        <v>245.96</v>
      </c>
      <c r="G287" s="1">
        <v>22000</v>
      </c>
      <c r="H287" s="1">
        <f t="shared" si="6"/>
        <v>0</v>
      </c>
      <c r="I287" s="89"/>
      <c r="J287" s="423"/>
      <c r="K287" s="204"/>
      <c r="L287" s="204"/>
      <c r="M287" s="203"/>
      <c r="N287" s="388"/>
      <c r="O287" s="48"/>
      <c r="P287" s="370"/>
      <c r="Q287" s="48"/>
    </row>
    <row r="288" spans="1:17" s="438" customFormat="1" ht="15" x14ac:dyDescent="0.25">
      <c r="A288" s="1">
        <v>284</v>
      </c>
      <c r="B288" s="32" t="s">
        <v>703</v>
      </c>
      <c r="C288" s="32">
        <v>5103</v>
      </c>
      <c r="D288" s="32">
        <v>22000</v>
      </c>
      <c r="E288" s="1" t="s">
        <v>80</v>
      </c>
      <c r="F288" s="295">
        <v>245.96</v>
      </c>
      <c r="G288" s="1">
        <v>22000</v>
      </c>
      <c r="H288" s="1">
        <f t="shared" si="6"/>
        <v>0</v>
      </c>
      <c r="I288" s="89"/>
      <c r="J288" s="423"/>
      <c r="K288" s="204"/>
      <c r="L288" s="204"/>
      <c r="M288" s="203"/>
      <c r="N288" s="388"/>
      <c r="O288" s="48"/>
      <c r="P288" s="370"/>
      <c r="Q288" s="48"/>
    </row>
    <row r="289" spans="1:17" s="438" customFormat="1" ht="15" x14ac:dyDescent="0.25">
      <c r="A289" s="1">
        <v>285</v>
      </c>
      <c r="B289" s="32" t="s">
        <v>703</v>
      </c>
      <c r="C289" s="32">
        <v>9458</v>
      </c>
      <c r="D289" s="32">
        <v>30000</v>
      </c>
      <c r="E289" s="1" t="s">
        <v>80</v>
      </c>
      <c r="F289" s="295">
        <v>334.82</v>
      </c>
      <c r="G289" s="1">
        <v>30000</v>
      </c>
      <c r="H289" s="1">
        <f t="shared" si="6"/>
        <v>0</v>
      </c>
      <c r="I289" s="89"/>
      <c r="J289" s="423"/>
      <c r="K289" s="204"/>
      <c r="L289" s="204"/>
      <c r="M289" s="203"/>
      <c r="N289" s="388"/>
      <c r="O289" s="48"/>
      <c r="P289" s="370"/>
      <c r="Q289" s="48"/>
    </row>
    <row r="290" spans="1:17" s="438" customFormat="1" ht="15.75" thickBot="1" x14ac:dyDescent="0.3">
      <c r="A290" s="1">
        <v>286</v>
      </c>
      <c r="B290" s="32" t="s">
        <v>703</v>
      </c>
      <c r="C290" s="32">
        <v>3655</v>
      </c>
      <c r="D290" s="32">
        <v>22000</v>
      </c>
      <c r="E290" s="1" t="s">
        <v>80</v>
      </c>
      <c r="F290" s="295">
        <v>245.96</v>
      </c>
      <c r="G290" s="1">
        <v>22000</v>
      </c>
      <c r="H290" s="1">
        <f t="shared" si="6"/>
        <v>0</v>
      </c>
      <c r="I290" s="89"/>
      <c r="J290" s="423"/>
      <c r="K290" s="204"/>
      <c r="L290" s="204"/>
      <c r="M290" s="203"/>
      <c r="N290" s="388"/>
      <c r="O290" s="48"/>
      <c r="P290" s="370"/>
      <c r="Q290" s="48"/>
    </row>
    <row r="291" spans="1:17" s="438" customFormat="1" ht="15.75" thickBot="1" x14ac:dyDescent="0.3">
      <c r="A291" s="1">
        <v>287</v>
      </c>
      <c r="B291" s="32" t="s">
        <v>703</v>
      </c>
      <c r="C291" s="32">
        <v>2.7000000000000001E-3</v>
      </c>
      <c r="D291" s="32">
        <v>25000</v>
      </c>
      <c r="E291" s="1" t="s">
        <v>80</v>
      </c>
      <c r="F291" s="295">
        <v>278.22000000000003</v>
      </c>
      <c r="G291" s="1">
        <v>25000</v>
      </c>
      <c r="H291" s="1">
        <f t="shared" si="6"/>
        <v>0</v>
      </c>
      <c r="I291" s="89"/>
      <c r="J291" s="423"/>
      <c r="K291" s="204"/>
      <c r="L291" s="204"/>
      <c r="M291" s="203"/>
      <c r="N291" s="103">
        <f>2361463-2360622</f>
        <v>841</v>
      </c>
      <c r="O291" s="359" t="s">
        <v>699</v>
      </c>
      <c r="P291" s="367" t="s">
        <v>620</v>
      </c>
      <c r="Q291" s="360">
        <f>867-841</f>
        <v>26</v>
      </c>
    </row>
    <row r="292" spans="1:17" s="440" customFormat="1" ht="15" x14ac:dyDescent="0.25">
      <c r="A292" s="1">
        <v>288</v>
      </c>
      <c r="B292" s="32" t="s">
        <v>704</v>
      </c>
      <c r="C292" s="32" t="s">
        <v>30</v>
      </c>
      <c r="D292" s="32">
        <v>5000</v>
      </c>
      <c r="E292" s="1" t="s">
        <v>80</v>
      </c>
      <c r="F292" s="295">
        <v>55.85</v>
      </c>
      <c r="G292" s="1">
        <v>5000</v>
      </c>
      <c r="H292" s="1">
        <f t="shared" si="6"/>
        <v>0</v>
      </c>
      <c r="I292" s="89"/>
      <c r="J292" s="423"/>
      <c r="K292" s="204"/>
      <c r="L292" s="204"/>
      <c r="M292" s="203"/>
      <c r="N292" s="388"/>
      <c r="O292" s="48"/>
      <c r="P292" s="370"/>
      <c r="Q292" s="48"/>
    </row>
    <row r="293" spans="1:17" s="440" customFormat="1" ht="15" x14ac:dyDescent="0.25">
      <c r="A293" s="1">
        <v>289</v>
      </c>
      <c r="B293" s="32" t="s">
        <v>704</v>
      </c>
      <c r="C293" s="32">
        <v>7677</v>
      </c>
      <c r="D293" s="32">
        <v>17000</v>
      </c>
      <c r="E293" s="1" t="s">
        <v>80</v>
      </c>
      <c r="F293" s="295">
        <v>189.45</v>
      </c>
      <c r="G293" s="1">
        <v>17000</v>
      </c>
      <c r="H293" s="1">
        <f t="shared" si="6"/>
        <v>0</v>
      </c>
      <c r="I293" s="89"/>
      <c r="J293" s="423"/>
      <c r="K293" s="204"/>
      <c r="L293" s="204"/>
      <c r="M293" s="203"/>
      <c r="N293" s="388"/>
      <c r="O293" s="48"/>
      <c r="P293" s="370"/>
      <c r="Q293" s="48"/>
    </row>
    <row r="294" spans="1:17" s="440" customFormat="1" ht="15" x14ac:dyDescent="0.25">
      <c r="A294" s="1">
        <v>290</v>
      </c>
      <c r="B294" s="32" t="s">
        <v>704</v>
      </c>
      <c r="C294" s="32">
        <v>8758</v>
      </c>
      <c r="D294" s="32">
        <v>13000</v>
      </c>
      <c r="E294" s="1" t="s">
        <v>80</v>
      </c>
      <c r="F294" s="295">
        <v>144.13</v>
      </c>
      <c r="G294" s="1">
        <v>13000</v>
      </c>
      <c r="H294" s="1">
        <f t="shared" si="6"/>
        <v>0</v>
      </c>
      <c r="I294" s="89"/>
      <c r="J294" s="423"/>
      <c r="K294" s="204"/>
      <c r="L294" s="204"/>
      <c r="M294" s="203"/>
      <c r="N294" s="388"/>
      <c r="O294" s="48"/>
      <c r="P294" s="370"/>
      <c r="Q294" s="48"/>
    </row>
    <row r="295" spans="1:17" s="440" customFormat="1" ht="15" x14ac:dyDescent="0.25">
      <c r="A295" s="1">
        <v>291</v>
      </c>
      <c r="B295" s="32" t="s">
        <v>704</v>
      </c>
      <c r="C295" s="32">
        <v>3877</v>
      </c>
      <c r="D295" s="32">
        <v>30000</v>
      </c>
      <c r="E295" s="1" t="s">
        <v>80</v>
      </c>
      <c r="F295" s="295">
        <v>334.82</v>
      </c>
      <c r="G295" s="1">
        <v>30000</v>
      </c>
      <c r="H295" s="1">
        <f t="shared" si="6"/>
        <v>0</v>
      </c>
      <c r="I295" s="89"/>
      <c r="J295" s="423"/>
      <c r="K295" s="204"/>
      <c r="L295" s="204"/>
      <c r="M295" s="203"/>
      <c r="N295" s="388"/>
      <c r="O295" s="48"/>
      <c r="P295" s="370"/>
      <c r="Q295" s="48"/>
    </row>
    <row r="296" spans="1:17" s="440" customFormat="1" ht="15" x14ac:dyDescent="0.25">
      <c r="A296" s="1">
        <v>292</v>
      </c>
      <c r="B296" s="32" t="s">
        <v>704</v>
      </c>
      <c r="C296" s="32">
        <v>5604</v>
      </c>
      <c r="D296" s="32">
        <v>25000</v>
      </c>
      <c r="E296" s="1" t="s">
        <v>80</v>
      </c>
      <c r="F296" s="295">
        <v>278.22000000000003</v>
      </c>
      <c r="G296" s="1">
        <v>25000</v>
      </c>
      <c r="H296" s="1">
        <f t="shared" si="6"/>
        <v>0</v>
      </c>
      <c r="I296" s="89"/>
      <c r="J296" s="423"/>
      <c r="K296" s="204"/>
      <c r="L296" s="204"/>
      <c r="M296" s="203"/>
      <c r="N296" s="388"/>
      <c r="O296" s="48"/>
      <c r="P296" s="370"/>
      <c r="Q296" s="48"/>
    </row>
    <row r="297" spans="1:17" s="440" customFormat="1" ht="15" x14ac:dyDescent="0.25">
      <c r="A297" s="1">
        <v>293</v>
      </c>
      <c r="B297" s="32" t="s">
        <v>704</v>
      </c>
      <c r="C297" s="32">
        <v>9457</v>
      </c>
      <c r="D297" s="32">
        <v>31000</v>
      </c>
      <c r="E297" s="1" t="s">
        <v>80</v>
      </c>
      <c r="F297" s="295">
        <v>328.57</v>
      </c>
      <c r="G297" s="1">
        <v>31000</v>
      </c>
      <c r="H297" s="1">
        <f t="shared" si="6"/>
        <v>0</v>
      </c>
      <c r="I297" s="89"/>
      <c r="J297" s="423"/>
      <c r="K297" s="204"/>
      <c r="L297" s="204"/>
      <c r="M297" s="203"/>
      <c r="N297" s="388"/>
      <c r="O297" s="48"/>
      <c r="P297" s="370"/>
      <c r="Q297" s="48"/>
    </row>
    <row r="298" spans="1:17" s="440" customFormat="1" ht="15" x14ac:dyDescent="0.25">
      <c r="A298" s="1">
        <v>294</v>
      </c>
      <c r="B298" s="32" t="s">
        <v>704</v>
      </c>
      <c r="C298" s="32">
        <v>9653</v>
      </c>
      <c r="D298" s="32">
        <v>30000</v>
      </c>
      <c r="E298" s="1" t="s">
        <v>80</v>
      </c>
      <c r="F298" s="295">
        <v>334.82</v>
      </c>
      <c r="G298" s="1">
        <v>30000</v>
      </c>
      <c r="H298" s="1">
        <f t="shared" si="6"/>
        <v>0</v>
      </c>
      <c r="I298" s="89"/>
      <c r="J298" s="423"/>
      <c r="K298" s="204"/>
      <c r="L298" s="204"/>
      <c r="M298" s="203"/>
      <c r="N298" s="388"/>
      <c r="O298" s="48"/>
      <c r="P298" s="370"/>
      <c r="Q298" s="48"/>
    </row>
    <row r="299" spans="1:17" s="440" customFormat="1" ht="15" x14ac:dyDescent="0.25">
      <c r="A299" s="1">
        <v>295</v>
      </c>
      <c r="B299" s="32" t="s">
        <v>704</v>
      </c>
      <c r="C299" s="32">
        <v>2004</v>
      </c>
      <c r="D299" s="32">
        <v>21000</v>
      </c>
      <c r="E299" s="1" t="s">
        <v>80</v>
      </c>
      <c r="F299" s="295">
        <v>233.67</v>
      </c>
      <c r="G299" s="1">
        <v>21000</v>
      </c>
      <c r="H299" s="1">
        <f t="shared" si="6"/>
        <v>0</v>
      </c>
      <c r="I299" s="89"/>
      <c r="J299" s="423"/>
      <c r="K299" s="204"/>
      <c r="L299" s="204"/>
      <c r="M299" s="203"/>
      <c r="N299" s="388"/>
      <c r="O299" s="48"/>
      <c r="P299" s="370"/>
      <c r="Q299" s="48"/>
    </row>
    <row r="300" spans="1:17" s="440" customFormat="1" ht="15" x14ac:dyDescent="0.25">
      <c r="A300" s="1">
        <v>296</v>
      </c>
      <c r="B300" s="32" t="s">
        <v>704</v>
      </c>
      <c r="C300" s="32">
        <v>9509</v>
      </c>
      <c r="D300" s="32">
        <v>26000</v>
      </c>
      <c r="E300" s="1" t="s">
        <v>80</v>
      </c>
      <c r="F300" s="295">
        <v>289.37</v>
      </c>
      <c r="G300" s="1">
        <v>26000</v>
      </c>
      <c r="H300" s="1">
        <f t="shared" si="6"/>
        <v>0</v>
      </c>
      <c r="I300" s="89"/>
      <c r="J300" s="423"/>
      <c r="K300" s="204"/>
      <c r="L300" s="204"/>
      <c r="M300" s="203"/>
      <c r="N300" s="388"/>
      <c r="O300" s="48"/>
      <c r="P300" s="370"/>
      <c r="Q300" s="48"/>
    </row>
    <row r="301" spans="1:17" s="440" customFormat="1" ht="15" x14ac:dyDescent="0.25">
      <c r="A301" s="1">
        <v>297</v>
      </c>
      <c r="B301" s="32" t="s">
        <v>704</v>
      </c>
      <c r="C301" s="32">
        <v>9511</v>
      </c>
      <c r="D301" s="32">
        <v>20000</v>
      </c>
      <c r="E301" s="1" t="s">
        <v>80</v>
      </c>
      <c r="F301" s="295">
        <v>222.82</v>
      </c>
      <c r="G301" s="1">
        <v>20000</v>
      </c>
      <c r="H301" s="1">
        <f t="shared" si="6"/>
        <v>0</v>
      </c>
      <c r="I301" s="89"/>
      <c r="J301" s="423"/>
      <c r="K301" s="204"/>
      <c r="L301" s="204"/>
      <c r="M301" s="203"/>
      <c r="N301" s="388"/>
      <c r="O301" s="48"/>
      <c r="P301" s="370"/>
      <c r="Q301" s="48"/>
    </row>
    <row r="302" spans="1:17" s="440" customFormat="1" ht="15.75" thickBot="1" x14ac:dyDescent="0.3">
      <c r="A302" s="1">
        <v>298</v>
      </c>
      <c r="B302" s="32" t="s">
        <v>704</v>
      </c>
      <c r="C302" s="32">
        <v>8511</v>
      </c>
      <c r="D302" s="32">
        <v>30000</v>
      </c>
      <c r="E302" s="1" t="s">
        <v>80</v>
      </c>
      <c r="F302" s="295">
        <v>334.82</v>
      </c>
      <c r="G302" s="1">
        <v>30000</v>
      </c>
      <c r="H302" s="1">
        <f t="shared" si="6"/>
        <v>0</v>
      </c>
      <c r="I302" s="89"/>
      <c r="J302" s="423"/>
      <c r="K302" s="204"/>
      <c r="L302" s="204"/>
      <c r="M302" s="203"/>
      <c r="N302" s="388"/>
      <c r="O302" s="48"/>
      <c r="P302" s="370"/>
      <c r="Q302" s="48"/>
    </row>
    <row r="303" spans="1:17" s="440" customFormat="1" ht="15.75" thickBot="1" x14ac:dyDescent="0.3">
      <c r="A303" s="1">
        <v>299</v>
      </c>
      <c r="B303" s="32" t="s">
        <v>704</v>
      </c>
      <c r="C303" s="32">
        <v>4713</v>
      </c>
      <c r="D303" s="32">
        <v>35000</v>
      </c>
      <c r="E303" s="1" t="s">
        <v>80</v>
      </c>
      <c r="F303" s="295">
        <v>389.79</v>
      </c>
      <c r="G303" s="1">
        <v>35000</v>
      </c>
      <c r="H303" s="1">
        <f t="shared" si="6"/>
        <v>0</v>
      </c>
      <c r="I303" s="89"/>
      <c r="J303" s="423"/>
      <c r="K303" s="204"/>
      <c r="L303" s="204"/>
      <c r="M303" s="203"/>
      <c r="N303" s="103">
        <f>2244463-2243622</f>
        <v>841</v>
      </c>
      <c r="O303" s="359" t="s">
        <v>699</v>
      </c>
      <c r="P303" s="367" t="s">
        <v>620</v>
      </c>
      <c r="Q303" s="360">
        <f>867-841</f>
        <v>26</v>
      </c>
    </row>
    <row r="304" spans="1:17" s="441" customFormat="1" ht="15" x14ac:dyDescent="0.25">
      <c r="A304" s="1">
        <v>300</v>
      </c>
      <c r="B304" s="32" t="s">
        <v>705</v>
      </c>
      <c r="C304" s="32" t="s">
        <v>633</v>
      </c>
      <c r="D304" s="32">
        <v>210</v>
      </c>
      <c r="E304" s="1" t="s">
        <v>80</v>
      </c>
      <c r="F304" s="295">
        <v>2.09</v>
      </c>
      <c r="G304" s="1">
        <v>210</v>
      </c>
      <c r="H304" s="1">
        <f t="shared" si="6"/>
        <v>0</v>
      </c>
      <c r="I304" s="89"/>
      <c r="J304" s="423"/>
      <c r="K304" s="204"/>
      <c r="L304" s="204"/>
      <c r="M304" s="203"/>
      <c r="N304" s="388"/>
      <c r="O304" s="48"/>
      <c r="P304" s="370"/>
      <c r="Q304" s="48"/>
    </row>
    <row r="305" spans="1:17" s="441" customFormat="1" ht="15" x14ac:dyDescent="0.25">
      <c r="A305" s="1">
        <v>301</v>
      </c>
      <c r="B305" s="32" t="s">
        <v>705</v>
      </c>
      <c r="C305" s="32">
        <v>8820</v>
      </c>
      <c r="D305" s="32">
        <v>15000</v>
      </c>
      <c r="E305" s="1" t="s">
        <v>80</v>
      </c>
      <c r="F305" s="1">
        <v>167.15</v>
      </c>
      <c r="G305" s="1">
        <v>15000</v>
      </c>
      <c r="H305" s="1">
        <f t="shared" si="6"/>
        <v>0</v>
      </c>
      <c r="I305" s="89"/>
      <c r="J305" s="423"/>
      <c r="K305" s="204"/>
      <c r="L305" s="204"/>
      <c r="M305" s="203"/>
      <c r="N305" s="388"/>
      <c r="O305" s="48"/>
      <c r="P305" s="370"/>
      <c r="Q305" s="48"/>
    </row>
    <row r="306" spans="1:17" s="441" customFormat="1" ht="15" x14ac:dyDescent="0.25">
      <c r="A306" s="1">
        <v>302</v>
      </c>
      <c r="B306" s="32" t="s">
        <v>705</v>
      </c>
      <c r="C306" s="32">
        <v>4.4499999999999998E-2</v>
      </c>
      <c r="D306" s="32">
        <v>14000</v>
      </c>
      <c r="E306" s="1" t="s">
        <v>80</v>
      </c>
      <c r="F306" s="295">
        <v>155.84</v>
      </c>
      <c r="G306" s="1">
        <v>14000</v>
      </c>
      <c r="H306" s="1">
        <f t="shared" si="6"/>
        <v>0</v>
      </c>
      <c r="I306" s="89"/>
      <c r="J306" s="423"/>
      <c r="K306" s="204"/>
      <c r="L306" s="204"/>
      <c r="M306" s="203"/>
      <c r="N306" s="388"/>
      <c r="O306" s="48"/>
      <c r="P306" s="370"/>
      <c r="Q306" s="48"/>
    </row>
    <row r="307" spans="1:17" s="441" customFormat="1" ht="15" x14ac:dyDescent="0.25">
      <c r="A307" s="1">
        <v>303</v>
      </c>
      <c r="B307" s="32" t="s">
        <v>705</v>
      </c>
      <c r="C307" s="32" t="s">
        <v>30</v>
      </c>
      <c r="D307" s="32">
        <v>4500</v>
      </c>
      <c r="E307" s="1" t="s">
        <v>80</v>
      </c>
      <c r="F307" s="295">
        <v>50.85</v>
      </c>
      <c r="G307" s="1">
        <v>4500</v>
      </c>
      <c r="H307" s="1">
        <f t="shared" si="6"/>
        <v>0</v>
      </c>
      <c r="I307" s="89"/>
      <c r="J307" s="423"/>
      <c r="K307" s="204"/>
      <c r="L307" s="204"/>
      <c r="M307" s="203"/>
      <c r="N307" s="388"/>
      <c r="O307" s="48"/>
      <c r="P307" s="370"/>
      <c r="Q307" s="48"/>
    </row>
    <row r="308" spans="1:17" s="441" customFormat="1" ht="15" x14ac:dyDescent="0.25">
      <c r="A308" s="1">
        <v>304</v>
      </c>
      <c r="B308" s="32" t="s">
        <v>705</v>
      </c>
      <c r="C308" s="32">
        <v>5820</v>
      </c>
      <c r="D308" s="32">
        <v>15000</v>
      </c>
      <c r="E308" s="1" t="s">
        <v>80</v>
      </c>
      <c r="F308" s="295">
        <v>167.15</v>
      </c>
      <c r="G308" s="1">
        <v>15000</v>
      </c>
      <c r="H308" s="1">
        <f t="shared" si="6"/>
        <v>0</v>
      </c>
      <c r="I308" s="89"/>
      <c r="J308" s="423"/>
      <c r="K308" s="204"/>
      <c r="L308" s="204"/>
      <c r="M308" s="203"/>
      <c r="N308" s="388"/>
      <c r="O308" s="48"/>
      <c r="P308" s="370"/>
      <c r="Q308" s="48"/>
    </row>
    <row r="309" spans="1:17" s="441" customFormat="1" ht="15" x14ac:dyDescent="0.25">
      <c r="A309" s="1">
        <v>305</v>
      </c>
      <c r="B309" s="32" t="s">
        <v>705</v>
      </c>
      <c r="C309" s="32">
        <v>7413</v>
      </c>
      <c r="D309" s="32">
        <v>35000</v>
      </c>
      <c r="E309" s="1" t="s">
        <v>80</v>
      </c>
      <c r="F309" s="295">
        <v>387.72</v>
      </c>
      <c r="G309" s="1">
        <v>35000</v>
      </c>
      <c r="H309" s="1">
        <f t="shared" si="6"/>
        <v>0</v>
      </c>
      <c r="I309" s="89"/>
      <c r="J309" s="423"/>
      <c r="K309" s="204"/>
      <c r="L309" s="204"/>
      <c r="M309" s="203"/>
      <c r="N309" s="388"/>
      <c r="O309" s="48"/>
      <c r="P309" s="370"/>
      <c r="Q309" s="48"/>
    </row>
    <row r="310" spans="1:17" s="441" customFormat="1" ht="15" x14ac:dyDescent="0.25">
      <c r="A310" s="1">
        <v>306</v>
      </c>
      <c r="B310" s="32" t="s">
        <v>705</v>
      </c>
      <c r="C310" s="32">
        <v>8137</v>
      </c>
      <c r="D310" s="32">
        <v>28000</v>
      </c>
      <c r="E310" s="1" t="s">
        <v>80</v>
      </c>
      <c r="F310" s="295">
        <v>311.82</v>
      </c>
      <c r="G310" s="1">
        <v>28000</v>
      </c>
      <c r="H310" s="1">
        <f t="shared" si="6"/>
        <v>0</v>
      </c>
      <c r="I310" s="89"/>
      <c r="J310" s="423"/>
      <c r="K310" s="204"/>
      <c r="L310" s="204"/>
      <c r="M310" s="203"/>
      <c r="N310" s="388"/>
      <c r="O310" s="48"/>
      <c r="P310" s="370"/>
      <c r="Q310" s="48"/>
    </row>
    <row r="311" spans="1:17" s="441" customFormat="1" ht="15" x14ac:dyDescent="0.25">
      <c r="A311" s="1">
        <v>307</v>
      </c>
      <c r="B311" s="32" t="s">
        <v>705</v>
      </c>
      <c r="C311" s="32">
        <v>8382</v>
      </c>
      <c r="D311" s="32">
        <v>22000</v>
      </c>
      <c r="E311" s="1" t="s">
        <v>80</v>
      </c>
      <c r="F311" s="295">
        <v>242.71</v>
      </c>
      <c r="G311" s="1">
        <v>22000</v>
      </c>
      <c r="H311" s="1">
        <f t="shared" si="6"/>
        <v>0</v>
      </c>
      <c r="I311" s="89"/>
      <c r="J311" s="423"/>
      <c r="K311" s="204"/>
      <c r="L311" s="204"/>
      <c r="M311" s="203"/>
      <c r="N311" s="388"/>
      <c r="O311" s="48"/>
      <c r="P311" s="370"/>
      <c r="Q311" s="48"/>
    </row>
    <row r="312" spans="1:17" s="441" customFormat="1" ht="15.75" thickBot="1" x14ac:dyDescent="0.3">
      <c r="A312" s="1">
        <v>308</v>
      </c>
      <c r="B312" s="32" t="s">
        <v>705</v>
      </c>
      <c r="C312" s="32">
        <v>7672</v>
      </c>
      <c r="D312" s="32">
        <v>24000</v>
      </c>
      <c r="E312" s="1" t="s">
        <v>80</v>
      </c>
      <c r="F312" s="295">
        <v>258.27</v>
      </c>
      <c r="G312" s="1">
        <v>24000</v>
      </c>
      <c r="H312" s="1">
        <f t="shared" si="6"/>
        <v>0</v>
      </c>
      <c r="I312" s="89"/>
      <c r="J312" s="423"/>
      <c r="K312" s="204"/>
      <c r="L312" s="204"/>
      <c r="M312" s="203"/>
      <c r="N312" s="388"/>
      <c r="O312" s="48"/>
      <c r="P312" s="370"/>
      <c r="Q312" s="48"/>
    </row>
    <row r="313" spans="1:17" s="441" customFormat="1" ht="15.75" thickBot="1" x14ac:dyDescent="0.3">
      <c r="A313" s="1">
        <v>309</v>
      </c>
      <c r="B313" s="32" t="s">
        <v>705</v>
      </c>
      <c r="C313" s="32">
        <v>4295</v>
      </c>
      <c r="D313" s="32">
        <v>22000</v>
      </c>
      <c r="E313" s="1" t="s">
        <v>80</v>
      </c>
      <c r="F313" s="295">
        <v>242.71</v>
      </c>
      <c r="G313" s="1">
        <v>22000</v>
      </c>
      <c r="H313" s="1">
        <f t="shared" si="6"/>
        <v>0</v>
      </c>
      <c r="I313" s="89"/>
      <c r="J313" s="423"/>
      <c r="K313" s="204"/>
      <c r="L313" s="204"/>
      <c r="M313" s="203"/>
      <c r="N313" s="103">
        <f>2176920-2024173</f>
        <v>152747</v>
      </c>
      <c r="O313" s="359" t="s">
        <v>706</v>
      </c>
      <c r="P313" s="367" t="s">
        <v>620</v>
      </c>
      <c r="Q313" s="360">
        <f>154452-152747</f>
        <v>1705</v>
      </c>
    </row>
    <row r="314" spans="1:17" s="443" customFormat="1" ht="15" x14ac:dyDescent="0.25">
      <c r="A314" s="1">
        <v>310</v>
      </c>
      <c r="B314" s="32" t="s">
        <v>705</v>
      </c>
      <c r="C314" s="32">
        <v>7258</v>
      </c>
      <c r="D314" s="32">
        <v>26500</v>
      </c>
      <c r="E314" s="1" t="s">
        <v>80</v>
      </c>
      <c r="F314" s="295">
        <v>292.85000000000002</v>
      </c>
      <c r="G314" s="1">
        <v>26500</v>
      </c>
      <c r="H314" s="1">
        <f t="shared" si="6"/>
        <v>0</v>
      </c>
      <c r="I314" s="89"/>
      <c r="J314" s="423"/>
      <c r="K314" s="204"/>
      <c r="L314" s="204"/>
      <c r="M314" s="203"/>
      <c r="N314" s="388"/>
      <c r="O314" s="48"/>
      <c r="P314" s="370"/>
      <c r="Q314" s="48"/>
    </row>
    <row r="315" spans="1:17" s="442" customFormat="1" ht="15" x14ac:dyDescent="0.25">
      <c r="A315" s="1">
        <v>311</v>
      </c>
      <c r="B315" s="32" t="s">
        <v>707</v>
      </c>
      <c r="C315" s="32" t="s">
        <v>634</v>
      </c>
      <c r="D315" s="32">
        <v>2500</v>
      </c>
      <c r="E315" s="1" t="s">
        <v>80</v>
      </c>
      <c r="F315" s="295">
        <v>27.85</v>
      </c>
      <c r="G315" s="1">
        <v>2500</v>
      </c>
      <c r="H315" s="1">
        <f t="shared" si="6"/>
        <v>0</v>
      </c>
      <c r="I315" s="89"/>
      <c r="J315" s="423"/>
      <c r="K315" s="204"/>
      <c r="L315" s="204"/>
      <c r="M315" s="203"/>
      <c r="N315" s="388"/>
      <c r="O315" s="48"/>
      <c r="P315" s="370"/>
      <c r="Q315" s="48"/>
    </row>
    <row r="316" spans="1:17" s="442" customFormat="1" ht="15" x14ac:dyDescent="0.25">
      <c r="A316" s="1">
        <v>312</v>
      </c>
      <c r="B316" s="32" t="s">
        <v>707</v>
      </c>
      <c r="C316" s="32">
        <v>9311</v>
      </c>
      <c r="D316" s="32">
        <v>28000</v>
      </c>
      <c r="E316" s="1" t="s">
        <v>80</v>
      </c>
      <c r="F316" s="295">
        <v>311.57</v>
      </c>
      <c r="G316" s="1">
        <v>28000</v>
      </c>
      <c r="H316" s="1">
        <f t="shared" si="6"/>
        <v>0</v>
      </c>
      <c r="I316" s="89"/>
      <c r="J316" s="423"/>
      <c r="K316" s="204"/>
      <c r="L316" s="204"/>
      <c r="M316" s="203"/>
      <c r="N316" s="388"/>
      <c r="O316" s="48"/>
      <c r="P316" s="370"/>
      <c r="Q316" s="48"/>
    </row>
    <row r="317" spans="1:17" s="442" customFormat="1" ht="15" x14ac:dyDescent="0.25">
      <c r="A317" s="1">
        <v>313</v>
      </c>
      <c r="B317" s="32" t="s">
        <v>707</v>
      </c>
      <c r="C317" s="32" t="s">
        <v>30</v>
      </c>
      <c r="D317" s="32">
        <v>5000</v>
      </c>
      <c r="E317" s="1" t="s">
        <v>80</v>
      </c>
      <c r="F317" s="295">
        <v>55.45</v>
      </c>
      <c r="G317" s="1">
        <v>5000</v>
      </c>
      <c r="H317" s="1">
        <f t="shared" si="6"/>
        <v>0</v>
      </c>
      <c r="I317" s="89"/>
      <c r="J317" s="423"/>
      <c r="K317" s="204"/>
      <c r="L317" s="204"/>
      <c r="M317" s="203"/>
      <c r="N317" s="388"/>
      <c r="O317" s="48"/>
      <c r="P317" s="370"/>
      <c r="Q317" s="48"/>
    </row>
    <row r="318" spans="1:17" s="442" customFormat="1" ht="15" x14ac:dyDescent="0.25">
      <c r="A318" s="1">
        <v>314</v>
      </c>
      <c r="B318" s="32" t="s">
        <v>707</v>
      </c>
      <c r="C318" s="32">
        <v>9426</v>
      </c>
      <c r="D318" s="32">
        <v>11000</v>
      </c>
      <c r="E318" s="1" t="s">
        <v>80</v>
      </c>
      <c r="F318" s="295">
        <v>122.37</v>
      </c>
      <c r="G318" s="1">
        <v>11000</v>
      </c>
      <c r="H318" s="1">
        <f t="shared" si="6"/>
        <v>0</v>
      </c>
      <c r="I318" s="89"/>
      <c r="J318" s="423"/>
      <c r="K318" s="204"/>
      <c r="L318" s="204"/>
      <c r="M318" s="203"/>
      <c r="N318" s="388"/>
      <c r="O318" s="48"/>
      <c r="P318" s="370"/>
      <c r="Q318" s="48"/>
    </row>
    <row r="319" spans="1:17" s="442" customFormat="1" ht="15" x14ac:dyDescent="0.25">
      <c r="A319" s="1">
        <v>315</v>
      </c>
      <c r="B319" s="32" t="s">
        <v>707</v>
      </c>
      <c r="C319" s="32">
        <v>9235</v>
      </c>
      <c r="D319" s="32">
        <v>27000</v>
      </c>
      <c r="E319" s="1" t="s">
        <v>80</v>
      </c>
      <c r="F319" s="295">
        <v>300.61</v>
      </c>
      <c r="G319" s="1">
        <v>27000</v>
      </c>
      <c r="H319" s="1">
        <f t="shared" si="6"/>
        <v>0</v>
      </c>
      <c r="I319" s="89"/>
      <c r="J319" s="423"/>
      <c r="K319" s="204"/>
      <c r="L319" s="204"/>
      <c r="M319" s="203"/>
      <c r="N319" s="388"/>
      <c r="O319" s="48"/>
      <c r="P319" s="370"/>
      <c r="Q319" s="48"/>
    </row>
    <row r="320" spans="1:17" s="442" customFormat="1" ht="15" x14ac:dyDescent="0.25">
      <c r="A320" s="1">
        <v>316</v>
      </c>
      <c r="B320" s="32" t="s">
        <v>707</v>
      </c>
      <c r="C320" s="32">
        <v>8823</v>
      </c>
      <c r="D320" s="32">
        <v>24000</v>
      </c>
      <c r="E320" s="1" t="s">
        <v>80</v>
      </c>
      <c r="F320" s="295">
        <v>267.82</v>
      </c>
      <c r="G320" s="1">
        <v>24000</v>
      </c>
      <c r="H320" s="1">
        <f t="shared" si="6"/>
        <v>0</v>
      </c>
      <c r="I320" s="89"/>
      <c r="J320" s="423"/>
      <c r="K320" s="204"/>
      <c r="L320" s="204"/>
      <c r="M320" s="203"/>
      <c r="N320" s="388"/>
      <c r="O320" s="48"/>
      <c r="P320" s="370"/>
      <c r="Q320" s="48"/>
    </row>
    <row r="321" spans="1:17" s="442" customFormat="1" ht="15" x14ac:dyDescent="0.25">
      <c r="A321" s="1">
        <v>317</v>
      </c>
      <c r="B321" s="32" t="s">
        <v>707</v>
      </c>
      <c r="C321" s="32">
        <v>7247</v>
      </c>
      <c r="D321" s="32">
        <v>24000</v>
      </c>
      <c r="E321" s="1" t="s">
        <v>80</v>
      </c>
      <c r="F321" s="295">
        <v>267.63</v>
      </c>
      <c r="G321" s="1">
        <v>24000</v>
      </c>
      <c r="H321" s="1">
        <f t="shared" si="6"/>
        <v>0</v>
      </c>
      <c r="I321" s="89"/>
      <c r="J321" s="423"/>
      <c r="K321" s="204"/>
      <c r="L321" s="204"/>
      <c r="M321" s="203"/>
      <c r="N321" s="388"/>
      <c r="O321" s="48"/>
      <c r="P321" s="370"/>
      <c r="Q321" s="48"/>
    </row>
    <row r="322" spans="1:17" s="442" customFormat="1" ht="15" x14ac:dyDescent="0.25">
      <c r="A322" s="1">
        <v>318</v>
      </c>
      <c r="B322" s="32" t="s">
        <v>707</v>
      </c>
      <c r="C322" s="32">
        <v>5056</v>
      </c>
      <c r="D322" s="32">
        <v>20000</v>
      </c>
      <c r="E322" s="1" t="s">
        <v>80</v>
      </c>
      <c r="F322" s="295">
        <v>222.82</v>
      </c>
      <c r="G322" s="1">
        <v>20000</v>
      </c>
      <c r="H322" s="1">
        <f t="shared" si="6"/>
        <v>0</v>
      </c>
      <c r="I322" s="89"/>
      <c r="J322" s="423"/>
      <c r="K322" s="204"/>
      <c r="L322" s="204"/>
      <c r="M322" s="203"/>
      <c r="N322" s="388"/>
      <c r="O322" s="48"/>
      <c r="P322" s="370"/>
      <c r="Q322" s="48"/>
    </row>
    <row r="323" spans="1:17" s="442" customFormat="1" ht="15.75" thickBot="1" x14ac:dyDescent="0.3">
      <c r="A323" s="1">
        <v>319</v>
      </c>
      <c r="B323" s="32" t="s">
        <v>707</v>
      </c>
      <c r="C323" s="32">
        <v>2.87E-2</v>
      </c>
      <c r="D323" s="32">
        <v>25000</v>
      </c>
      <c r="E323" s="1" t="s">
        <v>80</v>
      </c>
      <c r="F323" s="295">
        <v>278.22000000000003</v>
      </c>
      <c r="G323" s="1">
        <v>25000</v>
      </c>
      <c r="H323" s="1">
        <f t="shared" si="6"/>
        <v>0</v>
      </c>
      <c r="I323" s="89"/>
      <c r="J323" s="423"/>
      <c r="K323" s="204"/>
      <c r="L323" s="204"/>
      <c r="M323" s="203"/>
      <c r="N323" s="388"/>
      <c r="O323" s="48"/>
      <c r="P323" s="370"/>
      <c r="Q323" s="48"/>
    </row>
    <row r="324" spans="1:17" s="442" customFormat="1" ht="15.75" thickBot="1" x14ac:dyDescent="0.3">
      <c r="A324" s="1">
        <v>320</v>
      </c>
      <c r="B324" s="32" t="s">
        <v>707</v>
      </c>
      <c r="C324" s="32" t="s">
        <v>633</v>
      </c>
      <c r="D324" s="32">
        <v>120</v>
      </c>
      <c r="E324" s="1" t="s">
        <v>80</v>
      </c>
      <c r="F324" s="295">
        <v>1.0900000000000001</v>
      </c>
      <c r="G324" s="1">
        <v>120</v>
      </c>
      <c r="H324" s="1">
        <f t="shared" si="6"/>
        <v>0</v>
      </c>
      <c r="I324" s="89"/>
      <c r="J324" s="423"/>
      <c r="K324" s="204"/>
      <c r="L324" s="204"/>
      <c r="M324" s="203"/>
      <c r="N324" s="103">
        <f>1993631-1990883</f>
        <v>2748</v>
      </c>
      <c r="O324" s="359" t="s">
        <v>708</v>
      </c>
      <c r="P324" s="367" t="s">
        <v>620</v>
      </c>
      <c r="Q324" s="360">
        <f>4452-2748</f>
        <v>1704</v>
      </c>
    </row>
    <row r="325" spans="1:17" s="443" customFormat="1" ht="15" x14ac:dyDescent="0.25">
      <c r="A325" s="1">
        <v>321</v>
      </c>
      <c r="B325" s="32" t="s">
        <v>709</v>
      </c>
      <c r="C325" s="32">
        <v>8820</v>
      </c>
      <c r="D325" s="32">
        <v>15000</v>
      </c>
      <c r="E325" s="1" t="s">
        <v>80</v>
      </c>
      <c r="F325" s="295">
        <v>167.15</v>
      </c>
      <c r="G325" s="1">
        <v>15000</v>
      </c>
      <c r="H325" s="1">
        <f t="shared" si="6"/>
        <v>0</v>
      </c>
      <c r="I325" s="89"/>
      <c r="J325" s="423"/>
      <c r="K325" s="204"/>
      <c r="L325" s="204"/>
      <c r="M325" s="203"/>
      <c r="N325" s="388"/>
      <c r="O325" s="48"/>
      <c r="P325" s="370"/>
      <c r="Q325" s="48"/>
    </row>
    <row r="326" spans="1:17" s="443" customFormat="1" ht="15" x14ac:dyDescent="0.25">
      <c r="A326" s="1">
        <v>322</v>
      </c>
      <c r="B326" s="32" t="s">
        <v>709</v>
      </c>
      <c r="C326" s="32">
        <v>1446</v>
      </c>
      <c r="D326" s="32">
        <v>13000</v>
      </c>
      <c r="E326" s="1" t="s">
        <v>80</v>
      </c>
      <c r="F326" s="295">
        <v>144.13</v>
      </c>
      <c r="G326" s="1">
        <v>13000</v>
      </c>
      <c r="H326" s="1">
        <f t="shared" si="6"/>
        <v>0</v>
      </c>
      <c r="I326" s="89"/>
      <c r="J326" s="423"/>
      <c r="K326" s="204"/>
      <c r="L326" s="204"/>
      <c r="M326" s="203"/>
      <c r="N326" s="388"/>
      <c r="O326" s="48"/>
      <c r="P326" s="370"/>
      <c r="Q326" s="48"/>
    </row>
    <row r="327" spans="1:17" s="443" customFormat="1" ht="15" x14ac:dyDescent="0.25">
      <c r="A327" s="1">
        <v>323</v>
      </c>
      <c r="B327" s="32" t="s">
        <v>709</v>
      </c>
      <c r="C327" s="32">
        <v>2496</v>
      </c>
      <c r="D327" s="32">
        <v>18000</v>
      </c>
      <c r="E327" s="1" t="s">
        <v>80</v>
      </c>
      <c r="F327" s="295">
        <v>200.82</v>
      </c>
      <c r="G327" s="1">
        <v>18000</v>
      </c>
      <c r="H327" s="1">
        <f t="shared" si="6"/>
        <v>0</v>
      </c>
      <c r="I327" s="89"/>
      <c r="J327" s="423"/>
      <c r="K327" s="204"/>
      <c r="L327" s="204"/>
      <c r="M327" s="203"/>
      <c r="N327" s="388"/>
      <c r="O327" s="48"/>
      <c r="P327" s="370"/>
      <c r="Q327" s="48"/>
    </row>
    <row r="328" spans="1:17" s="443" customFormat="1" ht="15" x14ac:dyDescent="0.25">
      <c r="A328" s="1">
        <v>324</v>
      </c>
      <c r="B328" s="32" t="s">
        <v>709</v>
      </c>
      <c r="C328" s="32">
        <v>6957</v>
      </c>
      <c r="D328" s="32">
        <v>17000</v>
      </c>
      <c r="E328" s="1" t="s">
        <v>80</v>
      </c>
      <c r="F328" s="295">
        <v>189.67</v>
      </c>
      <c r="G328" s="1">
        <v>17000</v>
      </c>
      <c r="H328" s="1">
        <f t="shared" si="6"/>
        <v>0</v>
      </c>
      <c r="I328" s="89"/>
      <c r="J328" s="423"/>
      <c r="K328" s="204"/>
      <c r="L328" s="204"/>
      <c r="M328" s="203"/>
      <c r="N328" s="388"/>
      <c r="O328" s="48"/>
      <c r="P328" s="370"/>
      <c r="Q328" s="48"/>
    </row>
    <row r="329" spans="1:17" s="443" customFormat="1" ht="15" x14ac:dyDescent="0.25">
      <c r="A329" s="1">
        <v>325</v>
      </c>
      <c r="B329" s="32" t="s">
        <v>709</v>
      </c>
      <c r="C329" s="32">
        <v>1827</v>
      </c>
      <c r="D329" s="32">
        <v>12000</v>
      </c>
      <c r="E329" s="1" t="s">
        <v>80</v>
      </c>
      <c r="F329" s="295">
        <v>133.41999999999999</v>
      </c>
      <c r="G329" s="1">
        <v>12000</v>
      </c>
      <c r="H329" s="1">
        <f t="shared" si="6"/>
        <v>0</v>
      </c>
      <c r="I329" s="89"/>
      <c r="J329" s="423"/>
      <c r="K329" s="204"/>
      <c r="L329" s="204"/>
      <c r="M329" s="203"/>
      <c r="N329" s="388"/>
      <c r="O329" s="48"/>
      <c r="P329" s="370"/>
      <c r="Q329" s="48"/>
    </row>
    <row r="330" spans="1:17" s="443" customFormat="1" ht="15" x14ac:dyDescent="0.25">
      <c r="A330" s="1">
        <v>326</v>
      </c>
      <c r="B330" s="32" t="s">
        <v>709</v>
      </c>
      <c r="C330" s="32">
        <v>3839</v>
      </c>
      <c r="D330" s="32">
        <v>14000</v>
      </c>
      <c r="E330" s="1" t="s">
        <v>80</v>
      </c>
      <c r="F330" s="295">
        <v>155.44999999999999</v>
      </c>
      <c r="G330" s="1">
        <v>14000</v>
      </c>
      <c r="H330" s="1">
        <f t="shared" si="6"/>
        <v>0</v>
      </c>
      <c r="I330" s="89"/>
      <c r="J330" s="423"/>
      <c r="K330" s="204"/>
      <c r="L330" s="204"/>
      <c r="M330" s="203"/>
      <c r="N330" s="388"/>
      <c r="O330" s="48"/>
      <c r="P330" s="370"/>
      <c r="Q330" s="48"/>
    </row>
    <row r="331" spans="1:17" s="443" customFormat="1" ht="15" x14ac:dyDescent="0.25">
      <c r="A331" s="1">
        <v>327</v>
      </c>
      <c r="B331" s="32" t="s">
        <v>709</v>
      </c>
      <c r="C331" s="32">
        <v>2819</v>
      </c>
      <c r="D331" s="32">
        <v>30000</v>
      </c>
      <c r="E331" s="1" t="s">
        <v>80</v>
      </c>
      <c r="F331" s="295">
        <v>334.82</v>
      </c>
      <c r="G331" s="1">
        <v>30000</v>
      </c>
      <c r="H331" s="1">
        <f t="shared" si="6"/>
        <v>0</v>
      </c>
      <c r="I331" s="89"/>
      <c r="J331" s="423"/>
      <c r="K331" s="204"/>
      <c r="L331" s="204"/>
      <c r="M331" s="203"/>
      <c r="N331" s="388"/>
      <c r="O331" s="48"/>
      <c r="P331" s="370"/>
      <c r="Q331" s="48"/>
    </row>
    <row r="332" spans="1:17" s="443" customFormat="1" ht="15" x14ac:dyDescent="0.25">
      <c r="A332" s="1">
        <v>328</v>
      </c>
      <c r="B332" s="32" t="s">
        <v>709</v>
      </c>
      <c r="C332" s="32">
        <v>7762</v>
      </c>
      <c r="D332" s="32">
        <v>29000</v>
      </c>
      <c r="E332" s="1" t="s">
        <v>80</v>
      </c>
      <c r="F332" s="295">
        <v>323.82</v>
      </c>
      <c r="G332" s="1">
        <v>29000</v>
      </c>
      <c r="H332" s="1">
        <f t="shared" si="6"/>
        <v>0</v>
      </c>
      <c r="I332" s="89"/>
      <c r="J332" s="423"/>
      <c r="K332" s="204"/>
      <c r="L332" s="204"/>
      <c r="M332" s="203"/>
      <c r="N332" s="388"/>
      <c r="O332" s="48"/>
      <c r="P332" s="370"/>
      <c r="Q332" s="48"/>
    </row>
    <row r="333" spans="1:17" s="443" customFormat="1" ht="15" x14ac:dyDescent="0.25">
      <c r="A333" s="1">
        <v>329</v>
      </c>
      <c r="B333" s="32" t="s">
        <v>709</v>
      </c>
      <c r="C333" s="32">
        <v>9077</v>
      </c>
      <c r="D333" s="32">
        <v>29000</v>
      </c>
      <c r="E333" s="1" t="s">
        <v>80</v>
      </c>
      <c r="F333" s="295">
        <v>323.82</v>
      </c>
      <c r="G333" s="1">
        <v>29000</v>
      </c>
      <c r="H333" s="1">
        <f t="shared" si="6"/>
        <v>0</v>
      </c>
      <c r="I333" s="89"/>
      <c r="J333" s="423"/>
      <c r="K333" s="204"/>
      <c r="L333" s="204"/>
      <c r="M333" s="203"/>
      <c r="N333" s="388"/>
      <c r="O333" s="48"/>
      <c r="P333" s="370"/>
      <c r="Q333" s="48"/>
    </row>
    <row r="334" spans="1:17" s="443" customFormat="1" ht="15" x14ac:dyDescent="0.25">
      <c r="A334" s="1">
        <v>330</v>
      </c>
      <c r="B334" s="32" t="s">
        <v>709</v>
      </c>
      <c r="C334" s="32">
        <v>9075</v>
      </c>
      <c r="D334" s="32">
        <v>13000</v>
      </c>
      <c r="E334" s="1" t="s">
        <v>80</v>
      </c>
      <c r="F334" s="295">
        <v>144.13</v>
      </c>
      <c r="G334" s="1">
        <v>13000</v>
      </c>
      <c r="H334" s="1">
        <f t="shared" si="6"/>
        <v>0</v>
      </c>
      <c r="I334" s="89"/>
      <c r="J334" s="423"/>
      <c r="K334" s="204"/>
      <c r="L334" s="204"/>
      <c r="M334" s="203"/>
      <c r="N334" s="388"/>
      <c r="O334" s="48"/>
      <c r="P334" s="370"/>
      <c r="Q334" s="48"/>
    </row>
    <row r="335" spans="1:17" s="443" customFormat="1" ht="15" x14ac:dyDescent="0.25">
      <c r="A335" s="1">
        <v>331</v>
      </c>
      <c r="B335" s="32" t="s">
        <v>709</v>
      </c>
      <c r="C335" s="32">
        <v>8014</v>
      </c>
      <c r="D335" s="32">
        <v>10000</v>
      </c>
      <c r="E335" s="1" t="s">
        <v>80</v>
      </c>
      <c r="F335" s="295">
        <v>111.42</v>
      </c>
      <c r="G335" s="1">
        <v>10000</v>
      </c>
      <c r="H335" s="1">
        <f t="shared" si="6"/>
        <v>0</v>
      </c>
      <c r="I335" s="89"/>
      <c r="J335" s="423"/>
      <c r="K335" s="204"/>
      <c r="L335" s="204"/>
      <c r="M335" s="203"/>
      <c r="N335" s="388"/>
      <c r="O335" s="48"/>
      <c r="P335" s="370"/>
      <c r="Q335" s="48"/>
    </row>
    <row r="336" spans="1:17" s="443" customFormat="1" ht="15" x14ac:dyDescent="0.25">
      <c r="A336" s="1">
        <v>332</v>
      </c>
      <c r="B336" s="32" t="s">
        <v>709</v>
      </c>
      <c r="C336" s="32">
        <v>9866</v>
      </c>
      <c r="D336" s="32">
        <v>25000</v>
      </c>
      <c r="E336" s="1" t="s">
        <v>80</v>
      </c>
      <c r="F336" s="295">
        <v>278.22000000000003</v>
      </c>
      <c r="G336" s="1">
        <v>25000</v>
      </c>
      <c r="H336" s="1">
        <f t="shared" si="6"/>
        <v>0</v>
      </c>
      <c r="I336" s="89"/>
      <c r="J336" s="423"/>
      <c r="K336" s="204"/>
      <c r="L336" s="204"/>
      <c r="M336" s="203"/>
      <c r="N336" s="388"/>
      <c r="O336" s="48"/>
      <c r="P336" s="370"/>
      <c r="Q336" s="48"/>
    </row>
    <row r="337" spans="1:17" s="443" customFormat="1" ht="15" x14ac:dyDescent="0.25">
      <c r="A337" s="1">
        <v>333</v>
      </c>
      <c r="B337" s="32" t="s">
        <v>709</v>
      </c>
      <c r="C337" s="32">
        <v>7680</v>
      </c>
      <c r="D337" s="32">
        <v>23000</v>
      </c>
      <c r="E337" s="1" t="s">
        <v>80</v>
      </c>
      <c r="F337" s="295">
        <v>256.38</v>
      </c>
      <c r="G337" s="1">
        <v>23000</v>
      </c>
      <c r="H337" s="1">
        <f t="shared" si="6"/>
        <v>0</v>
      </c>
      <c r="I337" s="89"/>
      <c r="J337" s="423"/>
      <c r="K337" s="204"/>
      <c r="L337" s="204"/>
      <c r="M337" s="203"/>
      <c r="N337" s="388"/>
      <c r="O337" s="48"/>
      <c r="P337" s="370"/>
      <c r="Q337" s="48"/>
    </row>
    <row r="338" spans="1:17" s="443" customFormat="1" ht="15" x14ac:dyDescent="0.25">
      <c r="A338" s="1">
        <v>334</v>
      </c>
      <c r="B338" s="32" t="s">
        <v>709</v>
      </c>
      <c r="C338" s="32">
        <v>2939</v>
      </c>
      <c r="D338" s="32">
        <v>27000</v>
      </c>
      <c r="E338" s="1" t="s">
        <v>80</v>
      </c>
      <c r="F338" s="295">
        <v>300.68</v>
      </c>
      <c r="G338" s="1">
        <v>27000</v>
      </c>
      <c r="H338" s="1">
        <f t="shared" si="6"/>
        <v>0</v>
      </c>
      <c r="I338" s="89"/>
      <c r="J338" s="423"/>
      <c r="K338" s="204"/>
      <c r="L338" s="204"/>
      <c r="M338" s="203"/>
      <c r="N338" s="388"/>
      <c r="O338" s="48"/>
      <c r="P338" s="370"/>
      <c r="Q338" s="48"/>
    </row>
    <row r="339" spans="1:17" s="443" customFormat="1" ht="15" x14ac:dyDescent="0.25">
      <c r="A339" s="1">
        <v>335</v>
      </c>
      <c r="B339" s="32" t="s">
        <v>709</v>
      </c>
      <c r="C339" s="32">
        <v>3386</v>
      </c>
      <c r="D339" s="32">
        <v>17000</v>
      </c>
      <c r="E339" s="1" t="s">
        <v>80</v>
      </c>
      <c r="F339" s="295">
        <v>189.67</v>
      </c>
      <c r="G339" s="1">
        <v>17000</v>
      </c>
      <c r="H339" s="1">
        <f t="shared" si="6"/>
        <v>0</v>
      </c>
      <c r="I339" s="89"/>
      <c r="J339" s="423"/>
      <c r="K339" s="204"/>
      <c r="L339" s="204"/>
      <c r="M339" s="203"/>
      <c r="N339" s="388"/>
      <c r="O339" s="48"/>
      <c r="P339" s="370"/>
      <c r="Q339" s="48"/>
    </row>
    <row r="340" spans="1:17" s="443" customFormat="1" ht="15.75" thickBot="1" x14ac:dyDescent="0.3">
      <c r="A340" s="1">
        <v>336</v>
      </c>
      <c r="B340" s="32" t="s">
        <v>709</v>
      </c>
      <c r="C340" s="32">
        <v>4932</v>
      </c>
      <c r="D340" s="32">
        <v>20000</v>
      </c>
      <c r="E340" s="1" t="s">
        <v>80</v>
      </c>
      <c r="F340" s="295">
        <v>222.82</v>
      </c>
      <c r="G340" s="1">
        <v>20000</v>
      </c>
      <c r="H340" s="1">
        <f t="shared" si="6"/>
        <v>0</v>
      </c>
      <c r="I340" s="89"/>
      <c r="J340" s="423"/>
      <c r="K340" s="204"/>
      <c r="L340" s="204"/>
      <c r="M340" s="203"/>
      <c r="N340" s="388"/>
      <c r="O340" s="48"/>
      <c r="P340" s="370"/>
      <c r="Q340" s="48"/>
    </row>
    <row r="341" spans="1:17" s="443" customFormat="1" ht="15.75" thickBot="1" x14ac:dyDescent="0.3">
      <c r="A341" s="1">
        <v>337</v>
      </c>
      <c r="B341" s="32" t="s">
        <v>709</v>
      </c>
      <c r="C341" s="32">
        <v>9693</v>
      </c>
      <c r="D341" s="32">
        <v>31000</v>
      </c>
      <c r="E341" s="1" t="s">
        <v>80</v>
      </c>
      <c r="F341" s="295">
        <v>345.96</v>
      </c>
      <c r="G341" s="1">
        <v>31000</v>
      </c>
      <c r="H341" s="1">
        <f t="shared" si="6"/>
        <v>0</v>
      </c>
      <c r="I341" s="89"/>
      <c r="J341" s="423"/>
      <c r="K341" s="204"/>
      <c r="L341" s="204"/>
      <c r="M341" s="203"/>
      <c r="N341" s="103">
        <f>2163131-2149583</f>
        <v>13548</v>
      </c>
      <c r="O341" s="359" t="s">
        <v>708</v>
      </c>
      <c r="P341" s="367" t="s">
        <v>620</v>
      </c>
      <c r="Q341" s="360">
        <f>4452-2748</f>
        <v>1704</v>
      </c>
    </row>
    <row r="342" spans="1:17" s="444" customFormat="1" ht="15" x14ac:dyDescent="0.25">
      <c r="A342" s="1">
        <v>338</v>
      </c>
      <c r="B342" s="32" t="s">
        <v>711</v>
      </c>
      <c r="C342" s="32">
        <v>5151</v>
      </c>
      <c r="D342" s="32">
        <v>16000</v>
      </c>
      <c r="E342" s="1" t="s">
        <v>80</v>
      </c>
      <c r="F342" s="295">
        <v>178.22</v>
      </c>
      <c r="G342" s="1">
        <v>16000</v>
      </c>
      <c r="H342" s="1">
        <f t="shared" si="6"/>
        <v>0</v>
      </c>
      <c r="I342" s="89"/>
      <c r="J342" s="423"/>
      <c r="K342" s="204"/>
      <c r="L342" s="204"/>
      <c r="M342" s="203"/>
      <c r="N342" s="388"/>
      <c r="O342" s="48"/>
      <c r="P342" s="370"/>
      <c r="Q342" s="48"/>
    </row>
    <row r="343" spans="1:17" s="444" customFormat="1" ht="15" x14ac:dyDescent="0.25">
      <c r="A343" s="1">
        <v>339</v>
      </c>
      <c r="B343" s="32" t="s">
        <v>711</v>
      </c>
      <c r="C343" s="32">
        <v>4711</v>
      </c>
      <c r="D343" s="32">
        <v>12000</v>
      </c>
      <c r="E343" s="1" t="s">
        <v>80</v>
      </c>
      <c r="F343" s="295">
        <v>133.41999999999999</v>
      </c>
      <c r="G343" s="1">
        <v>12000</v>
      </c>
      <c r="H343" s="1">
        <f t="shared" si="6"/>
        <v>0</v>
      </c>
      <c r="I343" s="89"/>
      <c r="J343" s="423"/>
      <c r="K343" s="204"/>
      <c r="L343" s="204"/>
      <c r="M343" s="203"/>
      <c r="N343" s="388"/>
      <c r="O343" s="48"/>
      <c r="P343" s="370"/>
      <c r="Q343" s="48"/>
    </row>
    <row r="344" spans="1:17" s="444" customFormat="1" ht="15" x14ac:dyDescent="0.25">
      <c r="A344" s="1">
        <v>340</v>
      </c>
      <c r="B344" s="32" t="s">
        <v>711</v>
      </c>
      <c r="C344" s="32">
        <v>5820</v>
      </c>
      <c r="D344" s="32">
        <v>15000</v>
      </c>
      <c r="E344" s="1" t="s">
        <v>80</v>
      </c>
      <c r="F344" s="295">
        <v>167.15</v>
      </c>
      <c r="G344" s="1">
        <v>15000</v>
      </c>
      <c r="H344" s="1">
        <f t="shared" si="6"/>
        <v>0</v>
      </c>
      <c r="I344" s="89"/>
      <c r="J344" s="423"/>
      <c r="K344" s="204"/>
      <c r="L344" s="204"/>
      <c r="M344" s="203"/>
      <c r="N344" s="388"/>
      <c r="O344" s="48"/>
      <c r="P344" s="370"/>
      <c r="Q344" s="48"/>
    </row>
    <row r="345" spans="1:17" s="444" customFormat="1" ht="15" x14ac:dyDescent="0.25">
      <c r="A345" s="1">
        <v>341</v>
      </c>
      <c r="B345" s="32" t="s">
        <v>711</v>
      </c>
      <c r="C345" s="32" t="s">
        <v>30</v>
      </c>
      <c r="D345" s="32">
        <v>5000</v>
      </c>
      <c r="E345" s="1" t="s">
        <v>80</v>
      </c>
      <c r="F345" s="295">
        <v>55.48</v>
      </c>
      <c r="G345" s="1">
        <v>5000</v>
      </c>
      <c r="H345" s="1">
        <f t="shared" si="6"/>
        <v>0</v>
      </c>
      <c r="I345" s="89"/>
      <c r="J345" s="423"/>
      <c r="K345" s="204"/>
      <c r="L345" s="204"/>
      <c r="M345" s="203"/>
      <c r="N345" s="388"/>
      <c r="O345" s="48"/>
      <c r="P345" s="370"/>
      <c r="Q345" s="48"/>
    </row>
    <row r="346" spans="1:17" s="444" customFormat="1" ht="15" x14ac:dyDescent="0.25">
      <c r="A346" s="1">
        <v>342</v>
      </c>
      <c r="B346" s="32" t="s">
        <v>711</v>
      </c>
      <c r="C346" s="32">
        <v>5.9700000000000003E-2</v>
      </c>
      <c r="D346" s="32">
        <v>12000</v>
      </c>
      <c r="E346" s="1" t="s">
        <v>80</v>
      </c>
      <c r="F346" s="295">
        <v>133.41999999999999</v>
      </c>
      <c r="G346" s="1">
        <v>12000</v>
      </c>
      <c r="H346" s="1">
        <f t="shared" si="6"/>
        <v>0</v>
      </c>
      <c r="I346" s="89"/>
      <c r="J346" s="423"/>
      <c r="K346" s="204"/>
      <c r="L346" s="204"/>
      <c r="M346" s="203"/>
      <c r="N346" s="388"/>
      <c r="O346" s="48"/>
      <c r="P346" s="370"/>
      <c r="Q346" s="48"/>
    </row>
    <row r="347" spans="1:17" s="444" customFormat="1" ht="15" x14ac:dyDescent="0.25">
      <c r="A347" s="1">
        <v>343</v>
      </c>
      <c r="B347" s="32" t="s">
        <v>711</v>
      </c>
      <c r="C347" s="32">
        <v>3941</v>
      </c>
      <c r="D347" s="32">
        <v>14000</v>
      </c>
      <c r="E347" s="1" t="s">
        <v>80</v>
      </c>
      <c r="F347" s="295">
        <v>155.82</v>
      </c>
      <c r="G347" s="1">
        <v>14000</v>
      </c>
      <c r="H347" s="1">
        <f t="shared" ref="H347:H408" si="7">D347-G347</f>
        <v>0</v>
      </c>
      <c r="I347" s="89"/>
      <c r="J347" s="423"/>
      <c r="K347" s="204"/>
      <c r="L347" s="204"/>
      <c r="M347" s="203"/>
      <c r="N347" s="388"/>
      <c r="O347" s="48"/>
      <c r="P347" s="370"/>
      <c r="Q347" s="48"/>
    </row>
    <row r="348" spans="1:17" s="444" customFormat="1" ht="15" x14ac:dyDescent="0.25">
      <c r="A348" s="1">
        <v>344</v>
      </c>
      <c r="B348" s="32" t="s">
        <v>711</v>
      </c>
      <c r="C348" s="32" t="s">
        <v>634</v>
      </c>
      <c r="D348" s="32">
        <v>3000</v>
      </c>
      <c r="E348" s="1" t="s">
        <v>80</v>
      </c>
      <c r="F348" s="295">
        <v>33.72</v>
      </c>
      <c r="G348" s="1">
        <v>3000</v>
      </c>
      <c r="H348" s="1">
        <f t="shared" si="7"/>
        <v>0</v>
      </c>
      <c r="I348" s="89"/>
      <c r="J348" s="423"/>
      <c r="K348" s="204"/>
      <c r="L348" s="204"/>
      <c r="M348" s="203"/>
      <c r="N348" s="388"/>
      <c r="O348" s="48"/>
      <c r="P348" s="370"/>
      <c r="Q348" s="48"/>
    </row>
    <row r="349" spans="1:17" s="444" customFormat="1" ht="15" x14ac:dyDescent="0.25">
      <c r="A349" s="1">
        <v>345</v>
      </c>
      <c r="B349" s="32" t="s">
        <v>711</v>
      </c>
      <c r="C349" s="32">
        <v>9777</v>
      </c>
      <c r="D349" s="32">
        <v>16000</v>
      </c>
      <c r="E349" s="1" t="s">
        <v>80</v>
      </c>
      <c r="F349" s="295">
        <v>178.22</v>
      </c>
      <c r="G349" s="1">
        <v>16000</v>
      </c>
      <c r="H349" s="1">
        <f t="shared" si="7"/>
        <v>0</v>
      </c>
      <c r="I349" s="89"/>
      <c r="J349" s="423"/>
      <c r="K349" s="204"/>
      <c r="L349" s="204"/>
      <c r="M349" s="203"/>
      <c r="N349" s="388"/>
      <c r="O349" s="48"/>
      <c r="P349" s="370"/>
      <c r="Q349" s="48"/>
    </row>
    <row r="350" spans="1:17" s="444" customFormat="1" ht="15" x14ac:dyDescent="0.25">
      <c r="A350" s="1">
        <v>346</v>
      </c>
      <c r="B350" s="32" t="s">
        <v>711</v>
      </c>
      <c r="C350" s="32" t="s">
        <v>30</v>
      </c>
      <c r="D350" s="32">
        <v>4500</v>
      </c>
      <c r="E350" s="1" t="s">
        <v>80</v>
      </c>
      <c r="F350" s="295">
        <v>50.43</v>
      </c>
      <c r="G350" s="1">
        <v>4500</v>
      </c>
      <c r="H350" s="1">
        <f t="shared" si="7"/>
        <v>0</v>
      </c>
      <c r="I350" s="89"/>
      <c r="J350" s="423"/>
      <c r="K350" s="204"/>
      <c r="L350" s="204"/>
      <c r="M350" s="203"/>
      <c r="N350" s="388"/>
      <c r="O350" s="48"/>
      <c r="P350" s="370"/>
      <c r="Q350" s="48"/>
    </row>
    <row r="351" spans="1:17" s="444" customFormat="1" ht="15" x14ac:dyDescent="0.25">
      <c r="A351" s="1">
        <v>347</v>
      </c>
      <c r="B351" s="32" t="s">
        <v>711</v>
      </c>
      <c r="C351" s="32">
        <v>6012</v>
      </c>
      <c r="D351" s="32">
        <v>15000</v>
      </c>
      <c r="E351" s="1" t="s">
        <v>80</v>
      </c>
      <c r="F351" s="295">
        <v>167.15</v>
      </c>
      <c r="G351" s="1">
        <v>15000</v>
      </c>
      <c r="H351" s="1">
        <f t="shared" si="7"/>
        <v>0</v>
      </c>
      <c r="I351" s="89"/>
      <c r="J351" s="423"/>
      <c r="K351" s="204"/>
      <c r="L351" s="204"/>
      <c r="M351" s="203"/>
      <c r="N351" s="388"/>
      <c r="O351" s="48"/>
      <c r="P351" s="370"/>
      <c r="Q351" s="48"/>
    </row>
    <row r="352" spans="1:17" s="444" customFormat="1" ht="15" x14ac:dyDescent="0.25">
      <c r="A352" s="1">
        <v>348</v>
      </c>
      <c r="B352" s="32" t="s">
        <v>711</v>
      </c>
      <c r="C352" s="32">
        <v>3068</v>
      </c>
      <c r="D352" s="32">
        <v>18000</v>
      </c>
      <c r="E352" s="1" t="s">
        <v>80</v>
      </c>
      <c r="F352" s="295">
        <v>200.82</v>
      </c>
      <c r="G352" s="1">
        <v>18000</v>
      </c>
      <c r="H352" s="1">
        <f t="shared" si="7"/>
        <v>0</v>
      </c>
      <c r="I352" s="89"/>
      <c r="J352" s="423"/>
      <c r="K352" s="204"/>
      <c r="L352" s="204"/>
      <c r="M352" s="203"/>
      <c r="N352" s="388"/>
      <c r="O352" s="48"/>
      <c r="P352" s="370"/>
      <c r="Q352" s="48"/>
    </row>
    <row r="353" spans="1:17" s="444" customFormat="1" ht="15" x14ac:dyDescent="0.25">
      <c r="A353" s="1">
        <v>349</v>
      </c>
      <c r="B353" s="32" t="s">
        <v>711</v>
      </c>
      <c r="C353" s="32">
        <v>0.41499999999999998</v>
      </c>
      <c r="D353" s="32">
        <v>13000</v>
      </c>
      <c r="E353" s="1" t="s">
        <v>80</v>
      </c>
      <c r="F353" s="295">
        <v>144.13</v>
      </c>
      <c r="G353" s="1">
        <v>13000</v>
      </c>
      <c r="H353" s="1">
        <f t="shared" si="7"/>
        <v>0</v>
      </c>
      <c r="I353" s="89"/>
      <c r="J353" s="423"/>
      <c r="K353" s="204"/>
      <c r="L353" s="204"/>
      <c r="M353" s="203"/>
      <c r="N353" s="388"/>
      <c r="O353" s="48"/>
      <c r="P353" s="370"/>
      <c r="Q353" s="48"/>
    </row>
    <row r="354" spans="1:17" s="444" customFormat="1" ht="15" x14ac:dyDescent="0.25">
      <c r="A354" s="1">
        <v>350</v>
      </c>
      <c r="B354" s="32" t="s">
        <v>711</v>
      </c>
      <c r="C354" s="32">
        <v>8617</v>
      </c>
      <c r="D354" s="32">
        <v>22000</v>
      </c>
      <c r="E354" s="1" t="s">
        <v>80</v>
      </c>
      <c r="F354" s="295">
        <v>245.74</v>
      </c>
      <c r="G354" s="1">
        <v>22000</v>
      </c>
      <c r="H354" s="1">
        <f t="shared" si="7"/>
        <v>0</v>
      </c>
      <c r="I354" s="89"/>
      <c r="J354" s="423"/>
      <c r="K354" s="204"/>
      <c r="L354" s="204"/>
      <c r="M354" s="203"/>
      <c r="N354" s="388"/>
      <c r="O354" s="48"/>
      <c r="P354" s="370"/>
      <c r="Q354" s="48"/>
    </row>
    <row r="355" spans="1:17" s="444" customFormat="1" ht="15" x14ac:dyDescent="0.25">
      <c r="A355" s="1">
        <v>351</v>
      </c>
      <c r="B355" s="32" t="s">
        <v>711</v>
      </c>
      <c r="C355" s="32">
        <v>8.5699999999999998E-2</v>
      </c>
      <c r="D355" s="32">
        <v>15000</v>
      </c>
      <c r="E355" s="1" t="s">
        <v>80</v>
      </c>
      <c r="F355" s="295">
        <v>167.15</v>
      </c>
      <c r="G355" s="1">
        <v>15000</v>
      </c>
      <c r="H355" s="1">
        <f t="shared" si="7"/>
        <v>0</v>
      </c>
      <c r="I355" s="89"/>
      <c r="J355" s="423"/>
      <c r="K355" s="204"/>
      <c r="L355" s="204"/>
      <c r="M355" s="203"/>
      <c r="N355" s="388"/>
      <c r="O355" s="48"/>
      <c r="P355" s="370"/>
      <c r="Q355" s="48"/>
    </row>
    <row r="356" spans="1:17" s="444" customFormat="1" ht="15" x14ac:dyDescent="0.25">
      <c r="A356" s="1">
        <v>352</v>
      </c>
      <c r="B356" s="32" t="s">
        <v>711</v>
      </c>
      <c r="C356" s="32">
        <v>3505</v>
      </c>
      <c r="D356" s="32">
        <v>19000</v>
      </c>
      <c r="E356" s="1" t="s">
        <v>80</v>
      </c>
      <c r="F356" s="295">
        <v>211.67</v>
      </c>
      <c r="G356" s="1">
        <v>19000</v>
      </c>
      <c r="H356" s="1">
        <f t="shared" si="7"/>
        <v>0</v>
      </c>
      <c r="I356" s="89"/>
      <c r="J356" s="423"/>
      <c r="K356" s="204"/>
      <c r="L356" s="204"/>
      <c r="M356" s="203"/>
      <c r="N356" s="388"/>
      <c r="O356" s="48"/>
      <c r="P356" s="370"/>
      <c r="Q356" s="48"/>
    </row>
    <row r="357" spans="1:17" s="444" customFormat="1" ht="15" x14ac:dyDescent="0.25">
      <c r="A357" s="1">
        <v>353</v>
      </c>
      <c r="B357" s="32" t="s">
        <v>711</v>
      </c>
      <c r="C357" s="32">
        <v>9606</v>
      </c>
      <c r="D357" s="32">
        <v>20000</v>
      </c>
      <c r="E357" s="1" t="s">
        <v>80</v>
      </c>
      <c r="F357" s="295">
        <v>222.82</v>
      </c>
      <c r="G357" s="1">
        <v>20000</v>
      </c>
      <c r="H357" s="1">
        <f t="shared" si="7"/>
        <v>0</v>
      </c>
      <c r="I357" s="89"/>
      <c r="J357" s="423"/>
      <c r="K357" s="204"/>
      <c r="L357" s="204"/>
      <c r="M357" s="203"/>
      <c r="N357" s="388"/>
      <c r="O357" s="48"/>
      <c r="P357" s="370"/>
      <c r="Q357" s="48"/>
    </row>
    <row r="358" spans="1:17" s="444" customFormat="1" ht="15" x14ac:dyDescent="0.25">
      <c r="A358" s="1">
        <v>354</v>
      </c>
      <c r="B358" s="32" t="s">
        <v>711</v>
      </c>
      <c r="C358" s="32">
        <v>9295</v>
      </c>
      <c r="D358" s="32">
        <v>25000</v>
      </c>
      <c r="E358" s="1" t="s">
        <v>80</v>
      </c>
      <c r="F358" s="295">
        <v>278.22000000000003</v>
      </c>
      <c r="G358" s="1">
        <v>25000</v>
      </c>
      <c r="H358" s="1">
        <f t="shared" si="7"/>
        <v>0</v>
      </c>
      <c r="I358" s="89"/>
      <c r="J358" s="423"/>
      <c r="K358" s="204"/>
      <c r="L358" s="204"/>
      <c r="M358" s="203"/>
      <c r="N358" s="388"/>
      <c r="O358" s="48"/>
      <c r="P358" s="370"/>
      <c r="Q358" s="48"/>
    </row>
    <row r="359" spans="1:17" s="444" customFormat="1" ht="15" x14ac:dyDescent="0.25">
      <c r="A359" s="1">
        <v>355</v>
      </c>
      <c r="B359" s="32" t="s">
        <v>711</v>
      </c>
      <c r="C359" s="32">
        <v>4900</v>
      </c>
      <c r="D359" s="32">
        <v>14000</v>
      </c>
      <c r="E359" s="1" t="s">
        <v>80</v>
      </c>
      <c r="F359" s="295">
        <v>155.85</v>
      </c>
      <c r="G359" s="1">
        <v>14000</v>
      </c>
      <c r="H359" s="1">
        <f t="shared" si="7"/>
        <v>0</v>
      </c>
      <c r="I359" s="89"/>
      <c r="J359" s="423"/>
      <c r="K359" s="204"/>
      <c r="L359" s="204"/>
      <c r="M359" s="203"/>
      <c r="N359" s="388"/>
      <c r="O359" s="48"/>
      <c r="P359" s="370"/>
      <c r="Q359" s="48"/>
    </row>
    <row r="360" spans="1:17" s="444" customFormat="1" ht="15" x14ac:dyDescent="0.25">
      <c r="A360" s="1">
        <v>356</v>
      </c>
      <c r="B360" s="32" t="s">
        <v>711</v>
      </c>
      <c r="C360" s="32">
        <v>5138</v>
      </c>
      <c r="D360" s="32">
        <v>28000</v>
      </c>
      <c r="E360" s="1" t="s">
        <v>80</v>
      </c>
      <c r="F360" s="295">
        <v>304.68</v>
      </c>
      <c r="G360" s="1">
        <v>28000</v>
      </c>
      <c r="H360" s="1">
        <f t="shared" si="7"/>
        <v>0</v>
      </c>
      <c r="I360" s="89"/>
      <c r="J360" s="423"/>
      <c r="K360" s="204"/>
      <c r="L360" s="204"/>
      <c r="M360" s="203"/>
      <c r="N360" s="388"/>
      <c r="O360" s="48"/>
      <c r="P360" s="370"/>
      <c r="Q360" s="48"/>
    </row>
    <row r="361" spans="1:17" s="444" customFormat="1" ht="15" x14ac:dyDescent="0.25">
      <c r="A361" s="1">
        <v>357</v>
      </c>
      <c r="B361" s="32" t="s">
        <v>711</v>
      </c>
      <c r="C361" s="32">
        <v>2517</v>
      </c>
      <c r="D361" s="32">
        <v>23000</v>
      </c>
      <c r="E361" s="1" t="s">
        <v>80</v>
      </c>
      <c r="F361" s="295">
        <v>256.74</v>
      </c>
      <c r="G361" s="1">
        <v>23000</v>
      </c>
      <c r="H361" s="1">
        <f t="shared" si="7"/>
        <v>0</v>
      </c>
      <c r="I361" s="89"/>
      <c r="J361" s="423"/>
      <c r="K361" s="204"/>
      <c r="L361" s="204"/>
      <c r="M361" s="203"/>
      <c r="N361" s="388"/>
      <c r="O361" s="48"/>
      <c r="P361" s="370"/>
      <c r="Q361" s="48"/>
    </row>
    <row r="362" spans="1:17" s="444" customFormat="1" ht="15" x14ac:dyDescent="0.25">
      <c r="A362" s="1">
        <v>358</v>
      </c>
      <c r="B362" s="32" t="s">
        <v>711</v>
      </c>
      <c r="C362" s="32">
        <v>9522</v>
      </c>
      <c r="D362" s="32">
        <v>20000</v>
      </c>
      <c r="E362" s="1" t="s">
        <v>80</v>
      </c>
      <c r="F362" s="295">
        <v>222.82</v>
      </c>
      <c r="G362" s="1">
        <v>20000</v>
      </c>
      <c r="H362" s="1">
        <f t="shared" si="7"/>
        <v>0</v>
      </c>
      <c r="I362" s="89"/>
      <c r="J362" s="423"/>
      <c r="K362" s="204"/>
      <c r="L362" s="204"/>
      <c r="M362" s="203"/>
      <c r="N362" s="388"/>
      <c r="O362" s="48"/>
      <c r="P362" s="370"/>
      <c r="Q362" s="48"/>
    </row>
    <row r="363" spans="1:17" s="444" customFormat="1" ht="15" x14ac:dyDescent="0.25">
      <c r="A363" s="1">
        <v>359</v>
      </c>
      <c r="B363" s="32" t="s">
        <v>711</v>
      </c>
      <c r="C363" s="32">
        <v>4913</v>
      </c>
      <c r="D363" s="32">
        <v>24000</v>
      </c>
      <c r="E363" s="1" t="s">
        <v>80</v>
      </c>
      <c r="F363" s="295">
        <v>269.67</v>
      </c>
      <c r="G363" s="1">
        <v>24000</v>
      </c>
      <c r="H363" s="1">
        <f t="shared" si="7"/>
        <v>0</v>
      </c>
      <c r="I363" s="89"/>
      <c r="J363" s="423"/>
      <c r="K363" s="204"/>
      <c r="L363" s="204"/>
      <c r="M363" s="203"/>
      <c r="N363" s="388"/>
      <c r="O363" s="48"/>
      <c r="P363" s="370"/>
      <c r="Q363" s="48"/>
    </row>
    <row r="364" spans="1:17" s="444" customFormat="1" ht="15" x14ac:dyDescent="0.25">
      <c r="A364" s="1">
        <v>360</v>
      </c>
      <c r="B364" s="32" t="s">
        <v>711</v>
      </c>
      <c r="C364" s="32">
        <v>9572</v>
      </c>
      <c r="D364" s="32">
        <v>20000</v>
      </c>
      <c r="E364" s="1" t="s">
        <v>80</v>
      </c>
      <c r="F364" s="295">
        <v>222.82</v>
      </c>
      <c r="G364" s="1">
        <v>20000</v>
      </c>
      <c r="H364" s="1">
        <f t="shared" si="7"/>
        <v>0</v>
      </c>
      <c r="I364" s="89"/>
      <c r="J364" s="423"/>
      <c r="K364" s="204"/>
      <c r="L364" s="204"/>
      <c r="M364" s="203"/>
      <c r="N364" s="388"/>
      <c r="O364" s="48"/>
      <c r="P364" s="370"/>
      <c r="Q364" s="48"/>
    </row>
    <row r="365" spans="1:17" s="444" customFormat="1" ht="15" x14ac:dyDescent="0.25">
      <c r="A365" s="1">
        <v>361</v>
      </c>
      <c r="B365" s="32" t="s">
        <v>711</v>
      </c>
      <c r="C365" s="32">
        <v>4913</v>
      </c>
      <c r="D365" s="32">
        <v>24000</v>
      </c>
      <c r="E365" s="1" t="s">
        <v>80</v>
      </c>
      <c r="F365" s="295">
        <v>269.75</v>
      </c>
      <c r="G365" s="1">
        <v>24000</v>
      </c>
      <c r="H365" s="1">
        <f t="shared" si="7"/>
        <v>0</v>
      </c>
      <c r="I365" s="89"/>
      <c r="J365" s="423"/>
      <c r="K365" s="204"/>
      <c r="L365" s="204"/>
      <c r="M365" s="203"/>
      <c r="N365" s="388"/>
      <c r="O365" s="48"/>
      <c r="P365" s="370"/>
      <c r="Q365" s="48"/>
    </row>
    <row r="366" spans="1:17" s="444" customFormat="1" ht="15" x14ac:dyDescent="0.25">
      <c r="A366" s="1">
        <v>362</v>
      </c>
      <c r="B366" s="32" t="s">
        <v>711</v>
      </c>
      <c r="C366" s="32">
        <v>9572</v>
      </c>
      <c r="D366" s="32">
        <v>20000</v>
      </c>
      <c r="E366" s="1" t="s">
        <v>80</v>
      </c>
      <c r="F366" s="295">
        <v>222.82</v>
      </c>
      <c r="G366" s="1">
        <v>20000</v>
      </c>
      <c r="H366" s="1">
        <f t="shared" si="7"/>
        <v>0</v>
      </c>
      <c r="I366" s="89"/>
      <c r="J366" s="423"/>
      <c r="K366" s="204"/>
      <c r="L366" s="204"/>
      <c r="M366" s="203"/>
      <c r="N366" s="388"/>
      <c r="O366" s="48"/>
      <c r="P366" s="370"/>
      <c r="Q366" s="48"/>
    </row>
    <row r="367" spans="1:17" s="444" customFormat="1" ht="15" x14ac:dyDescent="0.25">
      <c r="A367" s="1">
        <v>363</v>
      </c>
      <c r="B367" s="32" t="s">
        <v>711</v>
      </c>
      <c r="C367" s="32">
        <v>8986</v>
      </c>
      <c r="D367" s="32">
        <v>23000</v>
      </c>
      <c r="E367" s="1" t="s">
        <v>80</v>
      </c>
      <c r="F367" s="295">
        <v>256.86</v>
      </c>
      <c r="G367" s="1">
        <v>23000</v>
      </c>
      <c r="H367" s="1">
        <f t="shared" si="7"/>
        <v>0</v>
      </c>
      <c r="I367" s="89"/>
      <c r="J367" s="423"/>
      <c r="K367" s="204"/>
      <c r="L367" s="204"/>
      <c r="M367" s="203"/>
      <c r="N367" s="388"/>
      <c r="O367" s="48"/>
      <c r="P367" s="370"/>
      <c r="Q367" s="48"/>
    </row>
    <row r="368" spans="1:17" s="444" customFormat="1" ht="15" x14ac:dyDescent="0.25">
      <c r="A368" s="1">
        <v>364</v>
      </c>
      <c r="B368" s="32" t="s">
        <v>711</v>
      </c>
      <c r="C368" s="32">
        <v>5.1000000000000004E-3</v>
      </c>
      <c r="D368" s="32">
        <v>16000</v>
      </c>
      <c r="E368" s="1" t="s">
        <v>80</v>
      </c>
      <c r="F368" s="295">
        <v>178.22</v>
      </c>
      <c r="G368" s="1">
        <v>16000</v>
      </c>
      <c r="H368" s="1">
        <f t="shared" si="7"/>
        <v>0</v>
      </c>
      <c r="I368" s="89"/>
      <c r="J368" s="423"/>
      <c r="K368" s="204"/>
      <c r="L368" s="204"/>
      <c r="M368" s="203"/>
      <c r="N368" s="388"/>
      <c r="O368" s="48"/>
      <c r="P368" s="370"/>
      <c r="Q368" s="48"/>
    </row>
    <row r="369" spans="1:17" s="444" customFormat="1" ht="15" x14ac:dyDescent="0.25">
      <c r="A369" s="1">
        <v>365</v>
      </c>
      <c r="B369" s="32" t="s">
        <v>711</v>
      </c>
      <c r="C369" s="32">
        <v>9361</v>
      </c>
      <c r="D369" s="32">
        <v>20000</v>
      </c>
      <c r="E369" s="1" t="s">
        <v>80</v>
      </c>
      <c r="F369" s="295">
        <v>222.82</v>
      </c>
      <c r="G369" s="1">
        <v>20000</v>
      </c>
      <c r="H369" s="1">
        <f t="shared" si="7"/>
        <v>0</v>
      </c>
      <c r="I369" s="89"/>
      <c r="J369" s="423"/>
      <c r="K369" s="204"/>
      <c r="L369" s="204"/>
      <c r="M369" s="203"/>
      <c r="N369" s="388"/>
      <c r="O369" s="48"/>
      <c r="P369" s="370"/>
      <c r="Q369" s="48"/>
    </row>
    <row r="370" spans="1:17" s="444" customFormat="1" ht="15" x14ac:dyDescent="0.25">
      <c r="A370" s="1">
        <v>366</v>
      </c>
      <c r="B370" s="32" t="s">
        <v>711</v>
      </c>
      <c r="C370" s="32">
        <v>2022</v>
      </c>
      <c r="D370" s="32">
        <v>21000</v>
      </c>
      <c r="E370" s="1" t="s">
        <v>80</v>
      </c>
      <c r="F370" s="295">
        <v>233.63</v>
      </c>
      <c r="G370" s="1">
        <v>21000</v>
      </c>
      <c r="H370" s="1">
        <f t="shared" si="7"/>
        <v>0</v>
      </c>
      <c r="I370" s="89"/>
      <c r="J370" s="423"/>
      <c r="K370" s="204"/>
      <c r="L370" s="204"/>
      <c r="M370" s="203"/>
      <c r="N370" s="388"/>
      <c r="O370" s="48"/>
      <c r="P370" s="370"/>
      <c r="Q370" s="48"/>
    </row>
    <row r="371" spans="1:17" s="457" customFormat="1" ht="15" x14ac:dyDescent="0.25">
      <c r="A371" s="1"/>
      <c r="B371" s="32" t="s">
        <v>711</v>
      </c>
      <c r="C371" s="32"/>
      <c r="D371" s="32">
        <v>23000</v>
      </c>
      <c r="E371" s="1"/>
      <c r="F371" s="295">
        <v>256.67</v>
      </c>
      <c r="G371" s="1">
        <v>23000</v>
      </c>
      <c r="H371" s="1">
        <f t="shared" si="7"/>
        <v>0</v>
      </c>
      <c r="I371" s="89"/>
      <c r="J371" s="423"/>
      <c r="K371" s="204"/>
      <c r="L371" s="204"/>
      <c r="M371" s="203"/>
      <c r="N371" s="388"/>
      <c r="O371" s="48"/>
      <c r="P371" s="370"/>
      <c r="Q371" s="48"/>
    </row>
    <row r="372" spans="1:17" s="444" customFormat="1" ht="15.75" thickBot="1" x14ac:dyDescent="0.3">
      <c r="A372" s="1">
        <v>367</v>
      </c>
      <c r="B372" s="32" t="s">
        <v>711</v>
      </c>
      <c r="C372" s="32">
        <v>5248</v>
      </c>
      <c r="D372" s="32">
        <v>14000</v>
      </c>
      <c r="E372" s="1" t="s">
        <v>80</v>
      </c>
      <c r="F372" s="295">
        <v>155.38</v>
      </c>
      <c r="G372" s="1">
        <v>14000</v>
      </c>
      <c r="H372" s="1">
        <f t="shared" si="7"/>
        <v>0</v>
      </c>
      <c r="I372" s="89"/>
      <c r="J372" s="423"/>
      <c r="K372" s="204"/>
      <c r="L372" s="204"/>
      <c r="M372" s="203"/>
      <c r="N372" s="388"/>
      <c r="O372" s="48"/>
      <c r="P372" s="370"/>
      <c r="Q372" s="48"/>
    </row>
    <row r="373" spans="1:17" s="444" customFormat="1" ht="15.75" thickBot="1" x14ac:dyDescent="0.3">
      <c r="A373" s="1">
        <v>368</v>
      </c>
      <c r="B373" s="32" t="s">
        <v>711</v>
      </c>
      <c r="C373" s="32">
        <v>4.9599999999999998E-2</v>
      </c>
      <c r="D373" s="32">
        <v>30000</v>
      </c>
      <c r="E373" s="1" t="s">
        <v>80</v>
      </c>
      <c r="F373" s="295">
        <v>334.82</v>
      </c>
      <c r="G373" s="1">
        <v>30000</v>
      </c>
      <c r="H373" s="1">
        <f t="shared" si="7"/>
        <v>0</v>
      </c>
      <c r="I373" s="89"/>
      <c r="J373" s="423"/>
      <c r="K373" s="204"/>
      <c r="L373" s="204"/>
      <c r="M373" s="203"/>
      <c r="N373" s="103">
        <f>2680631-2401883</f>
        <v>278748</v>
      </c>
      <c r="O373" s="359" t="s">
        <v>708</v>
      </c>
      <c r="P373" s="367" t="s">
        <v>620</v>
      </c>
      <c r="Q373" s="360">
        <f>4452-2748</f>
        <v>1704</v>
      </c>
    </row>
    <row r="374" spans="1:17" s="445" customFormat="1" ht="15" x14ac:dyDescent="0.25">
      <c r="A374" s="1">
        <v>369</v>
      </c>
      <c r="B374" s="32" t="s">
        <v>712</v>
      </c>
      <c r="C374" s="32">
        <v>7677</v>
      </c>
      <c r="D374" s="32">
        <v>15000</v>
      </c>
      <c r="E374" s="1" t="s">
        <v>80</v>
      </c>
      <c r="F374" s="295">
        <v>167.15</v>
      </c>
      <c r="G374" s="1">
        <v>15000</v>
      </c>
      <c r="H374" s="1">
        <f t="shared" si="7"/>
        <v>0</v>
      </c>
      <c r="I374" s="89"/>
      <c r="J374" s="423"/>
      <c r="K374" s="204"/>
      <c r="L374" s="204"/>
      <c r="M374" s="203"/>
      <c r="N374" s="388"/>
      <c r="O374" s="48"/>
      <c r="P374" s="370"/>
      <c r="Q374" s="48"/>
    </row>
    <row r="375" spans="1:17" s="445" customFormat="1" ht="15" x14ac:dyDescent="0.25">
      <c r="A375" s="1">
        <v>370</v>
      </c>
      <c r="B375" s="32" t="s">
        <v>712</v>
      </c>
      <c r="C375" s="32">
        <v>8311</v>
      </c>
      <c r="D375" s="32">
        <v>24000</v>
      </c>
      <c r="E375" s="1" t="s">
        <v>80</v>
      </c>
      <c r="F375" s="295">
        <v>267.57</v>
      </c>
      <c r="G375" s="1">
        <v>24000</v>
      </c>
      <c r="H375" s="1">
        <f t="shared" si="7"/>
        <v>0</v>
      </c>
      <c r="I375" s="89"/>
      <c r="J375" s="423"/>
      <c r="K375" s="204"/>
      <c r="L375" s="204"/>
      <c r="M375" s="203"/>
      <c r="N375" s="388"/>
      <c r="O375" s="48"/>
      <c r="P375" s="370"/>
      <c r="Q375" s="48"/>
    </row>
    <row r="376" spans="1:17" s="445" customFormat="1" ht="15" x14ac:dyDescent="0.25">
      <c r="A376" s="1">
        <v>371</v>
      </c>
      <c r="B376" s="32" t="s">
        <v>712</v>
      </c>
      <c r="C376" s="32">
        <v>5.1999999999999998E-3</v>
      </c>
      <c r="D376" s="32">
        <v>17000</v>
      </c>
      <c r="E376" s="1"/>
      <c r="F376" s="295">
        <v>189.67</v>
      </c>
      <c r="G376" s="1">
        <v>17000</v>
      </c>
      <c r="H376" s="1">
        <f t="shared" si="7"/>
        <v>0</v>
      </c>
      <c r="I376" s="89"/>
      <c r="J376" s="423"/>
      <c r="K376" s="204"/>
      <c r="L376" s="204"/>
      <c r="M376" s="203"/>
      <c r="N376" s="388"/>
      <c r="O376" s="48"/>
      <c r="P376" s="370"/>
      <c r="Q376" s="48"/>
    </row>
    <row r="377" spans="1:17" s="445" customFormat="1" ht="15" x14ac:dyDescent="0.25">
      <c r="A377" s="1">
        <v>372</v>
      </c>
      <c r="B377" s="32" t="s">
        <v>712</v>
      </c>
      <c r="C377" s="32">
        <v>9876</v>
      </c>
      <c r="D377" s="32">
        <v>15000</v>
      </c>
      <c r="E377" s="1" t="s">
        <v>80</v>
      </c>
      <c r="F377" s="295">
        <v>167.15</v>
      </c>
      <c r="G377" s="1">
        <v>15000</v>
      </c>
      <c r="H377" s="1">
        <f t="shared" si="7"/>
        <v>0</v>
      </c>
      <c r="I377" s="89"/>
      <c r="J377" s="423"/>
      <c r="K377" s="204"/>
      <c r="L377" s="204"/>
      <c r="M377" s="203"/>
      <c r="N377" s="388"/>
      <c r="O377" s="48"/>
      <c r="P377" s="370"/>
      <c r="Q377" s="48"/>
    </row>
    <row r="378" spans="1:17" s="445" customFormat="1" ht="15" x14ac:dyDescent="0.25">
      <c r="A378" s="1">
        <v>373</v>
      </c>
      <c r="B378" s="32" t="s">
        <v>712</v>
      </c>
      <c r="C378" s="32">
        <v>2.87E-2</v>
      </c>
      <c r="D378" s="32">
        <v>18000</v>
      </c>
      <c r="E378" s="1" t="s">
        <v>80</v>
      </c>
      <c r="F378" s="295">
        <v>200.82</v>
      </c>
      <c r="G378" s="1">
        <v>18000</v>
      </c>
      <c r="H378" s="1">
        <f t="shared" si="7"/>
        <v>0</v>
      </c>
      <c r="I378" s="89"/>
      <c r="J378" s="423"/>
      <c r="K378" s="204"/>
      <c r="L378" s="204"/>
      <c r="M378" s="203"/>
      <c r="N378" s="388"/>
      <c r="O378" s="48"/>
      <c r="P378" s="370"/>
      <c r="Q378" s="48"/>
    </row>
    <row r="379" spans="1:17" s="445" customFormat="1" ht="15" x14ac:dyDescent="0.25">
      <c r="A379" s="1">
        <v>374</v>
      </c>
      <c r="B379" s="32" t="s">
        <v>712</v>
      </c>
      <c r="C379" s="32">
        <v>1827</v>
      </c>
      <c r="D379" s="32">
        <v>12000</v>
      </c>
      <c r="E379" s="1" t="s">
        <v>80</v>
      </c>
      <c r="F379" s="295">
        <v>133.41999999999999</v>
      </c>
      <c r="G379" s="1">
        <v>12000</v>
      </c>
      <c r="H379" s="1">
        <f t="shared" si="7"/>
        <v>0</v>
      </c>
      <c r="I379" s="89"/>
      <c r="J379" s="423"/>
      <c r="K379" s="204"/>
      <c r="L379" s="204"/>
      <c r="M379" s="203"/>
      <c r="N379" s="388"/>
      <c r="O379" s="48"/>
      <c r="P379" s="370"/>
      <c r="Q379" s="48"/>
    </row>
    <row r="380" spans="1:17" s="445" customFormat="1" ht="15" x14ac:dyDescent="0.25">
      <c r="A380" s="1">
        <v>375</v>
      </c>
      <c r="B380" s="32" t="s">
        <v>712</v>
      </c>
      <c r="C380" s="32">
        <v>2496</v>
      </c>
      <c r="D380" s="32">
        <v>13000</v>
      </c>
      <c r="E380" s="1" t="s">
        <v>80</v>
      </c>
      <c r="F380" s="295">
        <v>144.13</v>
      </c>
      <c r="G380" s="1">
        <v>13000</v>
      </c>
      <c r="H380" s="1">
        <f t="shared" si="7"/>
        <v>0</v>
      </c>
      <c r="I380" s="89"/>
      <c r="J380" s="423"/>
      <c r="K380" s="204"/>
      <c r="L380" s="204"/>
      <c r="M380" s="203"/>
      <c r="N380" s="388"/>
      <c r="O380" s="48"/>
      <c r="P380" s="370"/>
      <c r="Q380" s="48"/>
    </row>
    <row r="381" spans="1:17" s="445" customFormat="1" ht="15" x14ac:dyDescent="0.25">
      <c r="A381" s="1">
        <v>376</v>
      </c>
      <c r="B381" s="32" t="s">
        <v>712</v>
      </c>
      <c r="C381" s="32" t="s">
        <v>633</v>
      </c>
      <c r="D381" s="32">
        <v>110</v>
      </c>
      <c r="E381" s="1" t="s">
        <v>80</v>
      </c>
      <c r="F381" s="295">
        <v>1.0900000000000001</v>
      </c>
      <c r="G381" s="1">
        <v>110</v>
      </c>
      <c r="H381" s="1">
        <f t="shared" si="7"/>
        <v>0</v>
      </c>
      <c r="I381" s="89"/>
      <c r="J381" s="423"/>
      <c r="K381" s="204"/>
      <c r="L381" s="204"/>
      <c r="M381" s="203"/>
      <c r="N381" s="388"/>
      <c r="O381" s="48"/>
      <c r="P381" s="370"/>
      <c r="Q381" s="48"/>
    </row>
    <row r="382" spans="1:17" s="445" customFormat="1" ht="15" x14ac:dyDescent="0.25">
      <c r="A382" s="1">
        <v>377</v>
      </c>
      <c r="B382" s="32" t="s">
        <v>712</v>
      </c>
      <c r="C382" s="32">
        <v>9977</v>
      </c>
      <c r="D382" s="32">
        <v>15000</v>
      </c>
      <c r="E382" s="1" t="s">
        <v>80</v>
      </c>
      <c r="F382" s="295">
        <v>167.15</v>
      </c>
      <c r="G382" s="1">
        <v>15000</v>
      </c>
      <c r="H382" s="1">
        <f t="shared" si="7"/>
        <v>0</v>
      </c>
      <c r="I382" s="89"/>
      <c r="J382" s="423"/>
      <c r="K382" s="204"/>
      <c r="L382" s="204"/>
      <c r="M382" s="203"/>
      <c r="N382" s="388"/>
      <c r="O382" s="48"/>
      <c r="P382" s="370"/>
      <c r="Q382" s="48"/>
    </row>
    <row r="383" spans="1:17" s="445" customFormat="1" ht="15" x14ac:dyDescent="0.25">
      <c r="A383" s="1">
        <v>378</v>
      </c>
      <c r="B383" s="32" t="s">
        <v>712</v>
      </c>
      <c r="C383" s="32">
        <v>7543</v>
      </c>
      <c r="D383" s="32">
        <v>25000</v>
      </c>
      <c r="E383" s="1" t="s">
        <v>80</v>
      </c>
      <c r="F383" s="295">
        <v>278.22000000000003</v>
      </c>
      <c r="G383" s="1">
        <v>25000</v>
      </c>
      <c r="H383" s="1">
        <f t="shared" si="7"/>
        <v>0</v>
      </c>
      <c r="I383" s="89"/>
      <c r="J383" s="423"/>
      <c r="K383" s="204"/>
      <c r="L383" s="204"/>
      <c r="M383" s="203"/>
      <c r="N383" s="388"/>
      <c r="O383" s="48"/>
      <c r="P383" s="370"/>
      <c r="Q383" s="48"/>
    </row>
    <row r="384" spans="1:17" s="445" customFormat="1" ht="15" x14ac:dyDescent="0.25">
      <c r="A384" s="1">
        <v>379</v>
      </c>
      <c r="B384" s="32" t="s">
        <v>712</v>
      </c>
      <c r="C384" s="32">
        <v>3498</v>
      </c>
      <c r="D384" s="32">
        <v>23000</v>
      </c>
      <c r="E384" s="1" t="s">
        <v>80</v>
      </c>
      <c r="F384" s="295">
        <v>256.67</v>
      </c>
      <c r="G384" s="1">
        <v>23000</v>
      </c>
      <c r="H384" s="1">
        <f t="shared" si="7"/>
        <v>0</v>
      </c>
      <c r="I384" s="89"/>
      <c r="J384" s="423"/>
      <c r="K384" s="204"/>
      <c r="L384" s="204"/>
      <c r="M384" s="203"/>
      <c r="N384" s="388"/>
      <c r="O384" s="48"/>
      <c r="P384" s="370"/>
      <c r="Q384" s="48"/>
    </row>
    <row r="385" spans="1:17" s="445" customFormat="1" ht="15" x14ac:dyDescent="0.25">
      <c r="A385" s="1">
        <v>380</v>
      </c>
      <c r="B385" s="32" t="s">
        <v>712</v>
      </c>
      <c r="C385" s="32">
        <v>1778</v>
      </c>
      <c r="D385" s="32">
        <v>22500</v>
      </c>
      <c r="E385" s="1" t="s">
        <v>80</v>
      </c>
      <c r="F385" s="295">
        <v>250.37</v>
      </c>
      <c r="G385" s="1">
        <v>22500</v>
      </c>
      <c r="H385" s="1">
        <f t="shared" si="7"/>
        <v>0</v>
      </c>
      <c r="I385" s="89"/>
      <c r="J385" s="423"/>
      <c r="K385" s="204"/>
      <c r="L385" s="204"/>
      <c r="M385" s="203"/>
      <c r="N385" s="388"/>
      <c r="O385" s="48"/>
      <c r="P385" s="370"/>
      <c r="Q385" s="48"/>
    </row>
    <row r="386" spans="1:17" s="445" customFormat="1" ht="15" x14ac:dyDescent="0.25">
      <c r="A386" s="1">
        <v>381</v>
      </c>
      <c r="B386" s="32" t="s">
        <v>712</v>
      </c>
      <c r="C386" s="32">
        <v>6514</v>
      </c>
      <c r="D386" s="32">
        <v>25000</v>
      </c>
      <c r="E386" s="1" t="s">
        <v>80</v>
      </c>
      <c r="F386" s="295">
        <v>278.22000000000003</v>
      </c>
      <c r="G386" s="1">
        <v>25000</v>
      </c>
      <c r="H386" s="1">
        <f t="shared" si="7"/>
        <v>0</v>
      </c>
      <c r="I386" s="89"/>
      <c r="J386" s="423"/>
      <c r="K386" s="204"/>
      <c r="L386" s="204"/>
      <c r="M386" s="203"/>
      <c r="N386" s="388"/>
      <c r="O386" s="48"/>
      <c r="P386" s="370"/>
      <c r="Q386" s="48"/>
    </row>
    <row r="387" spans="1:17" s="445" customFormat="1" ht="15" x14ac:dyDescent="0.25">
      <c r="A387" s="1">
        <v>382</v>
      </c>
      <c r="B387" s="32" t="s">
        <v>712</v>
      </c>
      <c r="C387" s="32">
        <v>1388</v>
      </c>
      <c r="D387" s="32">
        <v>18000</v>
      </c>
      <c r="E387" s="1" t="s">
        <v>80</v>
      </c>
      <c r="F387" s="295">
        <v>200.82</v>
      </c>
      <c r="G387" s="1">
        <v>18000</v>
      </c>
      <c r="H387" s="1">
        <f t="shared" si="7"/>
        <v>0</v>
      </c>
      <c r="I387" s="89"/>
      <c r="J387" s="423"/>
      <c r="K387" s="204"/>
      <c r="L387" s="204"/>
      <c r="M387" s="203"/>
      <c r="N387" s="388"/>
      <c r="O387" s="48"/>
      <c r="P387" s="370"/>
      <c r="Q387" s="48"/>
    </row>
    <row r="388" spans="1:17" s="445" customFormat="1" ht="15" x14ac:dyDescent="0.25">
      <c r="A388" s="1">
        <v>383</v>
      </c>
      <c r="B388" s="32" t="s">
        <v>712</v>
      </c>
      <c r="C388" s="32">
        <v>3877</v>
      </c>
      <c r="D388" s="32">
        <v>25000</v>
      </c>
      <c r="E388" s="1" t="s">
        <v>80</v>
      </c>
      <c r="F388" s="295">
        <v>278.22000000000003</v>
      </c>
      <c r="G388" s="1">
        <v>25000</v>
      </c>
      <c r="H388" s="1">
        <f t="shared" si="7"/>
        <v>0</v>
      </c>
      <c r="I388" s="89"/>
      <c r="J388" s="423"/>
      <c r="K388" s="204"/>
      <c r="L388" s="204"/>
      <c r="M388" s="203"/>
      <c r="N388" s="388"/>
      <c r="O388" s="48"/>
      <c r="P388" s="370"/>
      <c r="Q388" s="48"/>
    </row>
    <row r="389" spans="1:17" s="445" customFormat="1" ht="15" x14ac:dyDescent="0.25">
      <c r="A389" s="1">
        <v>384</v>
      </c>
      <c r="B389" s="32" t="s">
        <v>712</v>
      </c>
      <c r="C389" s="32">
        <v>1420</v>
      </c>
      <c r="D389" s="32">
        <v>22500</v>
      </c>
      <c r="E389" s="1" t="s">
        <v>80</v>
      </c>
      <c r="F389" s="295">
        <v>250.37</v>
      </c>
      <c r="G389" s="1">
        <v>22500</v>
      </c>
      <c r="H389" s="1">
        <f t="shared" si="7"/>
        <v>0</v>
      </c>
      <c r="I389" s="89"/>
      <c r="J389" s="423"/>
      <c r="K389" s="204"/>
      <c r="L389" s="204"/>
      <c r="M389" s="203"/>
      <c r="N389" s="388"/>
      <c r="O389" s="48"/>
      <c r="P389" s="370"/>
      <c r="Q389" s="48"/>
    </row>
    <row r="390" spans="1:17" s="445" customFormat="1" ht="15" x14ac:dyDescent="0.25">
      <c r="A390" s="1">
        <v>385</v>
      </c>
      <c r="B390" s="32" t="s">
        <v>712</v>
      </c>
      <c r="C390" s="32">
        <v>9607</v>
      </c>
      <c r="D390" s="32">
        <v>20000</v>
      </c>
      <c r="E390" s="1" t="s">
        <v>80</v>
      </c>
      <c r="F390" s="295">
        <v>222.82</v>
      </c>
      <c r="G390" s="1">
        <v>20000</v>
      </c>
      <c r="H390" s="1">
        <f t="shared" si="7"/>
        <v>0</v>
      </c>
      <c r="I390" s="89"/>
      <c r="J390" s="423"/>
      <c r="K390" s="204"/>
      <c r="L390" s="204"/>
      <c r="M390" s="203"/>
      <c r="N390" s="388"/>
      <c r="O390" s="48"/>
      <c r="P390" s="370"/>
      <c r="Q390" s="48"/>
    </row>
    <row r="391" spans="1:17" s="445" customFormat="1" ht="15" x14ac:dyDescent="0.25">
      <c r="A391" s="1">
        <v>386</v>
      </c>
      <c r="B391" s="32" t="s">
        <v>712</v>
      </c>
      <c r="C391" s="32">
        <v>3387</v>
      </c>
      <c r="D391" s="32">
        <v>17000</v>
      </c>
      <c r="E391" s="1" t="s">
        <v>80</v>
      </c>
      <c r="F391" s="295">
        <v>189.67</v>
      </c>
      <c r="G391" s="1">
        <v>17000</v>
      </c>
      <c r="H391" s="1">
        <f t="shared" si="7"/>
        <v>0</v>
      </c>
      <c r="I391" s="89"/>
      <c r="J391" s="423"/>
      <c r="K391" s="204"/>
      <c r="L391" s="204"/>
      <c r="M391" s="203"/>
      <c r="N391" s="388"/>
      <c r="O391" s="48"/>
      <c r="P391" s="370"/>
      <c r="Q391" s="48"/>
    </row>
    <row r="392" spans="1:17" s="445" customFormat="1" ht="15" x14ac:dyDescent="0.25">
      <c r="A392" s="1">
        <v>387</v>
      </c>
      <c r="B392" s="32" t="s">
        <v>712</v>
      </c>
      <c r="C392" s="32">
        <v>9786</v>
      </c>
      <c r="D392" s="32">
        <v>15000</v>
      </c>
      <c r="E392" s="1" t="s">
        <v>80</v>
      </c>
      <c r="F392" s="295">
        <v>167.15</v>
      </c>
      <c r="G392" s="1">
        <v>15000</v>
      </c>
      <c r="H392" s="1">
        <f t="shared" si="7"/>
        <v>0</v>
      </c>
      <c r="I392" s="89"/>
      <c r="J392" s="423"/>
      <c r="K392" s="204"/>
      <c r="L392" s="204"/>
      <c r="M392" s="203"/>
      <c r="N392" s="388"/>
      <c r="O392" s="48"/>
      <c r="P392" s="370"/>
      <c r="Q392" s="48"/>
    </row>
    <row r="393" spans="1:17" s="445" customFormat="1" ht="15" x14ac:dyDescent="0.25">
      <c r="A393" s="1">
        <v>388</v>
      </c>
      <c r="B393" s="32" t="s">
        <v>712</v>
      </c>
      <c r="C393" s="32">
        <v>1336</v>
      </c>
      <c r="D393" s="32">
        <v>22500</v>
      </c>
      <c r="E393" s="1" t="s">
        <v>80</v>
      </c>
      <c r="F393" s="295">
        <v>250.37</v>
      </c>
      <c r="G393" s="1">
        <v>22500</v>
      </c>
      <c r="H393" s="1">
        <f t="shared" si="7"/>
        <v>0</v>
      </c>
      <c r="I393" s="89"/>
      <c r="J393" s="423"/>
      <c r="K393" s="204"/>
      <c r="L393" s="204"/>
      <c r="M393" s="203"/>
      <c r="N393" s="388"/>
      <c r="O393" s="48"/>
      <c r="P393" s="370"/>
      <c r="Q393" s="48"/>
    </row>
    <row r="394" spans="1:17" s="445" customFormat="1" ht="15" x14ac:dyDescent="0.25">
      <c r="A394" s="1">
        <v>389</v>
      </c>
      <c r="B394" s="32" t="s">
        <v>712</v>
      </c>
      <c r="C394" s="32">
        <v>7269</v>
      </c>
      <c r="D394" s="32">
        <v>23000</v>
      </c>
      <c r="E394" s="1" t="s">
        <v>80</v>
      </c>
      <c r="F394" s="295">
        <v>256.38</v>
      </c>
      <c r="G394" s="1">
        <v>23000</v>
      </c>
      <c r="H394" s="1">
        <f t="shared" si="7"/>
        <v>0</v>
      </c>
      <c r="I394" s="89"/>
      <c r="J394" s="423"/>
      <c r="K394" s="204"/>
      <c r="L394" s="204"/>
      <c r="M394" s="203"/>
      <c r="N394" s="388"/>
      <c r="O394" s="48"/>
      <c r="P394" s="370"/>
      <c r="Q394" s="48"/>
    </row>
    <row r="395" spans="1:17" s="445" customFormat="1" ht="15" x14ac:dyDescent="0.25">
      <c r="A395" s="1">
        <v>390</v>
      </c>
      <c r="B395" s="32" t="s">
        <v>712</v>
      </c>
      <c r="C395" s="32">
        <v>2668</v>
      </c>
      <c r="D395" s="32">
        <v>17211</v>
      </c>
      <c r="E395" s="1" t="s">
        <v>80</v>
      </c>
      <c r="F395" s="295">
        <v>191.57</v>
      </c>
      <c r="G395" s="1">
        <v>17211</v>
      </c>
      <c r="H395" s="1">
        <f t="shared" si="7"/>
        <v>0</v>
      </c>
      <c r="I395" s="89"/>
      <c r="J395" s="423"/>
      <c r="K395" s="204"/>
      <c r="L395" s="204"/>
      <c r="M395" s="203"/>
      <c r="N395" s="388"/>
      <c r="O395" s="48"/>
      <c r="P395" s="370"/>
      <c r="Q395" s="48"/>
    </row>
    <row r="396" spans="1:17" s="445" customFormat="1" ht="15" x14ac:dyDescent="0.25">
      <c r="A396" s="1">
        <v>391</v>
      </c>
      <c r="B396" s="32" t="s">
        <v>712</v>
      </c>
      <c r="C396" s="32">
        <v>8381</v>
      </c>
      <c r="D396" s="32">
        <v>25000</v>
      </c>
      <c r="E396" s="1" t="s">
        <v>80</v>
      </c>
      <c r="F396" s="295">
        <v>278.22000000000003</v>
      </c>
      <c r="G396" s="1">
        <v>25000</v>
      </c>
      <c r="H396" s="1">
        <f t="shared" si="7"/>
        <v>0</v>
      </c>
      <c r="I396" s="89"/>
      <c r="J396" s="423"/>
      <c r="K396" s="204"/>
      <c r="L396" s="204"/>
      <c r="M396" s="203"/>
      <c r="N396" s="388"/>
      <c r="O396" s="48"/>
      <c r="P396" s="370"/>
      <c r="Q396" s="48"/>
    </row>
    <row r="397" spans="1:17" s="445" customFormat="1" ht="15" x14ac:dyDescent="0.25">
      <c r="A397" s="1">
        <v>392</v>
      </c>
      <c r="B397" s="32" t="s">
        <v>712</v>
      </c>
      <c r="C397" s="32">
        <v>3208</v>
      </c>
      <c r="D397" s="32">
        <v>19000</v>
      </c>
      <c r="E397" s="1" t="s">
        <v>80</v>
      </c>
      <c r="F397" s="295">
        <v>211.38</v>
      </c>
      <c r="G397" s="1">
        <v>19000</v>
      </c>
      <c r="H397" s="1">
        <f t="shared" si="7"/>
        <v>0</v>
      </c>
      <c r="I397" s="89"/>
      <c r="J397" s="423"/>
      <c r="K397" s="204"/>
      <c r="L397" s="204"/>
      <c r="M397" s="203"/>
      <c r="N397" s="388"/>
      <c r="O397" s="48"/>
      <c r="P397" s="370"/>
      <c r="Q397" s="48"/>
    </row>
    <row r="398" spans="1:17" s="445" customFormat="1" ht="15" x14ac:dyDescent="0.25">
      <c r="A398" s="1">
        <v>393</v>
      </c>
      <c r="B398" s="32" t="s">
        <v>712</v>
      </c>
      <c r="C398" s="32">
        <v>5452</v>
      </c>
      <c r="D398" s="32">
        <v>17000</v>
      </c>
      <c r="E398" s="1" t="s">
        <v>80</v>
      </c>
      <c r="F398" s="295">
        <v>189.67</v>
      </c>
      <c r="G398" s="1">
        <v>17000</v>
      </c>
      <c r="H398" s="1">
        <f t="shared" si="7"/>
        <v>0</v>
      </c>
      <c r="I398" s="89"/>
      <c r="J398" s="423"/>
      <c r="K398" s="204"/>
      <c r="L398" s="204"/>
      <c r="M398" s="203"/>
      <c r="N398" s="388"/>
      <c r="O398" s="48"/>
      <c r="P398" s="370"/>
      <c r="Q398" s="48"/>
    </row>
    <row r="399" spans="1:17" s="445" customFormat="1" ht="15" x14ac:dyDescent="0.25">
      <c r="A399" s="1">
        <v>394</v>
      </c>
      <c r="B399" s="32" t="s">
        <v>712</v>
      </c>
      <c r="C399" s="32">
        <v>1438</v>
      </c>
      <c r="D399" s="32">
        <v>19000</v>
      </c>
      <c r="E399" s="1" t="s">
        <v>80</v>
      </c>
      <c r="F399" s="295">
        <v>211.38</v>
      </c>
      <c r="G399" s="1">
        <v>19000</v>
      </c>
      <c r="H399" s="1">
        <f t="shared" si="7"/>
        <v>0</v>
      </c>
      <c r="I399" s="89"/>
      <c r="J399" s="423"/>
      <c r="K399" s="204"/>
      <c r="L399" s="204"/>
      <c r="M399" s="203"/>
      <c r="N399" s="388"/>
      <c r="O399" s="48"/>
      <c r="P399" s="370"/>
      <c r="Q399" s="48"/>
    </row>
    <row r="400" spans="1:17" s="445" customFormat="1" ht="15" x14ac:dyDescent="0.25">
      <c r="A400" s="1">
        <v>395</v>
      </c>
      <c r="B400" s="32" t="s">
        <v>712</v>
      </c>
      <c r="C400" s="32">
        <v>7884</v>
      </c>
      <c r="D400" s="32">
        <v>20000</v>
      </c>
      <c r="E400" s="1" t="s">
        <v>80</v>
      </c>
      <c r="F400" s="295">
        <v>222.82</v>
      </c>
      <c r="G400" s="1">
        <v>20000</v>
      </c>
      <c r="H400" s="1">
        <f t="shared" si="7"/>
        <v>0</v>
      </c>
      <c r="I400" s="89"/>
      <c r="J400" s="423"/>
      <c r="K400" s="204"/>
      <c r="L400" s="204"/>
      <c r="M400" s="203"/>
      <c r="N400" s="388"/>
      <c r="O400" s="48"/>
      <c r="P400" s="370"/>
      <c r="Q400" s="48"/>
    </row>
    <row r="401" spans="1:17" s="445" customFormat="1" ht="15" x14ac:dyDescent="0.25">
      <c r="A401" s="1">
        <v>396</v>
      </c>
      <c r="B401" s="32" t="s">
        <v>712</v>
      </c>
      <c r="C401" s="32">
        <v>8272</v>
      </c>
      <c r="D401" s="32">
        <v>19000</v>
      </c>
      <c r="E401" s="1" t="s">
        <v>80</v>
      </c>
      <c r="F401" s="295">
        <v>211.38</v>
      </c>
      <c r="G401" s="1">
        <v>19000</v>
      </c>
      <c r="H401" s="1">
        <f t="shared" si="7"/>
        <v>0</v>
      </c>
      <c r="I401" s="89"/>
      <c r="J401" s="423"/>
      <c r="K401" s="204"/>
      <c r="L401" s="204"/>
      <c r="M401" s="203"/>
      <c r="N401" s="388"/>
      <c r="O401" s="48"/>
      <c r="P401" s="370"/>
      <c r="Q401" s="48"/>
    </row>
    <row r="402" spans="1:17" s="445" customFormat="1" ht="15" x14ac:dyDescent="0.25">
      <c r="A402" s="1">
        <v>397</v>
      </c>
      <c r="B402" s="32" t="s">
        <v>713</v>
      </c>
      <c r="C402" s="32">
        <v>7847</v>
      </c>
      <c r="D402" s="32">
        <v>19000</v>
      </c>
      <c r="E402" s="1" t="s">
        <v>80</v>
      </c>
      <c r="F402" s="295">
        <v>211.38</v>
      </c>
      <c r="G402" s="1">
        <v>19000</v>
      </c>
      <c r="H402" s="1">
        <f t="shared" si="7"/>
        <v>0</v>
      </c>
      <c r="I402" s="89"/>
      <c r="J402" s="423"/>
      <c r="K402" s="204"/>
      <c r="L402" s="204"/>
      <c r="M402" s="203"/>
      <c r="N402" s="388"/>
      <c r="O402" s="48"/>
      <c r="P402" s="370"/>
      <c r="Q402" s="48"/>
    </row>
    <row r="403" spans="1:17" s="445" customFormat="1" ht="15" x14ac:dyDescent="0.25">
      <c r="A403" s="1">
        <v>398</v>
      </c>
      <c r="B403" s="32" t="s">
        <v>713</v>
      </c>
      <c r="C403" s="32" t="s">
        <v>634</v>
      </c>
      <c r="D403" s="32">
        <v>3000</v>
      </c>
      <c r="E403" s="1" t="s">
        <v>80</v>
      </c>
      <c r="F403" s="295">
        <v>33.67</v>
      </c>
      <c r="G403" s="1">
        <v>3000</v>
      </c>
      <c r="H403" s="1">
        <f t="shared" si="7"/>
        <v>0</v>
      </c>
      <c r="I403" s="89"/>
      <c r="J403" s="423"/>
      <c r="K403" s="204"/>
      <c r="L403" s="204"/>
      <c r="M403" s="203"/>
      <c r="N403" s="388"/>
      <c r="O403" s="48"/>
      <c r="P403" s="370"/>
      <c r="Q403" s="48"/>
    </row>
    <row r="404" spans="1:17" s="445" customFormat="1" ht="15" x14ac:dyDescent="0.25">
      <c r="A404" s="1">
        <v>399</v>
      </c>
      <c r="B404" s="32" t="s">
        <v>713</v>
      </c>
      <c r="C404" s="32">
        <v>4952</v>
      </c>
      <c r="D404" s="32">
        <v>40000</v>
      </c>
      <c r="E404" s="1" t="s">
        <v>80</v>
      </c>
      <c r="F404" s="295">
        <v>445.67</v>
      </c>
      <c r="G404" s="1">
        <v>40000</v>
      </c>
      <c r="H404" s="1">
        <f t="shared" si="7"/>
        <v>0</v>
      </c>
      <c r="I404" s="89"/>
      <c r="J404" s="423"/>
      <c r="K404" s="204"/>
      <c r="L404" s="204"/>
      <c r="M404" s="203"/>
      <c r="N404" s="388"/>
      <c r="O404" s="48"/>
      <c r="P404" s="370"/>
      <c r="Q404" s="48"/>
    </row>
    <row r="405" spans="1:17" s="445" customFormat="1" ht="15" x14ac:dyDescent="0.25">
      <c r="A405" s="1">
        <v>400</v>
      </c>
      <c r="B405" s="32" t="s">
        <v>713</v>
      </c>
      <c r="C405" s="32" t="s">
        <v>30</v>
      </c>
      <c r="D405" s="32">
        <v>5000</v>
      </c>
      <c r="E405" s="1" t="s">
        <v>80</v>
      </c>
      <c r="F405" s="295">
        <v>55.95</v>
      </c>
      <c r="G405" s="1">
        <v>5000</v>
      </c>
      <c r="H405" s="1">
        <f t="shared" si="7"/>
        <v>0</v>
      </c>
      <c r="I405" s="89"/>
      <c r="J405" s="423"/>
      <c r="K405" s="204"/>
      <c r="L405" s="204"/>
      <c r="M405" s="203"/>
      <c r="N405" s="388"/>
      <c r="O405" s="48"/>
      <c r="P405" s="370"/>
      <c r="Q405" s="48"/>
    </row>
    <row r="406" spans="1:17" s="445" customFormat="1" ht="15" x14ac:dyDescent="0.25">
      <c r="A406" s="1">
        <v>401</v>
      </c>
      <c r="B406" s="32" t="s">
        <v>713</v>
      </c>
      <c r="C406" s="32">
        <v>6.4699999999999994E-2</v>
      </c>
      <c r="D406" s="32">
        <v>14000</v>
      </c>
      <c r="E406" s="1" t="s">
        <v>80</v>
      </c>
      <c r="F406" s="295">
        <v>155.82</v>
      </c>
      <c r="G406" s="1">
        <v>14000</v>
      </c>
      <c r="H406" s="1">
        <f t="shared" si="7"/>
        <v>0</v>
      </c>
      <c r="I406" s="89"/>
      <c r="J406" s="423"/>
      <c r="K406" s="204"/>
      <c r="L406" s="204"/>
      <c r="M406" s="203"/>
      <c r="N406" s="388"/>
      <c r="O406" s="48"/>
      <c r="P406" s="370"/>
      <c r="Q406" s="48"/>
    </row>
    <row r="407" spans="1:17" s="445" customFormat="1" ht="15" x14ac:dyDescent="0.25">
      <c r="A407" s="1">
        <v>402</v>
      </c>
      <c r="B407" s="32" t="s">
        <v>713</v>
      </c>
      <c r="C407" s="32">
        <v>3839</v>
      </c>
      <c r="D407" s="32">
        <v>14500</v>
      </c>
      <c r="E407" s="1" t="s">
        <v>80</v>
      </c>
      <c r="F407" s="295">
        <v>161.82</v>
      </c>
      <c r="G407" s="1">
        <v>14500</v>
      </c>
      <c r="H407" s="1">
        <f t="shared" si="7"/>
        <v>0</v>
      </c>
      <c r="I407" s="89"/>
      <c r="J407" s="423"/>
      <c r="K407" s="204"/>
      <c r="L407" s="204"/>
      <c r="M407" s="203"/>
      <c r="N407" s="388"/>
      <c r="O407" s="48"/>
      <c r="P407" s="370"/>
      <c r="Q407" s="48"/>
    </row>
    <row r="408" spans="1:17" s="445" customFormat="1" ht="15" x14ac:dyDescent="0.25">
      <c r="A408" s="1">
        <v>403</v>
      </c>
      <c r="B408" s="32" t="s">
        <v>713</v>
      </c>
      <c r="C408" s="32" t="s">
        <v>30</v>
      </c>
      <c r="D408" s="32">
        <v>5000</v>
      </c>
      <c r="E408" s="1" t="s">
        <v>80</v>
      </c>
      <c r="F408" s="295">
        <v>55.95</v>
      </c>
      <c r="G408" s="1">
        <v>5000</v>
      </c>
      <c r="H408" s="1">
        <f t="shared" si="7"/>
        <v>0</v>
      </c>
      <c r="I408" s="89"/>
      <c r="J408" s="423"/>
      <c r="K408" s="204"/>
      <c r="L408" s="204"/>
      <c r="M408" s="203"/>
      <c r="N408" s="388"/>
      <c r="O408" s="48"/>
      <c r="P408" s="370"/>
      <c r="Q408" s="48"/>
    </row>
    <row r="409" spans="1:17" s="445" customFormat="1" ht="15" x14ac:dyDescent="0.25">
      <c r="A409" s="1">
        <v>404</v>
      </c>
      <c r="B409" s="32" t="s">
        <v>713</v>
      </c>
      <c r="C409" s="32">
        <v>4.7E-2</v>
      </c>
      <c r="D409" s="32">
        <v>20000</v>
      </c>
      <c r="E409" s="1" t="s">
        <v>80</v>
      </c>
      <c r="F409" s="295">
        <v>222.82</v>
      </c>
      <c r="G409" s="1">
        <v>20000</v>
      </c>
      <c r="H409" s="1">
        <f t="shared" ref="H409:H473" si="8">D409-G409</f>
        <v>0</v>
      </c>
      <c r="I409" s="89"/>
      <c r="J409" s="423"/>
      <c r="K409" s="204"/>
      <c r="L409" s="204"/>
      <c r="M409" s="203"/>
      <c r="N409" s="388"/>
      <c r="O409" s="48"/>
      <c r="P409" s="370"/>
      <c r="Q409" s="48"/>
    </row>
    <row r="410" spans="1:17" s="445" customFormat="1" ht="15" x14ac:dyDescent="0.25">
      <c r="A410" s="1">
        <v>405</v>
      </c>
      <c r="B410" s="32" t="s">
        <v>713</v>
      </c>
      <c r="C410" s="32">
        <v>8327</v>
      </c>
      <c r="D410" s="32">
        <v>12000</v>
      </c>
      <c r="E410" s="1" t="s">
        <v>80</v>
      </c>
      <c r="F410" s="295">
        <v>133.41999999999999</v>
      </c>
      <c r="G410" s="1">
        <v>12000</v>
      </c>
      <c r="H410" s="1">
        <f t="shared" si="8"/>
        <v>0</v>
      </c>
      <c r="I410" s="89"/>
      <c r="J410" s="423"/>
      <c r="K410" s="204"/>
      <c r="L410" s="204"/>
      <c r="M410" s="203"/>
      <c r="N410" s="388"/>
      <c r="O410" s="48"/>
      <c r="P410" s="370"/>
      <c r="Q410" s="48"/>
    </row>
    <row r="411" spans="1:17" s="445" customFormat="1" ht="15" x14ac:dyDescent="0.25">
      <c r="A411" s="1">
        <v>406</v>
      </c>
      <c r="B411" s="32" t="s">
        <v>713</v>
      </c>
      <c r="C411" s="32">
        <v>3941</v>
      </c>
      <c r="D411" s="32">
        <v>15000</v>
      </c>
      <c r="E411" s="1" t="s">
        <v>80</v>
      </c>
      <c r="F411" s="295">
        <v>167.15</v>
      </c>
      <c r="G411" s="1">
        <v>15000</v>
      </c>
      <c r="H411" s="1">
        <f t="shared" si="8"/>
        <v>0</v>
      </c>
      <c r="I411" s="89"/>
      <c r="J411" s="423"/>
      <c r="K411" s="204"/>
      <c r="L411" s="204"/>
      <c r="M411" s="203"/>
      <c r="N411" s="388"/>
      <c r="O411" s="48"/>
      <c r="P411" s="370"/>
      <c r="Q411" s="48"/>
    </row>
    <row r="412" spans="1:17" s="445" customFormat="1" ht="15" x14ac:dyDescent="0.25">
      <c r="A412" s="1">
        <v>407</v>
      </c>
      <c r="B412" s="32" t="s">
        <v>713</v>
      </c>
      <c r="C412" s="32" t="s">
        <v>30</v>
      </c>
      <c r="D412" s="32">
        <v>4500</v>
      </c>
      <c r="E412" s="1" t="s">
        <v>80</v>
      </c>
      <c r="F412" s="295">
        <v>50.75</v>
      </c>
      <c r="G412" s="1">
        <v>4500</v>
      </c>
      <c r="H412" s="1">
        <f t="shared" si="8"/>
        <v>0</v>
      </c>
      <c r="I412" s="89"/>
      <c r="J412" s="423"/>
      <c r="K412" s="204"/>
      <c r="L412" s="204"/>
      <c r="M412" s="203"/>
      <c r="N412" s="388"/>
      <c r="O412" s="48"/>
      <c r="P412" s="370"/>
      <c r="Q412" s="48"/>
    </row>
    <row r="413" spans="1:17" s="445" customFormat="1" ht="15" x14ac:dyDescent="0.25">
      <c r="A413" s="1">
        <v>408</v>
      </c>
      <c r="B413" s="32" t="s">
        <v>713</v>
      </c>
      <c r="C413" s="32">
        <v>6012</v>
      </c>
      <c r="D413" s="32">
        <v>15000</v>
      </c>
      <c r="E413" s="1" t="s">
        <v>80</v>
      </c>
      <c r="F413" s="295">
        <v>167.15</v>
      </c>
      <c r="G413" s="1">
        <v>15000</v>
      </c>
      <c r="H413" s="1">
        <f t="shared" si="8"/>
        <v>0</v>
      </c>
      <c r="I413" s="89"/>
      <c r="J413" s="423"/>
      <c r="K413" s="204"/>
      <c r="L413" s="204"/>
      <c r="M413" s="203"/>
      <c r="N413" s="388"/>
      <c r="O413" s="48"/>
      <c r="P413" s="370"/>
      <c r="Q413" s="48"/>
    </row>
    <row r="414" spans="1:17" s="445" customFormat="1" ht="15" x14ac:dyDescent="0.25">
      <c r="A414" s="1">
        <v>409</v>
      </c>
      <c r="B414" s="32" t="s">
        <v>713</v>
      </c>
      <c r="C414" s="32">
        <v>3068</v>
      </c>
      <c r="D414" s="32">
        <v>13000</v>
      </c>
      <c r="E414" s="1" t="s">
        <v>80</v>
      </c>
      <c r="F414" s="295">
        <v>144.13</v>
      </c>
      <c r="G414" s="1">
        <v>13000</v>
      </c>
      <c r="H414" s="1">
        <f t="shared" si="8"/>
        <v>0</v>
      </c>
      <c r="I414" s="89"/>
      <c r="J414" s="423"/>
      <c r="K414" s="204"/>
      <c r="L414" s="204"/>
      <c r="M414" s="203"/>
      <c r="N414" s="388"/>
      <c r="O414" s="48"/>
      <c r="P414" s="370"/>
      <c r="Q414" s="48"/>
    </row>
    <row r="415" spans="1:17" s="445" customFormat="1" ht="15" x14ac:dyDescent="0.25">
      <c r="A415" s="1">
        <v>410</v>
      </c>
      <c r="B415" s="32" t="s">
        <v>713</v>
      </c>
      <c r="C415" s="32">
        <v>5204</v>
      </c>
      <c r="D415" s="32">
        <v>20000</v>
      </c>
      <c r="E415" s="1" t="s">
        <v>80</v>
      </c>
      <c r="F415" s="295">
        <v>222.82</v>
      </c>
      <c r="G415" s="1">
        <v>20000</v>
      </c>
      <c r="H415" s="1">
        <f t="shared" si="8"/>
        <v>0</v>
      </c>
      <c r="I415" s="89"/>
      <c r="J415" s="423"/>
      <c r="K415" s="204"/>
      <c r="L415" s="204"/>
      <c r="M415" s="203"/>
      <c r="N415" s="388"/>
      <c r="O415" s="48"/>
      <c r="P415" s="370"/>
      <c r="Q415" s="48"/>
    </row>
    <row r="416" spans="1:17" s="445" customFormat="1" ht="15" x14ac:dyDescent="0.25">
      <c r="A416" s="1">
        <v>411</v>
      </c>
      <c r="B416" s="32" t="s">
        <v>713</v>
      </c>
      <c r="C416" s="32">
        <v>5543</v>
      </c>
      <c r="D416" s="32">
        <v>15000</v>
      </c>
      <c r="E416" s="1" t="s">
        <v>80</v>
      </c>
      <c r="F416" s="295">
        <v>167.15</v>
      </c>
      <c r="G416" s="1">
        <v>15000</v>
      </c>
      <c r="H416" s="1">
        <f t="shared" si="8"/>
        <v>0</v>
      </c>
      <c r="I416" s="89"/>
      <c r="J416" s="423"/>
      <c r="K416" s="204"/>
      <c r="L416" s="204"/>
      <c r="M416" s="203"/>
      <c r="N416" s="388"/>
      <c r="O416" s="48"/>
      <c r="P416" s="370"/>
      <c r="Q416" s="48"/>
    </row>
    <row r="417" spans="1:17" s="445" customFormat="1" ht="15" x14ac:dyDescent="0.25">
      <c r="A417" s="1">
        <v>412</v>
      </c>
      <c r="B417" s="32" t="s">
        <v>713</v>
      </c>
      <c r="C417" s="32">
        <v>4555</v>
      </c>
      <c r="D417" s="32">
        <v>15000</v>
      </c>
      <c r="E417" s="1" t="s">
        <v>80</v>
      </c>
      <c r="F417" s="295">
        <v>167.15</v>
      </c>
      <c r="G417" s="1">
        <v>15000</v>
      </c>
      <c r="H417" s="1">
        <f t="shared" si="8"/>
        <v>0</v>
      </c>
      <c r="I417" s="89"/>
      <c r="J417" s="423"/>
      <c r="K417" s="204"/>
      <c r="L417" s="204"/>
      <c r="M417" s="203"/>
      <c r="N417" s="388"/>
      <c r="O417" s="48"/>
      <c r="P417" s="370"/>
      <c r="Q417" s="48"/>
    </row>
    <row r="418" spans="1:17" s="445" customFormat="1" ht="15" x14ac:dyDescent="0.25">
      <c r="A418" s="1">
        <v>413</v>
      </c>
      <c r="B418" s="32" t="s">
        <v>713</v>
      </c>
      <c r="C418" s="32">
        <v>3504</v>
      </c>
      <c r="D418" s="32">
        <v>9000</v>
      </c>
      <c r="E418" s="1" t="s">
        <v>80</v>
      </c>
      <c r="F418" s="295">
        <v>100.82</v>
      </c>
      <c r="G418" s="1">
        <v>9000</v>
      </c>
      <c r="H418" s="1">
        <f t="shared" si="8"/>
        <v>0</v>
      </c>
      <c r="I418" s="89"/>
      <c r="J418" s="423"/>
      <c r="K418" s="204"/>
      <c r="L418" s="204"/>
      <c r="M418" s="203"/>
      <c r="N418" s="388"/>
      <c r="O418" s="48"/>
      <c r="P418" s="370"/>
      <c r="Q418" s="48"/>
    </row>
    <row r="419" spans="1:17" s="445" customFormat="1" ht="15" x14ac:dyDescent="0.25">
      <c r="A419" s="1">
        <v>414</v>
      </c>
      <c r="B419" s="32" t="s">
        <v>713</v>
      </c>
      <c r="C419" s="32">
        <v>2354</v>
      </c>
      <c r="D419" s="32">
        <v>17000</v>
      </c>
      <c r="E419" s="1" t="s">
        <v>80</v>
      </c>
      <c r="F419" s="295">
        <v>189.67</v>
      </c>
      <c r="G419" s="1">
        <v>17000</v>
      </c>
      <c r="H419" s="1">
        <f t="shared" si="8"/>
        <v>0</v>
      </c>
      <c r="I419" s="89"/>
      <c r="J419" s="423"/>
      <c r="K419" s="204"/>
      <c r="L419" s="204"/>
      <c r="M419" s="203"/>
      <c r="N419" s="388"/>
      <c r="O419" s="48"/>
      <c r="P419" s="370"/>
      <c r="Q419" s="48"/>
    </row>
    <row r="420" spans="1:17" s="445" customFormat="1" ht="15" x14ac:dyDescent="0.25">
      <c r="A420" s="1">
        <v>415</v>
      </c>
      <c r="B420" s="32" t="s">
        <v>713</v>
      </c>
      <c r="C420" s="32">
        <v>9378</v>
      </c>
      <c r="D420" s="32">
        <v>23000</v>
      </c>
      <c r="E420" s="1" t="s">
        <v>80</v>
      </c>
      <c r="F420" s="295">
        <v>256.38</v>
      </c>
      <c r="G420" s="1">
        <v>23000</v>
      </c>
      <c r="H420" s="1">
        <f t="shared" si="8"/>
        <v>0</v>
      </c>
      <c r="I420" s="89"/>
      <c r="J420" s="423"/>
      <c r="K420" s="204"/>
      <c r="L420" s="204"/>
      <c r="M420" s="203"/>
      <c r="N420" s="388"/>
      <c r="O420" s="48"/>
      <c r="P420" s="370"/>
      <c r="Q420" s="48"/>
    </row>
    <row r="421" spans="1:17" s="445" customFormat="1" ht="15" x14ac:dyDescent="0.25">
      <c r="A421" s="1">
        <v>416</v>
      </c>
      <c r="B421" s="32" t="s">
        <v>713</v>
      </c>
      <c r="C421" s="32">
        <v>4365</v>
      </c>
      <c r="D421" s="32">
        <v>16000</v>
      </c>
      <c r="E421" s="1" t="s">
        <v>80</v>
      </c>
      <c r="F421" s="295">
        <v>178.22</v>
      </c>
      <c r="G421" s="1">
        <v>16000</v>
      </c>
      <c r="H421" s="1">
        <f t="shared" si="8"/>
        <v>0</v>
      </c>
      <c r="I421" s="89"/>
      <c r="J421" s="423"/>
      <c r="K421" s="204"/>
      <c r="L421" s="204"/>
      <c r="M421" s="203"/>
      <c r="N421" s="388"/>
      <c r="O421" s="48"/>
      <c r="P421" s="370"/>
      <c r="Q421" s="48"/>
    </row>
    <row r="422" spans="1:17" s="445" customFormat="1" ht="15" x14ac:dyDescent="0.25">
      <c r="A422" s="1">
        <v>417</v>
      </c>
      <c r="B422" s="32" t="s">
        <v>713</v>
      </c>
      <c r="C422" s="32">
        <v>9585</v>
      </c>
      <c r="D422" s="32">
        <v>12000</v>
      </c>
      <c r="E422" s="1" t="s">
        <v>80</v>
      </c>
      <c r="F422" s="295">
        <v>133.41999999999999</v>
      </c>
      <c r="G422" s="1">
        <v>12000</v>
      </c>
      <c r="H422" s="1">
        <f t="shared" si="8"/>
        <v>0</v>
      </c>
      <c r="I422" s="89"/>
      <c r="J422" s="423"/>
      <c r="K422" s="204"/>
      <c r="L422" s="204"/>
      <c r="M422" s="203"/>
      <c r="N422" s="388"/>
      <c r="O422" s="48"/>
      <c r="P422" s="370"/>
      <c r="Q422" s="48"/>
    </row>
    <row r="423" spans="1:17" s="445" customFormat="1" ht="15" x14ac:dyDescent="0.25">
      <c r="A423" s="1">
        <v>418</v>
      </c>
      <c r="B423" s="32" t="s">
        <v>713</v>
      </c>
      <c r="C423" s="32">
        <v>7507</v>
      </c>
      <c r="D423" s="32">
        <v>30000</v>
      </c>
      <c r="E423" s="1" t="s">
        <v>80</v>
      </c>
      <c r="F423" s="295">
        <v>334.82</v>
      </c>
      <c r="G423" s="1">
        <v>30000</v>
      </c>
      <c r="H423" s="1">
        <f t="shared" si="8"/>
        <v>0</v>
      </c>
      <c r="I423" s="89"/>
      <c r="J423" s="423"/>
      <c r="K423" s="204"/>
      <c r="L423" s="204"/>
      <c r="M423" s="203"/>
      <c r="N423" s="388"/>
      <c r="O423" s="48"/>
      <c r="P423" s="370"/>
      <c r="Q423" s="48"/>
    </row>
    <row r="424" spans="1:17" s="445" customFormat="1" ht="15" x14ac:dyDescent="0.25">
      <c r="A424" s="1">
        <v>419</v>
      </c>
      <c r="B424" s="32" t="s">
        <v>713</v>
      </c>
      <c r="C424" s="32">
        <v>7428</v>
      </c>
      <c r="D424" s="32">
        <v>10000</v>
      </c>
      <c r="E424" s="1" t="s">
        <v>80</v>
      </c>
      <c r="F424" s="295">
        <v>111.41</v>
      </c>
      <c r="G424" s="1">
        <v>10000</v>
      </c>
      <c r="H424" s="1">
        <f t="shared" si="8"/>
        <v>0</v>
      </c>
      <c r="I424" s="89"/>
      <c r="J424" s="423"/>
      <c r="K424" s="204"/>
      <c r="L424" s="204"/>
      <c r="M424" s="203"/>
      <c r="N424" s="388"/>
      <c r="O424" s="48"/>
      <c r="P424" s="370"/>
      <c r="Q424" s="48"/>
    </row>
    <row r="425" spans="1:17" s="445" customFormat="1" ht="15" x14ac:dyDescent="0.25">
      <c r="A425" s="1">
        <v>420</v>
      </c>
      <c r="B425" s="32" t="s">
        <v>713</v>
      </c>
      <c r="C425" s="32">
        <v>9311</v>
      </c>
      <c r="D425" s="32">
        <v>23000</v>
      </c>
      <c r="E425" s="1" t="s">
        <v>80</v>
      </c>
      <c r="F425" s="295">
        <v>256.38</v>
      </c>
      <c r="G425" s="1">
        <v>23000</v>
      </c>
      <c r="H425" s="1">
        <f t="shared" si="8"/>
        <v>0</v>
      </c>
      <c r="I425" s="89"/>
      <c r="J425" s="423"/>
      <c r="K425" s="204"/>
      <c r="L425" s="204"/>
      <c r="M425" s="203"/>
      <c r="N425" s="388"/>
      <c r="O425" s="48"/>
      <c r="P425" s="370"/>
      <c r="Q425" s="48"/>
    </row>
    <row r="426" spans="1:17" s="445" customFormat="1" ht="15" x14ac:dyDescent="0.25">
      <c r="A426" s="1">
        <v>421</v>
      </c>
      <c r="B426" s="32" t="s">
        <v>713</v>
      </c>
      <c r="C426" s="32">
        <v>2726</v>
      </c>
      <c r="D426" s="32">
        <v>18000</v>
      </c>
      <c r="E426" s="1" t="s">
        <v>80</v>
      </c>
      <c r="F426" s="295">
        <v>200.82</v>
      </c>
      <c r="G426" s="1">
        <v>18000</v>
      </c>
      <c r="H426" s="1">
        <f t="shared" si="8"/>
        <v>0</v>
      </c>
      <c r="I426" s="89"/>
      <c r="J426" s="423"/>
      <c r="K426" s="204"/>
      <c r="L426" s="204"/>
      <c r="M426" s="203"/>
      <c r="N426" s="388"/>
      <c r="O426" s="48"/>
      <c r="P426" s="370"/>
      <c r="Q426" s="48"/>
    </row>
    <row r="427" spans="1:17" s="445" customFormat="1" ht="15" x14ac:dyDescent="0.25">
      <c r="A427" s="1">
        <v>422</v>
      </c>
      <c r="B427" s="32" t="s">
        <v>713</v>
      </c>
      <c r="C427" s="32">
        <v>3313</v>
      </c>
      <c r="D427" s="32">
        <v>21000</v>
      </c>
      <c r="E427" s="1" t="s">
        <v>80</v>
      </c>
      <c r="F427" s="295">
        <v>233.74</v>
      </c>
      <c r="G427" s="1">
        <v>21000</v>
      </c>
      <c r="H427" s="1">
        <f t="shared" si="8"/>
        <v>0</v>
      </c>
      <c r="I427" s="89"/>
      <c r="J427" s="423"/>
      <c r="K427" s="204"/>
      <c r="L427" s="204"/>
      <c r="M427" s="203"/>
      <c r="N427" s="388"/>
      <c r="O427" s="48"/>
      <c r="P427" s="370"/>
      <c r="Q427" s="48"/>
    </row>
    <row r="428" spans="1:17" s="445" customFormat="1" ht="15.75" thickBot="1" x14ac:dyDescent="0.3">
      <c r="A428" s="1">
        <v>423</v>
      </c>
      <c r="B428" s="32" t="s">
        <v>713</v>
      </c>
      <c r="C428" s="32">
        <v>4.7199999999999999E-2</v>
      </c>
      <c r="D428" s="32">
        <v>21000</v>
      </c>
      <c r="E428" s="1" t="s">
        <v>80</v>
      </c>
      <c r="F428" s="295">
        <v>233.74</v>
      </c>
      <c r="G428" s="1">
        <v>21000</v>
      </c>
      <c r="H428" s="1">
        <f t="shared" si="8"/>
        <v>0</v>
      </c>
      <c r="I428" s="89"/>
      <c r="J428" s="423"/>
      <c r="K428" s="204"/>
      <c r="L428" s="204"/>
      <c r="M428" s="203"/>
      <c r="N428" s="388"/>
      <c r="O428" s="48"/>
      <c r="P428" s="370"/>
      <c r="Q428" s="48"/>
    </row>
    <row r="429" spans="1:17" s="445" customFormat="1" ht="15.75" thickBot="1" x14ac:dyDescent="0.3">
      <c r="A429" s="1">
        <v>424</v>
      </c>
      <c r="B429" s="32" t="s">
        <v>713</v>
      </c>
      <c r="C429" s="32">
        <v>8489</v>
      </c>
      <c r="D429" s="32">
        <v>30000</v>
      </c>
      <c r="E429" s="1" t="s">
        <v>80</v>
      </c>
      <c r="F429" s="295">
        <v>334.82</v>
      </c>
      <c r="G429" s="1">
        <v>30000</v>
      </c>
      <c r="H429" s="1">
        <f t="shared" si="8"/>
        <v>0</v>
      </c>
      <c r="I429" s="89"/>
      <c r="J429" s="423"/>
      <c r="K429" s="204"/>
      <c r="L429" s="204"/>
      <c r="M429" s="203"/>
      <c r="N429" s="103">
        <f>2685714-2664452</f>
        <v>21262</v>
      </c>
      <c r="O429" s="359" t="s">
        <v>714</v>
      </c>
      <c r="P429" s="367" t="s">
        <v>620</v>
      </c>
      <c r="Q429" s="360">
        <f>21262-4450</f>
        <v>16812</v>
      </c>
    </row>
    <row r="430" spans="1:17" s="446" customFormat="1" ht="15" x14ac:dyDescent="0.25">
      <c r="A430" s="1">
        <v>425</v>
      </c>
      <c r="B430" s="32" t="s">
        <v>715</v>
      </c>
      <c r="C430" s="32">
        <v>2258</v>
      </c>
      <c r="D430" s="32">
        <v>10000</v>
      </c>
      <c r="E430" s="1"/>
      <c r="F430" s="295">
        <v>111.42</v>
      </c>
      <c r="G430" s="1">
        <v>10000</v>
      </c>
      <c r="H430" s="1">
        <f t="shared" si="8"/>
        <v>0</v>
      </c>
      <c r="I430" s="89"/>
      <c r="J430" s="423"/>
      <c r="K430" s="204"/>
      <c r="L430" s="204"/>
      <c r="M430" s="203"/>
      <c r="N430" s="388"/>
      <c r="O430" s="48"/>
      <c r="P430" s="370"/>
      <c r="Q430" s="48"/>
    </row>
    <row r="431" spans="1:17" s="446" customFormat="1" ht="15" x14ac:dyDescent="0.25">
      <c r="A431" s="1">
        <v>426</v>
      </c>
      <c r="B431" s="32" t="s">
        <v>715</v>
      </c>
      <c r="C431" s="32">
        <v>1827</v>
      </c>
      <c r="D431" s="32">
        <v>9000</v>
      </c>
      <c r="E431" s="1" t="s">
        <v>80</v>
      </c>
      <c r="F431" s="295">
        <v>100.98</v>
      </c>
      <c r="G431" s="1">
        <v>9000</v>
      </c>
      <c r="H431" s="1">
        <f t="shared" si="8"/>
        <v>0</v>
      </c>
      <c r="I431" s="89"/>
      <c r="J431" s="423"/>
      <c r="K431" s="204"/>
      <c r="L431" s="204"/>
      <c r="M431" s="203"/>
      <c r="N431" s="388"/>
      <c r="O431" s="48"/>
      <c r="P431" s="370"/>
      <c r="Q431" s="48"/>
    </row>
    <row r="432" spans="1:17" s="446" customFormat="1" ht="15" x14ac:dyDescent="0.25">
      <c r="A432" s="1">
        <v>427</v>
      </c>
      <c r="B432" s="32" t="s">
        <v>715</v>
      </c>
      <c r="C432" s="32">
        <v>8569</v>
      </c>
      <c r="D432" s="32">
        <v>13000</v>
      </c>
      <c r="E432" s="1" t="s">
        <v>80</v>
      </c>
      <c r="F432" s="295">
        <v>144.13</v>
      </c>
      <c r="G432" s="1">
        <v>13000</v>
      </c>
      <c r="H432" s="1">
        <f t="shared" si="8"/>
        <v>0</v>
      </c>
      <c r="I432" s="89"/>
      <c r="J432" s="423"/>
      <c r="K432" s="204"/>
      <c r="L432" s="204"/>
      <c r="M432" s="203"/>
      <c r="N432" s="388"/>
      <c r="O432" s="48"/>
      <c r="P432" s="370"/>
      <c r="Q432" s="48"/>
    </row>
    <row r="433" spans="1:17" s="446" customFormat="1" ht="15" x14ac:dyDescent="0.25">
      <c r="A433" s="1">
        <v>428</v>
      </c>
      <c r="B433" s="32" t="s">
        <v>715</v>
      </c>
      <c r="C433" s="32">
        <v>2260</v>
      </c>
      <c r="D433" s="32">
        <v>14000</v>
      </c>
      <c r="E433" s="1" t="s">
        <v>80</v>
      </c>
      <c r="F433" s="295">
        <v>155.44999999999999</v>
      </c>
      <c r="G433" s="1">
        <v>14000</v>
      </c>
      <c r="H433" s="1">
        <f t="shared" si="8"/>
        <v>0</v>
      </c>
      <c r="I433" s="89"/>
      <c r="J433" s="423"/>
      <c r="K433" s="204"/>
      <c r="L433" s="204"/>
      <c r="M433" s="203"/>
      <c r="N433" s="388"/>
      <c r="O433" s="48"/>
      <c r="P433" s="370"/>
      <c r="Q433" s="48"/>
    </row>
    <row r="434" spans="1:17" s="446" customFormat="1" ht="15" x14ac:dyDescent="0.25">
      <c r="A434" s="1">
        <v>429</v>
      </c>
      <c r="B434" s="32" t="s">
        <v>715</v>
      </c>
      <c r="C434" s="32">
        <v>5838</v>
      </c>
      <c r="D434" s="32">
        <v>13000</v>
      </c>
      <c r="E434" s="1" t="s">
        <v>80</v>
      </c>
      <c r="F434" s="295">
        <v>144.13</v>
      </c>
      <c r="G434" s="1">
        <v>13000</v>
      </c>
      <c r="H434" s="1">
        <f t="shared" si="8"/>
        <v>0</v>
      </c>
      <c r="I434" s="89"/>
      <c r="J434" s="423"/>
      <c r="K434" s="204"/>
      <c r="L434" s="204"/>
      <c r="M434" s="203"/>
      <c r="N434" s="388"/>
      <c r="O434" s="48"/>
      <c r="P434" s="370"/>
      <c r="Q434" s="48"/>
    </row>
    <row r="435" spans="1:17" s="446" customFormat="1" ht="15" x14ac:dyDescent="0.25">
      <c r="A435" s="1">
        <v>430</v>
      </c>
      <c r="B435" s="32" t="s">
        <v>715</v>
      </c>
      <c r="C435" s="32" t="s">
        <v>633</v>
      </c>
      <c r="D435" s="32">
        <v>210</v>
      </c>
      <c r="E435" s="1"/>
      <c r="F435" s="295">
        <v>2.09</v>
      </c>
      <c r="G435" s="1">
        <v>210</v>
      </c>
      <c r="H435" s="1">
        <f t="shared" si="8"/>
        <v>0</v>
      </c>
      <c r="I435" s="89"/>
      <c r="J435" s="423"/>
      <c r="K435" s="204"/>
      <c r="L435" s="204"/>
      <c r="M435" s="203"/>
      <c r="N435" s="388"/>
      <c r="O435" s="48"/>
      <c r="P435" s="370"/>
      <c r="Q435" s="48"/>
    </row>
    <row r="436" spans="1:17" s="446" customFormat="1" ht="15" x14ac:dyDescent="0.25">
      <c r="A436" s="1">
        <v>431</v>
      </c>
      <c r="B436" s="32" t="s">
        <v>715</v>
      </c>
      <c r="C436" s="32" t="s">
        <v>30</v>
      </c>
      <c r="D436" s="32">
        <v>5000</v>
      </c>
      <c r="E436" s="1" t="s">
        <v>80</v>
      </c>
      <c r="F436" s="295">
        <v>55.45</v>
      </c>
      <c r="G436" s="1">
        <v>5000</v>
      </c>
      <c r="H436" s="1">
        <f t="shared" si="8"/>
        <v>0</v>
      </c>
      <c r="I436" s="89"/>
      <c r="J436" s="423"/>
      <c r="K436" s="204"/>
      <c r="L436" s="204"/>
      <c r="M436" s="203"/>
      <c r="N436" s="388"/>
      <c r="O436" s="48"/>
      <c r="P436" s="370"/>
      <c r="Q436" s="48"/>
    </row>
    <row r="437" spans="1:17" s="446" customFormat="1" ht="15" x14ac:dyDescent="0.25">
      <c r="A437" s="1">
        <v>432</v>
      </c>
      <c r="B437" s="32" t="s">
        <v>715</v>
      </c>
      <c r="C437" s="32">
        <v>4.4499999999999998E-2</v>
      </c>
      <c r="D437" s="32">
        <v>12500</v>
      </c>
      <c r="E437" s="1" t="s">
        <v>80</v>
      </c>
      <c r="F437" s="295">
        <v>133.94999999999999</v>
      </c>
      <c r="G437" s="1">
        <v>12500</v>
      </c>
      <c r="H437" s="1">
        <f t="shared" si="8"/>
        <v>0</v>
      </c>
      <c r="I437" s="89"/>
      <c r="J437" s="423"/>
      <c r="K437" s="204"/>
      <c r="L437" s="204"/>
      <c r="M437" s="203"/>
      <c r="N437" s="388"/>
      <c r="O437" s="48"/>
      <c r="P437" s="370"/>
      <c r="Q437" s="48"/>
    </row>
    <row r="438" spans="1:17" s="446" customFormat="1" ht="15" x14ac:dyDescent="0.25">
      <c r="A438" s="1">
        <v>433</v>
      </c>
      <c r="B438" s="32" t="s">
        <v>715</v>
      </c>
      <c r="C438" s="32">
        <v>5252</v>
      </c>
      <c r="D438" s="32">
        <v>17000</v>
      </c>
      <c r="E438" s="1" t="s">
        <v>80</v>
      </c>
      <c r="F438" s="295">
        <v>189.72</v>
      </c>
      <c r="G438" s="1">
        <v>17000</v>
      </c>
      <c r="H438" s="1">
        <f t="shared" si="8"/>
        <v>0</v>
      </c>
      <c r="I438" s="89"/>
      <c r="J438" s="423"/>
      <c r="K438" s="204"/>
      <c r="L438" s="204"/>
      <c r="M438" s="203"/>
      <c r="N438" s="388"/>
      <c r="O438" s="48"/>
      <c r="P438" s="370"/>
      <c r="Q438" s="48"/>
    </row>
    <row r="439" spans="1:17" s="446" customFormat="1" ht="15" x14ac:dyDescent="0.25">
      <c r="A439" s="1">
        <v>434</v>
      </c>
      <c r="B439" s="32" t="s">
        <v>715</v>
      </c>
      <c r="C439" s="32">
        <v>4.7800000000000002E-2</v>
      </c>
      <c r="D439" s="32">
        <v>13000</v>
      </c>
      <c r="E439" s="1" t="s">
        <v>80</v>
      </c>
      <c r="F439" s="295">
        <v>144.13</v>
      </c>
      <c r="G439" s="1">
        <v>13000</v>
      </c>
      <c r="H439" s="1">
        <f t="shared" si="8"/>
        <v>0</v>
      </c>
      <c r="I439" s="89"/>
      <c r="J439" s="423"/>
      <c r="K439" s="204"/>
      <c r="L439" s="204"/>
      <c r="M439" s="203"/>
      <c r="N439" s="388"/>
      <c r="O439" s="48"/>
      <c r="P439" s="370"/>
      <c r="Q439" s="48"/>
    </row>
    <row r="440" spans="1:17" s="446" customFormat="1" ht="15" x14ac:dyDescent="0.25">
      <c r="A440" s="1">
        <v>435</v>
      </c>
      <c r="B440" s="32" t="s">
        <v>715</v>
      </c>
      <c r="C440" s="32">
        <v>8129</v>
      </c>
      <c r="D440" s="32">
        <v>28100</v>
      </c>
      <c r="E440" s="1" t="s">
        <v>80</v>
      </c>
      <c r="F440" s="295">
        <v>313.67</v>
      </c>
      <c r="G440" s="1">
        <v>28100</v>
      </c>
      <c r="H440" s="1">
        <f t="shared" si="8"/>
        <v>0</v>
      </c>
      <c r="I440" s="89"/>
      <c r="J440" s="423"/>
      <c r="K440" s="204"/>
      <c r="L440" s="204"/>
      <c r="M440" s="203"/>
      <c r="N440" s="388"/>
      <c r="O440" s="48"/>
      <c r="P440" s="370"/>
      <c r="Q440" s="48"/>
    </row>
    <row r="441" spans="1:17" s="446" customFormat="1" ht="15" x14ac:dyDescent="0.25">
      <c r="A441" s="1">
        <v>436</v>
      </c>
      <c r="B441" s="32" t="s">
        <v>715</v>
      </c>
      <c r="C441" s="32">
        <v>2345</v>
      </c>
      <c r="D441" s="32">
        <v>20000</v>
      </c>
      <c r="E441" s="1" t="s">
        <v>80</v>
      </c>
      <c r="F441" s="295">
        <v>222.82</v>
      </c>
      <c r="G441" s="1">
        <v>20000</v>
      </c>
      <c r="H441" s="1">
        <f t="shared" si="8"/>
        <v>0</v>
      </c>
      <c r="I441" s="89"/>
      <c r="J441" s="423"/>
      <c r="K441" s="204"/>
      <c r="L441" s="204"/>
      <c r="M441" s="203"/>
      <c r="N441" s="388"/>
      <c r="O441" s="48"/>
      <c r="P441" s="370"/>
      <c r="Q441" s="48"/>
    </row>
    <row r="442" spans="1:17" s="446" customFormat="1" ht="15" x14ac:dyDescent="0.25">
      <c r="A442" s="1">
        <v>437</v>
      </c>
      <c r="B442" s="32" t="s">
        <v>715</v>
      </c>
      <c r="C442" s="32">
        <v>7366</v>
      </c>
      <c r="D442" s="32">
        <v>16000</v>
      </c>
      <c r="E442" s="1" t="s">
        <v>80</v>
      </c>
      <c r="F442" s="295">
        <v>178.22</v>
      </c>
      <c r="G442" s="1">
        <v>16000</v>
      </c>
      <c r="H442" s="1">
        <f t="shared" si="8"/>
        <v>0</v>
      </c>
      <c r="I442" s="89"/>
      <c r="J442" s="423"/>
      <c r="K442" s="204"/>
      <c r="L442" s="204"/>
      <c r="M442" s="203"/>
      <c r="N442" s="388"/>
      <c r="O442" s="48"/>
      <c r="P442" s="370"/>
      <c r="Q442" s="48"/>
    </row>
    <row r="443" spans="1:17" s="446" customFormat="1" ht="15" x14ac:dyDescent="0.25">
      <c r="A443" s="1">
        <v>438</v>
      </c>
      <c r="B443" s="32" t="s">
        <v>715</v>
      </c>
      <c r="C443" s="32">
        <v>5.8400000000000001E-2</v>
      </c>
      <c r="D443" s="32">
        <v>22000</v>
      </c>
      <c r="E443" s="1" t="s">
        <v>80</v>
      </c>
      <c r="F443" s="295">
        <v>245.64</v>
      </c>
      <c r="G443" s="1">
        <v>22000</v>
      </c>
      <c r="H443" s="1">
        <f t="shared" si="8"/>
        <v>0</v>
      </c>
      <c r="I443" s="89"/>
      <c r="J443" s="423"/>
      <c r="K443" s="204"/>
      <c r="L443" s="204"/>
      <c r="M443" s="203"/>
      <c r="N443" s="388"/>
      <c r="O443" s="48"/>
      <c r="P443" s="370"/>
      <c r="Q443" s="48"/>
    </row>
    <row r="444" spans="1:17" s="446" customFormat="1" ht="15" x14ac:dyDescent="0.25">
      <c r="A444" s="1">
        <v>439</v>
      </c>
      <c r="B444" s="32" t="s">
        <v>715</v>
      </c>
      <c r="C444" s="32">
        <v>1.2E-2</v>
      </c>
      <c r="D444" s="32">
        <v>18000</v>
      </c>
      <c r="E444" s="1" t="s">
        <v>80</v>
      </c>
      <c r="F444" s="295">
        <v>200.82</v>
      </c>
      <c r="G444" s="1">
        <v>18000</v>
      </c>
      <c r="H444" s="1">
        <f t="shared" si="8"/>
        <v>0</v>
      </c>
      <c r="I444" s="89"/>
      <c r="J444" s="423"/>
      <c r="K444" s="204"/>
      <c r="L444" s="204"/>
      <c r="M444" s="203"/>
      <c r="N444" s="388"/>
      <c r="O444" s="48"/>
      <c r="P444" s="370"/>
      <c r="Q444" s="48"/>
    </row>
    <row r="445" spans="1:17" s="446" customFormat="1" ht="15" x14ac:dyDescent="0.25">
      <c r="A445" s="1">
        <v>440</v>
      </c>
      <c r="B445" s="32" t="s">
        <v>715</v>
      </c>
      <c r="C445" s="32">
        <v>7.9799999999999996E-2</v>
      </c>
      <c r="D445" s="32">
        <v>30000</v>
      </c>
      <c r="E445" s="1" t="s">
        <v>80</v>
      </c>
      <c r="F445" s="295">
        <v>334.82</v>
      </c>
      <c r="G445" s="1">
        <v>30000</v>
      </c>
      <c r="H445" s="1">
        <f t="shared" si="8"/>
        <v>0</v>
      </c>
      <c r="I445" s="89"/>
      <c r="J445" s="423"/>
      <c r="K445" s="204"/>
      <c r="L445" s="204"/>
      <c r="M445" s="203"/>
      <c r="N445" s="388"/>
      <c r="O445" s="48"/>
      <c r="P445" s="370"/>
      <c r="Q445" s="48"/>
    </row>
    <row r="446" spans="1:17" s="446" customFormat="1" ht="15" x14ac:dyDescent="0.25">
      <c r="A446" s="1">
        <v>441</v>
      </c>
      <c r="B446" s="32" t="s">
        <v>715</v>
      </c>
      <c r="C446" s="32">
        <v>8135</v>
      </c>
      <c r="D446" s="32">
        <v>23000</v>
      </c>
      <c r="E446" s="1" t="s">
        <v>80</v>
      </c>
      <c r="F446" s="295">
        <v>256.95999999999998</v>
      </c>
      <c r="G446" s="1">
        <v>23000</v>
      </c>
      <c r="H446" s="1">
        <f t="shared" si="8"/>
        <v>0</v>
      </c>
      <c r="I446" s="89"/>
      <c r="J446" s="423"/>
      <c r="K446" s="204"/>
      <c r="L446" s="204"/>
      <c r="M446" s="203"/>
      <c r="N446" s="388"/>
      <c r="O446" s="48"/>
      <c r="P446" s="370"/>
      <c r="Q446" s="48"/>
    </row>
    <row r="447" spans="1:17" s="446" customFormat="1" ht="15" x14ac:dyDescent="0.25">
      <c r="A447" s="1">
        <v>442</v>
      </c>
      <c r="B447" s="32" t="s">
        <v>715</v>
      </c>
      <c r="C447" s="32">
        <v>6151</v>
      </c>
      <c r="D447" s="32">
        <v>25000</v>
      </c>
      <c r="E447" s="1" t="s">
        <v>80</v>
      </c>
      <c r="F447" s="295">
        <v>278.22000000000003</v>
      </c>
      <c r="G447" s="1">
        <v>25000</v>
      </c>
      <c r="H447" s="1">
        <f t="shared" si="8"/>
        <v>0</v>
      </c>
      <c r="I447" s="89"/>
      <c r="J447" s="423"/>
      <c r="K447" s="204"/>
      <c r="L447" s="204"/>
      <c r="M447" s="203"/>
      <c r="N447" s="388"/>
      <c r="O447" s="48"/>
      <c r="P447" s="370"/>
      <c r="Q447" s="48"/>
    </row>
    <row r="448" spans="1:17" s="446" customFormat="1" ht="15" x14ac:dyDescent="0.25">
      <c r="A448" s="1">
        <v>443</v>
      </c>
      <c r="B448" s="32" t="s">
        <v>715</v>
      </c>
      <c r="C448" s="32">
        <v>5596</v>
      </c>
      <c r="D448" s="32">
        <v>23000</v>
      </c>
      <c r="E448" s="1" t="s">
        <v>80</v>
      </c>
      <c r="F448" s="295">
        <v>250.67</v>
      </c>
      <c r="G448" s="1">
        <v>23000</v>
      </c>
      <c r="H448" s="1">
        <f t="shared" si="8"/>
        <v>0</v>
      </c>
      <c r="I448" s="89"/>
      <c r="J448" s="423"/>
      <c r="K448" s="204"/>
      <c r="L448" s="204"/>
      <c r="M448" s="203"/>
      <c r="N448" s="388"/>
      <c r="O448" s="48"/>
      <c r="P448" s="370"/>
      <c r="Q448" s="48"/>
    </row>
    <row r="449" spans="1:17" s="446" customFormat="1" ht="15" x14ac:dyDescent="0.25">
      <c r="A449" s="1">
        <v>444</v>
      </c>
      <c r="B449" s="32" t="s">
        <v>715</v>
      </c>
      <c r="C449" s="32">
        <v>1386</v>
      </c>
      <c r="D449" s="32">
        <v>27000</v>
      </c>
      <c r="E449" s="1" t="s">
        <v>80</v>
      </c>
      <c r="F449" s="295">
        <v>296.87</v>
      </c>
      <c r="G449" s="1">
        <v>27000</v>
      </c>
      <c r="H449" s="1">
        <f t="shared" si="8"/>
        <v>0</v>
      </c>
      <c r="I449" s="89"/>
      <c r="J449" s="423"/>
      <c r="K449" s="204"/>
      <c r="L449" s="204"/>
      <c r="M449" s="203"/>
      <c r="N449" s="388"/>
      <c r="O449" s="48"/>
      <c r="P449" s="370"/>
      <c r="Q449" s="48"/>
    </row>
    <row r="450" spans="1:17" s="446" customFormat="1" ht="15" x14ac:dyDescent="0.25">
      <c r="A450" s="1">
        <v>445</v>
      </c>
      <c r="B450" s="32" t="s">
        <v>715</v>
      </c>
      <c r="C450" s="32">
        <v>9051</v>
      </c>
      <c r="D450" s="32">
        <v>18000</v>
      </c>
      <c r="E450" s="1" t="s">
        <v>80</v>
      </c>
      <c r="F450" s="295">
        <v>200.82</v>
      </c>
      <c r="G450" s="1">
        <v>18000</v>
      </c>
      <c r="H450" s="1">
        <f t="shared" si="8"/>
        <v>0</v>
      </c>
      <c r="I450" s="89"/>
      <c r="J450" s="423"/>
      <c r="K450" s="204"/>
      <c r="L450" s="204"/>
      <c r="M450" s="203"/>
      <c r="N450" s="388"/>
      <c r="O450" s="48"/>
      <c r="P450" s="370"/>
      <c r="Q450" s="48"/>
    </row>
    <row r="451" spans="1:17" s="446" customFormat="1" ht="15" x14ac:dyDescent="0.25">
      <c r="A451" s="1">
        <v>446</v>
      </c>
      <c r="B451" s="32" t="s">
        <v>715</v>
      </c>
      <c r="C451" s="32">
        <v>2670</v>
      </c>
      <c r="D451" s="32">
        <v>20000</v>
      </c>
      <c r="E451" s="1" t="s">
        <v>80</v>
      </c>
      <c r="F451" s="295">
        <v>222.82</v>
      </c>
      <c r="G451" s="1">
        <v>20000</v>
      </c>
      <c r="H451" s="1">
        <f t="shared" si="8"/>
        <v>0</v>
      </c>
      <c r="I451" s="89"/>
      <c r="J451" s="423"/>
      <c r="K451" s="204"/>
      <c r="L451" s="204"/>
      <c r="M451" s="203"/>
      <c r="N451" s="388"/>
      <c r="O451" s="48"/>
      <c r="P451" s="370"/>
      <c r="Q451" s="48"/>
    </row>
    <row r="452" spans="1:17" s="446" customFormat="1" ht="15" x14ac:dyDescent="0.25">
      <c r="A452" s="1">
        <v>447</v>
      </c>
      <c r="B452" s="32" t="s">
        <v>715</v>
      </c>
      <c r="C452" s="32">
        <v>7567</v>
      </c>
      <c r="D452" s="32">
        <v>15000</v>
      </c>
      <c r="E452" s="1" t="s">
        <v>80</v>
      </c>
      <c r="F452" s="295">
        <v>167.15</v>
      </c>
      <c r="G452" s="1">
        <v>15000</v>
      </c>
      <c r="H452" s="1">
        <f t="shared" si="8"/>
        <v>0</v>
      </c>
      <c r="I452" s="89"/>
      <c r="J452" s="423"/>
      <c r="K452" s="204"/>
      <c r="L452" s="204"/>
      <c r="M452" s="203"/>
      <c r="N452" s="388"/>
      <c r="O452" s="48"/>
      <c r="P452" s="370"/>
      <c r="Q452" s="48"/>
    </row>
    <row r="453" spans="1:17" s="446" customFormat="1" ht="15.75" thickBot="1" x14ac:dyDescent="0.3">
      <c r="A453" s="1">
        <v>448</v>
      </c>
      <c r="B453" s="32" t="s">
        <v>715</v>
      </c>
      <c r="C453" s="32">
        <v>8274</v>
      </c>
      <c r="D453" s="32">
        <v>22000</v>
      </c>
      <c r="E453" s="1" t="s">
        <v>80</v>
      </c>
      <c r="F453" s="295">
        <v>245.38</v>
      </c>
      <c r="G453" s="1">
        <v>22000</v>
      </c>
      <c r="H453" s="1">
        <f t="shared" si="8"/>
        <v>0</v>
      </c>
      <c r="I453" s="89"/>
      <c r="J453" s="423"/>
      <c r="K453" s="204"/>
      <c r="L453" s="204"/>
      <c r="M453" s="203"/>
      <c r="N453" s="388"/>
      <c r="O453" s="48"/>
      <c r="P453" s="370"/>
      <c r="Q453" s="48"/>
    </row>
    <row r="454" spans="1:17" s="446" customFormat="1" ht="15.75" thickBot="1" x14ac:dyDescent="0.3">
      <c r="A454" s="1">
        <v>449</v>
      </c>
      <c r="B454" s="32" t="s">
        <v>715</v>
      </c>
      <c r="C454" s="32">
        <v>8007</v>
      </c>
      <c r="D454" s="32">
        <v>21000</v>
      </c>
      <c r="E454" s="1" t="s">
        <v>80</v>
      </c>
      <c r="F454" s="295">
        <v>233.67</v>
      </c>
      <c r="G454" s="1">
        <v>21000</v>
      </c>
      <c r="H454" s="1">
        <f t="shared" si="8"/>
        <v>0</v>
      </c>
      <c r="I454" s="89"/>
      <c r="J454" s="423"/>
      <c r="K454" s="204"/>
      <c r="L454" s="204"/>
      <c r="M454" s="203"/>
      <c r="N454" s="103">
        <f>2420434-2399262</f>
        <v>21172</v>
      </c>
      <c r="O454" s="359" t="s">
        <v>714</v>
      </c>
      <c r="P454" s="367" t="s">
        <v>620</v>
      </c>
      <c r="Q454" s="360">
        <f>21172-4450</f>
        <v>16722</v>
      </c>
    </row>
    <row r="455" spans="1:17" s="447" customFormat="1" ht="15" x14ac:dyDescent="0.25">
      <c r="A455" s="1">
        <v>450</v>
      </c>
      <c r="B455" s="32" t="s">
        <v>716</v>
      </c>
      <c r="C455" s="32">
        <v>3839</v>
      </c>
      <c r="D455" s="32">
        <v>15000</v>
      </c>
      <c r="E455" s="1" t="s">
        <v>80</v>
      </c>
      <c r="F455" s="295">
        <v>167.15</v>
      </c>
      <c r="G455" s="1">
        <v>15000</v>
      </c>
      <c r="H455" s="1">
        <f t="shared" si="8"/>
        <v>0</v>
      </c>
      <c r="I455" s="89"/>
      <c r="J455" s="423"/>
      <c r="K455" s="204"/>
      <c r="L455" s="204"/>
      <c r="M455" s="203"/>
      <c r="N455" s="388"/>
      <c r="O455" s="48"/>
      <c r="P455" s="370"/>
      <c r="Q455" s="48"/>
    </row>
    <row r="456" spans="1:17" s="447" customFormat="1" ht="15" x14ac:dyDescent="0.25">
      <c r="A456" s="1">
        <v>451</v>
      </c>
      <c r="B456" s="32" t="s">
        <v>716</v>
      </c>
      <c r="C456" s="32">
        <v>4204</v>
      </c>
      <c r="D456" s="32">
        <v>15000</v>
      </c>
      <c r="E456" s="1" t="s">
        <v>80</v>
      </c>
      <c r="F456" s="295">
        <v>167.15</v>
      </c>
      <c r="G456" s="1">
        <v>15000</v>
      </c>
      <c r="H456" s="1">
        <f t="shared" si="8"/>
        <v>0</v>
      </c>
      <c r="I456" s="89"/>
      <c r="J456" s="423"/>
      <c r="K456" s="204"/>
      <c r="L456" s="204"/>
      <c r="M456" s="203"/>
      <c r="N456" s="388"/>
      <c r="O456" s="48"/>
      <c r="P456" s="370"/>
      <c r="Q456" s="48"/>
    </row>
    <row r="457" spans="1:17" s="447" customFormat="1" ht="15" x14ac:dyDescent="0.25">
      <c r="A457" s="1">
        <v>452</v>
      </c>
      <c r="B457" s="32" t="s">
        <v>716</v>
      </c>
      <c r="C457" s="32">
        <v>1547</v>
      </c>
      <c r="D457" s="32">
        <v>17000</v>
      </c>
      <c r="E457" s="1" t="s">
        <v>80</v>
      </c>
      <c r="F457" s="295">
        <v>189.44</v>
      </c>
      <c r="G457" s="1">
        <v>17000</v>
      </c>
      <c r="H457" s="1">
        <f t="shared" si="8"/>
        <v>0</v>
      </c>
      <c r="I457" s="89"/>
      <c r="J457" s="423"/>
      <c r="K457" s="204"/>
      <c r="L457" s="204"/>
      <c r="M457" s="203"/>
      <c r="N457" s="388"/>
      <c r="O457" s="48"/>
      <c r="P457" s="370"/>
      <c r="Q457" s="48"/>
    </row>
    <row r="458" spans="1:17" s="447" customFormat="1" ht="15" x14ac:dyDescent="0.25">
      <c r="A458" s="1">
        <v>453</v>
      </c>
      <c r="B458" s="32" t="s">
        <v>716</v>
      </c>
      <c r="C458" s="32">
        <v>3941</v>
      </c>
      <c r="D458" s="32">
        <v>16000</v>
      </c>
      <c r="E458" s="1" t="s">
        <v>80</v>
      </c>
      <c r="F458" s="295">
        <v>178.22</v>
      </c>
      <c r="G458" s="1">
        <v>16000</v>
      </c>
      <c r="H458" s="1">
        <f t="shared" si="8"/>
        <v>0</v>
      </c>
      <c r="I458" s="89"/>
      <c r="J458" s="423"/>
      <c r="K458" s="204"/>
      <c r="L458" s="204"/>
      <c r="M458" s="203"/>
      <c r="N458" s="388"/>
      <c r="O458" s="48"/>
      <c r="P458" s="370"/>
      <c r="Q458" s="48"/>
    </row>
    <row r="459" spans="1:17" s="447" customFormat="1" ht="15" x14ac:dyDescent="0.25">
      <c r="A459" s="1">
        <v>454</v>
      </c>
      <c r="B459" s="32" t="s">
        <v>716</v>
      </c>
      <c r="C459" s="32" t="s">
        <v>30</v>
      </c>
      <c r="D459" s="32">
        <v>4500</v>
      </c>
      <c r="E459" s="1" t="s">
        <v>80</v>
      </c>
      <c r="F459" s="295">
        <v>50.45</v>
      </c>
      <c r="G459" s="1">
        <v>4500</v>
      </c>
      <c r="H459" s="1">
        <f t="shared" si="8"/>
        <v>0</v>
      </c>
      <c r="I459" s="89"/>
      <c r="J459" s="423"/>
      <c r="K459" s="204"/>
      <c r="L459" s="204"/>
      <c r="M459" s="203"/>
      <c r="N459" s="388"/>
      <c r="O459" s="48"/>
      <c r="P459" s="370"/>
      <c r="Q459" s="48"/>
    </row>
    <row r="460" spans="1:17" s="447" customFormat="1" ht="15" x14ac:dyDescent="0.25">
      <c r="A460" s="1">
        <v>455</v>
      </c>
      <c r="B460" s="32" t="s">
        <v>716</v>
      </c>
      <c r="C460" s="32">
        <v>3873</v>
      </c>
      <c r="D460" s="32">
        <v>13000</v>
      </c>
      <c r="E460" s="1" t="s">
        <v>80</v>
      </c>
      <c r="F460" s="295">
        <v>144.13</v>
      </c>
      <c r="G460" s="1">
        <v>13000</v>
      </c>
      <c r="H460" s="1">
        <f t="shared" si="8"/>
        <v>0</v>
      </c>
      <c r="I460" s="89"/>
      <c r="J460" s="423"/>
      <c r="K460" s="204"/>
      <c r="L460" s="204"/>
      <c r="M460" s="203"/>
      <c r="N460" s="388"/>
      <c r="O460" s="48"/>
      <c r="P460" s="370"/>
      <c r="Q460" s="48"/>
    </row>
    <row r="461" spans="1:17" s="447" customFormat="1" ht="15" x14ac:dyDescent="0.25">
      <c r="A461" s="1">
        <v>456</v>
      </c>
      <c r="B461" s="32" t="s">
        <v>716</v>
      </c>
      <c r="C461" s="32">
        <v>7345</v>
      </c>
      <c r="D461" s="32">
        <v>13000</v>
      </c>
      <c r="E461" s="1" t="s">
        <v>80</v>
      </c>
      <c r="F461" s="295">
        <v>144.13</v>
      </c>
      <c r="G461" s="1">
        <v>13000</v>
      </c>
      <c r="H461" s="1">
        <f t="shared" si="8"/>
        <v>0</v>
      </c>
      <c r="I461" s="89"/>
      <c r="J461" s="423"/>
      <c r="K461" s="204"/>
      <c r="L461" s="204"/>
      <c r="M461" s="203"/>
      <c r="N461" s="388"/>
      <c r="O461" s="48"/>
      <c r="P461" s="370"/>
      <c r="Q461" s="48"/>
    </row>
    <row r="462" spans="1:17" s="447" customFormat="1" ht="15" x14ac:dyDescent="0.25">
      <c r="A462" s="1">
        <v>457</v>
      </c>
      <c r="B462" s="32" t="s">
        <v>716</v>
      </c>
      <c r="C462" s="32">
        <v>7213</v>
      </c>
      <c r="D462" s="32">
        <v>28000</v>
      </c>
      <c r="E462" s="1" t="s">
        <v>80</v>
      </c>
      <c r="F462" s="295">
        <v>306.68</v>
      </c>
      <c r="G462" s="1">
        <v>28000</v>
      </c>
      <c r="H462" s="1">
        <f t="shared" si="8"/>
        <v>0</v>
      </c>
      <c r="I462" s="89"/>
      <c r="J462" s="423"/>
      <c r="K462" s="204"/>
      <c r="L462" s="204"/>
      <c r="M462" s="203"/>
      <c r="N462" s="388"/>
      <c r="O462" s="48"/>
      <c r="P462" s="370"/>
      <c r="Q462" s="48"/>
    </row>
    <row r="463" spans="1:17" s="447" customFormat="1" ht="15" x14ac:dyDescent="0.25">
      <c r="A463" s="1">
        <v>458</v>
      </c>
      <c r="B463" s="32" t="s">
        <v>716</v>
      </c>
      <c r="C463" s="32">
        <v>5690</v>
      </c>
      <c r="D463" s="32">
        <v>16000</v>
      </c>
      <c r="E463" s="1" t="s">
        <v>80</v>
      </c>
      <c r="F463" s="295">
        <v>178.22</v>
      </c>
      <c r="G463" s="1">
        <v>16000</v>
      </c>
      <c r="H463" s="1">
        <f t="shared" si="8"/>
        <v>0</v>
      </c>
      <c r="I463" s="89"/>
      <c r="J463" s="423"/>
      <c r="K463" s="204"/>
      <c r="L463" s="204"/>
      <c r="M463" s="203"/>
      <c r="N463" s="388"/>
      <c r="O463" s="48"/>
      <c r="P463" s="370"/>
      <c r="Q463" s="48"/>
    </row>
    <row r="464" spans="1:17" s="447" customFormat="1" ht="15" x14ac:dyDescent="0.25">
      <c r="A464" s="1">
        <v>459</v>
      </c>
      <c r="B464" s="32" t="s">
        <v>716</v>
      </c>
      <c r="C464" s="32">
        <v>8382</v>
      </c>
      <c r="D464" s="32">
        <v>20000</v>
      </c>
      <c r="E464" s="1" t="s">
        <v>80</v>
      </c>
      <c r="F464" s="295">
        <v>222.82</v>
      </c>
      <c r="G464" s="1">
        <v>20000</v>
      </c>
      <c r="H464" s="1">
        <f t="shared" si="8"/>
        <v>0</v>
      </c>
      <c r="I464" s="89"/>
      <c r="J464" s="423"/>
      <c r="K464" s="204"/>
      <c r="L464" s="204"/>
      <c r="M464" s="203"/>
      <c r="N464" s="388"/>
      <c r="O464" s="48"/>
      <c r="P464" s="370"/>
      <c r="Q464" s="48"/>
    </row>
    <row r="465" spans="1:17" s="447" customFormat="1" ht="15" x14ac:dyDescent="0.25">
      <c r="A465" s="1">
        <v>460</v>
      </c>
      <c r="B465" s="32" t="s">
        <v>716</v>
      </c>
      <c r="C465" s="32">
        <v>3324</v>
      </c>
      <c r="D465" s="32">
        <v>27000</v>
      </c>
      <c r="E465" s="1" t="s">
        <v>80</v>
      </c>
      <c r="F465" s="295">
        <v>300.68</v>
      </c>
      <c r="G465" s="1">
        <v>27000</v>
      </c>
      <c r="H465" s="1">
        <f t="shared" si="8"/>
        <v>0</v>
      </c>
      <c r="I465" s="89"/>
      <c r="J465" s="423"/>
      <c r="K465" s="204"/>
      <c r="L465" s="204"/>
      <c r="M465" s="203"/>
      <c r="N465" s="388"/>
      <c r="O465" s="48"/>
      <c r="P465" s="370"/>
      <c r="Q465" s="48"/>
    </row>
    <row r="466" spans="1:17" s="447" customFormat="1" ht="15" x14ac:dyDescent="0.25">
      <c r="A466" s="1">
        <v>461</v>
      </c>
      <c r="B466" s="32" t="s">
        <v>716</v>
      </c>
      <c r="C466" s="32">
        <v>3353</v>
      </c>
      <c r="D466" s="32">
        <v>5000</v>
      </c>
      <c r="E466" s="1" t="s">
        <v>80</v>
      </c>
      <c r="F466" s="295">
        <v>55.58</v>
      </c>
      <c r="G466" s="1">
        <v>5000</v>
      </c>
      <c r="H466" s="1">
        <f t="shared" si="8"/>
        <v>0</v>
      </c>
      <c r="I466" s="89"/>
      <c r="J466" s="423"/>
      <c r="K466" s="204"/>
      <c r="L466" s="204"/>
      <c r="M466" s="203"/>
      <c r="N466" s="388"/>
      <c r="O466" s="48"/>
      <c r="P466" s="370"/>
      <c r="Q466" s="48"/>
    </row>
    <row r="467" spans="1:17" s="447" customFormat="1" ht="15" x14ac:dyDescent="0.25">
      <c r="A467" s="1">
        <v>462</v>
      </c>
      <c r="B467" s="32" t="s">
        <v>716</v>
      </c>
      <c r="C467" s="32">
        <v>2594</v>
      </c>
      <c r="D467" s="32">
        <v>20000</v>
      </c>
      <c r="E467" s="1" t="s">
        <v>80</v>
      </c>
      <c r="F467" s="295">
        <v>222.82</v>
      </c>
      <c r="G467" s="1">
        <v>20000</v>
      </c>
      <c r="H467" s="1">
        <f t="shared" si="8"/>
        <v>0</v>
      </c>
      <c r="I467" s="89"/>
      <c r="J467" s="423"/>
      <c r="K467" s="204"/>
      <c r="L467" s="204"/>
      <c r="M467" s="203"/>
      <c r="N467" s="388"/>
      <c r="O467" s="48"/>
      <c r="P467" s="370"/>
      <c r="Q467" s="48"/>
    </row>
    <row r="468" spans="1:17" s="447" customFormat="1" ht="15" x14ac:dyDescent="0.25">
      <c r="A468" s="1">
        <v>463</v>
      </c>
      <c r="B468" s="32" t="s">
        <v>716</v>
      </c>
      <c r="C468" s="32">
        <v>7672</v>
      </c>
      <c r="D468" s="32">
        <v>14000</v>
      </c>
      <c r="E468" s="1" t="s">
        <v>80</v>
      </c>
      <c r="F468" s="295">
        <v>155.38</v>
      </c>
      <c r="G468" s="1">
        <v>14000</v>
      </c>
      <c r="H468" s="1">
        <f t="shared" si="8"/>
        <v>0</v>
      </c>
      <c r="I468" s="89"/>
      <c r="J468" s="423"/>
      <c r="K468" s="204"/>
      <c r="L468" s="204"/>
      <c r="M468" s="203"/>
      <c r="N468" s="388"/>
      <c r="O468" s="48"/>
      <c r="P468" s="370"/>
      <c r="Q468" s="48"/>
    </row>
    <row r="469" spans="1:17" s="447" customFormat="1" ht="15" x14ac:dyDescent="0.25">
      <c r="A469" s="1">
        <v>464</v>
      </c>
      <c r="B469" s="32" t="s">
        <v>716</v>
      </c>
      <c r="C469" s="32">
        <v>6447</v>
      </c>
      <c r="D469" s="32">
        <v>25000</v>
      </c>
      <c r="E469" s="1" t="s">
        <v>80</v>
      </c>
      <c r="F469" s="295">
        <v>278.22000000000003</v>
      </c>
      <c r="G469" s="1">
        <v>25000</v>
      </c>
      <c r="H469" s="1">
        <f t="shared" si="8"/>
        <v>0</v>
      </c>
      <c r="I469" s="89"/>
      <c r="J469" s="423"/>
      <c r="K469" s="204"/>
      <c r="L469" s="204"/>
      <c r="M469" s="203"/>
      <c r="N469" s="388"/>
      <c r="O469" s="48"/>
      <c r="P469" s="370"/>
      <c r="Q469" s="48"/>
    </row>
    <row r="470" spans="1:17" s="447" customFormat="1" ht="15" x14ac:dyDescent="0.25">
      <c r="A470" s="1">
        <v>465</v>
      </c>
      <c r="B470" s="32" t="s">
        <v>716</v>
      </c>
      <c r="C470" s="32">
        <v>2677</v>
      </c>
      <c r="D470" s="32">
        <v>20000</v>
      </c>
      <c r="E470" s="1" t="s">
        <v>80</v>
      </c>
      <c r="F470" s="295">
        <v>222.82</v>
      </c>
      <c r="G470" s="1">
        <v>20000</v>
      </c>
      <c r="H470" s="1">
        <f t="shared" si="8"/>
        <v>0</v>
      </c>
      <c r="I470" s="89"/>
      <c r="J470" s="423"/>
      <c r="K470" s="204"/>
      <c r="L470" s="204"/>
      <c r="M470" s="203"/>
      <c r="N470" s="388"/>
      <c r="O470" s="48"/>
      <c r="P470" s="370"/>
      <c r="Q470" s="48"/>
    </row>
    <row r="471" spans="1:17" s="447" customFormat="1" ht="15.75" thickBot="1" x14ac:dyDescent="0.3">
      <c r="A471" s="1">
        <v>466</v>
      </c>
      <c r="B471" s="32" t="s">
        <v>716</v>
      </c>
      <c r="C471" s="32">
        <v>1.4800000000000001E-2</v>
      </c>
      <c r="D471" s="32">
        <v>14000</v>
      </c>
      <c r="E471" s="1"/>
      <c r="F471" s="295">
        <v>155.44999999999999</v>
      </c>
      <c r="G471" s="1">
        <v>14000</v>
      </c>
      <c r="H471" s="1">
        <f t="shared" si="8"/>
        <v>0</v>
      </c>
      <c r="I471" s="89"/>
      <c r="J471" s="423"/>
      <c r="K471" s="204"/>
      <c r="L471" s="204"/>
      <c r="M471" s="203"/>
      <c r="N471" s="388"/>
      <c r="O471" s="48"/>
      <c r="P471" s="370"/>
      <c r="Q471" s="48"/>
    </row>
    <row r="472" spans="1:17" s="447" customFormat="1" ht="15.75" thickBot="1" x14ac:dyDescent="0.3">
      <c r="A472" s="1">
        <v>467</v>
      </c>
      <c r="B472" s="32" t="s">
        <v>716</v>
      </c>
      <c r="C472" s="32">
        <v>6548</v>
      </c>
      <c r="D472" s="32">
        <v>20000</v>
      </c>
      <c r="E472" s="1" t="s">
        <v>80</v>
      </c>
      <c r="F472" s="295">
        <v>222.82</v>
      </c>
      <c r="G472" s="1">
        <v>20000</v>
      </c>
      <c r="H472" s="1">
        <f t="shared" si="8"/>
        <v>0</v>
      </c>
      <c r="I472" s="89"/>
      <c r="J472" s="423"/>
      <c r="K472" s="204"/>
      <c r="L472" s="204"/>
      <c r="M472" s="203"/>
      <c r="N472" s="103">
        <f>2288561-2222934</f>
        <v>65627</v>
      </c>
      <c r="O472" s="359" t="s">
        <v>717</v>
      </c>
      <c r="P472" s="367" t="s">
        <v>620</v>
      </c>
      <c r="Q472" s="360">
        <f>90000-65627</f>
        <v>24373</v>
      </c>
    </row>
    <row r="473" spans="1:17" s="448" customFormat="1" ht="15" x14ac:dyDescent="0.25">
      <c r="A473" s="1">
        <v>468</v>
      </c>
      <c r="B473" s="32" t="s">
        <v>718</v>
      </c>
      <c r="C473" s="32">
        <v>4.1500000000000002E-2</v>
      </c>
      <c r="D473" s="32">
        <v>14000</v>
      </c>
      <c r="E473" s="1" t="s">
        <v>80</v>
      </c>
      <c r="F473" s="295">
        <v>155.65</v>
      </c>
      <c r="G473" s="1">
        <v>14000</v>
      </c>
      <c r="H473" s="1">
        <f t="shared" si="8"/>
        <v>0</v>
      </c>
      <c r="I473" s="89"/>
      <c r="J473" s="423"/>
      <c r="K473" s="204"/>
      <c r="L473" s="204"/>
      <c r="M473" s="203"/>
      <c r="N473" s="388"/>
      <c r="O473" s="48"/>
      <c r="P473" s="370"/>
      <c r="Q473" s="48"/>
    </row>
    <row r="474" spans="1:17" s="448" customFormat="1" ht="15" x14ac:dyDescent="0.25">
      <c r="A474" s="1">
        <v>469</v>
      </c>
      <c r="B474" s="32" t="s">
        <v>718</v>
      </c>
      <c r="C474" s="32">
        <v>6012</v>
      </c>
      <c r="D474" s="32">
        <v>15000</v>
      </c>
      <c r="E474" s="1" t="s">
        <v>80</v>
      </c>
      <c r="F474" s="295">
        <v>167.15</v>
      </c>
      <c r="G474" s="1">
        <v>15000</v>
      </c>
      <c r="H474" s="1">
        <f t="shared" ref="H474:H541" si="9">D474-G474</f>
        <v>0</v>
      </c>
      <c r="I474" s="89"/>
      <c r="J474" s="423"/>
      <c r="K474" s="204"/>
      <c r="L474" s="204"/>
      <c r="M474" s="203"/>
      <c r="N474" s="388"/>
      <c r="O474" s="48"/>
      <c r="P474" s="370"/>
      <c r="Q474" s="48"/>
    </row>
    <row r="475" spans="1:17" s="448" customFormat="1" ht="15" x14ac:dyDescent="0.25">
      <c r="A475" s="1">
        <v>470</v>
      </c>
      <c r="B475" s="32" t="s">
        <v>718</v>
      </c>
      <c r="C475" s="32">
        <v>6214</v>
      </c>
      <c r="D475" s="32">
        <v>15000</v>
      </c>
      <c r="E475" s="1" t="s">
        <v>80</v>
      </c>
      <c r="F475" s="295">
        <v>167.15</v>
      </c>
      <c r="G475" s="1">
        <v>15000</v>
      </c>
      <c r="H475" s="1">
        <f t="shared" si="9"/>
        <v>0</v>
      </c>
      <c r="I475" s="89"/>
      <c r="J475" s="423"/>
      <c r="K475" s="204"/>
      <c r="L475" s="204"/>
      <c r="M475" s="203"/>
      <c r="N475" s="388"/>
      <c r="O475" s="48"/>
      <c r="P475" s="370"/>
      <c r="Q475" s="48"/>
    </row>
    <row r="476" spans="1:17" s="448" customFormat="1" ht="15" x14ac:dyDescent="0.25">
      <c r="A476" s="1">
        <v>471</v>
      </c>
      <c r="B476" s="32" t="s">
        <v>718</v>
      </c>
      <c r="C476" s="32" t="s">
        <v>634</v>
      </c>
      <c r="D476" s="32">
        <v>3500</v>
      </c>
      <c r="E476" s="1" t="s">
        <v>80</v>
      </c>
      <c r="F476" s="295">
        <v>38.65</v>
      </c>
      <c r="G476" s="1">
        <v>3500</v>
      </c>
      <c r="H476" s="1">
        <f t="shared" si="9"/>
        <v>0</v>
      </c>
      <c r="I476" s="89"/>
      <c r="J476" s="423"/>
      <c r="K476" s="204"/>
      <c r="L476" s="204"/>
      <c r="M476" s="203"/>
      <c r="N476" s="388"/>
      <c r="O476" s="48"/>
      <c r="P476" s="370"/>
      <c r="Q476" s="48"/>
    </row>
    <row r="477" spans="1:17" s="448" customFormat="1" ht="15" x14ac:dyDescent="0.25">
      <c r="A477" s="1">
        <v>472</v>
      </c>
      <c r="B477" s="32" t="s">
        <v>718</v>
      </c>
      <c r="C477" s="32">
        <v>5151</v>
      </c>
      <c r="D477" s="32">
        <v>16000</v>
      </c>
      <c r="E477" s="1" t="s">
        <v>80</v>
      </c>
      <c r="F477" s="295">
        <v>178.22</v>
      </c>
      <c r="G477" s="1">
        <v>16000</v>
      </c>
      <c r="H477" s="1">
        <f t="shared" si="9"/>
        <v>0</v>
      </c>
      <c r="I477" s="89"/>
      <c r="J477" s="423"/>
      <c r="K477" s="204"/>
      <c r="L477" s="204"/>
      <c r="M477" s="203"/>
      <c r="N477" s="388"/>
      <c r="O477" s="48"/>
      <c r="P477" s="370"/>
      <c r="Q477" s="48"/>
    </row>
    <row r="478" spans="1:17" s="448" customFormat="1" ht="15" x14ac:dyDescent="0.25">
      <c r="A478" s="1">
        <v>473</v>
      </c>
      <c r="B478" s="32" t="s">
        <v>718</v>
      </c>
      <c r="C478" s="32">
        <v>5.1000000000000004E-3</v>
      </c>
      <c r="D478" s="32">
        <v>17000</v>
      </c>
      <c r="E478" s="1" t="s">
        <v>80</v>
      </c>
      <c r="F478" s="295">
        <v>189.57</v>
      </c>
      <c r="G478" s="1">
        <v>17000</v>
      </c>
      <c r="H478" s="1">
        <f t="shared" si="9"/>
        <v>0</v>
      </c>
      <c r="I478" s="89"/>
      <c r="J478" s="423"/>
      <c r="K478" s="204"/>
      <c r="L478" s="204"/>
      <c r="M478" s="203"/>
      <c r="N478" s="388"/>
      <c r="O478" s="48"/>
      <c r="P478" s="370"/>
      <c r="Q478" s="48"/>
    </row>
    <row r="479" spans="1:17" s="448" customFormat="1" ht="15" x14ac:dyDescent="0.25">
      <c r="A479" s="1">
        <v>474</v>
      </c>
      <c r="B479" s="32" t="s">
        <v>718</v>
      </c>
      <c r="C479" s="32">
        <v>9777</v>
      </c>
      <c r="D479" s="32">
        <v>15000</v>
      </c>
      <c r="E479" s="1" t="s">
        <v>80</v>
      </c>
      <c r="F479" s="295">
        <v>167.15</v>
      </c>
      <c r="G479" s="1">
        <v>15000</v>
      </c>
      <c r="H479" s="1">
        <f t="shared" si="9"/>
        <v>0</v>
      </c>
      <c r="I479" s="89"/>
      <c r="J479" s="423"/>
      <c r="K479" s="204"/>
      <c r="L479" s="204"/>
      <c r="M479" s="203"/>
      <c r="N479" s="388"/>
      <c r="O479" s="48"/>
      <c r="P479" s="370"/>
      <c r="Q479" s="48"/>
    </row>
    <row r="480" spans="1:17" s="448" customFormat="1" ht="15" x14ac:dyDescent="0.25">
      <c r="A480" s="1">
        <v>475</v>
      </c>
      <c r="B480" s="32" t="s">
        <v>718</v>
      </c>
      <c r="C480" s="32">
        <v>6919</v>
      </c>
      <c r="D480" s="32">
        <v>20000</v>
      </c>
      <c r="E480" s="1" t="s">
        <v>80</v>
      </c>
      <c r="F480" s="295">
        <v>222.82</v>
      </c>
      <c r="G480" s="1">
        <v>20000</v>
      </c>
      <c r="H480" s="1">
        <f t="shared" si="9"/>
        <v>0</v>
      </c>
      <c r="I480" s="89"/>
      <c r="J480" s="423"/>
      <c r="K480" s="204"/>
      <c r="L480" s="204"/>
      <c r="M480" s="203"/>
      <c r="N480" s="388"/>
      <c r="O480" s="48"/>
      <c r="P480" s="370"/>
      <c r="Q480" s="48"/>
    </row>
    <row r="481" spans="1:17" s="448" customFormat="1" ht="15" x14ac:dyDescent="0.25">
      <c r="A481" s="1">
        <v>476</v>
      </c>
      <c r="B481" s="32" t="s">
        <v>718</v>
      </c>
      <c r="C481" s="32">
        <v>2260</v>
      </c>
      <c r="D481" s="32">
        <v>14000</v>
      </c>
      <c r="E481" s="1" t="s">
        <v>80</v>
      </c>
      <c r="F481" s="295">
        <v>155.65</v>
      </c>
      <c r="G481" s="1">
        <v>14000</v>
      </c>
      <c r="H481" s="1">
        <f t="shared" si="9"/>
        <v>0</v>
      </c>
      <c r="I481" s="89"/>
      <c r="J481" s="423"/>
      <c r="K481" s="204"/>
      <c r="L481" s="204"/>
      <c r="M481" s="203"/>
      <c r="N481" s="388"/>
      <c r="O481" s="48"/>
      <c r="P481" s="370"/>
      <c r="Q481" s="48"/>
    </row>
    <row r="482" spans="1:17" s="448" customFormat="1" ht="15" x14ac:dyDescent="0.25">
      <c r="A482" s="1">
        <v>477</v>
      </c>
      <c r="B482" s="32" t="s">
        <v>718</v>
      </c>
      <c r="C482" s="32" t="s">
        <v>30</v>
      </c>
      <c r="D482" s="32">
        <v>5000</v>
      </c>
      <c r="E482" s="1" t="s">
        <v>80</v>
      </c>
      <c r="F482" s="295">
        <v>55.65</v>
      </c>
      <c r="G482" s="1">
        <v>5000</v>
      </c>
      <c r="H482" s="1">
        <f t="shared" si="9"/>
        <v>0</v>
      </c>
      <c r="I482" s="89"/>
      <c r="J482" s="423"/>
      <c r="K482" s="204"/>
      <c r="L482" s="204"/>
      <c r="M482" s="203"/>
      <c r="N482" s="388"/>
      <c r="O482" s="48"/>
      <c r="P482" s="370"/>
      <c r="Q482" s="48"/>
    </row>
    <row r="483" spans="1:17" s="448" customFormat="1" ht="15" x14ac:dyDescent="0.25">
      <c r="A483" s="1">
        <v>478</v>
      </c>
      <c r="B483" s="32" t="s">
        <v>718</v>
      </c>
      <c r="C483" s="32">
        <v>8327</v>
      </c>
      <c r="D483" s="32">
        <v>12000</v>
      </c>
      <c r="E483" s="1" t="s">
        <v>80</v>
      </c>
      <c r="F483" s="295">
        <v>133.82</v>
      </c>
      <c r="G483" s="1">
        <v>12000</v>
      </c>
      <c r="H483" s="1">
        <f t="shared" si="9"/>
        <v>0</v>
      </c>
      <c r="I483" s="89"/>
      <c r="J483" s="423"/>
      <c r="K483" s="204"/>
      <c r="L483" s="204"/>
      <c r="M483" s="203"/>
      <c r="N483" s="388"/>
      <c r="O483" s="48"/>
      <c r="P483" s="370"/>
      <c r="Q483" s="48"/>
    </row>
    <row r="484" spans="1:17" s="448" customFormat="1" ht="15" x14ac:dyDescent="0.25">
      <c r="A484" s="1">
        <v>479</v>
      </c>
      <c r="B484" s="32" t="s">
        <v>718</v>
      </c>
      <c r="C484" s="32">
        <v>4.7000000000000002E-3</v>
      </c>
      <c r="D484" s="32">
        <v>8000</v>
      </c>
      <c r="E484" s="1" t="s">
        <v>80</v>
      </c>
      <c r="F484" s="295">
        <v>133.69</v>
      </c>
      <c r="G484" s="1">
        <v>8000</v>
      </c>
      <c r="H484" s="1">
        <f t="shared" si="9"/>
        <v>0</v>
      </c>
      <c r="I484" s="89"/>
      <c r="J484" s="423"/>
      <c r="K484" s="204"/>
      <c r="L484" s="204"/>
      <c r="M484" s="203"/>
      <c r="N484" s="388"/>
      <c r="O484" s="48"/>
      <c r="P484" s="370"/>
      <c r="Q484" s="48"/>
    </row>
    <row r="485" spans="1:17" s="448" customFormat="1" ht="15" x14ac:dyDescent="0.25">
      <c r="A485" s="1">
        <v>480</v>
      </c>
      <c r="B485" s="32" t="s">
        <v>718</v>
      </c>
      <c r="C485" s="32">
        <v>5691</v>
      </c>
      <c r="D485" s="32">
        <v>20000</v>
      </c>
      <c r="E485" s="1" t="s">
        <v>80</v>
      </c>
      <c r="F485" s="295">
        <v>222.8</v>
      </c>
      <c r="G485" s="1">
        <v>20000</v>
      </c>
      <c r="H485" s="1">
        <f t="shared" si="9"/>
        <v>0</v>
      </c>
      <c r="I485" s="89"/>
      <c r="J485" s="423"/>
      <c r="K485" s="204"/>
      <c r="L485" s="204"/>
      <c r="M485" s="203"/>
      <c r="N485" s="388"/>
      <c r="O485" s="48"/>
      <c r="P485" s="370"/>
      <c r="Q485" s="48"/>
    </row>
    <row r="486" spans="1:17" s="448" customFormat="1" ht="15" x14ac:dyDescent="0.25">
      <c r="A486" s="1">
        <v>481</v>
      </c>
      <c r="B486" s="32" t="s">
        <v>718</v>
      </c>
      <c r="C486" s="32">
        <v>6.4699999999999994E-2</v>
      </c>
      <c r="D486" s="32">
        <v>13500</v>
      </c>
      <c r="E486" s="1" t="s">
        <v>80</v>
      </c>
      <c r="F486" s="295">
        <v>148.75</v>
      </c>
      <c r="G486" s="1">
        <v>13500</v>
      </c>
      <c r="H486" s="1">
        <f t="shared" si="9"/>
        <v>0</v>
      </c>
      <c r="I486" s="89"/>
      <c r="J486" s="423"/>
      <c r="K486" s="204"/>
      <c r="L486" s="204"/>
      <c r="M486" s="203"/>
      <c r="N486" s="388"/>
      <c r="O486" s="48"/>
      <c r="P486" s="370"/>
      <c r="Q486" s="48"/>
    </row>
    <row r="487" spans="1:17" s="448" customFormat="1" ht="15" x14ac:dyDescent="0.25">
      <c r="A487" s="1">
        <v>482</v>
      </c>
      <c r="B487" s="32" t="s">
        <v>718</v>
      </c>
      <c r="C487" s="32">
        <v>5968</v>
      </c>
      <c r="D487" s="32">
        <v>14000</v>
      </c>
      <c r="E487" s="1" t="s">
        <v>80</v>
      </c>
      <c r="F487" s="295">
        <v>155.13999999999999</v>
      </c>
      <c r="G487" s="1">
        <v>14000</v>
      </c>
      <c r="H487" s="1">
        <f t="shared" si="9"/>
        <v>0</v>
      </c>
      <c r="I487" s="89"/>
      <c r="J487" s="423"/>
      <c r="K487" s="204"/>
      <c r="L487" s="204"/>
      <c r="M487" s="203"/>
      <c r="N487" s="388"/>
      <c r="O487" s="48"/>
      <c r="P487" s="370"/>
      <c r="Q487" s="48"/>
    </row>
    <row r="488" spans="1:17" s="448" customFormat="1" ht="15" x14ac:dyDescent="0.25">
      <c r="A488" s="1">
        <v>483</v>
      </c>
      <c r="B488" s="32" t="s">
        <v>718</v>
      </c>
      <c r="C488" s="32">
        <v>5838</v>
      </c>
      <c r="D488" s="32">
        <v>14000</v>
      </c>
      <c r="E488" s="1" t="s">
        <v>80</v>
      </c>
      <c r="F488" s="295">
        <v>155.13999999999999</v>
      </c>
      <c r="G488" s="1">
        <v>14000</v>
      </c>
      <c r="H488" s="1">
        <f t="shared" si="9"/>
        <v>0</v>
      </c>
      <c r="I488" s="89"/>
      <c r="J488" s="423"/>
      <c r="K488" s="204"/>
      <c r="L488" s="204"/>
      <c r="M488" s="203"/>
      <c r="N488" s="388"/>
      <c r="O488" s="48"/>
      <c r="P488" s="370"/>
      <c r="Q488" s="48"/>
    </row>
    <row r="489" spans="1:17" s="448" customFormat="1" ht="15" x14ac:dyDescent="0.25">
      <c r="A489" s="1">
        <v>484</v>
      </c>
      <c r="B489" s="32" t="s">
        <v>718</v>
      </c>
      <c r="C489" s="32">
        <v>2852</v>
      </c>
      <c r="D489" s="32">
        <v>15000</v>
      </c>
      <c r="E489" s="1" t="s">
        <v>80</v>
      </c>
      <c r="F489" s="295">
        <v>167.15</v>
      </c>
      <c r="G489" s="1">
        <v>15000</v>
      </c>
      <c r="H489" s="1">
        <f t="shared" si="9"/>
        <v>0</v>
      </c>
      <c r="I489" s="89"/>
      <c r="J489" s="423"/>
      <c r="K489" s="204"/>
      <c r="L489" s="204"/>
      <c r="M489" s="203"/>
      <c r="N489" s="388"/>
      <c r="O489" s="48"/>
      <c r="P489" s="370"/>
      <c r="Q489" s="48"/>
    </row>
    <row r="490" spans="1:17" s="448" customFormat="1" ht="15" x14ac:dyDescent="0.25">
      <c r="A490" s="1">
        <v>485</v>
      </c>
      <c r="B490" s="32" t="s">
        <v>718</v>
      </c>
      <c r="C490" s="32">
        <v>5820</v>
      </c>
      <c r="D490" s="32">
        <v>15000</v>
      </c>
      <c r="E490" s="1" t="s">
        <v>80</v>
      </c>
      <c r="F490" s="295">
        <v>167.15</v>
      </c>
      <c r="G490" s="1">
        <v>15000</v>
      </c>
      <c r="H490" s="1">
        <f t="shared" si="9"/>
        <v>0</v>
      </c>
      <c r="I490" s="89"/>
      <c r="J490" s="423"/>
      <c r="K490" s="204"/>
      <c r="L490" s="204"/>
      <c r="M490" s="203"/>
      <c r="N490" s="388"/>
      <c r="O490" s="48"/>
      <c r="P490" s="370"/>
      <c r="Q490" s="48"/>
    </row>
    <row r="491" spans="1:17" s="448" customFormat="1" ht="15" x14ac:dyDescent="0.25">
      <c r="A491" s="1">
        <v>486</v>
      </c>
      <c r="B491" s="32" t="s">
        <v>718</v>
      </c>
      <c r="C491" s="32">
        <v>1446</v>
      </c>
      <c r="D491" s="32">
        <v>13000</v>
      </c>
      <c r="E491" s="1" t="s">
        <v>80</v>
      </c>
      <c r="F491" s="295">
        <v>144.13</v>
      </c>
      <c r="G491" s="1">
        <v>13000</v>
      </c>
      <c r="H491" s="1">
        <f t="shared" si="9"/>
        <v>0</v>
      </c>
      <c r="I491" s="89"/>
      <c r="J491" s="423"/>
      <c r="K491" s="204"/>
      <c r="L491" s="204"/>
      <c r="M491" s="203"/>
      <c r="N491" s="388"/>
      <c r="O491" s="48"/>
      <c r="P491" s="370"/>
      <c r="Q491" s="48"/>
    </row>
    <row r="492" spans="1:17" s="448" customFormat="1" ht="15" x14ac:dyDescent="0.25">
      <c r="A492" s="1">
        <v>487</v>
      </c>
      <c r="B492" s="32" t="s">
        <v>718</v>
      </c>
      <c r="C492" s="32">
        <v>6861</v>
      </c>
      <c r="D492" s="32">
        <v>13000</v>
      </c>
      <c r="E492" s="1" t="s">
        <v>80</v>
      </c>
      <c r="F492" s="295">
        <v>144.13</v>
      </c>
      <c r="G492" s="1">
        <v>13000</v>
      </c>
      <c r="H492" s="1">
        <f t="shared" si="9"/>
        <v>0</v>
      </c>
      <c r="I492" s="89"/>
      <c r="J492" s="423"/>
      <c r="K492" s="204"/>
      <c r="L492" s="204"/>
      <c r="M492" s="203"/>
      <c r="N492" s="388"/>
      <c r="O492" s="48"/>
      <c r="P492" s="370"/>
      <c r="Q492" s="48"/>
    </row>
    <row r="493" spans="1:17" s="448" customFormat="1" ht="15" x14ac:dyDescent="0.25">
      <c r="A493" s="1">
        <v>488</v>
      </c>
      <c r="B493" s="32" t="s">
        <v>718</v>
      </c>
      <c r="C493" s="32">
        <v>9333</v>
      </c>
      <c r="D493" s="32">
        <v>15000</v>
      </c>
      <c r="E493" s="1" t="s">
        <v>80</v>
      </c>
      <c r="F493" s="295">
        <v>167.15</v>
      </c>
      <c r="G493" s="1">
        <v>15000</v>
      </c>
      <c r="H493" s="1">
        <f t="shared" si="9"/>
        <v>0</v>
      </c>
      <c r="I493" s="89"/>
      <c r="J493" s="423"/>
      <c r="K493" s="204"/>
      <c r="L493" s="204"/>
      <c r="M493" s="203"/>
      <c r="N493" s="388"/>
      <c r="O493" s="48"/>
      <c r="P493" s="370"/>
      <c r="Q493" s="48"/>
    </row>
    <row r="494" spans="1:17" s="448" customFormat="1" ht="15" x14ac:dyDescent="0.25">
      <c r="A494" s="1">
        <v>489</v>
      </c>
      <c r="B494" s="32" t="s">
        <v>718</v>
      </c>
      <c r="C494" s="32">
        <v>1827</v>
      </c>
      <c r="D494" s="32">
        <v>12000</v>
      </c>
      <c r="E494" s="1" t="s">
        <v>80</v>
      </c>
      <c r="F494" s="295">
        <v>133.41999999999999</v>
      </c>
      <c r="G494" s="1">
        <v>12000</v>
      </c>
      <c r="H494" s="1">
        <f t="shared" si="9"/>
        <v>0</v>
      </c>
      <c r="I494" s="89"/>
      <c r="J494" s="423"/>
      <c r="K494" s="204"/>
      <c r="L494" s="204"/>
      <c r="M494" s="203"/>
      <c r="N494" s="388"/>
      <c r="O494" s="48"/>
      <c r="P494" s="370"/>
      <c r="Q494" s="48"/>
    </row>
    <row r="495" spans="1:17" s="448" customFormat="1" ht="15" x14ac:dyDescent="0.25">
      <c r="A495" s="1">
        <v>490</v>
      </c>
      <c r="B495" s="32" t="s">
        <v>718</v>
      </c>
      <c r="C495" s="32">
        <v>4608</v>
      </c>
      <c r="D495" s="32">
        <v>20000</v>
      </c>
      <c r="E495" s="1" t="s">
        <v>80</v>
      </c>
      <c r="F495" s="295">
        <v>222.82</v>
      </c>
      <c r="G495" s="1">
        <v>20000</v>
      </c>
      <c r="H495" s="1">
        <f t="shared" si="9"/>
        <v>0</v>
      </c>
      <c r="I495" s="89"/>
      <c r="J495" s="423"/>
      <c r="K495" s="204"/>
      <c r="L495" s="204"/>
      <c r="M495" s="203"/>
      <c r="N495" s="388"/>
      <c r="O495" s="48"/>
      <c r="P495" s="370"/>
      <c r="Q495" s="48"/>
    </row>
    <row r="496" spans="1:17" s="448" customFormat="1" ht="15" x14ac:dyDescent="0.25">
      <c r="A496" s="1">
        <v>491</v>
      </c>
      <c r="B496" s="32" t="s">
        <v>718</v>
      </c>
      <c r="C496" s="32">
        <v>4115</v>
      </c>
      <c r="D496" s="32">
        <v>20000</v>
      </c>
      <c r="E496" s="1" t="s">
        <v>80</v>
      </c>
      <c r="F496" s="295">
        <v>222.82</v>
      </c>
      <c r="G496" s="1">
        <v>20000</v>
      </c>
      <c r="H496" s="1">
        <f t="shared" si="9"/>
        <v>0</v>
      </c>
      <c r="I496" s="89"/>
      <c r="J496" s="423"/>
      <c r="K496" s="204"/>
      <c r="L496" s="204"/>
      <c r="M496" s="203"/>
      <c r="N496" s="388"/>
      <c r="O496" s="48"/>
      <c r="P496" s="370"/>
      <c r="Q496" s="48"/>
    </row>
    <row r="497" spans="1:17" s="448" customFormat="1" ht="15" x14ac:dyDescent="0.25">
      <c r="A497" s="1">
        <v>492</v>
      </c>
      <c r="B497" s="32" t="s">
        <v>718</v>
      </c>
      <c r="C497" s="32">
        <v>3850</v>
      </c>
      <c r="D497" s="32">
        <v>20000</v>
      </c>
      <c r="E497" s="1" t="s">
        <v>80</v>
      </c>
      <c r="F497" s="295">
        <v>222.82</v>
      </c>
      <c r="G497" s="1">
        <v>20000</v>
      </c>
      <c r="H497" s="1">
        <f t="shared" si="9"/>
        <v>0</v>
      </c>
      <c r="I497" s="89"/>
      <c r="J497" s="423"/>
      <c r="K497" s="204"/>
      <c r="L497" s="204"/>
      <c r="M497" s="203"/>
      <c r="N497" s="388"/>
      <c r="O497" s="48"/>
      <c r="P497" s="370"/>
      <c r="Q497" s="48"/>
    </row>
    <row r="498" spans="1:17" s="448" customFormat="1" ht="15" x14ac:dyDescent="0.25">
      <c r="A498" s="1">
        <v>493</v>
      </c>
      <c r="B498" s="32" t="s">
        <v>718</v>
      </c>
      <c r="C498" s="32">
        <v>9992</v>
      </c>
      <c r="D498" s="32">
        <v>20000</v>
      </c>
      <c r="E498" s="1" t="s">
        <v>80</v>
      </c>
      <c r="F498" s="295">
        <v>222.82</v>
      </c>
      <c r="G498" s="1">
        <v>20000</v>
      </c>
      <c r="H498" s="1">
        <f t="shared" si="9"/>
        <v>0</v>
      </c>
      <c r="I498" s="89"/>
      <c r="J498" s="423"/>
      <c r="K498" s="204"/>
      <c r="L498" s="204"/>
      <c r="M498" s="203"/>
      <c r="N498" s="388"/>
      <c r="O498" s="48"/>
      <c r="P498" s="370"/>
      <c r="Q498" s="48"/>
    </row>
    <row r="499" spans="1:17" s="448" customFormat="1" ht="15" x14ac:dyDescent="0.25">
      <c r="A499" s="1">
        <v>494</v>
      </c>
      <c r="B499" s="32" t="s">
        <v>718</v>
      </c>
      <c r="C499" s="32">
        <v>2143</v>
      </c>
      <c r="D499" s="32">
        <v>5000</v>
      </c>
      <c r="E499" s="1" t="s">
        <v>80</v>
      </c>
      <c r="F499" s="295">
        <v>55.68</v>
      </c>
      <c r="G499" s="1">
        <v>5000</v>
      </c>
      <c r="H499" s="1">
        <f t="shared" si="9"/>
        <v>0</v>
      </c>
      <c r="I499" s="89"/>
      <c r="J499" s="423"/>
      <c r="K499" s="204"/>
      <c r="L499" s="204"/>
      <c r="M499" s="203"/>
      <c r="N499" s="388"/>
      <c r="O499" s="48"/>
      <c r="P499" s="370"/>
      <c r="Q499" s="48"/>
    </row>
    <row r="500" spans="1:17" s="448" customFormat="1" ht="15" x14ac:dyDescent="0.25">
      <c r="A500" s="1">
        <v>495</v>
      </c>
      <c r="B500" s="32" t="s">
        <v>718</v>
      </c>
      <c r="C500" s="32">
        <v>1515</v>
      </c>
      <c r="D500" s="32">
        <v>30000</v>
      </c>
      <c r="E500" s="1" t="s">
        <v>80</v>
      </c>
      <c r="F500" s="295">
        <v>334.82</v>
      </c>
      <c r="G500" s="1">
        <v>30000</v>
      </c>
      <c r="H500" s="1">
        <f t="shared" si="9"/>
        <v>0</v>
      </c>
      <c r="I500" s="89"/>
      <c r="J500" s="423"/>
      <c r="K500" s="204"/>
      <c r="L500" s="204"/>
      <c r="M500" s="203"/>
      <c r="N500" s="388"/>
      <c r="O500" s="48"/>
      <c r="P500" s="370"/>
      <c r="Q500" s="48"/>
    </row>
    <row r="501" spans="1:17" s="448" customFormat="1" ht="15" x14ac:dyDescent="0.25">
      <c r="A501" s="1">
        <v>496</v>
      </c>
      <c r="B501" s="32" t="s">
        <v>718</v>
      </c>
      <c r="C501" s="32">
        <v>1898</v>
      </c>
      <c r="D501" s="32">
        <v>20000</v>
      </c>
      <c r="E501" s="1" t="s">
        <v>80</v>
      </c>
      <c r="F501" s="295">
        <v>222.82</v>
      </c>
      <c r="G501" s="1">
        <v>20000</v>
      </c>
      <c r="H501" s="1">
        <f t="shared" si="9"/>
        <v>0</v>
      </c>
      <c r="I501" s="89"/>
      <c r="J501" s="423"/>
      <c r="K501" s="204"/>
      <c r="L501" s="204"/>
      <c r="M501" s="203"/>
      <c r="N501" s="388"/>
      <c r="O501" s="48"/>
      <c r="P501" s="370"/>
      <c r="Q501" s="48"/>
    </row>
    <row r="502" spans="1:17" s="448" customFormat="1" ht="15" x14ac:dyDescent="0.25">
      <c r="A502" s="1">
        <v>497</v>
      </c>
      <c r="B502" s="32" t="s">
        <v>718</v>
      </c>
      <c r="C502" s="32">
        <v>8820</v>
      </c>
      <c r="D502" s="32">
        <v>15000</v>
      </c>
      <c r="E502" s="1" t="s">
        <v>80</v>
      </c>
      <c r="F502" s="295">
        <v>167.15</v>
      </c>
      <c r="G502" s="1">
        <v>15000</v>
      </c>
      <c r="H502" s="1">
        <f t="shared" si="9"/>
        <v>0</v>
      </c>
      <c r="I502" s="89"/>
      <c r="J502" s="423"/>
      <c r="K502" s="204"/>
      <c r="L502" s="204"/>
      <c r="M502" s="203"/>
      <c r="N502" s="388"/>
      <c r="O502" s="48"/>
      <c r="P502" s="370"/>
      <c r="Q502" s="48"/>
    </row>
    <row r="503" spans="1:17" s="448" customFormat="1" ht="15" x14ac:dyDescent="0.25">
      <c r="A503" s="1">
        <v>498</v>
      </c>
      <c r="B503" s="32" t="s">
        <v>718</v>
      </c>
      <c r="C503" s="32">
        <v>4.7800000000000002E-2</v>
      </c>
      <c r="D503" s="32">
        <v>13000</v>
      </c>
      <c r="E503" s="1" t="s">
        <v>80</v>
      </c>
      <c r="F503" s="295">
        <v>144.12</v>
      </c>
      <c r="G503" s="1">
        <v>13000</v>
      </c>
      <c r="H503" s="1">
        <f t="shared" si="9"/>
        <v>0</v>
      </c>
      <c r="I503" s="89"/>
      <c r="J503" s="423"/>
      <c r="K503" s="204"/>
      <c r="L503" s="204"/>
      <c r="M503" s="203"/>
      <c r="N503" s="388"/>
      <c r="O503" s="48"/>
      <c r="P503" s="370"/>
      <c r="Q503" s="48"/>
    </row>
    <row r="504" spans="1:17" s="448" customFormat="1" ht="15" x14ac:dyDescent="0.25">
      <c r="A504" s="1">
        <v>499</v>
      </c>
      <c r="B504" s="32" t="s">
        <v>718</v>
      </c>
      <c r="C504" s="32">
        <v>2.4899999999999999E-2</v>
      </c>
      <c r="D504" s="32">
        <v>22000</v>
      </c>
      <c r="E504" s="1" t="s">
        <v>80</v>
      </c>
      <c r="F504" s="295">
        <v>225.72</v>
      </c>
      <c r="G504" s="1">
        <v>22000</v>
      </c>
      <c r="H504" s="1">
        <f t="shared" si="9"/>
        <v>0</v>
      </c>
      <c r="I504" s="89"/>
      <c r="J504" s="423"/>
      <c r="K504" s="204"/>
      <c r="L504" s="204"/>
      <c r="M504" s="203"/>
      <c r="N504" s="388"/>
      <c r="O504" s="48"/>
      <c r="P504" s="370"/>
      <c r="Q504" s="48"/>
    </row>
    <row r="505" spans="1:17" s="448" customFormat="1" ht="15" x14ac:dyDescent="0.25">
      <c r="A505" s="1">
        <v>500</v>
      </c>
      <c r="B505" s="32" t="s">
        <v>718</v>
      </c>
      <c r="C505" s="32">
        <v>4154</v>
      </c>
      <c r="D505" s="32">
        <v>10000</v>
      </c>
      <c r="E505" s="1" t="s">
        <v>80</v>
      </c>
      <c r="F505" s="295">
        <v>111.41</v>
      </c>
      <c r="G505" s="1">
        <v>10000</v>
      </c>
      <c r="H505" s="1">
        <f t="shared" si="9"/>
        <v>0</v>
      </c>
      <c r="I505" s="89"/>
      <c r="J505" s="423"/>
      <c r="K505" s="204"/>
      <c r="L505" s="204"/>
      <c r="M505" s="203"/>
      <c r="N505" s="388"/>
      <c r="O505" s="48"/>
      <c r="P505" s="370"/>
      <c r="Q505" s="48"/>
    </row>
    <row r="506" spans="1:17" s="448" customFormat="1" ht="15.75" thickBot="1" x14ac:dyDescent="0.3">
      <c r="A506" s="1">
        <v>501</v>
      </c>
      <c r="B506" s="32" t="s">
        <v>718</v>
      </c>
      <c r="C506" s="32">
        <v>7676</v>
      </c>
      <c r="D506" s="32">
        <v>15000</v>
      </c>
      <c r="E506" s="1" t="s">
        <v>80</v>
      </c>
      <c r="F506" s="295">
        <v>167.15</v>
      </c>
      <c r="G506" s="1">
        <v>15000</v>
      </c>
      <c r="H506" s="1">
        <f t="shared" si="9"/>
        <v>0</v>
      </c>
      <c r="I506" s="89"/>
      <c r="J506" s="423"/>
      <c r="K506" s="204"/>
      <c r="L506" s="204"/>
      <c r="M506" s="203"/>
      <c r="N506" s="388"/>
      <c r="O506" s="48"/>
      <c r="P506" s="370"/>
      <c r="Q506" s="48"/>
    </row>
    <row r="507" spans="1:17" s="448" customFormat="1" ht="15.75" thickBot="1" x14ac:dyDescent="0.3">
      <c r="A507" s="1">
        <v>502</v>
      </c>
      <c r="B507" s="32" t="s">
        <v>718</v>
      </c>
      <c r="C507" s="32">
        <v>2973</v>
      </c>
      <c r="D507" s="32">
        <v>20000</v>
      </c>
      <c r="E507" s="1" t="s">
        <v>80</v>
      </c>
      <c r="F507" s="295">
        <v>222.82</v>
      </c>
      <c r="G507" s="1">
        <v>20000</v>
      </c>
      <c r="H507" s="1">
        <f t="shared" si="9"/>
        <v>0</v>
      </c>
      <c r="I507" s="89"/>
      <c r="J507" s="423"/>
      <c r="K507" s="204"/>
      <c r="L507" s="204"/>
      <c r="M507" s="203"/>
      <c r="N507" s="103">
        <f>2351934-2332599</f>
        <v>19335</v>
      </c>
      <c r="O507" s="359" t="s">
        <v>719</v>
      </c>
      <c r="P507" s="367" t="s">
        <v>620</v>
      </c>
      <c r="Q507" s="360">
        <f>19335-6300</f>
        <v>13035</v>
      </c>
    </row>
    <row r="508" spans="1:17" s="449" customFormat="1" ht="15" x14ac:dyDescent="0.25">
      <c r="A508" s="1">
        <v>503</v>
      </c>
      <c r="B508" s="32" t="s">
        <v>720</v>
      </c>
      <c r="C508" s="32" t="s">
        <v>30</v>
      </c>
      <c r="D508" s="32">
        <v>4500</v>
      </c>
      <c r="E508" s="1" t="s">
        <v>80</v>
      </c>
      <c r="F508" s="295">
        <v>50.48</v>
      </c>
      <c r="G508" s="1">
        <v>4500</v>
      </c>
      <c r="H508" s="1">
        <f t="shared" si="9"/>
        <v>0</v>
      </c>
      <c r="I508" s="89"/>
      <c r="J508" s="423"/>
      <c r="K508" s="204"/>
      <c r="L508" s="204"/>
      <c r="M508" s="203"/>
      <c r="N508" s="388"/>
      <c r="O508" s="48"/>
      <c r="P508" s="370"/>
      <c r="Q508" s="48"/>
    </row>
    <row r="509" spans="1:17" s="449" customFormat="1" ht="15" x14ac:dyDescent="0.25">
      <c r="A509" s="1">
        <v>504</v>
      </c>
      <c r="B509" s="32" t="s">
        <v>720</v>
      </c>
      <c r="C509" s="32">
        <v>2.4400000000000002E-2</v>
      </c>
      <c r="D509" s="32">
        <v>5000</v>
      </c>
      <c r="E509" s="1" t="s">
        <v>80</v>
      </c>
      <c r="F509" s="295">
        <v>55.85</v>
      </c>
      <c r="G509" s="1">
        <v>5000</v>
      </c>
      <c r="H509" s="1">
        <f t="shared" si="9"/>
        <v>0</v>
      </c>
      <c r="I509" s="89"/>
      <c r="J509" s="423"/>
      <c r="K509" s="204"/>
      <c r="L509" s="204"/>
      <c r="M509" s="203"/>
      <c r="N509" s="388"/>
      <c r="O509" s="48"/>
      <c r="P509" s="370"/>
      <c r="Q509" s="48"/>
    </row>
    <row r="510" spans="1:17" s="449" customFormat="1" ht="15" x14ac:dyDescent="0.25">
      <c r="A510" s="1">
        <v>505</v>
      </c>
      <c r="B510" s="32" t="s">
        <v>720</v>
      </c>
      <c r="C510" s="32">
        <v>7774</v>
      </c>
      <c r="D510" s="32">
        <v>12000</v>
      </c>
      <c r="E510" s="1" t="s">
        <v>80</v>
      </c>
      <c r="F510" s="295">
        <v>133.44999999999999</v>
      </c>
      <c r="G510" s="1">
        <v>12000</v>
      </c>
      <c r="H510" s="1">
        <f t="shared" si="9"/>
        <v>0</v>
      </c>
      <c r="I510" s="89"/>
      <c r="J510" s="423"/>
      <c r="K510" s="204"/>
      <c r="L510" s="204"/>
      <c r="M510" s="203"/>
      <c r="N510" s="388"/>
      <c r="O510" s="48"/>
      <c r="P510" s="370"/>
      <c r="Q510" s="48"/>
    </row>
    <row r="511" spans="1:17" s="449" customFormat="1" ht="15" x14ac:dyDescent="0.25">
      <c r="A511" s="1">
        <v>506</v>
      </c>
      <c r="B511" s="32" t="s">
        <v>720</v>
      </c>
      <c r="C511" s="32">
        <v>5152</v>
      </c>
      <c r="D511" s="32">
        <v>12000</v>
      </c>
      <c r="E511" s="1" t="s">
        <v>80</v>
      </c>
      <c r="F511" s="295">
        <v>133.44999999999999</v>
      </c>
      <c r="G511" s="1">
        <v>12000</v>
      </c>
      <c r="H511" s="1">
        <f t="shared" si="9"/>
        <v>0</v>
      </c>
      <c r="I511" s="89"/>
      <c r="J511" s="423"/>
      <c r="K511" s="204"/>
      <c r="L511" s="204"/>
      <c r="M511" s="203"/>
      <c r="N511" s="388"/>
      <c r="O511" s="48"/>
      <c r="P511" s="370"/>
      <c r="Q511" s="48"/>
    </row>
    <row r="512" spans="1:17" s="449" customFormat="1" ht="15" x14ac:dyDescent="0.25">
      <c r="A512" s="1">
        <v>507</v>
      </c>
      <c r="B512" s="32" t="s">
        <v>720</v>
      </c>
      <c r="C512" s="32" t="s">
        <v>30</v>
      </c>
      <c r="D512" s="32">
        <v>5000</v>
      </c>
      <c r="E512" s="1" t="s">
        <v>80</v>
      </c>
      <c r="F512" s="295">
        <v>55.85</v>
      </c>
      <c r="G512" s="1">
        <v>5000</v>
      </c>
      <c r="H512" s="1">
        <f t="shared" si="9"/>
        <v>0</v>
      </c>
      <c r="I512" s="89"/>
      <c r="J512" s="423"/>
      <c r="K512" s="204"/>
      <c r="L512" s="204"/>
      <c r="M512" s="203"/>
      <c r="N512" s="388"/>
      <c r="O512" s="48"/>
      <c r="P512" s="370"/>
      <c r="Q512" s="48"/>
    </row>
    <row r="513" spans="1:17" s="449" customFormat="1" ht="15" x14ac:dyDescent="0.25">
      <c r="A513" s="1">
        <v>508</v>
      </c>
      <c r="B513" s="32" t="s">
        <v>720</v>
      </c>
      <c r="C513" s="32">
        <v>7880</v>
      </c>
      <c r="D513" s="32">
        <v>32000</v>
      </c>
      <c r="E513" s="1" t="s">
        <v>80</v>
      </c>
      <c r="F513" s="295">
        <v>356.38</v>
      </c>
      <c r="G513" s="1">
        <v>32000</v>
      </c>
      <c r="H513" s="1">
        <f t="shared" si="9"/>
        <v>0</v>
      </c>
      <c r="I513" s="89"/>
      <c r="J513" s="423"/>
      <c r="K513" s="204"/>
      <c r="L513" s="204"/>
      <c r="M513" s="203"/>
      <c r="N513" s="388"/>
      <c r="O513" s="48"/>
      <c r="P513" s="370"/>
      <c r="Q513" s="48"/>
    </row>
    <row r="514" spans="1:17" s="449" customFormat="1" ht="15" x14ac:dyDescent="0.25">
      <c r="A514" s="1">
        <v>509</v>
      </c>
      <c r="B514" s="32" t="s">
        <v>720</v>
      </c>
      <c r="C514" s="32">
        <v>4321</v>
      </c>
      <c r="D514" s="32">
        <v>13000</v>
      </c>
      <c r="E514" s="1" t="s">
        <v>80</v>
      </c>
      <c r="F514" s="295">
        <v>144.13</v>
      </c>
      <c r="G514" s="1">
        <v>13000</v>
      </c>
      <c r="H514" s="1">
        <f t="shared" si="9"/>
        <v>0</v>
      </c>
      <c r="I514" s="89"/>
      <c r="J514" s="423"/>
      <c r="K514" s="204"/>
      <c r="L514" s="204"/>
      <c r="M514" s="203"/>
      <c r="N514" s="388"/>
      <c r="O514" s="48"/>
      <c r="P514" s="370"/>
      <c r="Q514" s="48"/>
    </row>
    <row r="515" spans="1:17" s="449" customFormat="1" ht="15" x14ac:dyDescent="0.25">
      <c r="A515" s="1">
        <v>510</v>
      </c>
      <c r="B515" s="32" t="s">
        <v>720</v>
      </c>
      <c r="C515" s="32" t="s">
        <v>633</v>
      </c>
      <c r="D515" s="32">
        <v>210</v>
      </c>
      <c r="E515" s="1" t="s">
        <v>80</v>
      </c>
      <c r="F515" s="295">
        <v>2.09</v>
      </c>
      <c r="G515" s="1">
        <v>210</v>
      </c>
      <c r="H515" s="1">
        <f t="shared" si="9"/>
        <v>0</v>
      </c>
      <c r="I515" s="89"/>
      <c r="J515" s="423"/>
      <c r="K515" s="204"/>
      <c r="L515" s="204"/>
      <c r="M515" s="203"/>
      <c r="N515" s="388"/>
      <c r="O515" s="48"/>
      <c r="P515" s="370"/>
      <c r="Q515" s="48"/>
    </row>
    <row r="516" spans="1:17" s="449" customFormat="1" ht="15" x14ac:dyDescent="0.25">
      <c r="A516" s="1">
        <v>511</v>
      </c>
      <c r="B516" s="32" t="s">
        <v>720</v>
      </c>
      <c r="C516" s="32">
        <v>9509</v>
      </c>
      <c r="D516" s="32">
        <v>26000</v>
      </c>
      <c r="E516" s="1" t="s">
        <v>80</v>
      </c>
      <c r="F516" s="295">
        <v>289.87</v>
      </c>
      <c r="G516" s="1">
        <v>26000</v>
      </c>
      <c r="H516" s="1">
        <f t="shared" si="9"/>
        <v>0</v>
      </c>
      <c r="I516" s="89"/>
      <c r="J516" s="423"/>
      <c r="K516" s="204"/>
      <c r="L516" s="204"/>
      <c r="M516" s="203"/>
      <c r="N516" s="388"/>
      <c r="O516" s="48"/>
      <c r="P516" s="370"/>
      <c r="Q516" s="48"/>
    </row>
    <row r="517" spans="1:17" s="449" customFormat="1" ht="15" x14ac:dyDescent="0.25">
      <c r="A517" s="1">
        <v>512</v>
      </c>
      <c r="B517" s="32" t="s">
        <v>720</v>
      </c>
      <c r="C517" s="32">
        <v>9876</v>
      </c>
      <c r="D517" s="32">
        <v>16000</v>
      </c>
      <c r="E517" s="1" t="s">
        <v>80</v>
      </c>
      <c r="F517" s="295">
        <v>178.22</v>
      </c>
      <c r="G517" s="1">
        <v>16000</v>
      </c>
      <c r="H517" s="1">
        <f t="shared" si="9"/>
        <v>0</v>
      </c>
      <c r="I517" s="89"/>
      <c r="J517" s="423"/>
      <c r="K517" s="204"/>
      <c r="L517" s="204"/>
      <c r="M517" s="203"/>
      <c r="N517" s="388"/>
      <c r="O517" s="48"/>
      <c r="P517" s="370"/>
      <c r="Q517" s="48"/>
    </row>
    <row r="518" spans="1:17" s="449" customFormat="1" ht="15" x14ac:dyDescent="0.25">
      <c r="A518" s="1">
        <v>513</v>
      </c>
      <c r="B518" s="32" t="s">
        <v>720</v>
      </c>
      <c r="C518" s="32">
        <v>8311</v>
      </c>
      <c r="D518" s="32">
        <v>24000</v>
      </c>
      <c r="E518" s="1" t="s">
        <v>80</v>
      </c>
      <c r="F518" s="295">
        <v>256.37</v>
      </c>
      <c r="G518" s="1">
        <v>24000</v>
      </c>
      <c r="H518" s="1">
        <f t="shared" si="9"/>
        <v>0</v>
      </c>
      <c r="I518" s="89"/>
      <c r="J518" s="423"/>
      <c r="K518" s="204"/>
      <c r="L518" s="204"/>
      <c r="M518" s="203"/>
      <c r="N518" s="388"/>
      <c r="O518" s="48"/>
      <c r="P518" s="370"/>
      <c r="Q518" s="48"/>
    </row>
    <row r="519" spans="1:17" s="449" customFormat="1" ht="15" x14ac:dyDescent="0.25">
      <c r="A519" s="1">
        <v>514</v>
      </c>
      <c r="B519" s="32" t="s">
        <v>720</v>
      </c>
      <c r="C519" s="32">
        <v>3873</v>
      </c>
      <c r="D519" s="32">
        <v>13000</v>
      </c>
      <c r="E519" s="1" t="s">
        <v>80</v>
      </c>
      <c r="F519" s="295">
        <v>144.13</v>
      </c>
      <c r="G519" s="1">
        <v>13000</v>
      </c>
      <c r="H519" s="1">
        <f t="shared" si="9"/>
        <v>0</v>
      </c>
      <c r="I519" s="89"/>
      <c r="J519" s="423"/>
      <c r="K519" s="204"/>
      <c r="L519" s="204"/>
      <c r="M519" s="203"/>
      <c r="N519" s="388"/>
      <c r="O519" s="48"/>
      <c r="P519" s="370"/>
      <c r="Q519" s="48"/>
    </row>
    <row r="520" spans="1:17" s="449" customFormat="1" ht="15" x14ac:dyDescent="0.25">
      <c r="A520" s="1">
        <v>515</v>
      </c>
      <c r="B520" s="32" t="s">
        <v>720</v>
      </c>
      <c r="C520" s="32">
        <v>7345</v>
      </c>
      <c r="D520" s="32">
        <v>13000</v>
      </c>
      <c r="E520" s="1" t="s">
        <v>80</v>
      </c>
      <c r="F520" s="295">
        <v>144.13</v>
      </c>
      <c r="G520" s="1">
        <v>13000</v>
      </c>
      <c r="H520" s="1">
        <f t="shared" si="9"/>
        <v>0</v>
      </c>
      <c r="I520" s="89"/>
      <c r="J520" s="423"/>
      <c r="K520" s="204"/>
      <c r="L520" s="204"/>
      <c r="M520" s="203"/>
      <c r="N520" s="388"/>
      <c r="O520" s="48"/>
      <c r="P520" s="370"/>
      <c r="Q520" s="48"/>
    </row>
    <row r="521" spans="1:17" s="449" customFormat="1" ht="15" x14ac:dyDescent="0.25">
      <c r="A521" s="1">
        <v>516</v>
      </c>
      <c r="B521" s="32" t="s">
        <v>720</v>
      </c>
      <c r="C521" s="32">
        <v>9944</v>
      </c>
      <c r="D521" s="32">
        <v>20000</v>
      </c>
      <c r="E521" s="1" t="s">
        <v>80</v>
      </c>
      <c r="F521" s="295">
        <v>222.82</v>
      </c>
      <c r="G521" s="1">
        <v>20000</v>
      </c>
      <c r="H521" s="1">
        <f t="shared" si="9"/>
        <v>0</v>
      </c>
      <c r="I521" s="89"/>
      <c r="J521" s="423"/>
      <c r="K521" s="204"/>
      <c r="L521" s="204"/>
      <c r="M521" s="203"/>
      <c r="N521" s="388"/>
      <c r="O521" s="48"/>
      <c r="P521" s="370"/>
      <c r="Q521" s="48"/>
    </row>
    <row r="522" spans="1:17" s="449" customFormat="1" ht="15" x14ac:dyDescent="0.25">
      <c r="A522" s="1">
        <v>517</v>
      </c>
      <c r="B522" s="32" t="s">
        <v>720</v>
      </c>
      <c r="C522" s="32">
        <v>8569</v>
      </c>
      <c r="D522" s="32">
        <v>13000</v>
      </c>
      <c r="E522" s="1" t="s">
        <v>80</v>
      </c>
      <c r="F522" s="295">
        <v>144.13</v>
      </c>
      <c r="G522" s="1">
        <v>13000</v>
      </c>
      <c r="H522" s="1">
        <f t="shared" si="9"/>
        <v>0</v>
      </c>
      <c r="I522" s="89"/>
      <c r="J522" s="423"/>
      <c r="K522" s="204"/>
      <c r="L522" s="204"/>
      <c r="M522" s="203"/>
      <c r="N522" s="388"/>
      <c r="O522" s="48"/>
      <c r="P522" s="370"/>
      <c r="Q522" s="48"/>
    </row>
    <row r="523" spans="1:17" s="449" customFormat="1" ht="15" x14ac:dyDescent="0.25">
      <c r="A523" s="1">
        <v>518</v>
      </c>
      <c r="B523" s="32" t="s">
        <v>720</v>
      </c>
      <c r="C523" s="32">
        <v>6775</v>
      </c>
      <c r="D523" s="32">
        <v>41000</v>
      </c>
      <c r="E523" s="1" t="s">
        <v>80</v>
      </c>
      <c r="F523" s="295">
        <v>456.72</v>
      </c>
      <c r="G523" s="1">
        <v>41000</v>
      </c>
      <c r="H523" s="1">
        <f t="shared" si="9"/>
        <v>0</v>
      </c>
      <c r="I523" s="89"/>
      <c r="J523" s="423"/>
      <c r="K523" s="204"/>
      <c r="L523" s="204"/>
      <c r="M523" s="203"/>
      <c r="N523" s="388"/>
      <c r="O523" s="48"/>
      <c r="P523" s="370"/>
      <c r="Q523" s="48"/>
    </row>
    <row r="524" spans="1:17" s="449" customFormat="1" ht="15" x14ac:dyDescent="0.25">
      <c r="A524" s="1">
        <v>519</v>
      </c>
      <c r="B524" s="32" t="s">
        <v>720</v>
      </c>
      <c r="C524" s="32">
        <v>1951</v>
      </c>
      <c r="D524" s="32">
        <v>25000</v>
      </c>
      <c r="E524" s="1" t="s">
        <v>80</v>
      </c>
      <c r="F524" s="295">
        <v>278.22000000000003</v>
      </c>
      <c r="G524" s="1">
        <v>25000</v>
      </c>
      <c r="H524" s="1">
        <f t="shared" si="9"/>
        <v>0</v>
      </c>
      <c r="I524" s="89"/>
      <c r="J524" s="423"/>
      <c r="K524" s="204"/>
      <c r="L524" s="204"/>
      <c r="M524" s="203"/>
      <c r="N524" s="388"/>
      <c r="O524" s="48"/>
      <c r="P524" s="370"/>
      <c r="Q524" s="48"/>
    </row>
    <row r="525" spans="1:17" s="449" customFormat="1" ht="15.75" thickBot="1" x14ac:dyDescent="0.3">
      <c r="A525" s="1">
        <v>520</v>
      </c>
      <c r="B525" s="32" t="s">
        <v>720</v>
      </c>
      <c r="C525" s="32">
        <v>9888</v>
      </c>
      <c r="D525" s="32">
        <v>20000</v>
      </c>
      <c r="E525" s="1" t="s">
        <v>80</v>
      </c>
      <c r="F525" s="295">
        <v>222.82</v>
      </c>
      <c r="G525" s="1">
        <v>20000</v>
      </c>
      <c r="H525" s="1">
        <f t="shared" si="9"/>
        <v>0</v>
      </c>
      <c r="I525" s="89"/>
      <c r="J525" s="423"/>
      <c r="K525" s="204"/>
      <c r="L525" s="204"/>
      <c r="M525" s="203"/>
      <c r="N525" s="388"/>
      <c r="O525" s="48"/>
      <c r="P525" s="370"/>
      <c r="Q525" s="48"/>
    </row>
    <row r="526" spans="1:17" s="449" customFormat="1" ht="15.75" thickBot="1" x14ac:dyDescent="0.3">
      <c r="A526" s="1">
        <v>521</v>
      </c>
      <c r="B526" s="32" t="s">
        <v>720</v>
      </c>
      <c r="C526" s="32">
        <v>9370</v>
      </c>
      <c r="D526" s="32">
        <v>33000</v>
      </c>
      <c r="E526" s="1" t="s">
        <v>80</v>
      </c>
      <c r="F526" s="295">
        <v>367.67</v>
      </c>
      <c r="G526" s="1">
        <v>33000</v>
      </c>
      <c r="H526" s="1">
        <f t="shared" si="9"/>
        <v>0</v>
      </c>
      <c r="I526" s="89"/>
      <c r="J526" s="423"/>
      <c r="K526" s="204"/>
      <c r="L526" s="204"/>
      <c r="M526" s="203"/>
      <c r="N526" s="103">
        <f>2379644-2360309</f>
        <v>19335</v>
      </c>
      <c r="O526" s="359" t="s">
        <v>719</v>
      </c>
      <c r="P526" s="367" t="s">
        <v>620</v>
      </c>
      <c r="Q526" s="360">
        <f>19335-6300</f>
        <v>13035</v>
      </c>
    </row>
    <row r="527" spans="1:17" s="450" customFormat="1" ht="15" x14ac:dyDescent="0.25">
      <c r="A527" s="1">
        <v>522</v>
      </c>
      <c r="B527" s="32" t="s">
        <v>721</v>
      </c>
      <c r="C527" s="32">
        <v>7604</v>
      </c>
      <c r="D527" s="32">
        <v>24000</v>
      </c>
      <c r="E527" s="1" t="s">
        <v>80</v>
      </c>
      <c r="F527" s="295">
        <v>267.87</v>
      </c>
      <c r="G527" s="1">
        <v>24000</v>
      </c>
      <c r="H527" s="1">
        <f t="shared" si="9"/>
        <v>0</v>
      </c>
      <c r="I527" s="89"/>
      <c r="J527" s="423"/>
      <c r="K527" s="204"/>
      <c r="L527" s="204"/>
      <c r="M527" s="203"/>
      <c r="N527" s="388"/>
      <c r="O527" s="48"/>
      <c r="P527" s="370"/>
      <c r="Q527" s="48"/>
    </row>
    <row r="528" spans="1:17" s="450" customFormat="1" ht="15" x14ac:dyDescent="0.25">
      <c r="A528" s="1">
        <v>523</v>
      </c>
      <c r="B528" s="32" t="s">
        <v>721</v>
      </c>
      <c r="C528" s="32">
        <v>9.5699999999999993E-2</v>
      </c>
      <c r="D528" s="32">
        <v>30000</v>
      </c>
      <c r="E528" s="1" t="s">
        <v>80</v>
      </c>
      <c r="F528" s="295">
        <v>334.82</v>
      </c>
      <c r="G528" s="1">
        <v>30000</v>
      </c>
      <c r="H528" s="1">
        <f t="shared" si="9"/>
        <v>0</v>
      </c>
      <c r="I528" s="89"/>
      <c r="J528" s="423"/>
      <c r="K528" s="204"/>
      <c r="L528" s="204"/>
      <c r="M528" s="203"/>
      <c r="N528" s="388"/>
      <c r="O528" s="48"/>
      <c r="P528" s="370"/>
      <c r="Q528" s="48"/>
    </row>
    <row r="529" spans="1:17" s="450" customFormat="1" ht="15" x14ac:dyDescent="0.25">
      <c r="A529" s="1">
        <v>524</v>
      </c>
      <c r="B529" s="32" t="s">
        <v>721</v>
      </c>
      <c r="C529" s="32">
        <v>9744</v>
      </c>
      <c r="D529" s="32">
        <v>13000</v>
      </c>
      <c r="E529" s="1" t="s">
        <v>80</v>
      </c>
      <c r="F529" s="295">
        <v>144.13</v>
      </c>
      <c r="G529" s="1">
        <v>13000</v>
      </c>
      <c r="H529" s="1">
        <f t="shared" si="9"/>
        <v>0</v>
      </c>
      <c r="I529" s="89"/>
      <c r="J529" s="423"/>
      <c r="K529" s="204"/>
      <c r="L529" s="204"/>
      <c r="M529" s="203"/>
      <c r="N529" s="388"/>
      <c r="O529" s="48"/>
      <c r="P529" s="370"/>
      <c r="Q529" s="48"/>
    </row>
    <row r="530" spans="1:17" s="450" customFormat="1" ht="15" x14ac:dyDescent="0.25">
      <c r="A530" s="1">
        <v>525</v>
      </c>
      <c r="B530" s="32" t="s">
        <v>721</v>
      </c>
      <c r="C530" s="32">
        <v>1.6899999999999998E-2</v>
      </c>
      <c r="D530" s="32">
        <v>28000</v>
      </c>
      <c r="E530" s="1" t="s">
        <v>80</v>
      </c>
      <c r="F530" s="295">
        <v>311.37</v>
      </c>
      <c r="G530" s="1">
        <v>28000</v>
      </c>
      <c r="H530" s="1">
        <f t="shared" si="9"/>
        <v>0</v>
      </c>
      <c r="I530" s="89"/>
      <c r="J530" s="423"/>
      <c r="K530" s="204"/>
      <c r="L530" s="204"/>
      <c r="M530" s="203"/>
      <c r="N530" s="388"/>
      <c r="O530" s="48"/>
      <c r="P530" s="370"/>
      <c r="Q530" s="48"/>
    </row>
    <row r="531" spans="1:17" s="450" customFormat="1" ht="15" x14ac:dyDescent="0.25">
      <c r="A531" s="1">
        <v>526</v>
      </c>
      <c r="B531" s="32" t="s">
        <v>721</v>
      </c>
      <c r="C531" s="32">
        <v>4579</v>
      </c>
      <c r="D531" s="32">
        <v>14000</v>
      </c>
      <c r="E531" s="1" t="s">
        <v>80</v>
      </c>
      <c r="F531" s="295">
        <v>155.44999999999999</v>
      </c>
      <c r="G531" s="1">
        <v>14000</v>
      </c>
      <c r="H531" s="1">
        <f t="shared" si="9"/>
        <v>0</v>
      </c>
      <c r="I531" s="89"/>
      <c r="J531" s="423"/>
      <c r="K531" s="204"/>
      <c r="L531" s="204"/>
      <c r="M531" s="203"/>
      <c r="N531" s="388"/>
      <c r="O531" s="48"/>
      <c r="P531" s="370"/>
      <c r="Q531" s="48"/>
    </row>
    <row r="532" spans="1:17" s="450" customFormat="1" ht="15" x14ac:dyDescent="0.25">
      <c r="A532" s="1">
        <v>527</v>
      </c>
      <c r="B532" s="32" t="s">
        <v>721</v>
      </c>
      <c r="C532" s="32">
        <v>6364</v>
      </c>
      <c r="D532" s="32">
        <v>20000</v>
      </c>
      <c r="E532" s="1" t="s">
        <v>80</v>
      </c>
      <c r="F532" s="295">
        <v>222.82</v>
      </c>
      <c r="G532" s="1">
        <v>20000</v>
      </c>
      <c r="H532" s="1">
        <f t="shared" si="9"/>
        <v>0</v>
      </c>
      <c r="I532" s="89"/>
      <c r="J532" s="423"/>
      <c r="K532" s="204"/>
      <c r="L532" s="204"/>
      <c r="M532" s="203"/>
      <c r="N532" s="388"/>
      <c r="O532" s="48"/>
      <c r="P532" s="370"/>
      <c r="Q532" s="48"/>
    </row>
    <row r="533" spans="1:17" s="450" customFormat="1" ht="15" x14ac:dyDescent="0.25">
      <c r="A533" s="1">
        <v>528</v>
      </c>
      <c r="B533" s="32" t="s">
        <v>721</v>
      </c>
      <c r="C533" s="32">
        <v>2092</v>
      </c>
      <c r="D533" s="32">
        <v>25000</v>
      </c>
      <c r="E533" s="1" t="s">
        <v>80</v>
      </c>
      <c r="F533" s="295">
        <v>278.22000000000003</v>
      </c>
      <c r="G533" s="1">
        <v>25000</v>
      </c>
      <c r="H533" s="1">
        <f t="shared" si="9"/>
        <v>0</v>
      </c>
      <c r="I533" s="89"/>
      <c r="J533" s="423"/>
      <c r="K533" s="204"/>
      <c r="L533" s="204"/>
      <c r="M533" s="203"/>
      <c r="N533" s="388"/>
      <c r="O533" s="48"/>
      <c r="P533" s="370"/>
      <c r="Q533" s="48"/>
    </row>
    <row r="534" spans="1:17" s="450" customFormat="1" ht="15" x14ac:dyDescent="0.25">
      <c r="A534" s="1">
        <v>529</v>
      </c>
      <c r="B534" s="32" t="s">
        <v>721</v>
      </c>
      <c r="C534" s="32">
        <v>3839</v>
      </c>
      <c r="D534" s="32">
        <v>14500</v>
      </c>
      <c r="E534" s="1" t="s">
        <v>80</v>
      </c>
      <c r="F534" s="295">
        <v>154.34</v>
      </c>
      <c r="G534" s="1">
        <v>14500</v>
      </c>
      <c r="H534" s="1">
        <f t="shared" si="9"/>
        <v>0</v>
      </c>
      <c r="I534" s="89"/>
      <c r="J534" s="423"/>
      <c r="K534" s="204"/>
      <c r="L534" s="204"/>
      <c r="M534" s="203"/>
      <c r="N534" s="388"/>
      <c r="O534" s="48"/>
      <c r="P534" s="370"/>
      <c r="Q534" s="48"/>
    </row>
    <row r="535" spans="1:17" s="450" customFormat="1" ht="15" x14ac:dyDescent="0.25">
      <c r="A535" s="1">
        <v>530</v>
      </c>
      <c r="B535" s="32" t="s">
        <v>721</v>
      </c>
      <c r="C535" s="32">
        <v>7086</v>
      </c>
      <c r="D535" s="32">
        <v>20000</v>
      </c>
      <c r="E535" s="1" t="s">
        <v>80</v>
      </c>
      <c r="F535" s="295">
        <v>222.82</v>
      </c>
      <c r="G535" s="1">
        <v>20000</v>
      </c>
      <c r="H535" s="1">
        <f t="shared" si="9"/>
        <v>0</v>
      </c>
      <c r="I535" s="89"/>
      <c r="J535" s="423"/>
      <c r="K535" s="204"/>
      <c r="L535" s="204"/>
      <c r="M535" s="203"/>
      <c r="N535" s="388"/>
      <c r="O535" s="48"/>
      <c r="P535" s="370"/>
      <c r="Q535" s="48"/>
    </row>
    <row r="536" spans="1:17" s="450" customFormat="1" ht="15" x14ac:dyDescent="0.25">
      <c r="A536" s="1">
        <v>531</v>
      </c>
      <c r="B536" s="32" t="s">
        <v>721</v>
      </c>
      <c r="C536" s="32">
        <v>6861</v>
      </c>
      <c r="D536" s="32">
        <v>13000</v>
      </c>
      <c r="E536" s="1" t="s">
        <v>80</v>
      </c>
      <c r="F536" s="295">
        <v>144.13</v>
      </c>
      <c r="G536" s="1">
        <v>13000</v>
      </c>
      <c r="H536" s="1">
        <f t="shared" si="9"/>
        <v>0</v>
      </c>
      <c r="I536" s="89"/>
      <c r="J536" s="423"/>
      <c r="K536" s="204"/>
      <c r="L536" s="204"/>
      <c r="M536" s="203"/>
      <c r="N536" s="388"/>
      <c r="O536" s="48"/>
      <c r="P536" s="370"/>
      <c r="Q536" s="48"/>
    </row>
    <row r="537" spans="1:17" s="450" customFormat="1" ht="15" x14ac:dyDescent="0.25">
      <c r="A537" s="1">
        <v>532</v>
      </c>
      <c r="B537" s="32" t="s">
        <v>721</v>
      </c>
      <c r="C537" s="32">
        <v>7166</v>
      </c>
      <c r="D537" s="32">
        <v>30000</v>
      </c>
      <c r="E537" s="1"/>
      <c r="F537" s="295">
        <v>334.82</v>
      </c>
      <c r="G537" s="1">
        <v>30000</v>
      </c>
      <c r="H537" s="1">
        <f t="shared" si="9"/>
        <v>0</v>
      </c>
      <c r="I537" s="89"/>
      <c r="J537" s="423"/>
      <c r="K537" s="204"/>
      <c r="L537" s="204"/>
      <c r="M537" s="203"/>
      <c r="N537" s="388"/>
      <c r="O537" s="48"/>
      <c r="P537" s="370"/>
      <c r="Q537" s="48"/>
    </row>
    <row r="538" spans="1:17" s="450" customFormat="1" ht="15" x14ac:dyDescent="0.25">
      <c r="A538" s="1">
        <v>533</v>
      </c>
      <c r="B538" s="32" t="s">
        <v>721</v>
      </c>
      <c r="C538" s="32" t="s">
        <v>634</v>
      </c>
      <c r="D538" s="32">
        <v>3500</v>
      </c>
      <c r="E538" s="1" t="s">
        <v>80</v>
      </c>
      <c r="F538" s="295">
        <v>38.25</v>
      </c>
      <c r="G538" s="1">
        <v>3500</v>
      </c>
      <c r="H538" s="1">
        <f t="shared" si="9"/>
        <v>0</v>
      </c>
      <c r="I538" s="89"/>
      <c r="J538" s="423"/>
      <c r="K538" s="204"/>
      <c r="L538" s="204"/>
      <c r="M538" s="203"/>
      <c r="N538" s="388"/>
      <c r="O538" s="48"/>
      <c r="P538" s="370"/>
      <c r="Q538" s="48"/>
    </row>
    <row r="539" spans="1:17" s="450" customFormat="1" ht="15" x14ac:dyDescent="0.25">
      <c r="A539" s="1">
        <v>534</v>
      </c>
      <c r="B539" s="32" t="s">
        <v>721</v>
      </c>
      <c r="C539" s="32">
        <v>3941</v>
      </c>
      <c r="D539" s="32">
        <v>16000</v>
      </c>
      <c r="E539" s="1" t="s">
        <v>80</v>
      </c>
      <c r="F539" s="295">
        <v>178.22</v>
      </c>
      <c r="G539" s="1">
        <v>16000</v>
      </c>
      <c r="H539" s="1">
        <f t="shared" si="9"/>
        <v>0</v>
      </c>
      <c r="I539" s="89"/>
      <c r="J539" s="423"/>
      <c r="K539" s="204"/>
      <c r="L539" s="204"/>
      <c r="M539" s="203"/>
      <c r="N539" s="388"/>
      <c r="O539" s="48"/>
      <c r="P539" s="370"/>
      <c r="Q539" s="48"/>
    </row>
    <row r="540" spans="1:17" s="450" customFormat="1" ht="15" x14ac:dyDescent="0.25">
      <c r="A540" s="1">
        <v>535</v>
      </c>
      <c r="B540" s="32" t="s">
        <v>721</v>
      </c>
      <c r="C540" s="32">
        <v>1543</v>
      </c>
      <c r="D540" s="32">
        <v>15000</v>
      </c>
      <c r="E540" s="1" t="s">
        <v>80</v>
      </c>
      <c r="F540" s="295">
        <v>167.15</v>
      </c>
      <c r="G540" s="1">
        <v>15000</v>
      </c>
      <c r="H540" s="1">
        <f t="shared" si="9"/>
        <v>0</v>
      </c>
      <c r="I540" s="89"/>
      <c r="J540" s="423"/>
      <c r="K540" s="204"/>
      <c r="L540" s="204"/>
      <c r="M540" s="203"/>
      <c r="N540" s="388"/>
      <c r="O540" s="48"/>
      <c r="P540" s="370"/>
      <c r="Q540" s="48"/>
    </row>
    <row r="541" spans="1:17" s="450" customFormat="1" ht="15" x14ac:dyDescent="0.25">
      <c r="A541" s="1">
        <v>536</v>
      </c>
      <c r="B541" s="32" t="s">
        <v>721</v>
      </c>
      <c r="C541" s="32">
        <v>3171</v>
      </c>
      <c r="D541" s="32">
        <v>28000</v>
      </c>
      <c r="E541" s="1" t="s">
        <v>80</v>
      </c>
      <c r="F541" s="295">
        <v>311.37</v>
      </c>
      <c r="G541" s="1">
        <v>28000</v>
      </c>
      <c r="H541" s="1">
        <f t="shared" si="9"/>
        <v>0</v>
      </c>
      <c r="I541" s="89"/>
      <c r="J541" s="423"/>
      <c r="K541" s="204"/>
      <c r="L541" s="204"/>
      <c r="M541" s="203"/>
      <c r="N541" s="388"/>
      <c r="O541" s="48"/>
      <c r="P541" s="370"/>
      <c r="Q541" s="48"/>
    </row>
    <row r="542" spans="1:17" s="450" customFormat="1" ht="15" x14ac:dyDescent="0.25">
      <c r="A542" s="1">
        <v>537</v>
      </c>
      <c r="B542" s="32" t="s">
        <v>721</v>
      </c>
      <c r="C542" s="32">
        <v>4.7E-2</v>
      </c>
      <c r="D542" s="32">
        <v>14000</v>
      </c>
      <c r="E542" s="1" t="s">
        <v>80</v>
      </c>
      <c r="F542" s="295">
        <v>155.13999999999999</v>
      </c>
      <c r="G542" s="1">
        <v>14000</v>
      </c>
      <c r="H542" s="1">
        <f t="shared" ref="H542:H556" si="10">D542-G542</f>
        <v>0</v>
      </c>
      <c r="I542" s="89"/>
      <c r="J542" s="423"/>
      <c r="K542" s="204"/>
      <c r="L542" s="204"/>
      <c r="M542" s="203"/>
      <c r="N542" s="388"/>
      <c r="O542" s="48"/>
      <c r="P542" s="370"/>
      <c r="Q542" s="48"/>
    </row>
    <row r="543" spans="1:17" s="450" customFormat="1" ht="15" x14ac:dyDescent="0.25">
      <c r="A543" s="1">
        <v>538</v>
      </c>
      <c r="B543" s="32" t="s">
        <v>721</v>
      </c>
      <c r="C543" s="32">
        <v>8100</v>
      </c>
      <c r="D543" s="32">
        <v>13000</v>
      </c>
      <c r="E543" s="1" t="s">
        <v>80</v>
      </c>
      <c r="F543" s="295">
        <v>144.13</v>
      </c>
      <c r="G543" s="1">
        <v>13000</v>
      </c>
      <c r="H543" s="1">
        <f t="shared" si="10"/>
        <v>0</v>
      </c>
      <c r="I543" s="89"/>
      <c r="J543" s="423"/>
      <c r="K543" s="204"/>
      <c r="L543" s="204"/>
      <c r="M543" s="203"/>
      <c r="N543" s="388"/>
      <c r="O543" s="48"/>
      <c r="P543" s="370"/>
      <c r="Q543" s="48"/>
    </row>
    <row r="544" spans="1:17" s="450" customFormat="1" ht="15" x14ac:dyDescent="0.25">
      <c r="A544" s="1">
        <v>539</v>
      </c>
      <c r="B544" s="32" t="s">
        <v>721</v>
      </c>
      <c r="C544" s="32">
        <v>1547</v>
      </c>
      <c r="D544" s="32">
        <v>17000</v>
      </c>
      <c r="E544" s="1" t="s">
        <v>80</v>
      </c>
      <c r="F544" s="295">
        <v>189.24</v>
      </c>
      <c r="G544" s="1">
        <v>17000</v>
      </c>
      <c r="H544" s="1">
        <f t="shared" si="10"/>
        <v>0</v>
      </c>
      <c r="I544" s="89"/>
      <c r="J544" s="423"/>
      <c r="K544" s="204"/>
      <c r="L544" s="204"/>
      <c r="M544" s="203"/>
      <c r="N544" s="388"/>
      <c r="O544" s="48"/>
      <c r="P544" s="370"/>
      <c r="Q544" s="48"/>
    </row>
    <row r="545" spans="1:17" s="450" customFormat="1" ht="15" x14ac:dyDescent="0.25">
      <c r="A545" s="1">
        <v>540</v>
      </c>
      <c r="B545" s="32" t="s">
        <v>721</v>
      </c>
      <c r="C545" s="32">
        <v>6957</v>
      </c>
      <c r="D545" s="32">
        <v>18000</v>
      </c>
      <c r="E545" s="1" t="s">
        <v>80</v>
      </c>
      <c r="F545" s="295">
        <v>200.82</v>
      </c>
      <c r="G545" s="1">
        <v>18000</v>
      </c>
      <c r="H545" s="1">
        <f t="shared" si="10"/>
        <v>0</v>
      </c>
      <c r="I545" s="89"/>
      <c r="J545" s="423"/>
      <c r="K545" s="204"/>
      <c r="L545" s="204"/>
      <c r="M545" s="203"/>
      <c r="N545" s="388"/>
      <c r="O545" s="48"/>
      <c r="P545" s="370"/>
      <c r="Q545" s="48"/>
    </row>
    <row r="546" spans="1:17" s="450" customFormat="1" ht="15" x14ac:dyDescent="0.25">
      <c r="A546" s="1">
        <v>541</v>
      </c>
      <c r="B546" s="32" t="s">
        <v>721</v>
      </c>
      <c r="C546" s="32">
        <v>7677</v>
      </c>
      <c r="D546" s="32">
        <v>14000</v>
      </c>
      <c r="E546" s="1" t="s">
        <v>80</v>
      </c>
      <c r="F546" s="295">
        <v>155.44999999999999</v>
      </c>
      <c r="G546" s="1">
        <v>14000</v>
      </c>
      <c r="H546" s="1">
        <f t="shared" si="10"/>
        <v>0</v>
      </c>
      <c r="I546" s="89"/>
      <c r="J546" s="423"/>
      <c r="K546" s="204"/>
      <c r="L546" s="204"/>
      <c r="M546" s="203"/>
      <c r="N546" s="388"/>
      <c r="O546" s="48"/>
      <c r="P546" s="370"/>
      <c r="Q546" s="48"/>
    </row>
    <row r="547" spans="1:17" s="450" customFormat="1" ht="15" x14ac:dyDescent="0.25">
      <c r="A547" s="1">
        <v>542</v>
      </c>
      <c r="B547" s="32" t="s">
        <v>721</v>
      </c>
      <c r="C547" s="32">
        <v>4322</v>
      </c>
      <c r="D547" s="32">
        <v>17000</v>
      </c>
      <c r="E547" s="1" t="s">
        <v>80</v>
      </c>
      <c r="F547" s="295">
        <v>189.24</v>
      </c>
      <c r="G547" s="1">
        <v>17000</v>
      </c>
      <c r="H547" s="1">
        <f t="shared" si="10"/>
        <v>0</v>
      </c>
      <c r="I547" s="89"/>
      <c r="J547" s="423"/>
      <c r="K547" s="204"/>
      <c r="L547" s="204"/>
      <c r="M547" s="203"/>
      <c r="N547" s="388"/>
      <c r="O547" s="48"/>
      <c r="P547" s="370"/>
      <c r="Q547" s="48"/>
    </row>
    <row r="548" spans="1:17" s="450" customFormat="1" ht="15" x14ac:dyDescent="0.25">
      <c r="A548" s="1">
        <v>543</v>
      </c>
      <c r="B548" s="32" t="s">
        <v>721</v>
      </c>
      <c r="C548" s="32">
        <v>8656</v>
      </c>
      <c r="D548" s="32">
        <v>21000</v>
      </c>
      <c r="E548" s="1" t="s">
        <v>80</v>
      </c>
      <c r="F548" s="295">
        <v>230.54</v>
      </c>
      <c r="G548" s="1">
        <v>21000</v>
      </c>
      <c r="H548" s="1">
        <f t="shared" si="10"/>
        <v>0</v>
      </c>
      <c r="I548" s="89"/>
      <c r="J548" s="423"/>
      <c r="K548" s="204"/>
      <c r="L548" s="204"/>
      <c r="M548" s="203"/>
      <c r="N548" s="388"/>
      <c r="O548" s="48"/>
      <c r="P548" s="370"/>
      <c r="Q548" s="48"/>
    </row>
    <row r="549" spans="1:17" s="450" customFormat="1" ht="15" x14ac:dyDescent="0.25">
      <c r="A549" s="1">
        <v>544</v>
      </c>
      <c r="B549" s="32" t="s">
        <v>721</v>
      </c>
      <c r="C549" s="32">
        <v>4137</v>
      </c>
      <c r="D549" s="32">
        <v>17000</v>
      </c>
      <c r="E549" s="1" t="s">
        <v>80</v>
      </c>
      <c r="F549" s="295">
        <v>189.38</v>
      </c>
      <c r="G549" s="1">
        <v>17000</v>
      </c>
      <c r="H549" s="1">
        <f t="shared" si="10"/>
        <v>0</v>
      </c>
      <c r="I549" s="89"/>
      <c r="J549" s="423"/>
      <c r="K549" s="204"/>
      <c r="L549" s="204"/>
      <c r="M549" s="203"/>
      <c r="N549" s="388"/>
      <c r="O549" s="48"/>
      <c r="P549" s="370"/>
      <c r="Q549" s="48"/>
    </row>
    <row r="550" spans="1:17" s="450" customFormat="1" ht="15" x14ac:dyDescent="0.25">
      <c r="A550" s="1">
        <v>545</v>
      </c>
      <c r="B550" s="32" t="s">
        <v>721</v>
      </c>
      <c r="C550" s="32">
        <v>5820</v>
      </c>
      <c r="D550" s="32">
        <v>15000</v>
      </c>
      <c r="E550" s="1" t="s">
        <v>80</v>
      </c>
      <c r="F550" s="295">
        <v>167.15</v>
      </c>
      <c r="G550" s="1">
        <v>15000</v>
      </c>
      <c r="H550" s="1">
        <f t="shared" si="10"/>
        <v>0</v>
      </c>
      <c r="I550" s="89"/>
      <c r="J550" s="423"/>
      <c r="K550" s="204"/>
      <c r="L550" s="204"/>
      <c r="M550" s="203"/>
      <c r="N550" s="388"/>
      <c r="O550" s="48"/>
      <c r="P550" s="370"/>
      <c r="Q550" s="48"/>
    </row>
    <row r="551" spans="1:17" s="450" customFormat="1" ht="15" x14ac:dyDescent="0.25">
      <c r="A551" s="1">
        <v>546</v>
      </c>
      <c r="B551" s="32" t="s">
        <v>721</v>
      </c>
      <c r="C551" s="32">
        <v>5075</v>
      </c>
      <c r="D551" s="32">
        <v>18000</v>
      </c>
      <c r="E551" s="1" t="s">
        <v>80</v>
      </c>
      <c r="F551" s="295">
        <v>200.82</v>
      </c>
      <c r="G551" s="1">
        <v>18000</v>
      </c>
      <c r="H551" s="1">
        <f t="shared" si="10"/>
        <v>0</v>
      </c>
      <c r="I551" s="89"/>
      <c r="J551" s="423"/>
      <c r="K551" s="204"/>
      <c r="L551" s="204"/>
      <c r="M551" s="203"/>
      <c r="N551" s="388"/>
      <c r="O551" s="48"/>
      <c r="P551" s="370"/>
      <c r="Q551" s="48"/>
    </row>
    <row r="552" spans="1:17" s="450" customFormat="1" ht="15" x14ac:dyDescent="0.25">
      <c r="A552" s="1">
        <v>547</v>
      </c>
      <c r="B552" s="32" t="s">
        <v>721</v>
      </c>
      <c r="C552" s="32">
        <v>5235</v>
      </c>
      <c r="D552" s="32">
        <v>23000</v>
      </c>
      <c r="E552" s="1" t="s">
        <v>80</v>
      </c>
      <c r="F552" s="295">
        <v>245.37</v>
      </c>
      <c r="G552" s="1">
        <v>23000</v>
      </c>
      <c r="H552" s="1">
        <f t="shared" si="10"/>
        <v>0</v>
      </c>
      <c r="I552" s="89"/>
      <c r="J552" s="423"/>
      <c r="K552" s="204"/>
      <c r="L552" s="204"/>
      <c r="M552" s="203"/>
      <c r="N552" s="388"/>
      <c r="O552" s="48"/>
      <c r="P552" s="370"/>
      <c r="Q552" s="48"/>
    </row>
    <row r="553" spans="1:17" s="450" customFormat="1" ht="15" x14ac:dyDescent="0.25">
      <c r="A553" s="1">
        <v>548</v>
      </c>
      <c r="B553" s="32" t="s">
        <v>721</v>
      </c>
      <c r="C553" s="32">
        <v>2260</v>
      </c>
      <c r="D553" s="32">
        <v>14000</v>
      </c>
      <c r="E553" s="1" t="s">
        <v>80</v>
      </c>
      <c r="F553" s="295">
        <v>155.44999999999999</v>
      </c>
      <c r="G553" s="1">
        <v>14000</v>
      </c>
      <c r="H553" s="1">
        <f t="shared" si="10"/>
        <v>0</v>
      </c>
      <c r="I553" s="89"/>
      <c r="J553" s="423"/>
      <c r="K553" s="204"/>
      <c r="L553" s="204"/>
      <c r="M553" s="203"/>
      <c r="N553" s="388"/>
      <c r="O553" s="48"/>
      <c r="P553" s="370"/>
      <c r="Q553" s="48"/>
    </row>
    <row r="554" spans="1:17" s="450" customFormat="1" ht="15" x14ac:dyDescent="0.25">
      <c r="A554" s="1">
        <v>549</v>
      </c>
      <c r="B554" s="32" t="s">
        <v>721</v>
      </c>
      <c r="C554" s="32">
        <v>4204</v>
      </c>
      <c r="D554" s="32">
        <v>14000</v>
      </c>
      <c r="E554" s="1" t="s">
        <v>80</v>
      </c>
      <c r="F554" s="295">
        <v>155.44999999999999</v>
      </c>
      <c r="G554" s="1">
        <v>14000</v>
      </c>
      <c r="H554" s="1">
        <f t="shared" si="10"/>
        <v>0</v>
      </c>
      <c r="I554" s="89"/>
      <c r="J554" s="423"/>
      <c r="K554" s="204"/>
      <c r="L554" s="204"/>
      <c r="M554" s="203"/>
      <c r="N554" s="388"/>
      <c r="O554" s="48"/>
      <c r="P554" s="370"/>
      <c r="Q554" s="48"/>
    </row>
    <row r="555" spans="1:17" s="450" customFormat="1" ht="15" x14ac:dyDescent="0.25">
      <c r="A555" s="1">
        <v>550</v>
      </c>
      <c r="B555" s="32" t="s">
        <v>721</v>
      </c>
      <c r="C555" s="32">
        <v>5906</v>
      </c>
      <c r="D555" s="32">
        <v>23000</v>
      </c>
      <c r="E555" s="1" t="s">
        <v>80</v>
      </c>
      <c r="F555" s="295">
        <v>256.83999999999997</v>
      </c>
      <c r="G555" s="1">
        <v>23000</v>
      </c>
      <c r="H555" s="1">
        <f t="shared" si="10"/>
        <v>0</v>
      </c>
      <c r="I555" s="89"/>
      <c r="J555" s="423"/>
      <c r="K555" s="204"/>
      <c r="L555" s="204"/>
      <c r="M555" s="203"/>
      <c r="N555" s="388"/>
      <c r="O555" s="48"/>
      <c r="P555" s="370"/>
      <c r="Q555" s="48"/>
    </row>
    <row r="556" spans="1:17" s="450" customFormat="1" ht="15.75" thickBot="1" x14ac:dyDescent="0.3">
      <c r="A556" s="1">
        <v>551</v>
      </c>
      <c r="B556" s="32" t="s">
        <v>721</v>
      </c>
      <c r="C556" s="32">
        <v>5.1999999999999998E-3</v>
      </c>
      <c r="D556" s="32">
        <v>16000</v>
      </c>
      <c r="E556" s="1" t="s">
        <v>80</v>
      </c>
      <c r="F556" s="295">
        <v>178.22</v>
      </c>
      <c r="G556" s="1">
        <v>16000</v>
      </c>
      <c r="H556" s="1">
        <f t="shared" si="10"/>
        <v>0</v>
      </c>
      <c r="I556" s="89"/>
      <c r="J556" s="423"/>
      <c r="K556" s="204"/>
      <c r="L556" s="204"/>
      <c r="M556" s="203"/>
      <c r="N556" s="388"/>
      <c r="O556" s="48"/>
      <c r="P556" s="370"/>
      <c r="Q556" s="48"/>
    </row>
    <row r="557" spans="1:17" ht="15.75" thickBot="1" x14ac:dyDescent="0.3">
      <c r="A557" s="1"/>
      <c r="B557" s="1"/>
      <c r="C557" s="20" t="s">
        <v>9</v>
      </c>
      <c r="D557" s="21">
        <f>SUM(D5:D556)</f>
        <v>12150634</v>
      </c>
      <c r="E557" s="22"/>
      <c r="F557" s="23">
        <f>SUM(F7:F556)</f>
        <v>110166.22000000023</v>
      </c>
      <c r="G557" s="21">
        <f>SUM(G5:G556)</f>
        <v>12150634</v>
      </c>
      <c r="H557" s="22"/>
      <c r="I557" s="24">
        <f>SUM(I3:I300)</f>
        <v>9600000</v>
      </c>
      <c r="J557" s="424"/>
      <c r="K557" s="204"/>
      <c r="L557" s="204"/>
      <c r="M557" s="203"/>
      <c r="N557" s="103">
        <f>2626342-2550634</f>
        <v>75708</v>
      </c>
      <c r="O557" s="359" t="s">
        <v>722</v>
      </c>
      <c r="P557" s="367" t="s">
        <v>620</v>
      </c>
      <c r="Q557" s="360">
        <f>6700-2981</f>
        <v>3719</v>
      </c>
    </row>
    <row r="558" spans="1:17" ht="15" x14ac:dyDescent="0.25">
      <c r="A558" s="1"/>
      <c r="B558" s="1"/>
      <c r="C558" s="20" t="s">
        <v>10</v>
      </c>
      <c r="D558" s="25">
        <f>SUM(D557-I557)</f>
        <v>2550634</v>
      </c>
      <c r="E558" s="22"/>
      <c r="F558" s="22"/>
      <c r="G558" s="26" t="s">
        <v>10</v>
      </c>
      <c r="H558" s="25">
        <f>SUM(G557-I557)</f>
        <v>2550634</v>
      </c>
      <c r="I558" s="25"/>
      <c r="J558" s="424"/>
      <c r="K558" s="204"/>
      <c r="L558" s="204"/>
      <c r="M558" s="203"/>
    </row>
    <row r="560" spans="1:17" ht="15" thickBot="1" x14ac:dyDescent="0.25"/>
    <row r="561" spans="4:14" ht="15" x14ac:dyDescent="0.25">
      <c r="D561" s="199"/>
      <c r="E561" s="197" t="s">
        <v>733</v>
      </c>
      <c r="F561" s="179"/>
      <c r="G561" s="179"/>
      <c r="H561" s="179"/>
      <c r="I561" s="75"/>
      <c r="J561" s="76"/>
    </row>
    <row r="562" spans="4:14" ht="15.75" thickBot="1" x14ac:dyDescent="0.3">
      <c r="D562" s="200" t="s">
        <v>423</v>
      </c>
      <c r="E562" s="198"/>
      <c r="F562" s="181"/>
      <c r="G562" s="181" t="s">
        <v>186</v>
      </c>
      <c r="H562" s="181"/>
      <c r="I562" s="183"/>
      <c r="J562" s="184"/>
      <c r="N562" s="416"/>
    </row>
    <row r="563" spans="4:14" ht="15" x14ac:dyDescent="0.25">
      <c r="D563" s="91" t="s">
        <v>184</v>
      </c>
      <c r="E563" s="90">
        <v>12150634</v>
      </c>
      <c r="F563" s="90"/>
      <c r="G563" s="90" t="s">
        <v>187</v>
      </c>
      <c r="H563" s="90">
        <v>12135286</v>
      </c>
      <c r="I563" s="90" t="s">
        <v>364</v>
      </c>
      <c r="J563" s="187">
        <f>12150634-12135286</f>
        <v>15348</v>
      </c>
    </row>
    <row r="564" spans="4:14" ht="15" x14ac:dyDescent="0.25">
      <c r="D564" s="93" t="s">
        <v>143</v>
      </c>
      <c r="E564" s="42">
        <v>9600000</v>
      </c>
      <c r="F564" s="42"/>
      <c r="G564" s="42" t="s">
        <v>191</v>
      </c>
      <c r="H564" s="42">
        <v>9581712</v>
      </c>
      <c r="I564" s="42" t="s">
        <v>365</v>
      </c>
      <c r="J564" s="188">
        <f>9600000-9581712</f>
        <v>18288</v>
      </c>
    </row>
    <row r="565" spans="4:14" ht="18.75" x14ac:dyDescent="0.3">
      <c r="D565" s="189" t="s">
        <v>95</v>
      </c>
      <c r="E565" s="89">
        <f>12150634-9600000</f>
        <v>2550634</v>
      </c>
      <c r="F565" s="89"/>
      <c r="G565" s="89" t="s">
        <v>95</v>
      </c>
      <c r="H565" s="89">
        <f>12135286-9581712</f>
        <v>2553574</v>
      </c>
      <c r="I565" s="89" t="s">
        <v>390</v>
      </c>
      <c r="J565" s="201">
        <f>2553574-2550634</f>
        <v>2940</v>
      </c>
    </row>
    <row r="566" spans="4:14" ht="19.5" thickBot="1" x14ac:dyDescent="0.35">
      <c r="D566" s="202"/>
      <c r="E566" s="203"/>
      <c r="F566" s="203"/>
      <c r="G566" s="204"/>
      <c r="H566" s="204"/>
      <c r="I566" s="204" t="s">
        <v>421</v>
      </c>
      <c r="J566" s="205">
        <v>3719</v>
      </c>
    </row>
    <row r="567" spans="4:14" ht="18.75" thickBot="1" x14ac:dyDescent="0.3">
      <c r="D567" s="206"/>
      <c r="E567" s="207"/>
      <c r="F567" s="207"/>
      <c r="G567" s="208" t="s">
        <v>192</v>
      </c>
      <c r="H567" s="208"/>
      <c r="I567" s="208"/>
      <c r="J567" s="209">
        <f>3719-2940</f>
        <v>779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opLeftCell="A161" zoomScale="115" zoomScaleNormal="115" workbookViewId="0">
      <selection activeCell="F174" sqref="F174"/>
    </sheetView>
  </sheetViews>
  <sheetFormatPr defaultColWidth="13.375" defaultRowHeight="14.25" x14ac:dyDescent="0.2"/>
  <cols>
    <col min="2" max="2" width="10.375" customWidth="1"/>
    <col min="3" max="3" width="10" customWidth="1"/>
    <col min="4" max="4" width="9.5" customWidth="1"/>
    <col min="5" max="5" width="14.25" customWidth="1"/>
    <col min="6" max="6" width="7.625" customWidth="1"/>
    <col min="7" max="7" width="9.875" customWidth="1"/>
    <col min="8" max="8" width="12.125" customWidth="1"/>
    <col min="9" max="9" width="10.125" customWidth="1"/>
    <col min="10" max="10" width="6.125" customWidth="1"/>
  </cols>
  <sheetData>
    <row r="1" spans="1:12" ht="15.75" x14ac:dyDescent="0.25">
      <c r="A1" t="s">
        <v>75</v>
      </c>
      <c r="B1" s="119"/>
      <c r="C1" s="120"/>
      <c r="D1" s="768" t="s">
        <v>99</v>
      </c>
      <c r="E1" s="768"/>
      <c r="F1" s="768"/>
      <c r="G1" s="768"/>
      <c r="H1" s="120"/>
      <c r="I1" s="120"/>
      <c r="J1" s="121"/>
    </row>
    <row r="2" spans="1:12" ht="15.75" thickBot="1" x14ac:dyDescent="0.3">
      <c r="B2" s="122"/>
      <c r="C2" s="123"/>
      <c r="D2" s="124"/>
      <c r="E2" s="125"/>
      <c r="F2" s="62">
        <v>44621</v>
      </c>
      <c r="G2" s="126"/>
      <c r="H2" s="123"/>
      <c r="I2" s="123"/>
      <c r="J2" s="127"/>
    </row>
    <row r="3" spans="1:12" x14ac:dyDescent="0.2">
      <c r="B3" s="128" t="s">
        <v>2</v>
      </c>
      <c r="C3" s="128" t="s">
        <v>97</v>
      </c>
      <c r="D3" s="128" t="s">
        <v>4</v>
      </c>
      <c r="E3" s="129"/>
      <c r="F3" s="128" t="s">
        <v>5</v>
      </c>
      <c r="G3" s="128" t="s">
        <v>4</v>
      </c>
      <c r="H3" s="128" t="s">
        <v>98</v>
      </c>
      <c r="I3" s="116" t="s">
        <v>8</v>
      </c>
      <c r="J3" s="116" t="s">
        <v>2</v>
      </c>
    </row>
    <row r="4" spans="1:12" ht="15" x14ac:dyDescent="0.25">
      <c r="B4" s="130" t="s">
        <v>12</v>
      </c>
      <c r="C4" s="131">
        <v>2506</v>
      </c>
      <c r="D4" s="130">
        <v>16000</v>
      </c>
      <c r="E4" s="132"/>
      <c r="F4" s="133">
        <f>D4/86.7</f>
        <v>184.54440599769319</v>
      </c>
      <c r="G4" s="130">
        <v>16000</v>
      </c>
      <c r="H4" s="130">
        <f t="shared" ref="H4:H67" si="0">D4-G4</f>
        <v>0</v>
      </c>
      <c r="I4" s="134">
        <v>300000</v>
      </c>
      <c r="J4" s="134" t="s">
        <v>16</v>
      </c>
      <c r="K4" s="84" t="s">
        <v>93</v>
      </c>
      <c r="L4" s="84"/>
    </row>
    <row r="5" spans="1:12" ht="15" x14ac:dyDescent="0.25">
      <c r="B5" s="130" t="s">
        <v>12</v>
      </c>
      <c r="C5" s="131">
        <v>1550</v>
      </c>
      <c r="D5" s="130">
        <v>12000</v>
      </c>
      <c r="E5" s="132"/>
      <c r="F5" s="133">
        <f t="shared" ref="F5:F22" si="1">D5/86.7</f>
        <v>138.4083044982699</v>
      </c>
      <c r="G5" s="130">
        <v>12000</v>
      </c>
      <c r="H5" s="130">
        <f t="shared" si="0"/>
        <v>0</v>
      </c>
      <c r="I5" s="134">
        <v>400000</v>
      </c>
      <c r="J5" s="134" t="s">
        <v>20</v>
      </c>
      <c r="K5" s="84" t="s">
        <v>93</v>
      </c>
      <c r="L5" s="84"/>
    </row>
    <row r="6" spans="1:12" ht="15" x14ac:dyDescent="0.25">
      <c r="B6" s="130" t="s">
        <v>12</v>
      </c>
      <c r="C6" s="131">
        <v>7497</v>
      </c>
      <c r="D6" s="130">
        <v>12000</v>
      </c>
      <c r="E6" s="132"/>
      <c r="F6" s="133">
        <f t="shared" si="1"/>
        <v>138.4083044982699</v>
      </c>
      <c r="G6" s="130">
        <v>12000</v>
      </c>
      <c r="H6" s="130">
        <f t="shared" si="0"/>
        <v>0</v>
      </c>
      <c r="I6" s="134">
        <v>300000</v>
      </c>
      <c r="J6" s="134" t="s">
        <v>22</v>
      </c>
      <c r="K6" s="84" t="s">
        <v>93</v>
      </c>
      <c r="L6" s="84"/>
    </row>
    <row r="7" spans="1:12" x14ac:dyDescent="0.2">
      <c r="B7" s="130" t="s">
        <v>12</v>
      </c>
      <c r="C7" s="131">
        <v>5961</v>
      </c>
      <c r="D7" s="130">
        <v>13000</v>
      </c>
      <c r="E7" s="132"/>
      <c r="F7" s="133">
        <f t="shared" si="1"/>
        <v>149.94232987312571</v>
      </c>
      <c r="G7" s="130">
        <v>13000</v>
      </c>
      <c r="H7" s="130">
        <f t="shared" si="0"/>
        <v>0</v>
      </c>
      <c r="I7" s="130"/>
      <c r="J7" s="130"/>
    </row>
    <row r="8" spans="1:12" x14ac:dyDescent="0.2">
      <c r="B8" s="130" t="s">
        <v>12</v>
      </c>
      <c r="C8" s="131">
        <v>2133</v>
      </c>
      <c r="D8" s="130">
        <v>10000</v>
      </c>
      <c r="E8" s="132"/>
      <c r="F8" s="133">
        <f t="shared" si="1"/>
        <v>115.34025374855824</v>
      </c>
      <c r="G8" s="130">
        <v>10000</v>
      </c>
      <c r="H8" s="130">
        <f t="shared" si="0"/>
        <v>0</v>
      </c>
      <c r="I8" s="130"/>
      <c r="J8" s="130"/>
    </row>
    <row r="9" spans="1:12" x14ac:dyDescent="0.2">
      <c r="B9" s="130" t="s">
        <v>12</v>
      </c>
      <c r="C9" s="131">
        <v>2306</v>
      </c>
      <c r="D9" s="130">
        <v>8000</v>
      </c>
      <c r="E9" s="132"/>
      <c r="F9" s="133">
        <f t="shared" si="1"/>
        <v>92.272202998846595</v>
      </c>
      <c r="G9" s="130">
        <v>8000</v>
      </c>
      <c r="H9" s="130">
        <f t="shared" si="0"/>
        <v>0</v>
      </c>
      <c r="I9" s="130"/>
      <c r="J9" s="130"/>
    </row>
    <row r="10" spans="1:12" x14ac:dyDescent="0.2">
      <c r="B10" s="130" t="s">
        <v>12</v>
      </c>
      <c r="C10" s="131">
        <v>8897</v>
      </c>
      <c r="D10" s="130">
        <v>18000</v>
      </c>
      <c r="E10" s="132"/>
      <c r="F10" s="133">
        <f t="shared" si="1"/>
        <v>207.61245674740485</v>
      </c>
      <c r="G10" s="130">
        <v>18000</v>
      </c>
      <c r="H10" s="130">
        <f t="shared" si="0"/>
        <v>0</v>
      </c>
      <c r="I10" s="130"/>
      <c r="J10" s="130"/>
    </row>
    <row r="11" spans="1:12" x14ac:dyDescent="0.2">
      <c r="B11" s="130" t="s">
        <v>12</v>
      </c>
      <c r="C11" s="131">
        <v>1494</v>
      </c>
      <c r="D11" s="130">
        <v>20000</v>
      </c>
      <c r="E11" s="130"/>
      <c r="F11" s="133">
        <f t="shared" si="1"/>
        <v>230.68050749711648</v>
      </c>
      <c r="G11" s="130">
        <v>20000</v>
      </c>
      <c r="H11" s="130">
        <f t="shared" si="0"/>
        <v>0</v>
      </c>
      <c r="I11" s="130"/>
      <c r="J11" s="130"/>
    </row>
    <row r="12" spans="1:12" x14ac:dyDescent="0.2">
      <c r="B12" s="130" t="s">
        <v>12</v>
      </c>
      <c r="C12" s="131">
        <v>3695</v>
      </c>
      <c r="D12" s="130">
        <v>27000</v>
      </c>
      <c r="E12" s="130"/>
      <c r="F12" s="133">
        <f t="shared" si="1"/>
        <v>311.41868512110727</v>
      </c>
      <c r="G12" s="130">
        <v>27000</v>
      </c>
      <c r="H12" s="130">
        <f t="shared" si="0"/>
        <v>0</v>
      </c>
      <c r="I12" s="130"/>
      <c r="J12" s="130"/>
    </row>
    <row r="13" spans="1:12" x14ac:dyDescent="0.2">
      <c r="B13" s="130" t="s">
        <v>12</v>
      </c>
      <c r="C13" s="131">
        <v>2751</v>
      </c>
      <c r="D13" s="130">
        <v>20000</v>
      </c>
      <c r="E13" s="130"/>
      <c r="F13" s="133">
        <f t="shared" si="1"/>
        <v>230.68050749711648</v>
      </c>
      <c r="G13" s="130">
        <v>20000</v>
      </c>
      <c r="H13" s="130">
        <f t="shared" si="0"/>
        <v>0</v>
      </c>
      <c r="I13" s="130"/>
      <c r="J13" s="130"/>
    </row>
    <row r="14" spans="1:12" x14ac:dyDescent="0.2">
      <c r="B14" s="130" t="s">
        <v>12</v>
      </c>
      <c r="C14" s="131">
        <v>9239</v>
      </c>
      <c r="D14" s="130">
        <v>24000</v>
      </c>
      <c r="E14" s="130"/>
      <c r="F14" s="133">
        <f t="shared" si="1"/>
        <v>276.8166089965398</v>
      </c>
      <c r="G14" s="130">
        <v>24000</v>
      </c>
      <c r="H14" s="130">
        <f t="shared" si="0"/>
        <v>0</v>
      </c>
      <c r="I14" s="130"/>
      <c r="J14" s="130"/>
    </row>
    <row r="15" spans="1:12" x14ac:dyDescent="0.2">
      <c r="B15" s="130" t="s">
        <v>12</v>
      </c>
      <c r="C15" s="131">
        <v>2232</v>
      </c>
      <c r="D15" s="130">
        <v>13000</v>
      </c>
      <c r="E15" s="130"/>
      <c r="F15" s="133">
        <f t="shared" si="1"/>
        <v>149.94232987312571</v>
      </c>
      <c r="G15" s="130">
        <v>13000</v>
      </c>
      <c r="H15" s="130">
        <f t="shared" si="0"/>
        <v>0</v>
      </c>
      <c r="I15" s="130"/>
      <c r="J15" s="130"/>
    </row>
    <row r="16" spans="1:12" x14ac:dyDescent="0.2">
      <c r="B16" s="130" t="s">
        <v>12</v>
      </c>
      <c r="C16" s="131">
        <v>9048</v>
      </c>
      <c r="D16" s="130">
        <v>13000</v>
      </c>
      <c r="E16" s="130"/>
      <c r="F16" s="133">
        <f t="shared" si="1"/>
        <v>149.94232987312571</v>
      </c>
      <c r="G16" s="130">
        <v>13000</v>
      </c>
      <c r="H16" s="130">
        <f t="shared" si="0"/>
        <v>0</v>
      </c>
      <c r="I16" s="130"/>
      <c r="J16" s="130"/>
    </row>
    <row r="17" spans="2:10" x14ac:dyDescent="0.2">
      <c r="B17" s="130" t="s">
        <v>12</v>
      </c>
      <c r="C17" s="131">
        <v>1369</v>
      </c>
      <c r="D17" s="130">
        <v>16000</v>
      </c>
      <c r="E17" s="130"/>
      <c r="F17" s="133">
        <f t="shared" si="1"/>
        <v>184.54440599769319</v>
      </c>
      <c r="G17" s="130">
        <v>16000</v>
      </c>
      <c r="H17" s="130">
        <f t="shared" si="0"/>
        <v>0</v>
      </c>
      <c r="I17" s="130"/>
      <c r="J17" s="130"/>
    </row>
    <row r="18" spans="2:10" x14ac:dyDescent="0.2">
      <c r="B18" s="130" t="s">
        <v>12</v>
      </c>
      <c r="C18" s="131">
        <v>7601</v>
      </c>
      <c r="D18" s="130">
        <v>23450</v>
      </c>
      <c r="E18" s="130"/>
      <c r="F18" s="133">
        <f t="shared" si="1"/>
        <v>270.47289504036905</v>
      </c>
      <c r="G18" s="130">
        <v>23450</v>
      </c>
      <c r="H18" s="130">
        <f t="shared" si="0"/>
        <v>0</v>
      </c>
      <c r="I18" s="130"/>
      <c r="J18" s="130"/>
    </row>
    <row r="19" spans="2:10" x14ac:dyDescent="0.2">
      <c r="B19" s="130" t="s">
        <v>12</v>
      </c>
      <c r="C19" s="131">
        <v>3316</v>
      </c>
      <c r="D19" s="130">
        <v>25000</v>
      </c>
      <c r="E19" s="130"/>
      <c r="F19" s="133">
        <f t="shared" si="1"/>
        <v>288.35063437139559</v>
      </c>
      <c r="G19" s="130">
        <v>25000</v>
      </c>
      <c r="H19" s="130">
        <f t="shared" si="0"/>
        <v>0</v>
      </c>
      <c r="I19" s="130"/>
      <c r="J19" s="130"/>
    </row>
    <row r="20" spans="2:10" x14ac:dyDescent="0.2">
      <c r="B20" s="130" t="s">
        <v>12</v>
      </c>
      <c r="C20" s="131">
        <v>1518</v>
      </c>
      <c r="D20" s="130">
        <v>18000</v>
      </c>
      <c r="E20" s="130"/>
      <c r="F20" s="133">
        <f t="shared" si="1"/>
        <v>207.61245674740485</v>
      </c>
      <c r="G20" s="130">
        <v>18000</v>
      </c>
      <c r="H20" s="130">
        <f t="shared" si="0"/>
        <v>0</v>
      </c>
      <c r="I20" s="130"/>
      <c r="J20" s="130"/>
    </row>
    <row r="21" spans="2:10" x14ac:dyDescent="0.2">
      <c r="B21" s="130" t="s">
        <v>12</v>
      </c>
      <c r="C21" s="131">
        <v>5504</v>
      </c>
      <c r="D21" s="130">
        <v>24000</v>
      </c>
      <c r="E21" s="130"/>
      <c r="F21" s="133">
        <f t="shared" si="1"/>
        <v>276.8166089965398</v>
      </c>
      <c r="G21" s="130">
        <v>24000</v>
      </c>
      <c r="H21" s="130">
        <f t="shared" si="0"/>
        <v>0</v>
      </c>
      <c r="I21" s="130"/>
      <c r="J21" s="130"/>
    </row>
    <row r="22" spans="2:10" x14ac:dyDescent="0.2">
      <c r="B22" s="130" t="s">
        <v>12</v>
      </c>
      <c r="C22" s="131" t="s">
        <v>17</v>
      </c>
      <c r="D22" s="130">
        <v>3500</v>
      </c>
      <c r="E22" s="130"/>
      <c r="F22" s="133">
        <f t="shared" si="1"/>
        <v>40.369088811995383</v>
      </c>
      <c r="G22" s="130">
        <v>3500</v>
      </c>
      <c r="H22" s="130">
        <f t="shared" si="0"/>
        <v>0</v>
      </c>
      <c r="I22" s="130"/>
      <c r="J22" s="130"/>
    </row>
    <row r="23" spans="2:10" x14ac:dyDescent="0.2">
      <c r="B23" s="130" t="s">
        <v>13</v>
      </c>
      <c r="C23" s="131">
        <v>5675</v>
      </c>
      <c r="D23" s="130">
        <v>25000</v>
      </c>
      <c r="E23" s="130"/>
      <c r="F23" s="133">
        <f>D23/87.51</f>
        <v>285.6816363844132</v>
      </c>
      <c r="G23" s="130">
        <v>25000</v>
      </c>
      <c r="H23" s="130">
        <f t="shared" si="0"/>
        <v>0</v>
      </c>
      <c r="I23" s="130"/>
      <c r="J23" s="130"/>
    </row>
    <row r="24" spans="2:10" x14ac:dyDescent="0.2">
      <c r="B24" s="130" t="s">
        <v>13</v>
      </c>
      <c r="C24" s="131">
        <v>4137</v>
      </c>
      <c r="D24" s="130">
        <v>15000</v>
      </c>
      <c r="E24" s="130"/>
      <c r="F24" s="133">
        <f t="shared" ref="F24:F32" si="2">D24/87.51</f>
        <v>171.40898183064792</v>
      </c>
      <c r="G24" s="130">
        <v>15000</v>
      </c>
      <c r="H24" s="130">
        <f t="shared" si="0"/>
        <v>0</v>
      </c>
      <c r="I24" s="130"/>
      <c r="J24" s="130"/>
    </row>
    <row r="25" spans="2:10" x14ac:dyDescent="0.2">
      <c r="B25" s="130" t="s">
        <v>13</v>
      </c>
      <c r="C25" s="131">
        <v>7550</v>
      </c>
      <c r="D25" s="130">
        <v>17000</v>
      </c>
      <c r="E25" s="130"/>
      <c r="F25" s="133">
        <f t="shared" si="2"/>
        <v>194.26351274140097</v>
      </c>
      <c r="G25" s="130">
        <v>17000</v>
      </c>
      <c r="H25" s="130">
        <f t="shared" si="0"/>
        <v>0</v>
      </c>
      <c r="I25" s="130"/>
      <c r="J25" s="130"/>
    </row>
    <row r="26" spans="2:10" x14ac:dyDescent="0.2">
      <c r="B26" s="130" t="s">
        <v>13</v>
      </c>
      <c r="C26" s="131">
        <v>3712</v>
      </c>
      <c r="D26" s="130">
        <v>25000</v>
      </c>
      <c r="E26" s="130"/>
      <c r="F26" s="133">
        <f t="shared" si="2"/>
        <v>285.6816363844132</v>
      </c>
      <c r="G26" s="130">
        <v>25000</v>
      </c>
      <c r="H26" s="130">
        <f t="shared" si="0"/>
        <v>0</v>
      </c>
      <c r="I26" s="130"/>
      <c r="J26" s="130"/>
    </row>
    <row r="27" spans="2:10" x14ac:dyDescent="0.2">
      <c r="B27" s="130" t="s">
        <v>13</v>
      </c>
      <c r="C27" s="131">
        <v>8665</v>
      </c>
      <c r="D27" s="130">
        <v>23000</v>
      </c>
      <c r="E27" s="130"/>
      <c r="F27" s="133">
        <f t="shared" si="2"/>
        <v>262.82710547366014</v>
      </c>
      <c r="G27" s="130">
        <v>23000</v>
      </c>
      <c r="H27" s="130">
        <f t="shared" si="0"/>
        <v>0</v>
      </c>
      <c r="I27" s="130"/>
      <c r="J27" s="130"/>
    </row>
    <row r="28" spans="2:10" x14ac:dyDescent="0.2">
      <c r="B28" s="130" t="s">
        <v>13</v>
      </c>
      <c r="C28" s="131">
        <v>9599</v>
      </c>
      <c r="D28" s="130">
        <v>30000</v>
      </c>
      <c r="E28" s="130"/>
      <c r="F28" s="133">
        <f t="shared" si="2"/>
        <v>342.81796366129583</v>
      </c>
      <c r="G28" s="130">
        <v>30000</v>
      </c>
      <c r="H28" s="130">
        <f t="shared" si="0"/>
        <v>0</v>
      </c>
      <c r="I28" s="130"/>
      <c r="J28" s="130"/>
    </row>
    <row r="29" spans="2:10" x14ac:dyDescent="0.2">
      <c r="B29" s="130" t="s">
        <v>13</v>
      </c>
      <c r="C29" s="131">
        <v>1152</v>
      </c>
      <c r="D29" s="130">
        <v>12000</v>
      </c>
      <c r="E29" s="130"/>
      <c r="F29" s="133">
        <f t="shared" si="2"/>
        <v>137.12718546451833</v>
      </c>
      <c r="G29" s="130">
        <v>12000</v>
      </c>
      <c r="H29" s="130">
        <f t="shared" si="0"/>
        <v>0</v>
      </c>
      <c r="I29" s="130"/>
      <c r="J29" s="130"/>
    </row>
    <row r="30" spans="2:10" x14ac:dyDescent="0.2">
      <c r="B30" s="130" t="s">
        <v>13</v>
      </c>
      <c r="C30" s="131">
        <v>6865</v>
      </c>
      <c r="D30" s="130">
        <v>20000</v>
      </c>
      <c r="E30" s="130"/>
      <c r="F30" s="133">
        <f t="shared" si="2"/>
        <v>228.54530910753056</v>
      </c>
      <c r="G30" s="130">
        <v>20000</v>
      </c>
      <c r="H30" s="130">
        <f t="shared" si="0"/>
        <v>0</v>
      </c>
      <c r="I30" s="130"/>
      <c r="J30" s="130"/>
    </row>
    <row r="31" spans="2:10" x14ac:dyDescent="0.2">
      <c r="B31" s="130" t="s">
        <v>13</v>
      </c>
      <c r="C31" s="131">
        <v>8634</v>
      </c>
      <c r="D31" s="130">
        <v>20000</v>
      </c>
      <c r="E31" s="130"/>
      <c r="F31" s="133">
        <f t="shared" si="2"/>
        <v>228.54530910753056</v>
      </c>
      <c r="G31" s="130">
        <v>20000</v>
      </c>
      <c r="H31" s="130">
        <f t="shared" si="0"/>
        <v>0</v>
      </c>
      <c r="I31" s="130"/>
      <c r="J31" s="130"/>
    </row>
    <row r="32" spans="2:10" x14ac:dyDescent="0.2">
      <c r="B32" s="130" t="s">
        <v>13</v>
      </c>
      <c r="C32" s="131">
        <v>8786</v>
      </c>
      <c r="D32" s="130">
        <v>22000</v>
      </c>
      <c r="E32" s="130"/>
      <c r="F32" s="133">
        <f t="shared" si="2"/>
        <v>251.39984001828361</v>
      </c>
      <c r="G32" s="130">
        <v>22000</v>
      </c>
      <c r="H32" s="130">
        <f t="shared" si="0"/>
        <v>0</v>
      </c>
      <c r="I32" s="130"/>
      <c r="J32" s="130"/>
    </row>
    <row r="33" spans="2:10" x14ac:dyDescent="0.2">
      <c r="B33" s="130" t="s">
        <v>14</v>
      </c>
      <c r="C33" s="131">
        <v>8369</v>
      </c>
      <c r="D33" s="130">
        <v>22000</v>
      </c>
      <c r="E33" s="130"/>
      <c r="F33" s="133">
        <f>D33/88.31</f>
        <v>249.12240969312649</v>
      </c>
      <c r="G33" s="130">
        <v>22000</v>
      </c>
      <c r="H33" s="130">
        <f t="shared" si="0"/>
        <v>0</v>
      </c>
      <c r="I33" s="130"/>
      <c r="J33" s="130"/>
    </row>
    <row r="34" spans="2:10" x14ac:dyDescent="0.2">
      <c r="B34" s="130" t="s">
        <v>14</v>
      </c>
      <c r="C34" s="131">
        <v>7021</v>
      </c>
      <c r="D34" s="130">
        <v>22000</v>
      </c>
      <c r="E34" s="130"/>
      <c r="F34" s="133">
        <f t="shared" ref="F34:F43" si="3">D34/88.31</f>
        <v>249.12240969312649</v>
      </c>
      <c r="G34" s="130">
        <v>22000</v>
      </c>
      <c r="H34" s="130">
        <f t="shared" si="0"/>
        <v>0</v>
      </c>
      <c r="I34" s="130"/>
      <c r="J34" s="130"/>
    </row>
    <row r="35" spans="2:10" x14ac:dyDescent="0.2">
      <c r="B35" s="130" t="s">
        <v>14</v>
      </c>
      <c r="C35" s="131">
        <v>5781</v>
      </c>
      <c r="D35" s="130">
        <v>40000</v>
      </c>
      <c r="E35" s="130"/>
      <c r="F35" s="133">
        <f t="shared" si="3"/>
        <v>452.94983580568453</v>
      </c>
      <c r="G35" s="130">
        <v>40000</v>
      </c>
      <c r="H35" s="130">
        <f t="shared" si="0"/>
        <v>0</v>
      </c>
      <c r="I35" s="130"/>
      <c r="J35" s="130"/>
    </row>
    <row r="36" spans="2:10" x14ac:dyDescent="0.2">
      <c r="B36" s="130" t="s">
        <v>14</v>
      </c>
      <c r="C36" s="131">
        <v>1603</v>
      </c>
      <c r="D36" s="130">
        <v>22000</v>
      </c>
      <c r="E36" s="130"/>
      <c r="F36" s="133">
        <f t="shared" si="3"/>
        <v>249.12240969312649</v>
      </c>
      <c r="G36" s="130">
        <v>22000</v>
      </c>
      <c r="H36" s="130">
        <f t="shared" si="0"/>
        <v>0</v>
      </c>
      <c r="I36" s="130"/>
      <c r="J36" s="130"/>
    </row>
    <row r="37" spans="2:10" x14ac:dyDescent="0.2">
      <c r="B37" s="130" t="s">
        <v>14</v>
      </c>
      <c r="C37" s="131">
        <v>1404</v>
      </c>
      <c r="D37" s="130">
        <v>18000</v>
      </c>
      <c r="E37" s="130"/>
      <c r="F37" s="133">
        <f t="shared" si="3"/>
        <v>203.82742611255802</v>
      </c>
      <c r="G37" s="130">
        <v>18000</v>
      </c>
      <c r="H37" s="130">
        <f t="shared" si="0"/>
        <v>0</v>
      </c>
      <c r="I37" s="130"/>
      <c r="J37" s="130"/>
    </row>
    <row r="38" spans="2:10" x14ac:dyDescent="0.2">
      <c r="B38" s="130" t="s">
        <v>14</v>
      </c>
      <c r="C38" s="131">
        <v>3292</v>
      </c>
      <c r="D38" s="130">
        <v>10000</v>
      </c>
      <c r="E38" s="130"/>
      <c r="F38" s="133">
        <f t="shared" si="3"/>
        <v>113.23745895142113</v>
      </c>
      <c r="G38" s="130">
        <v>10000</v>
      </c>
      <c r="H38" s="130">
        <f t="shared" si="0"/>
        <v>0</v>
      </c>
      <c r="I38" s="130"/>
      <c r="J38" s="130"/>
    </row>
    <row r="39" spans="2:10" x14ac:dyDescent="0.2">
      <c r="B39" s="130" t="s">
        <v>14</v>
      </c>
      <c r="C39" s="131">
        <v>2111</v>
      </c>
      <c r="D39" s="130">
        <v>30000</v>
      </c>
      <c r="E39" s="130"/>
      <c r="F39" s="133">
        <f t="shared" si="3"/>
        <v>339.71237685426337</v>
      </c>
      <c r="G39" s="130">
        <v>30000</v>
      </c>
      <c r="H39" s="130">
        <f t="shared" si="0"/>
        <v>0</v>
      </c>
      <c r="I39" s="130"/>
      <c r="J39" s="130"/>
    </row>
    <row r="40" spans="2:10" x14ac:dyDescent="0.2">
      <c r="B40" s="130" t="s">
        <v>14</v>
      </c>
      <c r="C40" s="131">
        <v>3411</v>
      </c>
      <c r="D40" s="130">
        <v>30000</v>
      </c>
      <c r="E40" s="130"/>
      <c r="F40" s="133">
        <f t="shared" si="3"/>
        <v>339.71237685426337</v>
      </c>
      <c r="G40" s="130">
        <v>30000</v>
      </c>
      <c r="H40" s="130">
        <f t="shared" si="0"/>
        <v>0</v>
      </c>
      <c r="I40" s="130"/>
      <c r="J40" s="130"/>
    </row>
    <row r="41" spans="2:10" x14ac:dyDescent="0.2">
      <c r="B41" s="130" t="s">
        <v>14</v>
      </c>
      <c r="C41" s="131">
        <v>3873</v>
      </c>
      <c r="D41" s="130">
        <v>25000</v>
      </c>
      <c r="E41" s="130"/>
      <c r="F41" s="133">
        <f t="shared" si="3"/>
        <v>283.09364737855282</v>
      </c>
      <c r="G41" s="130">
        <v>25000</v>
      </c>
      <c r="H41" s="130">
        <f t="shared" si="0"/>
        <v>0</v>
      </c>
      <c r="I41" s="130"/>
      <c r="J41" s="130"/>
    </row>
    <row r="42" spans="2:10" x14ac:dyDescent="0.2">
      <c r="B42" s="130" t="s">
        <v>14</v>
      </c>
      <c r="C42" s="131">
        <v>3505</v>
      </c>
      <c r="D42" s="130">
        <v>29000</v>
      </c>
      <c r="E42" s="130"/>
      <c r="F42" s="133">
        <f t="shared" si="3"/>
        <v>328.38863095912126</v>
      </c>
      <c r="G42" s="130">
        <v>29000</v>
      </c>
      <c r="H42" s="130">
        <f t="shared" si="0"/>
        <v>0</v>
      </c>
      <c r="I42" s="130"/>
      <c r="J42" s="130"/>
    </row>
    <row r="43" spans="2:10" x14ac:dyDescent="0.2">
      <c r="B43" s="130" t="s">
        <v>14</v>
      </c>
      <c r="C43" s="131">
        <v>7009</v>
      </c>
      <c r="D43" s="130">
        <v>28000</v>
      </c>
      <c r="E43" s="130"/>
      <c r="F43" s="133">
        <f t="shared" si="3"/>
        <v>317.06488506397915</v>
      </c>
      <c r="G43" s="130">
        <v>28000</v>
      </c>
      <c r="H43" s="130">
        <f t="shared" si="0"/>
        <v>0</v>
      </c>
      <c r="I43" s="130"/>
      <c r="J43" s="130"/>
    </row>
    <row r="44" spans="2:10" x14ac:dyDescent="0.2">
      <c r="B44" s="130" t="s">
        <v>15</v>
      </c>
      <c r="C44" s="131">
        <v>2982</v>
      </c>
      <c r="D44" s="130">
        <v>21000</v>
      </c>
      <c r="E44" s="130"/>
      <c r="F44" s="133">
        <f>D44/88.31</f>
        <v>237.79866379798437</v>
      </c>
      <c r="G44" s="130">
        <v>21000</v>
      </c>
      <c r="H44" s="130">
        <f t="shared" si="0"/>
        <v>0</v>
      </c>
      <c r="I44" s="130"/>
      <c r="J44" s="130"/>
    </row>
    <row r="45" spans="2:10" x14ac:dyDescent="0.2">
      <c r="B45" s="130" t="s">
        <v>15</v>
      </c>
      <c r="C45" s="131">
        <v>2312</v>
      </c>
      <c r="D45" s="130">
        <v>22000</v>
      </c>
      <c r="E45" s="130"/>
      <c r="F45" s="133">
        <f t="shared" ref="F45:F52" si="4">D45/88.31</f>
        <v>249.12240969312649</v>
      </c>
      <c r="G45" s="130">
        <v>22000</v>
      </c>
      <c r="H45" s="130">
        <f t="shared" si="0"/>
        <v>0</v>
      </c>
      <c r="I45" s="130"/>
      <c r="J45" s="130"/>
    </row>
    <row r="46" spans="2:10" x14ac:dyDescent="0.2">
      <c r="B46" s="130" t="s">
        <v>15</v>
      </c>
      <c r="C46" s="131">
        <v>4131</v>
      </c>
      <c r="D46" s="130">
        <v>24000</v>
      </c>
      <c r="E46" s="130"/>
      <c r="F46" s="133">
        <f t="shared" si="4"/>
        <v>271.76990148341071</v>
      </c>
      <c r="G46" s="130">
        <v>24000</v>
      </c>
      <c r="H46" s="130">
        <f t="shared" si="0"/>
        <v>0</v>
      </c>
      <c r="I46" s="130"/>
      <c r="J46" s="130"/>
    </row>
    <row r="47" spans="2:10" x14ac:dyDescent="0.2">
      <c r="B47" s="130" t="s">
        <v>15</v>
      </c>
      <c r="C47" s="135">
        <v>326</v>
      </c>
      <c r="D47" s="130">
        <v>20000</v>
      </c>
      <c r="E47" s="130"/>
      <c r="F47" s="133">
        <f t="shared" si="4"/>
        <v>226.47491790284226</v>
      </c>
      <c r="G47" s="130">
        <v>20000</v>
      </c>
      <c r="H47" s="130">
        <f t="shared" si="0"/>
        <v>0</v>
      </c>
      <c r="I47" s="130"/>
      <c r="J47" s="130"/>
    </row>
    <row r="48" spans="2:10" x14ac:dyDescent="0.2">
      <c r="B48" s="130" t="s">
        <v>15</v>
      </c>
      <c r="C48" s="131">
        <v>7392</v>
      </c>
      <c r="D48" s="130">
        <v>28000</v>
      </c>
      <c r="E48" s="130"/>
      <c r="F48" s="133">
        <f t="shared" si="4"/>
        <v>317.06488506397915</v>
      </c>
      <c r="G48" s="130">
        <v>28000</v>
      </c>
      <c r="H48" s="130">
        <f t="shared" si="0"/>
        <v>0</v>
      </c>
      <c r="I48" s="130"/>
      <c r="J48" s="130"/>
    </row>
    <row r="49" spans="2:10" x14ac:dyDescent="0.2">
      <c r="B49" s="130" t="s">
        <v>15</v>
      </c>
      <c r="C49" s="131">
        <v>7898</v>
      </c>
      <c r="D49" s="130">
        <v>22000</v>
      </c>
      <c r="E49" s="130"/>
      <c r="F49" s="133">
        <f t="shared" si="4"/>
        <v>249.12240969312649</v>
      </c>
      <c r="G49" s="130">
        <v>22000</v>
      </c>
      <c r="H49" s="130">
        <f t="shared" si="0"/>
        <v>0</v>
      </c>
      <c r="I49" s="130"/>
      <c r="J49" s="130"/>
    </row>
    <row r="50" spans="2:10" x14ac:dyDescent="0.2">
      <c r="B50" s="130" t="s">
        <v>15</v>
      </c>
      <c r="C50" s="131">
        <v>2311</v>
      </c>
      <c r="D50" s="130">
        <v>15000</v>
      </c>
      <c r="E50" s="130"/>
      <c r="F50" s="133">
        <f t="shared" si="4"/>
        <v>169.85618842713168</v>
      </c>
      <c r="G50" s="130">
        <v>15000</v>
      </c>
      <c r="H50" s="130">
        <f t="shared" si="0"/>
        <v>0</v>
      </c>
      <c r="I50" s="130"/>
      <c r="J50" s="130"/>
    </row>
    <row r="51" spans="2:10" x14ac:dyDescent="0.2">
      <c r="B51" s="130" t="s">
        <v>15</v>
      </c>
      <c r="C51" s="131">
        <v>2328</v>
      </c>
      <c r="D51" s="130">
        <v>20000</v>
      </c>
      <c r="E51" s="130"/>
      <c r="F51" s="133">
        <f t="shared" si="4"/>
        <v>226.47491790284226</v>
      </c>
      <c r="G51" s="130">
        <v>20000</v>
      </c>
      <c r="H51" s="130">
        <f t="shared" si="0"/>
        <v>0</v>
      </c>
      <c r="I51" s="130"/>
      <c r="J51" s="130"/>
    </row>
    <row r="52" spans="2:10" x14ac:dyDescent="0.2">
      <c r="B52" s="130" t="s">
        <v>15</v>
      </c>
      <c r="C52" s="131">
        <v>8144</v>
      </c>
      <c r="D52" s="130">
        <v>21000</v>
      </c>
      <c r="E52" s="130"/>
      <c r="F52" s="133">
        <f t="shared" si="4"/>
        <v>237.79866379798437</v>
      </c>
      <c r="G52" s="130">
        <v>21000</v>
      </c>
      <c r="H52" s="130">
        <f t="shared" si="0"/>
        <v>0</v>
      </c>
      <c r="I52" s="130"/>
      <c r="J52" s="130"/>
    </row>
    <row r="53" spans="2:10" x14ac:dyDescent="0.2">
      <c r="B53" s="130" t="s">
        <v>16</v>
      </c>
      <c r="C53" s="131">
        <v>3292</v>
      </c>
      <c r="D53" s="136">
        <v>5000</v>
      </c>
      <c r="E53" s="130"/>
      <c r="F53" s="133">
        <f>D53/89.11</f>
        <v>56.110425317023903</v>
      </c>
      <c r="G53" s="130">
        <v>5000</v>
      </c>
      <c r="H53" s="130">
        <f t="shared" si="0"/>
        <v>0</v>
      </c>
      <c r="I53" s="130"/>
      <c r="J53" s="130"/>
    </row>
    <row r="54" spans="2:10" x14ac:dyDescent="0.2">
      <c r="B54" s="130" t="s">
        <v>16</v>
      </c>
      <c r="C54" s="131">
        <v>9109</v>
      </c>
      <c r="D54" s="136">
        <v>5000</v>
      </c>
      <c r="E54" s="130"/>
      <c r="F54" s="133">
        <f t="shared" ref="F54:F68" si="5">D54/89.11</f>
        <v>56.110425317023903</v>
      </c>
      <c r="G54" s="130">
        <v>5000</v>
      </c>
      <c r="H54" s="130">
        <f t="shared" si="0"/>
        <v>0</v>
      </c>
      <c r="I54" s="130"/>
      <c r="J54" s="130"/>
    </row>
    <row r="55" spans="2:10" x14ac:dyDescent="0.2">
      <c r="B55" s="130" t="s">
        <v>16</v>
      </c>
      <c r="C55" s="131">
        <v>3053</v>
      </c>
      <c r="D55" s="136">
        <v>20000</v>
      </c>
      <c r="E55" s="130"/>
      <c r="F55" s="133">
        <f t="shared" si="5"/>
        <v>224.44170126809561</v>
      </c>
      <c r="G55" s="130">
        <v>20000</v>
      </c>
      <c r="H55" s="130">
        <f t="shared" si="0"/>
        <v>0</v>
      </c>
      <c r="I55" s="130"/>
      <c r="J55" s="130"/>
    </row>
    <row r="56" spans="2:10" x14ac:dyDescent="0.2">
      <c r="B56" s="130" t="s">
        <v>16</v>
      </c>
      <c r="C56" s="131">
        <v>2548</v>
      </c>
      <c r="D56" s="136">
        <v>10000</v>
      </c>
      <c r="E56" s="130"/>
      <c r="F56" s="133">
        <f t="shared" si="5"/>
        <v>112.22085063404781</v>
      </c>
      <c r="G56" s="130">
        <v>10000</v>
      </c>
      <c r="H56" s="130">
        <f t="shared" si="0"/>
        <v>0</v>
      </c>
      <c r="I56" s="130"/>
      <c r="J56" s="130"/>
    </row>
    <row r="57" spans="2:10" x14ac:dyDescent="0.2">
      <c r="B57" s="130" t="s">
        <v>16</v>
      </c>
      <c r="C57" s="131">
        <v>3294</v>
      </c>
      <c r="D57" s="136">
        <v>20000</v>
      </c>
      <c r="E57" s="130"/>
      <c r="F57" s="133">
        <f t="shared" si="5"/>
        <v>224.44170126809561</v>
      </c>
      <c r="G57" s="130">
        <v>20000</v>
      </c>
      <c r="H57" s="130">
        <f t="shared" si="0"/>
        <v>0</v>
      </c>
      <c r="I57" s="130"/>
      <c r="J57" s="130"/>
    </row>
    <row r="58" spans="2:10" x14ac:dyDescent="0.2">
      <c r="B58" s="130" t="s">
        <v>16</v>
      </c>
      <c r="C58" s="131">
        <v>4136</v>
      </c>
      <c r="D58" s="136">
        <v>32000</v>
      </c>
      <c r="E58" s="130"/>
      <c r="F58" s="133">
        <f t="shared" si="5"/>
        <v>359.10672202895296</v>
      </c>
      <c r="G58" s="130">
        <v>32000</v>
      </c>
      <c r="H58" s="130">
        <f t="shared" si="0"/>
        <v>0</v>
      </c>
      <c r="I58" s="130"/>
      <c r="J58" s="130"/>
    </row>
    <row r="59" spans="2:10" x14ac:dyDescent="0.2">
      <c r="B59" s="130" t="s">
        <v>16</v>
      </c>
      <c r="C59" s="131">
        <v>4453</v>
      </c>
      <c r="D59" s="136">
        <v>27000</v>
      </c>
      <c r="E59" s="130"/>
      <c r="F59" s="133">
        <f t="shared" si="5"/>
        <v>302.99629671192906</v>
      </c>
      <c r="G59" s="130">
        <v>27000</v>
      </c>
      <c r="H59" s="130">
        <f t="shared" si="0"/>
        <v>0</v>
      </c>
      <c r="I59" s="130"/>
      <c r="J59" s="130"/>
    </row>
    <row r="60" spans="2:10" x14ac:dyDescent="0.2">
      <c r="B60" s="130" t="s">
        <v>16</v>
      </c>
      <c r="C60" s="131">
        <v>5172</v>
      </c>
      <c r="D60" s="136">
        <v>20000</v>
      </c>
      <c r="E60" s="130"/>
      <c r="F60" s="133">
        <f t="shared" si="5"/>
        <v>224.44170126809561</v>
      </c>
      <c r="G60" s="130">
        <v>20000</v>
      </c>
      <c r="H60" s="130">
        <f t="shared" si="0"/>
        <v>0</v>
      </c>
      <c r="I60" s="130"/>
      <c r="J60" s="130"/>
    </row>
    <row r="61" spans="2:10" x14ac:dyDescent="0.2">
      <c r="B61" s="130" t="s">
        <v>16</v>
      </c>
      <c r="C61" s="131">
        <v>6403</v>
      </c>
      <c r="D61" s="136">
        <v>40000</v>
      </c>
      <c r="E61" s="130"/>
      <c r="F61" s="133">
        <f t="shared" si="5"/>
        <v>448.88340253619123</v>
      </c>
      <c r="G61" s="130">
        <v>40000</v>
      </c>
      <c r="H61" s="130">
        <f t="shared" si="0"/>
        <v>0</v>
      </c>
      <c r="I61" s="130"/>
      <c r="J61" s="130"/>
    </row>
    <row r="62" spans="2:10" x14ac:dyDescent="0.2">
      <c r="B62" s="130" t="s">
        <v>16</v>
      </c>
      <c r="C62" s="131">
        <v>5055</v>
      </c>
      <c r="D62" s="136">
        <v>33000</v>
      </c>
      <c r="E62" s="130"/>
      <c r="F62" s="133">
        <f t="shared" si="5"/>
        <v>370.32880709235775</v>
      </c>
      <c r="G62" s="130">
        <v>33000</v>
      </c>
      <c r="H62" s="130">
        <f t="shared" si="0"/>
        <v>0</v>
      </c>
      <c r="I62" s="130"/>
      <c r="J62" s="130"/>
    </row>
    <row r="63" spans="2:10" x14ac:dyDescent="0.2">
      <c r="B63" s="130" t="s">
        <v>16</v>
      </c>
      <c r="C63" s="131">
        <v>2704</v>
      </c>
      <c r="D63" s="136">
        <v>28000</v>
      </c>
      <c r="E63" s="130"/>
      <c r="F63" s="133">
        <f t="shared" si="5"/>
        <v>314.21838177533385</v>
      </c>
      <c r="G63" s="130">
        <v>28000</v>
      </c>
      <c r="H63" s="130">
        <f t="shared" si="0"/>
        <v>0</v>
      </c>
      <c r="I63" s="130"/>
      <c r="J63" s="130"/>
    </row>
    <row r="64" spans="2:10" x14ac:dyDescent="0.2">
      <c r="B64" s="130" t="s">
        <v>16</v>
      </c>
      <c r="C64" s="131">
        <v>3549</v>
      </c>
      <c r="D64" s="136">
        <v>15000</v>
      </c>
      <c r="E64" s="130"/>
      <c r="F64" s="133">
        <f t="shared" si="5"/>
        <v>168.33127595107172</v>
      </c>
      <c r="G64" s="130">
        <v>15000</v>
      </c>
      <c r="H64" s="130">
        <f t="shared" si="0"/>
        <v>0</v>
      </c>
      <c r="I64" s="130"/>
      <c r="J64" s="130"/>
    </row>
    <row r="65" spans="2:10" x14ac:dyDescent="0.2">
      <c r="B65" s="130" t="s">
        <v>16</v>
      </c>
      <c r="C65" s="131">
        <v>3317</v>
      </c>
      <c r="D65" s="136">
        <v>30000</v>
      </c>
      <c r="E65" s="130"/>
      <c r="F65" s="133">
        <f t="shared" si="5"/>
        <v>336.66255190214343</v>
      </c>
      <c r="G65" s="130">
        <v>30000</v>
      </c>
      <c r="H65" s="130">
        <f t="shared" si="0"/>
        <v>0</v>
      </c>
      <c r="I65" s="130"/>
      <c r="J65" s="130"/>
    </row>
    <row r="66" spans="2:10" x14ac:dyDescent="0.2">
      <c r="B66" s="130" t="s">
        <v>16</v>
      </c>
      <c r="C66" s="131">
        <v>3763</v>
      </c>
      <c r="D66" s="136">
        <v>10000</v>
      </c>
      <c r="E66" s="130"/>
      <c r="F66" s="133">
        <f t="shared" si="5"/>
        <v>112.22085063404781</v>
      </c>
      <c r="G66" s="130">
        <v>10000</v>
      </c>
      <c r="H66" s="130">
        <f t="shared" si="0"/>
        <v>0</v>
      </c>
      <c r="I66" s="130"/>
      <c r="J66" s="130"/>
    </row>
    <row r="67" spans="2:10" x14ac:dyDescent="0.2">
      <c r="B67" s="130" t="s">
        <v>16</v>
      </c>
      <c r="C67" s="131">
        <v>9221</v>
      </c>
      <c r="D67" s="136">
        <v>15000</v>
      </c>
      <c r="E67" s="130"/>
      <c r="F67" s="133">
        <f t="shared" si="5"/>
        <v>168.33127595107172</v>
      </c>
      <c r="G67" s="130">
        <v>15000</v>
      </c>
      <c r="H67" s="130">
        <f t="shared" si="0"/>
        <v>0</v>
      </c>
      <c r="I67" s="130"/>
      <c r="J67" s="130"/>
    </row>
    <row r="68" spans="2:10" x14ac:dyDescent="0.2">
      <c r="B68" s="130" t="s">
        <v>16</v>
      </c>
      <c r="C68" s="131">
        <v>2421</v>
      </c>
      <c r="D68" s="136">
        <v>15000</v>
      </c>
      <c r="E68" s="130"/>
      <c r="F68" s="133">
        <f t="shared" si="5"/>
        <v>168.33127595107172</v>
      </c>
      <c r="G68" s="130">
        <v>15000</v>
      </c>
      <c r="H68" s="130">
        <f t="shared" ref="H68:H131" si="6">D68-G68</f>
        <v>0</v>
      </c>
      <c r="I68" s="130"/>
      <c r="J68" s="130"/>
    </row>
    <row r="69" spans="2:10" x14ac:dyDescent="0.2">
      <c r="B69" s="130" t="s">
        <v>18</v>
      </c>
      <c r="C69" s="131">
        <v>3697</v>
      </c>
      <c r="D69" s="136">
        <v>26000</v>
      </c>
      <c r="E69" s="130"/>
      <c r="F69" s="133">
        <f>D69/89.91</f>
        <v>289.17806695584477</v>
      </c>
      <c r="G69" s="130">
        <v>26000</v>
      </c>
      <c r="H69" s="130">
        <f t="shared" si="6"/>
        <v>0</v>
      </c>
      <c r="I69" s="130"/>
      <c r="J69" s="130"/>
    </row>
    <row r="70" spans="2:10" x14ac:dyDescent="0.2">
      <c r="B70" s="130" t="s">
        <v>18</v>
      </c>
      <c r="C70" s="131">
        <v>2181</v>
      </c>
      <c r="D70" s="136">
        <v>25000</v>
      </c>
      <c r="E70" s="130"/>
      <c r="F70" s="133">
        <f t="shared" ref="F70:F82" si="7">D70/89.91</f>
        <v>278.05583361138918</v>
      </c>
      <c r="G70" s="130">
        <v>25000</v>
      </c>
      <c r="H70" s="130">
        <f t="shared" si="6"/>
        <v>0</v>
      </c>
      <c r="I70" s="130"/>
      <c r="J70" s="130"/>
    </row>
    <row r="71" spans="2:10" x14ac:dyDescent="0.2">
      <c r="B71" s="130" t="s">
        <v>18</v>
      </c>
      <c r="C71" s="131">
        <v>2486</v>
      </c>
      <c r="D71" s="136">
        <v>28000</v>
      </c>
      <c r="E71" s="130"/>
      <c r="F71" s="133">
        <f t="shared" si="7"/>
        <v>311.4225336447559</v>
      </c>
      <c r="G71" s="130">
        <v>28000</v>
      </c>
      <c r="H71" s="130">
        <f t="shared" si="6"/>
        <v>0</v>
      </c>
      <c r="I71" s="130"/>
      <c r="J71" s="130"/>
    </row>
    <row r="72" spans="2:10" x14ac:dyDescent="0.2">
      <c r="B72" s="130" t="s">
        <v>18</v>
      </c>
      <c r="C72" s="131">
        <v>260</v>
      </c>
      <c r="D72" s="136">
        <v>22000</v>
      </c>
      <c r="E72" s="130"/>
      <c r="F72" s="133">
        <f t="shared" si="7"/>
        <v>244.68913357802248</v>
      </c>
      <c r="G72" s="130">
        <v>22000</v>
      </c>
      <c r="H72" s="130">
        <f t="shared" si="6"/>
        <v>0</v>
      </c>
      <c r="I72" s="130"/>
      <c r="J72" s="130"/>
    </row>
    <row r="73" spans="2:10" x14ac:dyDescent="0.2">
      <c r="B73" s="130" t="s">
        <v>18</v>
      </c>
      <c r="C73" s="131">
        <v>7884</v>
      </c>
      <c r="D73" s="136">
        <v>22000</v>
      </c>
      <c r="E73" s="130"/>
      <c r="F73" s="133">
        <f t="shared" si="7"/>
        <v>244.68913357802248</v>
      </c>
      <c r="G73" s="130">
        <v>22000</v>
      </c>
      <c r="H73" s="130">
        <f t="shared" si="6"/>
        <v>0</v>
      </c>
      <c r="I73" s="130"/>
      <c r="J73" s="130"/>
    </row>
    <row r="74" spans="2:10" x14ac:dyDescent="0.2">
      <c r="B74" s="130" t="s">
        <v>18</v>
      </c>
      <c r="C74" s="131">
        <v>7466</v>
      </c>
      <c r="D74" s="130">
        <v>8000</v>
      </c>
      <c r="E74" s="130"/>
      <c r="F74" s="133">
        <f t="shared" si="7"/>
        <v>88.977866755644541</v>
      </c>
      <c r="G74" s="130">
        <v>8000</v>
      </c>
      <c r="H74" s="130">
        <f t="shared" si="6"/>
        <v>0</v>
      </c>
      <c r="I74" s="130"/>
      <c r="J74" s="130"/>
    </row>
    <row r="75" spans="2:10" x14ac:dyDescent="0.2">
      <c r="B75" s="130" t="s">
        <v>18</v>
      </c>
      <c r="C75" s="131">
        <v>9187</v>
      </c>
      <c r="D75" s="130">
        <v>32000</v>
      </c>
      <c r="E75" s="130"/>
      <c r="F75" s="133">
        <f t="shared" si="7"/>
        <v>355.91146702257817</v>
      </c>
      <c r="G75" s="130">
        <v>32000</v>
      </c>
      <c r="H75" s="130">
        <f t="shared" si="6"/>
        <v>0</v>
      </c>
      <c r="I75" s="130"/>
      <c r="J75" s="130"/>
    </row>
    <row r="76" spans="2:10" x14ac:dyDescent="0.2">
      <c r="B76" s="130" t="s">
        <v>18</v>
      </c>
      <c r="C76" s="131">
        <v>7550</v>
      </c>
      <c r="D76" s="130">
        <v>18000</v>
      </c>
      <c r="E76" s="130"/>
      <c r="F76" s="133">
        <f t="shared" si="7"/>
        <v>200.20020020020021</v>
      </c>
      <c r="G76" s="130">
        <v>18000</v>
      </c>
      <c r="H76" s="130">
        <f t="shared" si="6"/>
        <v>0</v>
      </c>
      <c r="I76" s="130"/>
      <c r="J76" s="130"/>
    </row>
    <row r="77" spans="2:10" x14ac:dyDescent="0.2">
      <c r="B77" s="130" t="s">
        <v>18</v>
      </c>
      <c r="C77" s="131">
        <v>6183</v>
      </c>
      <c r="D77" s="130">
        <v>20000</v>
      </c>
      <c r="E77" s="130"/>
      <c r="F77" s="133">
        <f t="shared" si="7"/>
        <v>222.44466688911135</v>
      </c>
      <c r="G77" s="130">
        <v>20000</v>
      </c>
      <c r="H77" s="130">
        <f t="shared" si="6"/>
        <v>0</v>
      </c>
      <c r="I77" s="130"/>
      <c r="J77" s="130"/>
    </row>
    <row r="78" spans="2:10" x14ac:dyDescent="0.2">
      <c r="B78" s="130" t="s">
        <v>18</v>
      </c>
      <c r="C78" s="131">
        <v>4713</v>
      </c>
      <c r="D78" s="130">
        <v>6000</v>
      </c>
      <c r="E78" s="130"/>
      <c r="F78" s="133">
        <f t="shared" si="7"/>
        <v>66.73340006673341</v>
      </c>
      <c r="G78" s="130">
        <v>6000</v>
      </c>
      <c r="H78" s="130">
        <f t="shared" si="6"/>
        <v>0</v>
      </c>
      <c r="I78" s="130"/>
      <c r="J78" s="130"/>
    </row>
    <row r="79" spans="2:10" x14ac:dyDescent="0.2">
      <c r="B79" s="130" t="s">
        <v>18</v>
      </c>
      <c r="C79" s="131">
        <v>7127</v>
      </c>
      <c r="D79" s="130">
        <v>10000</v>
      </c>
      <c r="E79" s="130"/>
      <c r="F79" s="133">
        <f t="shared" si="7"/>
        <v>111.22233344455567</v>
      </c>
      <c r="G79" s="130">
        <v>10000</v>
      </c>
      <c r="H79" s="130">
        <f t="shared" si="6"/>
        <v>0</v>
      </c>
      <c r="I79" s="130"/>
      <c r="J79" s="130"/>
    </row>
    <row r="80" spans="2:10" x14ac:dyDescent="0.2">
      <c r="B80" s="130" t="s">
        <v>18</v>
      </c>
      <c r="C80" s="131">
        <v>2207</v>
      </c>
      <c r="D80" s="130">
        <v>12000</v>
      </c>
      <c r="E80" s="130"/>
      <c r="F80" s="133">
        <f t="shared" si="7"/>
        <v>133.46680013346682</v>
      </c>
      <c r="G80" s="130">
        <v>12000</v>
      </c>
      <c r="H80" s="130">
        <f t="shared" si="6"/>
        <v>0</v>
      </c>
      <c r="I80" s="130"/>
      <c r="J80" s="130"/>
    </row>
    <row r="81" spans="2:10" x14ac:dyDescent="0.2">
      <c r="B81" s="130" t="s">
        <v>18</v>
      </c>
      <c r="C81" s="131">
        <v>5520</v>
      </c>
      <c r="D81" s="130">
        <v>22000</v>
      </c>
      <c r="E81" s="130"/>
      <c r="F81" s="133">
        <f t="shared" si="7"/>
        <v>244.68913357802248</v>
      </c>
      <c r="G81" s="130">
        <v>22000</v>
      </c>
      <c r="H81" s="130">
        <f t="shared" si="6"/>
        <v>0</v>
      </c>
      <c r="I81" s="130"/>
      <c r="J81" s="130"/>
    </row>
    <row r="82" spans="2:10" x14ac:dyDescent="0.2">
      <c r="B82" s="130" t="s">
        <v>18</v>
      </c>
      <c r="C82" s="131">
        <v>3540</v>
      </c>
      <c r="D82" s="130">
        <v>8000</v>
      </c>
      <c r="E82" s="130"/>
      <c r="F82" s="133">
        <f t="shared" si="7"/>
        <v>88.977866755644541</v>
      </c>
      <c r="G82" s="130">
        <v>8000</v>
      </c>
      <c r="H82" s="130">
        <f t="shared" si="6"/>
        <v>0</v>
      </c>
      <c r="I82" s="130"/>
      <c r="J82" s="130"/>
    </row>
    <row r="83" spans="2:10" x14ac:dyDescent="0.2">
      <c r="B83" s="130" t="s">
        <v>19</v>
      </c>
      <c r="C83" s="131" t="s">
        <v>175</v>
      </c>
      <c r="D83" s="130">
        <v>12000</v>
      </c>
      <c r="E83" s="130"/>
      <c r="F83" s="133">
        <f>D83/90.47</f>
        <v>132.64065436056151</v>
      </c>
      <c r="G83" s="130">
        <v>12000</v>
      </c>
      <c r="H83" s="130">
        <f t="shared" si="6"/>
        <v>0</v>
      </c>
      <c r="I83" s="130"/>
      <c r="J83" s="130"/>
    </row>
    <row r="84" spans="2:10" x14ac:dyDescent="0.2">
      <c r="B84" s="130" t="s">
        <v>19</v>
      </c>
      <c r="C84" s="131">
        <v>3071</v>
      </c>
      <c r="D84" s="130">
        <v>16000</v>
      </c>
      <c r="E84" s="130"/>
      <c r="F84" s="133">
        <f t="shared" ref="F84:F95" si="8">D84/90.47</f>
        <v>176.85420581408201</v>
      </c>
      <c r="G84" s="130">
        <v>16000</v>
      </c>
      <c r="H84" s="130">
        <f t="shared" si="6"/>
        <v>0</v>
      </c>
      <c r="I84" s="130"/>
      <c r="J84" s="130"/>
    </row>
    <row r="85" spans="2:10" x14ac:dyDescent="0.2">
      <c r="B85" s="130" t="s">
        <v>19</v>
      </c>
      <c r="C85" s="131">
        <v>5336</v>
      </c>
      <c r="D85" s="130">
        <v>15000</v>
      </c>
      <c r="E85" s="130"/>
      <c r="F85" s="133">
        <f t="shared" si="8"/>
        <v>165.80081795070188</v>
      </c>
      <c r="G85" s="130">
        <v>15000</v>
      </c>
      <c r="H85" s="130">
        <f t="shared" si="6"/>
        <v>0</v>
      </c>
      <c r="I85" s="130"/>
      <c r="J85" s="130"/>
    </row>
    <row r="86" spans="2:10" x14ac:dyDescent="0.2">
      <c r="B86" s="130" t="s">
        <v>19</v>
      </c>
      <c r="C86" s="131">
        <v>2194</v>
      </c>
      <c r="D86" s="130">
        <v>20000</v>
      </c>
      <c r="E86" s="130"/>
      <c r="F86" s="133">
        <f t="shared" si="8"/>
        <v>221.06775726760253</v>
      </c>
      <c r="G86" s="130">
        <v>20000</v>
      </c>
      <c r="H86" s="130">
        <f t="shared" si="6"/>
        <v>0</v>
      </c>
      <c r="I86" s="130"/>
      <c r="J86" s="130"/>
    </row>
    <row r="87" spans="2:10" x14ac:dyDescent="0.2">
      <c r="B87" s="130" t="s">
        <v>19</v>
      </c>
      <c r="C87" s="131">
        <v>5987</v>
      </c>
      <c r="D87" s="130">
        <v>16000</v>
      </c>
      <c r="E87" s="130"/>
      <c r="F87" s="133">
        <f t="shared" si="8"/>
        <v>176.85420581408201</v>
      </c>
      <c r="G87" s="130">
        <v>16000</v>
      </c>
      <c r="H87" s="130">
        <f t="shared" si="6"/>
        <v>0</v>
      </c>
      <c r="I87" s="130"/>
      <c r="J87" s="130"/>
    </row>
    <row r="88" spans="2:10" x14ac:dyDescent="0.2">
      <c r="B88" s="130" t="s">
        <v>19</v>
      </c>
      <c r="C88" s="131">
        <v>472</v>
      </c>
      <c r="D88" s="130">
        <v>18000</v>
      </c>
      <c r="E88" s="130"/>
      <c r="F88" s="133">
        <f t="shared" si="8"/>
        <v>198.96098154084228</v>
      </c>
      <c r="G88" s="130">
        <v>18000</v>
      </c>
      <c r="H88" s="130">
        <f t="shared" si="6"/>
        <v>0</v>
      </c>
      <c r="I88" s="130"/>
      <c r="J88" s="130"/>
    </row>
    <row r="89" spans="2:10" x14ac:dyDescent="0.2">
      <c r="B89" s="130" t="s">
        <v>19</v>
      </c>
      <c r="C89" s="131">
        <v>4753</v>
      </c>
      <c r="D89" s="130">
        <v>25000</v>
      </c>
      <c r="E89" s="130"/>
      <c r="F89" s="133">
        <f t="shared" si="8"/>
        <v>276.33469658450315</v>
      </c>
      <c r="G89" s="130">
        <v>25000</v>
      </c>
      <c r="H89" s="130">
        <f t="shared" si="6"/>
        <v>0</v>
      </c>
      <c r="I89" s="130"/>
      <c r="J89" s="130"/>
    </row>
    <row r="90" spans="2:10" x14ac:dyDescent="0.2">
      <c r="B90" s="130" t="s">
        <v>19</v>
      </c>
      <c r="C90" s="131">
        <v>9622</v>
      </c>
      <c r="D90" s="130">
        <v>27000</v>
      </c>
      <c r="E90" s="130"/>
      <c r="F90" s="133">
        <f t="shared" si="8"/>
        <v>298.4414723112634</v>
      </c>
      <c r="G90" s="130">
        <v>27000</v>
      </c>
      <c r="H90" s="130">
        <f t="shared" si="6"/>
        <v>0</v>
      </c>
      <c r="I90" s="130"/>
      <c r="J90" s="130"/>
    </row>
    <row r="91" spans="2:10" x14ac:dyDescent="0.2">
      <c r="B91" s="130" t="s">
        <v>19</v>
      </c>
      <c r="C91" s="131">
        <v>1008</v>
      </c>
      <c r="D91" s="130">
        <v>20000</v>
      </c>
      <c r="E91" s="130"/>
      <c r="F91" s="133">
        <f t="shared" si="8"/>
        <v>221.06775726760253</v>
      </c>
      <c r="G91" s="130">
        <v>20000</v>
      </c>
      <c r="H91" s="130">
        <f t="shared" si="6"/>
        <v>0</v>
      </c>
      <c r="I91" s="130"/>
      <c r="J91" s="130"/>
    </row>
    <row r="92" spans="2:10" x14ac:dyDescent="0.2">
      <c r="B92" s="130" t="s">
        <v>19</v>
      </c>
      <c r="C92" s="131">
        <v>1054</v>
      </c>
      <c r="D92" s="130">
        <v>20000</v>
      </c>
      <c r="E92" s="130"/>
      <c r="F92" s="133">
        <f t="shared" si="8"/>
        <v>221.06775726760253</v>
      </c>
      <c r="G92" s="130">
        <v>20000</v>
      </c>
      <c r="H92" s="130">
        <f t="shared" si="6"/>
        <v>0</v>
      </c>
      <c r="I92" s="130"/>
      <c r="J92" s="130"/>
    </row>
    <row r="93" spans="2:10" x14ac:dyDescent="0.2">
      <c r="B93" s="130" t="s">
        <v>19</v>
      </c>
      <c r="C93" s="131">
        <v>4156</v>
      </c>
      <c r="D93" s="130">
        <v>20000</v>
      </c>
      <c r="E93" s="130"/>
      <c r="F93" s="133">
        <f t="shared" si="8"/>
        <v>221.06775726760253</v>
      </c>
      <c r="G93" s="130">
        <v>20000</v>
      </c>
      <c r="H93" s="130">
        <f t="shared" si="6"/>
        <v>0</v>
      </c>
      <c r="I93" s="130"/>
      <c r="J93" s="130"/>
    </row>
    <row r="94" spans="2:10" x14ac:dyDescent="0.2">
      <c r="B94" s="130" t="s">
        <v>19</v>
      </c>
      <c r="C94" s="131">
        <v>6189</v>
      </c>
      <c r="D94" s="130">
        <v>20000</v>
      </c>
      <c r="E94" s="130"/>
      <c r="F94" s="133">
        <f t="shared" si="8"/>
        <v>221.06775726760253</v>
      </c>
      <c r="G94" s="130">
        <v>20000</v>
      </c>
      <c r="H94" s="130">
        <f t="shared" si="6"/>
        <v>0</v>
      </c>
      <c r="I94" s="130"/>
      <c r="J94" s="130"/>
    </row>
    <row r="95" spans="2:10" x14ac:dyDescent="0.2">
      <c r="B95" s="130" t="s">
        <v>19</v>
      </c>
      <c r="C95" s="131">
        <v>6650</v>
      </c>
      <c r="D95" s="130">
        <v>25000</v>
      </c>
      <c r="E95" s="130"/>
      <c r="F95" s="133">
        <f t="shared" si="8"/>
        <v>276.33469658450315</v>
      </c>
      <c r="G95" s="130">
        <v>25000</v>
      </c>
      <c r="H95" s="130">
        <f t="shared" si="6"/>
        <v>0</v>
      </c>
      <c r="I95" s="130"/>
      <c r="J95" s="130"/>
    </row>
    <row r="96" spans="2:10" x14ac:dyDescent="0.2">
      <c r="B96" s="130" t="s">
        <v>20</v>
      </c>
      <c r="C96" s="131">
        <v>7798</v>
      </c>
      <c r="D96" s="130">
        <v>20000</v>
      </c>
      <c r="E96" s="130"/>
      <c r="F96" s="133">
        <f>D96/90.82</f>
        <v>220.21581149526537</v>
      </c>
      <c r="G96" s="130">
        <v>20000</v>
      </c>
      <c r="H96" s="130">
        <f t="shared" si="6"/>
        <v>0</v>
      </c>
      <c r="I96" s="130"/>
      <c r="J96" s="130"/>
    </row>
    <row r="97" spans="2:10" x14ac:dyDescent="0.2">
      <c r="B97" s="130" t="s">
        <v>20</v>
      </c>
      <c r="C97" s="131">
        <v>5728</v>
      </c>
      <c r="D97" s="130">
        <v>22000</v>
      </c>
      <c r="E97" s="130"/>
      <c r="F97" s="133">
        <f t="shared" ref="F97:F109" si="9">D97/90.82</f>
        <v>242.23739264479192</v>
      </c>
      <c r="G97" s="130">
        <v>22000</v>
      </c>
      <c r="H97" s="130">
        <f t="shared" si="6"/>
        <v>0</v>
      </c>
      <c r="I97" s="130"/>
      <c r="J97" s="130"/>
    </row>
    <row r="98" spans="2:10" x14ac:dyDescent="0.2">
      <c r="B98" s="130" t="s">
        <v>20</v>
      </c>
      <c r="C98" s="131">
        <v>5961</v>
      </c>
      <c r="D98" s="130">
        <v>13000</v>
      </c>
      <c r="E98" s="130"/>
      <c r="F98" s="133">
        <f t="shared" si="9"/>
        <v>143.1402774719225</v>
      </c>
      <c r="G98" s="130">
        <v>13000</v>
      </c>
      <c r="H98" s="130">
        <f t="shared" si="6"/>
        <v>0</v>
      </c>
      <c r="I98" s="130"/>
      <c r="J98" s="130"/>
    </row>
    <row r="99" spans="2:10" x14ac:dyDescent="0.2">
      <c r="B99" s="130" t="s">
        <v>20</v>
      </c>
      <c r="C99" s="131">
        <v>2207</v>
      </c>
      <c r="D99" s="130">
        <v>12000</v>
      </c>
      <c r="E99" s="130"/>
      <c r="F99" s="133">
        <f t="shared" si="9"/>
        <v>132.12948689715924</v>
      </c>
      <c r="G99" s="130">
        <v>12000</v>
      </c>
      <c r="H99" s="130">
        <f t="shared" si="6"/>
        <v>0</v>
      </c>
      <c r="I99" s="130"/>
      <c r="J99" s="130"/>
    </row>
    <row r="100" spans="2:10" x14ac:dyDescent="0.2">
      <c r="B100" s="130" t="s">
        <v>20</v>
      </c>
      <c r="C100" s="131">
        <v>8897</v>
      </c>
      <c r="D100" s="130">
        <v>16000</v>
      </c>
      <c r="E100" s="130"/>
      <c r="F100" s="133">
        <f t="shared" si="9"/>
        <v>176.17264919621229</v>
      </c>
      <c r="G100" s="130">
        <v>16000</v>
      </c>
      <c r="H100" s="130">
        <f t="shared" si="6"/>
        <v>0</v>
      </c>
      <c r="I100" s="130"/>
      <c r="J100" s="130"/>
    </row>
    <row r="101" spans="2:10" x14ac:dyDescent="0.2">
      <c r="B101" s="130" t="s">
        <v>20</v>
      </c>
      <c r="C101" s="131" t="s">
        <v>35</v>
      </c>
      <c r="D101" s="130">
        <v>5000</v>
      </c>
      <c r="E101" s="130"/>
      <c r="F101" s="133">
        <f t="shared" si="9"/>
        <v>55.053952873816343</v>
      </c>
      <c r="G101" s="130">
        <v>5000</v>
      </c>
      <c r="H101" s="130">
        <f t="shared" si="6"/>
        <v>0</v>
      </c>
      <c r="I101" s="130"/>
      <c r="J101" s="130"/>
    </row>
    <row r="102" spans="2:10" x14ac:dyDescent="0.2">
      <c r="B102" s="130" t="s">
        <v>20</v>
      </c>
      <c r="C102" s="131">
        <v>5552</v>
      </c>
      <c r="D102" s="130">
        <v>30000</v>
      </c>
      <c r="E102" s="130"/>
      <c r="F102" s="133">
        <f t="shared" si="9"/>
        <v>330.32371724289806</v>
      </c>
      <c r="G102" s="130">
        <v>30000</v>
      </c>
      <c r="H102" s="130">
        <f t="shared" si="6"/>
        <v>0</v>
      </c>
      <c r="I102" s="130"/>
      <c r="J102" s="130"/>
    </row>
    <row r="103" spans="2:10" x14ac:dyDescent="0.2">
      <c r="B103" s="130" t="s">
        <v>20</v>
      </c>
      <c r="C103" s="131">
        <v>3352</v>
      </c>
      <c r="D103" s="130">
        <v>14000</v>
      </c>
      <c r="E103" s="130"/>
      <c r="F103" s="133">
        <f t="shared" si="9"/>
        <v>154.15106804668577</v>
      </c>
      <c r="G103" s="130">
        <v>14000</v>
      </c>
      <c r="H103" s="130">
        <f t="shared" si="6"/>
        <v>0</v>
      </c>
      <c r="I103" s="130"/>
      <c r="J103" s="130"/>
    </row>
    <row r="104" spans="2:10" x14ac:dyDescent="0.2">
      <c r="B104" s="130" t="s">
        <v>20</v>
      </c>
      <c r="C104" s="131" t="s">
        <v>176</v>
      </c>
      <c r="D104" s="130">
        <v>30000</v>
      </c>
      <c r="E104" s="130"/>
      <c r="F104" s="133">
        <f t="shared" si="9"/>
        <v>330.32371724289806</v>
      </c>
      <c r="G104" s="130">
        <v>30000</v>
      </c>
      <c r="H104" s="130">
        <f t="shared" si="6"/>
        <v>0</v>
      </c>
      <c r="I104" s="130"/>
      <c r="J104" s="130"/>
    </row>
    <row r="105" spans="2:10" x14ac:dyDescent="0.2">
      <c r="B105" s="130" t="s">
        <v>20</v>
      </c>
      <c r="C105" s="131">
        <v>5857</v>
      </c>
      <c r="D105" s="130">
        <v>15000</v>
      </c>
      <c r="E105" s="130"/>
      <c r="F105" s="133">
        <f t="shared" si="9"/>
        <v>165.16185862144903</v>
      </c>
      <c r="G105" s="130">
        <v>15000</v>
      </c>
      <c r="H105" s="130">
        <f t="shared" si="6"/>
        <v>0</v>
      </c>
      <c r="I105" s="130"/>
      <c r="J105" s="130"/>
    </row>
    <row r="106" spans="2:10" x14ac:dyDescent="0.2">
      <c r="B106" s="130" t="s">
        <v>20</v>
      </c>
      <c r="C106" s="131">
        <v>4953</v>
      </c>
      <c r="D106" s="130">
        <v>6000</v>
      </c>
      <c r="E106" s="130"/>
      <c r="F106" s="133">
        <f t="shared" si="9"/>
        <v>66.06474344857962</v>
      </c>
      <c r="G106" s="130">
        <v>6000</v>
      </c>
      <c r="H106" s="130">
        <f t="shared" si="6"/>
        <v>0</v>
      </c>
      <c r="I106" s="130"/>
      <c r="J106" s="130"/>
    </row>
    <row r="107" spans="2:10" x14ac:dyDescent="0.2">
      <c r="B107" s="130" t="s">
        <v>20</v>
      </c>
      <c r="C107" s="131">
        <v>2751</v>
      </c>
      <c r="D107" s="130">
        <v>30000</v>
      </c>
      <c r="E107" s="130"/>
      <c r="F107" s="133">
        <f t="shared" si="9"/>
        <v>330.32371724289806</v>
      </c>
      <c r="G107" s="130">
        <v>30000</v>
      </c>
      <c r="H107" s="130">
        <f t="shared" si="6"/>
        <v>0</v>
      </c>
      <c r="I107" s="130"/>
      <c r="J107" s="130"/>
    </row>
    <row r="108" spans="2:10" x14ac:dyDescent="0.2">
      <c r="B108" s="130" t="s">
        <v>20</v>
      </c>
      <c r="C108" s="131">
        <v>3540</v>
      </c>
      <c r="D108" s="130">
        <v>8000</v>
      </c>
      <c r="E108" s="130"/>
      <c r="F108" s="133">
        <f t="shared" si="9"/>
        <v>88.086324598106145</v>
      </c>
      <c r="G108" s="130">
        <v>8000</v>
      </c>
      <c r="H108" s="130">
        <f t="shared" si="6"/>
        <v>0</v>
      </c>
      <c r="I108" s="130"/>
      <c r="J108" s="130"/>
    </row>
    <row r="109" spans="2:10" x14ac:dyDescent="0.2">
      <c r="B109" s="130" t="s">
        <v>20</v>
      </c>
      <c r="C109" s="131">
        <v>4705</v>
      </c>
      <c r="D109" s="130">
        <v>15000</v>
      </c>
      <c r="E109" s="130"/>
      <c r="F109" s="133">
        <f t="shared" si="9"/>
        <v>165.16185862144903</v>
      </c>
      <c r="G109" s="130">
        <v>15000</v>
      </c>
      <c r="H109" s="130">
        <f t="shared" si="6"/>
        <v>0</v>
      </c>
      <c r="I109" s="130"/>
      <c r="J109" s="130"/>
    </row>
    <row r="110" spans="2:10" x14ac:dyDescent="0.2">
      <c r="B110" s="130" t="s">
        <v>21</v>
      </c>
      <c r="C110" s="131" t="s">
        <v>36</v>
      </c>
      <c r="D110" s="130">
        <v>4500</v>
      </c>
      <c r="E110" s="130"/>
      <c r="F110" s="133">
        <v>49.17</v>
      </c>
      <c r="G110" s="130">
        <v>4500</v>
      </c>
      <c r="H110" s="130">
        <f t="shared" si="6"/>
        <v>0</v>
      </c>
      <c r="I110" s="130"/>
      <c r="J110" s="130"/>
    </row>
    <row r="111" spans="2:10" x14ac:dyDescent="0.2">
      <c r="B111" s="130" t="s">
        <v>21</v>
      </c>
      <c r="C111" s="131">
        <v>7180</v>
      </c>
      <c r="D111" s="130">
        <v>15000</v>
      </c>
      <c r="E111" s="130"/>
      <c r="F111" s="133">
        <v>163.9</v>
      </c>
      <c r="G111" s="130">
        <v>15000</v>
      </c>
      <c r="H111" s="130">
        <f t="shared" si="6"/>
        <v>0</v>
      </c>
      <c r="I111" s="130"/>
      <c r="J111" s="130"/>
    </row>
    <row r="112" spans="2:10" x14ac:dyDescent="0.2">
      <c r="B112" s="130" t="s">
        <v>21</v>
      </c>
      <c r="C112" s="131">
        <v>6089</v>
      </c>
      <c r="D112" s="130">
        <v>15000</v>
      </c>
      <c r="E112" s="130"/>
      <c r="F112" s="133">
        <v>163.9</v>
      </c>
      <c r="G112" s="130">
        <v>15000</v>
      </c>
      <c r="H112" s="130">
        <f t="shared" si="6"/>
        <v>0</v>
      </c>
      <c r="I112" s="130"/>
      <c r="J112" s="130"/>
    </row>
    <row r="113" spans="2:10" x14ac:dyDescent="0.2">
      <c r="B113" s="130" t="s">
        <v>21</v>
      </c>
      <c r="C113" s="131">
        <v>7743</v>
      </c>
      <c r="D113" s="130">
        <v>15000</v>
      </c>
      <c r="E113" s="130"/>
      <c r="F113" s="133">
        <v>163.9</v>
      </c>
      <c r="G113" s="130">
        <v>15000</v>
      </c>
      <c r="H113" s="130">
        <f t="shared" si="6"/>
        <v>0</v>
      </c>
      <c r="I113" s="130"/>
      <c r="J113" s="130"/>
    </row>
    <row r="114" spans="2:10" x14ac:dyDescent="0.2">
      <c r="B114" s="130" t="s">
        <v>21</v>
      </c>
      <c r="C114" s="131">
        <v>755</v>
      </c>
      <c r="D114" s="130">
        <v>15000</v>
      </c>
      <c r="E114" s="130"/>
      <c r="F114" s="133">
        <v>163.9</v>
      </c>
      <c r="G114" s="130">
        <v>15000</v>
      </c>
      <c r="H114" s="130">
        <f t="shared" si="6"/>
        <v>0</v>
      </c>
      <c r="I114" s="130"/>
      <c r="J114" s="130"/>
    </row>
    <row r="115" spans="2:10" x14ac:dyDescent="0.2">
      <c r="B115" s="130" t="s">
        <v>21</v>
      </c>
      <c r="C115" s="131">
        <v>8955</v>
      </c>
      <c r="D115" s="130">
        <v>20000</v>
      </c>
      <c r="E115" s="130"/>
      <c r="F115" s="133">
        <v>161.77000000000001</v>
      </c>
      <c r="G115" s="130">
        <v>20000</v>
      </c>
      <c r="H115" s="130">
        <f t="shared" si="6"/>
        <v>0</v>
      </c>
      <c r="I115" s="130"/>
      <c r="J115" s="130"/>
    </row>
    <row r="116" spans="2:10" x14ac:dyDescent="0.2">
      <c r="B116" s="130" t="s">
        <v>21</v>
      </c>
      <c r="C116" s="131">
        <v>1068</v>
      </c>
      <c r="D116" s="130">
        <v>35000</v>
      </c>
      <c r="E116" s="130"/>
      <c r="F116" s="133">
        <v>387.43</v>
      </c>
      <c r="G116" s="130">
        <v>35000</v>
      </c>
      <c r="H116" s="130">
        <f t="shared" si="6"/>
        <v>0</v>
      </c>
      <c r="I116" s="130"/>
      <c r="J116" s="130"/>
    </row>
    <row r="117" spans="2:10" x14ac:dyDescent="0.2">
      <c r="B117" s="130" t="s">
        <v>21</v>
      </c>
      <c r="C117" s="131">
        <v>6246</v>
      </c>
      <c r="D117" s="130">
        <v>40000</v>
      </c>
      <c r="E117" s="130"/>
      <c r="F117" s="133">
        <v>432</v>
      </c>
      <c r="G117" s="130">
        <v>40000</v>
      </c>
      <c r="H117" s="130">
        <f t="shared" si="6"/>
        <v>0</v>
      </c>
      <c r="I117" s="130"/>
      <c r="J117" s="130"/>
    </row>
    <row r="118" spans="2:10" x14ac:dyDescent="0.2">
      <c r="B118" s="130" t="s">
        <v>21</v>
      </c>
      <c r="C118" s="131">
        <v>711</v>
      </c>
      <c r="D118" s="130">
        <v>26000</v>
      </c>
      <c r="E118" s="130"/>
      <c r="F118" s="133">
        <v>257</v>
      </c>
      <c r="G118" s="130">
        <v>26000</v>
      </c>
      <c r="H118" s="130">
        <f t="shared" si="6"/>
        <v>0</v>
      </c>
      <c r="I118" s="130"/>
      <c r="J118" s="130"/>
    </row>
    <row r="119" spans="2:10" x14ac:dyDescent="0.2">
      <c r="B119" s="130" t="s">
        <v>21</v>
      </c>
      <c r="C119" s="131" t="s">
        <v>177</v>
      </c>
      <c r="D119" s="130">
        <v>15000</v>
      </c>
      <c r="E119" s="130"/>
      <c r="F119" s="133">
        <v>163.9</v>
      </c>
      <c r="G119" s="130">
        <v>15000</v>
      </c>
      <c r="H119" s="130">
        <f t="shared" si="6"/>
        <v>0</v>
      </c>
      <c r="I119" s="130"/>
      <c r="J119" s="130"/>
    </row>
    <row r="120" spans="2:10" x14ac:dyDescent="0.2">
      <c r="B120" s="130" t="s">
        <v>21</v>
      </c>
      <c r="C120" s="131">
        <v>7833</v>
      </c>
      <c r="D120" s="130">
        <v>15000</v>
      </c>
      <c r="E120" s="130"/>
      <c r="F120" s="133">
        <v>163.9</v>
      </c>
      <c r="G120" s="130">
        <v>15000</v>
      </c>
      <c r="H120" s="130">
        <f t="shared" si="6"/>
        <v>0</v>
      </c>
      <c r="I120" s="130"/>
      <c r="J120" s="130"/>
    </row>
    <row r="121" spans="2:10" x14ac:dyDescent="0.2">
      <c r="B121" s="130" t="s">
        <v>21</v>
      </c>
      <c r="C121" s="131" t="s">
        <v>178</v>
      </c>
      <c r="D121" s="130">
        <v>15000</v>
      </c>
      <c r="E121" s="130"/>
      <c r="F121" s="133">
        <v>163.9</v>
      </c>
      <c r="G121" s="130">
        <v>15000</v>
      </c>
      <c r="H121" s="130">
        <f t="shared" si="6"/>
        <v>0</v>
      </c>
      <c r="I121" s="130"/>
      <c r="J121" s="130"/>
    </row>
    <row r="122" spans="2:10" x14ac:dyDescent="0.2">
      <c r="B122" s="130" t="s">
        <v>21</v>
      </c>
      <c r="C122" s="131">
        <v>2633</v>
      </c>
      <c r="D122" s="130">
        <v>15000</v>
      </c>
      <c r="E122" s="130"/>
      <c r="F122" s="133">
        <v>163.9</v>
      </c>
      <c r="G122" s="130">
        <v>15000</v>
      </c>
      <c r="H122" s="130">
        <f t="shared" si="6"/>
        <v>0</v>
      </c>
      <c r="I122" s="130"/>
      <c r="J122" s="130"/>
    </row>
    <row r="123" spans="2:10" x14ac:dyDescent="0.2">
      <c r="B123" s="130" t="s">
        <v>21</v>
      </c>
      <c r="C123" s="131">
        <v>9835</v>
      </c>
      <c r="D123" s="130">
        <v>15000</v>
      </c>
      <c r="E123" s="130"/>
      <c r="F123" s="133">
        <v>163.9</v>
      </c>
      <c r="G123" s="130">
        <v>15000</v>
      </c>
      <c r="H123" s="130">
        <f t="shared" si="6"/>
        <v>0</v>
      </c>
      <c r="I123" s="130"/>
      <c r="J123" s="130"/>
    </row>
    <row r="124" spans="2:10" x14ac:dyDescent="0.2">
      <c r="B124" s="130" t="s">
        <v>21</v>
      </c>
      <c r="C124" s="131">
        <v>1286</v>
      </c>
      <c r="D124" s="130">
        <v>30000</v>
      </c>
      <c r="E124" s="130"/>
      <c r="F124" s="133">
        <v>327.8</v>
      </c>
      <c r="G124" s="130">
        <v>30000</v>
      </c>
      <c r="H124" s="130">
        <f t="shared" si="6"/>
        <v>0</v>
      </c>
      <c r="I124" s="130"/>
      <c r="J124" s="130"/>
    </row>
    <row r="125" spans="2:10" x14ac:dyDescent="0.2">
      <c r="B125" s="130" t="s">
        <v>21</v>
      </c>
      <c r="C125" s="131">
        <v>3011</v>
      </c>
      <c r="D125" s="130">
        <v>5000</v>
      </c>
      <c r="E125" s="130"/>
      <c r="F125" s="133">
        <v>54.63</v>
      </c>
      <c r="G125" s="130">
        <v>5000</v>
      </c>
      <c r="H125" s="130">
        <f t="shared" si="6"/>
        <v>0</v>
      </c>
      <c r="I125" s="130"/>
      <c r="J125" s="130"/>
    </row>
    <row r="126" spans="2:10" x14ac:dyDescent="0.2">
      <c r="B126" s="130" t="s">
        <v>21</v>
      </c>
      <c r="C126" s="131">
        <v>3198</v>
      </c>
      <c r="D126" s="130">
        <v>10000</v>
      </c>
      <c r="E126" s="130"/>
      <c r="F126" s="133">
        <v>109.27</v>
      </c>
      <c r="G126" s="130">
        <v>10000</v>
      </c>
      <c r="H126" s="130">
        <f t="shared" si="6"/>
        <v>0</v>
      </c>
      <c r="I126" s="130"/>
      <c r="J126" s="130"/>
    </row>
    <row r="127" spans="2:10" x14ac:dyDescent="0.2">
      <c r="B127" s="130" t="s">
        <v>21</v>
      </c>
      <c r="C127" s="131">
        <v>249</v>
      </c>
      <c r="D127" s="130">
        <v>10000</v>
      </c>
      <c r="E127" s="130"/>
      <c r="F127" s="133">
        <v>109.27</v>
      </c>
      <c r="G127" s="130">
        <v>10000</v>
      </c>
      <c r="H127" s="130">
        <f t="shared" si="6"/>
        <v>0</v>
      </c>
      <c r="I127" s="130"/>
      <c r="J127" s="130"/>
    </row>
    <row r="128" spans="2:10" x14ac:dyDescent="0.2">
      <c r="B128" s="130" t="s">
        <v>21</v>
      </c>
      <c r="C128" s="131">
        <v>4713</v>
      </c>
      <c r="D128" s="130">
        <v>6000</v>
      </c>
      <c r="E128" s="130"/>
      <c r="F128" s="133">
        <v>65.56</v>
      </c>
      <c r="G128" s="130">
        <v>6000</v>
      </c>
      <c r="H128" s="130">
        <f t="shared" si="6"/>
        <v>0</v>
      </c>
      <c r="I128" s="130"/>
      <c r="J128" s="130"/>
    </row>
    <row r="129" spans="2:10" x14ac:dyDescent="0.2">
      <c r="B129" s="130" t="s">
        <v>21</v>
      </c>
      <c r="C129" s="131">
        <v>3948</v>
      </c>
      <c r="D129" s="130">
        <v>8000</v>
      </c>
      <c r="E129" s="130"/>
      <c r="F129" s="133">
        <v>87.41</v>
      </c>
      <c r="G129" s="130">
        <v>8000</v>
      </c>
      <c r="H129" s="130">
        <f t="shared" si="6"/>
        <v>0</v>
      </c>
      <c r="I129" s="130"/>
      <c r="J129" s="130"/>
    </row>
    <row r="130" spans="2:10" x14ac:dyDescent="0.2">
      <c r="B130" s="130" t="s">
        <v>21</v>
      </c>
      <c r="C130" s="131">
        <v>625</v>
      </c>
      <c r="D130" s="130">
        <v>18000</v>
      </c>
      <c r="E130" s="130"/>
      <c r="F130" s="133">
        <v>196.68</v>
      </c>
      <c r="G130" s="130">
        <v>18000</v>
      </c>
      <c r="H130" s="130">
        <f t="shared" si="6"/>
        <v>0</v>
      </c>
      <c r="I130" s="130"/>
      <c r="J130" s="130"/>
    </row>
    <row r="131" spans="2:10" x14ac:dyDescent="0.2">
      <c r="B131" s="130" t="s">
        <v>21</v>
      </c>
      <c r="C131" s="131">
        <v>5185</v>
      </c>
      <c r="D131" s="130">
        <v>30000</v>
      </c>
      <c r="E131" s="130"/>
      <c r="F131" s="133">
        <v>327.8</v>
      </c>
      <c r="G131" s="130">
        <v>30000</v>
      </c>
      <c r="H131" s="130">
        <f t="shared" si="6"/>
        <v>0</v>
      </c>
      <c r="I131" s="130"/>
      <c r="J131" s="130"/>
    </row>
    <row r="132" spans="2:10" x14ac:dyDescent="0.2">
      <c r="B132" s="130" t="s">
        <v>21</v>
      </c>
      <c r="C132" s="131">
        <v>1453</v>
      </c>
      <c r="D132" s="130">
        <v>10000</v>
      </c>
      <c r="E132" s="130"/>
      <c r="F132" s="133">
        <v>109.27</v>
      </c>
      <c r="G132" s="130">
        <v>10000</v>
      </c>
      <c r="H132" s="130">
        <f t="shared" ref="H132:H165" si="10">D132-G132</f>
        <v>0</v>
      </c>
      <c r="I132" s="130"/>
      <c r="J132" s="130"/>
    </row>
    <row r="133" spans="2:10" x14ac:dyDescent="0.2">
      <c r="B133" s="130" t="s">
        <v>22</v>
      </c>
      <c r="C133" s="131" t="s">
        <v>38</v>
      </c>
      <c r="D133" s="130">
        <v>3125</v>
      </c>
      <c r="E133" s="130"/>
      <c r="F133" s="133">
        <v>33.89</v>
      </c>
      <c r="G133" s="130">
        <v>3125</v>
      </c>
      <c r="H133" s="130">
        <f t="shared" si="10"/>
        <v>0</v>
      </c>
      <c r="I133" s="130"/>
      <c r="J133" s="130"/>
    </row>
    <row r="134" spans="2:10" x14ac:dyDescent="0.2">
      <c r="B134" s="130" t="s">
        <v>22</v>
      </c>
      <c r="C134" s="131">
        <v>9189</v>
      </c>
      <c r="D134" s="136">
        <v>15000</v>
      </c>
      <c r="E134" s="130"/>
      <c r="F134" s="133">
        <v>162.47</v>
      </c>
      <c r="G134" s="130">
        <v>15000</v>
      </c>
      <c r="H134" s="130">
        <f t="shared" si="10"/>
        <v>0</v>
      </c>
      <c r="I134" s="130"/>
      <c r="J134" s="130"/>
    </row>
    <row r="135" spans="2:10" x14ac:dyDescent="0.2">
      <c r="B135" s="130" t="s">
        <v>22</v>
      </c>
      <c r="C135" s="131">
        <v>1352</v>
      </c>
      <c r="D135" s="136">
        <v>12000</v>
      </c>
      <c r="E135" s="130"/>
      <c r="F135" s="133">
        <v>129.47999999999999</v>
      </c>
      <c r="G135" s="130">
        <v>12000</v>
      </c>
      <c r="H135" s="130">
        <f t="shared" si="10"/>
        <v>0</v>
      </c>
      <c r="I135" s="130"/>
      <c r="J135" s="130"/>
    </row>
    <row r="136" spans="2:10" x14ac:dyDescent="0.2">
      <c r="B136" s="130" t="s">
        <v>22</v>
      </c>
      <c r="C136" s="131">
        <v>9476</v>
      </c>
      <c r="D136" s="136">
        <v>13000</v>
      </c>
      <c r="E136" s="130"/>
      <c r="F136" s="133">
        <v>140.88999999999999</v>
      </c>
      <c r="G136" s="130">
        <v>13000</v>
      </c>
      <c r="H136" s="130">
        <f t="shared" si="10"/>
        <v>0</v>
      </c>
      <c r="I136" s="130"/>
      <c r="J136" s="130"/>
    </row>
    <row r="137" spans="2:10" x14ac:dyDescent="0.2">
      <c r="B137" s="130" t="s">
        <v>22</v>
      </c>
      <c r="C137" s="131" t="s">
        <v>179</v>
      </c>
      <c r="D137" s="136">
        <v>10000</v>
      </c>
      <c r="E137" s="130"/>
      <c r="F137" s="133">
        <v>108.32</v>
      </c>
      <c r="G137" s="130">
        <v>10000</v>
      </c>
      <c r="H137" s="130">
        <f t="shared" si="10"/>
        <v>0</v>
      </c>
      <c r="I137" s="130"/>
      <c r="J137" s="130"/>
    </row>
    <row r="138" spans="2:10" x14ac:dyDescent="0.2">
      <c r="B138" s="130" t="s">
        <v>22</v>
      </c>
      <c r="C138" s="131">
        <v>6461</v>
      </c>
      <c r="D138" s="136">
        <v>32000</v>
      </c>
      <c r="E138" s="130"/>
      <c r="F138" s="133">
        <v>302.29000000000002</v>
      </c>
      <c r="G138" s="130">
        <v>32000</v>
      </c>
      <c r="H138" s="130">
        <f t="shared" si="10"/>
        <v>0</v>
      </c>
      <c r="I138" s="130"/>
      <c r="J138" s="130"/>
    </row>
    <row r="139" spans="2:10" x14ac:dyDescent="0.2">
      <c r="B139" s="130" t="s">
        <v>22</v>
      </c>
      <c r="C139" s="131">
        <v>1010</v>
      </c>
      <c r="D139" s="136">
        <v>15000</v>
      </c>
      <c r="E139" s="130"/>
      <c r="F139" s="133">
        <v>166.47</v>
      </c>
      <c r="G139" s="130">
        <v>15000</v>
      </c>
      <c r="H139" s="130">
        <f t="shared" si="10"/>
        <v>0</v>
      </c>
      <c r="I139" s="130"/>
      <c r="J139" s="130"/>
    </row>
    <row r="140" spans="2:10" x14ac:dyDescent="0.2">
      <c r="B140" s="130" t="s">
        <v>22</v>
      </c>
      <c r="C140" s="131">
        <v>1215</v>
      </c>
      <c r="D140" s="136">
        <v>13000</v>
      </c>
      <c r="E140" s="130"/>
      <c r="F140" s="133">
        <v>140.07</v>
      </c>
      <c r="G140" s="130">
        <v>13000</v>
      </c>
      <c r="H140" s="130">
        <f t="shared" si="10"/>
        <v>0</v>
      </c>
      <c r="I140" s="130"/>
      <c r="J140" s="130"/>
    </row>
    <row r="141" spans="2:10" x14ac:dyDescent="0.2">
      <c r="B141" s="130" t="s">
        <v>22</v>
      </c>
      <c r="C141" s="131" t="s">
        <v>24</v>
      </c>
      <c r="D141" s="130">
        <v>7000</v>
      </c>
      <c r="E141" s="130"/>
      <c r="F141" s="133">
        <v>75.819999999999993</v>
      </c>
      <c r="G141" s="130">
        <v>7000</v>
      </c>
      <c r="H141" s="130">
        <f t="shared" si="10"/>
        <v>0</v>
      </c>
      <c r="I141" s="130"/>
      <c r="J141" s="130"/>
    </row>
    <row r="142" spans="2:10" x14ac:dyDescent="0.2">
      <c r="B142" s="130" t="s">
        <v>22</v>
      </c>
      <c r="C142" s="131" t="s">
        <v>25</v>
      </c>
      <c r="D142" s="130">
        <v>30000</v>
      </c>
      <c r="E142" s="130"/>
      <c r="F142" s="133">
        <v>329.35</v>
      </c>
      <c r="G142" s="130">
        <v>30000</v>
      </c>
      <c r="H142" s="130">
        <f t="shared" si="10"/>
        <v>0</v>
      </c>
      <c r="I142" s="130"/>
      <c r="J142" s="130"/>
    </row>
    <row r="143" spans="2:10" x14ac:dyDescent="0.2">
      <c r="B143" s="130" t="s">
        <v>22</v>
      </c>
      <c r="C143" s="131" t="s">
        <v>41</v>
      </c>
      <c r="D143" s="130">
        <v>25000</v>
      </c>
      <c r="E143" s="130"/>
      <c r="F143" s="133">
        <v>270.79000000000002</v>
      </c>
      <c r="G143" s="130">
        <v>25000</v>
      </c>
      <c r="H143" s="130">
        <f t="shared" si="10"/>
        <v>0</v>
      </c>
      <c r="I143" s="130"/>
      <c r="J143" s="130"/>
    </row>
    <row r="144" spans="2:10" x14ac:dyDescent="0.2">
      <c r="B144" s="130" t="s">
        <v>22</v>
      </c>
      <c r="C144" s="131" t="s">
        <v>40</v>
      </c>
      <c r="D144" s="130">
        <v>20000</v>
      </c>
      <c r="E144" s="130"/>
      <c r="F144" s="133">
        <v>216.63</v>
      </c>
      <c r="G144" s="130">
        <v>20000</v>
      </c>
      <c r="H144" s="130">
        <f t="shared" si="10"/>
        <v>0</v>
      </c>
      <c r="I144" s="130"/>
      <c r="J144" s="130"/>
    </row>
    <row r="145" spans="2:14" x14ac:dyDescent="0.2">
      <c r="B145" s="130" t="s">
        <v>22</v>
      </c>
      <c r="C145" s="131" t="s">
        <v>26</v>
      </c>
      <c r="D145" s="130">
        <v>12000</v>
      </c>
      <c r="E145" s="130"/>
      <c r="F145" s="133">
        <v>129.97999999999999</v>
      </c>
      <c r="G145" s="130">
        <v>12000</v>
      </c>
      <c r="H145" s="130">
        <f t="shared" si="10"/>
        <v>0</v>
      </c>
      <c r="I145" s="130"/>
      <c r="J145" s="130"/>
    </row>
    <row r="146" spans="2:14" x14ac:dyDescent="0.2">
      <c r="B146" s="130" t="s">
        <v>22</v>
      </c>
      <c r="C146" s="131" t="s">
        <v>27</v>
      </c>
      <c r="D146" s="130">
        <v>21000</v>
      </c>
      <c r="E146" s="130"/>
      <c r="F146" s="133">
        <v>227.96</v>
      </c>
      <c r="G146" s="130">
        <v>21000</v>
      </c>
      <c r="H146" s="130">
        <f t="shared" si="10"/>
        <v>0</v>
      </c>
      <c r="I146" s="130"/>
      <c r="J146" s="130"/>
    </row>
    <row r="147" spans="2:14" x14ac:dyDescent="0.2">
      <c r="B147" s="130" t="s">
        <v>22</v>
      </c>
      <c r="C147" s="131" t="s">
        <v>28</v>
      </c>
      <c r="D147" s="130">
        <v>21000</v>
      </c>
      <c r="E147" s="130"/>
      <c r="F147" s="133">
        <v>227.96</v>
      </c>
      <c r="G147" s="130">
        <v>21000</v>
      </c>
      <c r="H147" s="130">
        <f t="shared" si="10"/>
        <v>0</v>
      </c>
      <c r="I147" s="130"/>
      <c r="J147" s="130"/>
    </row>
    <row r="148" spans="2:14" x14ac:dyDescent="0.2">
      <c r="B148" s="130" t="s">
        <v>23</v>
      </c>
      <c r="C148" s="131" t="s">
        <v>30</v>
      </c>
      <c r="D148" s="130">
        <v>5000</v>
      </c>
      <c r="E148" s="130"/>
      <c r="F148" s="133">
        <v>53.69</v>
      </c>
      <c r="G148" s="130">
        <v>5000</v>
      </c>
      <c r="H148" s="130">
        <f t="shared" si="10"/>
        <v>0</v>
      </c>
      <c r="I148" s="130"/>
      <c r="J148" s="130"/>
    </row>
    <row r="149" spans="2:14" x14ac:dyDescent="0.2">
      <c r="B149" s="130" t="s">
        <v>23</v>
      </c>
      <c r="C149" s="131">
        <v>5368</v>
      </c>
      <c r="D149" s="130">
        <v>15000</v>
      </c>
      <c r="E149" s="130"/>
      <c r="F149" s="133">
        <v>161.08000000000001</v>
      </c>
      <c r="G149" s="130">
        <v>15000</v>
      </c>
      <c r="H149" s="130">
        <f t="shared" si="10"/>
        <v>0</v>
      </c>
      <c r="I149" s="130"/>
      <c r="J149" s="130"/>
    </row>
    <row r="150" spans="2:14" x14ac:dyDescent="0.2">
      <c r="B150" s="130" t="s">
        <v>23</v>
      </c>
      <c r="C150" s="131">
        <v>3521</v>
      </c>
      <c r="D150" s="130">
        <v>17000</v>
      </c>
      <c r="E150" s="130"/>
      <c r="F150" s="133">
        <v>182.55</v>
      </c>
      <c r="G150" s="130">
        <v>17000</v>
      </c>
      <c r="H150" s="130">
        <f t="shared" si="10"/>
        <v>0</v>
      </c>
      <c r="I150" s="130"/>
      <c r="J150" s="130"/>
    </row>
    <row r="151" spans="2:14" x14ac:dyDescent="0.2">
      <c r="B151" s="130" t="s">
        <v>23</v>
      </c>
      <c r="C151" s="131">
        <v>2056</v>
      </c>
      <c r="D151" s="130">
        <v>18000</v>
      </c>
      <c r="E151" s="130"/>
      <c r="F151" s="133">
        <v>193.3</v>
      </c>
      <c r="G151" s="130">
        <v>18000</v>
      </c>
      <c r="H151" s="130">
        <f t="shared" si="10"/>
        <v>0</v>
      </c>
      <c r="I151" s="130"/>
      <c r="J151" s="130"/>
    </row>
    <row r="152" spans="2:14" x14ac:dyDescent="0.2">
      <c r="B152" s="130" t="s">
        <v>23</v>
      </c>
      <c r="C152" s="131">
        <v>4126</v>
      </c>
      <c r="D152" s="130">
        <v>13000</v>
      </c>
      <c r="E152" s="130"/>
      <c r="F152" s="133">
        <v>139.6</v>
      </c>
      <c r="G152" s="130">
        <v>13000</v>
      </c>
      <c r="H152" s="130">
        <f t="shared" si="10"/>
        <v>0</v>
      </c>
      <c r="I152" s="130"/>
      <c r="J152" s="130"/>
    </row>
    <row r="153" spans="2:14" x14ac:dyDescent="0.2">
      <c r="B153" s="130" t="s">
        <v>23</v>
      </c>
      <c r="C153" s="131">
        <v>5324</v>
      </c>
      <c r="D153" s="130">
        <v>10000</v>
      </c>
      <c r="E153" s="130"/>
      <c r="F153" s="133">
        <v>107.39</v>
      </c>
      <c r="G153" s="130">
        <v>10000</v>
      </c>
      <c r="H153" s="130">
        <f t="shared" si="10"/>
        <v>0</v>
      </c>
      <c r="I153" s="130"/>
      <c r="J153" s="130"/>
    </row>
    <row r="154" spans="2:14" x14ac:dyDescent="0.2">
      <c r="B154" s="130" t="s">
        <v>23</v>
      </c>
      <c r="C154" s="131" t="s">
        <v>180</v>
      </c>
      <c r="D154" s="137">
        <v>12000</v>
      </c>
      <c r="E154" s="130"/>
      <c r="F154" s="133">
        <v>133.19999999999999</v>
      </c>
      <c r="G154" s="130">
        <v>12000</v>
      </c>
      <c r="H154" s="130">
        <f t="shared" si="10"/>
        <v>0</v>
      </c>
      <c r="I154" s="130"/>
      <c r="J154" s="130"/>
    </row>
    <row r="155" spans="2:14" x14ac:dyDescent="0.2">
      <c r="B155" s="130" t="s">
        <v>23</v>
      </c>
      <c r="C155" s="131">
        <v>932</v>
      </c>
      <c r="D155" s="130">
        <v>18000</v>
      </c>
      <c r="E155" s="130"/>
      <c r="F155" s="133">
        <v>193.2</v>
      </c>
      <c r="G155" s="130">
        <v>18000</v>
      </c>
      <c r="H155" s="130">
        <f t="shared" si="10"/>
        <v>0</v>
      </c>
      <c r="I155" s="130"/>
      <c r="J155" s="130"/>
    </row>
    <row r="156" spans="2:14" x14ac:dyDescent="0.2">
      <c r="B156" s="130" t="s">
        <v>23</v>
      </c>
      <c r="C156" s="131" t="s">
        <v>43</v>
      </c>
      <c r="D156" s="130">
        <v>4500</v>
      </c>
      <c r="E156" s="130"/>
      <c r="F156" s="133">
        <v>48.3</v>
      </c>
      <c r="G156" s="130">
        <v>4500</v>
      </c>
      <c r="H156" s="130">
        <f t="shared" si="10"/>
        <v>0</v>
      </c>
      <c r="I156" s="130"/>
      <c r="J156" s="130"/>
    </row>
    <row r="157" spans="2:14" ht="15" x14ac:dyDescent="0.2">
      <c r="B157" s="130" t="s">
        <v>23</v>
      </c>
      <c r="C157" s="131">
        <v>3877</v>
      </c>
      <c r="D157" s="130">
        <v>30000</v>
      </c>
      <c r="E157" s="130"/>
      <c r="F157" s="133">
        <v>322.16000000000003</v>
      </c>
      <c r="G157" s="130">
        <v>30000</v>
      </c>
      <c r="H157" s="130">
        <f t="shared" si="10"/>
        <v>0</v>
      </c>
      <c r="I157" s="130"/>
      <c r="J157" s="130"/>
      <c r="N157" s="153"/>
    </row>
    <row r="158" spans="2:14" x14ac:dyDescent="0.2">
      <c r="B158" s="130" t="s">
        <v>23</v>
      </c>
      <c r="C158" s="131">
        <v>6651</v>
      </c>
      <c r="D158" s="130">
        <v>32000</v>
      </c>
      <c r="E158" s="130"/>
      <c r="F158" s="133">
        <v>343.16</v>
      </c>
      <c r="G158" s="130">
        <v>32000</v>
      </c>
      <c r="H158" s="130">
        <f t="shared" si="10"/>
        <v>0</v>
      </c>
      <c r="I158" s="130"/>
      <c r="J158" s="130"/>
    </row>
    <row r="159" spans="2:14" x14ac:dyDescent="0.2">
      <c r="B159" s="130" t="s">
        <v>23</v>
      </c>
      <c r="C159" s="131">
        <v>5370</v>
      </c>
      <c r="D159" s="130">
        <v>30000</v>
      </c>
      <c r="E159" s="130"/>
      <c r="F159" s="133">
        <v>322.16000000000003</v>
      </c>
      <c r="G159" s="130">
        <v>30000</v>
      </c>
      <c r="H159" s="130">
        <f t="shared" si="10"/>
        <v>0</v>
      </c>
      <c r="I159" s="130"/>
      <c r="J159" s="130"/>
    </row>
    <row r="160" spans="2:14" x14ac:dyDescent="0.2">
      <c r="B160" s="130" t="s">
        <v>23</v>
      </c>
      <c r="C160" s="131">
        <v>9101</v>
      </c>
      <c r="D160" s="130">
        <v>13000</v>
      </c>
      <c r="E160" s="130"/>
      <c r="F160" s="133">
        <v>139.6</v>
      </c>
      <c r="G160" s="130">
        <v>13000</v>
      </c>
      <c r="H160" s="130">
        <f t="shared" si="10"/>
        <v>0</v>
      </c>
      <c r="I160" s="130"/>
      <c r="J160" s="130"/>
    </row>
    <row r="161" spans="2:13" x14ac:dyDescent="0.2">
      <c r="B161" s="130" t="s">
        <v>23</v>
      </c>
      <c r="C161" s="131">
        <v>9033</v>
      </c>
      <c r="D161" s="130">
        <v>10000</v>
      </c>
      <c r="E161" s="130"/>
      <c r="F161" s="133">
        <v>107.39</v>
      </c>
      <c r="G161" s="130">
        <v>10000</v>
      </c>
      <c r="H161" s="130">
        <f t="shared" si="10"/>
        <v>0</v>
      </c>
      <c r="I161" s="130"/>
      <c r="J161" s="130"/>
    </row>
    <row r="162" spans="2:13" x14ac:dyDescent="0.2">
      <c r="B162" s="130" t="s">
        <v>23</v>
      </c>
      <c r="C162" s="131">
        <v>3540</v>
      </c>
      <c r="D162" s="130">
        <v>8000</v>
      </c>
      <c r="E162" s="130"/>
      <c r="F162" s="133">
        <v>150.4</v>
      </c>
      <c r="G162" s="130">
        <v>8000</v>
      </c>
      <c r="H162" s="130">
        <f t="shared" si="10"/>
        <v>0</v>
      </c>
      <c r="I162" s="130"/>
      <c r="J162" s="130"/>
    </row>
    <row r="163" spans="2:13" x14ac:dyDescent="0.2">
      <c r="B163" s="130" t="s">
        <v>23</v>
      </c>
      <c r="C163" s="131">
        <v>497</v>
      </c>
      <c r="D163" s="130">
        <v>25000</v>
      </c>
      <c r="E163" s="130"/>
      <c r="F163" s="133">
        <v>268.47000000000003</v>
      </c>
      <c r="G163" s="130">
        <v>25000</v>
      </c>
      <c r="H163" s="130">
        <f t="shared" si="10"/>
        <v>0</v>
      </c>
      <c r="I163" s="130"/>
      <c r="J163" s="130"/>
    </row>
    <row r="164" spans="2:13" x14ac:dyDescent="0.2">
      <c r="B164" s="130" t="s">
        <v>23</v>
      </c>
      <c r="C164" s="131">
        <v>8644</v>
      </c>
      <c r="D164" s="130">
        <v>9000</v>
      </c>
      <c r="E164" s="130"/>
      <c r="F164" s="133">
        <v>96.95</v>
      </c>
      <c r="G164" s="130">
        <v>9000</v>
      </c>
      <c r="H164" s="130">
        <f t="shared" si="10"/>
        <v>0</v>
      </c>
      <c r="I164" s="130"/>
      <c r="J164" s="130"/>
    </row>
    <row r="165" spans="2:13" ht="15" thickBot="1" x14ac:dyDescent="0.25">
      <c r="B165" s="130" t="s">
        <v>23</v>
      </c>
      <c r="C165" s="140">
        <v>8549</v>
      </c>
      <c r="D165" s="141">
        <v>25000</v>
      </c>
      <c r="E165" s="141"/>
      <c r="F165" s="142">
        <v>249.15</v>
      </c>
      <c r="G165" s="141">
        <v>25000</v>
      </c>
      <c r="H165" s="141">
        <f t="shared" si="10"/>
        <v>0</v>
      </c>
      <c r="I165" s="141"/>
      <c r="J165" s="130"/>
    </row>
    <row r="166" spans="2:13" x14ac:dyDescent="0.2">
      <c r="B166" s="138"/>
      <c r="C166" s="143" t="s">
        <v>9</v>
      </c>
      <c r="D166" s="144">
        <f>SUM(D4:D165)</f>
        <v>2999075</v>
      </c>
      <c r="E166" s="145"/>
      <c r="F166" s="146">
        <f>SUM(F4:F165)</f>
        <v>33301.533796944284</v>
      </c>
      <c r="G166" s="144">
        <f>SUM(G4:G165)</f>
        <v>2999075</v>
      </c>
      <c r="H166" s="145"/>
      <c r="I166" s="147">
        <f>SUM(I4:I165)</f>
        <v>1000000</v>
      </c>
      <c r="J166" s="139"/>
      <c r="M166">
        <f>3015560-2999075</f>
        <v>16485</v>
      </c>
    </row>
    <row r="167" spans="2:13" ht="15" thickBot="1" x14ac:dyDescent="0.25">
      <c r="B167" s="138"/>
      <c r="C167" s="148" t="s">
        <v>10</v>
      </c>
      <c r="D167" s="149">
        <f>SUM(D166-I166)</f>
        <v>1999075</v>
      </c>
      <c r="E167" s="150"/>
      <c r="F167" s="150"/>
      <c r="G167" s="151" t="s">
        <v>10</v>
      </c>
      <c r="H167" s="149">
        <f>SUM(G166-I166)</f>
        <v>1999075</v>
      </c>
      <c r="I167" s="152"/>
      <c r="J167" s="139"/>
    </row>
    <row r="169" spans="2:13" ht="15" x14ac:dyDescent="0.25">
      <c r="B169" s="42"/>
      <c r="C169" s="42" t="s">
        <v>190</v>
      </c>
      <c r="D169" s="42"/>
      <c r="E169" s="42"/>
      <c r="F169" s="42"/>
    </row>
    <row r="170" spans="2:13" ht="15" x14ac:dyDescent="0.25">
      <c r="B170" s="42" t="s">
        <v>185</v>
      </c>
      <c r="C170" s="42"/>
      <c r="D170" s="42"/>
      <c r="E170" s="42" t="s">
        <v>186</v>
      </c>
      <c r="F170" s="42"/>
    </row>
    <row r="171" spans="2:13" ht="15" x14ac:dyDescent="0.25">
      <c r="B171" s="42" t="s">
        <v>184</v>
      </c>
      <c r="C171" s="42">
        <v>2999075</v>
      </c>
      <c r="D171" s="42"/>
      <c r="E171" s="42" t="s">
        <v>187</v>
      </c>
      <c r="F171" s="42">
        <v>3015560</v>
      </c>
    </row>
    <row r="172" spans="2:13" ht="15" x14ac:dyDescent="0.25">
      <c r="B172" s="42" t="s">
        <v>143</v>
      </c>
      <c r="C172" s="42">
        <v>1000000</v>
      </c>
      <c r="D172" s="42"/>
      <c r="E172" s="42" t="s">
        <v>188</v>
      </c>
      <c r="F172" s="42">
        <v>-16485</v>
      </c>
    </row>
    <row r="173" spans="2:13" ht="15" x14ac:dyDescent="0.25">
      <c r="B173" s="42"/>
      <c r="C173" s="42"/>
      <c r="D173" s="42"/>
      <c r="E173" s="42" t="s">
        <v>189</v>
      </c>
      <c r="F173" s="42">
        <v>1000000</v>
      </c>
    </row>
    <row r="174" spans="2:13" ht="15" x14ac:dyDescent="0.25">
      <c r="B174" s="89" t="s">
        <v>95</v>
      </c>
      <c r="C174" s="89">
        <f>2999075-1000000</f>
        <v>1999075</v>
      </c>
      <c r="D174" s="89"/>
      <c r="E174" s="89" t="s">
        <v>95</v>
      </c>
      <c r="F174" s="89">
        <v>1999075</v>
      </c>
      <c r="K174">
        <f>3015560-16485-1000000</f>
        <v>1999075</v>
      </c>
    </row>
    <row r="181" spans="3:5" ht="15" thickBot="1" x14ac:dyDescent="0.25"/>
    <row r="182" spans="3:5" ht="15" x14ac:dyDescent="0.25">
      <c r="C182" s="304" t="s">
        <v>555</v>
      </c>
      <c r="D182" s="305"/>
      <c r="E182" s="306"/>
    </row>
    <row r="183" spans="3:5" ht="15.75" thickBot="1" x14ac:dyDescent="0.3">
      <c r="C183" s="307" t="s">
        <v>551</v>
      </c>
      <c r="D183" s="308"/>
      <c r="E183" s="309"/>
    </row>
    <row r="184" spans="3:5" ht="15" x14ac:dyDescent="0.25">
      <c r="C184" s="178" t="s">
        <v>553</v>
      </c>
      <c r="D184" s="179" t="s">
        <v>552</v>
      </c>
      <c r="E184" s="310"/>
    </row>
    <row r="185" spans="3:5" ht="15" thickBot="1" x14ac:dyDescent="0.25">
      <c r="C185" s="311">
        <v>80103316</v>
      </c>
      <c r="D185" s="312" t="s">
        <v>554</v>
      </c>
      <c r="E185" s="313"/>
    </row>
  </sheetData>
  <mergeCells count="1">
    <mergeCell ref="D1:G1"/>
  </mergeCells>
  <pageMargins left="0.5" right="0.26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48"/>
  <sheetViews>
    <sheetView topLeftCell="A648" workbookViewId="0">
      <selection activeCell="H6" sqref="H6"/>
    </sheetView>
  </sheetViews>
  <sheetFormatPr defaultRowHeight="14.25" x14ac:dyDescent="0.2"/>
  <cols>
    <col min="1" max="1" width="5.25" customWidth="1"/>
    <col min="3" max="3" width="15" customWidth="1"/>
    <col min="4" max="4" width="13.625" customWidth="1"/>
    <col min="5" max="5" width="12.625" bestFit="1" customWidth="1"/>
    <col min="6" max="6" width="10.125" bestFit="1" customWidth="1"/>
    <col min="7" max="7" width="12.125" customWidth="1"/>
    <col min="8" max="8" width="14.875" customWidth="1"/>
    <col min="9" max="9" width="15.25" customWidth="1"/>
    <col min="11" max="11" width="15.875" customWidth="1"/>
    <col min="13" max="13" width="11.25" bestFit="1" customWidth="1"/>
    <col min="14" max="14" width="5.375" customWidth="1"/>
    <col min="16" max="16" width="16.875" customWidth="1"/>
  </cols>
  <sheetData>
    <row r="2" spans="1:14" ht="21" x14ac:dyDescent="0.35">
      <c r="A2" s="418"/>
      <c r="B2" s="418"/>
      <c r="C2" s="418"/>
      <c r="D2" s="419" t="s">
        <v>772</v>
      </c>
      <c r="E2" s="419"/>
      <c r="F2" s="419"/>
      <c r="G2" s="419"/>
      <c r="H2" s="418"/>
      <c r="I2" s="418"/>
      <c r="J2" s="418"/>
    </row>
    <row r="3" spans="1:14" ht="18" x14ac:dyDescent="0.25">
      <c r="A3" s="418"/>
      <c r="B3" s="418"/>
      <c r="C3" s="418"/>
      <c r="D3" s="420"/>
      <c r="E3" s="421" t="s">
        <v>771</v>
      </c>
      <c r="F3" s="422"/>
      <c r="G3" s="422"/>
      <c r="H3" s="418"/>
      <c r="I3" s="418"/>
      <c r="J3" s="418"/>
    </row>
    <row r="4" spans="1:14" ht="15.75" x14ac:dyDescent="0.25">
      <c r="A4" s="6" t="s">
        <v>1</v>
      </c>
      <c r="B4" s="30" t="s">
        <v>2</v>
      </c>
      <c r="C4" s="30" t="s">
        <v>97</v>
      </c>
      <c r="D4" s="30" t="s">
        <v>4</v>
      </c>
      <c r="E4" s="110" t="s">
        <v>770</v>
      </c>
      <c r="F4" s="30" t="s">
        <v>5</v>
      </c>
      <c r="G4" s="30" t="s">
        <v>4</v>
      </c>
      <c r="H4" s="30" t="s">
        <v>98</v>
      </c>
      <c r="I4" s="417" t="s">
        <v>8</v>
      </c>
      <c r="J4" s="417" t="s">
        <v>2</v>
      </c>
    </row>
    <row r="5" spans="1:14" ht="15.75" x14ac:dyDescent="0.25">
      <c r="A5" s="1"/>
      <c r="B5" s="108" t="s">
        <v>721</v>
      </c>
      <c r="C5" s="162" t="s">
        <v>374</v>
      </c>
      <c r="D5" s="210">
        <v>2550634</v>
      </c>
      <c r="E5" s="162"/>
      <c r="F5" s="162"/>
      <c r="G5" s="210">
        <v>2550634</v>
      </c>
      <c r="H5" s="30"/>
      <c r="I5" s="107"/>
      <c r="J5" s="451"/>
    </row>
    <row r="6" spans="1:14" ht="15" x14ac:dyDescent="0.25">
      <c r="A6" s="1">
        <v>1</v>
      </c>
      <c r="B6" s="1" t="s">
        <v>724</v>
      </c>
      <c r="C6" s="32" t="s">
        <v>30</v>
      </c>
      <c r="D6" s="58">
        <v>4500</v>
      </c>
      <c r="E6" s="1" t="s">
        <v>80</v>
      </c>
      <c r="F6" s="1">
        <v>50.45</v>
      </c>
      <c r="G6" s="1">
        <v>4500</v>
      </c>
      <c r="H6" s="1">
        <f t="shared" ref="H6:H19" si="0">D6-G6</f>
        <v>0</v>
      </c>
      <c r="I6" s="89">
        <v>700000</v>
      </c>
      <c r="J6" s="89" t="s">
        <v>724</v>
      </c>
      <c r="K6" s="89" t="s">
        <v>725</v>
      </c>
      <c r="L6" s="89"/>
      <c r="M6" s="47"/>
      <c r="N6" s="6"/>
    </row>
    <row r="7" spans="1:14" ht="15" x14ac:dyDescent="0.25">
      <c r="A7" s="1">
        <v>2</v>
      </c>
      <c r="B7" s="1" t="s">
        <v>724</v>
      </c>
      <c r="C7" s="32" t="s">
        <v>30</v>
      </c>
      <c r="D7" s="58">
        <v>5000</v>
      </c>
      <c r="E7" s="1" t="s">
        <v>80</v>
      </c>
      <c r="F7" s="1">
        <v>55.48</v>
      </c>
      <c r="G7" s="1">
        <v>5000</v>
      </c>
      <c r="H7" s="1">
        <f t="shared" si="0"/>
        <v>0</v>
      </c>
      <c r="I7" s="89">
        <v>700000</v>
      </c>
      <c r="J7" s="89" t="s">
        <v>731</v>
      </c>
      <c r="K7" s="204" t="s">
        <v>482</v>
      </c>
      <c r="L7" s="204"/>
      <c r="M7" s="203"/>
      <c r="N7" s="6"/>
    </row>
    <row r="8" spans="1:14" ht="15" x14ac:dyDescent="0.25">
      <c r="A8" s="1">
        <v>3</v>
      </c>
      <c r="B8" s="1" t="s">
        <v>724</v>
      </c>
      <c r="C8" s="32">
        <v>6.8699999999999997E-2</v>
      </c>
      <c r="D8" s="58">
        <v>13000</v>
      </c>
      <c r="E8" s="1" t="s">
        <v>80</v>
      </c>
      <c r="F8" s="1">
        <v>144.13</v>
      </c>
      <c r="G8" s="1">
        <v>13000</v>
      </c>
      <c r="H8" s="1">
        <f t="shared" si="0"/>
        <v>0</v>
      </c>
      <c r="I8" s="89">
        <v>500000</v>
      </c>
      <c r="J8" s="89" t="s">
        <v>732</v>
      </c>
      <c r="K8" s="204" t="s">
        <v>482</v>
      </c>
      <c r="L8" s="204"/>
      <c r="M8" s="203"/>
      <c r="N8" s="6"/>
    </row>
    <row r="9" spans="1:14" ht="15" x14ac:dyDescent="0.25">
      <c r="A9" s="1">
        <v>4</v>
      </c>
      <c r="B9" s="1" t="s">
        <v>724</v>
      </c>
      <c r="C9" s="32">
        <v>9977</v>
      </c>
      <c r="D9" s="58">
        <v>14000</v>
      </c>
      <c r="E9" s="1" t="s">
        <v>80</v>
      </c>
      <c r="F9" s="1">
        <v>155.22999999999999</v>
      </c>
      <c r="G9" s="1">
        <v>14000</v>
      </c>
      <c r="H9" s="1">
        <f t="shared" si="0"/>
        <v>0</v>
      </c>
      <c r="I9" s="89">
        <v>400000</v>
      </c>
      <c r="J9" s="89" t="s">
        <v>734</v>
      </c>
      <c r="K9" s="204" t="s">
        <v>482</v>
      </c>
      <c r="L9" s="204"/>
      <c r="M9" s="203"/>
      <c r="N9" s="6"/>
    </row>
    <row r="10" spans="1:14" ht="15" x14ac:dyDescent="0.25">
      <c r="A10" s="1">
        <v>5</v>
      </c>
      <c r="B10" s="1" t="s">
        <v>724</v>
      </c>
      <c r="C10" s="32">
        <v>5968</v>
      </c>
      <c r="D10" s="58">
        <v>14000</v>
      </c>
      <c r="E10" s="1" t="s">
        <v>80</v>
      </c>
      <c r="F10" s="1">
        <v>155.22999999999999</v>
      </c>
      <c r="G10" s="1">
        <v>14000</v>
      </c>
      <c r="H10" s="1">
        <f t="shared" si="0"/>
        <v>0</v>
      </c>
      <c r="I10" s="89">
        <v>800000</v>
      </c>
      <c r="J10" s="89" t="s">
        <v>736</v>
      </c>
      <c r="K10" s="204" t="s">
        <v>482</v>
      </c>
      <c r="L10" s="204"/>
      <c r="M10" s="203"/>
      <c r="N10" s="6"/>
    </row>
    <row r="11" spans="1:14" ht="15" x14ac:dyDescent="0.25">
      <c r="A11" s="1">
        <v>6</v>
      </c>
      <c r="B11" s="1" t="s">
        <v>724</v>
      </c>
      <c r="C11" s="32">
        <v>5838</v>
      </c>
      <c r="D11" s="58">
        <v>14000</v>
      </c>
      <c r="E11" s="1" t="s">
        <v>80</v>
      </c>
      <c r="F11" s="1">
        <v>155.22999999999999</v>
      </c>
      <c r="G11" s="1">
        <v>14000</v>
      </c>
      <c r="H11" s="1">
        <f t="shared" si="0"/>
        <v>0</v>
      </c>
      <c r="I11" s="89">
        <v>400000</v>
      </c>
      <c r="J11" s="89" t="s">
        <v>738</v>
      </c>
      <c r="K11" s="204" t="s">
        <v>482</v>
      </c>
      <c r="L11" s="204"/>
      <c r="M11" s="203"/>
      <c r="N11" s="6"/>
    </row>
    <row r="12" spans="1:14" ht="15" x14ac:dyDescent="0.25">
      <c r="A12" s="1">
        <v>7</v>
      </c>
      <c r="B12" s="1" t="s">
        <v>724</v>
      </c>
      <c r="C12" s="32">
        <v>2912</v>
      </c>
      <c r="D12" s="58">
        <v>14000</v>
      </c>
      <c r="E12" s="1" t="s">
        <v>80</v>
      </c>
      <c r="F12" s="1">
        <v>155.22999999999999</v>
      </c>
      <c r="G12" s="1">
        <v>14000</v>
      </c>
      <c r="H12" s="1">
        <f t="shared" si="0"/>
        <v>0</v>
      </c>
      <c r="I12" s="89">
        <v>700000</v>
      </c>
      <c r="J12" s="89" t="s">
        <v>740</v>
      </c>
      <c r="K12" s="204" t="s">
        <v>482</v>
      </c>
      <c r="L12" s="204"/>
      <c r="M12" s="203"/>
      <c r="N12" s="6"/>
    </row>
    <row r="13" spans="1:14" ht="15" x14ac:dyDescent="0.25">
      <c r="A13" s="1">
        <v>8</v>
      </c>
      <c r="B13" s="1" t="s">
        <v>724</v>
      </c>
      <c r="C13" s="32">
        <v>2246</v>
      </c>
      <c r="D13" s="58">
        <v>13000</v>
      </c>
      <c r="E13" s="1" t="s">
        <v>80</v>
      </c>
      <c r="F13" s="1">
        <v>144.13</v>
      </c>
      <c r="G13" s="1">
        <v>13000</v>
      </c>
      <c r="H13" s="1">
        <f t="shared" si="0"/>
        <v>0</v>
      </c>
      <c r="I13" s="89">
        <v>500000</v>
      </c>
      <c r="J13" s="89" t="s">
        <v>742</v>
      </c>
      <c r="K13" s="204" t="s">
        <v>482</v>
      </c>
      <c r="L13" s="204"/>
      <c r="M13" s="203"/>
      <c r="N13" s="6"/>
    </row>
    <row r="14" spans="1:14" ht="15" x14ac:dyDescent="0.25">
      <c r="A14" s="1">
        <v>9</v>
      </c>
      <c r="B14" s="1" t="s">
        <v>724</v>
      </c>
      <c r="C14" s="32">
        <v>1446</v>
      </c>
      <c r="D14" s="58">
        <v>13000</v>
      </c>
      <c r="E14" s="1" t="s">
        <v>80</v>
      </c>
      <c r="F14" s="1">
        <v>144.13</v>
      </c>
      <c r="G14" s="1">
        <v>13000</v>
      </c>
      <c r="H14" s="1">
        <f t="shared" si="0"/>
        <v>0</v>
      </c>
      <c r="I14" s="89">
        <v>300000</v>
      </c>
      <c r="J14" s="89" t="s">
        <v>743</v>
      </c>
      <c r="K14" s="204" t="s">
        <v>482</v>
      </c>
      <c r="L14" s="204"/>
      <c r="M14" s="203"/>
      <c r="N14" s="6"/>
    </row>
    <row r="15" spans="1:14" ht="15" x14ac:dyDescent="0.25">
      <c r="A15" s="1">
        <v>10</v>
      </c>
      <c r="B15" s="1" t="s">
        <v>724</v>
      </c>
      <c r="C15" s="32">
        <v>4019</v>
      </c>
      <c r="D15" s="58">
        <v>16000</v>
      </c>
      <c r="E15" s="1" t="s">
        <v>80</v>
      </c>
      <c r="F15" s="1">
        <v>178.22</v>
      </c>
      <c r="G15" s="1">
        <v>16000</v>
      </c>
      <c r="H15" s="1">
        <f t="shared" si="0"/>
        <v>0</v>
      </c>
      <c r="I15" s="89">
        <v>600000</v>
      </c>
      <c r="J15" s="89" t="s">
        <v>744</v>
      </c>
      <c r="K15" s="204" t="s">
        <v>482</v>
      </c>
      <c r="L15" s="204"/>
      <c r="M15" s="203"/>
      <c r="N15" s="6"/>
    </row>
    <row r="16" spans="1:14" ht="15" x14ac:dyDescent="0.25">
      <c r="A16" s="1">
        <v>11</v>
      </c>
      <c r="B16" s="1" t="s">
        <v>724</v>
      </c>
      <c r="C16" s="85">
        <v>6.4699999999999994E-2</v>
      </c>
      <c r="D16" s="58">
        <v>13500</v>
      </c>
      <c r="E16" s="1" t="s">
        <v>80</v>
      </c>
      <c r="F16" s="1">
        <v>148.57</v>
      </c>
      <c r="G16" s="1">
        <v>13500</v>
      </c>
      <c r="H16" s="1">
        <f t="shared" si="0"/>
        <v>0</v>
      </c>
      <c r="I16" s="89">
        <v>700000</v>
      </c>
      <c r="J16" s="89" t="s">
        <v>745</v>
      </c>
      <c r="K16" s="204" t="s">
        <v>482</v>
      </c>
      <c r="L16" s="204"/>
      <c r="M16" s="203"/>
      <c r="N16" s="6"/>
    </row>
    <row r="17" spans="1:15" ht="15" x14ac:dyDescent="0.25">
      <c r="A17" s="1">
        <v>12</v>
      </c>
      <c r="B17" s="1" t="s">
        <v>724</v>
      </c>
      <c r="C17" s="32">
        <v>6847</v>
      </c>
      <c r="D17" s="58">
        <v>13500</v>
      </c>
      <c r="E17" s="1" t="s">
        <v>80</v>
      </c>
      <c r="F17" s="1">
        <v>148.57</v>
      </c>
      <c r="G17" s="1">
        <v>13500</v>
      </c>
      <c r="H17" s="1">
        <f t="shared" si="0"/>
        <v>0</v>
      </c>
      <c r="I17" s="89">
        <v>700000</v>
      </c>
      <c r="J17" s="89" t="s">
        <v>746</v>
      </c>
      <c r="K17" s="204" t="s">
        <v>482</v>
      </c>
      <c r="L17" s="204"/>
      <c r="M17" s="203"/>
      <c r="N17" s="6"/>
    </row>
    <row r="18" spans="1:15" ht="15" x14ac:dyDescent="0.25">
      <c r="A18" s="1">
        <v>13</v>
      </c>
      <c r="B18" s="1" t="s">
        <v>724</v>
      </c>
      <c r="C18" s="32">
        <v>8602</v>
      </c>
      <c r="D18" s="58">
        <v>30000</v>
      </c>
      <c r="E18" s="1" t="s">
        <v>80</v>
      </c>
      <c r="F18" s="1">
        <v>334.82</v>
      </c>
      <c r="G18" s="1">
        <v>30000</v>
      </c>
      <c r="H18" s="1">
        <f t="shared" si="0"/>
        <v>0</v>
      </c>
      <c r="I18" s="89">
        <v>600000</v>
      </c>
      <c r="J18" s="89" t="s">
        <v>747</v>
      </c>
      <c r="K18" s="204" t="s">
        <v>482</v>
      </c>
      <c r="L18" s="204"/>
      <c r="M18" s="203"/>
      <c r="N18" s="6"/>
    </row>
    <row r="19" spans="1:15" ht="15" x14ac:dyDescent="0.25">
      <c r="A19" s="1">
        <v>14</v>
      </c>
      <c r="B19" s="1" t="s">
        <v>724</v>
      </c>
      <c r="C19" s="32">
        <v>2.3999999999999998E-3</v>
      </c>
      <c r="D19" s="58">
        <v>30000</v>
      </c>
      <c r="E19" s="1" t="s">
        <v>80</v>
      </c>
      <c r="F19" s="1">
        <v>334.82</v>
      </c>
      <c r="G19" s="1">
        <v>30000</v>
      </c>
      <c r="H19" s="1">
        <f t="shared" si="0"/>
        <v>0</v>
      </c>
      <c r="I19" s="89">
        <v>300000</v>
      </c>
      <c r="J19" s="89" t="s">
        <v>750</v>
      </c>
      <c r="K19" s="89" t="s">
        <v>725</v>
      </c>
      <c r="L19" s="89"/>
      <c r="M19" s="47"/>
      <c r="N19" s="6"/>
    </row>
    <row r="20" spans="1:15" ht="15" x14ac:dyDescent="0.25">
      <c r="A20" s="1">
        <v>15</v>
      </c>
      <c r="B20" s="1" t="s">
        <v>724</v>
      </c>
      <c r="C20" s="32">
        <v>3222</v>
      </c>
      <c r="D20" s="58">
        <v>30000</v>
      </c>
      <c r="E20" s="1" t="s">
        <v>80</v>
      </c>
      <c r="F20" s="1">
        <v>334.82</v>
      </c>
      <c r="G20" s="1">
        <v>30000</v>
      </c>
      <c r="H20" s="1">
        <f>D20-G20</f>
        <v>0</v>
      </c>
      <c r="I20" s="467">
        <v>100000</v>
      </c>
      <c r="J20" s="467" t="s">
        <v>750</v>
      </c>
      <c r="K20" s="467" t="s">
        <v>751</v>
      </c>
      <c r="L20" s="467"/>
      <c r="M20" s="468"/>
      <c r="N20" s="469"/>
      <c r="O20" s="412" t="s">
        <v>750</v>
      </c>
    </row>
    <row r="21" spans="1:15" ht="15" x14ac:dyDescent="0.25">
      <c r="A21" s="1">
        <v>16</v>
      </c>
      <c r="B21" s="1" t="s">
        <v>724</v>
      </c>
      <c r="C21" s="32">
        <v>5888</v>
      </c>
      <c r="D21" s="58">
        <v>18000</v>
      </c>
      <c r="E21" s="1" t="s">
        <v>80</v>
      </c>
      <c r="F21" s="1">
        <v>200.18</v>
      </c>
      <c r="G21" s="1">
        <v>18000</v>
      </c>
      <c r="H21" s="1">
        <f t="shared" ref="H21:H84" si="1">D21-G21</f>
        <v>0</v>
      </c>
      <c r="I21" s="89">
        <v>200000</v>
      </c>
      <c r="J21" s="89" t="s">
        <v>752</v>
      </c>
      <c r="K21" s="204" t="s">
        <v>482</v>
      </c>
      <c r="L21" s="204"/>
      <c r="M21" s="203"/>
      <c r="N21" s="6"/>
    </row>
    <row r="22" spans="1:15" ht="15.75" x14ac:dyDescent="0.25">
      <c r="A22" s="1">
        <v>17</v>
      </c>
      <c r="B22" s="1" t="s">
        <v>724</v>
      </c>
      <c r="C22" s="32">
        <v>6333</v>
      </c>
      <c r="D22" s="58">
        <v>18000</v>
      </c>
      <c r="E22" s="1" t="s">
        <v>80</v>
      </c>
      <c r="F22" s="1">
        <v>200.18</v>
      </c>
      <c r="G22" s="1">
        <v>18000</v>
      </c>
      <c r="H22" s="1">
        <f t="shared" si="1"/>
        <v>0</v>
      </c>
      <c r="I22" s="217">
        <v>109000</v>
      </c>
      <c r="J22" s="217" t="s">
        <v>753</v>
      </c>
      <c r="K22" s="218" t="s">
        <v>754</v>
      </c>
      <c r="L22" s="218"/>
      <c r="M22" s="218"/>
      <c r="N22" s="218"/>
    </row>
    <row r="23" spans="1:15" ht="15.75" x14ac:dyDescent="0.25">
      <c r="A23" s="1">
        <v>18</v>
      </c>
      <c r="B23" s="1" t="s">
        <v>724</v>
      </c>
      <c r="C23" s="32">
        <v>1889</v>
      </c>
      <c r="D23" s="58">
        <v>20000</v>
      </c>
      <c r="E23" s="1" t="s">
        <v>80</v>
      </c>
      <c r="F23" s="1">
        <v>222.82</v>
      </c>
      <c r="G23" s="1">
        <v>20000</v>
      </c>
      <c r="H23" s="1">
        <f t="shared" si="1"/>
        <v>0</v>
      </c>
      <c r="I23" s="217">
        <v>97200</v>
      </c>
      <c r="J23" s="217" t="s">
        <v>753</v>
      </c>
      <c r="K23" s="218" t="s">
        <v>755</v>
      </c>
      <c r="L23" s="218"/>
      <c r="M23" s="218"/>
      <c r="N23" s="218"/>
    </row>
    <row r="24" spans="1:15" ht="15" x14ac:dyDescent="0.25">
      <c r="A24" s="1">
        <v>19</v>
      </c>
      <c r="B24" s="1" t="s">
        <v>724</v>
      </c>
      <c r="C24" s="32">
        <v>3405</v>
      </c>
      <c r="D24" s="58">
        <v>20000</v>
      </c>
      <c r="E24" s="1" t="s">
        <v>80</v>
      </c>
      <c r="F24" s="1">
        <v>222.82</v>
      </c>
      <c r="G24" s="1">
        <v>20000</v>
      </c>
      <c r="H24" s="1">
        <f t="shared" si="1"/>
        <v>0</v>
      </c>
      <c r="I24" s="89">
        <v>300000</v>
      </c>
      <c r="J24" s="89" t="s">
        <v>753</v>
      </c>
      <c r="K24" s="204" t="s">
        <v>482</v>
      </c>
      <c r="L24" s="204"/>
      <c r="M24" s="203"/>
      <c r="N24" s="6"/>
    </row>
    <row r="25" spans="1:15" ht="15" x14ac:dyDescent="0.25">
      <c r="A25" s="1">
        <v>20</v>
      </c>
      <c r="B25" s="1" t="s">
        <v>724</v>
      </c>
      <c r="C25" s="32">
        <v>3992</v>
      </c>
      <c r="D25" s="58">
        <v>20000</v>
      </c>
      <c r="E25" s="1" t="s">
        <v>80</v>
      </c>
      <c r="F25" s="1">
        <v>222.82</v>
      </c>
      <c r="G25" s="1">
        <v>20000</v>
      </c>
      <c r="H25" s="1">
        <f t="shared" si="1"/>
        <v>0</v>
      </c>
      <c r="I25" s="89">
        <v>300000</v>
      </c>
      <c r="J25" s="89" t="s">
        <v>757</v>
      </c>
      <c r="K25" s="204" t="s">
        <v>482</v>
      </c>
      <c r="L25" s="204"/>
      <c r="M25" s="203"/>
      <c r="N25" s="6"/>
    </row>
    <row r="26" spans="1:15" ht="15" x14ac:dyDescent="0.25">
      <c r="A26" s="1">
        <v>21</v>
      </c>
      <c r="B26" s="1" t="s">
        <v>724</v>
      </c>
      <c r="C26" s="32">
        <v>9330</v>
      </c>
      <c r="D26" s="58">
        <v>29000</v>
      </c>
      <c r="E26" s="1" t="s">
        <v>80</v>
      </c>
      <c r="F26" s="1">
        <v>323.67</v>
      </c>
      <c r="G26" s="1">
        <v>29000</v>
      </c>
      <c r="H26" s="1">
        <f t="shared" si="1"/>
        <v>0</v>
      </c>
      <c r="I26" s="89">
        <v>600000</v>
      </c>
      <c r="J26" s="89" t="s">
        <v>758</v>
      </c>
      <c r="K26" s="204" t="s">
        <v>482</v>
      </c>
      <c r="L26" s="204"/>
      <c r="M26" s="203"/>
      <c r="N26" s="6"/>
    </row>
    <row r="27" spans="1:15" ht="15" x14ac:dyDescent="0.25">
      <c r="A27" s="1">
        <v>22</v>
      </c>
      <c r="B27" s="1" t="s">
        <v>724</v>
      </c>
      <c r="C27" s="32">
        <v>8532</v>
      </c>
      <c r="D27" s="58">
        <v>15000</v>
      </c>
      <c r="E27" s="1" t="s">
        <v>80</v>
      </c>
      <c r="F27" s="1">
        <v>167.15</v>
      </c>
      <c r="G27" s="1">
        <v>15000</v>
      </c>
      <c r="H27" s="1">
        <f t="shared" si="1"/>
        <v>0</v>
      </c>
      <c r="I27" s="89">
        <v>600000</v>
      </c>
      <c r="J27" s="89" t="s">
        <v>764</v>
      </c>
      <c r="K27" s="89" t="s">
        <v>765</v>
      </c>
      <c r="L27" s="89"/>
      <c r="M27" s="47"/>
      <c r="N27" s="6"/>
    </row>
    <row r="28" spans="1:15" ht="15" x14ac:dyDescent="0.25">
      <c r="A28" s="1">
        <v>23</v>
      </c>
      <c r="B28" s="1" t="s">
        <v>724</v>
      </c>
      <c r="C28" s="32">
        <v>4350</v>
      </c>
      <c r="D28" s="58">
        <v>18000</v>
      </c>
      <c r="E28" s="1" t="s">
        <v>80</v>
      </c>
      <c r="F28" s="1">
        <v>194.64</v>
      </c>
      <c r="G28" s="1">
        <v>18000</v>
      </c>
      <c r="H28" s="1">
        <f t="shared" si="1"/>
        <v>0</v>
      </c>
      <c r="I28" s="89">
        <v>200000</v>
      </c>
      <c r="J28" s="89" t="s">
        <v>766</v>
      </c>
      <c r="K28" s="204" t="s">
        <v>482</v>
      </c>
      <c r="L28" s="204"/>
      <c r="M28" s="203"/>
      <c r="N28" s="6"/>
    </row>
    <row r="29" spans="1:15" ht="15" x14ac:dyDescent="0.25">
      <c r="A29" s="1">
        <v>24</v>
      </c>
      <c r="B29" s="1" t="s">
        <v>724</v>
      </c>
      <c r="C29" s="32">
        <v>5909</v>
      </c>
      <c r="D29" s="58">
        <v>19000</v>
      </c>
      <c r="E29" s="1" t="s">
        <v>80</v>
      </c>
      <c r="F29" s="1">
        <v>211.37</v>
      </c>
      <c r="G29" s="1">
        <v>19000</v>
      </c>
      <c r="H29" s="1">
        <f t="shared" si="1"/>
        <v>0</v>
      </c>
      <c r="I29" s="89">
        <v>600000</v>
      </c>
      <c r="J29" s="89" t="s">
        <v>767</v>
      </c>
      <c r="K29" s="204" t="s">
        <v>482</v>
      </c>
      <c r="L29" s="204"/>
      <c r="M29" s="203"/>
      <c r="N29" s="6"/>
    </row>
    <row r="30" spans="1:15" ht="15" x14ac:dyDescent="0.25">
      <c r="A30" s="1">
        <v>25</v>
      </c>
      <c r="B30" s="1" t="s">
        <v>726</v>
      </c>
      <c r="C30" s="32">
        <v>4092</v>
      </c>
      <c r="D30" s="58">
        <v>13000</v>
      </c>
      <c r="E30" s="1" t="s">
        <v>80</v>
      </c>
      <c r="F30" s="1">
        <v>144.13</v>
      </c>
      <c r="G30" s="1">
        <v>13000</v>
      </c>
      <c r="H30" s="1">
        <f t="shared" si="1"/>
        <v>0</v>
      </c>
      <c r="I30" s="89">
        <v>600000</v>
      </c>
      <c r="J30" s="89" t="s">
        <v>768</v>
      </c>
      <c r="K30" s="204" t="s">
        <v>482</v>
      </c>
      <c r="L30" s="204"/>
      <c r="M30" s="203"/>
      <c r="N30" s="6"/>
    </row>
    <row r="31" spans="1:15" ht="15" x14ac:dyDescent="0.25">
      <c r="A31" s="1">
        <v>26</v>
      </c>
      <c r="B31" s="1" t="s">
        <v>726</v>
      </c>
      <c r="C31" s="32" t="s">
        <v>727</v>
      </c>
      <c r="D31" s="58">
        <v>3000</v>
      </c>
      <c r="E31" s="1" t="s">
        <v>80</v>
      </c>
      <c r="F31" s="1">
        <v>33.450000000000003</v>
      </c>
      <c r="G31" s="1">
        <v>3000</v>
      </c>
      <c r="H31" s="1">
        <f t="shared" si="1"/>
        <v>0</v>
      </c>
      <c r="I31" s="89">
        <v>600000</v>
      </c>
      <c r="J31" s="89" t="s">
        <v>769</v>
      </c>
      <c r="K31" s="204" t="s">
        <v>482</v>
      </c>
      <c r="L31" s="204"/>
      <c r="M31" s="203"/>
      <c r="N31" s="6"/>
    </row>
    <row r="32" spans="1:15" ht="15" x14ac:dyDescent="0.25">
      <c r="A32" s="1">
        <v>27</v>
      </c>
      <c r="B32" s="1" t="s">
        <v>726</v>
      </c>
      <c r="C32" s="32">
        <v>5137</v>
      </c>
      <c r="D32" s="58">
        <v>15000</v>
      </c>
      <c r="E32" s="1" t="s">
        <v>80</v>
      </c>
      <c r="F32" s="1">
        <v>167.15</v>
      </c>
      <c r="G32" s="1">
        <v>15000</v>
      </c>
      <c r="H32" s="1">
        <f t="shared" si="1"/>
        <v>0</v>
      </c>
      <c r="I32" s="89">
        <v>400000</v>
      </c>
      <c r="J32" s="89" t="s">
        <v>773</v>
      </c>
      <c r="K32" s="204" t="s">
        <v>482</v>
      </c>
      <c r="L32" s="204"/>
      <c r="M32" s="203"/>
      <c r="N32" s="6"/>
    </row>
    <row r="33" spans="1:14" ht="15" x14ac:dyDescent="0.25">
      <c r="A33" s="1">
        <v>28</v>
      </c>
      <c r="B33" s="1" t="s">
        <v>726</v>
      </c>
      <c r="C33" s="32">
        <v>2496</v>
      </c>
      <c r="D33" s="58">
        <v>13000</v>
      </c>
      <c r="E33" s="1" t="s">
        <v>80</v>
      </c>
      <c r="F33" s="1">
        <v>144.13</v>
      </c>
      <c r="G33" s="1">
        <v>13000</v>
      </c>
      <c r="H33" s="1">
        <f t="shared" si="1"/>
        <v>0</v>
      </c>
      <c r="I33" s="89"/>
      <c r="J33" s="89"/>
      <c r="K33" s="204" t="s">
        <v>482</v>
      </c>
      <c r="L33" s="204"/>
      <c r="M33" s="203"/>
      <c r="N33" s="6"/>
    </row>
    <row r="34" spans="1:14" ht="15" x14ac:dyDescent="0.25">
      <c r="A34" s="1">
        <v>29</v>
      </c>
      <c r="B34" s="1" t="s">
        <v>726</v>
      </c>
      <c r="C34" s="32">
        <v>5504</v>
      </c>
      <c r="D34" s="58">
        <v>17000</v>
      </c>
      <c r="E34" s="1" t="s">
        <v>80</v>
      </c>
      <c r="F34" s="1">
        <v>189.37</v>
      </c>
      <c r="G34" s="1">
        <v>17000</v>
      </c>
      <c r="H34" s="1">
        <f t="shared" si="1"/>
        <v>0</v>
      </c>
      <c r="I34" s="89"/>
      <c r="J34" s="89"/>
      <c r="K34" s="204"/>
      <c r="L34" s="204"/>
      <c r="M34" s="203"/>
      <c r="N34" s="6"/>
    </row>
    <row r="35" spans="1:14" ht="15" x14ac:dyDescent="0.25">
      <c r="A35" s="1">
        <v>30</v>
      </c>
      <c r="B35" s="1" t="s">
        <v>726</v>
      </c>
      <c r="C35" s="32">
        <v>2354</v>
      </c>
      <c r="D35" s="58">
        <v>17000</v>
      </c>
      <c r="E35" s="1" t="s">
        <v>80</v>
      </c>
      <c r="F35" s="1">
        <v>189.37</v>
      </c>
      <c r="G35" s="1">
        <v>17000</v>
      </c>
      <c r="H35" s="1">
        <f t="shared" si="1"/>
        <v>0</v>
      </c>
      <c r="I35" s="89"/>
      <c r="J35" s="89"/>
      <c r="K35" s="89"/>
      <c r="L35" s="89"/>
      <c r="M35" s="47"/>
      <c r="N35" s="6"/>
    </row>
    <row r="36" spans="1:14" ht="15" x14ac:dyDescent="0.25">
      <c r="A36" s="1">
        <v>31</v>
      </c>
      <c r="B36" s="1" t="s">
        <v>726</v>
      </c>
      <c r="C36" s="32">
        <v>7345</v>
      </c>
      <c r="D36" s="58">
        <v>13000</v>
      </c>
      <c r="E36" s="1" t="s">
        <v>80</v>
      </c>
      <c r="F36" s="1">
        <v>144.13</v>
      </c>
      <c r="G36" s="1">
        <v>13000</v>
      </c>
      <c r="H36" s="1">
        <f t="shared" si="1"/>
        <v>0</v>
      </c>
      <c r="I36" s="89"/>
      <c r="J36" s="89"/>
      <c r="K36" s="89"/>
      <c r="L36" s="89"/>
      <c r="M36" s="47"/>
      <c r="N36" s="6"/>
    </row>
    <row r="37" spans="1:14" ht="15" x14ac:dyDescent="0.25">
      <c r="A37" s="1">
        <v>32</v>
      </c>
      <c r="B37" s="1" t="s">
        <v>726</v>
      </c>
      <c r="C37" s="32">
        <v>2067</v>
      </c>
      <c r="D37" s="58">
        <v>14000</v>
      </c>
      <c r="E37" s="1" t="s">
        <v>80</v>
      </c>
      <c r="F37" s="1">
        <v>155.28</v>
      </c>
      <c r="G37" s="1">
        <v>14000</v>
      </c>
      <c r="H37" s="1">
        <f t="shared" si="1"/>
        <v>0</v>
      </c>
      <c r="I37" s="89"/>
      <c r="J37" s="89"/>
      <c r="K37" s="89"/>
      <c r="L37" s="89"/>
      <c r="M37" s="47"/>
      <c r="N37" s="6"/>
    </row>
    <row r="38" spans="1:14" ht="15" x14ac:dyDescent="0.25">
      <c r="A38" s="1">
        <v>33</v>
      </c>
      <c r="B38" s="1" t="s">
        <v>726</v>
      </c>
      <c r="C38" s="32" t="s">
        <v>633</v>
      </c>
      <c r="D38" s="58">
        <v>210</v>
      </c>
      <c r="E38" s="1" t="s">
        <v>80</v>
      </c>
      <c r="F38" s="1">
        <v>2.08</v>
      </c>
      <c r="G38" s="1">
        <v>210</v>
      </c>
      <c r="H38" s="1">
        <f t="shared" si="1"/>
        <v>0</v>
      </c>
      <c r="I38" s="89"/>
      <c r="J38" s="89"/>
      <c r="K38" s="89"/>
      <c r="L38" s="89"/>
      <c r="M38" s="47"/>
      <c r="N38" s="6"/>
    </row>
    <row r="39" spans="1:14" ht="15" x14ac:dyDescent="0.25">
      <c r="A39" s="1">
        <v>34</v>
      </c>
      <c r="B39" s="1" t="s">
        <v>726</v>
      </c>
      <c r="C39" s="32" t="s">
        <v>30</v>
      </c>
      <c r="D39" s="58">
        <v>4500</v>
      </c>
      <c r="E39" s="1" t="s">
        <v>80</v>
      </c>
      <c r="F39" s="1">
        <v>50.45</v>
      </c>
      <c r="G39" s="1">
        <v>4500</v>
      </c>
      <c r="H39" s="1">
        <f t="shared" si="1"/>
        <v>0</v>
      </c>
      <c r="I39" s="89"/>
      <c r="J39" s="89"/>
      <c r="K39" s="89"/>
      <c r="L39" s="89"/>
      <c r="M39" s="47"/>
      <c r="N39" s="6"/>
    </row>
    <row r="40" spans="1:14" ht="15" x14ac:dyDescent="0.25">
      <c r="A40" s="1">
        <v>35</v>
      </c>
      <c r="B40" s="1" t="s">
        <v>726</v>
      </c>
      <c r="C40" s="32">
        <v>4077</v>
      </c>
      <c r="D40" s="58">
        <v>15000</v>
      </c>
      <c r="E40" s="1" t="s">
        <v>80</v>
      </c>
      <c r="F40" s="1">
        <v>167.15</v>
      </c>
      <c r="G40" s="1">
        <v>15000</v>
      </c>
      <c r="H40" s="1">
        <f t="shared" si="1"/>
        <v>0</v>
      </c>
      <c r="I40" s="89"/>
      <c r="J40" s="89"/>
      <c r="K40" s="89"/>
      <c r="L40" s="89"/>
      <c r="M40" s="47"/>
      <c r="N40" s="6"/>
    </row>
    <row r="41" spans="1:14" ht="15" x14ac:dyDescent="0.25">
      <c r="A41" s="1">
        <v>36</v>
      </c>
      <c r="B41" s="1" t="s">
        <v>726</v>
      </c>
      <c r="C41" s="32">
        <v>3873</v>
      </c>
      <c r="D41" s="58">
        <v>12000</v>
      </c>
      <c r="E41" s="1" t="s">
        <v>80</v>
      </c>
      <c r="F41" s="1">
        <v>133.44999999999999</v>
      </c>
      <c r="G41" s="1">
        <v>12000</v>
      </c>
      <c r="H41" s="1">
        <f t="shared" si="1"/>
        <v>0</v>
      </c>
      <c r="I41" s="89"/>
      <c r="J41" s="89"/>
      <c r="K41" s="89"/>
      <c r="L41" s="89"/>
      <c r="M41" s="47"/>
      <c r="N41" s="6"/>
    </row>
    <row r="42" spans="1:14" ht="15" x14ac:dyDescent="0.25">
      <c r="A42" s="1">
        <v>37</v>
      </c>
      <c r="B42" s="1" t="s">
        <v>726</v>
      </c>
      <c r="C42" s="32">
        <v>1194</v>
      </c>
      <c r="D42" s="58">
        <v>20000</v>
      </c>
      <c r="E42" s="1" t="s">
        <v>80</v>
      </c>
      <c r="F42" s="1">
        <v>222.82</v>
      </c>
      <c r="G42" s="1">
        <v>20000</v>
      </c>
      <c r="H42" s="1">
        <f t="shared" si="1"/>
        <v>0</v>
      </c>
      <c r="I42" s="89"/>
      <c r="J42" s="89"/>
      <c r="K42" s="89"/>
      <c r="L42" s="89"/>
      <c r="M42" s="47"/>
      <c r="N42" s="6"/>
    </row>
    <row r="43" spans="1:14" ht="15" x14ac:dyDescent="0.25">
      <c r="A43" s="1">
        <v>38</v>
      </c>
      <c r="B43" s="1" t="s">
        <v>726</v>
      </c>
      <c r="C43" s="32">
        <v>6050</v>
      </c>
      <c r="D43" s="58">
        <v>26000</v>
      </c>
      <c r="E43" s="1" t="s">
        <v>80</v>
      </c>
      <c r="F43" s="1">
        <v>289.67</v>
      </c>
      <c r="G43" s="1">
        <v>26000</v>
      </c>
      <c r="H43" s="1">
        <f t="shared" si="1"/>
        <v>0</v>
      </c>
      <c r="I43" s="89"/>
      <c r="J43" s="89"/>
      <c r="K43" s="89"/>
      <c r="L43" s="89"/>
      <c r="M43" s="47"/>
      <c r="N43" s="6"/>
    </row>
    <row r="44" spans="1:14" ht="15" x14ac:dyDescent="0.25">
      <c r="A44" s="1">
        <v>39</v>
      </c>
      <c r="B44" s="1" t="s">
        <v>726</v>
      </c>
      <c r="C44" s="32">
        <v>3790</v>
      </c>
      <c r="D44" s="58">
        <v>20000</v>
      </c>
      <c r="E44" s="1" t="s">
        <v>80</v>
      </c>
      <c r="F44" s="1">
        <v>222.82</v>
      </c>
      <c r="G44" s="1">
        <v>20000</v>
      </c>
      <c r="H44" s="1">
        <f t="shared" si="1"/>
        <v>0</v>
      </c>
      <c r="I44" s="89"/>
      <c r="J44" s="89"/>
      <c r="K44" s="89"/>
      <c r="L44" s="89"/>
      <c r="M44" s="47"/>
      <c r="N44" s="6"/>
    </row>
    <row r="45" spans="1:14" ht="15" x14ac:dyDescent="0.25">
      <c r="A45" s="1">
        <v>40</v>
      </c>
      <c r="B45" s="1" t="s">
        <v>726</v>
      </c>
      <c r="C45" s="32">
        <v>7517</v>
      </c>
      <c r="D45" s="58">
        <v>18000</v>
      </c>
      <c r="E45" s="1" t="s">
        <v>80</v>
      </c>
      <c r="F45" s="1">
        <v>200.18</v>
      </c>
      <c r="G45" s="1">
        <v>18000</v>
      </c>
      <c r="H45" s="1">
        <f t="shared" si="1"/>
        <v>0</v>
      </c>
      <c r="I45" s="89"/>
      <c r="J45" s="89"/>
      <c r="K45" s="89"/>
      <c r="L45" s="89"/>
      <c r="M45" s="47"/>
      <c r="N45" s="6"/>
    </row>
    <row r="46" spans="1:14" ht="15" x14ac:dyDescent="0.25">
      <c r="A46" s="1">
        <v>41</v>
      </c>
      <c r="B46" s="1" t="s">
        <v>726</v>
      </c>
      <c r="C46" s="32">
        <v>2984</v>
      </c>
      <c r="D46" s="58">
        <v>13000</v>
      </c>
      <c r="E46" s="1" t="s">
        <v>80</v>
      </c>
      <c r="F46" s="1">
        <v>144.13</v>
      </c>
      <c r="G46" s="1">
        <v>13000</v>
      </c>
      <c r="H46" s="1">
        <f t="shared" si="1"/>
        <v>0</v>
      </c>
      <c r="I46" s="89"/>
      <c r="J46" s="89"/>
      <c r="K46" s="89"/>
      <c r="L46" s="89"/>
      <c r="M46" s="47"/>
      <c r="N46" s="6"/>
    </row>
    <row r="47" spans="1:14" ht="15" x14ac:dyDescent="0.25">
      <c r="A47" s="1">
        <v>42</v>
      </c>
      <c r="B47" s="1" t="s">
        <v>726</v>
      </c>
      <c r="C47" s="32">
        <v>9976</v>
      </c>
      <c r="D47" s="58">
        <v>20000</v>
      </c>
      <c r="E47" s="1" t="s">
        <v>80</v>
      </c>
      <c r="F47" s="1">
        <v>222.82</v>
      </c>
      <c r="G47" s="1">
        <v>20000</v>
      </c>
      <c r="H47" s="1">
        <f t="shared" si="1"/>
        <v>0</v>
      </c>
      <c r="I47" s="89"/>
      <c r="J47" s="89"/>
      <c r="K47" s="89"/>
      <c r="L47" s="89"/>
      <c r="M47" s="47"/>
      <c r="N47" s="6"/>
    </row>
    <row r="48" spans="1:14" ht="15" x14ac:dyDescent="0.25">
      <c r="A48" s="1">
        <v>43</v>
      </c>
      <c r="B48" s="1" t="s">
        <v>726</v>
      </c>
      <c r="C48" s="32">
        <v>4683</v>
      </c>
      <c r="D48" s="58">
        <v>20000</v>
      </c>
      <c r="E48" s="1" t="s">
        <v>80</v>
      </c>
      <c r="F48" s="1">
        <v>222.82</v>
      </c>
      <c r="G48" s="1">
        <v>20000</v>
      </c>
      <c r="H48" s="1">
        <f t="shared" si="1"/>
        <v>0</v>
      </c>
      <c r="I48" s="89"/>
      <c r="J48" s="89"/>
      <c r="K48" s="89"/>
      <c r="L48" s="89"/>
      <c r="M48" s="47"/>
      <c r="N48" s="6"/>
    </row>
    <row r="49" spans="1:18" ht="15" x14ac:dyDescent="0.25">
      <c r="A49" s="1">
        <v>44</v>
      </c>
      <c r="B49" s="1" t="s">
        <v>726</v>
      </c>
      <c r="C49" s="32">
        <v>3477</v>
      </c>
      <c r="D49" s="58">
        <v>20000</v>
      </c>
      <c r="E49" s="1" t="s">
        <v>80</v>
      </c>
      <c r="F49" s="1">
        <v>222.82</v>
      </c>
      <c r="G49" s="1">
        <v>20000</v>
      </c>
      <c r="H49" s="1">
        <f t="shared" si="1"/>
        <v>0</v>
      </c>
      <c r="I49" s="89"/>
      <c r="J49" s="89"/>
      <c r="K49" s="89"/>
      <c r="L49" s="89"/>
      <c r="M49" s="47"/>
      <c r="N49" s="6"/>
    </row>
    <row r="50" spans="1:18" ht="15" x14ac:dyDescent="0.25">
      <c r="A50" s="1">
        <v>45</v>
      </c>
      <c r="B50" s="1" t="s">
        <v>726</v>
      </c>
      <c r="C50" s="85">
        <v>7878</v>
      </c>
      <c r="D50" s="58">
        <v>20000</v>
      </c>
      <c r="E50" s="70" t="s">
        <v>80</v>
      </c>
      <c r="F50" s="70">
        <v>222.82</v>
      </c>
      <c r="G50" s="70">
        <v>20000</v>
      </c>
      <c r="H50" s="70">
        <f t="shared" si="1"/>
        <v>0</v>
      </c>
      <c r="I50" s="89"/>
      <c r="J50" s="89"/>
      <c r="K50" s="89"/>
      <c r="L50" s="89"/>
      <c r="M50" s="47"/>
      <c r="N50" s="6"/>
    </row>
    <row r="51" spans="1:18" ht="15" x14ac:dyDescent="0.25">
      <c r="A51" s="1">
        <v>46</v>
      </c>
      <c r="B51" s="1" t="s">
        <v>726</v>
      </c>
      <c r="C51" s="32">
        <v>1412</v>
      </c>
      <c r="D51" s="58">
        <v>20000</v>
      </c>
      <c r="E51" s="1" t="s">
        <v>80</v>
      </c>
      <c r="F51" s="1">
        <v>222.82</v>
      </c>
      <c r="G51" s="1">
        <v>20000</v>
      </c>
      <c r="H51" s="1">
        <f t="shared" si="1"/>
        <v>0</v>
      </c>
      <c r="I51" s="89"/>
      <c r="J51" s="89"/>
      <c r="K51" s="89"/>
      <c r="L51" s="89"/>
      <c r="M51" s="47"/>
      <c r="N51" s="6"/>
    </row>
    <row r="52" spans="1:18" ht="15" x14ac:dyDescent="0.25">
      <c r="A52" s="1">
        <v>47</v>
      </c>
      <c r="B52" s="1" t="s">
        <v>726</v>
      </c>
      <c r="C52" s="32">
        <v>3922</v>
      </c>
      <c r="D52" s="58">
        <v>25000</v>
      </c>
      <c r="E52" s="1" t="s">
        <v>80</v>
      </c>
      <c r="F52" s="1">
        <v>278.22000000000003</v>
      </c>
      <c r="G52" s="1">
        <v>25000</v>
      </c>
      <c r="H52" s="1">
        <f t="shared" si="1"/>
        <v>0</v>
      </c>
      <c r="I52" s="89"/>
      <c r="J52" s="89"/>
      <c r="K52" s="89"/>
      <c r="L52" s="89"/>
      <c r="M52" s="47"/>
      <c r="N52" s="6"/>
    </row>
    <row r="53" spans="1:18" ht="15.75" thickBot="1" x14ac:dyDescent="0.3">
      <c r="A53" s="1">
        <v>48</v>
      </c>
      <c r="B53" s="1" t="s">
        <v>726</v>
      </c>
      <c r="C53" s="32">
        <v>9261</v>
      </c>
      <c r="D53" s="58">
        <v>20000</v>
      </c>
      <c r="E53" s="1" t="s">
        <v>80</v>
      </c>
      <c r="F53" s="1">
        <v>222.82</v>
      </c>
      <c r="G53" s="1">
        <v>20000</v>
      </c>
      <c r="H53" s="1">
        <f t="shared" si="1"/>
        <v>0</v>
      </c>
      <c r="I53" s="89"/>
      <c r="J53" s="89"/>
      <c r="K53" s="89"/>
      <c r="L53" s="89"/>
      <c r="M53" s="47"/>
      <c r="N53" s="6"/>
    </row>
    <row r="54" spans="1:18" ht="15.75" thickBot="1" x14ac:dyDescent="0.3">
      <c r="A54" s="1">
        <v>49</v>
      </c>
      <c r="B54" s="1" t="s">
        <v>726</v>
      </c>
      <c r="C54" s="32">
        <v>2957</v>
      </c>
      <c r="D54" s="58">
        <v>20000</v>
      </c>
      <c r="E54" s="1" t="s">
        <v>728</v>
      </c>
      <c r="F54" s="1">
        <v>222.82</v>
      </c>
      <c r="G54" s="1">
        <v>20000</v>
      </c>
      <c r="H54" s="1">
        <f t="shared" si="1"/>
        <v>0</v>
      </c>
      <c r="I54" s="89"/>
      <c r="J54" s="89"/>
      <c r="K54" s="89"/>
      <c r="L54" s="89"/>
      <c r="M54" s="47"/>
      <c r="N54" s="6"/>
      <c r="O54" s="103">
        <f>2660844-2642022</f>
        <v>18822</v>
      </c>
      <c r="P54" s="359" t="s">
        <v>730</v>
      </c>
      <c r="Q54" s="367" t="s">
        <v>620</v>
      </c>
      <c r="R54" s="360">
        <f>18822-6800</f>
        <v>12022</v>
      </c>
    </row>
    <row r="55" spans="1:18" ht="15" x14ac:dyDescent="0.25">
      <c r="A55" s="1">
        <v>50</v>
      </c>
      <c r="B55" s="1" t="s">
        <v>726</v>
      </c>
      <c r="C55" s="32">
        <v>2957</v>
      </c>
      <c r="D55" s="58">
        <v>20000</v>
      </c>
      <c r="E55" s="1" t="s">
        <v>729</v>
      </c>
      <c r="F55" s="1">
        <v>222.82</v>
      </c>
      <c r="G55" s="1">
        <v>20000</v>
      </c>
      <c r="H55" s="1">
        <f t="shared" si="1"/>
        <v>0</v>
      </c>
      <c r="I55" s="89"/>
      <c r="J55" s="89"/>
      <c r="K55" s="89"/>
      <c r="L55" s="89"/>
      <c r="M55" s="47"/>
      <c r="N55" s="6"/>
    </row>
    <row r="56" spans="1:18" s="452" customFormat="1" ht="15" x14ac:dyDescent="0.25">
      <c r="A56" s="1">
        <v>51</v>
      </c>
      <c r="B56" s="1" t="s">
        <v>731</v>
      </c>
      <c r="C56" s="32">
        <v>3941</v>
      </c>
      <c r="D56" s="58">
        <v>15000</v>
      </c>
      <c r="E56" s="1" t="s">
        <v>80</v>
      </c>
      <c r="F56" s="1">
        <v>167.15</v>
      </c>
      <c r="G56" s="1">
        <v>15000</v>
      </c>
      <c r="H56" s="1">
        <f t="shared" si="1"/>
        <v>0</v>
      </c>
      <c r="I56" s="89"/>
      <c r="J56" s="89"/>
      <c r="K56" s="89"/>
      <c r="L56" s="89"/>
      <c r="M56" s="47"/>
      <c r="N56" s="6"/>
    </row>
    <row r="57" spans="1:18" s="452" customFormat="1" ht="15" x14ac:dyDescent="0.25">
      <c r="A57" s="1">
        <v>52</v>
      </c>
      <c r="B57" s="1" t="s">
        <v>731</v>
      </c>
      <c r="C57" s="32" t="s">
        <v>30</v>
      </c>
      <c r="D57" s="58">
        <v>5000</v>
      </c>
      <c r="E57" s="1" t="s">
        <v>80</v>
      </c>
      <c r="F57" s="1">
        <v>55.45</v>
      </c>
      <c r="G57" s="1">
        <v>5000</v>
      </c>
      <c r="H57" s="1">
        <f t="shared" si="1"/>
        <v>0</v>
      </c>
      <c r="I57" s="89"/>
      <c r="J57" s="89"/>
      <c r="K57" s="89"/>
      <c r="L57" s="89"/>
      <c r="M57" s="47"/>
      <c r="N57" s="6"/>
    </row>
    <row r="58" spans="1:18" s="452" customFormat="1" ht="15" x14ac:dyDescent="0.25">
      <c r="A58" s="1">
        <v>53</v>
      </c>
      <c r="B58" s="1" t="s">
        <v>731</v>
      </c>
      <c r="C58" s="32">
        <v>5212</v>
      </c>
      <c r="D58" s="58">
        <v>17000</v>
      </c>
      <c r="E58" s="1" t="s">
        <v>80</v>
      </c>
      <c r="F58" s="1">
        <v>189.17</v>
      </c>
      <c r="G58" s="1">
        <v>17000</v>
      </c>
      <c r="H58" s="1">
        <f t="shared" si="1"/>
        <v>0</v>
      </c>
      <c r="I58" s="89"/>
      <c r="J58" s="89"/>
      <c r="K58" s="89"/>
      <c r="L58" s="89"/>
      <c r="M58" s="47"/>
      <c r="N58" s="6"/>
    </row>
    <row r="59" spans="1:18" s="452" customFormat="1" ht="15" x14ac:dyDescent="0.25">
      <c r="A59" s="1">
        <v>54</v>
      </c>
      <c r="B59" s="1" t="s">
        <v>731</v>
      </c>
      <c r="C59" s="32">
        <v>3068</v>
      </c>
      <c r="D59" s="58">
        <v>13000</v>
      </c>
      <c r="E59" s="1" t="s">
        <v>80</v>
      </c>
      <c r="F59" s="1">
        <v>144.13</v>
      </c>
      <c r="G59" s="1">
        <v>13000</v>
      </c>
      <c r="H59" s="1">
        <f t="shared" si="1"/>
        <v>0</v>
      </c>
      <c r="I59" s="89"/>
      <c r="J59" s="89"/>
      <c r="K59" s="89"/>
      <c r="L59" s="89"/>
      <c r="M59" s="47"/>
      <c r="N59" s="6"/>
    </row>
    <row r="60" spans="1:18" s="452" customFormat="1" ht="15" x14ac:dyDescent="0.25">
      <c r="A60" s="1">
        <v>55</v>
      </c>
      <c r="B60" s="1" t="s">
        <v>731</v>
      </c>
      <c r="C60" s="32">
        <v>4204</v>
      </c>
      <c r="D60" s="58">
        <v>14000</v>
      </c>
      <c r="E60" s="1" t="s">
        <v>80</v>
      </c>
      <c r="F60" s="1">
        <v>155.13999999999999</v>
      </c>
      <c r="G60" s="1">
        <v>14000</v>
      </c>
      <c r="H60" s="1">
        <f t="shared" si="1"/>
        <v>0</v>
      </c>
      <c r="I60" s="89"/>
      <c r="J60" s="89"/>
      <c r="K60" s="89"/>
      <c r="L60" s="89"/>
      <c r="M60" s="47"/>
      <c r="N60" s="6"/>
    </row>
    <row r="61" spans="1:18" s="452" customFormat="1" ht="15" x14ac:dyDescent="0.25">
      <c r="A61" s="1">
        <v>56</v>
      </c>
      <c r="B61" s="1" t="s">
        <v>731</v>
      </c>
      <c r="C61" s="32">
        <v>8569</v>
      </c>
      <c r="D61" s="58">
        <v>13000</v>
      </c>
      <c r="E61" s="1" t="s">
        <v>80</v>
      </c>
      <c r="F61" s="1">
        <v>144.13</v>
      </c>
      <c r="G61" s="1">
        <v>13000</v>
      </c>
      <c r="H61" s="1">
        <f t="shared" si="1"/>
        <v>0</v>
      </c>
      <c r="I61" s="89"/>
      <c r="J61" s="89"/>
      <c r="K61" s="89"/>
      <c r="L61" s="89"/>
      <c r="M61" s="47"/>
      <c r="N61" s="6"/>
    </row>
    <row r="62" spans="1:18" s="452" customFormat="1" ht="15" x14ac:dyDescent="0.25">
      <c r="A62" s="1">
        <v>57</v>
      </c>
      <c r="B62" s="1" t="s">
        <v>731</v>
      </c>
      <c r="C62" s="32">
        <v>2.5499999999999998E-2</v>
      </c>
      <c r="D62" s="58">
        <v>28000</v>
      </c>
      <c r="E62" s="1" t="s">
        <v>80</v>
      </c>
      <c r="F62" s="1">
        <v>311.57</v>
      </c>
      <c r="G62" s="1">
        <v>28000</v>
      </c>
      <c r="H62" s="1">
        <f t="shared" si="1"/>
        <v>0</v>
      </c>
      <c r="I62" s="89"/>
      <c r="J62" s="89"/>
      <c r="K62" s="89"/>
      <c r="L62" s="89"/>
      <c r="M62" s="47"/>
      <c r="N62" s="6"/>
    </row>
    <row r="63" spans="1:18" s="452" customFormat="1" ht="15" x14ac:dyDescent="0.25">
      <c r="A63" s="1">
        <v>58</v>
      </c>
      <c r="B63" s="1" t="s">
        <v>731</v>
      </c>
      <c r="C63" s="32">
        <v>6113</v>
      </c>
      <c r="D63" s="58">
        <v>20000</v>
      </c>
      <c r="E63" s="1" t="s">
        <v>80</v>
      </c>
      <c r="F63" s="1">
        <v>222.82</v>
      </c>
      <c r="G63" s="1">
        <v>20000</v>
      </c>
      <c r="H63" s="1">
        <f t="shared" si="1"/>
        <v>0</v>
      </c>
      <c r="I63" s="89"/>
      <c r="J63" s="89"/>
      <c r="K63" s="89"/>
      <c r="L63" s="89"/>
      <c r="M63" s="47"/>
      <c r="N63" s="6"/>
    </row>
    <row r="64" spans="1:18" s="452" customFormat="1" ht="15" x14ac:dyDescent="0.25">
      <c r="A64" s="1">
        <v>59</v>
      </c>
      <c r="B64" s="1" t="s">
        <v>731</v>
      </c>
      <c r="C64" s="32">
        <v>2057</v>
      </c>
      <c r="D64" s="58">
        <v>20000</v>
      </c>
      <c r="E64" s="1" t="s">
        <v>80</v>
      </c>
      <c r="F64" s="1">
        <v>222.82</v>
      </c>
      <c r="G64" s="1">
        <v>20000</v>
      </c>
      <c r="H64" s="1">
        <f t="shared" si="1"/>
        <v>0</v>
      </c>
      <c r="I64" s="89"/>
      <c r="J64" s="89"/>
      <c r="K64" s="89"/>
      <c r="L64" s="89"/>
      <c r="M64" s="47"/>
      <c r="N64" s="6"/>
    </row>
    <row r="65" spans="1:18" s="452" customFormat="1" ht="15" x14ac:dyDescent="0.25">
      <c r="A65" s="1">
        <v>60</v>
      </c>
      <c r="B65" s="1" t="s">
        <v>731</v>
      </c>
      <c r="C65" s="32">
        <v>2184</v>
      </c>
      <c r="D65" s="58">
        <v>23000</v>
      </c>
      <c r="E65" s="1" t="s">
        <v>80</v>
      </c>
      <c r="F65" s="1">
        <v>247.38</v>
      </c>
      <c r="G65" s="1">
        <v>23000</v>
      </c>
      <c r="H65" s="1">
        <f t="shared" si="1"/>
        <v>0</v>
      </c>
      <c r="I65" s="89"/>
      <c r="J65" s="89"/>
      <c r="K65" s="89"/>
      <c r="L65" s="89"/>
      <c r="M65" s="47"/>
      <c r="N65" s="6"/>
    </row>
    <row r="66" spans="1:18" s="452" customFormat="1" ht="15" x14ac:dyDescent="0.25">
      <c r="A66" s="1">
        <v>61</v>
      </c>
      <c r="B66" s="1" t="s">
        <v>731</v>
      </c>
      <c r="C66" s="32">
        <v>9992</v>
      </c>
      <c r="D66" s="58">
        <v>27000</v>
      </c>
      <c r="E66" s="1" t="s">
        <v>80</v>
      </c>
      <c r="F66" s="1">
        <v>300.82</v>
      </c>
      <c r="G66" s="1">
        <v>27000</v>
      </c>
      <c r="H66" s="1">
        <f t="shared" si="1"/>
        <v>0</v>
      </c>
      <c r="I66" s="89"/>
      <c r="J66" s="89"/>
      <c r="K66" s="89"/>
      <c r="L66" s="89"/>
      <c r="M66" s="47"/>
      <c r="N66" s="6"/>
    </row>
    <row r="67" spans="1:18" s="452" customFormat="1" ht="15" x14ac:dyDescent="0.25">
      <c r="A67" s="1">
        <v>62</v>
      </c>
      <c r="B67" s="1" t="s">
        <v>731</v>
      </c>
      <c r="C67" s="32">
        <v>7258</v>
      </c>
      <c r="D67" s="58">
        <v>27000</v>
      </c>
      <c r="E67" s="1" t="s">
        <v>80</v>
      </c>
      <c r="F67" s="1">
        <v>300.82</v>
      </c>
      <c r="G67" s="1">
        <v>27000</v>
      </c>
      <c r="H67" s="1">
        <f t="shared" si="1"/>
        <v>0</v>
      </c>
      <c r="I67" s="89"/>
      <c r="J67" s="89"/>
      <c r="K67" s="89"/>
      <c r="L67" s="89"/>
      <c r="M67" s="47"/>
      <c r="N67" s="6"/>
    </row>
    <row r="68" spans="1:18" s="452" customFormat="1" ht="15" x14ac:dyDescent="0.25">
      <c r="A68" s="1">
        <v>63</v>
      </c>
      <c r="B68" s="1" t="s">
        <v>731</v>
      </c>
      <c r="C68" s="32">
        <v>7520</v>
      </c>
      <c r="D68" s="58">
        <v>13000</v>
      </c>
      <c r="E68" s="1" t="s">
        <v>80</v>
      </c>
      <c r="F68" s="1">
        <v>144.13</v>
      </c>
      <c r="G68" s="1">
        <v>13000</v>
      </c>
      <c r="H68" s="1">
        <f t="shared" si="1"/>
        <v>0</v>
      </c>
      <c r="I68" s="89"/>
      <c r="J68" s="89"/>
      <c r="K68" s="89"/>
      <c r="L68" s="89"/>
      <c r="M68" s="47"/>
      <c r="N68" s="6"/>
    </row>
    <row r="69" spans="1:18" s="452" customFormat="1" ht="15.75" thickBot="1" x14ac:dyDescent="0.3">
      <c r="A69" s="1">
        <v>64</v>
      </c>
      <c r="B69" s="1" t="s">
        <v>731</v>
      </c>
      <c r="C69" s="32">
        <v>6535</v>
      </c>
      <c r="D69" s="58">
        <v>20000</v>
      </c>
      <c r="E69" s="1" t="s">
        <v>80</v>
      </c>
      <c r="F69" s="1">
        <v>222.82</v>
      </c>
      <c r="G69" s="1">
        <v>20000</v>
      </c>
      <c r="H69" s="1">
        <f t="shared" si="1"/>
        <v>0</v>
      </c>
      <c r="I69" s="89"/>
      <c r="J69" s="89"/>
      <c r="K69" s="89"/>
      <c r="L69" s="89"/>
      <c r="M69" s="47"/>
      <c r="N69" s="6"/>
    </row>
    <row r="70" spans="1:18" s="452" customFormat="1" ht="15.75" thickBot="1" x14ac:dyDescent="0.3">
      <c r="A70" s="1">
        <v>65</v>
      </c>
      <c r="B70" s="1" t="s">
        <v>731</v>
      </c>
      <c r="C70" s="32">
        <v>2125</v>
      </c>
      <c r="D70" s="58">
        <v>24000</v>
      </c>
      <c r="E70" s="1" t="s">
        <v>80</v>
      </c>
      <c r="F70" s="1">
        <v>233.97</v>
      </c>
      <c r="G70" s="1">
        <v>24000</v>
      </c>
      <c r="H70" s="1">
        <f t="shared" si="1"/>
        <v>0</v>
      </c>
      <c r="I70" s="89"/>
      <c r="J70" s="89"/>
      <c r="K70" s="89"/>
      <c r="L70" s="89"/>
      <c r="M70" s="47"/>
      <c r="N70" s="6"/>
      <c r="O70" s="103">
        <f>2239844-2221023</f>
        <v>18821</v>
      </c>
      <c r="P70" s="359" t="s">
        <v>730</v>
      </c>
      <c r="Q70" s="367" t="s">
        <v>620</v>
      </c>
      <c r="R70" s="360">
        <f>18822-6800</f>
        <v>12022</v>
      </c>
    </row>
    <row r="71" spans="1:18" s="453" customFormat="1" ht="15" x14ac:dyDescent="0.25">
      <c r="A71" s="1">
        <v>66</v>
      </c>
      <c r="B71" s="1" t="s">
        <v>732</v>
      </c>
      <c r="C71" s="32">
        <v>5137</v>
      </c>
      <c r="D71" s="58">
        <v>15000</v>
      </c>
      <c r="E71" s="1" t="s">
        <v>80</v>
      </c>
      <c r="F71" s="1">
        <v>167.15</v>
      </c>
      <c r="G71" s="1">
        <v>15000</v>
      </c>
      <c r="H71" s="1">
        <f t="shared" si="1"/>
        <v>0</v>
      </c>
      <c r="I71" s="89"/>
      <c r="J71" s="454"/>
      <c r="K71" s="454"/>
      <c r="L71" s="454"/>
      <c r="M71" s="455"/>
      <c r="N71" s="43"/>
      <c r="O71" s="388"/>
      <c r="P71" s="48"/>
      <c r="Q71" s="370"/>
      <c r="R71" s="48"/>
    </row>
    <row r="72" spans="1:18" s="453" customFormat="1" ht="15" x14ac:dyDescent="0.25">
      <c r="A72" s="1">
        <v>67</v>
      </c>
      <c r="B72" s="1" t="s">
        <v>732</v>
      </c>
      <c r="C72" s="32">
        <v>5820</v>
      </c>
      <c r="D72" s="58">
        <v>16000</v>
      </c>
      <c r="E72" s="1" t="s">
        <v>80</v>
      </c>
      <c r="F72" s="1">
        <v>178.22</v>
      </c>
      <c r="G72" s="1">
        <v>16000</v>
      </c>
      <c r="H72" s="1">
        <f t="shared" si="1"/>
        <v>0</v>
      </c>
      <c r="I72" s="89"/>
      <c r="J72" s="454"/>
      <c r="K72" s="454"/>
      <c r="L72" s="454"/>
      <c r="M72" s="455"/>
      <c r="N72" s="43"/>
      <c r="O72" s="388"/>
      <c r="P72" s="48"/>
      <c r="Q72" s="370"/>
      <c r="R72" s="48"/>
    </row>
    <row r="73" spans="1:18" s="453" customFormat="1" ht="15" x14ac:dyDescent="0.25">
      <c r="A73" s="1">
        <v>68</v>
      </c>
      <c r="B73" s="1" t="s">
        <v>732</v>
      </c>
      <c r="C73" s="32">
        <v>6957</v>
      </c>
      <c r="D73" s="58">
        <v>17000</v>
      </c>
      <c r="E73" s="1" t="s">
        <v>80</v>
      </c>
      <c r="F73" s="1">
        <v>189.65</v>
      </c>
      <c r="G73" s="1">
        <v>17000</v>
      </c>
      <c r="H73" s="1">
        <f t="shared" si="1"/>
        <v>0</v>
      </c>
      <c r="I73" s="89"/>
      <c r="J73" s="454"/>
      <c r="K73" s="454"/>
      <c r="L73" s="454"/>
      <c r="M73" s="455"/>
      <c r="N73" s="43"/>
      <c r="O73" s="388"/>
      <c r="P73" s="48"/>
      <c r="Q73" s="370"/>
      <c r="R73" s="48"/>
    </row>
    <row r="74" spans="1:18" s="453" customFormat="1" ht="15" x14ac:dyDescent="0.25">
      <c r="A74" s="1">
        <v>69</v>
      </c>
      <c r="B74" s="1" t="s">
        <v>732</v>
      </c>
      <c r="C74" s="32">
        <v>1547</v>
      </c>
      <c r="D74" s="58">
        <v>16000</v>
      </c>
      <c r="E74" s="1" t="s">
        <v>80</v>
      </c>
      <c r="F74" s="1">
        <v>178.22</v>
      </c>
      <c r="G74" s="1">
        <v>16000</v>
      </c>
      <c r="H74" s="1">
        <f t="shared" si="1"/>
        <v>0</v>
      </c>
      <c r="I74" s="89"/>
      <c r="J74" s="454"/>
      <c r="K74" s="454"/>
      <c r="L74" s="454"/>
      <c r="M74" s="455"/>
      <c r="N74" s="43"/>
      <c r="O74" s="388"/>
      <c r="P74" s="48"/>
      <c r="Q74" s="370"/>
      <c r="R74" s="48"/>
    </row>
    <row r="75" spans="1:18" s="453" customFormat="1" ht="15" x14ac:dyDescent="0.25">
      <c r="A75" s="1">
        <v>70</v>
      </c>
      <c r="B75" s="1" t="s">
        <v>732</v>
      </c>
      <c r="C75" s="32">
        <v>4019</v>
      </c>
      <c r="D75" s="58">
        <v>15000</v>
      </c>
      <c r="E75" s="1" t="s">
        <v>80</v>
      </c>
      <c r="F75" s="1">
        <v>167.15</v>
      </c>
      <c r="G75" s="1">
        <v>15000</v>
      </c>
      <c r="H75" s="1">
        <f t="shared" si="1"/>
        <v>0</v>
      </c>
      <c r="I75" s="89"/>
      <c r="J75" s="454"/>
      <c r="K75" s="454"/>
      <c r="L75" s="454"/>
      <c r="M75" s="455"/>
      <c r="N75" s="43"/>
      <c r="O75" s="388"/>
      <c r="P75" s="48"/>
      <c r="Q75" s="370"/>
      <c r="R75" s="48"/>
    </row>
    <row r="76" spans="1:18" s="453" customFormat="1" ht="15" x14ac:dyDescent="0.25">
      <c r="A76" s="1">
        <v>71</v>
      </c>
      <c r="B76" s="1" t="s">
        <v>732</v>
      </c>
      <c r="C76" s="32">
        <v>5968</v>
      </c>
      <c r="D76" s="58">
        <v>14000</v>
      </c>
      <c r="E76" s="1" t="s">
        <v>80</v>
      </c>
      <c r="F76" s="1">
        <v>155.13999999999999</v>
      </c>
      <c r="G76" s="1">
        <v>14000</v>
      </c>
      <c r="H76" s="1">
        <f t="shared" si="1"/>
        <v>0</v>
      </c>
      <c r="I76" s="89"/>
      <c r="J76" s="454"/>
      <c r="K76" s="454"/>
      <c r="L76" s="454"/>
      <c r="M76" s="455"/>
      <c r="N76" s="43"/>
      <c r="O76" s="388"/>
      <c r="P76" s="48"/>
      <c r="Q76" s="370"/>
      <c r="R76" s="48"/>
    </row>
    <row r="77" spans="1:18" s="453" customFormat="1" ht="15" x14ac:dyDescent="0.25">
      <c r="A77" s="1">
        <v>72</v>
      </c>
      <c r="B77" s="1" t="s">
        <v>732</v>
      </c>
      <c r="C77" s="32" t="s">
        <v>727</v>
      </c>
      <c r="D77" s="58">
        <v>2500</v>
      </c>
      <c r="E77" s="1" t="s">
        <v>80</v>
      </c>
      <c r="F77" s="1">
        <v>27.35</v>
      </c>
      <c r="G77" s="1">
        <v>2500</v>
      </c>
      <c r="H77" s="1">
        <f t="shared" si="1"/>
        <v>0</v>
      </c>
      <c r="I77" s="89"/>
      <c r="J77" s="454"/>
      <c r="K77" s="454"/>
      <c r="L77" s="454"/>
      <c r="M77" s="455"/>
      <c r="N77" s="43"/>
      <c r="O77" s="388"/>
      <c r="P77" s="48"/>
      <c r="Q77" s="370"/>
      <c r="R77" s="48"/>
    </row>
    <row r="78" spans="1:18" s="453" customFormat="1" ht="15" x14ac:dyDescent="0.25">
      <c r="A78" s="1">
        <v>73</v>
      </c>
      <c r="B78" s="1" t="s">
        <v>732</v>
      </c>
      <c r="C78" s="32">
        <v>4566</v>
      </c>
      <c r="D78" s="58">
        <v>20000</v>
      </c>
      <c r="E78" s="1" t="s">
        <v>80</v>
      </c>
      <c r="F78" s="1">
        <v>222.82</v>
      </c>
      <c r="G78" s="1">
        <v>20000</v>
      </c>
      <c r="H78" s="1">
        <f t="shared" si="1"/>
        <v>0</v>
      </c>
      <c r="I78" s="89"/>
      <c r="J78" s="454"/>
      <c r="K78" s="454"/>
      <c r="L78" s="454"/>
      <c r="M78" s="455"/>
      <c r="N78" s="43"/>
      <c r="O78" s="388"/>
      <c r="P78" s="48"/>
      <c r="Q78" s="370"/>
      <c r="R78" s="48"/>
    </row>
    <row r="79" spans="1:18" s="453" customFormat="1" ht="15" x14ac:dyDescent="0.25">
      <c r="A79" s="1">
        <v>74</v>
      </c>
      <c r="B79" s="1" t="s">
        <v>732</v>
      </c>
      <c r="C79" s="32">
        <v>6496</v>
      </c>
      <c r="D79" s="58">
        <v>15000</v>
      </c>
      <c r="E79" s="1" t="s">
        <v>80</v>
      </c>
      <c r="F79" s="1">
        <v>167.15</v>
      </c>
      <c r="G79" s="1">
        <v>15000</v>
      </c>
      <c r="H79" s="1">
        <f t="shared" si="1"/>
        <v>0</v>
      </c>
      <c r="I79" s="89"/>
      <c r="J79" s="454"/>
      <c r="K79" s="454"/>
      <c r="L79" s="454"/>
      <c r="M79" s="455"/>
      <c r="N79" s="43"/>
      <c r="O79" s="388"/>
      <c r="P79" s="48"/>
      <c r="Q79" s="370"/>
      <c r="R79" s="48"/>
    </row>
    <row r="80" spans="1:18" s="453" customFormat="1" ht="15" x14ac:dyDescent="0.25">
      <c r="A80" s="1">
        <v>75</v>
      </c>
      <c r="B80" s="1" t="s">
        <v>732</v>
      </c>
      <c r="C80" s="32">
        <v>2912</v>
      </c>
      <c r="D80" s="58">
        <v>14000</v>
      </c>
      <c r="E80" s="1" t="s">
        <v>80</v>
      </c>
      <c r="F80" s="1">
        <v>155.13999999999999</v>
      </c>
      <c r="G80" s="1">
        <v>14000</v>
      </c>
      <c r="H80" s="1">
        <f t="shared" si="1"/>
        <v>0</v>
      </c>
      <c r="I80" s="89"/>
      <c r="J80" s="454"/>
      <c r="K80" s="454"/>
      <c r="L80" s="454"/>
      <c r="M80" s="455"/>
      <c r="N80" s="43"/>
      <c r="O80" s="388"/>
      <c r="P80" s="48"/>
      <c r="Q80" s="370"/>
      <c r="R80" s="48"/>
    </row>
    <row r="81" spans="1:18" s="453" customFormat="1" ht="15" x14ac:dyDescent="0.25">
      <c r="A81" s="1">
        <v>76</v>
      </c>
      <c r="B81" s="1" t="s">
        <v>732</v>
      </c>
      <c r="C81" s="32">
        <v>5838</v>
      </c>
      <c r="D81" s="58">
        <v>14000</v>
      </c>
      <c r="E81" s="1" t="s">
        <v>80</v>
      </c>
      <c r="F81" s="1">
        <v>155.13999999999999</v>
      </c>
      <c r="G81" s="1">
        <v>14000</v>
      </c>
      <c r="H81" s="1">
        <f t="shared" si="1"/>
        <v>0</v>
      </c>
      <c r="I81" s="89"/>
      <c r="J81" s="454"/>
      <c r="K81" s="454"/>
      <c r="L81" s="454"/>
      <c r="M81" s="455"/>
      <c r="N81" s="43"/>
      <c r="O81" s="388"/>
      <c r="P81" s="48"/>
      <c r="Q81" s="370"/>
      <c r="R81" s="48"/>
    </row>
    <row r="82" spans="1:18" s="453" customFormat="1" ht="15" x14ac:dyDescent="0.25">
      <c r="A82" s="1">
        <v>77</v>
      </c>
      <c r="B82" s="1" t="s">
        <v>732</v>
      </c>
      <c r="C82" s="32">
        <v>2.87E-2</v>
      </c>
      <c r="D82" s="58">
        <v>18000</v>
      </c>
      <c r="E82" s="1" t="s">
        <v>80</v>
      </c>
      <c r="F82" s="1">
        <v>200.82</v>
      </c>
      <c r="G82" s="1">
        <v>18000</v>
      </c>
      <c r="H82" s="1">
        <f t="shared" si="1"/>
        <v>0</v>
      </c>
      <c r="I82" s="89"/>
      <c r="J82" s="454"/>
      <c r="K82" s="454"/>
      <c r="L82" s="454"/>
      <c r="M82" s="455"/>
      <c r="N82" s="43"/>
      <c r="O82" s="388"/>
      <c r="P82" s="48"/>
      <c r="Q82" s="370"/>
      <c r="R82" s="48"/>
    </row>
    <row r="83" spans="1:18" s="453" customFormat="1" ht="15" x14ac:dyDescent="0.25">
      <c r="A83" s="1">
        <v>78</v>
      </c>
      <c r="B83" s="1" t="s">
        <v>732</v>
      </c>
      <c r="C83" s="32">
        <v>3327</v>
      </c>
      <c r="D83" s="58">
        <v>14000</v>
      </c>
      <c r="E83" s="1" t="s">
        <v>80</v>
      </c>
      <c r="F83" s="1">
        <v>155.13999999999999</v>
      </c>
      <c r="G83" s="1">
        <v>14000</v>
      </c>
      <c r="H83" s="1">
        <f t="shared" si="1"/>
        <v>0</v>
      </c>
      <c r="I83" s="89"/>
      <c r="J83" s="454"/>
      <c r="K83" s="454"/>
      <c r="L83" s="454"/>
      <c r="M83" s="455"/>
      <c r="N83" s="43"/>
      <c r="O83" s="388"/>
      <c r="P83" s="48"/>
      <c r="Q83" s="370"/>
      <c r="R83" s="48"/>
    </row>
    <row r="84" spans="1:18" s="453" customFormat="1" ht="15" x14ac:dyDescent="0.25">
      <c r="A84" s="1">
        <v>79</v>
      </c>
      <c r="B84" s="1" t="s">
        <v>732</v>
      </c>
      <c r="C84" s="32">
        <v>2260</v>
      </c>
      <c r="D84" s="58">
        <v>14000</v>
      </c>
      <c r="E84" s="1" t="s">
        <v>80</v>
      </c>
      <c r="F84" s="1">
        <v>155.13999999999999</v>
      </c>
      <c r="G84" s="1">
        <v>14000</v>
      </c>
      <c r="H84" s="1">
        <f t="shared" si="1"/>
        <v>0</v>
      </c>
      <c r="I84" s="89"/>
      <c r="J84" s="454"/>
      <c r="K84" s="454"/>
      <c r="L84" s="454"/>
      <c r="M84" s="455"/>
      <c r="N84" s="43"/>
      <c r="O84" s="388"/>
      <c r="P84" s="48"/>
      <c r="Q84" s="370"/>
      <c r="R84" s="48"/>
    </row>
    <row r="85" spans="1:18" s="453" customFormat="1" ht="15" x14ac:dyDescent="0.25">
      <c r="A85" s="1">
        <v>80</v>
      </c>
      <c r="B85" s="1" t="s">
        <v>732</v>
      </c>
      <c r="C85" s="32" t="s">
        <v>30</v>
      </c>
      <c r="D85" s="58">
        <v>4500</v>
      </c>
      <c r="E85" s="1" t="s">
        <v>80</v>
      </c>
      <c r="F85" s="1">
        <v>80.75</v>
      </c>
      <c r="G85" s="1">
        <v>4500</v>
      </c>
      <c r="H85" s="1">
        <f t="shared" ref="H85:H148" si="2">D85-G85</f>
        <v>0</v>
      </c>
      <c r="I85" s="89"/>
      <c r="J85" s="454"/>
      <c r="K85" s="454"/>
      <c r="L85" s="454"/>
      <c r="M85" s="455"/>
      <c r="N85" s="43"/>
      <c r="O85" s="388"/>
      <c r="P85" s="48"/>
      <c r="Q85" s="370"/>
      <c r="R85" s="48"/>
    </row>
    <row r="86" spans="1:18" s="453" customFormat="1" ht="15" x14ac:dyDescent="0.25">
      <c r="A86" s="1">
        <v>81</v>
      </c>
      <c r="B86" s="1" t="s">
        <v>732</v>
      </c>
      <c r="C86" s="32">
        <v>8248</v>
      </c>
      <c r="D86" s="58">
        <v>27000</v>
      </c>
      <c r="E86" s="1" t="s">
        <v>80</v>
      </c>
      <c r="F86" s="1">
        <v>300.64</v>
      </c>
      <c r="G86" s="1">
        <v>27000</v>
      </c>
      <c r="H86" s="1">
        <f t="shared" si="2"/>
        <v>0</v>
      </c>
      <c r="I86" s="89"/>
      <c r="J86" s="454"/>
      <c r="K86" s="454"/>
      <c r="L86" s="454"/>
      <c r="M86" s="455"/>
      <c r="N86" s="43"/>
      <c r="O86" s="388"/>
      <c r="P86" s="48"/>
      <c r="Q86" s="370"/>
      <c r="R86" s="48"/>
    </row>
    <row r="87" spans="1:18" s="453" customFormat="1" ht="15" x14ac:dyDescent="0.25">
      <c r="A87" s="1">
        <v>82</v>
      </c>
      <c r="B87" s="1" t="s">
        <v>732</v>
      </c>
      <c r="C87" s="32">
        <v>2711</v>
      </c>
      <c r="D87" s="58">
        <v>30000</v>
      </c>
      <c r="E87" s="1" t="s">
        <v>80</v>
      </c>
      <c r="F87" s="1">
        <v>325.68</v>
      </c>
      <c r="G87" s="1">
        <v>30000</v>
      </c>
      <c r="H87" s="1">
        <f t="shared" si="2"/>
        <v>0</v>
      </c>
      <c r="I87" s="89"/>
      <c r="J87" s="454"/>
      <c r="K87" s="454"/>
      <c r="L87" s="454"/>
      <c r="M87" s="455"/>
      <c r="N87" s="43"/>
      <c r="O87" s="388"/>
      <c r="P87" s="48"/>
      <c r="Q87" s="370"/>
      <c r="R87" s="48"/>
    </row>
    <row r="88" spans="1:18" s="453" customFormat="1" ht="15" x14ac:dyDescent="0.25">
      <c r="A88" s="1">
        <v>83</v>
      </c>
      <c r="B88" s="1" t="s">
        <v>732</v>
      </c>
      <c r="C88" s="32">
        <v>3516</v>
      </c>
      <c r="D88" s="58">
        <v>29000</v>
      </c>
      <c r="E88" s="1" t="s">
        <v>80</v>
      </c>
      <c r="F88" s="1">
        <v>316.37</v>
      </c>
      <c r="G88" s="1">
        <v>29000</v>
      </c>
      <c r="H88" s="1">
        <f t="shared" si="2"/>
        <v>0</v>
      </c>
      <c r="I88" s="89"/>
      <c r="J88" s="454"/>
      <c r="K88" s="454"/>
      <c r="L88" s="454"/>
      <c r="M88" s="455"/>
      <c r="N88" s="43"/>
      <c r="O88" s="388"/>
      <c r="P88" s="48"/>
      <c r="Q88" s="370"/>
      <c r="R88" s="48"/>
    </row>
    <row r="89" spans="1:18" s="453" customFormat="1" ht="15" x14ac:dyDescent="0.25">
      <c r="A89" s="1">
        <v>84</v>
      </c>
      <c r="B89" s="1" t="s">
        <v>732</v>
      </c>
      <c r="C89" s="32">
        <v>1184</v>
      </c>
      <c r="D89" s="58">
        <v>10000</v>
      </c>
      <c r="E89" s="1" t="s">
        <v>80</v>
      </c>
      <c r="F89" s="1">
        <v>111.41</v>
      </c>
      <c r="G89" s="1">
        <v>10000</v>
      </c>
      <c r="H89" s="1">
        <f t="shared" si="2"/>
        <v>0</v>
      </c>
      <c r="I89" s="89"/>
      <c r="J89" s="454"/>
      <c r="K89" s="454"/>
      <c r="L89" s="454"/>
      <c r="M89" s="455"/>
      <c r="N89" s="43"/>
      <c r="O89" s="388"/>
      <c r="P89" s="48"/>
      <c r="Q89" s="370"/>
      <c r="R89" s="48"/>
    </row>
    <row r="90" spans="1:18" s="453" customFormat="1" ht="15" x14ac:dyDescent="0.25">
      <c r="A90" s="1">
        <v>85</v>
      </c>
      <c r="B90" s="1" t="s">
        <v>732</v>
      </c>
      <c r="C90" s="32">
        <v>2072</v>
      </c>
      <c r="D90" s="58">
        <v>24000</v>
      </c>
      <c r="E90" s="1" t="s">
        <v>80</v>
      </c>
      <c r="F90" s="1">
        <v>258.42</v>
      </c>
      <c r="G90" s="1">
        <v>24000</v>
      </c>
      <c r="H90" s="1">
        <f t="shared" si="2"/>
        <v>0</v>
      </c>
      <c r="I90" s="89"/>
      <c r="J90" s="454"/>
      <c r="K90" s="454"/>
      <c r="L90" s="454"/>
      <c r="M90" s="455"/>
      <c r="N90" s="43"/>
      <c r="O90" s="388"/>
      <c r="P90" s="48"/>
      <c r="Q90" s="370"/>
      <c r="R90" s="48"/>
    </row>
    <row r="91" spans="1:18" s="453" customFormat="1" ht="15" x14ac:dyDescent="0.25">
      <c r="A91" s="1">
        <v>86</v>
      </c>
      <c r="B91" s="1" t="s">
        <v>732</v>
      </c>
      <c r="C91" s="32">
        <v>5.1000000000000004E-3</v>
      </c>
      <c r="D91" s="58">
        <v>17000</v>
      </c>
      <c r="E91" s="1" t="s">
        <v>80</v>
      </c>
      <c r="F91" s="1">
        <v>189.65</v>
      </c>
      <c r="G91" s="1">
        <v>17000</v>
      </c>
      <c r="H91" s="1">
        <f t="shared" si="2"/>
        <v>0</v>
      </c>
      <c r="I91" s="89"/>
      <c r="J91" s="454"/>
      <c r="K91" s="454"/>
      <c r="L91" s="454"/>
      <c r="M91" s="455"/>
      <c r="N91" s="43"/>
      <c r="O91" s="388"/>
      <c r="P91" s="48"/>
      <c r="Q91" s="370"/>
      <c r="R91" s="48"/>
    </row>
    <row r="92" spans="1:18" s="453" customFormat="1" ht="15" x14ac:dyDescent="0.25">
      <c r="A92" s="1">
        <v>87</v>
      </c>
      <c r="B92" s="1" t="s">
        <v>732</v>
      </c>
      <c r="C92" s="32">
        <v>5151</v>
      </c>
      <c r="D92" s="58">
        <v>17000</v>
      </c>
      <c r="E92" s="1" t="s">
        <v>80</v>
      </c>
      <c r="F92" s="1">
        <v>189.65</v>
      </c>
      <c r="G92" s="1">
        <v>17000</v>
      </c>
      <c r="H92" s="1">
        <f t="shared" si="2"/>
        <v>0</v>
      </c>
      <c r="I92" s="89"/>
      <c r="J92" s="454"/>
      <c r="K92" s="454"/>
      <c r="L92" s="454"/>
      <c r="M92" s="455"/>
      <c r="N92" s="43"/>
      <c r="O92" s="388"/>
      <c r="P92" s="48"/>
      <c r="Q92" s="370"/>
      <c r="R92" s="48"/>
    </row>
    <row r="93" spans="1:18" s="453" customFormat="1" ht="15" x14ac:dyDescent="0.25">
      <c r="A93" s="1">
        <v>88</v>
      </c>
      <c r="B93" s="1" t="s">
        <v>732</v>
      </c>
      <c r="C93" s="32">
        <v>1543</v>
      </c>
      <c r="D93" s="58">
        <v>15500</v>
      </c>
      <c r="E93" s="1" t="s">
        <v>80</v>
      </c>
      <c r="F93" s="1">
        <v>172.42</v>
      </c>
      <c r="G93" s="1">
        <v>15500</v>
      </c>
      <c r="H93" s="1">
        <f t="shared" si="2"/>
        <v>0</v>
      </c>
      <c r="I93" s="89"/>
      <c r="J93" s="454"/>
      <c r="K93" s="454"/>
      <c r="L93" s="454"/>
      <c r="M93" s="455"/>
      <c r="N93" s="43"/>
      <c r="O93" s="388"/>
      <c r="P93" s="48"/>
      <c r="Q93" s="370"/>
      <c r="R93" s="48"/>
    </row>
    <row r="94" spans="1:18" s="453" customFormat="1" ht="15" x14ac:dyDescent="0.25">
      <c r="A94" s="1">
        <v>89</v>
      </c>
      <c r="B94" s="1" t="s">
        <v>732</v>
      </c>
      <c r="C94" s="32">
        <v>9903</v>
      </c>
      <c r="D94" s="58">
        <v>16000</v>
      </c>
      <c r="E94" s="1" t="s">
        <v>80</v>
      </c>
      <c r="F94" s="1">
        <v>178.22</v>
      </c>
      <c r="G94" s="1">
        <v>16000</v>
      </c>
      <c r="H94" s="1">
        <f t="shared" si="2"/>
        <v>0</v>
      </c>
      <c r="I94" s="89"/>
      <c r="J94" s="454"/>
      <c r="K94" s="454"/>
      <c r="L94" s="454"/>
      <c r="M94" s="455"/>
      <c r="N94" s="43"/>
      <c r="O94" s="388"/>
      <c r="P94" s="48"/>
      <c r="Q94" s="370"/>
      <c r="R94" s="48"/>
    </row>
    <row r="95" spans="1:18" s="453" customFormat="1" ht="15" x14ac:dyDescent="0.25">
      <c r="A95" s="1">
        <v>90</v>
      </c>
      <c r="B95" s="1" t="s">
        <v>732</v>
      </c>
      <c r="C95" s="32">
        <v>7672</v>
      </c>
      <c r="D95" s="58">
        <v>17000</v>
      </c>
      <c r="E95" s="1" t="s">
        <v>80</v>
      </c>
      <c r="F95" s="1">
        <v>189.65</v>
      </c>
      <c r="G95" s="1">
        <v>17000</v>
      </c>
      <c r="H95" s="1">
        <f t="shared" si="2"/>
        <v>0</v>
      </c>
      <c r="I95" s="89"/>
      <c r="J95" s="454"/>
      <c r="K95" s="454"/>
      <c r="L95" s="454"/>
      <c r="M95" s="455"/>
      <c r="N95" s="43"/>
      <c r="O95" s="388"/>
      <c r="P95" s="48"/>
      <c r="Q95" s="370"/>
      <c r="R95" s="48"/>
    </row>
    <row r="96" spans="1:18" s="453" customFormat="1" ht="15" x14ac:dyDescent="0.25">
      <c r="A96" s="1">
        <v>91</v>
      </c>
      <c r="B96" s="1" t="s">
        <v>732</v>
      </c>
      <c r="C96" s="32">
        <v>1633</v>
      </c>
      <c r="D96" s="58">
        <v>24000</v>
      </c>
      <c r="E96" s="1" t="s">
        <v>80</v>
      </c>
      <c r="F96" s="1">
        <v>267.52</v>
      </c>
      <c r="G96" s="1">
        <v>24000</v>
      </c>
      <c r="H96" s="1">
        <f t="shared" si="2"/>
        <v>0</v>
      </c>
      <c r="I96" s="89"/>
      <c r="J96" s="454"/>
      <c r="K96" s="454"/>
      <c r="L96" s="454"/>
      <c r="M96" s="455"/>
      <c r="N96" s="43"/>
      <c r="O96" s="388"/>
      <c r="P96" s="48"/>
      <c r="Q96" s="370"/>
      <c r="R96" s="48"/>
    </row>
    <row r="97" spans="1:18" s="453" customFormat="1" ht="15" x14ac:dyDescent="0.25">
      <c r="A97" s="1">
        <v>92</v>
      </c>
      <c r="B97" s="1" t="s">
        <v>732</v>
      </c>
      <c r="C97" s="32">
        <v>5498</v>
      </c>
      <c r="D97" s="58">
        <v>23000</v>
      </c>
      <c r="E97" s="1"/>
      <c r="F97" s="1">
        <v>256.92</v>
      </c>
      <c r="G97" s="1">
        <v>23000</v>
      </c>
      <c r="H97" s="1">
        <f t="shared" si="2"/>
        <v>0</v>
      </c>
      <c r="I97" s="89"/>
      <c r="J97" s="454"/>
      <c r="K97" s="454"/>
      <c r="L97" s="454"/>
      <c r="M97" s="455"/>
      <c r="N97" s="43"/>
      <c r="O97" s="388"/>
      <c r="P97" s="48"/>
      <c r="Q97" s="370"/>
      <c r="R97" s="48"/>
    </row>
    <row r="98" spans="1:18" s="453" customFormat="1" ht="15" x14ac:dyDescent="0.25">
      <c r="A98" s="1">
        <v>93</v>
      </c>
      <c r="B98" s="1" t="s">
        <v>732</v>
      </c>
      <c r="C98" s="32">
        <v>3504</v>
      </c>
      <c r="D98" s="58">
        <v>14000</v>
      </c>
      <c r="E98" s="1" t="s">
        <v>80</v>
      </c>
      <c r="F98" s="1">
        <v>155.13999999999999</v>
      </c>
      <c r="G98" s="1">
        <v>14000</v>
      </c>
      <c r="H98" s="1">
        <f t="shared" si="2"/>
        <v>0</v>
      </c>
      <c r="I98" s="89"/>
      <c r="J98" s="454"/>
      <c r="K98" s="454"/>
      <c r="L98" s="454"/>
      <c r="M98" s="455"/>
      <c r="N98" s="43"/>
      <c r="O98" s="388"/>
      <c r="P98" s="48"/>
      <c r="Q98" s="370"/>
      <c r="R98" s="48"/>
    </row>
    <row r="99" spans="1:18" s="453" customFormat="1" ht="15" x14ac:dyDescent="0.25">
      <c r="A99" s="1">
        <v>94</v>
      </c>
      <c r="B99" s="1" t="s">
        <v>732</v>
      </c>
      <c r="C99" s="32">
        <v>8082</v>
      </c>
      <c r="D99" s="58">
        <v>30000</v>
      </c>
      <c r="E99" s="1" t="s">
        <v>80</v>
      </c>
      <c r="F99" s="1">
        <v>325.68</v>
      </c>
      <c r="G99" s="1">
        <v>30000</v>
      </c>
      <c r="H99" s="1">
        <f t="shared" si="2"/>
        <v>0</v>
      </c>
      <c r="I99" s="89"/>
      <c r="J99" s="454"/>
      <c r="K99" s="454"/>
      <c r="L99" s="454"/>
      <c r="M99" s="455"/>
      <c r="N99" s="43"/>
      <c r="O99" s="388"/>
      <c r="P99" s="48"/>
      <c r="Q99" s="370"/>
      <c r="R99" s="48"/>
    </row>
    <row r="100" spans="1:18" s="453" customFormat="1" ht="15" x14ac:dyDescent="0.25">
      <c r="A100" s="1">
        <v>95</v>
      </c>
      <c r="B100" s="1" t="s">
        <v>732</v>
      </c>
      <c r="C100" s="32">
        <v>4430</v>
      </c>
      <c r="D100" s="58">
        <v>25000</v>
      </c>
      <c r="E100" s="1" t="s">
        <v>80</v>
      </c>
      <c r="F100" s="1">
        <v>278.22000000000003</v>
      </c>
      <c r="G100" s="1">
        <v>25000</v>
      </c>
      <c r="H100" s="1">
        <f t="shared" si="2"/>
        <v>0</v>
      </c>
      <c r="I100" s="89"/>
      <c r="J100" s="454"/>
      <c r="K100" s="454"/>
      <c r="L100" s="454"/>
      <c r="M100" s="455"/>
      <c r="N100" s="43"/>
      <c r="O100" s="388"/>
      <c r="P100" s="48"/>
      <c r="Q100" s="370"/>
      <c r="R100" s="48"/>
    </row>
    <row r="101" spans="1:18" s="453" customFormat="1" ht="15" x14ac:dyDescent="0.25">
      <c r="A101" s="1">
        <v>96</v>
      </c>
      <c r="B101" s="1" t="s">
        <v>732</v>
      </c>
      <c r="C101" s="32">
        <v>9311</v>
      </c>
      <c r="D101" s="58">
        <v>26000</v>
      </c>
      <c r="E101" s="1" t="s">
        <v>80</v>
      </c>
      <c r="F101" s="1">
        <v>289.74</v>
      </c>
      <c r="G101" s="1">
        <v>26000</v>
      </c>
      <c r="H101" s="1">
        <f t="shared" si="2"/>
        <v>0</v>
      </c>
      <c r="I101" s="89"/>
      <c r="J101" s="454"/>
      <c r="K101" s="454"/>
      <c r="L101" s="454"/>
      <c r="M101" s="455"/>
      <c r="N101" s="43"/>
      <c r="O101" s="388"/>
      <c r="P101" s="48"/>
      <c r="Q101" s="370"/>
      <c r="R101" s="48"/>
    </row>
    <row r="102" spans="1:18" s="453" customFormat="1" ht="15" x14ac:dyDescent="0.25">
      <c r="A102" s="1">
        <v>97</v>
      </c>
      <c r="B102" s="1" t="s">
        <v>732</v>
      </c>
      <c r="C102" s="32">
        <v>5888</v>
      </c>
      <c r="D102" s="58">
        <v>24000</v>
      </c>
      <c r="E102" s="1" t="s">
        <v>80</v>
      </c>
      <c r="F102" s="1">
        <v>267.52</v>
      </c>
      <c r="G102" s="1">
        <v>24000</v>
      </c>
      <c r="H102" s="1">
        <f t="shared" si="2"/>
        <v>0</v>
      </c>
      <c r="I102" s="89"/>
      <c r="J102" s="454"/>
      <c r="K102" s="454"/>
      <c r="L102" s="454"/>
      <c r="M102" s="455"/>
      <c r="N102" s="43"/>
      <c r="O102" s="388"/>
      <c r="P102" s="48"/>
      <c r="Q102" s="370"/>
      <c r="R102" s="48"/>
    </row>
    <row r="103" spans="1:18" s="453" customFormat="1" ht="15" x14ac:dyDescent="0.25">
      <c r="A103" s="1">
        <v>98</v>
      </c>
      <c r="B103" s="1" t="s">
        <v>732</v>
      </c>
      <c r="C103" s="32">
        <v>8551</v>
      </c>
      <c r="D103" s="58">
        <v>14000</v>
      </c>
      <c r="E103" s="1" t="s">
        <v>80</v>
      </c>
      <c r="F103" s="1">
        <v>155.13999999999999</v>
      </c>
      <c r="G103" s="1">
        <v>14000</v>
      </c>
      <c r="H103" s="1">
        <f t="shared" si="2"/>
        <v>0</v>
      </c>
      <c r="I103" s="89"/>
      <c r="J103" s="454"/>
      <c r="K103" s="454"/>
      <c r="L103" s="454"/>
      <c r="M103" s="455"/>
      <c r="N103" s="43"/>
      <c r="O103" s="388"/>
      <c r="P103" s="48"/>
      <c r="Q103" s="370"/>
      <c r="R103" s="48"/>
    </row>
    <row r="104" spans="1:18" s="453" customFormat="1" ht="15" x14ac:dyDescent="0.25">
      <c r="A104" s="1">
        <v>99</v>
      </c>
      <c r="B104" s="1" t="s">
        <v>732</v>
      </c>
      <c r="C104" s="32">
        <v>2795</v>
      </c>
      <c r="D104" s="58">
        <v>15000</v>
      </c>
      <c r="E104" s="1" t="s">
        <v>80</v>
      </c>
      <c r="F104" s="1">
        <v>167.15</v>
      </c>
      <c r="G104" s="1">
        <v>15000</v>
      </c>
      <c r="H104" s="1">
        <f t="shared" si="2"/>
        <v>0</v>
      </c>
      <c r="I104" s="89"/>
      <c r="J104" s="454"/>
      <c r="K104" s="454"/>
      <c r="L104" s="454"/>
      <c r="M104" s="455"/>
      <c r="N104" s="43"/>
      <c r="O104" s="388"/>
      <c r="P104" s="48"/>
      <c r="Q104" s="370"/>
      <c r="R104" s="48"/>
    </row>
    <row r="105" spans="1:18" s="453" customFormat="1" ht="15.75" thickBot="1" x14ac:dyDescent="0.3">
      <c r="A105" s="1">
        <v>100</v>
      </c>
      <c r="B105" s="1" t="s">
        <v>732</v>
      </c>
      <c r="C105" s="32">
        <v>4083</v>
      </c>
      <c r="D105" s="58">
        <v>26000</v>
      </c>
      <c r="E105" s="1" t="s">
        <v>80</v>
      </c>
      <c r="F105" s="1">
        <v>289.74</v>
      </c>
      <c r="G105" s="1">
        <v>26000</v>
      </c>
      <c r="H105" s="1">
        <f t="shared" si="2"/>
        <v>0</v>
      </c>
      <c r="I105" s="89"/>
      <c r="J105" s="454"/>
      <c r="K105" s="454"/>
      <c r="L105" s="454"/>
      <c r="M105" s="455"/>
      <c r="N105" s="43"/>
      <c r="O105" s="388"/>
      <c r="P105" s="48"/>
      <c r="Q105" s="370"/>
      <c r="R105" s="48"/>
    </row>
    <row r="106" spans="1:18" s="453" customFormat="1" ht="15.75" thickBot="1" x14ac:dyDescent="0.3">
      <c r="A106" s="1">
        <v>101</v>
      </c>
      <c r="B106" s="1" t="s">
        <v>732</v>
      </c>
      <c r="C106" s="32">
        <v>8338</v>
      </c>
      <c r="D106" s="58">
        <v>19000</v>
      </c>
      <c r="E106" s="1" t="s">
        <v>80</v>
      </c>
      <c r="F106" s="1">
        <v>211.85</v>
      </c>
      <c r="G106" s="1">
        <v>19000</v>
      </c>
      <c r="H106" s="1">
        <f t="shared" si="2"/>
        <v>0</v>
      </c>
      <c r="I106" s="89"/>
      <c r="J106" s="454"/>
      <c r="K106" s="454"/>
      <c r="L106" s="454"/>
      <c r="M106" s="455"/>
      <c r="N106" s="43"/>
      <c r="O106" s="103">
        <f>2391344-2372542</f>
        <v>18802</v>
      </c>
      <c r="P106" s="359" t="s">
        <v>730</v>
      </c>
      <c r="Q106" s="367" t="s">
        <v>620</v>
      </c>
      <c r="R106" s="360">
        <f>18822-6800</f>
        <v>12022</v>
      </c>
    </row>
    <row r="107" spans="1:18" s="456" customFormat="1" ht="15" x14ac:dyDescent="0.25">
      <c r="A107" s="1">
        <v>102</v>
      </c>
      <c r="B107" s="1" t="s">
        <v>734</v>
      </c>
      <c r="C107" s="32" t="s">
        <v>30</v>
      </c>
      <c r="D107" s="58">
        <v>5000</v>
      </c>
      <c r="E107" s="1" t="s">
        <v>80</v>
      </c>
      <c r="F107" s="1">
        <v>55.45</v>
      </c>
      <c r="G107" s="1">
        <v>5000</v>
      </c>
      <c r="H107" s="1">
        <f t="shared" si="2"/>
        <v>0</v>
      </c>
      <c r="I107" s="89"/>
      <c r="J107" s="454"/>
      <c r="K107" s="454"/>
      <c r="L107" s="454"/>
      <c r="M107" s="455"/>
      <c r="N107" s="43"/>
      <c r="O107" s="388"/>
      <c r="P107" s="48"/>
      <c r="Q107" s="370"/>
      <c r="R107" s="48"/>
    </row>
    <row r="108" spans="1:18" s="456" customFormat="1" ht="15" x14ac:dyDescent="0.25">
      <c r="A108" s="1">
        <v>103</v>
      </c>
      <c r="B108" s="1" t="s">
        <v>734</v>
      </c>
      <c r="C108" s="32">
        <v>1827</v>
      </c>
      <c r="D108" s="58">
        <v>12000</v>
      </c>
      <c r="E108" s="1" t="s">
        <v>80</v>
      </c>
      <c r="F108" s="1">
        <v>133.41999999999999</v>
      </c>
      <c r="G108" s="1">
        <v>12000</v>
      </c>
      <c r="H108" s="1">
        <f t="shared" si="2"/>
        <v>0</v>
      </c>
      <c r="I108" s="89"/>
      <c r="J108" s="454"/>
      <c r="K108" s="454"/>
      <c r="L108" s="454"/>
      <c r="M108" s="455"/>
      <c r="N108" s="43"/>
      <c r="O108" s="388"/>
      <c r="P108" s="48"/>
      <c r="Q108" s="370"/>
      <c r="R108" s="48"/>
    </row>
    <row r="109" spans="1:18" s="456" customFormat="1" ht="15" x14ac:dyDescent="0.25">
      <c r="A109" s="1">
        <v>104</v>
      </c>
      <c r="B109" s="1" t="s">
        <v>734</v>
      </c>
      <c r="C109" s="32">
        <v>7450</v>
      </c>
      <c r="D109" s="58">
        <v>10000</v>
      </c>
      <c r="E109" s="1" t="s">
        <v>80</v>
      </c>
      <c r="F109" s="1">
        <v>111.41</v>
      </c>
      <c r="G109" s="1">
        <v>10000</v>
      </c>
      <c r="H109" s="1">
        <f t="shared" si="2"/>
        <v>0</v>
      </c>
      <c r="I109" s="89"/>
      <c r="J109" s="454"/>
      <c r="K109" s="454"/>
      <c r="L109" s="454"/>
      <c r="M109" s="455"/>
      <c r="N109" s="43"/>
      <c r="O109" s="388"/>
      <c r="P109" s="48"/>
      <c r="Q109" s="370"/>
      <c r="R109" s="48"/>
    </row>
    <row r="110" spans="1:18" s="456" customFormat="1" ht="15" x14ac:dyDescent="0.25">
      <c r="A110" s="1">
        <v>105</v>
      </c>
      <c r="B110" s="1" t="s">
        <v>734</v>
      </c>
      <c r="C110" s="32">
        <v>6411</v>
      </c>
      <c r="D110" s="58">
        <v>25000</v>
      </c>
      <c r="E110" s="1" t="s">
        <v>80</v>
      </c>
      <c r="F110" s="1">
        <v>278.22000000000003</v>
      </c>
      <c r="G110" s="1">
        <v>25000</v>
      </c>
      <c r="H110" s="1">
        <f t="shared" si="2"/>
        <v>0</v>
      </c>
      <c r="I110" s="89"/>
      <c r="J110" s="454"/>
      <c r="K110" s="454"/>
      <c r="L110" s="454"/>
      <c r="M110" s="455"/>
      <c r="N110" s="43"/>
      <c r="O110" s="388"/>
      <c r="P110" s="48"/>
      <c r="Q110" s="370"/>
      <c r="R110" s="48"/>
    </row>
    <row r="111" spans="1:18" s="456" customFormat="1" ht="15" x14ac:dyDescent="0.25">
      <c r="A111" s="1">
        <v>106</v>
      </c>
      <c r="B111" s="1" t="s">
        <v>734</v>
      </c>
      <c r="C111" s="32">
        <v>8100</v>
      </c>
      <c r="D111" s="58">
        <v>12000</v>
      </c>
      <c r="E111" s="1" t="s">
        <v>80</v>
      </c>
      <c r="F111" s="1">
        <v>133.41999999999999</v>
      </c>
      <c r="G111" s="1">
        <v>12000</v>
      </c>
      <c r="H111" s="1">
        <f t="shared" si="2"/>
        <v>0</v>
      </c>
      <c r="I111" s="89"/>
      <c r="J111" s="454"/>
      <c r="K111" s="454"/>
      <c r="L111" s="454"/>
      <c r="M111" s="455"/>
      <c r="N111" s="43"/>
      <c r="O111" s="388"/>
      <c r="P111" s="48"/>
      <c r="Q111" s="370"/>
      <c r="R111" s="48"/>
    </row>
    <row r="112" spans="1:18" s="456" customFormat="1" ht="15" x14ac:dyDescent="0.25">
      <c r="A112" s="1">
        <v>107</v>
      </c>
      <c r="B112" s="1" t="s">
        <v>734</v>
      </c>
      <c r="C112" s="32">
        <v>3436</v>
      </c>
      <c r="D112" s="58">
        <v>15000</v>
      </c>
      <c r="E112" s="1" t="s">
        <v>80</v>
      </c>
      <c r="F112" s="1">
        <v>167.15</v>
      </c>
      <c r="G112" s="1">
        <v>15000</v>
      </c>
      <c r="H112" s="1">
        <f t="shared" si="2"/>
        <v>0</v>
      </c>
      <c r="I112" s="89"/>
      <c r="J112" s="454"/>
      <c r="K112" s="454"/>
      <c r="L112" s="454"/>
      <c r="M112" s="455"/>
      <c r="N112" s="43"/>
      <c r="O112" s="388"/>
      <c r="P112" s="48"/>
      <c r="Q112" s="370"/>
      <c r="R112" s="48"/>
    </row>
    <row r="113" spans="1:18" s="456" customFormat="1" ht="15" x14ac:dyDescent="0.25">
      <c r="A113" s="1">
        <v>108</v>
      </c>
      <c r="B113" s="1" t="s">
        <v>734</v>
      </c>
      <c r="C113" s="32">
        <v>7655</v>
      </c>
      <c r="D113" s="58">
        <v>13000</v>
      </c>
      <c r="E113" s="1" t="s">
        <v>80</v>
      </c>
      <c r="F113" s="1">
        <v>144.13</v>
      </c>
      <c r="G113" s="1">
        <v>13000</v>
      </c>
      <c r="H113" s="1">
        <f t="shared" si="2"/>
        <v>0</v>
      </c>
      <c r="I113" s="89"/>
      <c r="J113" s="454"/>
      <c r="K113" s="454"/>
      <c r="L113" s="454"/>
      <c r="M113" s="455"/>
      <c r="N113" s="43"/>
      <c r="O113" s="388"/>
      <c r="P113" s="48"/>
      <c r="Q113" s="370"/>
      <c r="R113" s="48"/>
    </row>
    <row r="114" spans="1:18" s="456" customFormat="1" ht="15" x14ac:dyDescent="0.25">
      <c r="A114" s="1">
        <v>109</v>
      </c>
      <c r="B114" s="1" t="s">
        <v>734</v>
      </c>
      <c r="C114" s="32">
        <v>5859</v>
      </c>
      <c r="D114" s="58">
        <v>15000</v>
      </c>
      <c r="E114" s="1" t="s">
        <v>80</v>
      </c>
      <c r="F114" s="1">
        <v>167.15</v>
      </c>
      <c r="G114" s="1">
        <v>15000</v>
      </c>
      <c r="H114" s="1">
        <f t="shared" si="2"/>
        <v>0</v>
      </c>
      <c r="I114" s="89"/>
      <c r="J114" s="454"/>
      <c r="K114" s="454"/>
      <c r="L114" s="454"/>
      <c r="M114" s="455"/>
      <c r="N114" s="43"/>
      <c r="O114" s="388"/>
      <c r="P114" s="48"/>
      <c r="Q114" s="370"/>
      <c r="R114" s="48"/>
    </row>
    <row r="115" spans="1:18" s="456" customFormat="1" ht="15" x14ac:dyDescent="0.25">
      <c r="A115" s="1">
        <v>110</v>
      </c>
      <c r="B115" s="1" t="s">
        <v>734</v>
      </c>
      <c r="C115" s="32">
        <v>8515</v>
      </c>
      <c r="D115" s="58">
        <v>13000</v>
      </c>
      <c r="E115" s="1" t="s">
        <v>80</v>
      </c>
      <c r="F115" s="1">
        <v>144.13</v>
      </c>
      <c r="G115" s="1">
        <v>13000</v>
      </c>
      <c r="H115" s="1">
        <f t="shared" si="2"/>
        <v>0</v>
      </c>
      <c r="I115" s="89"/>
      <c r="J115" s="454"/>
      <c r="K115" s="454"/>
      <c r="L115" s="454"/>
      <c r="M115" s="455"/>
      <c r="N115" s="43"/>
      <c r="O115" s="388"/>
      <c r="P115" s="48"/>
      <c r="Q115" s="370"/>
      <c r="R115" s="48"/>
    </row>
    <row r="116" spans="1:18" s="456" customFormat="1" ht="15" x14ac:dyDescent="0.25">
      <c r="A116" s="1">
        <v>111</v>
      </c>
      <c r="B116" s="1" t="s">
        <v>734</v>
      </c>
      <c r="C116" s="32">
        <v>9767</v>
      </c>
      <c r="D116" s="58">
        <v>14000</v>
      </c>
      <c r="E116" s="1" t="s">
        <v>80</v>
      </c>
      <c r="F116" s="1">
        <v>149.62</v>
      </c>
      <c r="G116" s="1">
        <v>14000</v>
      </c>
      <c r="H116" s="1">
        <f t="shared" si="2"/>
        <v>0</v>
      </c>
      <c r="I116" s="89"/>
      <c r="J116" s="454"/>
      <c r="K116" s="454"/>
      <c r="L116" s="454"/>
      <c r="M116" s="455"/>
      <c r="N116" s="43"/>
      <c r="O116" s="388"/>
      <c r="P116" s="48"/>
      <c r="Q116" s="370"/>
      <c r="R116" s="48"/>
    </row>
    <row r="117" spans="1:18" s="456" customFormat="1" ht="15" x14ac:dyDescent="0.25">
      <c r="A117" s="1">
        <v>112</v>
      </c>
      <c r="B117" s="1" t="s">
        <v>734</v>
      </c>
      <c r="C117" s="32">
        <v>6100</v>
      </c>
      <c r="D117" s="58">
        <v>16000</v>
      </c>
      <c r="E117" s="1" t="s">
        <v>80</v>
      </c>
      <c r="F117" s="1">
        <v>178.22</v>
      </c>
      <c r="G117" s="1">
        <v>16000</v>
      </c>
      <c r="H117" s="1">
        <f t="shared" si="2"/>
        <v>0</v>
      </c>
      <c r="I117" s="89"/>
      <c r="J117" s="454"/>
      <c r="K117" s="454"/>
      <c r="L117" s="454"/>
      <c r="M117" s="455"/>
      <c r="N117" s="43"/>
      <c r="O117" s="388"/>
      <c r="P117" s="48"/>
      <c r="Q117" s="370"/>
      <c r="R117" s="48"/>
    </row>
    <row r="118" spans="1:18" s="456" customFormat="1" ht="15" x14ac:dyDescent="0.25">
      <c r="A118" s="1">
        <v>113</v>
      </c>
      <c r="B118" s="1" t="s">
        <v>734</v>
      </c>
      <c r="C118" s="32">
        <v>6865</v>
      </c>
      <c r="D118" s="58">
        <v>10000</v>
      </c>
      <c r="E118" s="1" t="s">
        <v>80</v>
      </c>
      <c r="F118" s="1">
        <v>111.41</v>
      </c>
      <c r="G118" s="1">
        <v>10000</v>
      </c>
      <c r="H118" s="1">
        <f t="shared" si="2"/>
        <v>0</v>
      </c>
      <c r="I118" s="89"/>
      <c r="J118" s="454"/>
      <c r="K118" s="454"/>
      <c r="L118" s="454"/>
      <c r="M118" s="455"/>
      <c r="N118" s="43"/>
      <c r="O118" s="388"/>
      <c r="P118" s="48"/>
      <c r="Q118" s="370"/>
      <c r="R118" s="48"/>
    </row>
    <row r="119" spans="1:18" s="456" customFormat="1" ht="15" x14ac:dyDescent="0.25">
      <c r="A119" s="1">
        <v>114</v>
      </c>
      <c r="B119" s="1" t="s">
        <v>734</v>
      </c>
      <c r="C119" s="32" t="s">
        <v>735</v>
      </c>
      <c r="D119" s="58">
        <v>3500</v>
      </c>
      <c r="E119" s="1" t="s">
        <v>80</v>
      </c>
      <c r="F119" s="1">
        <v>38.15</v>
      </c>
      <c r="G119" s="1">
        <v>3500</v>
      </c>
      <c r="H119" s="1">
        <f t="shared" si="2"/>
        <v>0</v>
      </c>
      <c r="I119" s="89"/>
      <c r="J119" s="454"/>
      <c r="K119" s="454"/>
      <c r="L119" s="454"/>
      <c r="M119" s="455"/>
      <c r="N119" s="43"/>
      <c r="O119" s="388"/>
      <c r="P119" s="48"/>
      <c r="Q119" s="370"/>
      <c r="R119" s="48"/>
    </row>
    <row r="120" spans="1:18" s="456" customFormat="1" ht="15" x14ac:dyDescent="0.25">
      <c r="A120" s="1">
        <v>115</v>
      </c>
      <c r="B120" s="1" t="s">
        <v>734</v>
      </c>
      <c r="C120" s="32">
        <v>4077</v>
      </c>
      <c r="D120" s="58">
        <v>14000</v>
      </c>
      <c r="E120" s="1" t="s">
        <v>80</v>
      </c>
      <c r="F120" s="1">
        <v>145.38</v>
      </c>
      <c r="G120" s="1">
        <v>14000</v>
      </c>
      <c r="H120" s="1">
        <f t="shared" si="2"/>
        <v>0</v>
      </c>
      <c r="I120" s="89"/>
      <c r="J120" s="454"/>
      <c r="K120" s="454"/>
      <c r="L120" s="454"/>
      <c r="M120" s="455"/>
      <c r="N120" s="43"/>
      <c r="O120" s="388"/>
      <c r="P120" s="48"/>
      <c r="Q120" s="370"/>
      <c r="R120" s="48"/>
    </row>
    <row r="121" spans="1:18" s="456" customFormat="1" ht="15" x14ac:dyDescent="0.25">
      <c r="A121" s="1">
        <v>116</v>
      </c>
      <c r="B121" s="1" t="s">
        <v>734</v>
      </c>
      <c r="C121" s="32">
        <v>5225</v>
      </c>
      <c r="D121" s="58">
        <v>13500</v>
      </c>
      <c r="E121" s="1" t="s">
        <v>80</v>
      </c>
      <c r="F121" s="1">
        <v>150.97</v>
      </c>
      <c r="G121" s="1">
        <v>13500</v>
      </c>
      <c r="H121" s="1">
        <f t="shared" si="2"/>
        <v>0</v>
      </c>
      <c r="I121" s="89"/>
      <c r="J121" s="454"/>
      <c r="K121" s="454"/>
      <c r="L121" s="454"/>
      <c r="M121" s="455"/>
      <c r="N121" s="43"/>
      <c r="O121" s="388"/>
      <c r="P121" s="48"/>
      <c r="Q121" s="370"/>
      <c r="R121" s="48"/>
    </row>
    <row r="122" spans="1:18" s="456" customFormat="1" ht="15" x14ac:dyDescent="0.25">
      <c r="A122" s="1">
        <v>117</v>
      </c>
      <c r="B122" s="1" t="s">
        <v>734</v>
      </c>
      <c r="C122" s="32">
        <v>8595</v>
      </c>
      <c r="D122" s="58">
        <v>13500</v>
      </c>
      <c r="E122" s="1" t="s">
        <v>80</v>
      </c>
      <c r="F122" s="1">
        <v>150.97</v>
      </c>
      <c r="G122" s="1">
        <v>13500</v>
      </c>
      <c r="H122" s="1">
        <f t="shared" si="2"/>
        <v>0</v>
      </c>
      <c r="I122" s="89"/>
      <c r="J122" s="454"/>
      <c r="K122" s="454"/>
      <c r="L122" s="454"/>
      <c r="M122" s="455"/>
      <c r="N122" s="43"/>
      <c r="O122" s="388"/>
      <c r="P122" s="48"/>
      <c r="Q122" s="370"/>
      <c r="R122" s="48"/>
    </row>
    <row r="123" spans="1:18" s="456" customFormat="1" ht="15" x14ac:dyDescent="0.25">
      <c r="A123" s="1">
        <v>118</v>
      </c>
      <c r="B123" s="1" t="s">
        <v>734</v>
      </c>
      <c r="C123" s="32">
        <v>3839</v>
      </c>
      <c r="D123" s="58">
        <v>14500</v>
      </c>
      <c r="E123" s="1" t="s">
        <v>80</v>
      </c>
      <c r="F123" s="1">
        <v>161.62</v>
      </c>
      <c r="G123" s="1">
        <v>14500</v>
      </c>
      <c r="H123" s="1">
        <f t="shared" si="2"/>
        <v>0</v>
      </c>
      <c r="I123" s="89"/>
      <c r="J123" s="454"/>
      <c r="K123" s="454"/>
      <c r="L123" s="454"/>
      <c r="M123" s="455"/>
      <c r="N123" s="43"/>
      <c r="O123" s="388"/>
      <c r="P123" s="48"/>
      <c r="Q123" s="370"/>
      <c r="R123" s="48"/>
    </row>
    <row r="124" spans="1:18" s="456" customFormat="1" ht="15" x14ac:dyDescent="0.25">
      <c r="A124" s="1">
        <v>119</v>
      </c>
      <c r="B124" s="1" t="s">
        <v>734</v>
      </c>
      <c r="C124" s="32">
        <v>4575</v>
      </c>
      <c r="D124" s="58">
        <v>13500</v>
      </c>
      <c r="E124" s="1" t="s">
        <v>80</v>
      </c>
      <c r="F124" s="1">
        <v>150.37</v>
      </c>
      <c r="G124" s="1">
        <v>13500</v>
      </c>
      <c r="H124" s="1">
        <f t="shared" si="2"/>
        <v>0</v>
      </c>
      <c r="I124" s="89"/>
      <c r="J124" s="454"/>
      <c r="K124" s="454"/>
      <c r="L124" s="454"/>
      <c r="M124" s="455"/>
      <c r="N124" s="43"/>
      <c r="O124" s="388"/>
      <c r="P124" s="48"/>
      <c r="Q124" s="370"/>
      <c r="R124" s="48"/>
    </row>
    <row r="125" spans="1:18" s="456" customFormat="1" ht="15" x14ac:dyDescent="0.25">
      <c r="A125" s="1">
        <v>120</v>
      </c>
      <c r="B125" s="1" t="s">
        <v>734</v>
      </c>
      <c r="C125" s="32" t="s">
        <v>633</v>
      </c>
      <c r="D125" s="58">
        <v>210</v>
      </c>
      <c r="E125" s="1" t="s">
        <v>80</v>
      </c>
      <c r="F125" s="1">
        <v>2.09</v>
      </c>
      <c r="G125" s="1">
        <v>210</v>
      </c>
      <c r="H125" s="1">
        <f t="shared" si="2"/>
        <v>0</v>
      </c>
      <c r="I125" s="89"/>
      <c r="J125" s="454"/>
      <c r="K125" s="454"/>
      <c r="L125" s="454"/>
      <c r="M125" s="455"/>
      <c r="N125" s="43"/>
      <c r="O125" s="388"/>
      <c r="P125" s="48"/>
      <c r="Q125" s="370"/>
      <c r="R125" s="48"/>
    </row>
    <row r="126" spans="1:18" s="456" customFormat="1" ht="15" x14ac:dyDescent="0.25">
      <c r="A126" s="1">
        <v>121</v>
      </c>
      <c r="B126" s="1" t="s">
        <v>734</v>
      </c>
      <c r="C126" s="32">
        <v>9777</v>
      </c>
      <c r="D126" s="58">
        <v>16000</v>
      </c>
      <c r="E126" s="1" t="s">
        <v>80</v>
      </c>
      <c r="F126" s="1">
        <v>178.22</v>
      </c>
      <c r="G126" s="1">
        <v>16000</v>
      </c>
      <c r="H126" s="1">
        <f t="shared" si="2"/>
        <v>0</v>
      </c>
      <c r="I126" s="89"/>
      <c r="J126" s="454"/>
      <c r="K126" s="454"/>
      <c r="L126" s="454"/>
      <c r="M126" s="455"/>
      <c r="N126" s="43"/>
      <c r="O126" s="388"/>
      <c r="P126" s="48"/>
      <c r="Q126" s="370"/>
      <c r="R126" s="48"/>
    </row>
    <row r="127" spans="1:18" s="456" customFormat="1" ht="15" x14ac:dyDescent="0.25">
      <c r="A127" s="1">
        <v>122</v>
      </c>
      <c r="B127" s="1" t="s">
        <v>734</v>
      </c>
      <c r="C127" s="32">
        <v>9876</v>
      </c>
      <c r="D127" s="58">
        <v>16000</v>
      </c>
      <c r="E127" s="1" t="s">
        <v>80</v>
      </c>
      <c r="F127" s="1">
        <v>178.22</v>
      </c>
      <c r="G127" s="1">
        <v>16000</v>
      </c>
      <c r="H127" s="1">
        <f t="shared" si="2"/>
        <v>0</v>
      </c>
      <c r="I127" s="89"/>
      <c r="J127" s="454"/>
      <c r="K127" s="454"/>
      <c r="L127" s="454"/>
      <c r="M127" s="455"/>
      <c r="N127" s="43"/>
      <c r="O127" s="388"/>
      <c r="P127" s="48"/>
      <c r="Q127" s="370"/>
      <c r="R127" s="48"/>
    </row>
    <row r="128" spans="1:18" s="456" customFormat="1" ht="15" x14ac:dyDescent="0.25">
      <c r="A128" s="1">
        <v>123</v>
      </c>
      <c r="B128" s="1" t="s">
        <v>734</v>
      </c>
      <c r="C128" s="32">
        <v>9727</v>
      </c>
      <c r="D128" s="58">
        <v>18000</v>
      </c>
      <c r="E128" s="1" t="s">
        <v>80</v>
      </c>
      <c r="F128" s="1">
        <v>200.82</v>
      </c>
      <c r="G128" s="1">
        <v>18000</v>
      </c>
      <c r="H128" s="1">
        <f t="shared" si="2"/>
        <v>0</v>
      </c>
      <c r="I128" s="89"/>
      <c r="J128" s="454"/>
      <c r="K128" s="454"/>
      <c r="L128" s="454"/>
      <c r="M128" s="455"/>
      <c r="N128" s="43"/>
      <c r="O128" s="388"/>
      <c r="P128" s="48"/>
      <c r="Q128" s="370"/>
      <c r="R128" s="48"/>
    </row>
    <row r="129" spans="1:18" s="456" customFormat="1" ht="15" x14ac:dyDescent="0.25">
      <c r="A129" s="1">
        <v>124</v>
      </c>
      <c r="B129" s="1" t="s">
        <v>734</v>
      </c>
      <c r="C129" s="32">
        <v>5675</v>
      </c>
      <c r="D129" s="58">
        <v>23000</v>
      </c>
      <c r="E129" s="1" t="s">
        <v>80</v>
      </c>
      <c r="F129" s="1">
        <v>229.45</v>
      </c>
      <c r="G129" s="1">
        <v>23000</v>
      </c>
      <c r="H129" s="1">
        <f t="shared" si="2"/>
        <v>0</v>
      </c>
      <c r="I129" s="89"/>
      <c r="J129" s="454"/>
      <c r="K129" s="454"/>
      <c r="L129" s="454"/>
      <c r="M129" s="455"/>
      <c r="N129" s="43"/>
      <c r="O129" s="388"/>
      <c r="P129" s="48"/>
      <c r="Q129" s="370"/>
      <c r="R129" s="48"/>
    </row>
    <row r="130" spans="1:18" s="456" customFormat="1" ht="15" x14ac:dyDescent="0.25">
      <c r="A130" s="1">
        <v>125</v>
      </c>
      <c r="B130" s="1" t="s">
        <v>734</v>
      </c>
      <c r="C130" s="32">
        <v>6748</v>
      </c>
      <c r="D130" s="58">
        <v>20000</v>
      </c>
      <c r="E130" s="1" t="s">
        <v>80</v>
      </c>
      <c r="F130" s="1">
        <v>222.82</v>
      </c>
      <c r="G130" s="1">
        <v>20000</v>
      </c>
      <c r="H130" s="1">
        <f t="shared" si="2"/>
        <v>0</v>
      </c>
      <c r="I130" s="89"/>
      <c r="J130" s="454"/>
      <c r="K130" s="454"/>
      <c r="L130" s="454"/>
      <c r="M130" s="455"/>
      <c r="N130" s="43"/>
      <c r="O130" s="388"/>
      <c r="P130" s="48"/>
      <c r="Q130" s="370"/>
      <c r="R130" s="48"/>
    </row>
    <row r="131" spans="1:18" s="456" customFormat="1" ht="15" x14ac:dyDescent="0.25">
      <c r="A131" s="1">
        <v>126</v>
      </c>
      <c r="B131" s="1" t="s">
        <v>734</v>
      </c>
      <c r="C131" s="32">
        <v>8.5699999999999998E-2</v>
      </c>
      <c r="D131" s="58">
        <v>33000</v>
      </c>
      <c r="E131" s="1" t="s">
        <v>80</v>
      </c>
      <c r="F131" s="1">
        <v>367.54</v>
      </c>
      <c r="G131" s="1">
        <v>33000</v>
      </c>
      <c r="H131" s="1">
        <f t="shared" si="2"/>
        <v>0</v>
      </c>
      <c r="I131" s="89"/>
      <c r="J131" s="454"/>
      <c r="K131" s="454"/>
      <c r="L131" s="454"/>
      <c r="M131" s="455"/>
      <c r="N131" s="43"/>
      <c r="O131" s="388"/>
      <c r="P131" s="48"/>
      <c r="Q131" s="370"/>
      <c r="R131" s="48"/>
    </row>
    <row r="132" spans="1:18" s="456" customFormat="1" ht="15" x14ac:dyDescent="0.25">
      <c r="A132" s="1">
        <v>127</v>
      </c>
      <c r="B132" s="1" t="s">
        <v>734</v>
      </c>
      <c r="C132" s="32">
        <v>2233</v>
      </c>
      <c r="D132" s="58">
        <v>20000</v>
      </c>
      <c r="E132" s="1" t="s">
        <v>80</v>
      </c>
      <c r="F132" s="1">
        <v>222.82</v>
      </c>
      <c r="G132" s="1">
        <v>20000</v>
      </c>
      <c r="H132" s="1">
        <f t="shared" si="2"/>
        <v>0</v>
      </c>
      <c r="I132" s="89"/>
      <c r="J132" s="454"/>
      <c r="K132" s="454"/>
      <c r="L132" s="454"/>
      <c r="M132" s="455"/>
      <c r="N132" s="43"/>
      <c r="O132" s="388"/>
      <c r="P132" s="48"/>
      <c r="Q132" s="370"/>
      <c r="R132" s="48"/>
    </row>
    <row r="133" spans="1:18" s="456" customFormat="1" ht="15" x14ac:dyDescent="0.25">
      <c r="A133" s="1">
        <v>128</v>
      </c>
      <c r="B133" s="1" t="s">
        <v>734</v>
      </c>
      <c r="C133" s="32">
        <v>4295</v>
      </c>
      <c r="D133" s="58">
        <v>22000</v>
      </c>
      <c r="E133" s="1" t="s">
        <v>80</v>
      </c>
      <c r="F133" s="1">
        <v>245.37</v>
      </c>
      <c r="G133" s="1">
        <v>22000</v>
      </c>
      <c r="H133" s="1">
        <f t="shared" si="2"/>
        <v>0</v>
      </c>
      <c r="I133" s="89"/>
      <c r="J133" s="454"/>
      <c r="K133" s="454"/>
      <c r="L133" s="454"/>
      <c r="M133" s="455"/>
      <c r="N133" s="43"/>
      <c r="O133" s="388"/>
      <c r="P133" s="48"/>
      <c r="Q133" s="370"/>
      <c r="R133" s="48"/>
    </row>
    <row r="134" spans="1:18" s="456" customFormat="1" ht="15" x14ac:dyDescent="0.25">
      <c r="A134" s="1">
        <v>129</v>
      </c>
      <c r="B134" s="1" t="s">
        <v>734</v>
      </c>
      <c r="C134" s="32">
        <v>2626</v>
      </c>
      <c r="D134" s="58">
        <v>24000</v>
      </c>
      <c r="E134" s="1" t="s">
        <v>80</v>
      </c>
      <c r="F134" s="1">
        <v>267.45</v>
      </c>
      <c r="G134" s="1">
        <v>24000</v>
      </c>
      <c r="H134" s="1">
        <f t="shared" si="2"/>
        <v>0</v>
      </c>
      <c r="I134" s="89"/>
      <c r="J134" s="454"/>
      <c r="K134" s="454"/>
      <c r="L134" s="454"/>
      <c r="M134" s="455"/>
      <c r="N134" s="43"/>
      <c r="O134" s="388"/>
      <c r="P134" s="48"/>
      <c r="Q134" s="370"/>
      <c r="R134" s="48"/>
    </row>
    <row r="135" spans="1:18" s="456" customFormat="1" ht="15" x14ac:dyDescent="0.25">
      <c r="A135" s="1">
        <v>130</v>
      </c>
      <c r="B135" s="1" t="s">
        <v>734</v>
      </c>
      <c r="C135" s="32">
        <v>3636</v>
      </c>
      <c r="D135" s="58">
        <v>24000</v>
      </c>
      <c r="E135" s="1" t="s">
        <v>80</v>
      </c>
      <c r="F135" s="1">
        <v>267.45</v>
      </c>
      <c r="G135" s="1">
        <v>24000</v>
      </c>
      <c r="H135" s="1">
        <f t="shared" si="2"/>
        <v>0</v>
      </c>
      <c r="I135" s="89"/>
      <c r="J135" s="454"/>
      <c r="K135" s="454"/>
      <c r="L135" s="454"/>
      <c r="M135" s="455"/>
      <c r="N135" s="43"/>
      <c r="O135" s="388"/>
      <c r="P135" s="48"/>
      <c r="Q135" s="370"/>
      <c r="R135" s="48"/>
    </row>
    <row r="136" spans="1:18" s="456" customFormat="1" ht="15" x14ac:dyDescent="0.25">
      <c r="A136" s="1">
        <v>131</v>
      </c>
      <c r="B136" s="1" t="s">
        <v>734</v>
      </c>
      <c r="C136" s="32">
        <v>6447</v>
      </c>
      <c r="D136" s="58">
        <v>22200</v>
      </c>
      <c r="E136" s="1" t="s">
        <v>80</v>
      </c>
      <c r="F136" s="1">
        <v>247.68</v>
      </c>
      <c r="G136" s="1">
        <v>22200</v>
      </c>
      <c r="H136" s="1">
        <f t="shared" si="2"/>
        <v>0</v>
      </c>
      <c r="I136" s="89"/>
      <c r="J136" s="454"/>
      <c r="K136" s="454"/>
      <c r="L136" s="454"/>
      <c r="M136" s="455"/>
      <c r="N136" s="43"/>
      <c r="O136" s="388"/>
      <c r="P136" s="48"/>
      <c r="Q136" s="370"/>
      <c r="R136" s="48"/>
    </row>
    <row r="137" spans="1:18" s="456" customFormat="1" ht="15" x14ac:dyDescent="0.25">
      <c r="A137" s="1">
        <v>132</v>
      </c>
      <c r="B137" s="1" t="s">
        <v>734</v>
      </c>
      <c r="C137" s="32">
        <v>1142</v>
      </c>
      <c r="D137" s="58">
        <v>18000</v>
      </c>
      <c r="E137" s="1" t="s">
        <v>80</v>
      </c>
      <c r="F137" s="1">
        <v>200.82</v>
      </c>
      <c r="G137" s="1">
        <v>18000</v>
      </c>
      <c r="H137" s="1">
        <f t="shared" si="2"/>
        <v>0</v>
      </c>
      <c r="I137" s="89"/>
      <c r="J137" s="454"/>
      <c r="K137" s="454"/>
      <c r="L137" s="454"/>
      <c r="M137" s="455"/>
      <c r="N137" s="43"/>
      <c r="O137" s="388"/>
      <c r="P137" s="48"/>
      <c r="Q137" s="370"/>
      <c r="R137" s="48"/>
    </row>
    <row r="138" spans="1:18" s="456" customFormat="1" ht="15" x14ac:dyDescent="0.25">
      <c r="A138" s="1">
        <v>133</v>
      </c>
      <c r="B138" s="1" t="s">
        <v>734</v>
      </c>
      <c r="C138" s="32">
        <v>6535</v>
      </c>
      <c r="D138" s="58">
        <v>15000</v>
      </c>
      <c r="E138" s="1" t="s">
        <v>80</v>
      </c>
      <c r="F138" s="1">
        <v>167.15</v>
      </c>
      <c r="G138" s="1">
        <v>15000</v>
      </c>
      <c r="H138" s="1">
        <f t="shared" si="2"/>
        <v>0</v>
      </c>
      <c r="I138" s="89"/>
      <c r="J138" s="454"/>
      <c r="K138" s="454"/>
      <c r="L138" s="454"/>
      <c r="M138" s="455"/>
      <c r="N138" s="43"/>
      <c r="O138" s="388"/>
      <c r="P138" s="48"/>
      <c r="Q138" s="370"/>
      <c r="R138" s="48"/>
    </row>
    <row r="139" spans="1:18" s="456" customFormat="1" ht="15" x14ac:dyDescent="0.25">
      <c r="A139" s="1">
        <v>134</v>
      </c>
      <c r="B139" s="1" t="s">
        <v>734</v>
      </c>
      <c r="C139" s="32">
        <v>8865</v>
      </c>
      <c r="D139" s="58">
        <v>20000</v>
      </c>
      <c r="E139" s="1" t="s">
        <v>80</v>
      </c>
      <c r="F139" s="1">
        <v>222.82</v>
      </c>
      <c r="G139" s="1">
        <v>20000</v>
      </c>
      <c r="H139" s="1">
        <f t="shared" si="2"/>
        <v>0</v>
      </c>
      <c r="I139" s="89"/>
      <c r="J139" s="454"/>
      <c r="K139" s="454"/>
      <c r="L139" s="454"/>
      <c r="M139" s="455"/>
      <c r="N139" s="43"/>
      <c r="O139" s="388"/>
      <c r="P139" s="48"/>
      <c r="Q139" s="370"/>
      <c r="R139" s="48"/>
    </row>
    <row r="140" spans="1:18" s="456" customFormat="1" ht="15" x14ac:dyDescent="0.25">
      <c r="A140" s="1">
        <v>135</v>
      </c>
      <c r="B140" s="1" t="s">
        <v>734</v>
      </c>
      <c r="C140" s="32">
        <v>5.8400000000000001E-2</v>
      </c>
      <c r="D140" s="58">
        <v>21000</v>
      </c>
      <c r="E140" s="1" t="s">
        <v>80</v>
      </c>
      <c r="F140" s="1">
        <v>233.48</v>
      </c>
      <c r="G140" s="1">
        <v>21000</v>
      </c>
      <c r="H140" s="1">
        <f t="shared" si="2"/>
        <v>0</v>
      </c>
      <c r="I140" s="89"/>
      <c r="J140" s="454"/>
      <c r="K140" s="454"/>
      <c r="L140" s="454"/>
      <c r="M140" s="455"/>
      <c r="N140" s="43"/>
      <c r="O140" s="388"/>
      <c r="P140" s="48"/>
      <c r="Q140" s="370"/>
      <c r="R140" s="48"/>
    </row>
    <row r="141" spans="1:18" s="456" customFormat="1" ht="15" x14ac:dyDescent="0.25">
      <c r="A141" s="1">
        <v>136</v>
      </c>
      <c r="B141" s="1" t="s">
        <v>734</v>
      </c>
      <c r="C141" s="32">
        <v>9696</v>
      </c>
      <c r="D141" s="58">
        <v>13000</v>
      </c>
      <c r="E141" s="1" t="s">
        <v>80</v>
      </c>
      <c r="F141" s="1">
        <v>144.13</v>
      </c>
      <c r="G141" s="1">
        <v>13000</v>
      </c>
      <c r="H141" s="1">
        <f t="shared" si="2"/>
        <v>0</v>
      </c>
      <c r="I141" s="89"/>
      <c r="J141" s="454"/>
      <c r="K141" s="454"/>
      <c r="L141" s="454"/>
      <c r="M141" s="455"/>
      <c r="N141" s="43"/>
      <c r="O141" s="388"/>
      <c r="P141" s="48"/>
      <c r="Q141" s="370"/>
      <c r="R141" s="48"/>
    </row>
    <row r="142" spans="1:18" s="456" customFormat="1" ht="15" x14ac:dyDescent="0.25">
      <c r="A142" s="1">
        <v>137</v>
      </c>
      <c r="B142" s="1" t="s">
        <v>734</v>
      </c>
      <c r="C142" s="32">
        <v>8799</v>
      </c>
      <c r="D142" s="58">
        <v>23000</v>
      </c>
      <c r="E142" s="1" t="s">
        <v>80</v>
      </c>
      <c r="F142" s="1">
        <v>255.28</v>
      </c>
      <c r="G142" s="1">
        <v>23000</v>
      </c>
      <c r="H142" s="1">
        <f t="shared" si="2"/>
        <v>0</v>
      </c>
      <c r="I142" s="89"/>
      <c r="J142" s="454"/>
      <c r="K142" s="454"/>
      <c r="L142" s="454"/>
      <c r="M142" s="455"/>
      <c r="N142" s="43"/>
      <c r="O142" s="388"/>
      <c r="P142" s="48"/>
      <c r="Q142" s="370"/>
      <c r="R142" s="48"/>
    </row>
    <row r="143" spans="1:18" s="456" customFormat="1" ht="15" x14ac:dyDescent="0.25">
      <c r="A143" s="1">
        <v>138</v>
      </c>
      <c r="B143" s="1" t="s">
        <v>734</v>
      </c>
      <c r="C143" s="32">
        <v>5351</v>
      </c>
      <c r="D143" s="58">
        <v>25000</v>
      </c>
      <c r="E143" s="1" t="s">
        <v>80</v>
      </c>
      <c r="F143" s="1">
        <v>278.22000000000003</v>
      </c>
      <c r="G143" s="1">
        <v>25000</v>
      </c>
      <c r="H143" s="1">
        <f t="shared" si="2"/>
        <v>0</v>
      </c>
      <c r="I143" s="89"/>
      <c r="J143" s="454"/>
      <c r="K143" s="454"/>
      <c r="L143" s="454"/>
      <c r="M143" s="455"/>
      <c r="N143" s="43"/>
      <c r="O143" s="388"/>
      <c r="P143" s="48"/>
      <c r="Q143" s="370"/>
      <c r="R143" s="48"/>
    </row>
    <row r="144" spans="1:18" s="456" customFormat="1" ht="15.75" thickBot="1" x14ac:dyDescent="0.3">
      <c r="A144" s="1">
        <v>139</v>
      </c>
      <c r="B144" s="1" t="s">
        <v>734</v>
      </c>
      <c r="C144" s="32">
        <v>2604</v>
      </c>
      <c r="D144" s="58">
        <v>30000</v>
      </c>
      <c r="E144" s="1" t="s">
        <v>80</v>
      </c>
      <c r="F144" s="1">
        <v>344.71</v>
      </c>
      <c r="G144" s="1">
        <v>30000</v>
      </c>
      <c r="H144" s="1">
        <f t="shared" si="2"/>
        <v>0</v>
      </c>
      <c r="I144" s="89"/>
      <c r="J144" s="454"/>
      <c r="K144" s="454"/>
      <c r="L144" s="454"/>
      <c r="M144" s="455"/>
      <c r="N144" s="43"/>
      <c r="O144" s="388"/>
      <c r="P144" s="48"/>
      <c r="Q144" s="370"/>
      <c r="R144" s="48"/>
    </row>
    <row r="145" spans="1:18" s="456" customFormat="1" ht="15.75" thickBot="1" x14ac:dyDescent="0.3">
      <c r="A145" s="1">
        <v>140</v>
      </c>
      <c r="B145" s="1" t="s">
        <v>734</v>
      </c>
      <c r="C145" s="32">
        <v>1883</v>
      </c>
      <c r="D145" s="58">
        <v>20000</v>
      </c>
      <c r="E145" s="1" t="s">
        <v>80</v>
      </c>
      <c r="F145" s="1">
        <v>222.82</v>
      </c>
      <c r="G145" s="1">
        <v>20000</v>
      </c>
      <c r="H145" s="1">
        <f t="shared" si="2"/>
        <v>0</v>
      </c>
      <c r="I145" s="89"/>
      <c r="J145" s="454"/>
      <c r="K145" s="454"/>
      <c r="L145" s="454"/>
      <c r="M145" s="455"/>
      <c r="N145" s="43"/>
      <c r="O145" s="103">
        <f>2697520-2670254</f>
        <v>27266</v>
      </c>
      <c r="P145" s="359" t="s">
        <v>730</v>
      </c>
      <c r="Q145" s="367" t="s">
        <v>620</v>
      </c>
      <c r="R145" s="360">
        <f>27266-6800</f>
        <v>20466</v>
      </c>
    </row>
    <row r="146" spans="1:18" s="457" customFormat="1" ht="15" x14ac:dyDescent="0.25">
      <c r="A146" s="1">
        <v>141</v>
      </c>
      <c r="B146" s="1" t="s">
        <v>736</v>
      </c>
      <c r="C146" s="32" t="s">
        <v>30</v>
      </c>
      <c r="D146" s="58">
        <v>5000</v>
      </c>
      <c r="E146" s="1" t="s">
        <v>80</v>
      </c>
      <c r="F146" s="1">
        <v>55.45</v>
      </c>
      <c r="G146" s="1">
        <v>5000</v>
      </c>
      <c r="H146" s="1">
        <f t="shared" si="2"/>
        <v>0</v>
      </c>
      <c r="I146" s="89"/>
      <c r="J146" s="454"/>
      <c r="K146" s="454"/>
      <c r="L146" s="454"/>
      <c r="M146" s="455"/>
      <c r="N146" s="43"/>
      <c r="O146" s="388"/>
      <c r="P146" s="48"/>
      <c r="Q146" s="370"/>
      <c r="R146" s="48"/>
    </row>
    <row r="147" spans="1:18" s="457" customFormat="1" ht="15" x14ac:dyDescent="0.25">
      <c r="A147" s="1">
        <v>142</v>
      </c>
      <c r="B147" s="1" t="s">
        <v>736</v>
      </c>
      <c r="C147" s="32">
        <v>6861</v>
      </c>
      <c r="D147" s="58">
        <v>13000</v>
      </c>
      <c r="E147" s="1" t="s">
        <v>80</v>
      </c>
      <c r="F147" s="1">
        <v>144.13</v>
      </c>
      <c r="G147" s="1">
        <v>13000</v>
      </c>
      <c r="H147" s="1">
        <f t="shared" si="2"/>
        <v>0</v>
      </c>
      <c r="I147" s="89"/>
      <c r="J147" s="454"/>
      <c r="K147" s="454"/>
      <c r="L147" s="454"/>
      <c r="M147" s="455"/>
      <c r="N147" s="43"/>
      <c r="O147" s="388"/>
      <c r="P147" s="48"/>
      <c r="Q147" s="370"/>
      <c r="R147" s="48"/>
    </row>
    <row r="148" spans="1:18" s="457" customFormat="1" ht="15" x14ac:dyDescent="0.25">
      <c r="A148" s="1">
        <v>143</v>
      </c>
      <c r="B148" s="1" t="s">
        <v>736</v>
      </c>
      <c r="C148" s="32">
        <v>3873</v>
      </c>
      <c r="D148" s="58">
        <v>14000</v>
      </c>
      <c r="E148" s="1" t="s">
        <v>80</v>
      </c>
      <c r="F148" s="1">
        <v>155.47</v>
      </c>
      <c r="G148" s="1">
        <v>14000</v>
      </c>
      <c r="H148" s="1">
        <f t="shared" si="2"/>
        <v>0</v>
      </c>
      <c r="I148" s="89"/>
      <c r="J148" s="454"/>
      <c r="K148" s="454"/>
      <c r="L148" s="454"/>
      <c r="M148" s="455"/>
      <c r="N148" s="43"/>
      <c r="O148" s="388"/>
      <c r="P148" s="48"/>
      <c r="Q148" s="370"/>
      <c r="R148" s="48"/>
    </row>
    <row r="149" spans="1:18" s="457" customFormat="1" ht="15" x14ac:dyDescent="0.25">
      <c r="A149" s="1">
        <v>144</v>
      </c>
      <c r="B149" s="1" t="s">
        <v>736</v>
      </c>
      <c r="C149" s="32" t="s">
        <v>30</v>
      </c>
      <c r="D149" s="58">
        <v>4500</v>
      </c>
      <c r="E149" s="1" t="s">
        <v>80</v>
      </c>
      <c r="F149" s="1">
        <v>50.68</v>
      </c>
      <c r="G149" s="1">
        <v>4500</v>
      </c>
      <c r="H149" s="1">
        <f t="shared" ref="H149:H212" si="3">D149-G149</f>
        <v>0</v>
      </c>
      <c r="I149" s="89"/>
      <c r="J149" s="454"/>
      <c r="K149" s="454"/>
      <c r="L149" s="454"/>
      <c r="M149" s="455"/>
      <c r="N149" s="43"/>
      <c r="O149" s="388"/>
      <c r="P149" s="48"/>
      <c r="Q149" s="370"/>
      <c r="R149" s="48"/>
    </row>
    <row r="150" spans="1:18" s="457" customFormat="1" ht="15" x14ac:dyDescent="0.25">
      <c r="A150" s="1">
        <v>145</v>
      </c>
      <c r="B150" s="1" t="s">
        <v>736</v>
      </c>
      <c r="C150" s="32">
        <v>7344</v>
      </c>
      <c r="D150" s="58">
        <v>13000</v>
      </c>
      <c r="E150" s="1" t="s">
        <v>80</v>
      </c>
      <c r="F150" s="1">
        <v>144.13</v>
      </c>
      <c r="G150" s="1">
        <v>13000</v>
      </c>
      <c r="H150" s="1">
        <f t="shared" si="3"/>
        <v>0</v>
      </c>
      <c r="I150" s="89"/>
      <c r="J150" s="454"/>
      <c r="K150" s="454"/>
      <c r="L150" s="454"/>
      <c r="M150" s="455"/>
      <c r="N150" s="43"/>
      <c r="O150" s="388"/>
      <c r="P150" s="48"/>
      <c r="Q150" s="370"/>
      <c r="R150" s="48"/>
    </row>
    <row r="151" spans="1:18" s="457" customFormat="1" ht="15" x14ac:dyDescent="0.25">
      <c r="A151" s="1">
        <v>146</v>
      </c>
      <c r="B151" s="1" t="s">
        <v>736</v>
      </c>
      <c r="C151" s="32">
        <v>1992</v>
      </c>
      <c r="D151" s="58">
        <v>23000</v>
      </c>
      <c r="E151" s="1" t="s">
        <v>80</v>
      </c>
      <c r="F151" s="1">
        <v>247.68</v>
      </c>
      <c r="G151" s="1">
        <v>23000</v>
      </c>
      <c r="H151" s="1">
        <f t="shared" si="3"/>
        <v>0</v>
      </c>
      <c r="I151" s="89"/>
      <c r="J151" s="454"/>
      <c r="K151" s="454"/>
      <c r="L151" s="454"/>
      <c r="M151" s="455"/>
      <c r="N151" s="43"/>
      <c r="O151" s="388"/>
      <c r="P151" s="48"/>
      <c r="Q151" s="370"/>
      <c r="R151" s="48"/>
    </row>
    <row r="152" spans="1:18" s="457" customFormat="1" ht="15" x14ac:dyDescent="0.25">
      <c r="A152" s="1">
        <v>147</v>
      </c>
      <c r="B152" s="1" t="s">
        <v>736</v>
      </c>
      <c r="C152" s="32">
        <v>1008</v>
      </c>
      <c r="D152" s="58">
        <v>25000</v>
      </c>
      <c r="E152" s="1" t="s">
        <v>80</v>
      </c>
      <c r="F152" s="1">
        <v>278.22000000000003</v>
      </c>
      <c r="G152" s="1">
        <v>25000</v>
      </c>
      <c r="H152" s="1">
        <f t="shared" si="3"/>
        <v>0</v>
      </c>
      <c r="I152" s="89"/>
      <c r="J152" s="454"/>
      <c r="K152" s="454"/>
      <c r="L152" s="454"/>
      <c r="M152" s="455"/>
      <c r="N152" s="43"/>
      <c r="O152" s="388"/>
      <c r="P152" s="48"/>
      <c r="Q152" s="370"/>
      <c r="R152" s="48"/>
    </row>
    <row r="153" spans="1:18" s="457" customFormat="1" ht="15" x14ac:dyDescent="0.25">
      <c r="A153" s="1">
        <v>148</v>
      </c>
      <c r="B153" s="1" t="s">
        <v>736</v>
      </c>
      <c r="C153" s="32">
        <v>1446</v>
      </c>
      <c r="D153" s="58">
        <v>13000</v>
      </c>
      <c r="E153" s="1" t="s">
        <v>80</v>
      </c>
      <c r="F153" s="1">
        <v>144.13</v>
      </c>
      <c r="G153" s="1">
        <v>13000</v>
      </c>
      <c r="H153" s="1">
        <f t="shared" si="3"/>
        <v>0</v>
      </c>
      <c r="I153" s="89"/>
      <c r="J153" s="454"/>
      <c r="K153" s="454"/>
      <c r="L153" s="454"/>
      <c r="M153" s="455"/>
      <c r="N153" s="43"/>
      <c r="O153" s="388"/>
      <c r="P153" s="48"/>
      <c r="Q153" s="370"/>
      <c r="R153" s="48"/>
    </row>
    <row r="154" spans="1:18" s="457" customFormat="1" ht="15" x14ac:dyDescent="0.25">
      <c r="A154" s="1">
        <v>149</v>
      </c>
      <c r="B154" s="1" t="s">
        <v>736</v>
      </c>
      <c r="C154" s="32">
        <v>4204</v>
      </c>
      <c r="D154" s="58">
        <v>14500</v>
      </c>
      <c r="E154" s="1" t="s">
        <v>80</v>
      </c>
      <c r="F154" s="1">
        <v>161.85</v>
      </c>
      <c r="G154" s="1">
        <v>14500</v>
      </c>
      <c r="H154" s="1">
        <f t="shared" si="3"/>
        <v>0</v>
      </c>
      <c r="I154" s="89"/>
      <c r="J154" s="454"/>
      <c r="K154" s="454"/>
      <c r="L154" s="454"/>
      <c r="M154" s="455"/>
      <c r="N154" s="43"/>
      <c r="O154" s="388"/>
      <c r="P154" s="48"/>
      <c r="Q154" s="370"/>
      <c r="R154" s="48"/>
    </row>
    <row r="155" spans="1:18" s="457" customFormat="1" ht="15" x14ac:dyDescent="0.25">
      <c r="A155" s="1">
        <v>150</v>
      </c>
      <c r="B155" s="1" t="s">
        <v>736</v>
      </c>
      <c r="C155" s="32">
        <v>7345</v>
      </c>
      <c r="D155" s="58">
        <v>13000</v>
      </c>
      <c r="E155" s="1" t="s">
        <v>80</v>
      </c>
      <c r="F155" s="1">
        <v>144.13</v>
      </c>
      <c r="G155" s="1">
        <v>13000</v>
      </c>
      <c r="H155" s="1">
        <f t="shared" si="3"/>
        <v>0</v>
      </c>
      <c r="I155" s="89"/>
      <c r="J155" s="454"/>
      <c r="K155" s="454"/>
      <c r="L155" s="454"/>
      <c r="M155" s="455"/>
      <c r="N155" s="43"/>
      <c r="O155" s="388"/>
      <c r="P155" s="48"/>
      <c r="Q155" s="370"/>
      <c r="R155" s="48"/>
    </row>
    <row r="156" spans="1:18" s="457" customFormat="1" ht="15" x14ac:dyDescent="0.25">
      <c r="A156" s="1">
        <v>151</v>
      </c>
      <c r="B156" s="1" t="s">
        <v>736</v>
      </c>
      <c r="C156" s="32">
        <v>3941</v>
      </c>
      <c r="D156" s="58">
        <v>9000</v>
      </c>
      <c r="E156" s="1" t="s">
        <v>80</v>
      </c>
      <c r="F156" s="1">
        <v>100.69</v>
      </c>
      <c r="G156" s="1">
        <v>9000</v>
      </c>
      <c r="H156" s="1">
        <f t="shared" si="3"/>
        <v>0</v>
      </c>
      <c r="I156" s="89"/>
      <c r="J156" s="454"/>
      <c r="K156" s="454"/>
      <c r="L156" s="454"/>
      <c r="M156" s="455"/>
      <c r="N156" s="43"/>
      <c r="O156" s="388"/>
      <c r="P156" s="48"/>
      <c r="Q156" s="370"/>
      <c r="R156" s="48"/>
    </row>
    <row r="157" spans="1:18" s="457" customFormat="1" ht="15" x14ac:dyDescent="0.25">
      <c r="A157" s="1">
        <v>152</v>
      </c>
      <c r="B157" s="1" t="s">
        <v>736</v>
      </c>
      <c r="C157" s="32">
        <v>4032</v>
      </c>
      <c r="D157" s="58">
        <v>13500</v>
      </c>
      <c r="E157" s="1" t="s">
        <v>80</v>
      </c>
      <c r="F157" s="1">
        <v>150.74</v>
      </c>
      <c r="G157" s="1">
        <v>13500</v>
      </c>
      <c r="H157" s="1">
        <f t="shared" si="3"/>
        <v>0</v>
      </c>
      <c r="I157" s="89"/>
      <c r="J157" s="454"/>
      <c r="K157" s="454"/>
      <c r="L157" s="454"/>
      <c r="M157" s="455"/>
      <c r="N157" s="43"/>
      <c r="O157" s="388"/>
      <c r="P157" s="48"/>
      <c r="Q157" s="370"/>
      <c r="R157" s="48"/>
    </row>
    <row r="158" spans="1:18" s="457" customFormat="1" ht="15" x14ac:dyDescent="0.25">
      <c r="A158" s="1">
        <v>153</v>
      </c>
      <c r="B158" s="1" t="s">
        <v>736</v>
      </c>
      <c r="C158" s="32">
        <v>4092</v>
      </c>
      <c r="D158" s="58">
        <v>13500</v>
      </c>
      <c r="E158" s="1" t="s">
        <v>80</v>
      </c>
      <c r="F158" s="1">
        <v>150.74</v>
      </c>
      <c r="G158" s="1">
        <v>13500</v>
      </c>
      <c r="H158" s="1">
        <f t="shared" si="3"/>
        <v>0</v>
      </c>
      <c r="I158" s="89"/>
      <c r="J158" s="454"/>
      <c r="K158" s="454"/>
      <c r="L158" s="454"/>
      <c r="M158" s="455"/>
      <c r="N158" s="43"/>
      <c r="O158" s="388"/>
      <c r="P158" s="48"/>
      <c r="Q158" s="370"/>
      <c r="R158" s="48"/>
    </row>
    <row r="159" spans="1:18" s="457" customFormat="1" ht="15" x14ac:dyDescent="0.25">
      <c r="A159" s="1">
        <v>154</v>
      </c>
      <c r="B159" s="1" t="s">
        <v>736</v>
      </c>
      <c r="C159" s="32">
        <v>3577</v>
      </c>
      <c r="D159" s="58">
        <v>12000</v>
      </c>
      <c r="E159" s="1" t="s">
        <v>80</v>
      </c>
      <c r="F159" s="1">
        <v>133.28</v>
      </c>
      <c r="G159" s="1">
        <v>12000</v>
      </c>
      <c r="H159" s="1">
        <f t="shared" si="3"/>
        <v>0</v>
      </c>
      <c r="I159" s="89"/>
      <c r="J159" s="454"/>
      <c r="K159" s="454"/>
      <c r="L159" s="454"/>
      <c r="M159" s="455"/>
      <c r="N159" s="43"/>
      <c r="O159" s="388"/>
      <c r="P159" s="48"/>
      <c r="Q159" s="370"/>
      <c r="R159" s="48"/>
    </row>
    <row r="160" spans="1:18" s="457" customFormat="1" ht="15" x14ac:dyDescent="0.25">
      <c r="A160" s="1">
        <v>155</v>
      </c>
      <c r="B160" s="1" t="s">
        <v>736</v>
      </c>
      <c r="C160" s="32">
        <v>9.4100000000000003E-2</v>
      </c>
      <c r="D160" s="58">
        <v>14000</v>
      </c>
      <c r="E160" s="1" t="s">
        <v>80</v>
      </c>
      <c r="F160" s="1">
        <v>155.13999999999999</v>
      </c>
      <c r="G160" s="1">
        <v>14000</v>
      </c>
      <c r="H160" s="1">
        <f t="shared" si="3"/>
        <v>0</v>
      </c>
      <c r="I160" s="89"/>
      <c r="J160" s="454"/>
      <c r="K160" s="454"/>
      <c r="L160" s="454"/>
      <c r="M160" s="455"/>
      <c r="N160" s="43"/>
      <c r="O160" s="388"/>
      <c r="P160" s="48"/>
      <c r="Q160" s="370"/>
      <c r="R160" s="48"/>
    </row>
    <row r="161" spans="1:18" s="457" customFormat="1" ht="15" x14ac:dyDescent="0.25">
      <c r="A161" s="1">
        <v>156</v>
      </c>
      <c r="B161" s="1" t="s">
        <v>736</v>
      </c>
      <c r="C161" s="32">
        <v>5.1999999999999998E-3</v>
      </c>
      <c r="D161" s="58">
        <v>16000</v>
      </c>
      <c r="E161" s="1" t="s">
        <v>80</v>
      </c>
      <c r="F161" s="1">
        <v>178.22</v>
      </c>
      <c r="G161" s="1">
        <v>16000</v>
      </c>
      <c r="H161" s="1">
        <f t="shared" si="3"/>
        <v>0</v>
      </c>
      <c r="I161" s="89"/>
      <c r="J161" s="454"/>
      <c r="K161" s="454"/>
      <c r="L161" s="454"/>
      <c r="M161" s="455"/>
      <c r="N161" s="43"/>
      <c r="O161" s="388"/>
      <c r="P161" s="48"/>
      <c r="Q161" s="370"/>
      <c r="R161" s="48"/>
    </row>
    <row r="162" spans="1:18" s="457" customFormat="1" ht="15" x14ac:dyDescent="0.25">
      <c r="A162" s="1">
        <v>157</v>
      </c>
      <c r="B162" s="1" t="s">
        <v>736</v>
      </c>
      <c r="C162" s="32">
        <v>8274</v>
      </c>
      <c r="D162" s="58">
        <v>21000</v>
      </c>
      <c r="E162" s="1" t="s">
        <v>80</v>
      </c>
      <c r="F162" s="1">
        <v>233.42</v>
      </c>
      <c r="G162" s="1">
        <v>21000</v>
      </c>
      <c r="H162" s="1">
        <f t="shared" si="3"/>
        <v>0</v>
      </c>
      <c r="I162" s="89"/>
      <c r="J162" s="454"/>
      <c r="K162" s="454"/>
      <c r="L162" s="454"/>
      <c r="M162" s="455"/>
      <c r="N162" s="43"/>
      <c r="O162" s="388"/>
      <c r="P162" s="48"/>
      <c r="Q162" s="370"/>
      <c r="R162" s="48"/>
    </row>
    <row r="163" spans="1:18" s="457" customFormat="1" ht="15" x14ac:dyDescent="0.25">
      <c r="A163" s="1">
        <v>158</v>
      </c>
      <c r="B163" s="1" t="s">
        <v>736</v>
      </c>
      <c r="C163" s="32">
        <v>9732</v>
      </c>
      <c r="D163" s="58">
        <v>19000</v>
      </c>
      <c r="E163" s="1" t="s">
        <v>80</v>
      </c>
      <c r="F163" s="1">
        <v>118.57</v>
      </c>
      <c r="G163" s="1">
        <v>19000</v>
      </c>
      <c r="H163" s="1">
        <f t="shared" si="3"/>
        <v>0</v>
      </c>
      <c r="I163" s="89"/>
      <c r="J163" s="454"/>
      <c r="K163" s="454"/>
      <c r="L163" s="454"/>
      <c r="M163" s="455"/>
      <c r="N163" s="43"/>
      <c r="O163" s="388"/>
      <c r="P163" s="48"/>
      <c r="Q163" s="370"/>
      <c r="R163" s="48"/>
    </row>
    <row r="164" spans="1:18" s="457" customFormat="1" ht="15" x14ac:dyDescent="0.25">
      <c r="A164" s="1">
        <v>159</v>
      </c>
      <c r="B164" s="1" t="s">
        <v>736</v>
      </c>
      <c r="C164" s="32">
        <v>3587</v>
      </c>
      <c r="D164" s="58">
        <v>12000</v>
      </c>
      <c r="E164" s="1" t="s">
        <v>80</v>
      </c>
      <c r="F164" s="1">
        <v>133.41999999999999</v>
      </c>
      <c r="G164" s="1">
        <v>12000</v>
      </c>
      <c r="H164" s="1">
        <f t="shared" si="3"/>
        <v>0</v>
      </c>
      <c r="I164" s="89"/>
      <c r="J164" s="454"/>
      <c r="K164" s="454"/>
      <c r="L164" s="454"/>
      <c r="M164" s="455"/>
      <c r="N164" s="43"/>
      <c r="O164" s="388"/>
      <c r="P164" s="48"/>
      <c r="Q164" s="370"/>
      <c r="R164" s="48"/>
    </row>
    <row r="165" spans="1:18" s="457" customFormat="1" ht="15" x14ac:dyDescent="0.25">
      <c r="A165" s="1">
        <v>160</v>
      </c>
      <c r="B165" s="1" t="s">
        <v>736</v>
      </c>
      <c r="C165" s="32">
        <v>2496</v>
      </c>
      <c r="D165" s="58">
        <v>13000</v>
      </c>
      <c r="E165" s="1" t="s">
        <v>80</v>
      </c>
      <c r="F165" s="1">
        <v>144.13</v>
      </c>
      <c r="G165" s="1">
        <v>13000</v>
      </c>
      <c r="H165" s="1">
        <f t="shared" si="3"/>
        <v>0</v>
      </c>
      <c r="I165" s="89"/>
      <c r="J165" s="454"/>
      <c r="K165" s="454"/>
      <c r="L165" s="454"/>
      <c r="M165" s="455"/>
      <c r="N165" s="43"/>
      <c r="O165" s="388"/>
      <c r="P165" s="48"/>
      <c r="Q165" s="370"/>
      <c r="R165" s="48"/>
    </row>
    <row r="166" spans="1:18" s="457" customFormat="1" ht="15" x14ac:dyDescent="0.25">
      <c r="A166" s="1">
        <v>161</v>
      </c>
      <c r="B166" s="1" t="s">
        <v>736</v>
      </c>
      <c r="C166" s="32">
        <v>1840</v>
      </c>
      <c r="D166" s="58">
        <v>12000</v>
      </c>
      <c r="E166" s="1" t="s">
        <v>80</v>
      </c>
      <c r="F166" s="1">
        <v>133.28</v>
      </c>
      <c r="G166" s="1">
        <v>12000</v>
      </c>
      <c r="H166" s="1">
        <f t="shared" si="3"/>
        <v>0</v>
      </c>
      <c r="I166" s="89"/>
      <c r="J166" s="454"/>
      <c r="K166" s="454"/>
      <c r="L166" s="454"/>
      <c r="M166" s="455"/>
      <c r="N166" s="43"/>
      <c r="O166" s="388"/>
      <c r="P166" s="48"/>
      <c r="Q166" s="370"/>
      <c r="R166" s="48"/>
    </row>
    <row r="167" spans="1:18" s="457" customFormat="1" ht="15" x14ac:dyDescent="0.25">
      <c r="A167" s="1">
        <v>162</v>
      </c>
      <c r="B167" s="1" t="s">
        <v>736</v>
      </c>
      <c r="C167" s="32">
        <v>5635</v>
      </c>
      <c r="D167" s="58">
        <v>18000</v>
      </c>
      <c r="E167" s="1" t="s">
        <v>80</v>
      </c>
      <c r="F167" s="1">
        <v>200.82</v>
      </c>
      <c r="G167" s="1">
        <v>18000</v>
      </c>
      <c r="H167" s="1">
        <f t="shared" si="3"/>
        <v>0</v>
      </c>
      <c r="I167" s="89"/>
      <c r="J167" s="454"/>
      <c r="K167" s="454"/>
      <c r="L167" s="454"/>
      <c r="M167" s="455"/>
      <c r="N167" s="43"/>
      <c r="O167" s="388"/>
      <c r="P167" s="48"/>
      <c r="Q167" s="370"/>
      <c r="R167" s="48"/>
    </row>
    <row r="168" spans="1:18" s="457" customFormat="1" ht="15" x14ac:dyDescent="0.25">
      <c r="A168" s="1">
        <v>163</v>
      </c>
      <c r="B168" s="1" t="s">
        <v>736</v>
      </c>
      <c r="C168" s="32">
        <v>9333</v>
      </c>
      <c r="D168" s="58">
        <v>15000</v>
      </c>
      <c r="E168" s="1" t="s">
        <v>80</v>
      </c>
      <c r="F168" s="1">
        <v>167.15</v>
      </c>
      <c r="G168" s="1">
        <v>15000</v>
      </c>
      <c r="H168" s="1">
        <f t="shared" si="3"/>
        <v>0</v>
      </c>
      <c r="I168" s="89"/>
      <c r="J168" s="454"/>
      <c r="K168" s="454"/>
      <c r="L168" s="454"/>
      <c r="M168" s="455"/>
      <c r="N168" s="43"/>
      <c r="O168" s="388"/>
      <c r="P168" s="48"/>
      <c r="Q168" s="370"/>
      <c r="R168" s="48"/>
    </row>
    <row r="169" spans="1:18" s="457" customFormat="1" ht="15" x14ac:dyDescent="0.25">
      <c r="A169" s="1">
        <v>164</v>
      </c>
      <c r="B169" s="1" t="s">
        <v>736</v>
      </c>
      <c r="C169" s="32">
        <v>5197</v>
      </c>
      <c r="D169" s="58">
        <v>22000</v>
      </c>
      <c r="E169" s="1" t="s">
        <v>80</v>
      </c>
      <c r="F169" s="1">
        <v>245.22</v>
      </c>
      <c r="G169" s="1">
        <v>22000</v>
      </c>
      <c r="H169" s="1">
        <f t="shared" si="3"/>
        <v>0</v>
      </c>
      <c r="I169" s="89"/>
      <c r="J169" s="454"/>
      <c r="K169" s="454"/>
      <c r="L169" s="454"/>
      <c r="M169" s="455"/>
      <c r="N169" s="43"/>
      <c r="O169" s="388"/>
      <c r="P169" s="48"/>
      <c r="Q169" s="370"/>
      <c r="R169" s="48"/>
    </row>
    <row r="170" spans="1:18" s="457" customFormat="1" ht="15" x14ac:dyDescent="0.25">
      <c r="A170" s="1">
        <v>165</v>
      </c>
      <c r="B170" s="1" t="s">
        <v>736</v>
      </c>
      <c r="C170" s="32">
        <v>1131</v>
      </c>
      <c r="D170" s="58">
        <v>20000</v>
      </c>
      <c r="E170" s="1" t="s">
        <v>80</v>
      </c>
      <c r="F170" s="1">
        <v>222.82</v>
      </c>
      <c r="G170" s="1">
        <v>20000</v>
      </c>
      <c r="H170" s="1">
        <f t="shared" si="3"/>
        <v>0</v>
      </c>
      <c r="I170" s="89"/>
      <c r="J170" s="454"/>
      <c r="K170" s="454"/>
      <c r="L170" s="454"/>
      <c r="M170" s="455"/>
      <c r="N170" s="43"/>
      <c r="O170" s="388"/>
      <c r="P170" s="48"/>
      <c r="Q170" s="370"/>
      <c r="R170" s="48"/>
    </row>
    <row r="171" spans="1:18" s="457" customFormat="1" ht="15" x14ac:dyDescent="0.25">
      <c r="A171" s="1">
        <v>166</v>
      </c>
      <c r="B171" s="1" t="s">
        <v>736</v>
      </c>
      <c r="C171" s="32">
        <v>2394</v>
      </c>
      <c r="D171" s="58">
        <v>14000</v>
      </c>
      <c r="E171" s="1" t="s">
        <v>80</v>
      </c>
      <c r="F171" s="1">
        <v>155.44999999999999</v>
      </c>
      <c r="G171" s="1">
        <v>14000</v>
      </c>
      <c r="H171" s="1">
        <f t="shared" si="3"/>
        <v>0</v>
      </c>
      <c r="I171" s="89"/>
      <c r="J171" s="454"/>
      <c r="K171" s="454"/>
      <c r="L171" s="454"/>
      <c r="M171" s="455"/>
      <c r="N171" s="43"/>
      <c r="O171" s="388"/>
      <c r="P171" s="48"/>
      <c r="Q171" s="370"/>
      <c r="R171" s="48"/>
    </row>
    <row r="172" spans="1:18" s="457" customFormat="1" ht="15" x14ac:dyDescent="0.25">
      <c r="A172" s="1">
        <v>167</v>
      </c>
      <c r="B172" s="1" t="s">
        <v>736</v>
      </c>
      <c r="C172" s="32">
        <v>3238</v>
      </c>
      <c r="D172" s="58">
        <v>15000</v>
      </c>
      <c r="E172" s="1" t="s">
        <v>80</v>
      </c>
      <c r="F172" s="1">
        <v>167.15</v>
      </c>
      <c r="G172" s="1">
        <v>15000</v>
      </c>
      <c r="H172" s="1">
        <f t="shared" si="3"/>
        <v>0</v>
      </c>
      <c r="I172" s="89"/>
      <c r="J172" s="454"/>
      <c r="K172" s="454"/>
      <c r="L172" s="454"/>
      <c r="M172" s="455"/>
      <c r="N172" s="43"/>
      <c r="O172" s="388"/>
      <c r="P172" s="48"/>
      <c r="Q172" s="370"/>
      <c r="R172" s="48"/>
    </row>
    <row r="173" spans="1:18" s="457" customFormat="1" ht="15" x14ac:dyDescent="0.25">
      <c r="A173" s="1">
        <v>168</v>
      </c>
      <c r="B173" s="1" t="s">
        <v>736</v>
      </c>
      <c r="C173" s="32">
        <v>4732</v>
      </c>
      <c r="D173" s="58">
        <v>18000</v>
      </c>
      <c r="E173" s="1" t="s">
        <v>80</v>
      </c>
      <c r="F173" s="1">
        <v>200.82</v>
      </c>
      <c r="G173" s="1">
        <v>18000</v>
      </c>
      <c r="H173" s="1">
        <f t="shared" si="3"/>
        <v>0</v>
      </c>
      <c r="I173" s="89"/>
      <c r="J173" s="454"/>
      <c r="K173" s="454"/>
      <c r="L173" s="454"/>
      <c r="M173" s="455"/>
      <c r="N173" s="43"/>
      <c r="O173" s="388"/>
      <c r="P173" s="48"/>
      <c r="Q173" s="370"/>
      <c r="R173" s="48"/>
    </row>
    <row r="174" spans="1:18" s="457" customFormat="1" ht="15" x14ac:dyDescent="0.25">
      <c r="A174" s="1">
        <v>169</v>
      </c>
      <c r="B174" s="1" t="s">
        <v>736</v>
      </c>
      <c r="C174" s="32">
        <v>8007</v>
      </c>
      <c r="D174" s="58">
        <v>21000</v>
      </c>
      <c r="E174" s="1" t="s">
        <v>80</v>
      </c>
      <c r="F174" s="1">
        <v>233.65</v>
      </c>
      <c r="G174" s="1">
        <v>21000</v>
      </c>
      <c r="H174" s="1">
        <f t="shared" si="3"/>
        <v>0</v>
      </c>
      <c r="I174" s="89"/>
      <c r="J174" s="454"/>
      <c r="K174" s="454"/>
      <c r="L174" s="454"/>
      <c r="M174" s="455"/>
      <c r="N174" s="43"/>
      <c r="O174" s="388"/>
      <c r="P174" s="48"/>
      <c r="Q174" s="370"/>
      <c r="R174" s="48"/>
    </row>
    <row r="175" spans="1:18" s="457" customFormat="1" ht="15" x14ac:dyDescent="0.25">
      <c r="A175" s="1">
        <v>170</v>
      </c>
      <c r="B175" s="1" t="s">
        <v>736</v>
      </c>
      <c r="C175" s="32">
        <v>9228</v>
      </c>
      <c r="D175" s="58">
        <v>20000</v>
      </c>
      <c r="E175" s="1" t="s">
        <v>80</v>
      </c>
      <c r="F175" s="1">
        <v>222.82</v>
      </c>
      <c r="G175" s="1">
        <v>20000</v>
      </c>
      <c r="H175" s="1">
        <f t="shared" si="3"/>
        <v>0</v>
      </c>
      <c r="I175" s="89"/>
      <c r="J175" s="454"/>
      <c r="K175" s="454"/>
      <c r="L175" s="454"/>
      <c r="M175" s="455"/>
      <c r="N175" s="43"/>
      <c r="O175" s="388"/>
      <c r="P175" s="48"/>
      <c r="Q175" s="370"/>
      <c r="R175" s="48"/>
    </row>
    <row r="176" spans="1:18" s="457" customFormat="1" ht="15" x14ac:dyDescent="0.25">
      <c r="A176" s="1">
        <v>171</v>
      </c>
      <c r="B176" s="1" t="s">
        <v>736</v>
      </c>
      <c r="C176" s="32">
        <v>7326</v>
      </c>
      <c r="D176" s="58">
        <v>13000</v>
      </c>
      <c r="E176" s="1" t="s">
        <v>80</v>
      </c>
      <c r="F176" s="1">
        <v>144.13</v>
      </c>
      <c r="G176" s="1">
        <v>13000</v>
      </c>
      <c r="H176" s="1">
        <f t="shared" si="3"/>
        <v>0</v>
      </c>
      <c r="I176" s="89"/>
      <c r="J176" s="454"/>
      <c r="K176" s="454"/>
      <c r="L176" s="454"/>
      <c r="M176" s="455"/>
      <c r="N176" s="43"/>
      <c r="O176" s="388"/>
      <c r="P176" s="48"/>
      <c r="Q176" s="370"/>
      <c r="R176" s="48"/>
    </row>
    <row r="177" spans="1:18" s="457" customFormat="1" ht="15.75" thickBot="1" x14ac:dyDescent="0.3">
      <c r="A177" s="1">
        <v>172</v>
      </c>
      <c r="B177" s="1" t="s">
        <v>736</v>
      </c>
      <c r="C177" s="32">
        <v>3042</v>
      </c>
      <c r="D177" s="58">
        <v>9000</v>
      </c>
      <c r="E177" s="1" t="s">
        <v>80</v>
      </c>
      <c r="F177" s="1">
        <v>100.42</v>
      </c>
      <c r="G177" s="1">
        <v>9000</v>
      </c>
      <c r="H177" s="1">
        <f t="shared" si="3"/>
        <v>0</v>
      </c>
      <c r="I177" s="89"/>
      <c r="J177" s="454"/>
      <c r="K177" s="454"/>
      <c r="L177" s="454"/>
      <c r="M177" s="455"/>
      <c r="N177" s="43"/>
      <c r="O177" s="388"/>
      <c r="P177" s="48"/>
      <c r="Q177" s="370"/>
      <c r="R177" s="48"/>
    </row>
    <row r="178" spans="1:18" s="457" customFormat="1" ht="15.75" thickBot="1" x14ac:dyDescent="0.3">
      <c r="A178" s="1">
        <v>173</v>
      </c>
      <c r="B178" s="1" t="s">
        <v>736</v>
      </c>
      <c r="C178" s="32">
        <v>8397</v>
      </c>
      <c r="D178" s="58">
        <v>22000</v>
      </c>
      <c r="E178" s="1" t="s">
        <v>80</v>
      </c>
      <c r="F178" s="1">
        <v>245.92</v>
      </c>
      <c r="G178" s="1">
        <v>22000</v>
      </c>
      <c r="H178" s="1">
        <f t="shared" si="3"/>
        <v>0</v>
      </c>
      <c r="I178" s="89"/>
      <c r="J178" s="454"/>
      <c r="K178" s="454"/>
      <c r="L178" s="454"/>
      <c r="M178" s="455"/>
      <c r="N178" s="43"/>
      <c r="O178" s="103">
        <f>2590054-2370264</f>
        <v>219790</v>
      </c>
      <c r="P178" s="359" t="s">
        <v>737</v>
      </c>
      <c r="Q178" s="367" t="s">
        <v>620</v>
      </c>
      <c r="R178" s="360">
        <f>219790-200000</f>
        <v>19790</v>
      </c>
    </row>
    <row r="179" spans="1:18" s="458" customFormat="1" ht="15" x14ac:dyDescent="0.25">
      <c r="A179" s="1">
        <v>174</v>
      </c>
      <c r="B179" s="1" t="s">
        <v>738</v>
      </c>
      <c r="C179" s="32">
        <v>7277</v>
      </c>
      <c r="D179" s="58">
        <v>16000</v>
      </c>
      <c r="E179" s="1" t="s">
        <v>80</v>
      </c>
      <c r="F179" s="1">
        <v>178.22</v>
      </c>
      <c r="G179" s="1">
        <v>16000</v>
      </c>
      <c r="H179" s="1">
        <f t="shared" si="3"/>
        <v>0</v>
      </c>
      <c r="I179" s="89"/>
      <c r="J179" s="454"/>
      <c r="K179" s="454"/>
      <c r="L179" s="454"/>
      <c r="M179" s="455"/>
      <c r="N179" s="43"/>
      <c r="O179" s="388"/>
      <c r="P179" s="48"/>
      <c r="Q179" s="370"/>
      <c r="R179" s="48"/>
    </row>
    <row r="180" spans="1:18" s="458" customFormat="1" ht="15" x14ac:dyDescent="0.25">
      <c r="A180" s="1">
        <v>175</v>
      </c>
      <c r="B180" s="1" t="s">
        <v>738</v>
      </c>
      <c r="C180" s="32">
        <v>3243</v>
      </c>
      <c r="D180" s="58">
        <v>27000</v>
      </c>
      <c r="E180" s="1" t="s">
        <v>80</v>
      </c>
      <c r="F180" s="1">
        <v>300.68</v>
      </c>
      <c r="G180" s="1">
        <v>27000</v>
      </c>
      <c r="H180" s="1">
        <f t="shared" si="3"/>
        <v>0</v>
      </c>
      <c r="I180" s="89"/>
      <c r="J180" s="454"/>
      <c r="K180" s="454"/>
      <c r="L180" s="454"/>
      <c r="M180" s="455"/>
      <c r="N180" s="43"/>
      <c r="O180" s="388"/>
      <c r="P180" s="48"/>
      <c r="Q180" s="370"/>
      <c r="R180" s="48"/>
    </row>
    <row r="181" spans="1:18" s="458" customFormat="1" ht="15" x14ac:dyDescent="0.25">
      <c r="A181" s="1">
        <v>176</v>
      </c>
      <c r="B181" s="1" t="s">
        <v>738</v>
      </c>
      <c r="C181" s="32">
        <v>7178</v>
      </c>
      <c r="D181" s="58">
        <v>12000</v>
      </c>
      <c r="E181" s="1" t="s">
        <v>80</v>
      </c>
      <c r="F181" s="1">
        <v>133.41999999999999</v>
      </c>
      <c r="G181" s="1">
        <v>12000</v>
      </c>
      <c r="H181" s="1">
        <f t="shared" si="3"/>
        <v>0</v>
      </c>
      <c r="I181" s="89"/>
      <c r="J181" s="454"/>
      <c r="K181" s="454"/>
      <c r="L181" s="454"/>
      <c r="M181" s="455"/>
      <c r="N181" s="43"/>
      <c r="O181" s="388"/>
      <c r="P181" s="48"/>
      <c r="Q181" s="370"/>
      <c r="R181" s="48"/>
    </row>
    <row r="182" spans="1:18" s="458" customFormat="1" ht="15" x14ac:dyDescent="0.25">
      <c r="A182" s="1">
        <v>177</v>
      </c>
      <c r="B182" s="1" t="s">
        <v>738</v>
      </c>
      <c r="C182" s="32">
        <v>2067</v>
      </c>
      <c r="D182" s="58">
        <v>14000</v>
      </c>
      <c r="E182" s="1" t="s">
        <v>80</v>
      </c>
      <c r="F182" s="1">
        <v>155.44999999999999</v>
      </c>
      <c r="G182" s="1">
        <v>14000</v>
      </c>
      <c r="H182" s="1">
        <f t="shared" si="3"/>
        <v>0</v>
      </c>
      <c r="I182" s="89"/>
      <c r="J182" s="454"/>
      <c r="K182" s="454"/>
      <c r="L182" s="454"/>
      <c r="M182" s="455"/>
      <c r="N182" s="43"/>
      <c r="O182" s="388"/>
      <c r="P182" s="48"/>
      <c r="Q182" s="370"/>
      <c r="R182" s="48"/>
    </row>
    <row r="183" spans="1:18" s="458" customFormat="1" ht="15" x14ac:dyDescent="0.25">
      <c r="A183" s="1">
        <v>178</v>
      </c>
      <c r="B183" s="1" t="s">
        <v>738</v>
      </c>
      <c r="C183" s="32">
        <v>3.8600000000000002E-2</v>
      </c>
      <c r="D183" s="58">
        <v>17000</v>
      </c>
      <c r="E183" s="1" t="s">
        <v>80</v>
      </c>
      <c r="F183" s="1">
        <v>189.21</v>
      </c>
      <c r="G183" s="1">
        <v>17000</v>
      </c>
      <c r="H183" s="1">
        <f t="shared" si="3"/>
        <v>0</v>
      </c>
      <c r="I183" s="89"/>
      <c r="J183" s="454"/>
      <c r="K183" s="454"/>
      <c r="L183" s="454"/>
      <c r="M183" s="455"/>
      <c r="N183" s="43"/>
      <c r="O183" s="388"/>
      <c r="P183" s="48"/>
      <c r="Q183" s="370"/>
      <c r="R183" s="48"/>
    </row>
    <row r="184" spans="1:18" s="458" customFormat="1" ht="15" x14ac:dyDescent="0.25">
      <c r="A184" s="1">
        <v>179</v>
      </c>
      <c r="B184" s="1" t="s">
        <v>738</v>
      </c>
      <c r="C184" s="32" t="s">
        <v>30</v>
      </c>
      <c r="D184" s="58">
        <v>5000</v>
      </c>
      <c r="E184" s="1" t="s">
        <v>80</v>
      </c>
      <c r="F184" s="1">
        <v>55.72</v>
      </c>
      <c r="G184" s="1">
        <v>5000</v>
      </c>
      <c r="H184" s="1">
        <f t="shared" si="3"/>
        <v>0</v>
      </c>
      <c r="I184" s="89"/>
      <c r="J184" s="454"/>
      <c r="K184" s="454"/>
      <c r="L184" s="454"/>
      <c r="M184" s="455"/>
      <c r="N184" s="43"/>
      <c r="O184" s="388"/>
      <c r="P184" s="48"/>
      <c r="Q184" s="370"/>
      <c r="R184" s="48"/>
    </row>
    <row r="185" spans="1:18" s="458" customFormat="1" ht="15" x14ac:dyDescent="0.25">
      <c r="A185" s="1">
        <v>180</v>
      </c>
      <c r="B185" s="1" t="s">
        <v>738</v>
      </c>
      <c r="C185" s="32">
        <v>4005</v>
      </c>
      <c r="D185" s="58">
        <v>19000</v>
      </c>
      <c r="E185" s="1" t="s">
        <v>80</v>
      </c>
      <c r="F185" s="1">
        <v>214.67</v>
      </c>
      <c r="G185" s="1">
        <v>19000</v>
      </c>
      <c r="H185" s="1">
        <f t="shared" si="3"/>
        <v>0</v>
      </c>
      <c r="I185" s="89"/>
      <c r="J185" s="454"/>
      <c r="K185" s="454"/>
      <c r="L185" s="454"/>
      <c r="M185" s="455"/>
      <c r="N185" s="43"/>
      <c r="O185" s="388"/>
      <c r="P185" s="48"/>
      <c r="Q185" s="370"/>
      <c r="R185" s="48"/>
    </row>
    <row r="186" spans="1:18" s="458" customFormat="1" ht="15" x14ac:dyDescent="0.25">
      <c r="A186" s="1">
        <v>181</v>
      </c>
      <c r="B186" s="1" t="s">
        <v>738</v>
      </c>
      <c r="C186" s="32">
        <v>1215</v>
      </c>
      <c r="D186" s="58">
        <v>17000</v>
      </c>
      <c r="E186" s="1" t="s">
        <v>80</v>
      </c>
      <c r="F186" s="1">
        <v>189.18</v>
      </c>
      <c r="G186" s="1">
        <v>17000</v>
      </c>
      <c r="H186" s="1">
        <f t="shared" si="3"/>
        <v>0</v>
      </c>
      <c r="I186" s="89"/>
      <c r="J186" s="454"/>
      <c r="K186" s="454"/>
      <c r="L186" s="454"/>
      <c r="M186" s="455"/>
      <c r="N186" s="43"/>
      <c r="O186" s="388"/>
      <c r="P186" s="48"/>
      <c r="Q186" s="370"/>
      <c r="R186" s="48"/>
    </row>
    <row r="187" spans="1:18" s="458" customFormat="1" ht="15" x14ac:dyDescent="0.25">
      <c r="A187" s="1">
        <v>182</v>
      </c>
      <c r="B187" s="1" t="s">
        <v>738</v>
      </c>
      <c r="C187" s="32">
        <v>9509</v>
      </c>
      <c r="D187" s="58">
        <v>31000</v>
      </c>
      <c r="E187" s="1" t="s">
        <v>80</v>
      </c>
      <c r="F187" s="1">
        <v>345.38</v>
      </c>
      <c r="G187" s="1">
        <v>31000</v>
      </c>
      <c r="H187" s="1">
        <f t="shared" si="3"/>
        <v>0</v>
      </c>
      <c r="I187" s="89"/>
      <c r="J187" s="454"/>
      <c r="K187" s="454"/>
      <c r="L187" s="454"/>
      <c r="M187" s="455"/>
      <c r="N187" s="43"/>
      <c r="O187" s="388"/>
      <c r="P187" s="48"/>
      <c r="Q187" s="370"/>
      <c r="R187" s="48"/>
    </row>
    <row r="188" spans="1:18" s="458" customFormat="1" ht="15" x14ac:dyDescent="0.25">
      <c r="A188" s="1">
        <v>183</v>
      </c>
      <c r="B188" s="1" t="s">
        <v>738</v>
      </c>
      <c r="C188" s="32">
        <v>6311</v>
      </c>
      <c r="D188" s="58">
        <v>30000</v>
      </c>
      <c r="E188" s="1" t="s">
        <v>80</v>
      </c>
      <c r="F188" s="1">
        <v>334.82</v>
      </c>
      <c r="G188" s="1">
        <v>30000</v>
      </c>
      <c r="H188" s="1">
        <f t="shared" si="3"/>
        <v>0</v>
      </c>
      <c r="I188" s="89"/>
      <c r="J188" s="454"/>
      <c r="K188" s="454"/>
      <c r="L188" s="454"/>
      <c r="M188" s="455"/>
      <c r="N188" s="43"/>
      <c r="O188" s="388"/>
      <c r="P188" s="48"/>
      <c r="Q188" s="370"/>
      <c r="R188" s="48"/>
    </row>
    <row r="189" spans="1:18" s="458" customFormat="1" ht="15" x14ac:dyDescent="0.25">
      <c r="A189" s="1">
        <v>184</v>
      </c>
      <c r="B189" s="1" t="s">
        <v>738</v>
      </c>
      <c r="C189" s="32">
        <v>7211</v>
      </c>
      <c r="D189" s="58">
        <v>30000</v>
      </c>
      <c r="E189" s="1" t="s">
        <v>80</v>
      </c>
      <c r="F189" s="1">
        <v>334.82</v>
      </c>
      <c r="G189" s="1">
        <v>30000</v>
      </c>
      <c r="H189" s="1">
        <f t="shared" si="3"/>
        <v>0</v>
      </c>
      <c r="I189" s="89"/>
      <c r="J189" s="454"/>
      <c r="K189" s="454"/>
      <c r="L189" s="454"/>
      <c r="M189" s="455"/>
      <c r="N189" s="43"/>
      <c r="O189" s="388"/>
      <c r="P189" s="48"/>
      <c r="Q189" s="370"/>
      <c r="R189" s="48"/>
    </row>
    <row r="190" spans="1:18" s="458" customFormat="1" ht="15" x14ac:dyDescent="0.25">
      <c r="A190" s="1">
        <v>185</v>
      </c>
      <c r="B190" s="1" t="s">
        <v>738</v>
      </c>
      <c r="C190" s="32">
        <v>9.7299999999999998E-2</v>
      </c>
      <c r="D190" s="58">
        <v>17000</v>
      </c>
      <c r="E190" s="1" t="s">
        <v>80</v>
      </c>
      <c r="F190" s="1">
        <v>189.18</v>
      </c>
      <c r="G190" s="1">
        <v>17000</v>
      </c>
      <c r="H190" s="1">
        <f t="shared" si="3"/>
        <v>0</v>
      </c>
      <c r="I190" s="89"/>
      <c r="J190" s="454"/>
      <c r="K190" s="454"/>
      <c r="L190" s="454"/>
      <c r="M190" s="455"/>
      <c r="N190" s="43"/>
      <c r="O190" s="388"/>
      <c r="P190" s="48"/>
      <c r="Q190" s="370"/>
      <c r="R190" s="48"/>
    </row>
    <row r="191" spans="1:18" s="458" customFormat="1" ht="15" x14ac:dyDescent="0.25">
      <c r="A191" s="1">
        <v>186</v>
      </c>
      <c r="B191" s="1" t="s">
        <v>738</v>
      </c>
      <c r="C191" s="32" t="s">
        <v>30</v>
      </c>
      <c r="D191" s="58">
        <v>4500</v>
      </c>
      <c r="E191" s="1" t="s">
        <v>80</v>
      </c>
      <c r="F191" s="1">
        <v>50.45</v>
      </c>
      <c r="G191" s="1">
        <v>4500</v>
      </c>
      <c r="H191" s="1">
        <f t="shared" si="3"/>
        <v>0</v>
      </c>
      <c r="I191" s="89"/>
      <c r="J191" s="454"/>
      <c r="K191" s="454"/>
      <c r="L191" s="454"/>
      <c r="M191" s="455"/>
      <c r="N191" s="43"/>
      <c r="O191" s="388"/>
      <c r="P191" s="48"/>
      <c r="Q191" s="370"/>
      <c r="R191" s="48"/>
    </row>
    <row r="192" spans="1:18" s="458" customFormat="1" ht="15" x14ac:dyDescent="0.25">
      <c r="A192" s="1">
        <v>187</v>
      </c>
      <c r="B192" s="1" t="s">
        <v>738</v>
      </c>
      <c r="C192" s="32">
        <v>1384</v>
      </c>
      <c r="D192" s="58">
        <v>20000</v>
      </c>
      <c r="E192" s="1" t="s">
        <v>80</v>
      </c>
      <c r="F192" s="1">
        <v>222.82</v>
      </c>
      <c r="G192" s="1">
        <v>20000</v>
      </c>
      <c r="H192" s="1">
        <f t="shared" si="3"/>
        <v>0</v>
      </c>
      <c r="I192" s="89"/>
      <c r="J192" s="454"/>
      <c r="K192" s="454"/>
      <c r="L192" s="454"/>
      <c r="M192" s="455"/>
      <c r="N192" s="43"/>
      <c r="O192" s="388"/>
      <c r="P192" s="48"/>
      <c r="Q192" s="370"/>
      <c r="R192" s="48"/>
    </row>
    <row r="193" spans="1:18" s="458" customFormat="1" ht="15" x14ac:dyDescent="0.25">
      <c r="A193" s="1">
        <v>188</v>
      </c>
      <c r="B193" s="1" t="s">
        <v>738</v>
      </c>
      <c r="C193" s="32">
        <v>3.7499999999999999E-2</v>
      </c>
      <c r="D193" s="58">
        <v>32000</v>
      </c>
      <c r="E193" s="1" t="s">
        <v>80</v>
      </c>
      <c r="F193" s="1">
        <v>350.97</v>
      </c>
      <c r="G193" s="1">
        <v>32000</v>
      </c>
      <c r="H193" s="1">
        <f t="shared" si="3"/>
        <v>0</v>
      </c>
      <c r="I193" s="89"/>
      <c r="J193" s="454"/>
      <c r="K193" s="454"/>
      <c r="L193" s="454"/>
      <c r="M193" s="455"/>
      <c r="N193" s="43"/>
      <c r="O193" s="388"/>
      <c r="P193" s="48"/>
      <c r="Q193" s="370"/>
      <c r="R193" s="48"/>
    </row>
    <row r="194" spans="1:18" s="458" customFormat="1" ht="15" x14ac:dyDescent="0.25">
      <c r="A194" s="1">
        <v>189</v>
      </c>
      <c r="B194" s="1" t="s">
        <v>738</v>
      </c>
      <c r="C194" s="32" t="s">
        <v>30</v>
      </c>
      <c r="D194" s="58">
        <v>3500</v>
      </c>
      <c r="E194" s="1" t="s">
        <v>80</v>
      </c>
      <c r="F194" s="1">
        <v>38.47</v>
      </c>
      <c r="G194" s="1">
        <v>3500</v>
      </c>
      <c r="H194" s="1">
        <f t="shared" si="3"/>
        <v>0</v>
      </c>
      <c r="I194" s="89"/>
      <c r="J194" s="454"/>
      <c r="K194" s="454"/>
      <c r="L194" s="454"/>
      <c r="M194" s="455"/>
      <c r="N194" s="43"/>
      <c r="O194" s="388"/>
      <c r="P194" s="48"/>
      <c r="Q194" s="370"/>
      <c r="R194" s="48"/>
    </row>
    <row r="195" spans="1:18" s="458" customFormat="1" ht="15" x14ac:dyDescent="0.25">
      <c r="A195" s="1">
        <v>190</v>
      </c>
      <c r="B195" s="1" t="s">
        <v>738</v>
      </c>
      <c r="C195" s="32">
        <v>3623</v>
      </c>
      <c r="D195" s="58">
        <v>22000</v>
      </c>
      <c r="E195" s="1" t="s">
        <v>80</v>
      </c>
      <c r="F195" s="1">
        <v>245.67</v>
      </c>
      <c r="G195" s="1">
        <v>22000</v>
      </c>
      <c r="H195" s="1">
        <f t="shared" si="3"/>
        <v>0</v>
      </c>
      <c r="I195" s="89"/>
      <c r="J195" s="454"/>
      <c r="K195" s="454"/>
      <c r="L195" s="454"/>
      <c r="M195" s="455"/>
      <c r="N195" s="43"/>
      <c r="O195" s="388"/>
      <c r="P195" s="48"/>
      <c r="Q195" s="370"/>
      <c r="R195" s="48"/>
    </row>
    <row r="196" spans="1:18" s="458" customFormat="1" ht="15" x14ac:dyDescent="0.25">
      <c r="A196" s="1">
        <v>191</v>
      </c>
      <c r="B196" s="1" t="s">
        <v>738</v>
      </c>
      <c r="C196" s="32">
        <v>5282</v>
      </c>
      <c r="D196" s="58">
        <v>20000</v>
      </c>
      <c r="E196" s="1" t="s">
        <v>80</v>
      </c>
      <c r="F196" s="1">
        <v>222.82</v>
      </c>
      <c r="G196" s="1">
        <v>20000</v>
      </c>
      <c r="H196" s="1">
        <f t="shared" si="3"/>
        <v>0</v>
      </c>
      <c r="I196" s="89"/>
      <c r="J196" s="454"/>
      <c r="K196" s="454"/>
      <c r="L196" s="454"/>
      <c r="M196" s="455"/>
      <c r="N196" s="43"/>
      <c r="O196" s="388"/>
      <c r="P196" s="48"/>
      <c r="Q196" s="370"/>
      <c r="R196" s="48"/>
    </row>
    <row r="197" spans="1:18" s="458" customFormat="1" ht="15" x14ac:dyDescent="0.25">
      <c r="A197" s="1">
        <v>192</v>
      </c>
      <c r="B197" s="1" t="s">
        <v>738</v>
      </c>
      <c r="C197" s="32">
        <v>3405</v>
      </c>
      <c r="D197" s="58">
        <v>22000</v>
      </c>
      <c r="E197" s="1" t="s">
        <v>80</v>
      </c>
      <c r="F197" s="1">
        <v>245.67</v>
      </c>
      <c r="G197" s="1">
        <v>22000</v>
      </c>
      <c r="H197" s="1">
        <f t="shared" si="3"/>
        <v>0</v>
      </c>
      <c r="I197" s="89"/>
      <c r="J197" s="454"/>
      <c r="K197" s="454"/>
      <c r="L197" s="454"/>
      <c r="M197" s="455"/>
      <c r="N197" s="43"/>
      <c r="O197" s="388"/>
      <c r="P197" s="48"/>
      <c r="Q197" s="370"/>
      <c r="R197" s="48"/>
    </row>
    <row r="198" spans="1:18" s="458" customFormat="1" ht="15" x14ac:dyDescent="0.25">
      <c r="A198" s="1">
        <v>193</v>
      </c>
      <c r="B198" s="1" t="s">
        <v>738</v>
      </c>
      <c r="C198" s="32">
        <v>1294</v>
      </c>
      <c r="D198" s="58">
        <v>25000</v>
      </c>
      <c r="E198" s="1" t="s">
        <v>80</v>
      </c>
      <c r="F198" s="1">
        <v>278.22000000000003</v>
      </c>
      <c r="G198" s="1">
        <v>25000</v>
      </c>
      <c r="H198" s="1">
        <f t="shared" si="3"/>
        <v>0</v>
      </c>
      <c r="I198" s="89"/>
      <c r="J198" s="454"/>
      <c r="K198" s="454"/>
      <c r="L198" s="454"/>
      <c r="M198" s="455"/>
      <c r="N198" s="43"/>
      <c r="O198" s="388"/>
      <c r="P198" s="48"/>
      <c r="Q198" s="370"/>
      <c r="R198" s="48"/>
    </row>
    <row r="199" spans="1:18" s="458" customFormat="1" ht="15" x14ac:dyDescent="0.25">
      <c r="A199" s="1">
        <v>194</v>
      </c>
      <c r="B199" s="1" t="s">
        <v>738</v>
      </c>
      <c r="C199" s="32">
        <v>6281</v>
      </c>
      <c r="D199" s="58">
        <v>25000</v>
      </c>
      <c r="E199" s="1" t="s">
        <v>80</v>
      </c>
      <c r="F199" s="1">
        <v>278.22000000000003</v>
      </c>
      <c r="G199" s="1">
        <v>25000</v>
      </c>
      <c r="H199" s="1">
        <f t="shared" si="3"/>
        <v>0</v>
      </c>
      <c r="I199" s="89"/>
      <c r="J199" s="454"/>
      <c r="K199" s="454"/>
      <c r="L199" s="454"/>
      <c r="M199" s="455"/>
      <c r="N199" s="43"/>
      <c r="O199" s="388"/>
      <c r="P199" s="48"/>
      <c r="Q199" s="370"/>
      <c r="R199" s="48"/>
    </row>
    <row r="200" spans="1:18" s="458" customFormat="1" ht="15" x14ac:dyDescent="0.25">
      <c r="A200" s="1">
        <v>195</v>
      </c>
      <c r="B200" s="1" t="s">
        <v>738</v>
      </c>
      <c r="C200" s="32">
        <v>7365</v>
      </c>
      <c r="D200" s="58">
        <v>21000</v>
      </c>
      <c r="E200" s="1" t="s">
        <v>80</v>
      </c>
      <c r="F200" s="1">
        <v>233.45</v>
      </c>
      <c r="G200" s="1">
        <v>21000</v>
      </c>
      <c r="H200" s="1">
        <f t="shared" si="3"/>
        <v>0</v>
      </c>
      <c r="I200" s="89"/>
      <c r="J200" s="454"/>
      <c r="K200" s="454"/>
      <c r="L200" s="454"/>
      <c r="M200" s="455"/>
      <c r="N200" s="43"/>
      <c r="O200" s="388"/>
      <c r="P200" s="48"/>
      <c r="Q200" s="370"/>
      <c r="R200" s="48"/>
    </row>
    <row r="201" spans="1:18" s="458" customFormat="1" ht="15" x14ac:dyDescent="0.25">
      <c r="A201" s="1">
        <v>196</v>
      </c>
      <c r="B201" s="1" t="s">
        <v>738</v>
      </c>
      <c r="C201" s="32">
        <v>7566</v>
      </c>
      <c r="D201" s="58">
        <v>26000</v>
      </c>
      <c r="E201" s="1" t="s">
        <v>80</v>
      </c>
      <c r="F201" s="1">
        <v>284.27</v>
      </c>
      <c r="G201" s="1">
        <v>26000</v>
      </c>
      <c r="H201" s="1">
        <f t="shared" si="3"/>
        <v>0</v>
      </c>
      <c r="I201" s="89"/>
      <c r="J201" s="454"/>
      <c r="K201" s="454"/>
      <c r="L201" s="454"/>
      <c r="M201" s="455"/>
      <c r="N201" s="43"/>
      <c r="O201" s="388"/>
      <c r="P201" s="48"/>
      <c r="Q201" s="370"/>
      <c r="R201" s="48"/>
    </row>
    <row r="202" spans="1:18" s="458" customFormat="1" ht="15" x14ac:dyDescent="0.25">
      <c r="A202" s="1">
        <v>197</v>
      </c>
      <c r="B202" s="1" t="s">
        <v>738</v>
      </c>
      <c r="C202" s="32">
        <v>8559</v>
      </c>
      <c r="D202" s="58">
        <v>5000</v>
      </c>
      <c r="E202" s="1" t="s">
        <v>80</v>
      </c>
      <c r="F202" s="1">
        <v>55.72</v>
      </c>
      <c r="G202" s="1">
        <v>5000</v>
      </c>
      <c r="H202" s="1">
        <f t="shared" si="3"/>
        <v>0</v>
      </c>
      <c r="I202" s="89"/>
      <c r="J202" s="454"/>
      <c r="K202" s="454"/>
      <c r="L202" s="454"/>
      <c r="M202" s="455"/>
      <c r="N202" s="43"/>
      <c r="O202" s="388"/>
      <c r="P202" s="48"/>
      <c r="Q202" s="370"/>
      <c r="R202" s="48"/>
    </row>
    <row r="203" spans="1:18" s="458" customFormat="1" ht="15" x14ac:dyDescent="0.25">
      <c r="A203" s="1">
        <v>198</v>
      </c>
      <c r="B203" s="1" t="s">
        <v>738</v>
      </c>
      <c r="C203" s="32">
        <v>4530</v>
      </c>
      <c r="D203" s="58">
        <v>18000</v>
      </c>
      <c r="E203" s="1" t="s">
        <v>80</v>
      </c>
      <c r="F203" s="1">
        <v>200.82</v>
      </c>
      <c r="G203" s="1">
        <v>18000</v>
      </c>
      <c r="H203" s="1">
        <f t="shared" si="3"/>
        <v>0</v>
      </c>
      <c r="I203" s="89"/>
      <c r="J203" s="454"/>
      <c r="K203" s="454"/>
      <c r="L203" s="454"/>
      <c r="M203" s="455"/>
      <c r="N203" s="43"/>
      <c r="O203" s="388"/>
      <c r="P203" s="48"/>
      <c r="Q203" s="370"/>
      <c r="R203" s="48"/>
    </row>
    <row r="204" spans="1:18" s="458" customFormat="1" ht="15" x14ac:dyDescent="0.25">
      <c r="A204" s="1">
        <v>199</v>
      </c>
      <c r="B204" s="1" t="s">
        <v>738</v>
      </c>
      <c r="C204" s="32">
        <v>4375</v>
      </c>
      <c r="D204" s="58">
        <v>21000</v>
      </c>
      <c r="E204" s="1" t="s">
        <v>80</v>
      </c>
      <c r="F204" s="1">
        <v>233.67</v>
      </c>
      <c r="G204" s="1">
        <v>21000</v>
      </c>
      <c r="H204" s="1">
        <f t="shared" si="3"/>
        <v>0</v>
      </c>
      <c r="I204" s="89"/>
      <c r="J204" s="454"/>
      <c r="K204" s="454"/>
      <c r="L204" s="454"/>
      <c r="M204" s="455"/>
      <c r="N204" s="43"/>
      <c r="O204" s="388"/>
      <c r="P204" s="48"/>
      <c r="Q204" s="370"/>
      <c r="R204" s="48"/>
    </row>
    <row r="205" spans="1:18" s="458" customFormat="1" ht="15" x14ac:dyDescent="0.25">
      <c r="A205" s="1">
        <v>200</v>
      </c>
      <c r="B205" s="1" t="s">
        <v>738</v>
      </c>
      <c r="C205" s="32">
        <v>9235</v>
      </c>
      <c r="D205" s="58">
        <v>25000</v>
      </c>
      <c r="E205" s="1" t="s">
        <v>80</v>
      </c>
      <c r="F205" s="1">
        <v>278.22000000000003</v>
      </c>
      <c r="G205" s="1">
        <v>25000</v>
      </c>
      <c r="H205" s="1">
        <f t="shared" si="3"/>
        <v>0</v>
      </c>
      <c r="I205" s="89"/>
      <c r="J205" s="454"/>
      <c r="K205" s="454"/>
      <c r="L205" s="454"/>
      <c r="M205" s="455"/>
      <c r="N205" s="43"/>
      <c r="O205" s="388"/>
      <c r="P205" s="48"/>
      <c r="Q205" s="370"/>
      <c r="R205" s="48"/>
    </row>
    <row r="206" spans="1:18" s="458" customFormat="1" ht="15" x14ac:dyDescent="0.25">
      <c r="A206" s="1">
        <v>201</v>
      </c>
      <c r="B206" s="1" t="s">
        <v>738</v>
      </c>
      <c r="C206" s="32">
        <v>8963</v>
      </c>
      <c r="D206" s="58">
        <v>25000</v>
      </c>
      <c r="E206" s="1" t="s">
        <v>80</v>
      </c>
      <c r="F206" s="1">
        <v>278.22000000000003</v>
      </c>
      <c r="G206" s="1">
        <v>25000</v>
      </c>
      <c r="H206" s="1">
        <f t="shared" si="3"/>
        <v>0</v>
      </c>
      <c r="I206" s="89"/>
      <c r="J206" s="454"/>
      <c r="K206" s="454"/>
      <c r="L206" s="454"/>
      <c r="M206" s="455"/>
      <c r="N206" s="43"/>
      <c r="O206" s="388"/>
      <c r="P206" s="48"/>
      <c r="Q206" s="370"/>
      <c r="R206" s="48"/>
    </row>
    <row r="207" spans="1:18" s="458" customFormat="1" ht="15" x14ac:dyDescent="0.25">
      <c r="A207" s="1">
        <v>202</v>
      </c>
      <c r="B207" s="1" t="s">
        <v>738</v>
      </c>
      <c r="C207" s="32">
        <v>2638</v>
      </c>
      <c r="D207" s="58">
        <v>12000</v>
      </c>
      <c r="E207" s="1" t="s">
        <v>80</v>
      </c>
      <c r="F207" s="1">
        <v>133.41999999999999</v>
      </c>
      <c r="G207" s="1">
        <v>12000</v>
      </c>
      <c r="H207" s="1">
        <f t="shared" si="3"/>
        <v>0</v>
      </c>
      <c r="I207" s="89"/>
      <c r="J207" s="454"/>
      <c r="K207" s="454"/>
      <c r="L207" s="454"/>
      <c r="M207" s="455"/>
      <c r="N207" s="43"/>
      <c r="O207" s="388"/>
      <c r="P207" s="48"/>
      <c r="Q207" s="370"/>
      <c r="R207" s="48"/>
    </row>
    <row r="208" spans="1:18" s="458" customFormat="1" ht="15" x14ac:dyDescent="0.25">
      <c r="A208" s="1">
        <v>203</v>
      </c>
      <c r="B208" s="1" t="s">
        <v>738</v>
      </c>
      <c r="C208" s="32">
        <v>5088</v>
      </c>
      <c r="D208" s="58">
        <v>29000</v>
      </c>
      <c r="E208" s="1" t="s">
        <v>80</v>
      </c>
      <c r="F208" s="1">
        <v>323.27999999999997</v>
      </c>
      <c r="G208" s="1">
        <v>29000</v>
      </c>
      <c r="H208" s="1">
        <f t="shared" si="3"/>
        <v>0</v>
      </c>
      <c r="I208" s="89"/>
      <c r="J208" s="454"/>
      <c r="K208" s="454"/>
      <c r="L208" s="454"/>
      <c r="M208" s="455"/>
      <c r="N208" s="43"/>
      <c r="O208" s="388"/>
      <c r="P208" s="48"/>
      <c r="Q208" s="370"/>
      <c r="R208" s="48"/>
    </row>
    <row r="209" spans="1:18" s="458" customFormat="1" ht="15.75" thickBot="1" x14ac:dyDescent="0.3">
      <c r="A209" s="1">
        <v>204</v>
      </c>
      <c r="B209" s="1" t="s">
        <v>738</v>
      </c>
      <c r="C209" s="32">
        <v>4365</v>
      </c>
      <c r="D209" s="58">
        <v>17000</v>
      </c>
      <c r="E209" s="1" t="s">
        <v>80</v>
      </c>
      <c r="F209" s="1">
        <v>189.27</v>
      </c>
      <c r="G209" s="1">
        <v>17000</v>
      </c>
      <c r="H209" s="1">
        <f t="shared" si="3"/>
        <v>0</v>
      </c>
      <c r="I209" s="89"/>
      <c r="J209" s="454"/>
      <c r="K209" s="454"/>
      <c r="L209" s="454"/>
      <c r="M209" s="455"/>
      <c r="N209" s="43"/>
      <c r="O209" s="388"/>
      <c r="P209" s="48"/>
      <c r="Q209" s="370"/>
      <c r="R209" s="48"/>
    </row>
    <row r="210" spans="1:18" s="458" customFormat="1" ht="15.75" thickBot="1" x14ac:dyDescent="0.3">
      <c r="A210" s="1">
        <v>205</v>
      </c>
      <c r="B210" s="1" t="s">
        <v>738</v>
      </c>
      <c r="C210" s="32">
        <v>3778</v>
      </c>
      <c r="D210" s="58">
        <v>20000</v>
      </c>
      <c r="E210" s="1" t="s">
        <v>80</v>
      </c>
      <c r="F210" s="1">
        <v>222.82</v>
      </c>
      <c r="G210" s="1">
        <v>20000</v>
      </c>
      <c r="H210" s="1">
        <f t="shared" si="3"/>
        <v>0</v>
      </c>
      <c r="I210" s="89"/>
      <c r="J210" s="454"/>
      <c r="K210" s="454"/>
      <c r="L210" s="454"/>
      <c r="M210" s="455"/>
      <c r="N210" s="43"/>
      <c r="O210" s="103">
        <f>2626342-2598264</f>
        <v>28078</v>
      </c>
      <c r="P210" s="359" t="s">
        <v>739</v>
      </c>
      <c r="Q210" s="367" t="s">
        <v>620</v>
      </c>
      <c r="R210" s="360">
        <f>28078-7600</f>
        <v>20478</v>
      </c>
    </row>
    <row r="211" spans="1:18" s="459" customFormat="1" ht="15" x14ac:dyDescent="0.25">
      <c r="A211" s="1">
        <v>206</v>
      </c>
      <c r="B211" s="1" t="s">
        <v>740</v>
      </c>
      <c r="C211" s="32">
        <v>8515</v>
      </c>
      <c r="D211" s="58">
        <v>13000</v>
      </c>
      <c r="E211" s="1" t="s">
        <v>80</v>
      </c>
      <c r="F211" s="1">
        <v>144.13</v>
      </c>
      <c r="G211" s="1">
        <v>13000</v>
      </c>
      <c r="H211" s="1">
        <f t="shared" si="3"/>
        <v>0</v>
      </c>
      <c r="I211" s="89"/>
      <c r="J211" s="454"/>
      <c r="K211" s="454"/>
      <c r="L211" s="454"/>
      <c r="M211" s="455"/>
      <c r="N211" s="43"/>
      <c r="O211" s="388"/>
      <c r="P211" s="48"/>
      <c r="Q211" s="370"/>
      <c r="R211" s="48"/>
    </row>
    <row r="212" spans="1:18" s="459" customFormat="1" ht="15" x14ac:dyDescent="0.25">
      <c r="A212" s="1">
        <v>207</v>
      </c>
      <c r="B212" s="1" t="s">
        <v>740</v>
      </c>
      <c r="C212" s="32">
        <v>5864</v>
      </c>
      <c r="D212" s="58">
        <v>16000</v>
      </c>
      <c r="E212" s="1" t="s">
        <v>80</v>
      </c>
      <c r="F212" s="1">
        <v>178.22</v>
      </c>
      <c r="G212" s="1">
        <v>16000</v>
      </c>
      <c r="H212" s="1">
        <f t="shared" si="3"/>
        <v>0</v>
      </c>
      <c r="I212" s="89"/>
      <c r="J212" s="454"/>
      <c r="K212" s="454"/>
      <c r="L212" s="454"/>
      <c r="M212" s="455"/>
      <c r="N212" s="43"/>
      <c r="O212" s="388"/>
      <c r="P212" s="48"/>
      <c r="Q212" s="370"/>
      <c r="R212" s="48"/>
    </row>
    <row r="213" spans="1:18" s="459" customFormat="1" ht="15" x14ac:dyDescent="0.25">
      <c r="A213" s="1">
        <v>208</v>
      </c>
      <c r="B213" s="1" t="s">
        <v>740</v>
      </c>
      <c r="C213" s="32">
        <v>1827</v>
      </c>
      <c r="D213" s="58">
        <v>12000</v>
      </c>
      <c r="E213" s="1" t="s">
        <v>80</v>
      </c>
      <c r="F213" s="1">
        <v>133.44999999999999</v>
      </c>
      <c r="G213" s="1">
        <v>12000</v>
      </c>
      <c r="H213" s="1">
        <f t="shared" ref="H213:H276" si="4">D213-G213</f>
        <v>0</v>
      </c>
      <c r="I213" s="89"/>
      <c r="J213" s="454"/>
      <c r="K213" s="454"/>
      <c r="L213" s="454"/>
      <c r="M213" s="455"/>
      <c r="N213" s="43"/>
      <c r="O213" s="388"/>
      <c r="P213" s="48"/>
      <c r="Q213" s="370"/>
      <c r="R213" s="48"/>
    </row>
    <row r="214" spans="1:18" s="459" customFormat="1" ht="15" x14ac:dyDescent="0.25">
      <c r="A214" s="1">
        <v>209</v>
      </c>
      <c r="B214" s="1" t="s">
        <v>740</v>
      </c>
      <c r="C214" s="32">
        <v>5504</v>
      </c>
      <c r="D214" s="58">
        <v>12000</v>
      </c>
      <c r="E214" s="1"/>
      <c r="F214" s="1">
        <v>133.44999999999999</v>
      </c>
      <c r="G214" s="1">
        <v>12000</v>
      </c>
      <c r="H214" s="1">
        <f t="shared" si="4"/>
        <v>0</v>
      </c>
      <c r="I214" s="89"/>
      <c r="J214" s="454"/>
      <c r="K214" s="454"/>
      <c r="L214" s="454"/>
      <c r="M214" s="455"/>
      <c r="N214" s="43"/>
      <c r="O214" s="388"/>
      <c r="P214" s="48"/>
      <c r="Q214" s="370"/>
      <c r="R214" s="48"/>
    </row>
    <row r="215" spans="1:18" s="459" customFormat="1" ht="15" x14ac:dyDescent="0.25">
      <c r="A215" s="1">
        <v>210</v>
      </c>
      <c r="B215" s="1" t="s">
        <v>740</v>
      </c>
      <c r="C215" s="32">
        <v>5820</v>
      </c>
      <c r="D215" s="58">
        <v>16000</v>
      </c>
      <c r="E215" s="1" t="s">
        <v>80</v>
      </c>
      <c r="F215" s="1">
        <v>178.22</v>
      </c>
      <c r="G215" s="1">
        <v>16000</v>
      </c>
      <c r="H215" s="1">
        <f t="shared" si="4"/>
        <v>0</v>
      </c>
      <c r="I215" s="89"/>
      <c r="J215" s="454"/>
      <c r="K215" s="454"/>
      <c r="L215" s="454"/>
      <c r="M215" s="455"/>
      <c r="N215" s="43"/>
      <c r="O215" s="388"/>
      <c r="P215" s="48"/>
      <c r="Q215" s="370"/>
      <c r="R215" s="48"/>
    </row>
    <row r="216" spans="1:18" s="459" customFormat="1" ht="15" x14ac:dyDescent="0.25">
      <c r="A216" s="1">
        <v>211</v>
      </c>
      <c r="B216" s="1" t="s">
        <v>740</v>
      </c>
      <c r="C216" s="32" t="s">
        <v>30</v>
      </c>
      <c r="D216" s="58">
        <v>5000</v>
      </c>
      <c r="E216" s="1" t="s">
        <v>80</v>
      </c>
      <c r="F216" s="1">
        <v>50.45</v>
      </c>
      <c r="G216" s="1">
        <v>5000</v>
      </c>
      <c r="H216" s="1">
        <f t="shared" si="4"/>
        <v>0</v>
      </c>
      <c r="I216" s="89"/>
      <c r="J216" s="454"/>
      <c r="K216" s="454"/>
      <c r="L216" s="454"/>
      <c r="M216" s="455"/>
      <c r="N216" s="43"/>
      <c r="O216" s="388"/>
      <c r="P216" s="48"/>
      <c r="Q216" s="370"/>
      <c r="R216" s="48"/>
    </row>
    <row r="217" spans="1:18" s="459" customFormat="1" ht="15" x14ac:dyDescent="0.25">
      <c r="A217" s="1">
        <v>212</v>
      </c>
      <c r="B217" s="1" t="s">
        <v>740</v>
      </c>
      <c r="C217" s="32">
        <v>6.4699999999999994E-2</v>
      </c>
      <c r="D217" s="58">
        <v>13500</v>
      </c>
      <c r="E217" s="1" t="s">
        <v>80</v>
      </c>
      <c r="F217" s="1">
        <v>160.87</v>
      </c>
      <c r="G217" s="1">
        <v>13500</v>
      </c>
      <c r="H217" s="1">
        <f t="shared" si="4"/>
        <v>0</v>
      </c>
      <c r="I217" s="89"/>
      <c r="J217" s="454"/>
      <c r="K217" s="454"/>
      <c r="L217" s="454"/>
      <c r="M217" s="455"/>
      <c r="N217" s="43"/>
      <c r="O217" s="388"/>
      <c r="P217" s="48"/>
      <c r="Q217" s="370"/>
      <c r="R217" s="48"/>
    </row>
    <row r="218" spans="1:18" s="459" customFormat="1" ht="15" x14ac:dyDescent="0.25">
      <c r="A218" s="1">
        <v>213</v>
      </c>
      <c r="B218" s="1" t="s">
        <v>740</v>
      </c>
      <c r="C218" s="32">
        <v>2852</v>
      </c>
      <c r="D218" s="58">
        <v>15000</v>
      </c>
      <c r="E218" s="1" t="s">
        <v>80</v>
      </c>
      <c r="F218" s="1">
        <v>167.15</v>
      </c>
      <c r="G218" s="1">
        <v>15000</v>
      </c>
      <c r="H218" s="1">
        <f t="shared" si="4"/>
        <v>0</v>
      </c>
      <c r="I218" s="89"/>
      <c r="J218" s="454"/>
      <c r="K218" s="454"/>
      <c r="L218" s="454"/>
      <c r="M218" s="455"/>
      <c r="N218" s="43"/>
      <c r="O218" s="388"/>
      <c r="P218" s="48"/>
      <c r="Q218" s="370"/>
      <c r="R218" s="48"/>
    </row>
    <row r="219" spans="1:18" s="459" customFormat="1" ht="15" x14ac:dyDescent="0.25">
      <c r="A219" s="1">
        <v>214</v>
      </c>
      <c r="B219" s="1" t="s">
        <v>740</v>
      </c>
      <c r="C219" s="32">
        <v>8327</v>
      </c>
      <c r="D219" s="58">
        <v>12000</v>
      </c>
      <c r="E219" s="1" t="s">
        <v>80</v>
      </c>
      <c r="F219" s="1">
        <v>133.44999999999999</v>
      </c>
      <c r="G219" s="1">
        <v>12000</v>
      </c>
      <c r="H219" s="1">
        <f t="shared" si="4"/>
        <v>0</v>
      </c>
      <c r="I219" s="89"/>
      <c r="J219" s="454"/>
      <c r="K219" s="454"/>
      <c r="L219" s="454"/>
      <c r="M219" s="455"/>
      <c r="N219" s="43"/>
      <c r="O219" s="388"/>
      <c r="P219" s="48"/>
      <c r="Q219" s="370"/>
      <c r="R219" s="48"/>
    </row>
    <row r="220" spans="1:18" s="459" customFormat="1" ht="15" x14ac:dyDescent="0.25">
      <c r="A220" s="1">
        <v>215</v>
      </c>
      <c r="B220" s="1" t="s">
        <v>740</v>
      </c>
      <c r="C220" s="32">
        <v>4293</v>
      </c>
      <c r="D220" s="58">
        <v>14800</v>
      </c>
      <c r="E220" s="1" t="s">
        <v>80</v>
      </c>
      <c r="F220" s="1">
        <v>164.85</v>
      </c>
      <c r="G220" s="1">
        <v>14800</v>
      </c>
      <c r="H220" s="1">
        <f t="shared" si="4"/>
        <v>0</v>
      </c>
      <c r="I220" s="89"/>
      <c r="J220" s="454"/>
      <c r="K220" s="454"/>
      <c r="L220" s="454"/>
      <c r="M220" s="455"/>
      <c r="N220" s="43"/>
      <c r="O220" s="388"/>
      <c r="P220" s="48"/>
      <c r="Q220" s="370"/>
      <c r="R220" s="48"/>
    </row>
    <row r="221" spans="1:18" s="459" customFormat="1" ht="15" x14ac:dyDescent="0.25">
      <c r="A221" s="1">
        <v>216</v>
      </c>
      <c r="B221" s="1" t="s">
        <v>740</v>
      </c>
      <c r="C221" s="32">
        <v>5075</v>
      </c>
      <c r="D221" s="58">
        <v>19000</v>
      </c>
      <c r="E221" s="1" t="s">
        <v>80</v>
      </c>
      <c r="F221" s="1">
        <v>211.57</v>
      </c>
      <c r="G221" s="1">
        <v>19000</v>
      </c>
      <c r="H221" s="1">
        <f t="shared" si="4"/>
        <v>0</v>
      </c>
      <c r="I221" s="89"/>
      <c r="J221" s="454"/>
      <c r="K221" s="454"/>
      <c r="L221" s="454"/>
      <c r="M221" s="455"/>
      <c r="N221" s="43"/>
      <c r="O221" s="388"/>
      <c r="P221" s="48"/>
      <c r="Q221" s="370"/>
      <c r="R221" s="48"/>
    </row>
    <row r="222" spans="1:18" s="459" customFormat="1" ht="15" x14ac:dyDescent="0.25">
      <c r="A222" s="1">
        <v>217</v>
      </c>
      <c r="B222" s="1" t="s">
        <v>740</v>
      </c>
      <c r="C222" s="32">
        <v>9708</v>
      </c>
      <c r="D222" s="58">
        <v>15000</v>
      </c>
      <c r="E222" s="1" t="s">
        <v>80</v>
      </c>
      <c r="F222" s="1">
        <v>167.15</v>
      </c>
      <c r="G222" s="1">
        <v>15000</v>
      </c>
      <c r="H222" s="1">
        <f t="shared" si="4"/>
        <v>0</v>
      </c>
      <c r="I222" s="89"/>
      <c r="J222" s="454"/>
      <c r="K222" s="454"/>
      <c r="L222" s="454"/>
      <c r="M222" s="455"/>
      <c r="N222" s="43"/>
      <c r="O222" s="388"/>
      <c r="P222" s="48"/>
      <c r="Q222" s="370"/>
      <c r="R222" s="48"/>
    </row>
    <row r="223" spans="1:18" s="459" customFormat="1" ht="15" x14ac:dyDescent="0.25">
      <c r="A223" s="1">
        <v>218</v>
      </c>
      <c r="B223" s="1" t="s">
        <v>740</v>
      </c>
      <c r="C223" s="32">
        <v>9992</v>
      </c>
      <c r="D223" s="58">
        <v>26000</v>
      </c>
      <c r="E223" s="1" t="s">
        <v>80</v>
      </c>
      <c r="F223" s="1">
        <v>272.68</v>
      </c>
      <c r="G223" s="1">
        <v>26000</v>
      </c>
      <c r="H223" s="1">
        <f t="shared" si="4"/>
        <v>0</v>
      </c>
      <c r="I223" s="89"/>
      <c r="J223" s="454"/>
      <c r="K223" s="454"/>
      <c r="L223" s="454"/>
      <c r="M223" s="455"/>
      <c r="N223" s="43"/>
      <c r="O223" s="388"/>
      <c r="P223" s="48"/>
      <c r="Q223" s="370"/>
      <c r="R223" s="48"/>
    </row>
    <row r="224" spans="1:18" s="459" customFormat="1" ht="15" x14ac:dyDescent="0.25">
      <c r="A224" s="1">
        <v>219</v>
      </c>
      <c r="B224" s="1" t="s">
        <v>740</v>
      </c>
      <c r="C224" s="32">
        <v>2057</v>
      </c>
      <c r="D224" s="58">
        <v>15000</v>
      </c>
      <c r="E224" s="1" t="s">
        <v>80</v>
      </c>
      <c r="F224" s="1">
        <v>167.15</v>
      </c>
      <c r="G224" s="1">
        <v>15000</v>
      </c>
      <c r="H224" s="1">
        <f t="shared" si="4"/>
        <v>0</v>
      </c>
      <c r="I224" s="89"/>
      <c r="J224" s="454"/>
      <c r="K224" s="454"/>
      <c r="L224" s="454"/>
      <c r="M224" s="455"/>
      <c r="N224" s="43"/>
      <c r="O224" s="388"/>
      <c r="P224" s="48"/>
      <c r="Q224" s="370"/>
      <c r="R224" s="48"/>
    </row>
    <row r="225" spans="1:18" s="459" customFormat="1" ht="15" x14ac:dyDescent="0.25">
      <c r="A225" s="1">
        <v>220</v>
      </c>
      <c r="B225" s="1" t="s">
        <v>740</v>
      </c>
      <c r="C225" s="32">
        <v>9817</v>
      </c>
      <c r="D225" s="58">
        <v>20000</v>
      </c>
      <c r="E225" s="1" t="s">
        <v>80</v>
      </c>
      <c r="F225" s="1">
        <v>222.82</v>
      </c>
      <c r="G225" s="1">
        <v>20000</v>
      </c>
      <c r="H225" s="1">
        <f t="shared" si="4"/>
        <v>0</v>
      </c>
      <c r="I225" s="89"/>
      <c r="J225" s="454"/>
      <c r="K225" s="454"/>
      <c r="L225" s="454"/>
      <c r="M225" s="455"/>
      <c r="N225" s="43"/>
      <c r="O225" s="388"/>
      <c r="P225" s="48"/>
      <c r="Q225" s="370"/>
      <c r="R225" s="48"/>
    </row>
    <row r="226" spans="1:18" s="459" customFormat="1" ht="15" x14ac:dyDescent="0.25">
      <c r="A226" s="1">
        <v>221</v>
      </c>
      <c r="B226" s="1" t="s">
        <v>740</v>
      </c>
      <c r="C226" s="32">
        <v>7258</v>
      </c>
      <c r="D226" s="58">
        <v>26000</v>
      </c>
      <c r="E226" s="1" t="s">
        <v>80</v>
      </c>
      <c r="F226" s="1">
        <v>272.68</v>
      </c>
      <c r="G226" s="1">
        <v>26000</v>
      </c>
      <c r="H226" s="1">
        <f t="shared" si="4"/>
        <v>0</v>
      </c>
      <c r="I226" s="89"/>
      <c r="J226" s="454"/>
      <c r="K226" s="454"/>
      <c r="L226" s="454"/>
      <c r="M226" s="455"/>
      <c r="N226" s="43"/>
      <c r="O226" s="388"/>
      <c r="P226" s="48"/>
      <c r="Q226" s="370"/>
      <c r="R226" s="48"/>
    </row>
    <row r="227" spans="1:18" s="459" customFormat="1" ht="15" x14ac:dyDescent="0.25">
      <c r="A227" s="1">
        <v>222</v>
      </c>
      <c r="B227" s="1" t="s">
        <v>740</v>
      </c>
      <c r="C227" s="32">
        <v>4030</v>
      </c>
      <c r="D227" s="58">
        <v>20000</v>
      </c>
      <c r="E227" s="1" t="s">
        <v>80</v>
      </c>
      <c r="F227" s="1">
        <v>222.82</v>
      </c>
      <c r="G227" s="1">
        <v>20000</v>
      </c>
      <c r="H227" s="1">
        <f t="shared" si="4"/>
        <v>0</v>
      </c>
      <c r="I227" s="89"/>
      <c r="J227" s="454"/>
      <c r="K227" s="454"/>
      <c r="L227" s="454"/>
      <c r="M227" s="455"/>
      <c r="N227" s="43"/>
      <c r="O227" s="388"/>
      <c r="P227" s="48"/>
      <c r="Q227" s="370"/>
      <c r="R227" s="48"/>
    </row>
    <row r="228" spans="1:18" s="459" customFormat="1" ht="15" x14ac:dyDescent="0.25">
      <c r="A228" s="1">
        <v>223</v>
      </c>
      <c r="B228" s="1" t="s">
        <v>740</v>
      </c>
      <c r="C228" s="32">
        <v>3869</v>
      </c>
      <c r="D228" s="58">
        <v>20000</v>
      </c>
      <c r="E228" s="1" t="s">
        <v>80</v>
      </c>
      <c r="F228" s="1">
        <v>222.82</v>
      </c>
      <c r="G228" s="1">
        <v>20000</v>
      </c>
      <c r="H228" s="1">
        <f t="shared" si="4"/>
        <v>0</v>
      </c>
      <c r="I228" s="89"/>
      <c r="J228" s="454"/>
      <c r="K228" s="454"/>
      <c r="L228" s="454"/>
      <c r="M228" s="455"/>
      <c r="N228" s="43"/>
      <c r="O228" s="388"/>
      <c r="P228" s="48"/>
      <c r="Q228" s="370"/>
      <c r="R228" s="48"/>
    </row>
    <row r="229" spans="1:18" s="459" customFormat="1" ht="15" x14ac:dyDescent="0.25">
      <c r="A229" s="1">
        <v>224</v>
      </c>
      <c r="B229" s="1" t="s">
        <v>740</v>
      </c>
      <c r="C229" s="32">
        <v>8050</v>
      </c>
      <c r="D229" s="58">
        <v>12000</v>
      </c>
      <c r="E229" s="1" t="s">
        <v>80</v>
      </c>
      <c r="F229" s="1">
        <v>133.44999999999999</v>
      </c>
      <c r="G229" s="1">
        <v>12000</v>
      </c>
      <c r="H229" s="1">
        <f t="shared" si="4"/>
        <v>0</v>
      </c>
      <c r="I229" s="89"/>
      <c r="J229" s="454"/>
      <c r="K229" s="454"/>
      <c r="L229" s="454"/>
      <c r="M229" s="455"/>
      <c r="N229" s="43"/>
      <c r="O229" s="388"/>
      <c r="P229" s="48"/>
      <c r="Q229" s="370"/>
      <c r="R229" s="48"/>
    </row>
    <row r="230" spans="1:18" s="459" customFormat="1" ht="15" x14ac:dyDescent="0.25">
      <c r="A230" s="1">
        <v>225</v>
      </c>
      <c r="B230" s="1" t="s">
        <v>740</v>
      </c>
      <c r="C230" s="32">
        <v>6486</v>
      </c>
      <c r="D230" s="58">
        <v>15000</v>
      </c>
      <c r="E230" s="1" t="s">
        <v>80</v>
      </c>
      <c r="F230" s="1">
        <v>167.15</v>
      </c>
      <c r="G230" s="1">
        <v>15000</v>
      </c>
      <c r="H230" s="1">
        <f t="shared" si="4"/>
        <v>0</v>
      </c>
      <c r="I230" s="89"/>
      <c r="J230" s="454"/>
      <c r="K230" s="454"/>
      <c r="L230" s="454"/>
      <c r="M230" s="455"/>
      <c r="N230" s="43"/>
      <c r="O230" s="388"/>
      <c r="P230" s="48"/>
      <c r="Q230" s="370"/>
      <c r="R230" s="48"/>
    </row>
    <row r="231" spans="1:18" s="459" customFormat="1" ht="15" x14ac:dyDescent="0.25">
      <c r="A231" s="1">
        <v>226</v>
      </c>
      <c r="B231" s="1" t="s">
        <v>740</v>
      </c>
      <c r="C231" s="32">
        <v>3567</v>
      </c>
      <c r="D231" s="58">
        <v>15000</v>
      </c>
      <c r="E231" s="1" t="s">
        <v>80</v>
      </c>
      <c r="F231" s="1">
        <v>167.15</v>
      </c>
      <c r="G231" s="1">
        <v>15000</v>
      </c>
      <c r="H231" s="1">
        <f t="shared" si="4"/>
        <v>0</v>
      </c>
      <c r="I231" s="89"/>
      <c r="J231" s="454"/>
      <c r="K231" s="454"/>
      <c r="L231" s="454"/>
      <c r="M231" s="455"/>
      <c r="N231" s="43"/>
      <c r="O231" s="388"/>
      <c r="P231" s="48"/>
      <c r="Q231" s="370"/>
      <c r="R231" s="48"/>
    </row>
    <row r="232" spans="1:18" s="459" customFormat="1" ht="15" x14ac:dyDescent="0.25">
      <c r="A232" s="1">
        <v>227</v>
      </c>
      <c r="B232" s="1" t="s">
        <v>740</v>
      </c>
      <c r="C232" s="32">
        <v>9458</v>
      </c>
      <c r="D232" s="58">
        <v>28000</v>
      </c>
      <c r="E232" s="1" t="s">
        <v>80</v>
      </c>
      <c r="F232" s="1">
        <v>311.68</v>
      </c>
      <c r="G232" s="1">
        <v>28000</v>
      </c>
      <c r="H232" s="1">
        <f t="shared" si="4"/>
        <v>0</v>
      </c>
      <c r="I232" s="89"/>
      <c r="J232" s="454"/>
      <c r="K232" s="454"/>
      <c r="L232" s="454"/>
      <c r="M232" s="455"/>
      <c r="N232" s="43"/>
      <c r="O232" s="388"/>
      <c r="P232" s="48"/>
      <c r="Q232" s="370"/>
      <c r="R232" s="48"/>
    </row>
    <row r="233" spans="1:18" s="459" customFormat="1" ht="15" x14ac:dyDescent="0.25">
      <c r="A233" s="1">
        <v>228</v>
      </c>
      <c r="B233" s="1" t="s">
        <v>741</v>
      </c>
      <c r="C233" s="32" t="s">
        <v>633</v>
      </c>
      <c r="D233" s="58">
        <v>210</v>
      </c>
      <c r="E233" s="1" t="s">
        <v>80</v>
      </c>
      <c r="F233" s="1">
        <v>2.08</v>
      </c>
      <c r="G233" s="1">
        <v>210</v>
      </c>
      <c r="H233" s="1">
        <f t="shared" si="4"/>
        <v>0</v>
      </c>
      <c r="I233" s="89"/>
      <c r="J233" s="454"/>
      <c r="K233" s="454"/>
      <c r="L233" s="454"/>
      <c r="M233" s="455"/>
      <c r="N233" s="43"/>
      <c r="O233" s="388"/>
      <c r="P233" s="48"/>
      <c r="Q233" s="370"/>
      <c r="R233" s="48"/>
    </row>
    <row r="234" spans="1:18" s="459" customFormat="1" ht="15" x14ac:dyDescent="0.25">
      <c r="A234" s="1">
        <v>229</v>
      </c>
      <c r="B234" s="1" t="s">
        <v>741</v>
      </c>
      <c r="C234" s="32">
        <v>1832</v>
      </c>
      <c r="D234" s="58">
        <v>13000</v>
      </c>
      <c r="E234" s="1" t="s">
        <v>80</v>
      </c>
      <c r="F234" s="1">
        <v>144.13</v>
      </c>
      <c r="G234" s="1">
        <v>13000</v>
      </c>
      <c r="H234" s="1">
        <f t="shared" si="4"/>
        <v>0</v>
      </c>
      <c r="I234" s="89"/>
      <c r="J234" s="454"/>
      <c r="K234" s="454"/>
      <c r="L234" s="454"/>
      <c r="M234" s="455"/>
      <c r="N234" s="43"/>
      <c r="O234" s="388"/>
      <c r="P234" s="48"/>
      <c r="Q234" s="370"/>
      <c r="R234" s="48"/>
    </row>
    <row r="235" spans="1:18" s="459" customFormat="1" ht="15" x14ac:dyDescent="0.25">
      <c r="A235" s="1">
        <v>230</v>
      </c>
      <c r="B235" s="1" t="s">
        <v>741</v>
      </c>
      <c r="C235" s="32">
        <v>9397</v>
      </c>
      <c r="D235" s="58">
        <v>13000</v>
      </c>
      <c r="E235" s="1" t="s">
        <v>80</v>
      </c>
      <c r="F235" s="1">
        <v>144.13</v>
      </c>
      <c r="G235" s="1">
        <v>13000</v>
      </c>
      <c r="H235" s="1">
        <f t="shared" si="4"/>
        <v>0</v>
      </c>
      <c r="I235" s="89"/>
      <c r="J235" s="454"/>
      <c r="K235" s="454"/>
      <c r="L235" s="454"/>
      <c r="M235" s="455"/>
      <c r="N235" s="43"/>
      <c r="O235" s="388"/>
      <c r="P235" s="48"/>
      <c r="Q235" s="370"/>
      <c r="R235" s="48"/>
    </row>
    <row r="236" spans="1:18" s="459" customFormat="1" ht="15" x14ac:dyDescent="0.25">
      <c r="A236" s="1">
        <v>231</v>
      </c>
      <c r="B236" s="1" t="s">
        <v>741</v>
      </c>
      <c r="C236" s="32">
        <v>5.6399999999999999E-2</v>
      </c>
      <c r="D236" s="58">
        <v>14000</v>
      </c>
      <c r="E236" s="1" t="s">
        <v>80</v>
      </c>
      <c r="F236" s="1">
        <v>155.37</v>
      </c>
      <c r="G236" s="1">
        <v>14000</v>
      </c>
      <c r="H236" s="1">
        <f t="shared" si="4"/>
        <v>0</v>
      </c>
      <c r="I236" s="89"/>
      <c r="J236" s="454"/>
      <c r="K236" s="454"/>
      <c r="L236" s="454"/>
      <c r="M236" s="455"/>
      <c r="N236" s="43"/>
      <c r="O236" s="388"/>
      <c r="P236" s="48"/>
      <c r="Q236" s="370"/>
      <c r="R236" s="48"/>
    </row>
    <row r="237" spans="1:18" s="459" customFormat="1" ht="15" x14ac:dyDescent="0.25">
      <c r="A237" s="1">
        <v>232</v>
      </c>
      <c r="B237" s="1" t="s">
        <v>741</v>
      </c>
      <c r="C237" s="32">
        <v>3839</v>
      </c>
      <c r="D237" s="58">
        <v>15500</v>
      </c>
      <c r="E237" s="1" t="s">
        <v>80</v>
      </c>
      <c r="F237" s="1">
        <v>172.68</v>
      </c>
      <c r="G237" s="1">
        <v>15500</v>
      </c>
      <c r="H237" s="1">
        <f t="shared" si="4"/>
        <v>0</v>
      </c>
      <c r="I237" s="89"/>
      <c r="J237" s="454"/>
      <c r="K237" s="454"/>
      <c r="L237" s="454"/>
      <c r="M237" s="455"/>
      <c r="N237" s="43"/>
      <c r="O237" s="388"/>
      <c r="P237" s="48"/>
      <c r="Q237" s="370"/>
      <c r="R237" s="48"/>
    </row>
    <row r="238" spans="1:18" s="459" customFormat="1" ht="15" x14ac:dyDescent="0.25">
      <c r="A238" s="1">
        <v>233</v>
      </c>
      <c r="B238" s="1" t="s">
        <v>741</v>
      </c>
      <c r="C238" s="32">
        <v>4747</v>
      </c>
      <c r="D238" s="58">
        <v>20000</v>
      </c>
      <c r="E238" s="1" t="s">
        <v>80</v>
      </c>
      <c r="F238" s="1">
        <v>222.82</v>
      </c>
      <c r="G238" s="1">
        <v>20000</v>
      </c>
      <c r="H238" s="1">
        <f t="shared" si="4"/>
        <v>0</v>
      </c>
      <c r="I238" s="89"/>
      <c r="J238" s="454"/>
      <c r="K238" s="454"/>
      <c r="L238" s="454"/>
      <c r="M238" s="455"/>
      <c r="N238" s="43"/>
      <c r="O238" s="388"/>
      <c r="P238" s="48"/>
      <c r="Q238" s="370"/>
      <c r="R238" s="48"/>
    </row>
    <row r="239" spans="1:18" s="459" customFormat="1" ht="15" x14ac:dyDescent="0.25">
      <c r="A239" s="1">
        <v>234</v>
      </c>
      <c r="B239" s="1" t="s">
        <v>741</v>
      </c>
      <c r="C239" s="32">
        <v>1965</v>
      </c>
      <c r="D239" s="58">
        <v>13000</v>
      </c>
      <c r="E239" s="1" t="s">
        <v>80</v>
      </c>
      <c r="F239" s="1">
        <v>144.13</v>
      </c>
      <c r="G239" s="1">
        <v>13000</v>
      </c>
      <c r="H239" s="1">
        <f t="shared" si="4"/>
        <v>0</v>
      </c>
      <c r="I239" s="89"/>
      <c r="J239" s="454"/>
      <c r="K239" s="454"/>
      <c r="L239" s="454"/>
      <c r="M239" s="455"/>
      <c r="N239" s="43"/>
      <c r="O239" s="388"/>
      <c r="P239" s="48"/>
      <c r="Q239" s="370"/>
      <c r="R239" s="48"/>
    </row>
    <row r="240" spans="1:18" s="459" customFormat="1" ht="15" x14ac:dyDescent="0.25">
      <c r="A240" s="1">
        <v>235</v>
      </c>
      <c r="B240" s="1" t="s">
        <v>741</v>
      </c>
      <c r="C240" s="32">
        <v>6012</v>
      </c>
      <c r="D240" s="58">
        <v>15000</v>
      </c>
      <c r="E240" s="1" t="s">
        <v>80</v>
      </c>
      <c r="F240" s="1">
        <v>167.15</v>
      </c>
      <c r="G240" s="1">
        <v>15000</v>
      </c>
      <c r="H240" s="1">
        <f t="shared" si="4"/>
        <v>0</v>
      </c>
      <c r="I240" s="89"/>
      <c r="J240" s="454"/>
      <c r="K240" s="454"/>
      <c r="L240" s="454"/>
      <c r="M240" s="455"/>
      <c r="N240" s="43"/>
      <c r="O240" s="388"/>
      <c r="P240" s="48"/>
      <c r="Q240" s="370"/>
      <c r="R240" s="48"/>
    </row>
    <row r="241" spans="1:18" s="459" customFormat="1" ht="15" x14ac:dyDescent="0.25">
      <c r="A241" s="1">
        <v>236</v>
      </c>
      <c r="B241" s="1" t="s">
        <v>741</v>
      </c>
      <c r="C241" s="32">
        <v>1377</v>
      </c>
      <c r="D241" s="58">
        <v>19000</v>
      </c>
      <c r="E241" s="1" t="s">
        <v>80</v>
      </c>
      <c r="F241" s="1">
        <v>211.72</v>
      </c>
      <c r="G241" s="1">
        <v>19000</v>
      </c>
      <c r="H241" s="1">
        <f t="shared" si="4"/>
        <v>0</v>
      </c>
      <c r="I241" s="89"/>
      <c r="J241" s="454"/>
      <c r="K241" s="454"/>
      <c r="L241" s="454"/>
      <c r="M241" s="455"/>
      <c r="N241" s="43"/>
      <c r="O241" s="388"/>
      <c r="P241" s="48"/>
      <c r="Q241" s="370"/>
      <c r="R241" s="48"/>
    </row>
    <row r="242" spans="1:18" s="459" customFormat="1" ht="15" x14ac:dyDescent="0.25">
      <c r="A242" s="1">
        <v>237</v>
      </c>
      <c r="B242" s="1" t="s">
        <v>741</v>
      </c>
      <c r="C242" s="32">
        <v>2354</v>
      </c>
      <c r="D242" s="58">
        <v>17000</v>
      </c>
      <c r="E242" s="1" t="s">
        <v>80</v>
      </c>
      <c r="F242" s="1">
        <v>189.38</v>
      </c>
      <c r="G242" s="1">
        <v>17000</v>
      </c>
      <c r="H242" s="1">
        <f t="shared" si="4"/>
        <v>0</v>
      </c>
      <c r="I242" s="89"/>
      <c r="J242" s="454"/>
      <c r="K242" s="454"/>
      <c r="L242" s="454"/>
      <c r="M242" s="455"/>
      <c r="N242" s="43"/>
      <c r="O242" s="388"/>
      <c r="P242" s="48"/>
      <c r="Q242" s="370"/>
      <c r="R242" s="48"/>
    </row>
    <row r="243" spans="1:18" s="459" customFormat="1" ht="15" x14ac:dyDescent="0.25">
      <c r="A243" s="1">
        <v>238</v>
      </c>
      <c r="B243" s="1" t="s">
        <v>741</v>
      </c>
      <c r="C243" s="32" t="s">
        <v>30</v>
      </c>
      <c r="D243" s="58">
        <v>4500</v>
      </c>
      <c r="E243" s="1" t="s">
        <v>80</v>
      </c>
      <c r="F243" s="1">
        <v>50.38</v>
      </c>
      <c r="G243" s="1">
        <v>4500</v>
      </c>
      <c r="H243" s="1">
        <f t="shared" si="4"/>
        <v>0</v>
      </c>
      <c r="I243" s="89"/>
      <c r="J243" s="454"/>
      <c r="K243" s="454"/>
      <c r="L243" s="454"/>
      <c r="M243" s="455"/>
      <c r="N243" s="43"/>
      <c r="O243" s="388"/>
      <c r="P243" s="48"/>
      <c r="Q243" s="370"/>
      <c r="R243" s="48"/>
    </row>
    <row r="244" spans="1:18" s="459" customFormat="1" ht="15" x14ac:dyDescent="0.25">
      <c r="A244" s="1">
        <v>239</v>
      </c>
      <c r="B244" s="1" t="s">
        <v>741</v>
      </c>
      <c r="C244" s="32">
        <v>3068</v>
      </c>
      <c r="D244" s="58">
        <v>13000</v>
      </c>
      <c r="E244" s="1" t="s">
        <v>80</v>
      </c>
      <c r="F244" s="1">
        <v>144.13</v>
      </c>
      <c r="G244" s="1">
        <v>13000</v>
      </c>
      <c r="H244" s="1">
        <f t="shared" si="4"/>
        <v>0</v>
      </c>
      <c r="I244" s="89"/>
      <c r="J244" s="454"/>
      <c r="K244" s="454"/>
      <c r="L244" s="454"/>
      <c r="M244" s="455"/>
      <c r="N244" s="43"/>
      <c r="O244" s="388"/>
      <c r="P244" s="48"/>
      <c r="Q244" s="370"/>
      <c r="R244" s="48"/>
    </row>
    <row r="245" spans="1:18" s="459" customFormat="1" ht="15" x14ac:dyDescent="0.25">
      <c r="A245" s="1">
        <v>240</v>
      </c>
      <c r="B245" s="1" t="s">
        <v>741</v>
      </c>
      <c r="C245" s="32">
        <v>6951</v>
      </c>
      <c r="D245" s="58">
        <v>24000</v>
      </c>
      <c r="E245" s="1" t="s">
        <v>80</v>
      </c>
      <c r="F245" s="1">
        <v>267.48</v>
      </c>
      <c r="G245" s="1">
        <v>24000</v>
      </c>
      <c r="H245" s="1">
        <f t="shared" si="4"/>
        <v>0</v>
      </c>
      <c r="I245" s="89"/>
      <c r="J245" s="454"/>
      <c r="K245" s="454"/>
      <c r="L245" s="454"/>
      <c r="M245" s="455"/>
      <c r="N245" s="43"/>
      <c r="O245" s="388"/>
      <c r="P245" s="48"/>
      <c r="Q245" s="370"/>
      <c r="R245" s="48"/>
    </row>
    <row r="246" spans="1:18" s="459" customFormat="1" ht="15" x14ac:dyDescent="0.25">
      <c r="A246" s="1">
        <v>241</v>
      </c>
      <c r="B246" s="1" t="s">
        <v>741</v>
      </c>
      <c r="C246" s="32">
        <v>1332</v>
      </c>
      <c r="D246" s="58">
        <v>14000</v>
      </c>
      <c r="E246" s="1" t="s">
        <v>80</v>
      </c>
      <c r="F246" s="1">
        <v>155.44999999999999</v>
      </c>
      <c r="G246" s="1">
        <v>14000</v>
      </c>
      <c r="H246" s="1">
        <f t="shared" si="4"/>
        <v>0</v>
      </c>
      <c r="I246" s="89"/>
      <c r="J246" s="454"/>
      <c r="K246" s="454"/>
      <c r="L246" s="454"/>
      <c r="M246" s="455"/>
      <c r="N246" s="43"/>
      <c r="O246" s="388"/>
      <c r="P246" s="48"/>
      <c r="Q246" s="370"/>
      <c r="R246" s="48"/>
    </row>
    <row r="247" spans="1:18" s="459" customFormat="1" ht="15" x14ac:dyDescent="0.25">
      <c r="A247" s="1">
        <v>242</v>
      </c>
      <c r="B247" s="1" t="s">
        <v>741</v>
      </c>
      <c r="C247" s="32">
        <v>5200</v>
      </c>
      <c r="D247" s="58">
        <v>27000</v>
      </c>
      <c r="E247" s="1" t="s">
        <v>80</v>
      </c>
      <c r="F247" s="1">
        <v>300.67</v>
      </c>
      <c r="G247" s="1">
        <v>27000</v>
      </c>
      <c r="H247" s="1">
        <f t="shared" si="4"/>
        <v>0</v>
      </c>
      <c r="I247" s="89"/>
      <c r="J247" s="454"/>
      <c r="K247" s="454"/>
      <c r="L247" s="454"/>
      <c r="M247" s="455"/>
      <c r="N247" s="43"/>
      <c r="O247" s="388"/>
      <c r="P247" s="48"/>
      <c r="Q247" s="370"/>
      <c r="R247" s="48"/>
    </row>
    <row r="248" spans="1:18" s="459" customFormat="1" ht="15" x14ac:dyDescent="0.25">
      <c r="A248" s="1">
        <v>243</v>
      </c>
      <c r="B248" s="1" t="s">
        <v>741</v>
      </c>
      <c r="C248" s="32">
        <v>5151</v>
      </c>
      <c r="D248" s="58">
        <v>15000</v>
      </c>
      <c r="E248" s="1" t="s">
        <v>80</v>
      </c>
      <c r="F248" s="1">
        <v>167.15</v>
      </c>
      <c r="G248" s="1">
        <v>15000</v>
      </c>
      <c r="H248" s="1">
        <f t="shared" si="4"/>
        <v>0</v>
      </c>
      <c r="I248" s="89"/>
      <c r="J248" s="454"/>
      <c r="K248" s="454"/>
      <c r="L248" s="454"/>
      <c r="M248" s="455"/>
      <c r="N248" s="43"/>
      <c r="O248" s="388"/>
      <c r="P248" s="48"/>
      <c r="Q248" s="370"/>
      <c r="R248" s="48"/>
    </row>
    <row r="249" spans="1:18" s="459" customFormat="1" ht="15.75" thickBot="1" x14ac:dyDescent="0.3">
      <c r="A249" s="1">
        <v>244</v>
      </c>
      <c r="B249" s="1" t="s">
        <v>741</v>
      </c>
      <c r="C249" s="32">
        <v>5.1000000000000004E-3</v>
      </c>
      <c r="D249" s="58">
        <v>15000</v>
      </c>
      <c r="E249" s="1" t="s">
        <v>80</v>
      </c>
      <c r="F249" s="1">
        <v>167.15</v>
      </c>
      <c r="G249" s="1">
        <v>15000</v>
      </c>
      <c r="H249" s="1">
        <f t="shared" si="4"/>
        <v>0</v>
      </c>
      <c r="I249" s="89"/>
      <c r="J249" s="454"/>
      <c r="K249" s="454"/>
      <c r="L249" s="454"/>
      <c r="M249" s="455"/>
      <c r="N249" s="43"/>
      <c r="O249" s="388"/>
      <c r="P249" s="48"/>
      <c r="Q249" s="370"/>
      <c r="R249" s="48"/>
    </row>
    <row r="250" spans="1:18" s="459" customFormat="1" ht="15.75" thickBot="1" x14ac:dyDescent="0.3">
      <c r="A250" s="1">
        <v>245</v>
      </c>
      <c r="B250" s="1" t="s">
        <v>741</v>
      </c>
      <c r="C250" s="32">
        <v>5252</v>
      </c>
      <c r="D250" s="58">
        <v>16000</v>
      </c>
      <c r="E250" s="1" t="s">
        <v>80</v>
      </c>
      <c r="F250" s="1">
        <v>178.22</v>
      </c>
      <c r="G250" s="1">
        <v>16000</v>
      </c>
      <c r="H250" s="1">
        <f t="shared" si="4"/>
        <v>0</v>
      </c>
      <c r="I250" s="89"/>
      <c r="J250" s="454"/>
      <c r="K250" s="454"/>
      <c r="L250" s="454"/>
      <c r="M250" s="455"/>
      <c r="N250" s="43"/>
      <c r="O250" s="103">
        <f>2554853-2526774</f>
        <v>28079</v>
      </c>
      <c r="P250" s="359" t="s">
        <v>739</v>
      </c>
      <c r="Q250" s="367" t="s">
        <v>620</v>
      </c>
      <c r="R250" s="360">
        <f>28078-7600</f>
        <v>20478</v>
      </c>
    </row>
    <row r="251" spans="1:18" s="460" customFormat="1" ht="15" x14ac:dyDescent="0.25">
      <c r="A251" s="1">
        <v>246</v>
      </c>
      <c r="B251" s="1" t="s">
        <v>742</v>
      </c>
      <c r="C251" s="32" t="s">
        <v>30</v>
      </c>
      <c r="D251" s="58">
        <v>5000</v>
      </c>
      <c r="E251" s="1" t="s">
        <v>80</v>
      </c>
      <c r="F251" s="1">
        <v>50.45</v>
      </c>
      <c r="G251" s="1">
        <v>5000</v>
      </c>
      <c r="H251" s="1">
        <f t="shared" si="4"/>
        <v>0</v>
      </c>
      <c r="I251" s="89"/>
      <c r="J251" s="454"/>
      <c r="K251" s="454"/>
      <c r="L251" s="454"/>
      <c r="M251" s="455"/>
      <c r="N251" s="43"/>
      <c r="O251" s="388"/>
      <c r="P251" s="48"/>
      <c r="Q251" s="370"/>
      <c r="R251" s="48"/>
    </row>
    <row r="252" spans="1:18" s="460" customFormat="1" ht="15" x14ac:dyDescent="0.25">
      <c r="A252" s="1">
        <v>247</v>
      </c>
      <c r="B252" s="1" t="s">
        <v>742</v>
      </c>
      <c r="C252" s="32">
        <v>5566</v>
      </c>
      <c r="D252" s="58">
        <v>23000</v>
      </c>
      <c r="E252" s="1" t="s">
        <v>80</v>
      </c>
      <c r="F252" s="1">
        <v>256.87</v>
      </c>
      <c r="G252" s="1">
        <v>23000</v>
      </c>
      <c r="H252" s="1">
        <f t="shared" si="4"/>
        <v>0</v>
      </c>
      <c r="I252" s="89"/>
      <c r="J252" s="454"/>
      <c r="K252" s="454"/>
      <c r="L252" s="454"/>
      <c r="M252" s="455"/>
      <c r="N252" s="43"/>
      <c r="O252" s="388"/>
      <c r="P252" s="48"/>
      <c r="Q252" s="370"/>
      <c r="R252" s="48"/>
    </row>
    <row r="253" spans="1:18" s="460" customFormat="1" ht="15" x14ac:dyDescent="0.25">
      <c r="A253" s="1">
        <v>248</v>
      </c>
      <c r="B253" s="1" t="s">
        <v>742</v>
      </c>
      <c r="C253" s="32">
        <v>2593</v>
      </c>
      <c r="D253" s="58">
        <v>23000</v>
      </c>
      <c r="E253" s="1" t="s">
        <v>80</v>
      </c>
      <c r="F253" s="1">
        <v>256.87</v>
      </c>
      <c r="G253" s="1">
        <v>23000</v>
      </c>
      <c r="H253" s="1">
        <f t="shared" si="4"/>
        <v>0</v>
      </c>
      <c r="I253" s="89"/>
      <c r="J253" s="454"/>
      <c r="K253" s="454"/>
      <c r="L253" s="454"/>
      <c r="M253" s="455"/>
      <c r="N253" s="43"/>
      <c r="O253" s="388"/>
      <c r="P253" s="48"/>
      <c r="Q253" s="370"/>
      <c r="R253" s="48"/>
    </row>
    <row r="254" spans="1:18" s="460" customFormat="1" ht="15" x14ac:dyDescent="0.25">
      <c r="A254" s="1">
        <v>249</v>
      </c>
      <c r="B254" s="1" t="s">
        <v>742</v>
      </c>
      <c r="C254" s="32">
        <v>7762</v>
      </c>
      <c r="D254" s="58">
        <v>30000</v>
      </c>
      <c r="E254" s="1" t="s">
        <v>80</v>
      </c>
      <c r="F254" s="1">
        <v>334.82</v>
      </c>
      <c r="G254" s="1">
        <v>30000</v>
      </c>
      <c r="H254" s="1">
        <f t="shared" si="4"/>
        <v>0</v>
      </c>
      <c r="I254" s="89"/>
      <c r="J254" s="454"/>
      <c r="K254" s="454"/>
      <c r="L254" s="454"/>
      <c r="M254" s="455"/>
      <c r="N254" s="43"/>
      <c r="O254" s="388"/>
      <c r="P254" s="48"/>
      <c r="Q254" s="370"/>
      <c r="R254" s="48"/>
    </row>
    <row r="255" spans="1:18" s="460" customFormat="1" ht="15" x14ac:dyDescent="0.25">
      <c r="A255" s="1">
        <v>250</v>
      </c>
      <c r="B255" s="1" t="s">
        <v>742</v>
      </c>
      <c r="C255" s="32">
        <v>8617</v>
      </c>
      <c r="D255" s="58">
        <v>20000</v>
      </c>
      <c r="E255" s="1" t="s">
        <v>80</v>
      </c>
      <c r="F255" s="1">
        <v>222.82</v>
      </c>
      <c r="G255" s="1">
        <v>20000</v>
      </c>
      <c r="H255" s="1">
        <f t="shared" si="4"/>
        <v>0</v>
      </c>
      <c r="I255" s="89"/>
      <c r="J255" s="454"/>
      <c r="K255" s="454"/>
      <c r="L255" s="454"/>
      <c r="M255" s="455"/>
      <c r="N255" s="43"/>
      <c r="O255" s="388"/>
      <c r="P255" s="48"/>
      <c r="Q255" s="370"/>
      <c r="R255" s="48"/>
    </row>
    <row r="256" spans="1:18" s="460" customFormat="1" ht="15" x14ac:dyDescent="0.25">
      <c r="A256" s="1">
        <v>251</v>
      </c>
      <c r="B256" s="1" t="s">
        <v>742</v>
      </c>
      <c r="C256" s="32">
        <v>9077</v>
      </c>
      <c r="D256" s="58">
        <v>18000</v>
      </c>
      <c r="E256" s="1" t="s">
        <v>80</v>
      </c>
      <c r="F256" s="1">
        <v>200.18</v>
      </c>
      <c r="G256" s="1">
        <v>18000</v>
      </c>
      <c r="H256" s="1">
        <f t="shared" si="4"/>
        <v>0</v>
      </c>
      <c r="I256" s="89"/>
      <c r="J256" s="454"/>
      <c r="K256" s="454"/>
      <c r="L256" s="454"/>
      <c r="M256" s="455"/>
      <c r="N256" s="43"/>
      <c r="O256" s="388"/>
      <c r="P256" s="48"/>
      <c r="Q256" s="370"/>
      <c r="R256" s="48"/>
    </row>
    <row r="257" spans="1:18" s="460" customFormat="1" ht="15" x14ac:dyDescent="0.25">
      <c r="A257" s="1">
        <v>252</v>
      </c>
      <c r="B257" s="1" t="s">
        <v>742</v>
      </c>
      <c r="C257" s="32">
        <v>7307</v>
      </c>
      <c r="D257" s="58">
        <v>23000</v>
      </c>
      <c r="E257" s="1" t="s">
        <v>80</v>
      </c>
      <c r="F257" s="1">
        <v>256.54000000000002</v>
      </c>
      <c r="G257" s="1">
        <v>23000</v>
      </c>
      <c r="H257" s="1">
        <f t="shared" si="4"/>
        <v>0</v>
      </c>
      <c r="I257" s="89"/>
      <c r="J257" s="454"/>
      <c r="K257" s="454"/>
      <c r="L257" s="454"/>
      <c r="M257" s="455"/>
      <c r="N257" s="43"/>
      <c r="O257" s="388"/>
      <c r="P257" s="48"/>
      <c r="Q257" s="370"/>
      <c r="R257" s="48"/>
    </row>
    <row r="258" spans="1:18" s="460" customFormat="1" ht="15" x14ac:dyDescent="0.25">
      <c r="A258" s="1">
        <v>253</v>
      </c>
      <c r="B258" s="1" t="s">
        <v>742</v>
      </c>
      <c r="C258" s="32">
        <v>8352</v>
      </c>
      <c r="D258" s="58">
        <v>21000</v>
      </c>
      <c r="E258" s="1" t="s">
        <v>80</v>
      </c>
      <c r="F258" s="1">
        <v>225.87</v>
      </c>
      <c r="G258" s="1">
        <v>21000</v>
      </c>
      <c r="H258" s="1">
        <f t="shared" si="4"/>
        <v>0</v>
      </c>
      <c r="I258" s="89"/>
      <c r="J258" s="454"/>
      <c r="K258" s="454"/>
      <c r="L258" s="454"/>
      <c r="M258" s="455"/>
      <c r="N258" s="43"/>
      <c r="O258" s="388"/>
      <c r="P258" s="48"/>
      <c r="Q258" s="370"/>
      <c r="R258" s="48"/>
    </row>
    <row r="259" spans="1:18" s="460" customFormat="1" ht="15.75" thickBot="1" x14ac:dyDescent="0.3">
      <c r="A259" s="1">
        <v>254</v>
      </c>
      <c r="B259" s="1" t="s">
        <v>742</v>
      </c>
      <c r="C259" s="32">
        <v>8542</v>
      </c>
      <c r="D259" s="58">
        <v>16874</v>
      </c>
      <c r="E259" s="1" t="s">
        <v>80</v>
      </c>
      <c r="F259" s="1">
        <v>188.72</v>
      </c>
      <c r="G259" s="1">
        <v>16874</v>
      </c>
      <c r="H259" s="1">
        <f t="shared" si="4"/>
        <v>0</v>
      </c>
      <c r="I259" s="89"/>
      <c r="J259" s="454"/>
      <c r="K259" s="454"/>
      <c r="L259" s="454"/>
      <c r="M259" s="455"/>
      <c r="N259" s="43"/>
      <c r="O259" s="388"/>
      <c r="P259" s="48"/>
      <c r="Q259" s="370"/>
      <c r="R259" s="48"/>
    </row>
    <row r="260" spans="1:18" s="460" customFormat="1" ht="15.75" thickBot="1" x14ac:dyDescent="0.3">
      <c r="A260" s="1">
        <v>255</v>
      </c>
      <c r="B260" s="1" t="s">
        <v>742</v>
      </c>
      <c r="C260" s="32">
        <v>8543</v>
      </c>
      <c r="D260" s="58">
        <v>20072</v>
      </c>
      <c r="E260" s="1" t="s">
        <v>80</v>
      </c>
      <c r="F260" s="1">
        <v>223.92</v>
      </c>
      <c r="G260" s="1">
        <v>20072</v>
      </c>
      <c r="H260" s="1">
        <f t="shared" si="4"/>
        <v>0</v>
      </c>
      <c r="I260" s="89"/>
      <c r="J260" s="454"/>
      <c r="K260" s="454"/>
      <c r="L260" s="454"/>
      <c r="M260" s="455"/>
      <c r="N260" s="43"/>
      <c r="O260" s="103">
        <f>2253364-2226710</f>
        <v>26654</v>
      </c>
      <c r="P260" s="359" t="s">
        <v>739</v>
      </c>
      <c r="Q260" s="367" t="s">
        <v>620</v>
      </c>
      <c r="R260" s="360">
        <f>26654-7600</f>
        <v>19054</v>
      </c>
    </row>
    <row r="261" spans="1:18" s="461" customFormat="1" ht="15" x14ac:dyDescent="0.25">
      <c r="A261" s="1">
        <v>256</v>
      </c>
      <c r="B261" s="1" t="s">
        <v>743</v>
      </c>
      <c r="C261" s="32">
        <v>3941</v>
      </c>
      <c r="D261" s="32">
        <v>15000</v>
      </c>
      <c r="E261" s="1" t="s">
        <v>80</v>
      </c>
      <c r="F261" s="1">
        <v>167.15</v>
      </c>
      <c r="G261" s="1">
        <v>15000</v>
      </c>
      <c r="H261" s="1">
        <f t="shared" si="4"/>
        <v>0</v>
      </c>
      <c r="I261" s="89"/>
      <c r="J261" s="454"/>
      <c r="K261" s="454"/>
      <c r="L261" s="454"/>
      <c r="M261" s="455"/>
      <c r="N261" s="43"/>
      <c r="O261" s="388"/>
      <c r="P261" s="48"/>
      <c r="Q261" s="370"/>
      <c r="R261" s="48"/>
    </row>
    <row r="262" spans="1:18" s="461" customFormat="1" ht="15" x14ac:dyDescent="0.25">
      <c r="A262" s="1">
        <v>257</v>
      </c>
      <c r="B262" s="1" t="s">
        <v>743</v>
      </c>
      <c r="C262" s="32">
        <v>4067</v>
      </c>
      <c r="D262" s="32">
        <v>12000</v>
      </c>
      <c r="E262" s="1" t="s">
        <v>80</v>
      </c>
      <c r="F262" s="1">
        <v>133.41999999999999</v>
      </c>
      <c r="G262" s="1">
        <v>12000</v>
      </c>
      <c r="H262" s="1">
        <f t="shared" si="4"/>
        <v>0</v>
      </c>
      <c r="I262" s="89"/>
      <c r="J262" s="454"/>
      <c r="K262" s="454"/>
      <c r="L262" s="454"/>
      <c r="M262" s="455"/>
      <c r="N262" s="43"/>
      <c r="O262" s="388"/>
      <c r="P262" s="48"/>
      <c r="Q262" s="370"/>
      <c r="R262" s="48"/>
    </row>
    <row r="263" spans="1:18" s="461" customFormat="1" ht="15" x14ac:dyDescent="0.25">
      <c r="A263" s="1">
        <v>258</v>
      </c>
      <c r="B263" s="1" t="s">
        <v>743</v>
      </c>
      <c r="C263" s="32">
        <v>4.4499999999999998E-2</v>
      </c>
      <c r="D263" s="32">
        <v>13000</v>
      </c>
      <c r="E263" s="1" t="s">
        <v>80</v>
      </c>
      <c r="F263" s="1">
        <v>144.13</v>
      </c>
      <c r="G263" s="1">
        <v>13000</v>
      </c>
      <c r="H263" s="1">
        <f t="shared" si="4"/>
        <v>0</v>
      </c>
      <c r="I263" s="89"/>
      <c r="J263" s="454"/>
      <c r="K263" s="454"/>
      <c r="L263" s="454"/>
      <c r="M263" s="455"/>
      <c r="N263" s="43"/>
      <c r="O263" s="388"/>
      <c r="P263" s="48"/>
      <c r="Q263" s="370"/>
      <c r="R263" s="48"/>
    </row>
    <row r="264" spans="1:18" s="461" customFormat="1" ht="15" x14ac:dyDescent="0.25">
      <c r="A264" s="1">
        <v>259</v>
      </c>
      <c r="B264" s="1" t="s">
        <v>743</v>
      </c>
      <c r="C264" s="32">
        <v>3587</v>
      </c>
      <c r="D264" s="32">
        <v>15000</v>
      </c>
      <c r="E264" s="1" t="s">
        <v>80</v>
      </c>
      <c r="F264" s="1">
        <v>167.15</v>
      </c>
      <c r="G264" s="1">
        <v>15000</v>
      </c>
      <c r="H264" s="1">
        <f t="shared" si="4"/>
        <v>0</v>
      </c>
      <c r="I264" s="89"/>
      <c r="J264" s="454"/>
      <c r="K264" s="454"/>
      <c r="L264" s="454"/>
      <c r="M264" s="455"/>
      <c r="N264" s="43"/>
      <c r="O264" s="388"/>
      <c r="P264" s="48"/>
      <c r="Q264" s="370"/>
      <c r="R264" s="48"/>
    </row>
    <row r="265" spans="1:18" s="461" customFormat="1" ht="15" x14ac:dyDescent="0.25">
      <c r="A265" s="1">
        <v>260</v>
      </c>
      <c r="B265" s="1" t="s">
        <v>743</v>
      </c>
      <c r="C265" s="32">
        <v>6100</v>
      </c>
      <c r="D265" s="32">
        <v>16000</v>
      </c>
      <c r="E265" s="1" t="s">
        <v>80</v>
      </c>
      <c r="F265" s="1">
        <v>178.22</v>
      </c>
      <c r="G265" s="1">
        <v>16000</v>
      </c>
      <c r="H265" s="1">
        <f t="shared" si="4"/>
        <v>0</v>
      </c>
      <c r="I265" s="89"/>
      <c r="J265" s="454"/>
      <c r="K265" s="454"/>
      <c r="L265" s="454"/>
      <c r="M265" s="455"/>
      <c r="N265" s="43"/>
      <c r="O265" s="388"/>
      <c r="P265" s="48"/>
      <c r="Q265" s="370"/>
      <c r="R265" s="48"/>
    </row>
    <row r="266" spans="1:18" s="461" customFormat="1" ht="15" x14ac:dyDescent="0.25">
      <c r="A266" s="1">
        <v>261</v>
      </c>
      <c r="B266" s="1" t="s">
        <v>743</v>
      </c>
      <c r="C266" s="32">
        <v>4077</v>
      </c>
      <c r="D266" s="32">
        <v>12000</v>
      </c>
      <c r="E266" s="1" t="s">
        <v>80</v>
      </c>
      <c r="F266" s="1">
        <v>133.41999999999999</v>
      </c>
      <c r="G266" s="1">
        <v>12000</v>
      </c>
      <c r="H266" s="1">
        <f t="shared" si="4"/>
        <v>0</v>
      </c>
      <c r="I266" s="89"/>
      <c r="J266" s="454"/>
      <c r="K266" s="454"/>
      <c r="L266" s="454"/>
      <c r="M266" s="455"/>
      <c r="N266" s="43"/>
      <c r="O266" s="388"/>
      <c r="P266" s="48"/>
      <c r="Q266" s="370"/>
      <c r="R266" s="48"/>
    </row>
    <row r="267" spans="1:18" s="461" customFormat="1" ht="15" x14ac:dyDescent="0.25">
      <c r="A267" s="1">
        <v>262</v>
      </c>
      <c r="B267" s="1" t="s">
        <v>743</v>
      </c>
      <c r="C267" s="32">
        <v>3577</v>
      </c>
      <c r="D267" s="32">
        <v>12000</v>
      </c>
      <c r="E267" s="1" t="s">
        <v>80</v>
      </c>
      <c r="F267" s="1">
        <v>133.41999999999999</v>
      </c>
      <c r="G267" s="1">
        <v>12000</v>
      </c>
      <c r="H267" s="1">
        <f t="shared" si="4"/>
        <v>0</v>
      </c>
      <c r="I267" s="89"/>
      <c r="J267" s="454"/>
      <c r="K267" s="454"/>
      <c r="L267" s="454"/>
      <c r="M267" s="455"/>
      <c r="N267" s="43"/>
      <c r="O267" s="388"/>
      <c r="P267" s="48"/>
      <c r="Q267" s="370"/>
      <c r="R267" s="48"/>
    </row>
    <row r="268" spans="1:18" s="461" customFormat="1" ht="15" x14ac:dyDescent="0.25">
      <c r="A268" s="1">
        <v>263</v>
      </c>
      <c r="B268" s="1" t="s">
        <v>743</v>
      </c>
      <c r="C268" s="32">
        <v>5820</v>
      </c>
      <c r="D268" s="32">
        <v>16000</v>
      </c>
      <c r="E268" s="1" t="s">
        <v>80</v>
      </c>
      <c r="F268" s="1">
        <v>178.22</v>
      </c>
      <c r="G268" s="1">
        <v>16000</v>
      </c>
      <c r="H268" s="1">
        <f t="shared" si="4"/>
        <v>0</v>
      </c>
      <c r="I268" s="89"/>
      <c r="J268" s="454"/>
      <c r="K268" s="454"/>
      <c r="L268" s="454"/>
      <c r="M268" s="455"/>
      <c r="N268" s="43"/>
      <c r="O268" s="388"/>
      <c r="P268" s="48"/>
      <c r="Q268" s="370"/>
      <c r="R268" s="48"/>
    </row>
    <row r="269" spans="1:18" s="461" customFormat="1" ht="15" x14ac:dyDescent="0.25">
      <c r="A269" s="1">
        <v>264</v>
      </c>
      <c r="B269" s="1" t="s">
        <v>743</v>
      </c>
      <c r="C269" s="32">
        <v>1547</v>
      </c>
      <c r="D269" s="32">
        <v>17000</v>
      </c>
      <c r="E269" s="1" t="s">
        <v>80</v>
      </c>
      <c r="F269" s="1">
        <v>189.57</v>
      </c>
      <c r="G269" s="1">
        <v>17000</v>
      </c>
      <c r="H269" s="1">
        <f t="shared" si="4"/>
        <v>0</v>
      </c>
      <c r="I269" s="89"/>
      <c r="J269" s="454"/>
      <c r="K269" s="454"/>
      <c r="L269" s="454"/>
      <c r="M269" s="455"/>
      <c r="N269" s="43"/>
      <c r="O269" s="388"/>
      <c r="P269" s="48"/>
      <c r="Q269" s="370"/>
      <c r="R269" s="48"/>
    </row>
    <row r="270" spans="1:18" s="461" customFormat="1" ht="15" x14ac:dyDescent="0.25">
      <c r="A270" s="1">
        <v>265</v>
      </c>
      <c r="B270" s="1" t="s">
        <v>743</v>
      </c>
      <c r="C270" s="32">
        <v>6957</v>
      </c>
      <c r="D270" s="32">
        <v>21000</v>
      </c>
      <c r="E270" s="1" t="s">
        <v>80</v>
      </c>
      <c r="F270" s="1">
        <v>233.57</v>
      </c>
      <c r="G270" s="1">
        <v>21000</v>
      </c>
      <c r="H270" s="1">
        <f t="shared" si="4"/>
        <v>0</v>
      </c>
      <c r="I270" s="89"/>
      <c r="J270" s="454"/>
      <c r="K270" s="454"/>
      <c r="L270" s="454"/>
      <c r="M270" s="455"/>
      <c r="N270" s="43"/>
      <c r="O270" s="388"/>
      <c r="P270" s="48"/>
      <c r="Q270" s="370"/>
      <c r="R270" s="48"/>
    </row>
    <row r="271" spans="1:18" s="461" customFormat="1" ht="15" x14ac:dyDescent="0.25">
      <c r="A271" s="1">
        <v>266</v>
      </c>
      <c r="B271" s="1" t="s">
        <v>743</v>
      </c>
      <c r="C271" s="32">
        <v>4437</v>
      </c>
      <c r="D271" s="32">
        <v>5000</v>
      </c>
      <c r="E271" s="1" t="s">
        <v>80</v>
      </c>
      <c r="F271" s="1">
        <v>55.28</v>
      </c>
      <c r="G271" s="1">
        <v>5000</v>
      </c>
      <c r="H271" s="1">
        <f t="shared" si="4"/>
        <v>0</v>
      </c>
      <c r="I271" s="89"/>
      <c r="J271" s="454"/>
      <c r="K271" s="454"/>
      <c r="L271" s="454"/>
      <c r="M271" s="455"/>
      <c r="N271" s="43"/>
      <c r="O271" s="388"/>
      <c r="P271" s="48"/>
      <c r="Q271" s="370"/>
      <c r="R271" s="48"/>
    </row>
    <row r="272" spans="1:18" s="461" customFormat="1" ht="15" x14ac:dyDescent="0.25">
      <c r="A272" s="1">
        <v>267</v>
      </c>
      <c r="B272" s="1" t="s">
        <v>743</v>
      </c>
      <c r="C272" s="32">
        <v>2067</v>
      </c>
      <c r="D272" s="32">
        <v>14000</v>
      </c>
      <c r="E272" s="1" t="s">
        <v>80</v>
      </c>
      <c r="F272" s="1">
        <v>155.29</v>
      </c>
      <c r="G272" s="1">
        <v>14000</v>
      </c>
      <c r="H272" s="1">
        <f t="shared" si="4"/>
        <v>0</v>
      </c>
      <c r="I272" s="89"/>
      <c r="J272" s="454"/>
      <c r="K272" s="454"/>
      <c r="L272" s="454"/>
      <c r="M272" s="455"/>
      <c r="N272" s="43"/>
      <c r="O272" s="388"/>
      <c r="P272" s="48"/>
      <c r="Q272" s="370"/>
      <c r="R272" s="48"/>
    </row>
    <row r="273" spans="1:18" s="461" customFormat="1" ht="15" x14ac:dyDescent="0.25">
      <c r="A273" s="1">
        <v>268</v>
      </c>
      <c r="B273" s="1" t="s">
        <v>743</v>
      </c>
      <c r="C273" s="32">
        <v>1827</v>
      </c>
      <c r="D273" s="32">
        <v>12000</v>
      </c>
      <c r="E273" s="1" t="s">
        <v>80</v>
      </c>
      <c r="F273" s="1">
        <v>133.41999999999999</v>
      </c>
      <c r="G273" s="1">
        <v>12000</v>
      </c>
      <c r="H273" s="1">
        <f t="shared" si="4"/>
        <v>0</v>
      </c>
      <c r="I273" s="89"/>
      <c r="J273" s="454"/>
      <c r="K273" s="454"/>
      <c r="L273" s="454"/>
      <c r="M273" s="455"/>
      <c r="N273" s="43"/>
      <c r="O273" s="388"/>
      <c r="P273" s="48"/>
      <c r="Q273" s="370"/>
      <c r="R273" s="48"/>
    </row>
    <row r="274" spans="1:18" s="461" customFormat="1" ht="15" x14ac:dyDescent="0.25">
      <c r="A274" s="1">
        <v>270</v>
      </c>
      <c r="B274" s="1" t="s">
        <v>743</v>
      </c>
      <c r="C274" s="32">
        <v>2760</v>
      </c>
      <c r="D274" s="32">
        <v>12000</v>
      </c>
      <c r="E274" s="1" t="s">
        <v>80</v>
      </c>
      <c r="F274" s="1">
        <v>133.41999999999999</v>
      </c>
      <c r="G274" s="1">
        <v>12000</v>
      </c>
      <c r="H274" s="1">
        <f t="shared" si="4"/>
        <v>0</v>
      </c>
      <c r="I274" s="89"/>
      <c r="J274" s="454"/>
      <c r="K274" s="454"/>
      <c r="L274" s="454"/>
      <c r="M274" s="455"/>
      <c r="N274" s="43"/>
      <c r="O274" s="388"/>
      <c r="P274" s="48"/>
      <c r="Q274" s="370"/>
      <c r="R274" s="48"/>
    </row>
    <row r="275" spans="1:18" s="461" customFormat="1" ht="15" x14ac:dyDescent="0.25">
      <c r="A275" s="1">
        <v>271</v>
      </c>
      <c r="B275" s="1" t="s">
        <v>743</v>
      </c>
      <c r="C275" s="32" t="s">
        <v>735</v>
      </c>
      <c r="D275" s="32">
        <v>3500</v>
      </c>
      <c r="E275" s="1" t="s">
        <v>80</v>
      </c>
      <c r="F275" s="1">
        <v>38.450000000000003</v>
      </c>
      <c r="G275" s="1">
        <v>3500</v>
      </c>
      <c r="H275" s="1">
        <f t="shared" si="4"/>
        <v>0</v>
      </c>
      <c r="I275" s="89"/>
      <c r="J275" s="454"/>
      <c r="K275" s="454"/>
      <c r="L275" s="454"/>
      <c r="M275" s="455"/>
      <c r="N275" s="43"/>
      <c r="O275" s="388"/>
      <c r="P275" s="48"/>
      <c r="Q275" s="370"/>
      <c r="R275" s="48"/>
    </row>
    <row r="276" spans="1:18" s="472" customFormat="1" ht="15" x14ac:dyDescent="0.25">
      <c r="A276" s="1"/>
      <c r="B276" s="1" t="s">
        <v>743</v>
      </c>
      <c r="C276" s="32">
        <v>1771</v>
      </c>
      <c r="D276" s="32">
        <v>20000</v>
      </c>
      <c r="E276" s="1" t="s">
        <v>80</v>
      </c>
      <c r="F276" s="1">
        <v>222.82</v>
      </c>
      <c r="G276" s="1">
        <v>20000</v>
      </c>
      <c r="H276" s="1">
        <f t="shared" si="4"/>
        <v>0</v>
      </c>
      <c r="I276" s="89"/>
      <c r="J276" s="454"/>
      <c r="K276" s="454"/>
      <c r="L276" s="454"/>
      <c r="M276" s="455"/>
      <c r="N276" s="43"/>
      <c r="O276" s="388"/>
      <c r="P276" s="48"/>
      <c r="Q276" s="370"/>
      <c r="R276" s="48"/>
    </row>
    <row r="277" spans="1:18" s="461" customFormat="1" ht="15" x14ac:dyDescent="0.25">
      <c r="A277" s="1">
        <v>272</v>
      </c>
      <c r="B277" s="1" t="s">
        <v>743</v>
      </c>
      <c r="C277" s="32">
        <v>4776</v>
      </c>
      <c r="D277" s="58">
        <v>23000</v>
      </c>
      <c r="E277" s="1" t="s">
        <v>80</v>
      </c>
      <c r="F277" s="1">
        <v>256.67</v>
      </c>
      <c r="G277" s="1">
        <v>23000</v>
      </c>
      <c r="H277" s="1">
        <f t="shared" ref="H277:H340" si="5">D277-G277</f>
        <v>0</v>
      </c>
      <c r="I277" s="89"/>
      <c r="J277" s="454"/>
      <c r="K277" s="454"/>
      <c r="L277" s="454"/>
      <c r="M277" s="455"/>
      <c r="N277" s="43"/>
      <c r="O277" s="388"/>
      <c r="P277" s="48"/>
      <c r="Q277" s="370"/>
      <c r="R277" s="48"/>
    </row>
    <row r="278" spans="1:18" s="461" customFormat="1" ht="15" x14ac:dyDescent="0.25">
      <c r="A278" s="1">
        <v>273</v>
      </c>
      <c r="B278" s="1" t="s">
        <v>743</v>
      </c>
      <c r="C278" s="32">
        <v>2600</v>
      </c>
      <c r="D278" s="58">
        <v>27000</v>
      </c>
      <c r="E278" s="1" t="s">
        <v>80</v>
      </c>
      <c r="F278" s="1">
        <v>300.87</v>
      </c>
      <c r="G278" s="1">
        <v>27000</v>
      </c>
      <c r="H278" s="1">
        <f t="shared" si="5"/>
        <v>0</v>
      </c>
      <c r="I278" s="89"/>
      <c r="J278" s="454"/>
      <c r="K278" s="454"/>
      <c r="L278" s="454"/>
      <c r="M278" s="455"/>
      <c r="N278" s="43"/>
      <c r="O278" s="388"/>
      <c r="P278" s="48"/>
      <c r="Q278" s="370"/>
      <c r="R278" s="48"/>
    </row>
    <row r="279" spans="1:18" s="461" customFormat="1" ht="15" x14ac:dyDescent="0.25">
      <c r="A279" s="1">
        <v>274</v>
      </c>
      <c r="B279" s="1" t="s">
        <v>743</v>
      </c>
      <c r="C279" s="32">
        <v>6818</v>
      </c>
      <c r="D279" s="58">
        <v>15000</v>
      </c>
      <c r="E279" s="1" t="s">
        <v>80</v>
      </c>
      <c r="F279" s="1">
        <v>167.15</v>
      </c>
      <c r="G279" s="1">
        <v>15000</v>
      </c>
      <c r="H279" s="1">
        <f t="shared" si="5"/>
        <v>0</v>
      </c>
      <c r="I279" s="89"/>
      <c r="J279" s="454"/>
      <c r="K279" s="454"/>
      <c r="L279" s="454"/>
      <c r="M279" s="455"/>
      <c r="N279" s="43"/>
      <c r="O279" s="388"/>
      <c r="P279" s="48"/>
      <c r="Q279" s="370"/>
      <c r="R279" s="48"/>
    </row>
    <row r="280" spans="1:18" s="461" customFormat="1" ht="15" x14ac:dyDescent="0.25">
      <c r="A280" s="1">
        <v>275</v>
      </c>
      <c r="B280" s="1" t="s">
        <v>743</v>
      </c>
      <c r="C280" s="32">
        <v>2923</v>
      </c>
      <c r="D280" s="58">
        <v>10000</v>
      </c>
      <c r="E280" s="1" t="s">
        <v>80</v>
      </c>
      <c r="F280" s="1">
        <v>111.41</v>
      </c>
      <c r="G280" s="1">
        <v>10000</v>
      </c>
      <c r="H280" s="1">
        <f t="shared" si="5"/>
        <v>0</v>
      </c>
      <c r="I280" s="89"/>
      <c r="J280" s="454"/>
      <c r="K280" s="454"/>
      <c r="L280" s="454"/>
      <c r="M280" s="455"/>
      <c r="N280" s="43"/>
      <c r="O280" s="388"/>
      <c r="P280" s="48"/>
      <c r="Q280" s="370"/>
      <c r="R280" s="48"/>
    </row>
    <row r="281" spans="1:18" s="461" customFormat="1" ht="15" x14ac:dyDescent="0.25">
      <c r="A281" s="1">
        <v>276</v>
      </c>
      <c r="B281" s="1" t="s">
        <v>743</v>
      </c>
      <c r="C281" s="32">
        <v>8551</v>
      </c>
      <c r="D281" s="58">
        <v>20000</v>
      </c>
      <c r="E281" s="1" t="s">
        <v>80</v>
      </c>
      <c r="F281" s="1">
        <v>222.82</v>
      </c>
      <c r="G281" s="1">
        <v>20000</v>
      </c>
      <c r="H281" s="1">
        <f t="shared" si="5"/>
        <v>0</v>
      </c>
      <c r="I281" s="89"/>
      <c r="J281" s="454"/>
      <c r="K281" s="454"/>
      <c r="L281" s="454"/>
      <c r="M281" s="455"/>
      <c r="N281" s="43"/>
      <c r="O281" s="388"/>
      <c r="P281" s="48"/>
      <c r="Q281" s="370"/>
      <c r="R281" s="48"/>
    </row>
    <row r="282" spans="1:18" s="461" customFormat="1" ht="15" x14ac:dyDescent="0.25">
      <c r="A282" s="1">
        <v>277</v>
      </c>
      <c r="B282" s="1" t="s">
        <v>743</v>
      </c>
      <c r="C282" s="32">
        <v>9191</v>
      </c>
      <c r="D282" s="58">
        <v>27000</v>
      </c>
      <c r="E282" s="1" t="s">
        <v>80</v>
      </c>
      <c r="F282" s="1">
        <v>300.87</v>
      </c>
      <c r="G282" s="1">
        <v>27000</v>
      </c>
      <c r="H282" s="1">
        <f t="shared" si="5"/>
        <v>0</v>
      </c>
      <c r="I282" s="89"/>
      <c r="J282" s="454"/>
      <c r="K282" s="454"/>
      <c r="L282" s="454"/>
      <c r="M282" s="455"/>
      <c r="N282" s="43"/>
      <c r="O282" s="388"/>
      <c r="P282" s="48"/>
      <c r="Q282" s="370"/>
      <c r="R282" s="48"/>
    </row>
    <row r="283" spans="1:18" s="461" customFormat="1" ht="15" x14ac:dyDescent="0.25">
      <c r="A283" s="1">
        <v>278</v>
      </c>
      <c r="B283" s="1" t="s">
        <v>743</v>
      </c>
      <c r="C283" s="32">
        <v>3921</v>
      </c>
      <c r="D283" s="58">
        <v>16000</v>
      </c>
      <c r="E283" s="1" t="s">
        <v>80</v>
      </c>
      <c r="F283" s="1">
        <v>178.22</v>
      </c>
      <c r="G283" s="1">
        <v>16000</v>
      </c>
      <c r="H283" s="1">
        <f t="shared" si="5"/>
        <v>0</v>
      </c>
      <c r="I283" s="89"/>
      <c r="J283" s="454"/>
      <c r="K283" s="454"/>
      <c r="L283" s="454"/>
      <c r="M283" s="455"/>
      <c r="N283" s="43"/>
      <c r="O283" s="388"/>
      <c r="P283" s="48"/>
      <c r="Q283" s="370"/>
      <c r="R283" s="48"/>
    </row>
    <row r="284" spans="1:18" s="461" customFormat="1" ht="15" x14ac:dyDescent="0.25">
      <c r="A284" s="1">
        <v>279</v>
      </c>
      <c r="B284" s="1" t="s">
        <v>743</v>
      </c>
      <c r="C284" s="32">
        <v>7905</v>
      </c>
      <c r="D284" s="58">
        <v>16000</v>
      </c>
      <c r="E284" s="1" t="s">
        <v>80</v>
      </c>
      <c r="F284" s="1">
        <v>178.22</v>
      </c>
      <c r="G284" s="1">
        <v>16000</v>
      </c>
      <c r="H284" s="1">
        <f t="shared" si="5"/>
        <v>0</v>
      </c>
      <c r="I284" s="89"/>
      <c r="J284" s="454"/>
      <c r="K284" s="454"/>
      <c r="L284" s="454"/>
      <c r="M284" s="455"/>
      <c r="N284" s="43"/>
      <c r="O284" s="388"/>
      <c r="P284" s="48"/>
      <c r="Q284" s="370"/>
      <c r="R284" s="48"/>
    </row>
    <row r="285" spans="1:18" s="461" customFormat="1" ht="15" x14ac:dyDescent="0.25">
      <c r="A285" s="1">
        <v>280</v>
      </c>
      <c r="B285" s="1" t="s">
        <v>743</v>
      </c>
      <c r="C285" s="32">
        <v>3977</v>
      </c>
      <c r="D285" s="58">
        <v>25000</v>
      </c>
      <c r="E285" s="1" t="s">
        <v>80</v>
      </c>
      <c r="F285" s="1">
        <v>278.22000000000003</v>
      </c>
      <c r="G285" s="1">
        <v>25000</v>
      </c>
      <c r="H285" s="1">
        <f t="shared" si="5"/>
        <v>0</v>
      </c>
      <c r="I285" s="89"/>
      <c r="J285" s="454"/>
      <c r="K285" s="454"/>
      <c r="L285" s="454"/>
      <c r="M285" s="455"/>
      <c r="N285" s="43"/>
      <c r="O285" s="388"/>
      <c r="P285" s="48"/>
      <c r="Q285" s="370"/>
      <c r="R285" s="48"/>
    </row>
    <row r="286" spans="1:18" s="461" customFormat="1" ht="15" x14ac:dyDescent="0.25">
      <c r="A286" s="1">
        <v>281</v>
      </c>
      <c r="B286" s="1" t="s">
        <v>743</v>
      </c>
      <c r="C286" s="32">
        <v>1677</v>
      </c>
      <c r="D286" s="58">
        <v>25000</v>
      </c>
      <c r="E286" s="1" t="s">
        <v>80</v>
      </c>
      <c r="F286" s="1">
        <v>278.22000000000003</v>
      </c>
      <c r="G286" s="1">
        <v>25000</v>
      </c>
      <c r="H286" s="1">
        <f t="shared" si="5"/>
        <v>0</v>
      </c>
      <c r="I286" s="89"/>
      <c r="J286" s="454"/>
      <c r="K286" s="454"/>
      <c r="L286" s="454"/>
      <c r="M286" s="455"/>
      <c r="N286" s="43"/>
      <c r="O286" s="388"/>
      <c r="P286" s="48"/>
      <c r="Q286" s="370"/>
      <c r="R286" s="48"/>
    </row>
    <row r="287" spans="1:18" s="461" customFormat="1" ht="15" x14ac:dyDescent="0.25">
      <c r="A287" s="1">
        <v>282</v>
      </c>
      <c r="B287" s="1" t="s">
        <v>743</v>
      </c>
      <c r="C287" s="32">
        <v>2795</v>
      </c>
      <c r="D287" s="58">
        <v>20000</v>
      </c>
      <c r="E287" s="1" t="s">
        <v>80</v>
      </c>
      <c r="F287" s="1">
        <v>222.82</v>
      </c>
      <c r="G287" s="1">
        <v>20000</v>
      </c>
      <c r="H287" s="1">
        <f t="shared" si="5"/>
        <v>0</v>
      </c>
      <c r="I287" s="89"/>
      <c r="J287" s="454"/>
      <c r="K287" s="454"/>
      <c r="L287" s="454"/>
      <c r="M287" s="455"/>
      <c r="N287" s="43"/>
      <c r="O287" s="388"/>
      <c r="P287" s="48"/>
      <c r="Q287" s="370"/>
      <c r="R287" s="48"/>
    </row>
    <row r="288" spans="1:18" s="461" customFormat="1" ht="15" x14ac:dyDescent="0.25">
      <c r="A288" s="1">
        <v>283</v>
      </c>
      <c r="B288" s="1" t="s">
        <v>743</v>
      </c>
      <c r="C288" s="32">
        <v>7672</v>
      </c>
      <c r="D288" s="58">
        <v>18000</v>
      </c>
      <c r="E288" s="1" t="s">
        <v>80</v>
      </c>
      <c r="F288" s="1">
        <v>200.18</v>
      </c>
      <c r="G288" s="1">
        <v>18000</v>
      </c>
      <c r="H288" s="1">
        <f t="shared" si="5"/>
        <v>0</v>
      </c>
      <c r="I288" s="89"/>
      <c r="J288" s="454"/>
      <c r="K288" s="454"/>
      <c r="L288" s="454"/>
      <c r="M288" s="455"/>
      <c r="N288" s="43"/>
      <c r="O288" s="388"/>
      <c r="P288" s="48"/>
      <c r="Q288" s="370"/>
      <c r="R288" s="48"/>
    </row>
    <row r="289" spans="1:18" s="461" customFormat="1" ht="15" x14ac:dyDescent="0.25">
      <c r="A289" s="1">
        <v>284</v>
      </c>
      <c r="B289" s="1" t="s">
        <v>743</v>
      </c>
      <c r="C289" s="32">
        <v>8079</v>
      </c>
      <c r="D289" s="58">
        <v>20000</v>
      </c>
      <c r="E289" s="1" t="s">
        <v>80</v>
      </c>
      <c r="F289" s="1">
        <v>222.82</v>
      </c>
      <c r="G289" s="1">
        <v>20000</v>
      </c>
      <c r="H289" s="1">
        <f t="shared" si="5"/>
        <v>0</v>
      </c>
      <c r="I289" s="89"/>
      <c r="J289" s="454"/>
      <c r="K289" s="454"/>
      <c r="L289" s="454"/>
      <c r="M289" s="455"/>
      <c r="N289" s="43"/>
      <c r="O289" s="388"/>
      <c r="P289" s="48"/>
      <c r="Q289" s="370"/>
      <c r="R289" s="48"/>
    </row>
    <row r="290" spans="1:18" s="461" customFormat="1" ht="15" x14ac:dyDescent="0.25">
      <c r="A290" s="1">
        <v>285</v>
      </c>
      <c r="B290" s="1" t="s">
        <v>743</v>
      </c>
      <c r="C290" s="32">
        <v>7894</v>
      </c>
      <c r="D290" s="58">
        <v>20000</v>
      </c>
      <c r="E290" s="1"/>
      <c r="F290" s="1">
        <v>222.82</v>
      </c>
      <c r="G290" s="1">
        <v>20000</v>
      </c>
      <c r="H290" s="1">
        <f t="shared" si="5"/>
        <v>0</v>
      </c>
      <c r="I290" s="89"/>
      <c r="J290" s="454"/>
      <c r="K290" s="454"/>
      <c r="L290" s="454"/>
      <c r="M290" s="455"/>
      <c r="N290" s="43"/>
      <c r="O290" s="388"/>
      <c r="P290" s="48"/>
      <c r="Q290" s="370"/>
      <c r="R290" s="48"/>
    </row>
    <row r="291" spans="1:18" s="461" customFormat="1" ht="15" x14ac:dyDescent="0.25">
      <c r="A291" s="1">
        <v>286</v>
      </c>
      <c r="B291" s="1" t="s">
        <v>743</v>
      </c>
      <c r="C291" s="32">
        <v>4092</v>
      </c>
      <c r="D291" s="58">
        <v>19000</v>
      </c>
      <c r="E291" s="1" t="s">
        <v>80</v>
      </c>
      <c r="F291" s="1">
        <v>211.95</v>
      </c>
      <c r="G291" s="1">
        <v>19000</v>
      </c>
      <c r="H291" s="1">
        <f t="shared" si="5"/>
        <v>0</v>
      </c>
      <c r="I291" s="89"/>
      <c r="J291" s="454"/>
      <c r="K291" s="454"/>
      <c r="L291" s="454"/>
      <c r="M291" s="455"/>
      <c r="N291" s="43"/>
      <c r="O291" s="388"/>
      <c r="P291" s="48"/>
      <c r="Q291" s="370"/>
      <c r="R291" s="48"/>
    </row>
    <row r="292" spans="1:18" s="461" customFormat="1" ht="15" x14ac:dyDescent="0.25">
      <c r="A292" s="1">
        <v>287</v>
      </c>
      <c r="B292" s="1" t="s">
        <v>743</v>
      </c>
      <c r="C292" s="32">
        <v>5838</v>
      </c>
      <c r="D292" s="58">
        <v>14000</v>
      </c>
      <c r="E292" s="1" t="s">
        <v>80</v>
      </c>
      <c r="F292" s="1">
        <v>155.44999999999999</v>
      </c>
      <c r="G292" s="1">
        <v>14000</v>
      </c>
      <c r="H292" s="1">
        <f t="shared" si="5"/>
        <v>0</v>
      </c>
      <c r="I292" s="89"/>
      <c r="J292" s="454"/>
      <c r="K292" s="454"/>
      <c r="L292" s="454"/>
      <c r="M292" s="455"/>
      <c r="N292" s="43"/>
      <c r="O292" s="388"/>
      <c r="P292" s="48"/>
      <c r="Q292" s="370"/>
      <c r="R292" s="48"/>
    </row>
    <row r="293" spans="1:18" s="461" customFormat="1" ht="15" x14ac:dyDescent="0.25">
      <c r="A293" s="1">
        <v>288</v>
      </c>
      <c r="B293" s="1" t="s">
        <v>743</v>
      </c>
      <c r="C293" s="32">
        <v>2912</v>
      </c>
      <c r="D293" s="58">
        <v>14000</v>
      </c>
      <c r="E293" s="1" t="s">
        <v>80</v>
      </c>
      <c r="F293" s="1">
        <v>155.44999999999999</v>
      </c>
      <c r="G293" s="1">
        <v>14000</v>
      </c>
      <c r="H293" s="1">
        <f t="shared" si="5"/>
        <v>0</v>
      </c>
      <c r="I293" s="89"/>
      <c r="J293" s="454"/>
      <c r="K293" s="454"/>
      <c r="L293" s="454"/>
      <c r="M293" s="455"/>
      <c r="N293" s="43"/>
      <c r="O293" s="388"/>
      <c r="P293" s="48"/>
      <c r="Q293" s="370"/>
      <c r="R293" s="48"/>
    </row>
    <row r="294" spans="1:18" s="461" customFormat="1" ht="15.75" thickBot="1" x14ac:dyDescent="0.3">
      <c r="A294" s="1">
        <v>289</v>
      </c>
      <c r="B294" s="1" t="s">
        <v>743</v>
      </c>
      <c r="C294" s="32">
        <v>5968</v>
      </c>
      <c r="D294" s="58">
        <v>14000</v>
      </c>
      <c r="E294" s="1" t="s">
        <v>80</v>
      </c>
      <c r="F294" s="1">
        <v>155.44999999999999</v>
      </c>
      <c r="G294" s="1">
        <v>14000</v>
      </c>
      <c r="H294" s="1">
        <f t="shared" si="5"/>
        <v>0</v>
      </c>
      <c r="I294" s="89"/>
      <c r="J294" s="454"/>
      <c r="K294" s="454"/>
      <c r="L294" s="454"/>
      <c r="M294" s="455"/>
      <c r="N294" s="43"/>
      <c r="O294" s="388"/>
      <c r="P294" s="48"/>
      <c r="Q294" s="370"/>
      <c r="R294" s="48"/>
    </row>
    <row r="295" spans="1:18" s="461" customFormat="1" ht="15.75" thickBot="1" x14ac:dyDescent="0.3">
      <c r="A295" s="1">
        <v>290</v>
      </c>
      <c r="B295" s="1" t="s">
        <v>743</v>
      </c>
      <c r="C295" s="32">
        <v>6447</v>
      </c>
      <c r="D295" s="58">
        <v>22000</v>
      </c>
      <c r="E295" s="1" t="s">
        <v>80</v>
      </c>
      <c r="F295" s="1">
        <v>245.82</v>
      </c>
      <c r="G295" s="1">
        <v>22000</v>
      </c>
      <c r="H295" s="1">
        <f t="shared" si="5"/>
        <v>0</v>
      </c>
      <c r="I295" s="89"/>
      <c r="J295" s="454"/>
      <c r="K295" s="454"/>
      <c r="L295" s="454"/>
      <c r="M295" s="455"/>
      <c r="N295" s="43"/>
      <c r="O295" s="103">
        <f>2535301-2507210</f>
        <v>28091</v>
      </c>
      <c r="P295" s="359" t="s">
        <v>739</v>
      </c>
      <c r="Q295" s="367" t="s">
        <v>620</v>
      </c>
      <c r="R295" s="360">
        <f>28091-7600</f>
        <v>20491</v>
      </c>
    </row>
    <row r="296" spans="1:18" s="462" customFormat="1" ht="15" x14ac:dyDescent="0.25">
      <c r="A296" s="1">
        <v>291</v>
      </c>
      <c r="B296" s="1" t="s">
        <v>744</v>
      </c>
      <c r="C296" s="32" t="s">
        <v>30</v>
      </c>
      <c r="D296" s="32">
        <v>4500</v>
      </c>
      <c r="E296" s="1" t="s">
        <v>80</v>
      </c>
      <c r="F296" s="1">
        <v>50.78</v>
      </c>
      <c r="G296" s="1">
        <v>4500</v>
      </c>
      <c r="H296" s="1">
        <f t="shared" si="5"/>
        <v>0</v>
      </c>
      <c r="I296" s="89"/>
      <c r="J296" s="454"/>
      <c r="K296" s="454"/>
      <c r="L296" s="454"/>
      <c r="M296" s="455"/>
      <c r="N296" s="43"/>
      <c r="O296" s="388"/>
      <c r="P296" s="48"/>
      <c r="Q296" s="370"/>
      <c r="R296" s="48"/>
    </row>
    <row r="297" spans="1:18" s="462" customFormat="1" ht="15" x14ac:dyDescent="0.25">
      <c r="A297" s="1">
        <v>292</v>
      </c>
      <c r="B297" s="1" t="s">
        <v>744</v>
      </c>
      <c r="C297" s="32">
        <v>8079</v>
      </c>
      <c r="D297" s="32">
        <v>26000</v>
      </c>
      <c r="E297" s="1"/>
      <c r="F297" s="1">
        <v>289.38</v>
      </c>
      <c r="G297" s="1">
        <v>26000</v>
      </c>
      <c r="H297" s="1">
        <f t="shared" si="5"/>
        <v>0</v>
      </c>
      <c r="I297" s="89"/>
      <c r="J297" s="454"/>
      <c r="K297" s="454"/>
      <c r="L297" s="454"/>
      <c r="M297" s="455"/>
      <c r="N297" s="43"/>
      <c r="O297" s="388"/>
      <c r="P297" s="48"/>
      <c r="Q297" s="370"/>
      <c r="R297" s="48"/>
    </row>
    <row r="298" spans="1:18" s="462" customFormat="1" ht="15" x14ac:dyDescent="0.25">
      <c r="A298" s="1">
        <v>293</v>
      </c>
      <c r="B298" s="1" t="s">
        <v>744</v>
      </c>
      <c r="C298" s="32" t="s">
        <v>30</v>
      </c>
      <c r="D298" s="32">
        <v>5000</v>
      </c>
      <c r="E298" s="1" t="s">
        <v>80</v>
      </c>
      <c r="F298" s="1">
        <v>55.75</v>
      </c>
      <c r="G298" s="1">
        <v>5000</v>
      </c>
      <c r="H298" s="1">
        <f t="shared" si="5"/>
        <v>0</v>
      </c>
      <c r="I298" s="89"/>
      <c r="J298" s="454"/>
      <c r="K298" s="454"/>
      <c r="L298" s="454"/>
      <c r="M298" s="455"/>
      <c r="N298" s="43"/>
      <c r="O298" s="388"/>
      <c r="P298" s="48"/>
      <c r="Q298" s="370"/>
      <c r="R298" s="48"/>
    </row>
    <row r="299" spans="1:18" s="462" customFormat="1" ht="15" x14ac:dyDescent="0.25">
      <c r="A299" s="1">
        <v>294</v>
      </c>
      <c r="B299" s="1" t="s">
        <v>744</v>
      </c>
      <c r="C299" s="32" t="s">
        <v>633</v>
      </c>
      <c r="D299" s="32">
        <v>210</v>
      </c>
      <c r="E299" s="1" t="s">
        <v>80</v>
      </c>
      <c r="F299" s="1">
        <v>2.09</v>
      </c>
      <c r="G299" s="1">
        <v>210</v>
      </c>
      <c r="H299" s="1">
        <f t="shared" si="5"/>
        <v>0</v>
      </c>
      <c r="I299" s="89"/>
      <c r="J299" s="454"/>
      <c r="K299" s="454"/>
      <c r="L299" s="454"/>
      <c r="M299" s="455"/>
      <c r="N299" s="43"/>
      <c r="O299" s="388"/>
      <c r="P299" s="48"/>
      <c r="Q299" s="370"/>
      <c r="R299" s="48"/>
    </row>
    <row r="300" spans="1:18" s="462" customFormat="1" ht="15" x14ac:dyDescent="0.25">
      <c r="A300" s="1">
        <v>295</v>
      </c>
      <c r="B300" s="1" t="s">
        <v>744</v>
      </c>
      <c r="C300" s="32">
        <v>9777</v>
      </c>
      <c r="D300" s="32">
        <v>15000</v>
      </c>
      <c r="E300" s="1" t="s">
        <v>80</v>
      </c>
      <c r="F300" s="1">
        <v>167.15</v>
      </c>
      <c r="G300" s="1">
        <v>15000</v>
      </c>
      <c r="H300" s="1">
        <f t="shared" si="5"/>
        <v>0</v>
      </c>
      <c r="I300" s="89"/>
      <c r="J300" s="454"/>
      <c r="K300" s="454"/>
      <c r="L300" s="454"/>
      <c r="M300" s="455"/>
      <c r="N300" s="43"/>
      <c r="O300" s="388"/>
      <c r="P300" s="48"/>
      <c r="Q300" s="370"/>
      <c r="R300" s="48"/>
    </row>
    <row r="301" spans="1:18" s="462" customFormat="1" ht="15" x14ac:dyDescent="0.25">
      <c r="A301" s="1">
        <v>296</v>
      </c>
      <c r="B301" s="1" t="s">
        <v>744</v>
      </c>
      <c r="C301" s="32">
        <v>9876</v>
      </c>
      <c r="D301" s="32">
        <v>15000</v>
      </c>
      <c r="E301" s="1" t="s">
        <v>80</v>
      </c>
      <c r="F301" s="1">
        <v>167.15</v>
      </c>
      <c r="G301" s="1">
        <v>15000</v>
      </c>
      <c r="H301" s="1">
        <f t="shared" si="5"/>
        <v>0</v>
      </c>
      <c r="I301" s="89"/>
      <c r="J301" s="454"/>
      <c r="K301" s="454"/>
      <c r="L301" s="454"/>
      <c r="M301" s="455"/>
      <c r="N301" s="43"/>
      <c r="O301" s="388"/>
      <c r="P301" s="48"/>
      <c r="Q301" s="370"/>
      <c r="R301" s="48"/>
    </row>
    <row r="302" spans="1:18" s="462" customFormat="1" ht="15" x14ac:dyDescent="0.25">
      <c r="A302" s="1">
        <v>297</v>
      </c>
      <c r="B302" s="1" t="s">
        <v>744</v>
      </c>
      <c r="C302" s="32">
        <v>2973</v>
      </c>
      <c r="D302" s="32">
        <v>14000</v>
      </c>
      <c r="E302" s="1" t="s">
        <v>80</v>
      </c>
      <c r="F302" s="1">
        <v>155.25</v>
      </c>
      <c r="G302" s="1">
        <v>14000</v>
      </c>
      <c r="H302" s="1">
        <f t="shared" si="5"/>
        <v>0</v>
      </c>
      <c r="I302" s="89"/>
      <c r="J302" s="454"/>
      <c r="K302" s="454"/>
      <c r="L302" s="454"/>
      <c r="M302" s="455"/>
      <c r="N302" s="43"/>
      <c r="O302" s="388"/>
      <c r="P302" s="48"/>
      <c r="Q302" s="370"/>
      <c r="R302" s="48"/>
    </row>
    <row r="303" spans="1:18" s="462" customFormat="1" ht="15" x14ac:dyDescent="0.25">
      <c r="A303" s="1">
        <v>298</v>
      </c>
      <c r="B303" s="1" t="s">
        <v>744</v>
      </c>
      <c r="C303" s="32">
        <v>3.8600000000000002E-2</v>
      </c>
      <c r="D303" s="32">
        <v>10000</v>
      </c>
      <c r="E303" s="1" t="s">
        <v>80</v>
      </c>
      <c r="F303" s="1">
        <v>111.41</v>
      </c>
      <c r="G303" s="1">
        <v>10000</v>
      </c>
      <c r="H303" s="1">
        <f t="shared" si="5"/>
        <v>0</v>
      </c>
      <c r="I303" s="89"/>
      <c r="J303" s="454"/>
      <c r="K303" s="454"/>
      <c r="L303" s="454"/>
      <c r="M303" s="455"/>
      <c r="N303" s="43"/>
      <c r="O303" s="388"/>
      <c r="P303" s="48"/>
      <c r="Q303" s="370"/>
      <c r="R303" s="48"/>
    </row>
    <row r="304" spans="1:18" s="462" customFormat="1" ht="15" x14ac:dyDescent="0.25">
      <c r="A304" s="1">
        <v>299</v>
      </c>
      <c r="B304" s="1" t="s">
        <v>744</v>
      </c>
      <c r="C304" s="32">
        <v>8105</v>
      </c>
      <c r="D304" s="32">
        <v>17000</v>
      </c>
      <c r="E304" s="1" t="s">
        <v>80</v>
      </c>
      <c r="F304" s="1">
        <v>189.17</v>
      </c>
      <c r="G304" s="1">
        <v>17000</v>
      </c>
      <c r="H304" s="1">
        <f t="shared" si="5"/>
        <v>0</v>
      </c>
      <c r="I304" s="89"/>
      <c r="J304" s="454"/>
      <c r="K304" s="454"/>
      <c r="L304" s="454"/>
      <c r="M304" s="455"/>
      <c r="N304" s="43"/>
      <c r="O304" s="388"/>
      <c r="P304" s="48"/>
      <c r="Q304" s="370"/>
      <c r="R304" s="48"/>
    </row>
    <row r="305" spans="1:18" s="462" customFormat="1" ht="15" x14ac:dyDescent="0.25">
      <c r="A305" s="1">
        <v>300</v>
      </c>
      <c r="B305" s="1" t="s">
        <v>744</v>
      </c>
      <c r="C305" s="32">
        <v>7345</v>
      </c>
      <c r="D305" s="32">
        <v>13000</v>
      </c>
      <c r="E305" s="1" t="s">
        <v>80</v>
      </c>
      <c r="F305" s="1">
        <v>144.13</v>
      </c>
      <c r="G305" s="1">
        <v>13000</v>
      </c>
      <c r="H305" s="1">
        <f t="shared" si="5"/>
        <v>0</v>
      </c>
      <c r="I305" s="89"/>
      <c r="J305" s="454"/>
      <c r="K305" s="454"/>
      <c r="L305" s="454"/>
      <c r="M305" s="455"/>
      <c r="N305" s="43"/>
      <c r="O305" s="388"/>
      <c r="P305" s="48"/>
      <c r="Q305" s="370"/>
      <c r="R305" s="48"/>
    </row>
    <row r="306" spans="1:18" s="462" customFormat="1" ht="15" x14ac:dyDescent="0.25">
      <c r="A306" s="1">
        <v>301</v>
      </c>
      <c r="B306" s="1" t="s">
        <v>744</v>
      </c>
      <c r="C306" s="32">
        <v>2733</v>
      </c>
      <c r="D306" s="32">
        <v>20000</v>
      </c>
      <c r="E306" s="1" t="s">
        <v>80</v>
      </c>
      <c r="F306" s="1">
        <v>222.82</v>
      </c>
      <c r="G306" s="1">
        <v>20000</v>
      </c>
      <c r="H306" s="1">
        <f t="shared" si="5"/>
        <v>0</v>
      </c>
      <c r="I306" s="89"/>
      <c r="J306" s="454"/>
      <c r="K306" s="454"/>
      <c r="L306" s="454"/>
      <c r="M306" s="455"/>
      <c r="N306" s="43"/>
      <c r="O306" s="388"/>
      <c r="P306" s="48"/>
      <c r="Q306" s="370"/>
      <c r="R306" s="48"/>
    </row>
    <row r="307" spans="1:18" s="462" customFormat="1" ht="15" x14ac:dyDescent="0.25">
      <c r="A307" s="1">
        <v>302</v>
      </c>
      <c r="B307" s="1" t="s">
        <v>744</v>
      </c>
      <c r="C307" s="32">
        <v>2972</v>
      </c>
      <c r="D307" s="32">
        <v>15000</v>
      </c>
      <c r="E307" s="1" t="s">
        <v>80</v>
      </c>
      <c r="F307" s="1">
        <v>167.15</v>
      </c>
      <c r="G307" s="1">
        <v>15000</v>
      </c>
      <c r="H307" s="1">
        <f t="shared" si="5"/>
        <v>0</v>
      </c>
      <c r="I307" s="89"/>
      <c r="J307" s="454"/>
      <c r="K307" s="454"/>
      <c r="L307" s="454"/>
      <c r="M307" s="455"/>
      <c r="N307" s="43"/>
      <c r="O307" s="388"/>
      <c r="P307" s="48"/>
      <c r="Q307" s="370"/>
      <c r="R307" s="48"/>
    </row>
    <row r="308" spans="1:18" s="462" customFormat="1" ht="15" x14ac:dyDescent="0.25">
      <c r="A308" s="1">
        <v>303</v>
      </c>
      <c r="B308" s="1" t="s">
        <v>744</v>
      </c>
      <c r="C308" s="32">
        <v>4204</v>
      </c>
      <c r="D308" s="32">
        <v>14500</v>
      </c>
      <c r="E308" s="1" t="s">
        <v>80</v>
      </c>
      <c r="F308" s="1">
        <v>161.87</v>
      </c>
      <c r="G308" s="1">
        <v>14500</v>
      </c>
      <c r="H308" s="1">
        <f t="shared" si="5"/>
        <v>0</v>
      </c>
      <c r="I308" s="89"/>
      <c r="J308" s="454"/>
      <c r="K308" s="454"/>
      <c r="L308" s="454"/>
      <c r="M308" s="455"/>
      <c r="N308" s="43"/>
      <c r="O308" s="388"/>
      <c r="P308" s="48"/>
      <c r="Q308" s="370"/>
      <c r="R308" s="48"/>
    </row>
    <row r="309" spans="1:18" s="462" customFormat="1" ht="15" x14ac:dyDescent="0.25">
      <c r="A309" s="1">
        <v>304</v>
      </c>
      <c r="B309" s="1" t="s">
        <v>744</v>
      </c>
      <c r="C309" s="32">
        <v>3873</v>
      </c>
      <c r="D309" s="32">
        <v>14000</v>
      </c>
      <c r="E309" s="1" t="s">
        <v>80</v>
      </c>
      <c r="F309" s="1">
        <v>155.82</v>
      </c>
      <c r="G309" s="1">
        <v>14000</v>
      </c>
      <c r="H309" s="1">
        <f t="shared" si="5"/>
        <v>0</v>
      </c>
      <c r="I309" s="89"/>
      <c r="J309" s="454"/>
      <c r="K309" s="454"/>
      <c r="L309" s="454"/>
      <c r="M309" s="455"/>
      <c r="N309" s="43"/>
      <c r="O309" s="388"/>
      <c r="P309" s="48"/>
      <c r="Q309" s="370"/>
      <c r="R309" s="48"/>
    </row>
    <row r="310" spans="1:18" s="462" customFormat="1" ht="15" x14ac:dyDescent="0.25">
      <c r="A310" s="1">
        <v>305</v>
      </c>
      <c r="B310" s="1" t="s">
        <v>744</v>
      </c>
      <c r="C310" s="32">
        <v>3886</v>
      </c>
      <c r="D310" s="32">
        <v>15500</v>
      </c>
      <c r="E310" s="1" t="s">
        <v>80</v>
      </c>
      <c r="F310" s="1">
        <v>172.71</v>
      </c>
      <c r="G310" s="1">
        <v>15500</v>
      </c>
      <c r="H310" s="1">
        <f t="shared" si="5"/>
        <v>0</v>
      </c>
      <c r="I310" s="89"/>
      <c r="J310" s="454"/>
      <c r="K310" s="454"/>
      <c r="L310" s="454"/>
      <c r="M310" s="455"/>
      <c r="N310" s="43"/>
      <c r="O310" s="388"/>
      <c r="P310" s="48"/>
      <c r="Q310" s="370"/>
      <c r="R310" s="48"/>
    </row>
    <row r="311" spans="1:18" s="462" customFormat="1" ht="15" x14ac:dyDescent="0.25">
      <c r="A311" s="1">
        <v>306</v>
      </c>
      <c r="B311" s="1" t="s">
        <v>744</v>
      </c>
      <c r="C311" s="32">
        <v>4032</v>
      </c>
      <c r="D311" s="32">
        <v>19000</v>
      </c>
      <c r="E311" s="1" t="s">
        <v>80</v>
      </c>
      <c r="F311" s="1">
        <v>211.68</v>
      </c>
      <c r="G311" s="1">
        <v>19000</v>
      </c>
      <c r="H311" s="1">
        <f t="shared" si="5"/>
        <v>0</v>
      </c>
      <c r="I311" s="89"/>
      <c r="J311" s="454"/>
      <c r="K311" s="454"/>
      <c r="L311" s="454"/>
      <c r="M311" s="455"/>
      <c r="N311" s="43"/>
      <c r="O311" s="388"/>
      <c r="P311" s="48"/>
      <c r="Q311" s="370"/>
      <c r="R311" s="48"/>
    </row>
    <row r="312" spans="1:18" s="462" customFormat="1" ht="15" x14ac:dyDescent="0.25">
      <c r="A312" s="1">
        <v>307</v>
      </c>
      <c r="B312" s="1" t="s">
        <v>744</v>
      </c>
      <c r="C312" s="32">
        <v>2425</v>
      </c>
      <c r="D312" s="32">
        <v>15000</v>
      </c>
      <c r="E312" s="1" t="s">
        <v>80</v>
      </c>
      <c r="F312" s="1">
        <v>167.15</v>
      </c>
      <c r="G312" s="1">
        <v>15000</v>
      </c>
      <c r="H312" s="1">
        <f t="shared" si="5"/>
        <v>0</v>
      </c>
      <c r="I312" s="89"/>
      <c r="J312" s="454"/>
      <c r="K312" s="454"/>
      <c r="L312" s="454"/>
      <c r="M312" s="455"/>
      <c r="N312" s="43"/>
      <c r="O312" s="388"/>
      <c r="P312" s="48"/>
      <c r="Q312" s="370"/>
      <c r="R312" s="48"/>
    </row>
    <row r="313" spans="1:18" s="462" customFormat="1" ht="15" x14ac:dyDescent="0.25">
      <c r="A313" s="1">
        <v>308</v>
      </c>
      <c r="B313" s="1" t="s">
        <v>744</v>
      </c>
      <c r="C313" s="32">
        <v>7450</v>
      </c>
      <c r="D313" s="32">
        <v>15000</v>
      </c>
      <c r="E313" s="1" t="s">
        <v>80</v>
      </c>
      <c r="F313" s="1">
        <v>167.15</v>
      </c>
      <c r="G313" s="1">
        <v>15000</v>
      </c>
      <c r="H313" s="1">
        <f t="shared" si="5"/>
        <v>0</v>
      </c>
      <c r="I313" s="89"/>
      <c r="J313" s="454"/>
      <c r="K313" s="454"/>
      <c r="L313" s="454"/>
      <c r="M313" s="455"/>
      <c r="N313" s="43"/>
      <c r="O313" s="388"/>
      <c r="P313" s="48"/>
      <c r="Q313" s="370"/>
      <c r="R313" s="48"/>
    </row>
    <row r="314" spans="1:18" s="462" customFormat="1" ht="15" x14ac:dyDescent="0.25">
      <c r="A314" s="1">
        <v>309</v>
      </c>
      <c r="B314" s="1" t="s">
        <v>744</v>
      </c>
      <c r="C314" s="32">
        <v>7344</v>
      </c>
      <c r="D314" s="32">
        <v>20000</v>
      </c>
      <c r="E314" s="1" t="s">
        <v>80</v>
      </c>
      <c r="F314" s="1">
        <v>222.82</v>
      </c>
      <c r="G314" s="1">
        <v>20000</v>
      </c>
      <c r="H314" s="1">
        <f t="shared" si="5"/>
        <v>0</v>
      </c>
      <c r="I314" s="89"/>
      <c r="J314" s="454"/>
      <c r="K314" s="454"/>
      <c r="L314" s="454"/>
      <c r="M314" s="455"/>
      <c r="N314" s="43"/>
      <c r="O314" s="388"/>
      <c r="P314" s="48"/>
      <c r="Q314" s="370"/>
      <c r="R314" s="48"/>
    </row>
    <row r="315" spans="1:18" s="462" customFormat="1" ht="15" x14ac:dyDescent="0.25">
      <c r="A315" s="1">
        <v>310</v>
      </c>
      <c r="B315" s="1" t="s">
        <v>744</v>
      </c>
      <c r="C315" s="32">
        <v>1448</v>
      </c>
      <c r="D315" s="32">
        <v>16000</v>
      </c>
      <c r="E315" s="1" t="s">
        <v>80</v>
      </c>
      <c r="F315" s="1">
        <v>178.22</v>
      </c>
      <c r="G315" s="1">
        <v>16000</v>
      </c>
      <c r="H315" s="1">
        <f t="shared" si="5"/>
        <v>0</v>
      </c>
      <c r="I315" s="89"/>
      <c r="J315" s="454"/>
      <c r="K315" s="454"/>
      <c r="L315" s="454"/>
      <c r="M315" s="455"/>
      <c r="N315" s="43"/>
      <c r="O315" s="388"/>
      <c r="P315" s="48"/>
      <c r="Q315" s="370"/>
      <c r="R315" s="48"/>
    </row>
    <row r="316" spans="1:18" s="462" customFormat="1" ht="15" x14ac:dyDescent="0.25">
      <c r="A316" s="1">
        <v>311</v>
      </c>
      <c r="B316" s="1" t="s">
        <v>744</v>
      </c>
      <c r="C316" s="32">
        <v>2496</v>
      </c>
      <c r="D316" s="32">
        <v>13000</v>
      </c>
      <c r="E316" s="1" t="s">
        <v>80</v>
      </c>
      <c r="F316" s="1">
        <v>144.13</v>
      </c>
      <c r="G316" s="1">
        <v>13000</v>
      </c>
      <c r="H316" s="1">
        <f t="shared" si="5"/>
        <v>0</v>
      </c>
      <c r="I316" s="89"/>
      <c r="J316" s="454"/>
      <c r="K316" s="454"/>
      <c r="L316" s="454"/>
      <c r="M316" s="455"/>
      <c r="N316" s="43"/>
      <c r="O316" s="388"/>
      <c r="P316" s="48"/>
      <c r="Q316" s="370"/>
      <c r="R316" s="48"/>
    </row>
    <row r="317" spans="1:18" s="462" customFormat="1" ht="15" x14ac:dyDescent="0.25">
      <c r="A317" s="1">
        <v>312</v>
      </c>
      <c r="B317" s="1" t="s">
        <v>744</v>
      </c>
      <c r="C317" s="32">
        <v>5864</v>
      </c>
      <c r="D317" s="32">
        <v>16000</v>
      </c>
      <c r="E317" s="1" t="s">
        <v>80</v>
      </c>
      <c r="F317" s="1">
        <v>178.22</v>
      </c>
      <c r="G317" s="1">
        <v>16000</v>
      </c>
      <c r="H317" s="1">
        <f t="shared" si="5"/>
        <v>0</v>
      </c>
      <c r="I317" s="89"/>
      <c r="J317" s="454"/>
      <c r="K317" s="454"/>
      <c r="L317" s="454"/>
      <c r="M317" s="455"/>
      <c r="N317" s="43"/>
      <c r="O317" s="388"/>
      <c r="P317" s="48"/>
      <c r="Q317" s="370"/>
      <c r="R317" s="48"/>
    </row>
    <row r="318" spans="1:18" s="462" customFormat="1" ht="15" x14ac:dyDescent="0.25">
      <c r="A318" s="1">
        <v>313</v>
      </c>
      <c r="B318" s="1" t="s">
        <v>744</v>
      </c>
      <c r="C318" s="32">
        <v>2401</v>
      </c>
      <c r="D318" s="32">
        <v>25000</v>
      </c>
      <c r="E318" s="1" t="s">
        <v>80</v>
      </c>
      <c r="F318" s="1">
        <v>278.22000000000003</v>
      </c>
      <c r="G318" s="1">
        <v>25000</v>
      </c>
      <c r="H318" s="1">
        <f t="shared" si="5"/>
        <v>0</v>
      </c>
      <c r="I318" s="89"/>
      <c r="J318" s="454"/>
      <c r="K318" s="454"/>
      <c r="L318" s="454"/>
      <c r="M318" s="455"/>
      <c r="N318" s="43"/>
      <c r="O318" s="388"/>
      <c r="P318" s="48"/>
      <c r="Q318" s="370"/>
      <c r="R318" s="48"/>
    </row>
    <row r="319" spans="1:18" s="462" customFormat="1" ht="15" x14ac:dyDescent="0.25">
      <c r="A319" s="1">
        <v>314</v>
      </c>
      <c r="B319" s="1" t="s">
        <v>744</v>
      </c>
      <c r="C319" s="32">
        <v>7344</v>
      </c>
      <c r="D319" s="32">
        <v>13000</v>
      </c>
      <c r="E319" s="1" t="s">
        <v>80</v>
      </c>
      <c r="F319" s="1">
        <v>144.13</v>
      </c>
      <c r="G319" s="1">
        <v>13000</v>
      </c>
      <c r="H319" s="1">
        <f t="shared" si="5"/>
        <v>0</v>
      </c>
      <c r="I319" s="89"/>
      <c r="J319" s="454"/>
      <c r="K319" s="454"/>
      <c r="L319" s="454"/>
      <c r="M319" s="455"/>
      <c r="N319" s="43"/>
      <c r="O319" s="388"/>
      <c r="P319" s="48"/>
      <c r="Q319" s="370"/>
      <c r="R319" s="48"/>
    </row>
    <row r="320" spans="1:18" s="462" customFormat="1" ht="15" x14ac:dyDescent="0.25">
      <c r="A320" s="1">
        <v>315</v>
      </c>
      <c r="B320" s="1" t="s">
        <v>744</v>
      </c>
      <c r="C320" s="32">
        <v>5200</v>
      </c>
      <c r="D320" s="32">
        <v>26000</v>
      </c>
      <c r="E320" s="1" t="s">
        <v>80</v>
      </c>
      <c r="F320" s="1">
        <v>289.67</v>
      </c>
      <c r="G320" s="1">
        <v>26000</v>
      </c>
      <c r="H320" s="1">
        <f t="shared" si="5"/>
        <v>0</v>
      </c>
      <c r="I320" s="89"/>
      <c r="J320" s="454"/>
      <c r="K320" s="454"/>
      <c r="L320" s="454"/>
      <c r="M320" s="455"/>
      <c r="N320" s="43"/>
      <c r="O320" s="388"/>
      <c r="P320" s="48"/>
      <c r="Q320" s="370"/>
      <c r="R320" s="48"/>
    </row>
    <row r="321" spans="1:18" s="462" customFormat="1" ht="15" x14ac:dyDescent="0.25">
      <c r="A321" s="1">
        <v>316</v>
      </c>
      <c r="B321" s="1" t="s">
        <v>744</v>
      </c>
      <c r="C321" s="32">
        <v>6590</v>
      </c>
      <c r="D321" s="32">
        <v>25000</v>
      </c>
      <c r="E321" s="1" t="s">
        <v>80</v>
      </c>
      <c r="F321" s="1">
        <v>278.22000000000003</v>
      </c>
      <c r="G321" s="1">
        <v>25000</v>
      </c>
      <c r="H321" s="1">
        <f t="shared" si="5"/>
        <v>0</v>
      </c>
      <c r="I321" s="89"/>
      <c r="J321" s="454"/>
      <c r="K321" s="454"/>
      <c r="L321" s="454"/>
      <c r="M321" s="455"/>
      <c r="N321" s="43"/>
      <c r="O321" s="388"/>
      <c r="P321" s="48"/>
      <c r="Q321" s="370"/>
      <c r="R321" s="48"/>
    </row>
    <row r="322" spans="1:18" s="462" customFormat="1" ht="15" x14ac:dyDescent="0.25">
      <c r="A322" s="1">
        <v>317</v>
      </c>
      <c r="B322" s="1" t="s">
        <v>744</v>
      </c>
      <c r="C322" s="32">
        <v>3541</v>
      </c>
      <c r="D322" s="32">
        <v>14000</v>
      </c>
      <c r="E322" s="1" t="s">
        <v>80</v>
      </c>
      <c r="F322" s="1">
        <v>155.44999999999999</v>
      </c>
      <c r="G322" s="1">
        <v>14000</v>
      </c>
      <c r="H322" s="1">
        <f t="shared" si="5"/>
        <v>0</v>
      </c>
      <c r="I322" s="89"/>
      <c r="J322" s="454"/>
      <c r="K322" s="454"/>
      <c r="L322" s="454"/>
      <c r="M322" s="455"/>
      <c r="N322" s="43"/>
      <c r="O322" s="388"/>
      <c r="P322" s="48"/>
      <c r="Q322" s="370"/>
      <c r="R322" s="48"/>
    </row>
    <row r="323" spans="1:18" s="462" customFormat="1" ht="15" x14ac:dyDescent="0.25">
      <c r="A323" s="1">
        <v>318</v>
      </c>
      <c r="B323" s="1" t="s">
        <v>744</v>
      </c>
      <c r="C323" s="32">
        <v>3235</v>
      </c>
      <c r="D323" s="32">
        <v>16000</v>
      </c>
      <c r="E323" s="1" t="s">
        <v>80</v>
      </c>
      <c r="F323" s="1">
        <v>178.22</v>
      </c>
      <c r="G323" s="1">
        <v>16000</v>
      </c>
      <c r="H323" s="1">
        <f t="shared" si="5"/>
        <v>0</v>
      </c>
      <c r="I323" s="89"/>
      <c r="J323" s="454"/>
      <c r="K323" s="454"/>
      <c r="L323" s="454"/>
      <c r="M323" s="455"/>
      <c r="N323" s="43"/>
      <c r="O323" s="388"/>
      <c r="P323" s="48"/>
      <c r="Q323" s="370"/>
      <c r="R323" s="48"/>
    </row>
    <row r="324" spans="1:18" s="462" customFormat="1" ht="15" x14ac:dyDescent="0.25">
      <c r="A324" s="1">
        <v>319</v>
      </c>
      <c r="B324" s="1" t="s">
        <v>744</v>
      </c>
      <c r="C324" s="32">
        <v>9033</v>
      </c>
      <c r="D324" s="32">
        <v>25000</v>
      </c>
      <c r="E324" s="1" t="s">
        <v>80</v>
      </c>
      <c r="F324" s="1">
        <v>278.22000000000003</v>
      </c>
      <c r="G324" s="1">
        <v>25000</v>
      </c>
      <c r="H324" s="1">
        <f t="shared" si="5"/>
        <v>0</v>
      </c>
      <c r="I324" s="89"/>
      <c r="J324" s="454"/>
      <c r="K324" s="454"/>
      <c r="L324" s="454"/>
      <c r="M324" s="455"/>
      <c r="N324" s="43"/>
      <c r="O324" s="388"/>
      <c r="P324" s="48"/>
      <c r="Q324" s="370"/>
      <c r="R324" s="48"/>
    </row>
    <row r="325" spans="1:18" s="462" customFormat="1" ht="15" x14ac:dyDescent="0.25">
      <c r="A325" s="1">
        <v>320</v>
      </c>
      <c r="B325" s="1" t="s">
        <v>744</v>
      </c>
      <c r="C325" s="32">
        <v>5772</v>
      </c>
      <c r="D325" s="32">
        <v>14000</v>
      </c>
      <c r="E325" s="1" t="s">
        <v>80</v>
      </c>
      <c r="F325" s="1">
        <v>155.44999999999999</v>
      </c>
      <c r="G325" s="1">
        <v>14000</v>
      </c>
      <c r="H325" s="1">
        <f t="shared" si="5"/>
        <v>0</v>
      </c>
      <c r="I325" s="89"/>
      <c r="J325" s="454"/>
      <c r="K325" s="454"/>
      <c r="L325" s="454"/>
      <c r="M325" s="455"/>
      <c r="N325" s="43"/>
      <c r="O325" s="388"/>
      <c r="P325" s="48"/>
      <c r="Q325" s="370"/>
      <c r="R325" s="48"/>
    </row>
    <row r="326" spans="1:18" s="462" customFormat="1" ht="15" x14ac:dyDescent="0.25">
      <c r="A326" s="1">
        <v>321</v>
      </c>
      <c r="B326" s="1" t="s">
        <v>744</v>
      </c>
      <c r="C326" s="32">
        <v>1.8499999999999999E-2</v>
      </c>
      <c r="D326" s="32">
        <v>16000</v>
      </c>
      <c r="E326" s="1" t="s">
        <v>80</v>
      </c>
      <c r="F326" s="1">
        <v>178.22</v>
      </c>
      <c r="G326" s="1">
        <v>16000</v>
      </c>
      <c r="H326" s="1">
        <f t="shared" si="5"/>
        <v>0</v>
      </c>
      <c r="I326" s="89"/>
      <c r="J326" s="454"/>
      <c r="K326" s="454"/>
      <c r="L326" s="454"/>
      <c r="M326" s="455"/>
      <c r="N326" s="43"/>
      <c r="O326" s="388"/>
      <c r="P326" s="48"/>
      <c r="Q326" s="370"/>
      <c r="R326" s="48"/>
    </row>
    <row r="327" spans="1:18" s="462" customFormat="1" ht="15" x14ac:dyDescent="0.25">
      <c r="A327" s="1">
        <v>322</v>
      </c>
      <c r="B327" s="1" t="s">
        <v>744</v>
      </c>
      <c r="C327" s="32">
        <v>3021</v>
      </c>
      <c r="D327" s="32">
        <v>10000</v>
      </c>
      <c r="E327" s="1" t="s">
        <v>80</v>
      </c>
      <c r="F327" s="1">
        <v>111.41</v>
      </c>
      <c r="G327" s="1">
        <v>10000</v>
      </c>
      <c r="H327" s="1">
        <f t="shared" si="5"/>
        <v>0</v>
      </c>
      <c r="I327" s="89"/>
      <c r="J327" s="454"/>
      <c r="K327" s="454"/>
      <c r="L327" s="454"/>
      <c r="M327" s="455"/>
      <c r="N327" s="43"/>
      <c r="O327" s="388"/>
      <c r="P327" s="48"/>
      <c r="Q327" s="370"/>
      <c r="R327" s="48"/>
    </row>
    <row r="328" spans="1:18" s="462" customFormat="1" ht="15" x14ac:dyDescent="0.25">
      <c r="A328" s="1">
        <v>323</v>
      </c>
      <c r="B328" s="1" t="s">
        <v>744</v>
      </c>
      <c r="C328" s="32">
        <v>5474</v>
      </c>
      <c r="D328" s="32">
        <v>27000</v>
      </c>
      <c r="E328" s="1" t="s">
        <v>80</v>
      </c>
      <c r="F328" s="1">
        <v>300.82</v>
      </c>
      <c r="G328" s="1">
        <v>27000</v>
      </c>
      <c r="H328" s="1">
        <f t="shared" si="5"/>
        <v>0</v>
      </c>
      <c r="I328" s="89"/>
      <c r="J328" s="454"/>
      <c r="K328" s="454"/>
      <c r="L328" s="454"/>
      <c r="M328" s="455"/>
      <c r="N328" s="43"/>
      <c r="O328" s="388"/>
      <c r="P328" s="48"/>
      <c r="Q328" s="370"/>
      <c r="R328" s="48"/>
    </row>
    <row r="329" spans="1:18" s="462" customFormat="1" ht="15" x14ac:dyDescent="0.25">
      <c r="A329" s="1">
        <v>324</v>
      </c>
      <c r="B329" s="1" t="s">
        <v>744</v>
      </c>
      <c r="C329" s="32">
        <v>8181</v>
      </c>
      <c r="D329" s="32">
        <v>30000</v>
      </c>
      <c r="E329" s="1" t="s">
        <v>80</v>
      </c>
      <c r="F329" s="1">
        <v>334.22</v>
      </c>
      <c r="G329" s="1">
        <v>30000</v>
      </c>
      <c r="H329" s="1">
        <f t="shared" si="5"/>
        <v>0</v>
      </c>
      <c r="I329" s="89"/>
      <c r="J329" s="454"/>
      <c r="K329" s="454"/>
      <c r="L329" s="454"/>
      <c r="M329" s="455"/>
      <c r="N329" s="43"/>
      <c r="O329" s="388"/>
      <c r="P329" s="48"/>
      <c r="Q329" s="370"/>
      <c r="R329" s="48"/>
    </row>
    <row r="330" spans="1:18" s="462" customFormat="1" ht="15" x14ac:dyDescent="0.25">
      <c r="A330" s="1">
        <v>325</v>
      </c>
      <c r="B330" s="1" t="s">
        <v>744</v>
      </c>
      <c r="C330" s="32">
        <v>3205</v>
      </c>
      <c r="D330" s="32">
        <v>19000</v>
      </c>
      <c r="E330" s="1" t="s">
        <v>80</v>
      </c>
      <c r="F330" s="1">
        <v>211.57</v>
      </c>
      <c r="G330" s="1">
        <v>19000</v>
      </c>
      <c r="H330" s="1">
        <f t="shared" si="5"/>
        <v>0</v>
      </c>
      <c r="I330" s="89"/>
      <c r="J330" s="454"/>
      <c r="K330" s="454"/>
      <c r="L330" s="454"/>
      <c r="M330" s="455"/>
      <c r="N330" s="43"/>
      <c r="O330" s="388"/>
      <c r="P330" s="48"/>
      <c r="Q330" s="370"/>
      <c r="R330" s="48"/>
    </row>
    <row r="331" spans="1:18" s="462" customFormat="1" ht="15" x14ac:dyDescent="0.25">
      <c r="A331" s="1">
        <v>326</v>
      </c>
      <c r="B331" s="1" t="s">
        <v>744</v>
      </c>
      <c r="C331" s="32">
        <v>1338</v>
      </c>
      <c r="D331" s="32">
        <v>15000</v>
      </c>
      <c r="E331" s="1" t="s">
        <v>80</v>
      </c>
      <c r="F331" s="1">
        <v>167.15</v>
      </c>
      <c r="G331" s="1">
        <v>15000</v>
      </c>
      <c r="H331" s="1">
        <f t="shared" si="5"/>
        <v>0</v>
      </c>
      <c r="I331" s="89"/>
      <c r="J331" s="454"/>
      <c r="K331" s="454"/>
      <c r="L331" s="454"/>
      <c r="M331" s="455"/>
      <c r="N331" s="43"/>
      <c r="O331" s="388"/>
      <c r="P331" s="48"/>
      <c r="Q331" s="370"/>
      <c r="R331" s="48"/>
    </row>
    <row r="332" spans="1:18" s="462" customFormat="1" ht="15" x14ac:dyDescent="0.25">
      <c r="A332" s="1">
        <v>327</v>
      </c>
      <c r="B332" s="1" t="s">
        <v>744</v>
      </c>
      <c r="C332" s="32">
        <v>7540</v>
      </c>
      <c r="D332" s="32">
        <v>15000</v>
      </c>
      <c r="E332" s="1" t="s">
        <v>80</v>
      </c>
      <c r="F332" s="1">
        <v>167.15</v>
      </c>
      <c r="G332" s="1">
        <v>15000</v>
      </c>
      <c r="H332" s="1">
        <f t="shared" si="5"/>
        <v>0</v>
      </c>
      <c r="I332" s="89"/>
      <c r="J332" s="454"/>
      <c r="K332" s="454"/>
      <c r="L332" s="454"/>
      <c r="M332" s="455"/>
      <c r="N332" s="43"/>
      <c r="O332" s="388"/>
      <c r="P332" s="48"/>
      <c r="Q332" s="370"/>
      <c r="R332" s="48"/>
    </row>
    <row r="333" spans="1:18" s="462" customFormat="1" ht="15" x14ac:dyDescent="0.25">
      <c r="A333" s="1">
        <v>328</v>
      </c>
      <c r="B333" s="1" t="s">
        <v>744</v>
      </c>
      <c r="C333" s="32">
        <v>3274</v>
      </c>
      <c r="D333" s="32">
        <v>20000</v>
      </c>
      <c r="E333" s="1" t="s">
        <v>80</v>
      </c>
      <c r="F333" s="1">
        <v>222.82</v>
      </c>
      <c r="G333" s="1">
        <v>20000</v>
      </c>
      <c r="H333" s="1">
        <f t="shared" si="5"/>
        <v>0</v>
      </c>
      <c r="I333" s="89"/>
      <c r="J333" s="454"/>
      <c r="K333" s="454"/>
      <c r="L333" s="454"/>
      <c r="M333" s="455"/>
      <c r="N333" s="43"/>
      <c r="O333" s="388"/>
      <c r="P333" s="48"/>
      <c r="Q333" s="370"/>
      <c r="R333" s="48"/>
    </row>
    <row r="334" spans="1:18" s="462" customFormat="1" ht="15" x14ac:dyDescent="0.25">
      <c r="A334" s="1">
        <v>329</v>
      </c>
      <c r="B334" s="1" t="s">
        <v>744</v>
      </c>
      <c r="C334" s="32">
        <v>6788</v>
      </c>
      <c r="D334" s="32">
        <v>25000</v>
      </c>
      <c r="E334" s="1" t="s">
        <v>80</v>
      </c>
      <c r="F334" s="1">
        <v>278.22000000000003</v>
      </c>
      <c r="G334" s="1">
        <v>25000</v>
      </c>
      <c r="H334" s="1">
        <f t="shared" si="5"/>
        <v>0</v>
      </c>
      <c r="I334" s="89"/>
      <c r="J334" s="454"/>
      <c r="K334" s="454"/>
      <c r="L334" s="454"/>
      <c r="M334" s="455"/>
      <c r="N334" s="43"/>
      <c r="O334" s="388"/>
      <c r="P334" s="48"/>
      <c r="Q334" s="370"/>
      <c r="R334" s="48"/>
    </row>
    <row r="335" spans="1:18" s="462" customFormat="1" ht="15" x14ac:dyDescent="0.25">
      <c r="A335" s="1">
        <v>330</v>
      </c>
      <c r="B335" s="1" t="s">
        <v>744</v>
      </c>
      <c r="C335" s="32">
        <v>4528</v>
      </c>
      <c r="D335" s="32">
        <v>23000</v>
      </c>
      <c r="E335" s="1" t="s">
        <v>80</v>
      </c>
      <c r="F335" s="1">
        <v>256.70999999999998</v>
      </c>
      <c r="G335" s="1">
        <v>23000</v>
      </c>
      <c r="H335" s="1">
        <f t="shared" si="5"/>
        <v>0</v>
      </c>
      <c r="I335" s="89"/>
      <c r="J335" s="454"/>
      <c r="K335" s="454"/>
      <c r="L335" s="454"/>
      <c r="M335" s="455"/>
      <c r="N335" s="43"/>
      <c r="O335" s="388"/>
      <c r="P335" s="48"/>
      <c r="Q335" s="370"/>
      <c r="R335" s="48"/>
    </row>
    <row r="336" spans="1:18" s="462" customFormat="1" ht="15.75" thickBot="1" x14ac:dyDescent="0.3">
      <c r="A336" s="1">
        <v>331</v>
      </c>
      <c r="B336" s="1" t="s">
        <v>744</v>
      </c>
      <c r="C336" s="32">
        <v>6328</v>
      </c>
      <c r="D336" s="32">
        <v>23000</v>
      </c>
      <c r="E336" s="1" t="s">
        <v>80</v>
      </c>
      <c r="F336" s="1">
        <v>256.70999999999998</v>
      </c>
      <c r="G336" s="1">
        <v>23000</v>
      </c>
      <c r="H336" s="1">
        <f t="shared" si="5"/>
        <v>0</v>
      </c>
      <c r="I336" s="89"/>
      <c r="J336" s="454"/>
      <c r="K336" s="454"/>
      <c r="L336" s="454"/>
      <c r="M336" s="455"/>
      <c r="N336" s="43"/>
      <c r="O336" s="388"/>
      <c r="P336" s="48"/>
      <c r="Q336" s="370"/>
      <c r="R336" s="48"/>
    </row>
    <row r="337" spans="1:18" s="462" customFormat="1" ht="15.75" thickBot="1" x14ac:dyDescent="0.3">
      <c r="A337" s="1">
        <v>332</v>
      </c>
      <c r="B337" s="1" t="s">
        <v>744</v>
      </c>
      <c r="C337" s="32">
        <v>7361</v>
      </c>
      <c r="D337" s="32">
        <v>12000</v>
      </c>
      <c r="E337" s="1" t="s">
        <v>80</v>
      </c>
      <c r="F337" s="1">
        <v>133.41999999999999</v>
      </c>
      <c r="G337" s="1">
        <v>12000</v>
      </c>
      <c r="H337" s="1">
        <f t="shared" si="5"/>
        <v>0</v>
      </c>
      <c r="I337" s="89"/>
      <c r="J337" s="454"/>
      <c r="K337" s="454"/>
      <c r="L337" s="454"/>
      <c r="M337" s="455"/>
      <c r="N337" s="43"/>
      <c r="O337" s="103">
        <f>2641011-2612920</f>
        <v>28091</v>
      </c>
      <c r="P337" s="359" t="s">
        <v>739</v>
      </c>
      <c r="Q337" s="367" t="s">
        <v>620</v>
      </c>
      <c r="R337" s="360">
        <f>28091-7600</f>
        <v>20491</v>
      </c>
    </row>
    <row r="338" spans="1:18" s="463" customFormat="1" ht="15" x14ac:dyDescent="0.25">
      <c r="A338" s="1">
        <v>333</v>
      </c>
      <c r="B338" s="1" t="s">
        <v>745</v>
      </c>
      <c r="C338" s="32">
        <v>2651</v>
      </c>
      <c r="D338" s="32">
        <v>10000</v>
      </c>
      <c r="E338" s="1" t="s">
        <v>80</v>
      </c>
      <c r="F338" s="1">
        <v>111.42</v>
      </c>
      <c r="G338" s="1">
        <v>10000</v>
      </c>
      <c r="H338" s="1">
        <f t="shared" si="5"/>
        <v>0</v>
      </c>
      <c r="I338" s="89"/>
      <c r="J338" s="454"/>
      <c r="K338" s="454"/>
      <c r="L338" s="454"/>
      <c r="M338" s="455"/>
      <c r="N338" s="43"/>
      <c r="O338" s="388"/>
      <c r="P338" s="48"/>
      <c r="Q338" s="370"/>
      <c r="R338" s="48"/>
    </row>
    <row r="339" spans="1:18" s="463" customFormat="1" ht="15" x14ac:dyDescent="0.25">
      <c r="A339" s="1">
        <v>334</v>
      </c>
      <c r="B339" s="1" t="s">
        <v>745</v>
      </c>
      <c r="C339" s="32">
        <v>9397</v>
      </c>
      <c r="D339" s="32">
        <v>18000</v>
      </c>
      <c r="E339" s="1" t="s">
        <v>80</v>
      </c>
      <c r="F339" s="1">
        <v>200.82</v>
      </c>
      <c r="G339" s="1">
        <v>18000</v>
      </c>
      <c r="H339" s="1">
        <f t="shared" si="5"/>
        <v>0</v>
      </c>
      <c r="I339" s="89"/>
      <c r="J339" s="454"/>
      <c r="K339" s="454"/>
      <c r="L339" s="454"/>
      <c r="M339" s="455"/>
      <c r="N339" s="43"/>
      <c r="O339" s="388"/>
      <c r="P339" s="48"/>
      <c r="Q339" s="370"/>
      <c r="R339" s="48"/>
    </row>
    <row r="340" spans="1:18" s="463" customFormat="1" ht="15" x14ac:dyDescent="0.25">
      <c r="A340" s="1">
        <v>335</v>
      </c>
      <c r="B340" s="1" t="s">
        <v>745</v>
      </c>
      <c r="C340" s="32">
        <v>3839</v>
      </c>
      <c r="D340" s="32">
        <v>19000</v>
      </c>
      <c r="E340" s="1"/>
      <c r="F340" s="1">
        <v>211.52</v>
      </c>
      <c r="G340" s="1">
        <v>19000</v>
      </c>
      <c r="H340" s="1">
        <f t="shared" si="5"/>
        <v>0</v>
      </c>
      <c r="I340" s="89"/>
      <c r="J340" s="454"/>
      <c r="K340" s="454"/>
      <c r="L340" s="454"/>
      <c r="M340" s="455"/>
      <c r="N340" s="43"/>
      <c r="O340" s="388"/>
      <c r="P340" s="48"/>
      <c r="Q340" s="370"/>
      <c r="R340" s="48"/>
    </row>
    <row r="341" spans="1:18" s="463" customFormat="1" ht="15" x14ac:dyDescent="0.25">
      <c r="A341" s="1">
        <v>336</v>
      </c>
      <c r="B341" s="1" t="s">
        <v>745</v>
      </c>
      <c r="C341" s="32">
        <v>5075</v>
      </c>
      <c r="D341" s="32">
        <v>17000</v>
      </c>
      <c r="E341" s="1" t="s">
        <v>80</v>
      </c>
      <c r="F341" s="1">
        <v>189.27</v>
      </c>
      <c r="G341" s="1">
        <v>17000</v>
      </c>
      <c r="H341" s="1">
        <f t="shared" ref="H341:H403" si="6">D341-G341</f>
        <v>0</v>
      </c>
      <c r="I341" s="89"/>
      <c r="J341" s="454"/>
      <c r="K341" s="454"/>
      <c r="L341" s="454"/>
      <c r="M341" s="455"/>
      <c r="N341" s="43"/>
      <c r="O341" s="388"/>
      <c r="P341" s="48"/>
      <c r="Q341" s="370"/>
      <c r="R341" s="48"/>
    </row>
    <row r="342" spans="1:18" s="463" customFormat="1" ht="15" x14ac:dyDescent="0.25">
      <c r="A342" s="1">
        <v>337</v>
      </c>
      <c r="B342" s="1" t="s">
        <v>745</v>
      </c>
      <c r="C342" s="32">
        <v>8327</v>
      </c>
      <c r="D342" s="32">
        <v>12000</v>
      </c>
      <c r="E342" s="1" t="s">
        <v>80</v>
      </c>
      <c r="F342" s="1">
        <v>133.41999999999999</v>
      </c>
      <c r="G342" s="1">
        <v>12000</v>
      </c>
      <c r="H342" s="1">
        <f t="shared" si="6"/>
        <v>0</v>
      </c>
      <c r="I342" s="89"/>
      <c r="J342" s="454"/>
      <c r="K342" s="454"/>
      <c r="L342" s="454"/>
      <c r="M342" s="455"/>
      <c r="N342" s="43"/>
      <c r="O342" s="388"/>
      <c r="P342" s="48"/>
      <c r="Q342" s="370"/>
      <c r="R342" s="48"/>
    </row>
    <row r="343" spans="1:18" s="463" customFormat="1" ht="15" x14ac:dyDescent="0.25">
      <c r="A343" s="1">
        <v>338</v>
      </c>
      <c r="B343" s="1" t="s">
        <v>745</v>
      </c>
      <c r="C343" s="32">
        <v>2263</v>
      </c>
      <c r="D343" s="32">
        <v>15000</v>
      </c>
      <c r="E343" s="1" t="s">
        <v>80</v>
      </c>
      <c r="F343" s="1">
        <v>167.15</v>
      </c>
      <c r="G343" s="1">
        <v>15000</v>
      </c>
      <c r="H343" s="1">
        <f t="shared" si="6"/>
        <v>0</v>
      </c>
      <c r="I343" s="89"/>
      <c r="J343" s="454"/>
      <c r="K343" s="454"/>
      <c r="L343" s="454"/>
      <c r="M343" s="455"/>
      <c r="N343" s="43"/>
      <c r="O343" s="388"/>
      <c r="P343" s="48"/>
      <c r="Q343" s="370"/>
      <c r="R343" s="48"/>
    </row>
    <row r="344" spans="1:18" s="463" customFormat="1" ht="15" x14ac:dyDescent="0.25">
      <c r="A344" s="1">
        <v>339</v>
      </c>
      <c r="B344" s="1" t="s">
        <v>745</v>
      </c>
      <c r="C344" s="32">
        <v>6.4699999999999994E-2</v>
      </c>
      <c r="D344" s="32">
        <v>13500</v>
      </c>
      <c r="E344" s="1" t="s">
        <v>80</v>
      </c>
      <c r="F344" s="1">
        <v>150.66999999999999</v>
      </c>
      <c r="G344" s="1">
        <v>13500</v>
      </c>
      <c r="H344" s="1">
        <f t="shared" si="6"/>
        <v>0</v>
      </c>
      <c r="I344" s="89"/>
      <c r="J344" s="454"/>
      <c r="K344" s="454"/>
      <c r="L344" s="454"/>
      <c r="M344" s="455"/>
      <c r="N344" s="43"/>
      <c r="O344" s="388"/>
      <c r="P344" s="48"/>
      <c r="Q344" s="370"/>
      <c r="R344" s="48"/>
    </row>
    <row r="345" spans="1:18" s="463" customFormat="1" ht="15" x14ac:dyDescent="0.25">
      <c r="A345" s="1">
        <v>340</v>
      </c>
      <c r="B345" s="1" t="s">
        <v>745</v>
      </c>
      <c r="C345" s="32">
        <v>1620</v>
      </c>
      <c r="D345" s="32">
        <v>12000</v>
      </c>
      <c r="E345" s="1" t="s">
        <v>80</v>
      </c>
      <c r="F345" s="1">
        <v>133.41999999999999</v>
      </c>
      <c r="G345" s="1">
        <v>12000</v>
      </c>
      <c r="H345" s="1">
        <f t="shared" si="6"/>
        <v>0</v>
      </c>
      <c r="I345" s="89"/>
      <c r="J345" s="454"/>
      <c r="K345" s="454"/>
      <c r="L345" s="454"/>
      <c r="M345" s="455"/>
      <c r="N345" s="43"/>
      <c r="O345" s="388"/>
      <c r="P345" s="48"/>
      <c r="Q345" s="370"/>
      <c r="R345" s="48"/>
    </row>
    <row r="346" spans="1:18" s="463" customFormat="1" ht="15" x14ac:dyDescent="0.25">
      <c r="A346" s="1">
        <v>341</v>
      </c>
      <c r="B346" s="1" t="s">
        <v>745</v>
      </c>
      <c r="C346" s="32">
        <v>6703</v>
      </c>
      <c r="D346" s="32">
        <v>21000</v>
      </c>
      <c r="E346" s="1" t="s">
        <v>80</v>
      </c>
      <c r="F346" s="1">
        <v>233.37</v>
      </c>
      <c r="G346" s="1">
        <v>21000</v>
      </c>
      <c r="H346" s="1">
        <f t="shared" si="6"/>
        <v>0</v>
      </c>
      <c r="I346" s="89"/>
      <c r="J346" s="454"/>
      <c r="K346" s="454"/>
      <c r="L346" s="454"/>
      <c r="M346" s="455"/>
      <c r="N346" s="43"/>
      <c r="O346" s="388"/>
      <c r="P346" s="48"/>
      <c r="Q346" s="370"/>
      <c r="R346" s="48"/>
    </row>
    <row r="347" spans="1:18" s="463" customFormat="1" ht="15" x14ac:dyDescent="0.25">
      <c r="A347" s="1">
        <v>342</v>
      </c>
      <c r="B347" s="1" t="s">
        <v>745</v>
      </c>
      <c r="C347" s="32">
        <v>5152</v>
      </c>
      <c r="D347" s="32">
        <v>14000</v>
      </c>
      <c r="E347" s="1" t="s">
        <v>80</v>
      </c>
      <c r="F347" s="1">
        <v>155.44999999999999</v>
      </c>
      <c r="G347" s="1">
        <v>14000</v>
      </c>
      <c r="H347" s="1">
        <f t="shared" si="6"/>
        <v>0</v>
      </c>
      <c r="I347" s="89"/>
      <c r="J347" s="454"/>
      <c r="K347" s="454"/>
      <c r="L347" s="454"/>
      <c r="M347" s="455"/>
      <c r="N347" s="43"/>
      <c r="O347" s="388"/>
      <c r="P347" s="48"/>
      <c r="Q347" s="370"/>
      <c r="R347" s="48"/>
    </row>
    <row r="348" spans="1:18" s="463" customFormat="1" ht="15" x14ac:dyDescent="0.25">
      <c r="A348" s="1">
        <v>343</v>
      </c>
      <c r="B348" s="1" t="s">
        <v>745</v>
      </c>
      <c r="C348" s="32">
        <v>9426</v>
      </c>
      <c r="D348" s="32">
        <v>20000</v>
      </c>
      <c r="E348" s="1" t="s">
        <v>80</v>
      </c>
      <c r="F348" s="1">
        <v>222.82</v>
      </c>
      <c r="G348" s="1">
        <v>20000</v>
      </c>
      <c r="H348" s="1">
        <f t="shared" si="6"/>
        <v>0</v>
      </c>
      <c r="I348" s="89"/>
      <c r="J348" s="454"/>
      <c r="K348" s="454"/>
      <c r="L348" s="454"/>
      <c r="M348" s="455"/>
      <c r="N348" s="43"/>
      <c r="O348" s="388"/>
      <c r="P348" s="48"/>
      <c r="Q348" s="370"/>
      <c r="R348" s="48"/>
    </row>
    <row r="349" spans="1:18" s="463" customFormat="1" ht="15" x14ac:dyDescent="0.25">
      <c r="A349" s="1">
        <v>344</v>
      </c>
      <c r="B349" s="1" t="s">
        <v>745</v>
      </c>
      <c r="C349" s="32">
        <v>1215</v>
      </c>
      <c r="D349" s="32">
        <v>17000</v>
      </c>
      <c r="E349" s="1" t="s">
        <v>80</v>
      </c>
      <c r="F349" s="1">
        <v>189.43</v>
      </c>
      <c r="G349" s="1">
        <v>17000</v>
      </c>
      <c r="H349" s="1">
        <f t="shared" si="6"/>
        <v>0</v>
      </c>
      <c r="I349" s="89"/>
      <c r="J349" s="454"/>
      <c r="K349" s="454"/>
      <c r="L349" s="454"/>
      <c r="M349" s="455"/>
      <c r="N349" s="43"/>
      <c r="O349" s="388"/>
      <c r="P349" s="48"/>
      <c r="Q349" s="370"/>
      <c r="R349" s="48"/>
    </row>
    <row r="350" spans="1:18" s="463" customFormat="1" ht="15" x14ac:dyDescent="0.25">
      <c r="A350" s="1">
        <v>345</v>
      </c>
      <c r="B350" s="1" t="s">
        <v>745</v>
      </c>
      <c r="C350" s="32">
        <v>6.3E-3</v>
      </c>
      <c r="D350" s="32">
        <v>14000</v>
      </c>
      <c r="E350" s="1" t="s">
        <v>80</v>
      </c>
      <c r="F350" s="1">
        <v>155.13999999999999</v>
      </c>
      <c r="G350" s="1">
        <v>14000</v>
      </c>
      <c r="H350" s="1">
        <f t="shared" si="6"/>
        <v>0</v>
      </c>
      <c r="I350" s="89"/>
      <c r="J350" s="454"/>
      <c r="K350" s="454"/>
      <c r="L350" s="454"/>
      <c r="M350" s="455"/>
      <c r="N350" s="43"/>
      <c r="O350" s="388"/>
      <c r="P350" s="48"/>
      <c r="Q350" s="370"/>
      <c r="R350" s="48"/>
    </row>
    <row r="351" spans="1:18" s="463" customFormat="1" ht="15" x14ac:dyDescent="0.25">
      <c r="A351" s="1">
        <v>346</v>
      </c>
      <c r="B351" s="1" t="s">
        <v>745</v>
      </c>
      <c r="C351" s="32">
        <v>9.4100000000000003E-2</v>
      </c>
      <c r="D351" s="32">
        <v>15000</v>
      </c>
      <c r="E351" s="1" t="s">
        <v>80</v>
      </c>
      <c r="F351" s="1">
        <v>167.15</v>
      </c>
      <c r="G351" s="1">
        <v>15000</v>
      </c>
      <c r="H351" s="1">
        <f t="shared" si="6"/>
        <v>0</v>
      </c>
      <c r="I351" s="89"/>
      <c r="J351" s="454"/>
      <c r="K351" s="454"/>
      <c r="L351" s="454"/>
      <c r="M351" s="455"/>
      <c r="N351" s="43"/>
      <c r="O351" s="388"/>
      <c r="P351" s="48"/>
      <c r="Q351" s="370"/>
      <c r="R351" s="48"/>
    </row>
    <row r="352" spans="1:18" s="463" customFormat="1" ht="15" x14ac:dyDescent="0.25">
      <c r="A352" s="1">
        <v>347</v>
      </c>
      <c r="B352" s="1" t="s">
        <v>745</v>
      </c>
      <c r="C352" s="32">
        <v>7562</v>
      </c>
      <c r="D352" s="32">
        <v>18000</v>
      </c>
      <c r="E352" s="1" t="s">
        <v>80</v>
      </c>
      <c r="F352" s="1">
        <v>200.82</v>
      </c>
      <c r="G352" s="1">
        <v>18000</v>
      </c>
      <c r="H352" s="1">
        <f t="shared" si="6"/>
        <v>0</v>
      </c>
      <c r="I352" s="89"/>
      <c r="J352" s="454"/>
      <c r="K352" s="454"/>
      <c r="L352" s="454"/>
      <c r="M352" s="455"/>
      <c r="N352" s="43"/>
      <c r="O352" s="388"/>
      <c r="P352" s="48"/>
      <c r="Q352" s="370"/>
      <c r="R352" s="48"/>
    </row>
    <row r="353" spans="1:18" s="463" customFormat="1" ht="15" x14ac:dyDescent="0.25">
      <c r="A353" s="1">
        <v>348</v>
      </c>
      <c r="B353" s="1" t="s">
        <v>745</v>
      </c>
      <c r="C353" s="32" t="s">
        <v>30</v>
      </c>
      <c r="D353" s="32">
        <v>5000</v>
      </c>
      <c r="E353" s="1" t="s">
        <v>80</v>
      </c>
      <c r="F353" s="1">
        <v>55.45</v>
      </c>
      <c r="G353" s="1">
        <v>5000</v>
      </c>
      <c r="H353" s="1">
        <f t="shared" si="6"/>
        <v>0</v>
      </c>
      <c r="I353" s="89"/>
      <c r="J353" s="454"/>
      <c r="K353" s="454"/>
      <c r="L353" s="454"/>
      <c r="M353" s="455"/>
      <c r="N353" s="43"/>
      <c r="O353" s="388"/>
      <c r="P353" s="48"/>
      <c r="Q353" s="370"/>
      <c r="R353" s="48"/>
    </row>
    <row r="354" spans="1:18" s="463" customFormat="1" ht="15" x14ac:dyDescent="0.25">
      <c r="A354" s="1">
        <v>349</v>
      </c>
      <c r="B354" s="1" t="s">
        <v>745</v>
      </c>
      <c r="C354" s="32">
        <v>7979</v>
      </c>
      <c r="D354" s="32">
        <v>23000</v>
      </c>
      <c r="E354" s="1" t="s">
        <v>80</v>
      </c>
      <c r="F354" s="1">
        <v>256.87</v>
      </c>
      <c r="G354" s="1">
        <v>23000</v>
      </c>
      <c r="H354" s="1">
        <f t="shared" si="6"/>
        <v>0</v>
      </c>
      <c r="I354" s="89"/>
      <c r="J354" s="454"/>
      <c r="K354" s="454"/>
      <c r="L354" s="454"/>
      <c r="M354" s="455"/>
      <c r="N354" s="43"/>
      <c r="O354" s="388"/>
      <c r="P354" s="48"/>
      <c r="Q354" s="370"/>
      <c r="R354" s="48"/>
    </row>
    <row r="355" spans="1:18" s="463" customFormat="1" ht="15" x14ac:dyDescent="0.25">
      <c r="A355" s="1">
        <v>350</v>
      </c>
      <c r="B355" s="1" t="s">
        <v>745</v>
      </c>
      <c r="C355" s="32">
        <v>5498</v>
      </c>
      <c r="D355" s="32">
        <v>24000</v>
      </c>
      <c r="E355" s="1" t="s">
        <v>80</v>
      </c>
      <c r="F355" s="1">
        <v>267.63</v>
      </c>
      <c r="G355" s="1">
        <v>24000</v>
      </c>
      <c r="H355" s="1">
        <f t="shared" si="6"/>
        <v>0</v>
      </c>
      <c r="I355" s="89"/>
      <c r="J355" s="454"/>
      <c r="K355" s="454"/>
      <c r="L355" s="454"/>
      <c r="M355" s="455"/>
      <c r="N355" s="43"/>
      <c r="O355" s="388"/>
      <c r="P355" s="48"/>
      <c r="Q355" s="370"/>
      <c r="R355" s="48"/>
    </row>
    <row r="356" spans="1:18" s="463" customFormat="1" ht="15" x14ac:dyDescent="0.25">
      <c r="A356" s="1">
        <v>351</v>
      </c>
      <c r="B356" s="1" t="s">
        <v>745</v>
      </c>
      <c r="C356" s="32">
        <v>7211</v>
      </c>
      <c r="D356" s="32">
        <v>30000</v>
      </c>
      <c r="E356" s="1" t="s">
        <v>80</v>
      </c>
      <c r="F356" s="1">
        <v>334.27</v>
      </c>
      <c r="G356" s="1">
        <v>30000</v>
      </c>
      <c r="H356" s="1">
        <f t="shared" si="6"/>
        <v>0</v>
      </c>
      <c r="I356" s="89"/>
      <c r="J356" s="454"/>
      <c r="K356" s="454"/>
      <c r="L356" s="454"/>
      <c r="M356" s="455"/>
      <c r="N356" s="43"/>
      <c r="O356" s="388"/>
      <c r="P356" s="48"/>
      <c r="Q356" s="370"/>
      <c r="R356" s="48"/>
    </row>
    <row r="357" spans="1:18" s="463" customFormat="1" ht="15" x14ac:dyDescent="0.25">
      <c r="A357" s="1">
        <v>352</v>
      </c>
      <c r="B357" s="1" t="s">
        <v>745</v>
      </c>
      <c r="C357" s="32">
        <v>5.1999999999999998E-3</v>
      </c>
      <c r="D357" s="32">
        <v>15000</v>
      </c>
      <c r="E357" s="1" t="s">
        <v>80</v>
      </c>
      <c r="F357" s="1">
        <v>167.15</v>
      </c>
      <c r="G357" s="1">
        <v>15000</v>
      </c>
      <c r="H357" s="1">
        <f t="shared" si="6"/>
        <v>0</v>
      </c>
      <c r="I357" s="89"/>
      <c r="J357" s="454"/>
      <c r="K357" s="454"/>
      <c r="L357" s="454"/>
      <c r="M357" s="455"/>
      <c r="N357" s="43"/>
      <c r="O357" s="388"/>
      <c r="P357" s="48"/>
      <c r="Q357" s="370"/>
      <c r="R357" s="48"/>
    </row>
    <row r="358" spans="1:18" s="463" customFormat="1" ht="15" x14ac:dyDescent="0.25">
      <c r="A358" s="1">
        <v>353</v>
      </c>
      <c r="B358" s="1" t="s">
        <v>745</v>
      </c>
      <c r="C358" s="32" t="s">
        <v>735</v>
      </c>
      <c r="D358" s="32">
        <v>3500</v>
      </c>
      <c r="E358" s="1" t="s">
        <v>80</v>
      </c>
      <c r="F358" s="1">
        <v>35.18</v>
      </c>
      <c r="G358" s="1">
        <v>3500</v>
      </c>
      <c r="H358" s="1">
        <f t="shared" si="6"/>
        <v>0</v>
      </c>
      <c r="I358" s="89"/>
      <c r="J358" s="454"/>
      <c r="K358" s="454"/>
      <c r="L358" s="454"/>
      <c r="M358" s="455"/>
      <c r="N358" s="43"/>
      <c r="O358" s="388"/>
      <c r="P358" s="48"/>
      <c r="Q358" s="370"/>
      <c r="R358" s="48"/>
    </row>
    <row r="359" spans="1:18" s="463" customFormat="1" ht="15" x14ac:dyDescent="0.25">
      <c r="A359" s="1">
        <v>354</v>
      </c>
      <c r="B359" s="1" t="s">
        <v>745</v>
      </c>
      <c r="C359" s="32">
        <v>1271</v>
      </c>
      <c r="D359" s="32">
        <v>24000</v>
      </c>
      <c r="E359" s="1" t="s">
        <v>80</v>
      </c>
      <c r="F359" s="1">
        <v>267.41000000000003</v>
      </c>
      <c r="G359" s="1">
        <v>24000</v>
      </c>
      <c r="H359" s="1">
        <f t="shared" si="6"/>
        <v>0</v>
      </c>
      <c r="I359" s="89"/>
      <c r="J359" s="454"/>
      <c r="K359" s="454"/>
      <c r="L359" s="454"/>
      <c r="M359" s="455"/>
      <c r="N359" s="43"/>
      <c r="O359" s="388"/>
      <c r="P359" s="48"/>
      <c r="Q359" s="370"/>
      <c r="R359" s="48"/>
    </row>
    <row r="360" spans="1:18" s="463" customFormat="1" ht="15" x14ac:dyDescent="0.25">
      <c r="A360" s="1">
        <v>355</v>
      </c>
      <c r="B360" s="1" t="s">
        <v>745</v>
      </c>
      <c r="C360" s="32">
        <v>9.5500000000000002E-2</v>
      </c>
      <c r="D360" s="32">
        <v>20000</v>
      </c>
      <c r="E360" s="1" t="s">
        <v>80</v>
      </c>
      <c r="F360" s="1">
        <v>222.82</v>
      </c>
      <c r="G360" s="1">
        <v>20000</v>
      </c>
      <c r="H360" s="1">
        <f t="shared" si="6"/>
        <v>0</v>
      </c>
      <c r="I360" s="89"/>
      <c r="J360" s="454"/>
      <c r="K360" s="454"/>
      <c r="L360" s="454"/>
      <c r="M360" s="455"/>
      <c r="N360" s="43"/>
      <c r="O360" s="388"/>
      <c r="P360" s="48"/>
      <c r="Q360" s="370"/>
      <c r="R360" s="48"/>
    </row>
    <row r="361" spans="1:18" s="463" customFormat="1" ht="15" x14ac:dyDescent="0.25">
      <c r="A361" s="1">
        <v>356</v>
      </c>
      <c r="B361" s="1" t="s">
        <v>745</v>
      </c>
      <c r="C361" s="32">
        <v>3955</v>
      </c>
      <c r="D361" s="32">
        <v>10000</v>
      </c>
      <c r="E361" s="1" t="s">
        <v>80</v>
      </c>
      <c r="F361" s="1">
        <v>111.41</v>
      </c>
      <c r="G361" s="1">
        <v>10000</v>
      </c>
      <c r="H361" s="1">
        <f t="shared" si="6"/>
        <v>0</v>
      </c>
      <c r="I361" s="89"/>
      <c r="J361" s="454"/>
      <c r="K361" s="454"/>
      <c r="L361" s="454"/>
      <c r="M361" s="455"/>
      <c r="N361" s="43"/>
      <c r="O361" s="388"/>
      <c r="P361" s="48"/>
      <c r="Q361" s="370"/>
      <c r="R361" s="48"/>
    </row>
    <row r="362" spans="1:18" s="463" customFormat="1" ht="15" x14ac:dyDescent="0.25">
      <c r="A362" s="1">
        <v>357</v>
      </c>
      <c r="B362" s="1" t="s">
        <v>745</v>
      </c>
      <c r="C362" s="32">
        <v>2939</v>
      </c>
      <c r="D362" s="32">
        <v>30000</v>
      </c>
      <c r="E362" s="1" t="s">
        <v>80</v>
      </c>
      <c r="F362" s="1">
        <v>334.82</v>
      </c>
      <c r="G362" s="1">
        <v>30000</v>
      </c>
      <c r="H362" s="1">
        <f t="shared" si="6"/>
        <v>0</v>
      </c>
      <c r="I362" s="89"/>
      <c r="J362" s="454"/>
      <c r="K362" s="454"/>
      <c r="L362" s="454"/>
      <c r="M362" s="455"/>
      <c r="N362" s="43"/>
      <c r="O362" s="388"/>
      <c r="P362" s="48"/>
      <c r="Q362" s="370"/>
      <c r="R362" s="48"/>
    </row>
    <row r="363" spans="1:18" s="463" customFormat="1" ht="15" x14ac:dyDescent="0.25">
      <c r="A363" s="1">
        <v>358</v>
      </c>
      <c r="B363" s="1" t="s">
        <v>745</v>
      </c>
      <c r="C363" s="32">
        <v>9.4999999999999998E-3</v>
      </c>
      <c r="D363" s="32">
        <v>20000</v>
      </c>
      <c r="E363" s="1" t="s">
        <v>80</v>
      </c>
      <c r="F363" s="1">
        <v>222.82</v>
      </c>
      <c r="G363" s="1">
        <v>20000</v>
      </c>
      <c r="H363" s="1">
        <f t="shared" si="6"/>
        <v>0</v>
      </c>
      <c r="I363" s="89"/>
      <c r="J363" s="454"/>
      <c r="K363" s="454"/>
      <c r="L363" s="454"/>
      <c r="M363" s="455"/>
      <c r="N363" s="43"/>
      <c r="O363" s="388"/>
      <c r="P363" s="48"/>
      <c r="Q363" s="370"/>
      <c r="R363" s="48"/>
    </row>
    <row r="364" spans="1:18" s="463" customFormat="1" ht="15" x14ac:dyDescent="0.25">
      <c r="A364" s="1">
        <v>359</v>
      </c>
      <c r="B364" s="1" t="s">
        <v>745</v>
      </c>
      <c r="C364" s="32">
        <v>2011</v>
      </c>
      <c r="D364" s="32">
        <v>24000</v>
      </c>
      <c r="E364" s="1" t="s">
        <v>80</v>
      </c>
      <c r="F364" s="1">
        <v>267.45</v>
      </c>
      <c r="G364" s="1">
        <v>24000</v>
      </c>
      <c r="H364" s="1">
        <f t="shared" si="6"/>
        <v>0</v>
      </c>
      <c r="I364" s="89"/>
      <c r="J364" s="454"/>
      <c r="K364" s="454"/>
      <c r="L364" s="454"/>
      <c r="M364" s="455"/>
      <c r="N364" s="43"/>
      <c r="O364" s="388"/>
      <c r="P364" s="48"/>
      <c r="Q364" s="370"/>
      <c r="R364" s="48"/>
    </row>
    <row r="365" spans="1:18" s="463" customFormat="1" ht="15" x14ac:dyDescent="0.25">
      <c r="A365" s="1">
        <v>360</v>
      </c>
      <c r="B365" s="1" t="s">
        <v>745</v>
      </c>
      <c r="C365" s="32">
        <v>2753</v>
      </c>
      <c r="D365" s="32">
        <v>29500</v>
      </c>
      <c r="E365" s="1" t="s">
        <v>80</v>
      </c>
      <c r="F365" s="1">
        <v>328.61</v>
      </c>
      <c r="G365" s="1">
        <v>29500</v>
      </c>
      <c r="H365" s="1">
        <f t="shared" si="6"/>
        <v>0</v>
      </c>
      <c r="I365" s="89"/>
      <c r="J365" s="454"/>
      <c r="K365" s="454"/>
      <c r="L365" s="454"/>
      <c r="M365" s="455"/>
      <c r="N365" s="43"/>
      <c r="O365" s="388"/>
      <c r="P365" s="48"/>
      <c r="Q365" s="370"/>
      <c r="R365" s="48"/>
    </row>
    <row r="366" spans="1:18" s="463" customFormat="1" ht="15" x14ac:dyDescent="0.25">
      <c r="A366" s="1">
        <v>361</v>
      </c>
      <c r="B366" s="1" t="s">
        <v>745</v>
      </c>
      <c r="C366" s="32">
        <v>1659</v>
      </c>
      <c r="D366" s="32">
        <v>20000</v>
      </c>
      <c r="E366" s="1" t="s">
        <v>80</v>
      </c>
      <c r="F366" s="1">
        <v>222.82</v>
      </c>
      <c r="G366" s="1">
        <v>20000</v>
      </c>
      <c r="H366" s="1">
        <f t="shared" si="6"/>
        <v>0</v>
      </c>
      <c r="I366" s="89"/>
      <c r="J366" s="454"/>
      <c r="K366" s="454"/>
      <c r="L366" s="454"/>
      <c r="M366" s="455"/>
      <c r="N366" s="43"/>
      <c r="O366" s="388"/>
      <c r="P366" s="48"/>
      <c r="Q366" s="370"/>
      <c r="R366" s="48"/>
    </row>
    <row r="367" spans="1:18" s="463" customFormat="1" ht="15" x14ac:dyDescent="0.25">
      <c r="A367" s="1">
        <v>362</v>
      </c>
      <c r="B367" s="1" t="s">
        <v>745</v>
      </c>
      <c r="C367" s="32">
        <v>9531</v>
      </c>
      <c r="D367" s="32">
        <v>10000</v>
      </c>
      <c r="E367" s="1" t="s">
        <v>80</v>
      </c>
      <c r="F367" s="1">
        <v>111.41</v>
      </c>
      <c r="G367" s="1">
        <v>10000</v>
      </c>
      <c r="H367" s="1">
        <f t="shared" si="6"/>
        <v>0</v>
      </c>
      <c r="I367" s="89"/>
      <c r="J367" s="454"/>
      <c r="K367" s="454"/>
      <c r="L367" s="454"/>
      <c r="M367" s="455"/>
      <c r="N367" s="43"/>
      <c r="O367" s="388"/>
      <c r="P367" s="48"/>
      <c r="Q367" s="370"/>
      <c r="R367" s="48"/>
    </row>
    <row r="368" spans="1:18" s="463" customFormat="1" ht="15" x14ac:dyDescent="0.25">
      <c r="A368" s="1">
        <v>364</v>
      </c>
      <c r="B368" s="1" t="s">
        <v>745</v>
      </c>
      <c r="C368" s="32">
        <v>6535</v>
      </c>
      <c r="D368" s="32">
        <v>20000</v>
      </c>
      <c r="E368" s="1" t="s">
        <v>80</v>
      </c>
      <c r="F368" s="1">
        <v>222.82</v>
      </c>
      <c r="G368" s="1">
        <v>20000</v>
      </c>
      <c r="H368" s="1">
        <f t="shared" si="6"/>
        <v>0</v>
      </c>
      <c r="I368" s="89"/>
      <c r="J368" s="454"/>
      <c r="K368" s="454"/>
      <c r="L368" s="454"/>
      <c r="M368" s="455"/>
      <c r="N368" s="43"/>
      <c r="O368" s="388"/>
      <c r="P368" s="48"/>
      <c r="Q368" s="370"/>
      <c r="R368" s="48"/>
    </row>
    <row r="369" spans="1:18" s="463" customFormat="1" ht="15" x14ac:dyDescent="0.25">
      <c r="A369" s="1">
        <v>365</v>
      </c>
      <c r="B369" s="1" t="s">
        <v>745</v>
      </c>
      <c r="C369" s="32">
        <v>5156</v>
      </c>
      <c r="D369" s="32">
        <v>14000</v>
      </c>
      <c r="E369" s="1" t="s">
        <v>80</v>
      </c>
      <c r="F369" s="1">
        <v>155.15</v>
      </c>
      <c r="G369" s="1">
        <v>14000</v>
      </c>
      <c r="H369" s="1">
        <f t="shared" si="6"/>
        <v>0</v>
      </c>
      <c r="I369" s="89"/>
      <c r="J369" s="454"/>
      <c r="K369" s="454"/>
      <c r="L369" s="454"/>
      <c r="M369" s="455"/>
      <c r="N369" s="43"/>
      <c r="O369" s="388"/>
      <c r="P369" s="48"/>
      <c r="Q369" s="370"/>
      <c r="R369" s="48"/>
    </row>
    <row r="370" spans="1:18" s="463" customFormat="1" ht="15" x14ac:dyDescent="0.25">
      <c r="A370" s="1">
        <v>366</v>
      </c>
      <c r="B370" s="1" t="s">
        <v>745</v>
      </c>
      <c r="C370" s="32">
        <v>7117</v>
      </c>
      <c r="D370" s="32">
        <v>20000</v>
      </c>
      <c r="E370" s="1" t="s">
        <v>80</v>
      </c>
      <c r="F370" s="1">
        <v>222.82</v>
      </c>
      <c r="G370" s="1">
        <v>20000</v>
      </c>
      <c r="H370" s="1">
        <f t="shared" si="6"/>
        <v>0</v>
      </c>
      <c r="I370" s="89"/>
      <c r="J370" s="454"/>
      <c r="K370" s="454"/>
      <c r="L370" s="454"/>
      <c r="M370" s="455"/>
      <c r="N370" s="43"/>
      <c r="O370" s="388"/>
      <c r="P370" s="48"/>
      <c r="Q370" s="370"/>
      <c r="R370" s="48"/>
    </row>
    <row r="371" spans="1:18" s="463" customFormat="1" ht="15.75" thickBot="1" x14ac:dyDescent="0.3">
      <c r="A371" s="1">
        <v>367</v>
      </c>
      <c r="B371" s="1" t="s">
        <v>745</v>
      </c>
      <c r="C371" s="32">
        <v>4257</v>
      </c>
      <c r="D371" s="32">
        <v>20000</v>
      </c>
      <c r="E371" s="1" t="s">
        <v>80</v>
      </c>
      <c r="F371" s="1">
        <v>222.82</v>
      </c>
      <c r="G371" s="1">
        <v>20000</v>
      </c>
      <c r="H371" s="1">
        <f t="shared" si="6"/>
        <v>0</v>
      </c>
      <c r="I371" s="89"/>
      <c r="J371" s="454"/>
      <c r="K371" s="454"/>
      <c r="L371" s="454"/>
      <c r="M371" s="455"/>
      <c r="N371" s="43"/>
      <c r="O371" s="388"/>
      <c r="P371" s="48"/>
      <c r="Q371" s="370"/>
      <c r="R371" s="48"/>
    </row>
    <row r="372" spans="1:18" s="463" customFormat="1" ht="15.75" thickBot="1" x14ac:dyDescent="0.3">
      <c r="A372" s="1">
        <v>368</v>
      </c>
      <c r="B372" s="1" t="s">
        <v>745</v>
      </c>
      <c r="C372" s="32">
        <v>4329</v>
      </c>
      <c r="D372" s="32">
        <v>38000</v>
      </c>
      <c r="E372" s="1" t="s">
        <v>80</v>
      </c>
      <c r="F372" s="1">
        <v>423.57</v>
      </c>
      <c r="G372" s="1">
        <v>38000</v>
      </c>
      <c r="H372" s="1">
        <f t="shared" si="6"/>
        <v>0</v>
      </c>
      <c r="I372" s="89"/>
      <c r="J372" s="454"/>
      <c r="K372" s="454"/>
      <c r="L372" s="454"/>
      <c r="M372" s="455"/>
      <c r="N372" s="43"/>
      <c r="O372" s="103">
        <f>2586512-2558420</f>
        <v>28092</v>
      </c>
      <c r="P372" s="359" t="s">
        <v>739</v>
      </c>
      <c r="Q372" s="367" t="s">
        <v>620</v>
      </c>
      <c r="R372" s="360">
        <f>28091-7600</f>
        <v>20491</v>
      </c>
    </row>
    <row r="373" spans="1:18" s="464" customFormat="1" ht="15" x14ac:dyDescent="0.25">
      <c r="A373" s="1">
        <v>369</v>
      </c>
      <c r="B373" s="1" t="s">
        <v>746</v>
      </c>
      <c r="C373" s="32" t="s">
        <v>633</v>
      </c>
      <c r="D373" s="32">
        <v>210</v>
      </c>
      <c r="E373" s="1" t="s">
        <v>80</v>
      </c>
      <c r="F373" s="1">
        <v>2.08</v>
      </c>
      <c r="G373" s="1">
        <v>210</v>
      </c>
      <c r="H373" s="1">
        <f t="shared" si="6"/>
        <v>0</v>
      </c>
      <c r="I373" s="89"/>
      <c r="J373" s="454"/>
      <c r="K373" s="454"/>
      <c r="L373" s="454"/>
      <c r="M373" s="455"/>
      <c r="N373" s="43"/>
      <c r="O373" s="388"/>
      <c r="P373" s="48"/>
      <c r="Q373" s="370"/>
      <c r="R373" s="48"/>
    </row>
    <row r="374" spans="1:18" s="464" customFormat="1" ht="15" x14ac:dyDescent="0.25">
      <c r="A374" s="1">
        <v>370</v>
      </c>
      <c r="B374" s="1" t="s">
        <v>746</v>
      </c>
      <c r="C374" s="32">
        <v>1547</v>
      </c>
      <c r="D374" s="32">
        <v>17000</v>
      </c>
      <c r="E374" s="1" t="s">
        <v>80</v>
      </c>
      <c r="F374" s="1">
        <v>189.57</v>
      </c>
      <c r="G374" s="1">
        <v>17000</v>
      </c>
      <c r="H374" s="1">
        <f t="shared" si="6"/>
        <v>0</v>
      </c>
      <c r="I374" s="89"/>
      <c r="J374" s="454"/>
      <c r="K374" s="454"/>
      <c r="L374" s="454"/>
      <c r="M374" s="455"/>
      <c r="N374" s="43"/>
      <c r="O374" s="388"/>
      <c r="P374" s="48"/>
      <c r="Q374" s="370"/>
      <c r="R374" s="48"/>
    </row>
    <row r="375" spans="1:18" s="464" customFormat="1" ht="15" x14ac:dyDescent="0.25">
      <c r="A375" s="1">
        <v>371</v>
      </c>
      <c r="B375" s="1" t="s">
        <v>746</v>
      </c>
      <c r="C375" s="32">
        <v>1886</v>
      </c>
      <c r="D375" s="32">
        <v>19000</v>
      </c>
      <c r="E375" s="1" t="s">
        <v>80</v>
      </c>
      <c r="F375" s="1">
        <v>211.85</v>
      </c>
      <c r="G375" s="1">
        <v>19000</v>
      </c>
      <c r="H375" s="1">
        <f t="shared" si="6"/>
        <v>0</v>
      </c>
      <c r="I375" s="89"/>
      <c r="J375" s="454"/>
      <c r="K375" s="454"/>
      <c r="L375" s="454"/>
      <c r="M375" s="455"/>
      <c r="N375" s="43"/>
      <c r="O375" s="388"/>
      <c r="P375" s="48"/>
      <c r="Q375" s="370"/>
      <c r="R375" s="48"/>
    </row>
    <row r="376" spans="1:18" s="464" customFormat="1" ht="15" x14ac:dyDescent="0.25">
      <c r="A376" s="1">
        <v>372</v>
      </c>
      <c r="B376" s="1" t="s">
        <v>746</v>
      </c>
      <c r="C376" s="32">
        <v>1965</v>
      </c>
      <c r="D376" s="32">
        <v>20000</v>
      </c>
      <c r="E376" s="1" t="s">
        <v>80</v>
      </c>
      <c r="F376" s="1">
        <v>111.42</v>
      </c>
      <c r="G376" s="1">
        <v>20000</v>
      </c>
      <c r="H376" s="1">
        <f t="shared" si="6"/>
        <v>0</v>
      </c>
      <c r="I376" s="89"/>
      <c r="J376" s="454"/>
      <c r="K376" s="454"/>
      <c r="L376" s="454"/>
      <c r="M376" s="455"/>
      <c r="N376" s="43"/>
      <c r="O376" s="388"/>
      <c r="P376" s="48"/>
      <c r="Q376" s="370"/>
      <c r="R376" s="48"/>
    </row>
    <row r="377" spans="1:18" s="464" customFormat="1" ht="15" x14ac:dyDescent="0.25">
      <c r="A377" s="1">
        <v>373</v>
      </c>
      <c r="B377" s="1" t="s">
        <v>746</v>
      </c>
      <c r="C377" s="32">
        <v>4566</v>
      </c>
      <c r="D377" s="32">
        <v>19000</v>
      </c>
      <c r="E377" s="1" t="s">
        <v>80</v>
      </c>
      <c r="F377" s="1">
        <v>211.85</v>
      </c>
      <c r="G377" s="1">
        <v>19000</v>
      </c>
      <c r="H377" s="1">
        <f t="shared" si="6"/>
        <v>0</v>
      </c>
      <c r="I377" s="89"/>
      <c r="J377" s="454"/>
      <c r="K377" s="454"/>
      <c r="L377" s="454"/>
      <c r="M377" s="455"/>
      <c r="N377" s="43"/>
      <c r="O377" s="388"/>
      <c r="P377" s="48"/>
      <c r="Q377" s="370"/>
      <c r="R377" s="48"/>
    </row>
    <row r="378" spans="1:18" s="464" customFormat="1" ht="15" x14ac:dyDescent="0.25">
      <c r="A378" s="1">
        <v>374</v>
      </c>
      <c r="B378" s="1" t="s">
        <v>746</v>
      </c>
      <c r="C378" s="32" t="s">
        <v>30</v>
      </c>
      <c r="D378" s="32">
        <v>4500</v>
      </c>
      <c r="E378" s="1" t="s">
        <v>80</v>
      </c>
      <c r="F378" s="1">
        <v>50.45</v>
      </c>
      <c r="G378" s="1">
        <v>4500</v>
      </c>
      <c r="H378" s="1">
        <f t="shared" si="6"/>
        <v>0</v>
      </c>
      <c r="I378" s="89"/>
      <c r="J378" s="454"/>
      <c r="K378" s="454"/>
      <c r="L378" s="454"/>
      <c r="M378" s="455"/>
      <c r="N378" s="43"/>
      <c r="O378" s="388"/>
      <c r="P378" s="48"/>
      <c r="Q378" s="370"/>
      <c r="R378" s="48"/>
    </row>
    <row r="379" spans="1:18" s="464" customFormat="1" ht="15" x14ac:dyDescent="0.25">
      <c r="A379" s="1">
        <v>375</v>
      </c>
      <c r="B379" s="1" t="s">
        <v>746</v>
      </c>
      <c r="C379" s="32">
        <v>8405</v>
      </c>
      <c r="D379" s="32">
        <v>20000</v>
      </c>
      <c r="E379" s="1" t="s">
        <v>80</v>
      </c>
      <c r="F379" s="1">
        <v>222.82</v>
      </c>
      <c r="G379" s="1">
        <v>20000</v>
      </c>
      <c r="H379" s="1">
        <f t="shared" si="6"/>
        <v>0</v>
      </c>
      <c r="I379" s="89"/>
      <c r="J379" s="454"/>
      <c r="K379" s="454"/>
      <c r="L379" s="454"/>
      <c r="M379" s="455"/>
      <c r="N379" s="43"/>
      <c r="O379" s="388"/>
      <c r="P379" s="48"/>
      <c r="Q379" s="370"/>
      <c r="R379" s="48"/>
    </row>
    <row r="380" spans="1:18" s="464" customFormat="1" ht="15" x14ac:dyDescent="0.25">
      <c r="A380" s="1">
        <v>376</v>
      </c>
      <c r="B380" s="1" t="s">
        <v>746</v>
      </c>
      <c r="C380" s="32" t="s">
        <v>30</v>
      </c>
      <c r="D380" s="32">
        <v>5000</v>
      </c>
      <c r="E380" s="1" t="s">
        <v>80</v>
      </c>
      <c r="F380" s="1">
        <v>55.35</v>
      </c>
      <c r="G380" s="1">
        <v>5000</v>
      </c>
      <c r="H380" s="1">
        <f t="shared" si="6"/>
        <v>0</v>
      </c>
      <c r="I380" s="89"/>
      <c r="J380" s="454"/>
      <c r="K380" s="454"/>
      <c r="L380" s="454"/>
      <c r="M380" s="455"/>
      <c r="N380" s="43"/>
      <c r="O380" s="388"/>
      <c r="P380" s="48"/>
      <c r="Q380" s="370"/>
      <c r="R380" s="48"/>
    </row>
    <row r="381" spans="1:18" s="464" customFormat="1" ht="15" x14ac:dyDescent="0.25">
      <c r="A381" s="1">
        <v>377</v>
      </c>
      <c r="B381" s="1" t="s">
        <v>746</v>
      </c>
      <c r="C381" s="32">
        <v>8311</v>
      </c>
      <c r="D381" s="32">
        <v>25000</v>
      </c>
      <c r="E381" s="1" t="s">
        <v>80</v>
      </c>
      <c r="F381" s="1">
        <v>278.22000000000003</v>
      </c>
      <c r="G381" s="1">
        <v>25000</v>
      </c>
      <c r="H381" s="1">
        <f t="shared" si="6"/>
        <v>0</v>
      </c>
      <c r="I381" s="89"/>
      <c r="J381" s="454"/>
      <c r="K381" s="454"/>
      <c r="L381" s="454"/>
      <c r="M381" s="455"/>
      <c r="N381" s="43"/>
      <c r="O381" s="388"/>
      <c r="P381" s="48"/>
      <c r="Q381" s="370"/>
      <c r="R381" s="48"/>
    </row>
    <row r="382" spans="1:18" s="464" customFormat="1" ht="15" x14ac:dyDescent="0.25">
      <c r="A382" s="1">
        <v>378</v>
      </c>
      <c r="B382" s="1" t="s">
        <v>746</v>
      </c>
      <c r="C382" s="32">
        <v>6735</v>
      </c>
      <c r="D382" s="32">
        <v>16000</v>
      </c>
      <c r="E382" s="1" t="s">
        <v>80</v>
      </c>
      <c r="F382" s="1">
        <v>178.22</v>
      </c>
      <c r="G382" s="1">
        <v>16000</v>
      </c>
      <c r="H382" s="1">
        <f t="shared" si="6"/>
        <v>0</v>
      </c>
      <c r="I382" s="89"/>
      <c r="J382" s="454"/>
      <c r="K382" s="454"/>
      <c r="L382" s="454"/>
      <c r="M382" s="455"/>
      <c r="N382" s="43"/>
      <c r="O382" s="388"/>
      <c r="P382" s="48"/>
      <c r="Q382" s="370"/>
      <c r="R382" s="48"/>
    </row>
    <row r="383" spans="1:18" s="464" customFormat="1" ht="15" x14ac:dyDescent="0.25">
      <c r="A383" s="1">
        <v>379</v>
      </c>
      <c r="B383" s="1" t="s">
        <v>746</v>
      </c>
      <c r="C383" s="32">
        <v>2085</v>
      </c>
      <c r="D383" s="32">
        <v>21000</v>
      </c>
      <c r="E383" s="1" t="s">
        <v>80</v>
      </c>
      <c r="F383" s="1">
        <v>230.41</v>
      </c>
      <c r="G383" s="1">
        <v>21000</v>
      </c>
      <c r="H383" s="1">
        <f t="shared" si="6"/>
        <v>0</v>
      </c>
      <c r="I383" s="89"/>
      <c r="J383" s="454"/>
      <c r="K383" s="454"/>
      <c r="L383" s="454"/>
      <c r="M383" s="455"/>
      <c r="N383" s="43"/>
      <c r="O383" s="388"/>
      <c r="P383" s="48"/>
      <c r="Q383" s="370"/>
      <c r="R383" s="48"/>
    </row>
    <row r="384" spans="1:18" s="464" customFormat="1" ht="15" x14ac:dyDescent="0.25">
      <c r="A384" s="1">
        <v>380</v>
      </c>
      <c r="B384" s="1" t="s">
        <v>746</v>
      </c>
      <c r="C384" s="32">
        <v>3408</v>
      </c>
      <c r="D384" s="32">
        <v>27500</v>
      </c>
      <c r="E384" s="1" t="s">
        <v>80</v>
      </c>
      <c r="F384" s="1">
        <v>306.67</v>
      </c>
      <c r="G384" s="1">
        <v>27500</v>
      </c>
      <c r="H384" s="1">
        <f t="shared" si="6"/>
        <v>0</v>
      </c>
      <c r="I384" s="89"/>
      <c r="J384" s="454"/>
      <c r="K384" s="454"/>
      <c r="L384" s="454"/>
      <c r="M384" s="455"/>
      <c r="N384" s="43"/>
      <c r="O384" s="388"/>
      <c r="P384" s="48"/>
      <c r="Q384" s="370"/>
      <c r="R384" s="48"/>
    </row>
    <row r="385" spans="1:18" s="464" customFormat="1" ht="15" x14ac:dyDescent="0.25">
      <c r="A385" s="1">
        <v>381</v>
      </c>
      <c r="B385" s="1" t="s">
        <v>746</v>
      </c>
      <c r="C385" s="32">
        <v>9.74E-2</v>
      </c>
      <c r="D385" s="32">
        <v>15000</v>
      </c>
      <c r="E385" s="1" t="s">
        <v>80</v>
      </c>
      <c r="F385" s="1">
        <v>167.15</v>
      </c>
      <c r="G385" s="1">
        <v>15000</v>
      </c>
      <c r="H385" s="1">
        <f t="shared" si="6"/>
        <v>0</v>
      </c>
      <c r="I385" s="89"/>
      <c r="J385" s="454"/>
      <c r="K385" s="454"/>
      <c r="L385" s="454"/>
      <c r="M385" s="455"/>
      <c r="N385" s="43"/>
      <c r="O385" s="388"/>
      <c r="P385" s="48"/>
      <c r="Q385" s="370"/>
      <c r="R385" s="48"/>
    </row>
    <row r="386" spans="1:18" s="464" customFormat="1" ht="15" x14ac:dyDescent="0.25">
      <c r="A386" s="1">
        <v>382</v>
      </c>
      <c r="B386" s="1" t="s">
        <v>746</v>
      </c>
      <c r="C386" s="32">
        <v>5.21E-2</v>
      </c>
      <c r="D386" s="32">
        <v>32500</v>
      </c>
      <c r="E386" s="1" t="s">
        <v>80</v>
      </c>
      <c r="F386" s="1">
        <v>362.85</v>
      </c>
      <c r="G386" s="1">
        <v>32500</v>
      </c>
      <c r="H386" s="1">
        <f t="shared" si="6"/>
        <v>0</v>
      </c>
      <c r="I386" s="89"/>
      <c r="J386" s="454"/>
      <c r="K386" s="454"/>
      <c r="L386" s="454"/>
      <c r="M386" s="455"/>
      <c r="N386" s="43"/>
      <c r="O386" s="388"/>
      <c r="P386" s="48"/>
      <c r="Q386" s="370"/>
      <c r="R386" s="48"/>
    </row>
    <row r="387" spans="1:18" s="464" customFormat="1" ht="15" x14ac:dyDescent="0.25">
      <c r="A387" s="1">
        <v>383</v>
      </c>
      <c r="B387" s="1" t="s">
        <v>746</v>
      </c>
      <c r="C387" s="32">
        <v>5151</v>
      </c>
      <c r="D387" s="32">
        <v>16000</v>
      </c>
      <c r="E387" s="1" t="s">
        <v>80</v>
      </c>
      <c r="F387" s="1">
        <v>178.22</v>
      </c>
      <c r="G387" s="1">
        <v>16000</v>
      </c>
      <c r="H387" s="1">
        <f t="shared" si="6"/>
        <v>0</v>
      </c>
      <c r="I387" s="89"/>
      <c r="J387" s="454"/>
      <c r="K387" s="454"/>
      <c r="L387" s="454"/>
      <c r="M387" s="455"/>
      <c r="N387" s="43"/>
      <c r="O387" s="388"/>
      <c r="P387" s="48"/>
      <c r="Q387" s="370"/>
      <c r="R387" s="48"/>
    </row>
    <row r="388" spans="1:18" s="464" customFormat="1" ht="15" x14ac:dyDescent="0.25">
      <c r="A388" s="1">
        <v>384</v>
      </c>
      <c r="B388" s="1" t="s">
        <v>746</v>
      </c>
      <c r="C388" s="32">
        <v>5.1000000000000004E-3</v>
      </c>
      <c r="D388" s="32">
        <v>15000</v>
      </c>
      <c r="E388" s="1" t="s">
        <v>80</v>
      </c>
      <c r="F388" s="1">
        <v>167.15</v>
      </c>
      <c r="G388" s="1">
        <v>15000</v>
      </c>
      <c r="H388" s="1">
        <f t="shared" si="6"/>
        <v>0</v>
      </c>
      <c r="I388" s="89"/>
      <c r="J388" s="454"/>
      <c r="K388" s="454"/>
      <c r="L388" s="454"/>
      <c r="M388" s="455"/>
      <c r="N388" s="43"/>
      <c r="O388" s="388"/>
      <c r="P388" s="48"/>
      <c r="Q388" s="370"/>
      <c r="R388" s="48"/>
    </row>
    <row r="389" spans="1:18" s="464" customFormat="1" ht="15" x14ac:dyDescent="0.25">
      <c r="A389" s="1">
        <v>385</v>
      </c>
      <c r="B389" s="1" t="s">
        <v>746</v>
      </c>
      <c r="C389" s="32">
        <v>5715</v>
      </c>
      <c r="D389" s="32">
        <v>17000</v>
      </c>
      <c r="E389" s="1" t="s">
        <v>80</v>
      </c>
      <c r="F389" s="1">
        <v>189.57</v>
      </c>
      <c r="G389" s="1">
        <v>17000</v>
      </c>
      <c r="H389" s="1">
        <f t="shared" si="6"/>
        <v>0</v>
      </c>
      <c r="I389" s="89"/>
      <c r="J389" s="454"/>
      <c r="K389" s="454"/>
      <c r="L389" s="454"/>
      <c r="M389" s="455"/>
      <c r="N389" s="43"/>
      <c r="O389" s="388"/>
      <c r="P389" s="48"/>
      <c r="Q389" s="370"/>
      <c r="R389" s="48"/>
    </row>
    <row r="390" spans="1:18" s="464" customFormat="1" ht="15" x14ac:dyDescent="0.25">
      <c r="A390" s="1">
        <v>386</v>
      </c>
      <c r="B390" s="1" t="s">
        <v>746</v>
      </c>
      <c r="C390" s="32">
        <v>2.0299999999999999E-2</v>
      </c>
      <c r="D390" s="32">
        <v>22000</v>
      </c>
      <c r="E390" s="1" t="s">
        <v>80</v>
      </c>
      <c r="F390" s="1">
        <v>245.22</v>
      </c>
      <c r="G390" s="1">
        <v>22000</v>
      </c>
      <c r="H390" s="1">
        <f t="shared" si="6"/>
        <v>0</v>
      </c>
      <c r="I390" s="89"/>
      <c r="J390" s="454"/>
      <c r="K390" s="454"/>
      <c r="L390" s="454"/>
      <c r="M390" s="455"/>
      <c r="N390" s="43"/>
      <c r="O390" s="388"/>
      <c r="P390" s="48"/>
      <c r="Q390" s="370"/>
      <c r="R390" s="48"/>
    </row>
    <row r="391" spans="1:18" s="464" customFormat="1" ht="15" x14ac:dyDescent="0.25">
      <c r="A391" s="1">
        <v>387</v>
      </c>
      <c r="B391" s="1" t="s">
        <v>746</v>
      </c>
      <c r="C391" s="32">
        <v>4608</v>
      </c>
      <c r="D391" s="32">
        <v>20000</v>
      </c>
      <c r="E391" s="1" t="s">
        <v>80</v>
      </c>
      <c r="F391" s="1">
        <v>222.82</v>
      </c>
      <c r="G391" s="1">
        <v>20000</v>
      </c>
      <c r="H391" s="1">
        <f t="shared" si="6"/>
        <v>0</v>
      </c>
      <c r="I391" s="89"/>
      <c r="J391" s="454"/>
      <c r="K391" s="454"/>
      <c r="L391" s="454"/>
      <c r="M391" s="455"/>
      <c r="N391" s="43"/>
      <c r="O391" s="388"/>
      <c r="P391" s="48"/>
      <c r="Q391" s="370"/>
      <c r="R391" s="48"/>
    </row>
    <row r="392" spans="1:18" s="464" customFormat="1" ht="15" x14ac:dyDescent="0.25">
      <c r="A392" s="1">
        <v>388</v>
      </c>
      <c r="B392" s="1" t="s">
        <v>746</v>
      </c>
      <c r="C392" s="32">
        <v>7258</v>
      </c>
      <c r="D392" s="32">
        <v>28000</v>
      </c>
      <c r="E392" s="1" t="s">
        <v>80</v>
      </c>
      <c r="F392" s="1">
        <v>311.67</v>
      </c>
      <c r="G392" s="1">
        <v>28000</v>
      </c>
      <c r="H392" s="1">
        <f t="shared" si="6"/>
        <v>0</v>
      </c>
      <c r="I392" s="89"/>
      <c r="J392" s="454"/>
      <c r="K392" s="454"/>
      <c r="L392" s="454"/>
      <c r="M392" s="455"/>
      <c r="N392" s="43"/>
      <c r="O392" s="388"/>
      <c r="P392" s="48"/>
      <c r="Q392" s="370"/>
      <c r="R392" s="48"/>
    </row>
    <row r="393" spans="1:18" s="464" customFormat="1" ht="15" x14ac:dyDescent="0.25">
      <c r="A393" s="1">
        <v>389</v>
      </c>
      <c r="B393" s="1" t="s">
        <v>746</v>
      </c>
      <c r="C393" s="32">
        <v>9992</v>
      </c>
      <c r="D393" s="32">
        <v>27000</v>
      </c>
      <c r="E393" s="1" t="s">
        <v>80</v>
      </c>
      <c r="F393" s="1">
        <v>300.87</v>
      </c>
      <c r="G393" s="1">
        <v>27000</v>
      </c>
      <c r="H393" s="1">
        <f t="shared" si="6"/>
        <v>0</v>
      </c>
      <c r="I393" s="89"/>
      <c r="J393" s="454"/>
      <c r="K393" s="454"/>
      <c r="L393" s="454"/>
      <c r="M393" s="455"/>
      <c r="N393" s="43"/>
      <c r="O393" s="388"/>
      <c r="P393" s="48"/>
      <c r="Q393" s="370"/>
      <c r="R393" s="48"/>
    </row>
    <row r="394" spans="1:18" s="464" customFormat="1" ht="15" x14ac:dyDescent="0.25">
      <c r="A394" s="1">
        <v>390</v>
      </c>
      <c r="B394" s="1" t="s">
        <v>746</v>
      </c>
      <c r="C394" s="32">
        <v>7860</v>
      </c>
      <c r="D394" s="32">
        <v>23000</v>
      </c>
      <c r="E394" s="1" t="s">
        <v>80</v>
      </c>
      <c r="F394" s="1">
        <v>256.38</v>
      </c>
      <c r="G394" s="1">
        <v>23000</v>
      </c>
      <c r="H394" s="1">
        <f t="shared" si="6"/>
        <v>0</v>
      </c>
      <c r="I394" s="89"/>
      <c r="J394" s="454"/>
      <c r="K394" s="454"/>
      <c r="L394" s="454"/>
      <c r="M394" s="455"/>
      <c r="N394" s="43"/>
      <c r="O394" s="388"/>
      <c r="P394" s="48"/>
      <c r="Q394" s="370"/>
      <c r="R394" s="48"/>
    </row>
    <row r="395" spans="1:18" s="464" customFormat="1" ht="15" x14ac:dyDescent="0.25">
      <c r="A395" s="1">
        <v>391</v>
      </c>
      <c r="B395" s="1" t="s">
        <v>746</v>
      </c>
      <c r="C395" s="32">
        <v>4295</v>
      </c>
      <c r="D395" s="32">
        <v>22000</v>
      </c>
      <c r="E395" s="1" t="s">
        <v>80</v>
      </c>
      <c r="F395" s="1">
        <v>234.87</v>
      </c>
      <c r="G395" s="1">
        <v>22000</v>
      </c>
      <c r="H395" s="1">
        <f t="shared" si="6"/>
        <v>0</v>
      </c>
      <c r="I395" s="89"/>
      <c r="J395" s="454"/>
      <c r="K395" s="454"/>
      <c r="L395" s="454"/>
      <c r="M395" s="455"/>
      <c r="N395" s="43"/>
      <c r="O395" s="388"/>
      <c r="P395" s="48"/>
      <c r="Q395" s="370"/>
      <c r="R395" s="48"/>
    </row>
    <row r="396" spans="1:18" s="464" customFormat="1" ht="15" x14ac:dyDescent="0.25">
      <c r="A396" s="1">
        <v>392</v>
      </c>
      <c r="B396" s="1" t="s">
        <v>746</v>
      </c>
      <c r="C396" s="32">
        <v>5949</v>
      </c>
      <c r="D396" s="32">
        <v>30000</v>
      </c>
      <c r="E396" s="1" t="s">
        <v>80</v>
      </c>
      <c r="F396" s="1">
        <v>334.82</v>
      </c>
      <c r="G396" s="1">
        <v>30000</v>
      </c>
      <c r="H396" s="1">
        <f t="shared" si="6"/>
        <v>0</v>
      </c>
      <c r="I396" s="89"/>
      <c r="J396" s="454"/>
      <c r="K396" s="454"/>
      <c r="L396" s="454"/>
      <c r="M396" s="455"/>
      <c r="N396" s="43"/>
      <c r="O396" s="388"/>
      <c r="P396" s="48"/>
      <c r="Q396" s="370"/>
      <c r="R396" s="48"/>
    </row>
    <row r="397" spans="1:18" s="464" customFormat="1" ht="15" x14ac:dyDescent="0.25">
      <c r="A397" s="1">
        <v>393</v>
      </c>
      <c r="B397" s="1" t="s">
        <v>746</v>
      </c>
      <c r="C397" s="32">
        <v>9458</v>
      </c>
      <c r="D397" s="32">
        <v>28000</v>
      </c>
      <c r="E397" s="1" t="s">
        <v>80</v>
      </c>
      <c r="F397" s="1">
        <v>311.68</v>
      </c>
      <c r="G397" s="1">
        <v>28000</v>
      </c>
      <c r="H397" s="1">
        <f t="shared" si="6"/>
        <v>0</v>
      </c>
      <c r="I397" s="89"/>
      <c r="J397" s="454"/>
      <c r="K397" s="454"/>
      <c r="L397" s="454"/>
      <c r="M397" s="455"/>
      <c r="N397" s="43"/>
      <c r="O397" s="388"/>
      <c r="P397" s="48"/>
      <c r="Q397" s="370"/>
      <c r="R397" s="48"/>
    </row>
    <row r="398" spans="1:18" s="464" customFormat="1" ht="15" x14ac:dyDescent="0.25">
      <c r="A398" s="1">
        <v>394</v>
      </c>
      <c r="B398" s="1" t="s">
        <v>746</v>
      </c>
      <c r="C398" s="32">
        <v>4148</v>
      </c>
      <c r="D398" s="32">
        <v>28000</v>
      </c>
      <c r="E398" s="1" t="s">
        <v>80</v>
      </c>
      <c r="F398" s="1">
        <v>311.68</v>
      </c>
      <c r="G398" s="1">
        <v>28000</v>
      </c>
      <c r="H398" s="1">
        <f t="shared" si="6"/>
        <v>0</v>
      </c>
      <c r="I398" s="89"/>
      <c r="J398" s="454"/>
      <c r="K398" s="454"/>
      <c r="L398" s="454"/>
      <c r="M398" s="455"/>
      <c r="N398" s="43"/>
      <c r="O398" s="388"/>
      <c r="P398" s="48"/>
      <c r="Q398" s="370"/>
      <c r="R398" s="48"/>
    </row>
    <row r="399" spans="1:18" s="464" customFormat="1" ht="15.75" thickBot="1" x14ac:dyDescent="0.3">
      <c r="A399" s="1">
        <v>395</v>
      </c>
      <c r="B399" s="1" t="s">
        <v>746</v>
      </c>
      <c r="C399" s="32">
        <v>1796</v>
      </c>
      <c r="D399" s="32">
        <v>27000</v>
      </c>
      <c r="E399" s="1" t="s">
        <v>80</v>
      </c>
      <c r="F399" s="1">
        <v>300.67</v>
      </c>
      <c r="G399" s="1">
        <v>27000</v>
      </c>
      <c r="H399" s="1">
        <f t="shared" si="6"/>
        <v>0</v>
      </c>
      <c r="I399" s="89"/>
      <c r="J399" s="454"/>
      <c r="K399" s="454"/>
      <c r="L399" s="454"/>
      <c r="M399" s="455"/>
      <c r="N399" s="43"/>
      <c r="O399" s="388"/>
      <c r="P399" s="48"/>
      <c r="Q399" s="370"/>
      <c r="R399" s="48"/>
    </row>
    <row r="400" spans="1:18" s="464" customFormat="1" ht="15.75" thickBot="1" x14ac:dyDescent="0.3">
      <c r="A400" s="1">
        <v>396</v>
      </c>
      <c r="B400" s="1" t="s">
        <v>746</v>
      </c>
      <c r="C400" s="32">
        <v>3812</v>
      </c>
      <c r="D400" s="32">
        <v>20000</v>
      </c>
      <c r="E400" s="1" t="s">
        <v>80</v>
      </c>
      <c r="F400" s="1">
        <v>222.82</v>
      </c>
      <c r="G400" s="1">
        <v>20000</v>
      </c>
      <c r="H400" s="1">
        <f t="shared" si="6"/>
        <v>0</v>
      </c>
      <c r="I400" s="89"/>
      <c r="J400" s="454"/>
      <c r="K400" s="454"/>
      <c r="L400" s="454"/>
      <c r="M400" s="455"/>
      <c r="N400" s="43"/>
      <c r="O400" s="103">
        <f>2514047-2413130</f>
        <v>100917</v>
      </c>
      <c r="P400" s="359" t="s">
        <v>739</v>
      </c>
      <c r="Q400" s="367" t="s">
        <v>620</v>
      </c>
      <c r="R400" s="360">
        <f>28091-7600</f>
        <v>20491</v>
      </c>
    </row>
    <row r="401" spans="1:18" s="465" customFormat="1" ht="15" x14ac:dyDescent="0.25">
      <c r="A401" s="1">
        <v>397</v>
      </c>
      <c r="B401" s="1" t="s">
        <v>747</v>
      </c>
      <c r="C401" s="32">
        <v>6311</v>
      </c>
      <c r="D401" s="32">
        <v>31000</v>
      </c>
      <c r="E401" s="1" t="s">
        <v>80</v>
      </c>
      <c r="F401" s="1">
        <v>345.85</v>
      </c>
      <c r="G401" s="1">
        <v>31000</v>
      </c>
      <c r="H401" s="1">
        <f t="shared" si="6"/>
        <v>0</v>
      </c>
      <c r="I401" s="89"/>
      <c r="J401" s="454"/>
      <c r="K401" s="454"/>
      <c r="L401" s="454"/>
      <c r="M401" s="455"/>
      <c r="N401" s="43"/>
      <c r="O401" s="388"/>
      <c r="P401" s="48"/>
      <c r="Q401" s="370"/>
      <c r="R401" s="48"/>
    </row>
    <row r="402" spans="1:18" s="465" customFormat="1" ht="15" x14ac:dyDescent="0.25">
      <c r="A402" s="1">
        <v>398</v>
      </c>
      <c r="B402" s="1" t="s">
        <v>747</v>
      </c>
      <c r="C402" s="32">
        <v>5252</v>
      </c>
      <c r="D402" s="32">
        <v>16000</v>
      </c>
      <c r="E402" s="1" t="s">
        <v>80</v>
      </c>
      <c r="F402" s="1">
        <v>178.22</v>
      </c>
      <c r="G402" s="1">
        <v>16000</v>
      </c>
      <c r="H402" s="1">
        <f t="shared" si="6"/>
        <v>0</v>
      </c>
      <c r="I402" s="89"/>
      <c r="J402" s="454"/>
      <c r="K402" s="454"/>
      <c r="L402" s="454"/>
      <c r="M402" s="455"/>
      <c r="N402" s="43"/>
      <c r="O402" s="388"/>
      <c r="P402" s="48"/>
      <c r="Q402" s="370"/>
      <c r="R402" s="48"/>
    </row>
    <row r="403" spans="1:18" s="465" customFormat="1" ht="15" x14ac:dyDescent="0.25">
      <c r="A403" s="1">
        <v>399</v>
      </c>
      <c r="B403" s="1" t="s">
        <v>747</v>
      </c>
      <c r="C403" s="32">
        <v>5820</v>
      </c>
      <c r="D403" s="32">
        <v>16000</v>
      </c>
      <c r="E403" s="1" t="s">
        <v>80</v>
      </c>
      <c r="F403" s="1">
        <v>178.22</v>
      </c>
      <c r="G403" s="1">
        <v>16000</v>
      </c>
      <c r="H403" s="1">
        <f t="shared" si="6"/>
        <v>0</v>
      </c>
      <c r="I403" s="89"/>
      <c r="J403" s="454"/>
      <c r="K403" s="454"/>
      <c r="L403" s="454"/>
      <c r="M403" s="455"/>
      <c r="N403" s="43"/>
      <c r="O403" s="388"/>
      <c r="P403" s="48"/>
      <c r="Q403" s="370"/>
      <c r="R403" s="48"/>
    </row>
    <row r="404" spans="1:18" s="465" customFormat="1" ht="15" x14ac:dyDescent="0.25">
      <c r="A404" s="1">
        <v>400</v>
      </c>
      <c r="B404" s="1" t="s">
        <v>747</v>
      </c>
      <c r="C404" s="32">
        <v>1720</v>
      </c>
      <c r="D404" s="32">
        <v>16000</v>
      </c>
      <c r="E404" s="1" t="s">
        <v>80</v>
      </c>
      <c r="F404" s="1">
        <v>178.22</v>
      </c>
      <c r="G404" s="1">
        <v>16000</v>
      </c>
      <c r="H404" s="1">
        <f t="shared" ref="H404:H468" si="7">D404-G404</f>
        <v>0</v>
      </c>
      <c r="I404" s="89"/>
      <c r="J404" s="454"/>
      <c r="K404" s="454"/>
      <c r="L404" s="454"/>
      <c r="M404" s="455"/>
      <c r="N404" s="43"/>
      <c r="O404" s="388"/>
      <c r="P404" s="48"/>
      <c r="Q404" s="370"/>
      <c r="R404" s="48"/>
    </row>
    <row r="405" spans="1:18" s="465" customFormat="1" ht="15" x14ac:dyDescent="0.25">
      <c r="A405" s="1">
        <v>401</v>
      </c>
      <c r="B405" s="1" t="s">
        <v>747</v>
      </c>
      <c r="C405" s="32">
        <v>6930</v>
      </c>
      <c r="D405" s="32">
        <v>16000</v>
      </c>
      <c r="E405" s="1" t="s">
        <v>80</v>
      </c>
      <c r="F405" s="1">
        <v>178.22</v>
      </c>
      <c r="G405" s="1">
        <v>16000</v>
      </c>
      <c r="H405" s="1">
        <f t="shared" si="7"/>
        <v>0</v>
      </c>
      <c r="I405" s="89"/>
      <c r="J405" s="454"/>
      <c r="K405" s="454"/>
      <c r="L405" s="454"/>
      <c r="M405" s="455"/>
      <c r="N405" s="43"/>
      <c r="O405" s="388"/>
      <c r="P405" s="48"/>
      <c r="Q405" s="370"/>
      <c r="R405" s="48"/>
    </row>
    <row r="406" spans="1:18" s="465" customFormat="1" ht="15" x14ac:dyDescent="0.25">
      <c r="A406" s="1">
        <v>402</v>
      </c>
      <c r="B406" s="1" t="s">
        <v>747</v>
      </c>
      <c r="C406" s="32">
        <v>4820</v>
      </c>
      <c r="D406" s="32">
        <v>16000</v>
      </c>
      <c r="E406" s="1" t="s">
        <v>80</v>
      </c>
      <c r="F406" s="1">
        <v>178.22</v>
      </c>
      <c r="G406" s="1">
        <v>16000</v>
      </c>
      <c r="H406" s="1">
        <f t="shared" si="7"/>
        <v>0</v>
      </c>
      <c r="I406" s="89"/>
      <c r="J406" s="454"/>
      <c r="K406" s="454"/>
      <c r="L406" s="454"/>
      <c r="M406" s="455"/>
      <c r="N406" s="43"/>
      <c r="O406" s="388"/>
      <c r="P406" s="48"/>
      <c r="Q406" s="370"/>
      <c r="R406" s="48"/>
    </row>
    <row r="407" spans="1:18" s="465" customFormat="1" ht="15" x14ac:dyDescent="0.25">
      <c r="A407" s="1">
        <v>403</v>
      </c>
      <c r="B407" s="1" t="s">
        <v>747</v>
      </c>
      <c r="C407" s="32">
        <v>1307</v>
      </c>
      <c r="D407" s="32">
        <v>20000</v>
      </c>
      <c r="E407" s="1" t="s">
        <v>80</v>
      </c>
      <c r="F407" s="1">
        <v>222.82</v>
      </c>
      <c r="G407" s="1">
        <v>20000</v>
      </c>
      <c r="H407" s="1">
        <f t="shared" si="7"/>
        <v>0</v>
      </c>
      <c r="I407" s="89"/>
      <c r="J407" s="454"/>
      <c r="K407" s="454"/>
      <c r="L407" s="454"/>
      <c r="M407" s="455"/>
      <c r="N407" s="43"/>
      <c r="O407" s="388"/>
      <c r="P407" s="48"/>
      <c r="Q407" s="370"/>
      <c r="R407" s="48"/>
    </row>
    <row r="408" spans="1:18" s="465" customFormat="1" ht="15" x14ac:dyDescent="0.25">
      <c r="A408" s="1">
        <v>404</v>
      </c>
      <c r="B408" s="1" t="s">
        <v>747</v>
      </c>
      <c r="C408" s="32">
        <v>4204</v>
      </c>
      <c r="D408" s="32">
        <v>14500</v>
      </c>
      <c r="E408" s="1" t="s">
        <v>80</v>
      </c>
      <c r="F408" s="1">
        <v>161.57</v>
      </c>
      <c r="G408" s="1">
        <v>14500</v>
      </c>
      <c r="H408" s="1">
        <f t="shared" si="7"/>
        <v>0</v>
      </c>
      <c r="I408" s="89"/>
      <c r="J408" s="454"/>
      <c r="K408" s="454"/>
      <c r="L408" s="454"/>
      <c r="M408" s="455"/>
      <c r="N408" s="43"/>
      <c r="O408" s="388"/>
      <c r="P408" s="48"/>
      <c r="Q408" s="370"/>
      <c r="R408" s="48"/>
    </row>
    <row r="409" spans="1:18" s="465" customFormat="1" ht="15" x14ac:dyDescent="0.25">
      <c r="A409" s="1">
        <v>405</v>
      </c>
      <c r="B409" s="1" t="s">
        <v>747</v>
      </c>
      <c r="C409" s="32">
        <v>6012</v>
      </c>
      <c r="D409" s="32">
        <v>15000</v>
      </c>
      <c r="E409" s="1" t="s">
        <v>80</v>
      </c>
      <c r="F409" s="1">
        <v>167.15</v>
      </c>
      <c r="G409" s="1">
        <v>15000</v>
      </c>
      <c r="H409" s="1">
        <f t="shared" si="7"/>
        <v>0</v>
      </c>
      <c r="I409" s="89"/>
      <c r="J409" s="454"/>
      <c r="K409" s="454"/>
      <c r="L409" s="454"/>
      <c r="M409" s="455"/>
      <c r="N409" s="43"/>
      <c r="O409" s="388"/>
      <c r="P409" s="48"/>
      <c r="Q409" s="370"/>
      <c r="R409" s="48"/>
    </row>
    <row r="410" spans="1:18" s="465" customFormat="1" ht="15" x14ac:dyDescent="0.25">
      <c r="A410" s="1">
        <v>406</v>
      </c>
      <c r="B410" s="1" t="s">
        <v>747</v>
      </c>
      <c r="C410" s="32">
        <v>6100</v>
      </c>
      <c r="D410" s="32">
        <v>16000</v>
      </c>
      <c r="E410" s="1" t="s">
        <v>80</v>
      </c>
      <c r="F410" s="1">
        <v>178.22</v>
      </c>
      <c r="G410" s="1">
        <v>16000</v>
      </c>
      <c r="H410" s="1">
        <f t="shared" si="7"/>
        <v>0</v>
      </c>
      <c r="I410" s="89"/>
      <c r="J410" s="454"/>
      <c r="K410" s="454"/>
      <c r="L410" s="454"/>
      <c r="M410" s="455"/>
      <c r="N410" s="43"/>
      <c r="O410" s="388"/>
      <c r="P410" s="48"/>
      <c r="Q410" s="370"/>
      <c r="R410" s="48"/>
    </row>
    <row r="411" spans="1:18" s="465" customFormat="1" ht="15" x14ac:dyDescent="0.25">
      <c r="A411" s="1">
        <v>407</v>
      </c>
      <c r="B411" s="1" t="s">
        <v>747</v>
      </c>
      <c r="C411" s="32">
        <v>1491</v>
      </c>
      <c r="D411" s="32">
        <v>13000</v>
      </c>
      <c r="E411" s="1" t="s">
        <v>80</v>
      </c>
      <c r="F411" s="1">
        <v>144.13</v>
      </c>
      <c r="G411" s="1">
        <v>13000</v>
      </c>
      <c r="H411" s="1">
        <f t="shared" si="7"/>
        <v>0</v>
      </c>
      <c r="I411" s="89"/>
      <c r="J411" s="454"/>
      <c r="K411" s="454"/>
      <c r="L411" s="454"/>
      <c r="M411" s="455"/>
      <c r="N411" s="43"/>
      <c r="O411" s="388"/>
      <c r="P411" s="48"/>
      <c r="Q411" s="370"/>
      <c r="R411" s="48"/>
    </row>
    <row r="412" spans="1:18" s="465" customFormat="1" ht="15" x14ac:dyDescent="0.25">
      <c r="A412" s="1">
        <v>408</v>
      </c>
      <c r="B412" s="1" t="s">
        <v>747</v>
      </c>
      <c r="C412" s="32">
        <v>6951</v>
      </c>
      <c r="D412" s="32">
        <v>24000</v>
      </c>
      <c r="E412" s="1" t="s">
        <v>80</v>
      </c>
      <c r="F412" s="1">
        <v>267.83999999999997</v>
      </c>
      <c r="G412" s="1">
        <v>24000</v>
      </c>
      <c r="H412" s="1">
        <f t="shared" si="7"/>
        <v>0</v>
      </c>
      <c r="I412" s="89"/>
      <c r="J412" s="454"/>
      <c r="K412" s="454"/>
      <c r="L412" s="454"/>
      <c r="M412" s="455"/>
      <c r="N412" s="43"/>
      <c r="O412" s="388"/>
      <c r="P412" s="48"/>
      <c r="Q412" s="370"/>
      <c r="R412" s="48"/>
    </row>
    <row r="413" spans="1:18" s="465" customFormat="1" ht="15" x14ac:dyDescent="0.25">
      <c r="A413" s="1">
        <v>409</v>
      </c>
      <c r="B413" s="1" t="s">
        <v>747</v>
      </c>
      <c r="C413" s="32">
        <v>8484</v>
      </c>
      <c r="D413" s="32">
        <v>20000</v>
      </c>
      <c r="E413" s="1" t="s">
        <v>80</v>
      </c>
      <c r="F413" s="1">
        <v>222.82</v>
      </c>
      <c r="G413" s="1">
        <v>20000</v>
      </c>
      <c r="H413" s="1">
        <f t="shared" si="7"/>
        <v>0</v>
      </c>
      <c r="I413" s="89"/>
      <c r="J413" s="454"/>
      <c r="K413" s="454"/>
      <c r="L413" s="454"/>
      <c r="M413" s="455"/>
      <c r="N413" s="43"/>
      <c r="O413" s="388"/>
      <c r="P413" s="48"/>
      <c r="Q413" s="370"/>
      <c r="R413" s="48"/>
    </row>
    <row r="414" spans="1:18" s="465" customFormat="1" ht="15" x14ac:dyDescent="0.25">
      <c r="A414" s="1">
        <v>410</v>
      </c>
      <c r="B414" s="1" t="s">
        <v>747</v>
      </c>
      <c r="C414" s="32">
        <v>3658</v>
      </c>
      <c r="D414" s="32">
        <v>19000</v>
      </c>
      <c r="E414" s="1" t="s">
        <v>80</v>
      </c>
      <c r="F414" s="1">
        <v>211.74</v>
      </c>
      <c r="G414" s="1">
        <v>19000</v>
      </c>
      <c r="H414" s="1">
        <f t="shared" si="7"/>
        <v>0</v>
      </c>
      <c r="I414" s="89"/>
      <c r="J414" s="454"/>
      <c r="K414" s="454"/>
      <c r="L414" s="454"/>
      <c r="M414" s="455"/>
      <c r="N414" s="43"/>
      <c r="O414" s="388"/>
      <c r="P414" s="48"/>
      <c r="Q414" s="370"/>
      <c r="R414" s="48"/>
    </row>
    <row r="415" spans="1:18" s="465" customFormat="1" ht="15" x14ac:dyDescent="0.25">
      <c r="A415" s="1">
        <v>411</v>
      </c>
      <c r="B415" s="1" t="s">
        <v>747</v>
      </c>
      <c r="C415" s="32">
        <v>5623</v>
      </c>
      <c r="D415" s="32">
        <v>8000</v>
      </c>
      <c r="E415" s="1" t="s">
        <v>80</v>
      </c>
      <c r="F415" s="1">
        <v>89.54</v>
      </c>
      <c r="G415" s="1">
        <v>8000</v>
      </c>
      <c r="H415" s="1">
        <f t="shared" si="7"/>
        <v>0</v>
      </c>
      <c r="I415" s="89"/>
      <c r="J415" s="454"/>
      <c r="K415" s="454"/>
      <c r="L415" s="454"/>
      <c r="M415" s="455"/>
      <c r="N415" s="43"/>
      <c r="O415" s="388"/>
      <c r="P415" s="48"/>
      <c r="Q415" s="370"/>
      <c r="R415" s="48"/>
    </row>
    <row r="416" spans="1:18" s="465" customFormat="1" ht="15" x14ac:dyDescent="0.25">
      <c r="A416" s="1">
        <v>412</v>
      </c>
      <c r="B416" s="1" t="s">
        <v>747</v>
      </c>
      <c r="C416" s="32">
        <v>1639</v>
      </c>
      <c r="D416" s="32">
        <v>23000</v>
      </c>
      <c r="E416" s="1" t="s">
        <v>80</v>
      </c>
      <c r="F416" s="1">
        <v>256.27</v>
      </c>
      <c r="G416" s="1">
        <v>23000</v>
      </c>
      <c r="H416" s="1">
        <f t="shared" si="7"/>
        <v>0</v>
      </c>
      <c r="I416" s="89"/>
      <c r="J416" s="454"/>
      <c r="K416" s="454"/>
      <c r="L416" s="454"/>
      <c r="M416" s="455"/>
      <c r="N416" s="43"/>
      <c r="O416" s="388"/>
      <c r="P416" s="48"/>
      <c r="Q416" s="370"/>
      <c r="R416" s="48"/>
    </row>
    <row r="417" spans="1:18" s="465" customFormat="1" ht="15" x14ac:dyDescent="0.25">
      <c r="A417" s="1">
        <v>413</v>
      </c>
      <c r="B417" s="1" t="s">
        <v>747</v>
      </c>
      <c r="C417" s="32">
        <v>3382</v>
      </c>
      <c r="D417" s="32">
        <v>22000</v>
      </c>
      <c r="E417" s="1" t="s">
        <v>80</v>
      </c>
      <c r="F417" s="1">
        <v>245.82</v>
      </c>
      <c r="G417" s="1">
        <v>22000</v>
      </c>
      <c r="H417" s="1">
        <f t="shared" si="7"/>
        <v>0</v>
      </c>
      <c r="I417" s="89"/>
      <c r="J417" s="454"/>
      <c r="K417" s="454"/>
      <c r="L417" s="454"/>
      <c r="M417" s="455"/>
      <c r="N417" s="43"/>
      <c r="O417" s="388"/>
      <c r="P417" s="48"/>
      <c r="Q417" s="370"/>
      <c r="R417" s="48"/>
    </row>
    <row r="418" spans="1:18" s="465" customFormat="1" ht="15" x14ac:dyDescent="0.25">
      <c r="A418" s="1">
        <v>414</v>
      </c>
      <c r="B418" s="1" t="s">
        <v>747</v>
      </c>
      <c r="C418" s="32">
        <v>5074</v>
      </c>
      <c r="D418" s="32">
        <v>12000</v>
      </c>
      <c r="E418" s="1" t="s">
        <v>80</v>
      </c>
      <c r="F418" s="1">
        <v>133.41999999999999</v>
      </c>
      <c r="G418" s="1">
        <v>12000</v>
      </c>
      <c r="H418" s="1">
        <f t="shared" si="7"/>
        <v>0</v>
      </c>
      <c r="I418" s="89"/>
      <c r="J418" s="454"/>
      <c r="K418" s="454"/>
      <c r="L418" s="454"/>
      <c r="M418" s="455"/>
      <c r="N418" s="43"/>
      <c r="O418" s="388"/>
      <c r="P418" s="48"/>
      <c r="Q418" s="370"/>
      <c r="R418" s="48"/>
    </row>
    <row r="419" spans="1:18" s="465" customFormat="1" ht="15" x14ac:dyDescent="0.25">
      <c r="A419" s="1">
        <v>415</v>
      </c>
      <c r="B419" s="1" t="s">
        <v>747</v>
      </c>
      <c r="C419" s="32">
        <v>6161</v>
      </c>
      <c r="D419" s="32">
        <v>20000</v>
      </c>
      <c r="E419" s="1" t="s">
        <v>80</v>
      </c>
      <c r="F419" s="1">
        <v>222.82</v>
      </c>
      <c r="G419" s="1">
        <v>20000</v>
      </c>
      <c r="H419" s="1">
        <f t="shared" si="7"/>
        <v>0</v>
      </c>
      <c r="I419" s="89"/>
      <c r="J419" s="454"/>
      <c r="K419" s="454"/>
      <c r="L419" s="454"/>
      <c r="M419" s="455"/>
      <c r="N419" s="43"/>
      <c r="O419" s="388"/>
      <c r="P419" s="48"/>
      <c r="Q419" s="370"/>
      <c r="R419" s="48"/>
    </row>
    <row r="420" spans="1:18" s="465" customFormat="1" ht="15" x14ac:dyDescent="0.25">
      <c r="A420" s="1">
        <v>416</v>
      </c>
      <c r="B420" s="1" t="s">
        <v>747</v>
      </c>
      <c r="C420" s="32">
        <v>9457</v>
      </c>
      <c r="D420" s="32">
        <v>30000</v>
      </c>
      <c r="E420" s="1" t="s">
        <v>80</v>
      </c>
      <c r="F420" s="1">
        <v>334.72</v>
      </c>
      <c r="G420" s="1">
        <v>30000</v>
      </c>
      <c r="H420" s="1">
        <f t="shared" si="7"/>
        <v>0</v>
      </c>
      <c r="I420" s="89"/>
      <c r="J420" s="454"/>
      <c r="K420" s="454"/>
      <c r="L420" s="454"/>
      <c r="M420" s="455"/>
      <c r="N420" s="43"/>
      <c r="O420" s="388"/>
      <c r="P420" s="48"/>
      <c r="Q420" s="370"/>
      <c r="R420" s="48"/>
    </row>
    <row r="421" spans="1:18" s="465" customFormat="1" ht="15" x14ac:dyDescent="0.25">
      <c r="A421" s="1">
        <v>417</v>
      </c>
      <c r="B421" s="1" t="s">
        <v>747</v>
      </c>
      <c r="C421" s="32">
        <v>6571</v>
      </c>
      <c r="D421" s="32">
        <v>15000</v>
      </c>
      <c r="E421" s="1" t="s">
        <v>80</v>
      </c>
      <c r="F421" s="1">
        <v>167.15</v>
      </c>
      <c r="G421" s="1">
        <v>15000</v>
      </c>
      <c r="H421" s="1">
        <f t="shared" si="7"/>
        <v>0</v>
      </c>
      <c r="I421" s="89"/>
      <c r="J421" s="454"/>
      <c r="K421" s="454"/>
      <c r="L421" s="454"/>
      <c r="M421" s="455"/>
      <c r="N421" s="43"/>
      <c r="O421" s="388"/>
      <c r="P421" s="48"/>
      <c r="Q421" s="370"/>
      <c r="R421" s="48"/>
    </row>
    <row r="422" spans="1:18" s="465" customFormat="1" ht="15" x14ac:dyDescent="0.25">
      <c r="A422" s="1">
        <v>418</v>
      </c>
      <c r="B422" s="1" t="s">
        <v>747</v>
      </c>
      <c r="C422" s="32">
        <v>2677</v>
      </c>
      <c r="D422" s="32">
        <v>23000</v>
      </c>
      <c r="E422" s="1" t="s">
        <v>80</v>
      </c>
      <c r="F422" s="1">
        <v>256.70999999999998</v>
      </c>
      <c r="G422" s="1">
        <v>23000</v>
      </c>
      <c r="H422" s="1">
        <f t="shared" si="7"/>
        <v>0</v>
      </c>
      <c r="I422" s="89"/>
      <c r="J422" s="454"/>
      <c r="K422" s="454"/>
      <c r="L422" s="454"/>
      <c r="M422" s="455"/>
      <c r="N422" s="43"/>
      <c r="O422" s="388"/>
      <c r="P422" s="48"/>
      <c r="Q422" s="370"/>
      <c r="R422" s="48"/>
    </row>
    <row r="423" spans="1:18" s="465" customFormat="1" ht="15" x14ac:dyDescent="0.25">
      <c r="A423" s="1">
        <v>419</v>
      </c>
      <c r="B423" s="1" t="s">
        <v>748</v>
      </c>
      <c r="C423" s="32" t="s">
        <v>30</v>
      </c>
      <c r="D423" s="32">
        <v>4500</v>
      </c>
      <c r="E423" s="1" t="s">
        <v>80</v>
      </c>
      <c r="F423" s="1">
        <v>50.45</v>
      </c>
      <c r="G423" s="1">
        <v>4500</v>
      </c>
      <c r="H423" s="1">
        <f t="shared" si="7"/>
        <v>0</v>
      </c>
      <c r="I423" s="89"/>
      <c r="J423" s="454"/>
      <c r="K423" s="454"/>
      <c r="L423" s="454"/>
      <c r="M423" s="455"/>
      <c r="N423" s="43"/>
      <c r="O423" s="388"/>
      <c r="P423" s="48"/>
      <c r="Q423" s="370"/>
      <c r="R423" s="48"/>
    </row>
    <row r="424" spans="1:18" s="465" customFormat="1" ht="15" x14ac:dyDescent="0.25">
      <c r="A424" s="1">
        <v>420</v>
      </c>
      <c r="B424" s="1" t="s">
        <v>748</v>
      </c>
      <c r="C424" s="32">
        <v>2.87E-2</v>
      </c>
      <c r="D424" s="32">
        <v>17000</v>
      </c>
      <c r="E424" s="1" t="s">
        <v>80</v>
      </c>
      <c r="F424" s="1">
        <v>189.72</v>
      </c>
      <c r="G424" s="1">
        <v>17000</v>
      </c>
      <c r="H424" s="1">
        <f t="shared" si="7"/>
        <v>0</v>
      </c>
      <c r="I424" s="89"/>
      <c r="J424" s="454"/>
      <c r="K424" s="454"/>
      <c r="L424" s="454"/>
      <c r="M424" s="455"/>
      <c r="N424" s="43"/>
      <c r="O424" s="388"/>
      <c r="P424" s="48"/>
      <c r="Q424" s="370"/>
      <c r="R424" s="48"/>
    </row>
    <row r="425" spans="1:18" s="465" customFormat="1" ht="15" x14ac:dyDescent="0.25">
      <c r="A425" s="1">
        <v>421</v>
      </c>
      <c r="B425" s="1" t="s">
        <v>748</v>
      </c>
      <c r="C425" s="32">
        <v>2354</v>
      </c>
      <c r="D425" s="32">
        <v>17000</v>
      </c>
      <c r="E425" s="1" t="s">
        <v>80</v>
      </c>
      <c r="F425" s="1">
        <v>189.72</v>
      </c>
      <c r="G425" s="1">
        <v>17000</v>
      </c>
      <c r="H425" s="1">
        <f t="shared" si="7"/>
        <v>0</v>
      </c>
      <c r="I425" s="89"/>
      <c r="J425" s="454"/>
      <c r="K425" s="454"/>
      <c r="L425" s="454"/>
      <c r="M425" s="455"/>
      <c r="N425" s="43"/>
      <c r="O425" s="388"/>
      <c r="P425" s="48"/>
      <c r="Q425" s="370"/>
      <c r="R425" s="48"/>
    </row>
    <row r="426" spans="1:18" s="465" customFormat="1" ht="15" x14ac:dyDescent="0.25">
      <c r="A426" s="1">
        <v>422</v>
      </c>
      <c r="B426" s="1" t="s">
        <v>748</v>
      </c>
      <c r="C426" s="32" t="s">
        <v>30</v>
      </c>
      <c r="D426" s="32">
        <v>5000</v>
      </c>
      <c r="E426" s="1" t="s">
        <v>80</v>
      </c>
      <c r="F426" s="1">
        <v>55.45</v>
      </c>
      <c r="G426" s="1">
        <v>5000</v>
      </c>
      <c r="H426" s="1">
        <f t="shared" si="7"/>
        <v>0</v>
      </c>
      <c r="I426" s="89"/>
      <c r="J426" s="454"/>
      <c r="K426" s="454"/>
      <c r="L426" s="454"/>
      <c r="M426" s="455"/>
      <c r="N426" s="43"/>
      <c r="O426" s="388"/>
      <c r="P426" s="48"/>
      <c r="Q426" s="370"/>
      <c r="R426" s="48"/>
    </row>
    <row r="427" spans="1:18" s="465" customFormat="1" ht="15" x14ac:dyDescent="0.25">
      <c r="A427" s="1">
        <v>423</v>
      </c>
      <c r="B427" s="1" t="s">
        <v>748</v>
      </c>
      <c r="C427" s="32">
        <v>1775</v>
      </c>
      <c r="D427" s="32">
        <v>16000</v>
      </c>
      <c r="E427" s="1" t="s">
        <v>80</v>
      </c>
      <c r="F427" s="1">
        <v>178.22</v>
      </c>
      <c r="G427" s="1">
        <v>16000</v>
      </c>
      <c r="H427" s="1">
        <f t="shared" si="7"/>
        <v>0</v>
      </c>
      <c r="I427" s="89"/>
      <c r="J427" s="454"/>
      <c r="K427" s="454"/>
      <c r="L427" s="454"/>
      <c r="M427" s="455"/>
      <c r="N427" s="43"/>
      <c r="O427" s="388"/>
      <c r="P427" s="48"/>
      <c r="Q427" s="370"/>
      <c r="R427" s="48"/>
    </row>
    <row r="428" spans="1:18" s="465" customFormat="1" ht="15" x14ac:dyDescent="0.25">
      <c r="A428" s="1">
        <v>424</v>
      </c>
      <c r="B428" s="1" t="s">
        <v>748</v>
      </c>
      <c r="C428" s="32" t="s">
        <v>735</v>
      </c>
      <c r="D428" s="32">
        <v>2500</v>
      </c>
      <c r="E428" s="1" t="s">
        <v>80</v>
      </c>
      <c r="F428" s="1">
        <v>27.82</v>
      </c>
      <c r="G428" s="1">
        <v>2500</v>
      </c>
      <c r="H428" s="1">
        <f t="shared" si="7"/>
        <v>0</v>
      </c>
      <c r="I428" s="89"/>
      <c r="J428" s="454"/>
      <c r="K428" s="454"/>
      <c r="L428" s="454"/>
      <c r="M428" s="455"/>
      <c r="N428" s="43"/>
      <c r="O428" s="388"/>
      <c r="P428" s="48"/>
      <c r="Q428" s="370"/>
      <c r="R428" s="48"/>
    </row>
    <row r="429" spans="1:18" s="465" customFormat="1" ht="15" x14ac:dyDescent="0.25">
      <c r="A429" s="1">
        <v>425</v>
      </c>
      <c r="B429" s="1" t="s">
        <v>748</v>
      </c>
      <c r="C429" s="32">
        <v>2263</v>
      </c>
      <c r="D429" s="32">
        <v>14000</v>
      </c>
      <c r="E429" s="1" t="s">
        <v>80</v>
      </c>
      <c r="F429" s="1">
        <v>155.41999999999999</v>
      </c>
      <c r="G429" s="1">
        <v>14000</v>
      </c>
      <c r="H429" s="1">
        <f t="shared" si="7"/>
        <v>0</v>
      </c>
      <c r="I429" s="89"/>
      <c r="J429" s="454"/>
      <c r="K429" s="454"/>
      <c r="L429" s="454"/>
      <c r="M429" s="455"/>
      <c r="N429" s="43"/>
      <c r="O429" s="388"/>
      <c r="P429" s="48"/>
      <c r="Q429" s="370"/>
      <c r="R429" s="48"/>
    </row>
    <row r="430" spans="1:18" s="465" customFormat="1" ht="15" x14ac:dyDescent="0.25">
      <c r="A430" s="1">
        <v>426</v>
      </c>
      <c r="B430" s="1" t="s">
        <v>748</v>
      </c>
      <c r="C430" s="32">
        <v>7820</v>
      </c>
      <c r="D430" s="32">
        <v>16000</v>
      </c>
      <c r="E430" s="1" t="s">
        <v>80</v>
      </c>
      <c r="F430" s="1">
        <v>178.22</v>
      </c>
      <c r="G430" s="1">
        <v>16000</v>
      </c>
      <c r="H430" s="1">
        <f t="shared" si="7"/>
        <v>0</v>
      </c>
      <c r="I430" s="89"/>
      <c r="J430" s="454"/>
      <c r="K430" s="454"/>
      <c r="L430" s="454"/>
      <c r="M430" s="455"/>
      <c r="N430" s="43"/>
      <c r="O430" s="388"/>
      <c r="P430" s="48"/>
      <c r="Q430" s="370"/>
      <c r="R430" s="48"/>
    </row>
    <row r="431" spans="1:18" s="465" customFormat="1" ht="15" x14ac:dyDescent="0.25">
      <c r="A431" s="1">
        <v>427</v>
      </c>
      <c r="B431" s="1" t="s">
        <v>748</v>
      </c>
      <c r="C431" s="32">
        <v>7411</v>
      </c>
      <c r="D431" s="32">
        <v>22000</v>
      </c>
      <c r="E431" s="1" t="s">
        <v>80</v>
      </c>
      <c r="F431" s="1">
        <v>222.42</v>
      </c>
      <c r="G431" s="1">
        <v>22000</v>
      </c>
      <c r="H431" s="1">
        <f t="shared" si="7"/>
        <v>0</v>
      </c>
      <c r="I431" s="89"/>
      <c r="J431" s="454"/>
      <c r="K431" s="454"/>
      <c r="L431" s="454"/>
      <c r="M431" s="455"/>
      <c r="N431" s="43"/>
      <c r="O431" s="388"/>
      <c r="P431" s="48"/>
      <c r="Q431" s="370"/>
      <c r="R431" s="48"/>
    </row>
    <row r="432" spans="1:18" s="465" customFormat="1" ht="15" x14ac:dyDescent="0.25">
      <c r="A432" s="1">
        <v>428</v>
      </c>
      <c r="B432" s="1" t="s">
        <v>748</v>
      </c>
      <c r="C432" s="32">
        <v>3541</v>
      </c>
      <c r="D432" s="32">
        <v>12000</v>
      </c>
      <c r="E432" s="1" t="s">
        <v>80</v>
      </c>
      <c r="F432" s="1">
        <v>133.12</v>
      </c>
      <c r="G432" s="1">
        <v>12000</v>
      </c>
      <c r="H432" s="1">
        <f t="shared" si="7"/>
        <v>0</v>
      </c>
      <c r="I432" s="89"/>
      <c r="J432" s="454"/>
      <c r="K432" s="454"/>
      <c r="L432" s="454"/>
      <c r="M432" s="455"/>
      <c r="N432" s="43"/>
      <c r="O432" s="388"/>
      <c r="P432" s="48"/>
      <c r="Q432" s="370"/>
      <c r="R432" s="48"/>
    </row>
    <row r="433" spans="1:18" s="465" customFormat="1" ht="15" x14ac:dyDescent="0.25">
      <c r="A433" s="1">
        <v>429</v>
      </c>
      <c r="B433" s="1" t="s">
        <v>748</v>
      </c>
      <c r="C433" s="32">
        <v>9509</v>
      </c>
      <c r="D433" s="32">
        <v>26000</v>
      </c>
      <c r="E433" s="1" t="s">
        <v>80</v>
      </c>
      <c r="F433" s="1">
        <v>289.57</v>
      </c>
      <c r="G433" s="1">
        <v>26000</v>
      </c>
      <c r="H433" s="1">
        <f t="shared" si="7"/>
        <v>0</v>
      </c>
      <c r="I433" s="89"/>
      <c r="J433" s="454"/>
      <c r="K433" s="454"/>
      <c r="L433" s="454"/>
      <c r="M433" s="455"/>
      <c r="N433" s="43"/>
      <c r="O433" s="388"/>
      <c r="P433" s="48"/>
      <c r="Q433" s="370"/>
      <c r="R433" s="48"/>
    </row>
    <row r="434" spans="1:18" s="465" customFormat="1" ht="15" x14ac:dyDescent="0.25">
      <c r="A434" s="1">
        <v>430</v>
      </c>
      <c r="B434" s="1" t="s">
        <v>748</v>
      </c>
      <c r="C434" s="32">
        <v>9382</v>
      </c>
      <c r="D434" s="32">
        <v>20000</v>
      </c>
      <c r="E434" s="1" t="s">
        <v>80</v>
      </c>
      <c r="F434" s="1">
        <v>222.82</v>
      </c>
      <c r="G434" s="1">
        <v>20000</v>
      </c>
      <c r="H434" s="1">
        <f t="shared" si="7"/>
        <v>0</v>
      </c>
      <c r="I434" s="89"/>
      <c r="J434" s="454"/>
      <c r="K434" s="454"/>
      <c r="L434" s="454"/>
      <c r="M434" s="455"/>
      <c r="N434" s="43"/>
      <c r="O434" s="388"/>
      <c r="P434" s="48"/>
      <c r="Q434" s="370"/>
      <c r="R434" s="48"/>
    </row>
    <row r="435" spans="1:18" s="465" customFormat="1" ht="15" x14ac:dyDescent="0.25">
      <c r="A435" s="1">
        <v>431</v>
      </c>
      <c r="B435" s="1" t="s">
        <v>748</v>
      </c>
      <c r="C435" s="32">
        <v>8382</v>
      </c>
      <c r="D435" s="32">
        <v>20000</v>
      </c>
      <c r="E435" s="1" t="s">
        <v>80</v>
      </c>
      <c r="F435" s="1">
        <v>222.82</v>
      </c>
      <c r="G435" s="1">
        <v>20000</v>
      </c>
      <c r="H435" s="1">
        <f t="shared" si="7"/>
        <v>0</v>
      </c>
      <c r="I435" s="89"/>
      <c r="J435" s="454"/>
      <c r="K435" s="454"/>
      <c r="L435" s="454"/>
      <c r="M435" s="455"/>
      <c r="N435" s="43"/>
      <c r="O435" s="388"/>
      <c r="P435" s="48"/>
      <c r="Q435" s="370"/>
      <c r="R435" s="48"/>
    </row>
    <row r="436" spans="1:18" s="465" customFormat="1" ht="15.75" thickBot="1" x14ac:dyDescent="0.3">
      <c r="A436" s="1">
        <v>432</v>
      </c>
      <c r="B436" s="1" t="s">
        <v>748</v>
      </c>
      <c r="C436" s="32">
        <v>6447</v>
      </c>
      <c r="D436" s="32">
        <v>24000</v>
      </c>
      <c r="E436" s="1" t="s">
        <v>80</v>
      </c>
      <c r="F436" s="1">
        <v>267.57</v>
      </c>
      <c r="G436" s="1">
        <v>24000</v>
      </c>
      <c r="H436" s="1">
        <f t="shared" si="7"/>
        <v>0</v>
      </c>
      <c r="I436" s="89"/>
      <c r="J436" s="454"/>
      <c r="K436" s="454"/>
      <c r="L436" s="454"/>
      <c r="M436" s="455"/>
      <c r="N436" s="43"/>
      <c r="O436" s="388"/>
      <c r="P436" s="48"/>
      <c r="Q436" s="370"/>
      <c r="R436" s="48"/>
    </row>
    <row r="437" spans="1:18" s="465" customFormat="1" ht="15.75" thickBot="1" x14ac:dyDescent="0.3">
      <c r="A437" s="1">
        <v>433</v>
      </c>
      <c r="B437" s="1" t="s">
        <v>748</v>
      </c>
      <c r="C437" s="32">
        <v>4707</v>
      </c>
      <c r="D437" s="32">
        <v>20000</v>
      </c>
      <c r="E437" s="1" t="s">
        <v>80</v>
      </c>
      <c r="F437" s="1">
        <v>222.82</v>
      </c>
      <c r="G437" s="1">
        <v>20000</v>
      </c>
      <c r="H437" s="1">
        <f t="shared" si="7"/>
        <v>0</v>
      </c>
      <c r="I437" s="89"/>
      <c r="J437" s="454"/>
      <c r="K437" s="454"/>
      <c r="L437" s="454"/>
      <c r="M437" s="455"/>
      <c r="N437" s="43"/>
      <c r="O437" s="103">
        <f>2081256-2059630</f>
        <v>21626</v>
      </c>
      <c r="P437" s="359" t="s">
        <v>749</v>
      </c>
      <c r="Q437" s="367" t="s">
        <v>620</v>
      </c>
      <c r="R437" s="360">
        <f>21626-1150</f>
        <v>20476</v>
      </c>
    </row>
    <row r="438" spans="1:18" s="466" customFormat="1" ht="15" x14ac:dyDescent="0.25">
      <c r="A438" s="1">
        <v>434</v>
      </c>
      <c r="B438" s="1" t="s">
        <v>750</v>
      </c>
      <c r="C438" s="32" t="s">
        <v>30</v>
      </c>
      <c r="D438" s="32">
        <v>5000</v>
      </c>
      <c r="E438" s="1" t="s">
        <v>80</v>
      </c>
      <c r="F438" s="1">
        <v>55.75</v>
      </c>
      <c r="G438" s="1">
        <v>5000</v>
      </c>
      <c r="H438" s="1">
        <f t="shared" si="7"/>
        <v>0</v>
      </c>
      <c r="I438" s="89"/>
      <c r="J438" s="454"/>
      <c r="K438" s="454"/>
      <c r="L438" s="454"/>
      <c r="M438" s="455"/>
      <c r="N438" s="43"/>
      <c r="O438" s="388"/>
      <c r="P438" s="48"/>
      <c r="Q438" s="370"/>
      <c r="R438" s="48"/>
    </row>
    <row r="439" spans="1:18" s="470" customFormat="1" ht="15" x14ac:dyDescent="0.25">
      <c r="A439" s="1">
        <v>435</v>
      </c>
      <c r="B439" s="1" t="s">
        <v>752</v>
      </c>
      <c r="C439" s="32">
        <v>6930</v>
      </c>
      <c r="D439" s="32">
        <v>16000</v>
      </c>
      <c r="E439" s="1" t="s">
        <v>80</v>
      </c>
      <c r="F439" s="1">
        <v>178.22</v>
      </c>
      <c r="G439" s="1">
        <v>16000</v>
      </c>
      <c r="H439" s="1">
        <f t="shared" si="7"/>
        <v>0</v>
      </c>
      <c r="I439" s="89"/>
      <c r="J439" s="454"/>
      <c r="K439" s="454"/>
      <c r="L439" s="454"/>
      <c r="M439" s="455"/>
      <c r="N439" s="43"/>
      <c r="O439" s="388"/>
      <c r="P439" s="48"/>
      <c r="Q439" s="370"/>
      <c r="R439" s="48"/>
    </row>
    <row r="440" spans="1:18" s="470" customFormat="1" ht="15" x14ac:dyDescent="0.25">
      <c r="A440" s="1">
        <v>436</v>
      </c>
      <c r="B440" s="1" t="s">
        <v>752</v>
      </c>
      <c r="C440" s="32">
        <v>6735</v>
      </c>
      <c r="D440" s="32">
        <v>16000</v>
      </c>
      <c r="E440" s="1" t="s">
        <v>80</v>
      </c>
      <c r="F440" s="1">
        <v>178.22</v>
      </c>
      <c r="G440" s="1">
        <v>16000</v>
      </c>
      <c r="H440" s="1">
        <f t="shared" si="7"/>
        <v>0</v>
      </c>
      <c r="I440" s="89"/>
      <c r="J440" s="454"/>
      <c r="K440" s="454"/>
      <c r="L440" s="454"/>
      <c r="M440" s="455"/>
      <c r="N440" s="43"/>
      <c r="O440" s="388"/>
      <c r="P440" s="48"/>
      <c r="Q440" s="370"/>
      <c r="R440" s="48"/>
    </row>
    <row r="441" spans="1:18" s="470" customFormat="1" ht="15" x14ac:dyDescent="0.25">
      <c r="A441" s="1">
        <v>437</v>
      </c>
      <c r="B441" s="1" t="s">
        <v>752</v>
      </c>
      <c r="C441" s="32">
        <v>9767</v>
      </c>
      <c r="D441" s="32">
        <v>15000</v>
      </c>
      <c r="E441" s="1" t="s">
        <v>80</v>
      </c>
      <c r="F441" s="1">
        <v>167.15</v>
      </c>
      <c r="G441" s="1">
        <v>15000</v>
      </c>
      <c r="H441" s="1">
        <f t="shared" si="7"/>
        <v>0</v>
      </c>
      <c r="I441" s="89"/>
      <c r="J441" s="454"/>
      <c r="K441" s="454"/>
      <c r="L441" s="454"/>
      <c r="M441" s="455"/>
      <c r="N441" s="43"/>
      <c r="O441" s="388"/>
      <c r="P441" s="48"/>
      <c r="Q441" s="370"/>
      <c r="R441" s="48"/>
    </row>
    <row r="442" spans="1:18" s="470" customFormat="1" ht="15" x14ac:dyDescent="0.25">
      <c r="A442" s="1">
        <v>438</v>
      </c>
      <c r="B442" s="1" t="s">
        <v>752</v>
      </c>
      <c r="C442" s="32">
        <v>3662</v>
      </c>
      <c r="D442" s="32">
        <v>19000</v>
      </c>
      <c r="E442" s="1" t="s">
        <v>80</v>
      </c>
      <c r="F442" s="1">
        <v>211.85</v>
      </c>
      <c r="G442" s="1">
        <v>19000</v>
      </c>
      <c r="H442" s="1">
        <f t="shared" si="7"/>
        <v>0</v>
      </c>
      <c r="I442" s="89"/>
      <c r="J442" s="454"/>
      <c r="K442" s="454"/>
      <c r="L442" s="454"/>
      <c r="M442" s="455"/>
      <c r="N442" s="43"/>
      <c r="O442" s="388"/>
      <c r="P442" s="48"/>
      <c r="Q442" s="370"/>
      <c r="R442" s="48"/>
    </row>
    <row r="443" spans="1:18" s="470" customFormat="1" ht="15" x14ac:dyDescent="0.25">
      <c r="A443" s="1">
        <v>439</v>
      </c>
      <c r="B443" s="1" t="s">
        <v>752</v>
      </c>
      <c r="C443" s="32">
        <v>6794</v>
      </c>
      <c r="D443" s="32">
        <v>16000</v>
      </c>
      <c r="E443" s="1" t="s">
        <v>80</v>
      </c>
      <c r="F443" s="1">
        <v>178.22</v>
      </c>
      <c r="G443" s="1">
        <v>16000</v>
      </c>
      <c r="H443" s="1">
        <f t="shared" si="7"/>
        <v>0</v>
      </c>
      <c r="I443" s="89"/>
      <c r="J443" s="454"/>
      <c r="K443" s="454"/>
      <c r="L443" s="454"/>
      <c r="M443" s="455"/>
      <c r="N443" s="43"/>
      <c r="O443" s="388"/>
      <c r="P443" s="48"/>
      <c r="Q443" s="370"/>
      <c r="R443" s="48"/>
    </row>
    <row r="444" spans="1:18" s="470" customFormat="1" ht="15" x14ac:dyDescent="0.25">
      <c r="A444" s="1">
        <v>440</v>
      </c>
      <c r="B444" s="1" t="s">
        <v>752</v>
      </c>
      <c r="C444" s="32">
        <v>5978</v>
      </c>
      <c r="D444" s="32">
        <v>16000</v>
      </c>
      <c r="E444" s="1" t="s">
        <v>80</v>
      </c>
      <c r="F444" s="1">
        <v>178.22</v>
      </c>
      <c r="G444" s="1">
        <v>16000</v>
      </c>
      <c r="H444" s="1">
        <f t="shared" si="7"/>
        <v>0</v>
      </c>
      <c r="I444" s="89"/>
      <c r="J444" s="454"/>
      <c r="K444" s="454"/>
      <c r="L444" s="454"/>
      <c r="M444" s="455"/>
      <c r="N444" s="43"/>
      <c r="O444" s="388"/>
      <c r="P444" s="48"/>
      <c r="Q444" s="370"/>
      <c r="R444" s="48"/>
    </row>
    <row r="445" spans="1:18" s="470" customFormat="1" ht="15" x14ac:dyDescent="0.25">
      <c r="A445" s="1">
        <v>441</v>
      </c>
      <c r="B445" s="1" t="s">
        <v>752</v>
      </c>
      <c r="C445" s="32">
        <v>7277</v>
      </c>
      <c r="D445" s="32">
        <v>16000</v>
      </c>
      <c r="E445" s="1" t="s">
        <v>80</v>
      </c>
      <c r="F445" s="1">
        <v>178.22</v>
      </c>
      <c r="G445" s="1">
        <v>16000</v>
      </c>
      <c r="H445" s="1">
        <f t="shared" si="7"/>
        <v>0</v>
      </c>
      <c r="I445" s="89"/>
      <c r="J445" s="454"/>
      <c r="K445" s="454"/>
      <c r="L445" s="454"/>
      <c r="M445" s="455"/>
      <c r="N445" s="43"/>
      <c r="O445" s="388"/>
      <c r="P445" s="48"/>
      <c r="Q445" s="370"/>
      <c r="R445" s="48"/>
    </row>
    <row r="446" spans="1:18" s="470" customFormat="1" ht="15" x14ac:dyDescent="0.25">
      <c r="A446" s="1">
        <v>442</v>
      </c>
      <c r="B446" s="1" t="s">
        <v>752</v>
      </c>
      <c r="C446" s="32">
        <v>1832</v>
      </c>
      <c r="D446" s="32">
        <v>13000</v>
      </c>
      <c r="E446" s="1" t="s">
        <v>80</v>
      </c>
      <c r="F446" s="1">
        <v>144.13</v>
      </c>
      <c r="G446" s="1">
        <v>13000</v>
      </c>
      <c r="H446" s="1">
        <f t="shared" si="7"/>
        <v>0</v>
      </c>
      <c r="I446" s="89"/>
      <c r="J446" s="454"/>
      <c r="K446" s="454"/>
      <c r="L446" s="454"/>
      <c r="M446" s="455"/>
      <c r="N446" s="43"/>
      <c r="O446" s="388"/>
      <c r="P446" s="48"/>
      <c r="Q446" s="370"/>
      <c r="R446" s="48"/>
    </row>
    <row r="447" spans="1:18" s="470" customFormat="1" ht="15" x14ac:dyDescent="0.25">
      <c r="A447" s="1">
        <v>443</v>
      </c>
      <c r="B447" s="1" t="s">
        <v>752</v>
      </c>
      <c r="C447" s="32">
        <v>3839</v>
      </c>
      <c r="D447" s="32">
        <v>15500</v>
      </c>
      <c r="E447" s="1" t="s">
        <v>80</v>
      </c>
      <c r="F447" s="1">
        <v>172.57</v>
      </c>
      <c r="G447" s="1">
        <v>15500</v>
      </c>
      <c r="H447" s="1">
        <f t="shared" si="7"/>
        <v>0</v>
      </c>
      <c r="I447" s="89"/>
      <c r="J447" s="454"/>
      <c r="K447" s="454"/>
      <c r="L447" s="454"/>
      <c r="M447" s="455"/>
      <c r="N447" s="43"/>
      <c r="O447" s="388"/>
      <c r="P447" s="48"/>
      <c r="Q447" s="370"/>
      <c r="R447" s="48"/>
    </row>
    <row r="448" spans="1:18" s="470" customFormat="1" ht="15" x14ac:dyDescent="0.25">
      <c r="A448" s="1">
        <v>444</v>
      </c>
      <c r="B448" s="1" t="s">
        <v>752</v>
      </c>
      <c r="C448" s="32">
        <v>6865</v>
      </c>
      <c r="D448" s="32">
        <v>10000</v>
      </c>
      <c r="E448" s="1" t="s">
        <v>80</v>
      </c>
      <c r="F448" s="1">
        <v>111.41</v>
      </c>
      <c r="G448" s="1">
        <v>10000</v>
      </c>
      <c r="H448" s="1">
        <f t="shared" si="7"/>
        <v>0</v>
      </c>
      <c r="I448" s="89"/>
      <c r="J448" s="454"/>
      <c r="K448" s="454"/>
      <c r="L448" s="454"/>
      <c r="M448" s="455"/>
      <c r="N448" s="43"/>
      <c r="O448" s="388"/>
      <c r="P448" s="48"/>
      <c r="Q448" s="370"/>
      <c r="R448" s="48"/>
    </row>
    <row r="449" spans="1:18" s="470" customFormat="1" ht="15" x14ac:dyDescent="0.25">
      <c r="A449" s="1">
        <v>445</v>
      </c>
      <c r="B449" s="1" t="s">
        <v>752</v>
      </c>
      <c r="C449" s="32">
        <v>3342</v>
      </c>
      <c r="D449" s="32">
        <v>13000</v>
      </c>
      <c r="E449" s="1" t="s">
        <v>80</v>
      </c>
      <c r="F449" s="1">
        <v>144.13</v>
      </c>
      <c r="G449" s="1">
        <v>13000</v>
      </c>
      <c r="H449" s="1">
        <f t="shared" si="7"/>
        <v>0</v>
      </c>
      <c r="I449" s="89"/>
      <c r="J449" s="454"/>
      <c r="K449" s="454"/>
      <c r="L449" s="454"/>
      <c r="M449" s="455"/>
      <c r="N449" s="43"/>
      <c r="O449" s="388"/>
      <c r="P449" s="48"/>
      <c r="Q449" s="370"/>
      <c r="R449" s="48"/>
    </row>
    <row r="450" spans="1:18" s="470" customFormat="1" ht="15" x14ac:dyDescent="0.25">
      <c r="A450" s="1">
        <v>446</v>
      </c>
      <c r="B450" s="1" t="s">
        <v>752</v>
      </c>
      <c r="C450" s="32">
        <v>5.6399999999999999E-2</v>
      </c>
      <c r="D450" s="32">
        <v>14000</v>
      </c>
      <c r="E450" s="1" t="s">
        <v>80</v>
      </c>
      <c r="F450" s="1">
        <v>155.47</v>
      </c>
      <c r="G450" s="1">
        <v>14000</v>
      </c>
      <c r="H450" s="1">
        <f t="shared" si="7"/>
        <v>0</v>
      </c>
      <c r="I450" s="89"/>
      <c r="J450" s="454"/>
      <c r="K450" s="454"/>
      <c r="L450" s="454"/>
      <c r="M450" s="455"/>
      <c r="N450" s="43"/>
      <c r="O450" s="388"/>
      <c r="P450" s="48"/>
      <c r="Q450" s="370"/>
      <c r="R450" s="48"/>
    </row>
    <row r="451" spans="1:18" s="470" customFormat="1" ht="15" x14ac:dyDescent="0.25">
      <c r="A451" s="1">
        <v>447</v>
      </c>
      <c r="B451" s="1" t="s">
        <v>752</v>
      </c>
      <c r="C451" s="32">
        <v>3587</v>
      </c>
      <c r="D451" s="32">
        <v>15000</v>
      </c>
      <c r="E451" s="1" t="s">
        <v>80</v>
      </c>
      <c r="F451" s="1">
        <v>167.15</v>
      </c>
      <c r="G451" s="1">
        <v>15000</v>
      </c>
      <c r="H451" s="1">
        <f t="shared" si="7"/>
        <v>0</v>
      </c>
      <c r="I451" s="89"/>
      <c r="J451" s="454"/>
      <c r="K451" s="454"/>
      <c r="L451" s="454"/>
      <c r="M451" s="455"/>
      <c r="N451" s="43"/>
      <c r="O451" s="388"/>
      <c r="P451" s="48"/>
      <c r="Q451" s="370"/>
      <c r="R451" s="48"/>
    </row>
    <row r="452" spans="1:18" s="470" customFormat="1" ht="15" x14ac:dyDescent="0.25">
      <c r="A452" s="1">
        <v>448</v>
      </c>
      <c r="B452" s="1" t="s">
        <v>752</v>
      </c>
      <c r="C452" s="32">
        <v>7672</v>
      </c>
      <c r="D452" s="32">
        <v>20000</v>
      </c>
      <c r="E452" s="1" t="s">
        <v>80</v>
      </c>
      <c r="F452" s="1">
        <v>222.82</v>
      </c>
      <c r="G452" s="1">
        <v>20000</v>
      </c>
      <c r="H452" s="1">
        <f t="shared" si="7"/>
        <v>0</v>
      </c>
      <c r="I452" s="89"/>
      <c r="J452" s="454"/>
      <c r="K452" s="454"/>
      <c r="L452" s="454"/>
      <c r="M452" s="455"/>
      <c r="N452" s="43"/>
      <c r="O452" s="388"/>
      <c r="P452" s="48"/>
      <c r="Q452" s="370"/>
      <c r="R452" s="48"/>
    </row>
    <row r="453" spans="1:18" s="470" customFormat="1" ht="15" x14ac:dyDescent="0.25">
      <c r="A453" s="1">
        <v>449</v>
      </c>
      <c r="B453" s="1" t="s">
        <v>752</v>
      </c>
      <c r="C453" s="32">
        <v>3799</v>
      </c>
      <c r="D453" s="32">
        <v>21000</v>
      </c>
      <c r="E453" s="1" t="s">
        <v>80</v>
      </c>
      <c r="F453" s="1">
        <v>233.87</v>
      </c>
      <c r="G453" s="1">
        <v>21000</v>
      </c>
      <c r="H453" s="1">
        <f t="shared" si="7"/>
        <v>0</v>
      </c>
      <c r="I453" s="89"/>
      <c r="J453" s="454"/>
      <c r="K453" s="454"/>
      <c r="L453" s="454"/>
      <c r="M453" s="455"/>
      <c r="N453" s="43"/>
      <c r="O453" s="388"/>
      <c r="P453" s="48"/>
      <c r="Q453" s="370"/>
      <c r="R453" s="48"/>
    </row>
    <row r="454" spans="1:18" s="470" customFormat="1" ht="15" x14ac:dyDescent="0.25">
      <c r="A454" s="1">
        <v>450</v>
      </c>
      <c r="B454" s="1" t="s">
        <v>752</v>
      </c>
      <c r="C454" s="32">
        <v>3798</v>
      </c>
      <c r="D454" s="32">
        <v>21000</v>
      </c>
      <c r="E454" s="1" t="s">
        <v>80</v>
      </c>
      <c r="F454" s="1">
        <v>233.87</v>
      </c>
      <c r="G454" s="1">
        <v>21000</v>
      </c>
      <c r="H454" s="1">
        <f t="shared" si="7"/>
        <v>0</v>
      </c>
      <c r="I454" s="89"/>
      <c r="J454" s="454"/>
      <c r="K454" s="454"/>
      <c r="L454" s="454"/>
      <c r="M454" s="455"/>
      <c r="N454" s="43"/>
      <c r="O454" s="388"/>
      <c r="P454" s="48"/>
      <c r="Q454" s="370"/>
      <c r="R454" s="48"/>
    </row>
    <row r="455" spans="1:18" s="470" customFormat="1" ht="15" x14ac:dyDescent="0.25">
      <c r="A455" s="1">
        <v>451</v>
      </c>
      <c r="B455" s="1" t="s">
        <v>752</v>
      </c>
      <c r="C455" s="32">
        <v>5859</v>
      </c>
      <c r="D455" s="32">
        <v>15000</v>
      </c>
      <c r="E455" s="1" t="s">
        <v>80</v>
      </c>
      <c r="F455" s="1">
        <v>167.15</v>
      </c>
      <c r="G455" s="1">
        <v>15000</v>
      </c>
      <c r="H455" s="1">
        <f t="shared" si="7"/>
        <v>0</v>
      </c>
      <c r="I455" s="89"/>
      <c r="J455" s="454"/>
      <c r="K455" s="454"/>
      <c r="L455" s="454"/>
      <c r="M455" s="455"/>
      <c r="N455" s="43"/>
      <c r="O455" s="388"/>
      <c r="P455" s="48"/>
      <c r="Q455" s="370"/>
      <c r="R455" s="48"/>
    </row>
    <row r="456" spans="1:18" s="470" customFormat="1" ht="15" x14ac:dyDescent="0.25">
      <c r="A456" s="1">
        <v>452</v>
      </c>
      <c r="B456" s="1" t="s">
        <v>752</v>
      </c>
      <c r="C456" s="32">
        <v>1827</v>
      </c>
      <c r="D456" s="32">
        <v>12000</v>
      </c>
      <c r="E456" s="1" t="s">
        <v>80</v>
      </c>
      <c r="F456" s="1">
        <v>133.66999999999999</v>
      </c>
      <c r="G456" s="1">
        <v>12000</v>
      </c>
      <c r="H456" s="1">
        <f t="shared" si="7"/>
        <v>0</v>
      </c>
      <c r="I456" s="89"/>
      <c r="J456" s="454"/>
      <c r="K456" s="454"/>
      <c r="L456" s="454"/>
      <c r="M456" s="455"/>
      <c r="N456" s="43"/>
      <c r="O456" s="388"/>
      <c r="P456" s="48"/>
      <c r="Q456" s="370"/>
      <c r="R456" s="48"/>
    </row>
    <row r="457" spans="1:18" s="470" customFormat="1" ht="15" x14ac:dyDescent="0.25">
      <c r="A457" s="1">
        <v>453</v>
      </c>
      <c r="B457" s="1" t="s">
        <v>752</v>
      </c>
      <c r="C457" s="32" t="s">
        <v>633</v>
      </c>
      <c r="D457" s="32">
        <v>210</v>
      </c>
      <c r="E457" s="1" t="s">
        <v>80</v>
      </c>
      <c r="F457" s="1">
        <v>2.08</v>
      </c>
      <c r="G457" s="1">
        <v>210</v>
      </c>
      <c r="H457" s="1">
        <f t="shared" si="7"/>
        <v>0</v>
      </c>
      <c r="I457" s="89"/>
      <c r="J457" s="454"/>
      <c r="K457" s="454"/>
      <c r="L457" s="454"/>
      <c r="M457" s="455"/>
      <c r="N457" s="43"/>
      <c r="O457" s="388"/>
      <c r="P457" s="48"/>
      <c r="Q457" s="370"/>
      <c r="R457" s="48"/>
    </row>
    <row r="458" spans="1:18" s="470" customFormat="1" ht="15" x14ac:dyDescent="0.25">
      <c r="A458" s="1">
        <v>454</v>
      </c>
      <c r="B458" s="1" t="s">
        <v>752</v>
      </c>
      <c r="C458" s="32">
        <v>7089</v>
      </c>
      <c r="D458" s="32">
        <v>24000</v>
      </c>
      <c r="E458" s="1" t="s">
        <v>80</v>
      </c>
      <c r="F458" s="1">
        <v>267.42</v>
      </c>
      <c r="G458" s="1">
        <v>24000</v>
      </c>
      <c r="H458" s="1">
        <f t="shared" si="7"/>
        <v>0</v>
      </c>
      <c r="I458" s="89"/>
      <c r="J458" s="454"/>
      <c r="K458" s="454"/>
      <c r="L458" s="454"/>
      <c r="M458" s="455"/>
      <c r="N458" s="43"/>
      <c r="O458" s="388"/>
      <c r="P458" s="48"/>
      <c r="Q458" s="370"/>
      <c r="R458" s="48"/>
    </row>
    <row r="459" spans="1:18" s="470" customFormat="1" ht="15" x14ac:dyDescent="0.25">
      <c r="A459" s="1">
        <v>455</v>
      </c>
      <c r="B459" s="1" t="s">
        <v>752</v>
      </c>
      <c r="C459" s="32">
        <v>5.8400000000000001E-2</v>
      </c>
      <c r="D459" s="32">
        <v>22000</v>
      </c>
      <c r="E459" s="1" t="s">
        <v>80</v>
      </c>
      <c r="F459" s="1">
        <v>222.42</v>
      </c>
      <c r="G459" s="1">
        <v>22000</v>
      </c>
      <c r="H459" s="1">
        <f t="shared" si="7"/>
        <v>0</v>
      </c>
      <c r="I459" s="89"/>
      <c r="J459" s="454"/>
      <c r="K459" s="454"/>
      <c r="L459" s="454"/>
      <c r="M459" s="455"/>
      <c r="N459" s="43"/>
      <c r="O459" s="388"/>
      <c r="P459" s="48"/>
      <c r="Q459" s="370"/>
      <c r="R459" s="48"/>
    </row>
    <row r="460" spans="1:18" s="470" customFormat="1" ht="15" x14ac:dyDescent="0.25">
      <c r="A460" s="1">
        <v>456</v>
      </c>
      <c r="B460" s="1" t="s">
        <v>752</v>
      </c>
      <c r="C460" s="32">
        <v>8.9800000000000005E-2</v>
      </c>
      <c r="D460" s="32">
        <v>11000</v>
      </c>
      <c r="E460" s="1" t="s">
        <v>80</v>
      </c>
      <c r="F460" s="1">
        <v>122.22</v>
      </c>
      <c r="G460" s="1">
        <v>11000</v>
      </c>
      <c r="H460" s="1">
        <f t="shared" si="7"/>
        <v>0</v>
      </c>
      <c r="I460" s="89"/>
      <c r="J460" s="454"/>
      <c r="K460" s="454"/>
      <c r="L460" s="454"/>
      <c r="M460" s="455"/>
      <c r="N460" s="43"/>
      <c r="O460" s="388"/>
      <c r="P460" s="48"/>
      <c r="Q460" s="370"/>
      <c r="R460" s="48"/>
    </row>
    <row r="461" spans="1:18" s="470" customFormat="1" ht="15" x14ac:dyDescent="0.25">
      <c r="A461" s="1">
        <v>457</v>
      </c>
      <c r="B461" s="1" t="s">
        <v>752</v>
      </c>
      <c r="C461" s="32">
        <v>6364</v>
      </c>
      <c r="D461" s="32">
        <v>15000</v>
      </c>
      <c r="E461" s="1" t="s">
        <v>80</v>
      </c>
      <c r="F461" s="1">
        <v>167.15</v>
      </c>
      <c r="G461" s="1">
        <v>15000</v>
      </c>
      <c r="H461" s="1">
        <f t="shared" si="7"/>
        <v>0</v>
      </c>
      <c r="I461" s="89"/>
      <c r="J461" s="454"/>
      <c r="K461" s="454"/>
      <c r="L461" s="454"/>
      <c r="M461" s="455"/>
      <c r="N461" s="43"/>
      <c r="O461" s="388"/>
      <c r="P461" s="48"/>
      <c r="Q461" s="370"/>
      <c r="R461" s="48"/>
    </row>
    <row r="462" spans="1:18" s="470" customFormat="1" ht="15" x14ac:dyDescent="0.25">
      <c r="A462" s="1">
        <v>458</v>
      </c>
      <c r="B462" s="1" t="s">
        <v>752</v>
      </c>
      <c r="C462" s="32">
        <v>8.5699999999999998E-2</v>
      </c>
      <c r="D462" s="32">
        <v>11000</v>
      </c>
      <c r="E462" s="1" t="s">
        <v>80</v>
      </c>
      <c r="F462" s="1">
        <v>122.22</v>
      </c>
      <c r="G462" s="1">
        <v>11000</v>
      </c>
      <c r="H462" s="1">
        <f t="shared" si="7"/>
        <v>0</v>
      </c>
      <c r="I462" s="89"/>
      <c r="J462" s="454"/>
      <c r="K462" s="454"/>
      <c r="L462" s="454"/>
      <c r="M462" s="455"/>
      <c r="N462" s="43"/>
      <c r="O462" s="388"/>
      <c r="P462" s="48"/>
      <c r="Q462" s="370"/>
      <c r="R462" s="48"/>
    </row>
    <row r="463" spans="1:18" s="470" customFormat="1" ht="15" x14ac:dyDescent="0.25">
      <c r="A463" s="1">
        <v>459</v>
      </c>
      <c r="B463" s="1" t="s">
        <v>752</v>
      </c>
      <c r="C463" s="32">
        <v>8007</v>
      </c>
      <c r="D463" s="32">
        <v>22000</v>
      </c>
      <c r="E463" s="1" t="s">
        <v>80</v>
      </c>
      <c r="F463" s="1">
        <v>222.42</v>
      </c>
      <c r="G463" s="1">
        <v>22000</v>
      </c>
      <c r="H463" s="1">
        <f t="shared" si="7"/>
        <v>0</v>
      </c>
      <c r="I463" s="89"/>
      <c r="J463" s="454"/>
      <c r="K463" s="454"/>
      <c r="L463" s="454"/>
      <c r="M463" s="455"/>
      <c r="N463" s="43"/>
      <c r="O463" s="388"/>
      <c r="P463" s="48"/>
      <c r="Q463" s="370"/>
      <c r="R463" s="48"/>
    </row>
    <row r="464" spans="1:18" s="470" customFormat="1" ht="15" x14ac:dyDescent="0.25">
      <c r="A464" s="1">
        <v>460</v>
      </c>
      <c r="B464" s="1" t="s">
        <v>752</v>
      </c>
      <c r="C464" s="32">
        <v>8274</v>
      </c>
      <c r="D464" s="32">
        <v>22000</v>
      </c>
      <c r="E464" s="1" t="s">
        <v>80</v>
      </c>
      <c r="F464" s="1">
        <v>222.42</v>
      </c>
      <c r="G464" s="1">
        <v>22000</v>
      </c>
      <c r="H464" s="1">
        <f t="shared" si="7"/>
        <v>0</v>
      </c>
      <c r="I464" s="89"/>
      <c r="J464" s="454"/>
      <c r="K464" s="454"/>
      <c r="L464" s="454"/>
      <c r="M464" s="455"/>
      <c r="N464" s="43"/>
      <c r="O464" s="388"/>
      <c r="P464" s="48"/>
      <c r="Q464" s="370"/>
      <c r="R464" s="48"/>
    </row>
    <row r="465" spans="1:18" s="470" customFormat="1" ht="15" x14ac:dyDescent="0.25">
      <c r="A465" s="1">
        <v>461</v>
      </c>
      <c r="B465" s="1" t="s">
        <v>752</v>
      </c>
      <c r="C465" s="32">
        <v>8104</v>
      </c>
      <c r="D465" s="32">
        <v>15000</v>
      </c>
      <c r="E465" s="1" t="s">
        <v>80</v>
      </c>
      <c r="F465" s="1">
        <v>167.15</v>
      </c>
      <c r="G465" s="1">
        <v>15000</v>
      </c>
      <c r="H465" s="1">
        <f t="shared" si="7"/>
        <v>0</v>
      </c>
      <c r="I465" s="89"/>
      <c r="J465" s="454"/>
      <c r="K465" s="454"/>
      <c r="L465" s="454"/>
      <c r="M465" s="455"/>
      <c r="N465" s="43"/>
      <c r="O465" s="388"/>
      <c r="P465" s="48"/>
      <c r="Q465" s="370"/>
      <c r="R465" s="48"/>
    </row>
    <row r="466" spans="1:18" s="470" customFormat="1" ht="15" x14ac:dyDescent="0.25">
      <c r="A466" s="1">
        <v>462</v>
      </c>
      <c r="B466" s="1" t="s">
        <v>752</v>
      </c>
      <c r="C466" s="32">
        <v>6233</v>
      </c>
      <c r="D466" s="32">
        <v>17000</v>
      </c>
      <c r="E466" s="1" t="s">
        <v>80</v>
      </c>
      <c r="F466" s="1">
        <v>189.17</v>
      </c>
      <c r="G466" s="1">
        <v>17000</v>
      </c>
      <c r="H466" s="1">
        <f t="shared" si="7"/>
        <v>0</v>
      </c>
      <c r="I466" s="89"/>
      <c r="J466" s="454"/>
      <c r="K466" s="454"/>
      <c r="L466" s="454"/>
      <c r="M466" s="455"/>
      <c r="N466" s="43"/>
      <c r="O466" s="388"/>
      <c r="P466" s="48"/>
      <c r="Q466" s="370"/>
      <c r="R466" s="48"/>
    </row>
    <row r="467" spans="1:18" s="470" customFormat="1" ht="15" x14ac:dyDescent="0.25">
      <c r="A467" s="1">
        <v>463</v>
      </c>
      <c r="B467" s="1" t="s">
        <v>752</v>
      </c>
      <c r="C467" s="32">
        <v>1603</v>
      </c>
      <c r="D467" s="32">
        <v>19000</v>
      </c>
      <c r="E467" s="1" t="s">
        <v>80</v>
      </c>
      <c r="F467" s="1">
        <v>211.82</v>
      </c>
      <c r="G467" s="1">
        <v>19000</v>
      </c>
      <c r="H467" s="1">
        <f t="shared" si="7"/>
        <v>0</v>
      </c>
      <c r="I467" s="89"/>
      <c r="J467" s="454"/>
      <c r="K467" s="454"/>
      <c r="L467" s="454"/>
      <c r="M467" s="455"/>
      <c r="N467" s="43"/>
      <c r="O467" s="388"/>
      <c r="P467" s="48"/>
      <c r="Q467" s="370"/>
      <c r="R467" s="48"/>
    </row>
    <row r="468" spans="1:18" s="470" customFormat="1" ht="15.75" thickBot="1" x14ac:dyDescent="0.3">
      <c r="A468" s="1">
        <v>464</v>
      </c>
      <c r="B468" s="1" t="s">
        <v>752</v>
      </c>
      <c r="C468" s="32">
        <v>2593</v>
      </c>
      <c r="D468" s="32">
        <v>32000</v>
      </c>
      <c r="E468" s="1" t="s">
        <v>80</v>
      </c>
      <c r="F468" s="1">
        <v>356.87</v>
      </c>
      <c r="G468" s="1">
        <v>32000</v>
      </c>
      <c r="H468" s="1">
        <f t="shared" si="7"/>
        <v>0</v>
      </c>
      <c r="I468" s="89"/>
      <c r="J468" s="454"/>
      <c r="K468" s="454"/>
      <c r="L468" s="454"/>
      <c r="M468" s="455"/>
      <c r="N468" s="43"/>
      <c r="O468" s="388"/>
      <c r="P468" s="48"/>
      <c r="Q468" s="370"/>
      <c r="R468" s="48"/>
    </row>
    <row r="469" spans="1:18" s="470" customFormat="1" ht="15.75" thickBot="1" x14ac:dyDescent="0.3">
      <c r="A469" s="1">
        <v>465</v>
      </c>
      <c r="B469" s="1" t="s">
        <v>752</v>
      </c>
      <c r="C469" s="32">
        <v>8.0500000000000002E-2</v>
      </c>
      <c r="D469" s="32">
        <v>20000</v>
      </c>
      <c r="E469" s="1" t="s">
        <v>80</v>
      </c>
      <c r="F469" s="1">
        <v>222.82</v>
      </c>
      <c r="G469" s="1">
        <v>20000</v>
      </c>
      <c r="H469" s="1">
        <f t="shared" ref="H469:H532" si="8">D469-G469</f>
        <v>0</v>
      </c>
      <c r="I469" s="89"/>
      <c r="J469" s="454"/>
      <c r="K469" s="454"/>
      <c r="L469" s="454"/>
      <c r="M469" s="455"/>
      <c r="N469" s="43"/>
      <c r="O469" s="103">
        <f>2188766-2167140</f>
        <v>21626</v>
      </c>
      <c r="P469" s="359" t="s">
        <v>749</v>
      </c>
      <c r="Q469" s="367" t="s">
        <v>620</v>
      </c>
      <c r="R469" s="360">
        <f>21626-1150</f>
        <v>20476</v>
      </c>
    </row>
    <row r="470" spans="1:18" s="471" customFormat="1" ht="15" x14ac:dyDescent="0.25">
      <c r="A470" s="1">
        <v>466</v>
      </c>
      <c r="B470" s="1" t="s">
        <v>753</v>
      </c>
      <c r="C470" s="32" t="s">
        <v>30</v>
      </c>
      <c r="D470" s="32">
        <v>5000</v>
      </c>
      <c r="E470" s="1" t="s">
        <v>80</v>
      </c>
      <c r="F470" s="1">
        <v>55.85</v>
      </c>
      <c r="G470" s="1">
        <v>5000</v>
      </c>
      <c r="H470" s="1">
        <f t="shared" si="8"/>
        <v>0</v>
      </c>
      <c r="I470" s="89"/>
      <c r="J470" s="454"/>
      <c r="K470" s="454"/>
      <c r="L470" s="454"/>
      <c r="M470" s="455"/>
      <c r="N470" s="43"/>
      <c r="O470" s="388"/>
      <c r="P470" s="48"/>
      <c r="Q470" s="370"/>
      <c r="R470" s="48"/>
    </row>
    <row r="471" spans="1:18" s="471" customFormat="1" ht="15" x14ac:dyDescent="0.25">
      <c r="A471" s="1">
        <v>467</v>
      </c>
      <c r="B471" s="1" t="s">
        <v>753</v>
      </c>
      <c r="C471" s="32" t="s">
        <v>30</v>
      </c>
      <c r="D471" s="32">
        <v>3000</v>
      </c>
      <c r="E471" s="1" t="s">
        <v>80</v>
      </c>
      <c r="F471" s="1">
        <v>33.450000000000003</v>
      </c>
      <c r="G471" s="1">
        <v>3000</v>
      </c>
      <c r="H471" s="1">
        <f t="shared" si="8"/>
        <v>0</v>
      </c>
      <c r="I471" s="89"/>
      <c r="J471" s="454"/>
      <c r="K471" s="454"/>
      <c r="L471" s="454"/>
      <c r="M471" s="455"/>
      <c r="N471" s="43"/>
      <c r="O471" s="388"/>
      <c r="P471" s="48"/>
      <c r="Q471" s="370"/>
      <c r="R471" s="48"/>
    </row>
    <row r="472" spans="1:18" s="471" customFormat="1" ht="15" x14ac:dyDescent="0.25">
      <c r="A472" s="1">
        <v>468</v>
      </c>
      <c r="B472" s="1" t="s">
        <v>753</v>
      </c>
      <c r="C472" s="32">
        <v>4820</v>
      </c>
      <c r="D472" s="32">
        <v>16000</v>
      </c>
      <c r="E472" s="1" t="s">
        <v>80</v>
      </c>
      <c r="F472" s="1">
        <v>178.22</v>
      </c>
      <c r="G472" s="1">
        <v>16000</v>
      </c>
      <c r="H472" s="1">
        <f t="shared" si="8"/>
        <v>0</v>
      </c>
      <c r="I472" s="89"/>
      <c r="J472" s="454"/>
      <c r="K472" s="454"/>
      <c r="L472" s="454"/>
      <c r="M472" s="455"/>
      <c r="N472" s="43"/>
      <c r="O472" s="388"/>
      <c r="P472" s="48"/>
      <c r="Q472" s="370"/>
      <c r="R472" s="48"/>
    </row>
    <row r="473" spans="1:18" s="471" customFormat="1" ht="15" x14ac:dyDescent="0.25">
      <c r="A473" s="1">
        <v>469</v>
      </c>
      <c r="B473" s="1" t="s">
        <v>753</v>
      </c>
      <c r="C473" s="32">
        <v>8820</v>
      </c>
      <c r="D473" s="32">
        <v>16000</v>
      </c>
      <c r="E473" s="1" t="s">
        <v>80</v>
      </c>
      <c r="F473" s="1">
        <v>178.22</v>
      </c>
      <c r="G473" s="1">
        <v>16000</v>
      </c>
      <c r="H473" s="1">
        <f t="shared" si="8"/>
        <v>0</v>
      </c>
      <c r="I473" s="89"/>
      <c r="J473" s="454"/>
      <c r="K473" s="454"/>
      <c r="L473" s="454"/>
      <c r="M473" s="455"/>
      <c r="N473" s="43"/>
      <c r="O473" s="388"/>
      <c r="P473" s="48"/>
      <c r="Q473" s="370"/>
      <c r="R473" s="48"/>
    </row>
    <row r="474" spans="1:18" s="471" customFormat="1" ht="15" x14ac:dyDescent="0.25">
      <c r="A474" s="1">
        <v>470</v>
      </c>
      <c r="B474" s="1" t="s">
        <v>753</v>
      </c>
      <c r="C474" s="32">
        <v>6.8699999999999997E-2</v>
      </c>
      <c r="D474" s="32">
        <v>15000</v>
      </c>
      <c r="E474" s="1" t="s">
        <v>80</v>
      </c>
      <c r="F474" s="1">
        <v>167.15</v>
      </c>
      <c r="G474" s="1">
        <v>15000</v>
      </c>
      <c r="H474" s="1">
        <f t="shared" si="8"/>
        <v>0</v>
      </c>
      <c r="I474" s="89"/>
      <c r="J474" s="454"/>
      <c r="K474" s="454"/>
      <c r="L474" s="454"/>
      <c r="M474" s="455"/>
      <c r="N474" s="43"/>
      <c r="O474" s="388"/>
      <c r="P474" s="48"/>
      <c r="Q474" s="370"/>
      <c r="R474" s="48"/>
    </row>
    <row r="475" spans="1:18" s="471" customFormat="1" ht="15" x14ac:dyDescent="0.25">
      <c r="A475" s="1">
        <v>471</v>
      </c>
      <c r="B475" s="1" t="s">
        <v>753</v>
      </c>
      <c r="C475" s="32">
        <v>4204</v>
      </c>
      <c r="D475" s="32">
        <v>15000</v>
      </c>
      <c r="E475" s="1" t="s">
        <v>80</v>
      </c>
      <c r="F475" s="1">
        <v>167.15</v>
      </c>
      <c r="G475" s="1">
        <v>15000</v>
      </c>
      <c r="H475" s="1">
        <f t="shared" si="8"/>
        <v>0</v>
      </c>
      <c r="I475" s="89"/>
      <c r="J475" s="454"/>
      <c r="K475" s="454"/>
      <c r="L475" s="454"/>
      <c r="M475" s="455"/>
      <c r="N475" s="43"/>
      <c r="O475" s="388"/>
      <c r="P475" s="48"/>
      <c r="Q475" s="370"/>
      <c r="R475" s="48"/>
    </row>
    <row r="476" spans="1:18" s="471" customFormat="1" ht="15" x14ac:dyDescent="0.25">
      <c r="A476" s="1">
        <v>472</v>
      </c>
      <c r="B476" s="1" t="s">
        <v>753</v>
      </c>
      <c r="C476" s="32">
        <v>9777</v>
      </c>
      <c r="D476" s="32">
        <v>15000</v>
      </c>
      <c r="E476" s="1" t="s">
        <v>80</v>
      </c>
      <c r="F476" s="1">
        <v>167.15</v>
      </c>
      <c r="G476" s="1">
        <v>15000</v>
      </c>
      <c r="H476" s="1">
        <f t="shared" si="8"/>
        <v>0</v>
      </c>
      <c r="I476" s="89"/>
      <c r="J476" s="454"/>
      <c r="K476" s="454"/>
      <c r="L476" s="454"/>
      <c r="M476" s="455"/>
      <c r="N476" s="43"/>
      <c r="O476" s="388"/>
      <c r="P476" s="48"/>
      <c r="Q476" s="370"/>
      <c r="R476" s="48"/>
    </row>
    <row r="477" spans="1:18" s="471" customFormat="1" ht="15" x14ac:dyDescent="0.25">
      <c r="A477" s="1">
        <v>473</v>
      </c>
      <c r="B477" s="1" t="s">
        <v>753</v>
      </c>
      <c r="C477" s="32">
        <v>9876</v>
      </c>
      <c r="D477" s="32">
        <v>15000</v>
      </c>
      <c r="E477" s="1" t="s">
        <v>80</v>
      </c>
      <c r="F477" s="1">
        <v>167.15</v>
      </c>
      <c r="G477" s="1">
        <v>15000</v>
      </c>
      <c r="H477" s="1">
        <f t="shared" si="8"/>
        <v>0</v>
      </c>
      <c r="I477" s="89"/>
      <c r="J477" s="454"/>
      <c r="K477" s="454"/>
      <c r="L477" s="454"/>
      <c r="M477" s="455"/>
      <c r="N477" s="43"/>
      <c r="O477" s="388"/>
      <c r="P477" s="48"/>
      <c r="Q477" s="370"/>
      <c r="R477" s="48"/>
    </row>
    <row r="478" spans="1:18" s="471" customFormat="1" ht="15" x14ac:dyDescent="0.25">
      <c r="A478" s="1">
        <v>474</v>
      </c>
      <c r="B478" s="1" t="s">
        <v>753</v>
      </c>
      <c r="C478" s="32">
        <v>3886</v>
      </c>
      <c r="D478" s="32">
        <v>15000</v>
      </c>
      <c r="E478" s="1" t="s">
        <v>80</v>
      </c>
      <c r="F478" s="1">
        <v>167.15</v>
      </c>
      <c r="G478" s="1">
        <v>15000</v>
      </c>
      <c r="H478" s="1">
        <f t="shared" si="8"/>
        <v>0</v>
      </c>
      <c r="I478" s="89"/>
      <c r="J478" s="454"/>
      <c r="K478" s="454"/>
      <c r="L478" s="454"/>
      <c r="M478" s="455"/>
      <c r="N478" s="43"/>
      <c r="O478" s="388"/>
      <c r="P478" s="48"/>
      <c r="Q478" s="370"/>
      <c r="R478" s="48"/>
    </row>
    <row r="479" spans="1:18" s="471" customFormat="1" ht="15" x14ac:dyDescent="0.25">
      <c r="A479" s="1">
        <v>475</v>
      </c>
      <c r="B479" s="1" t="s">
        <v>753</v>
      </c>
      <c r="C479" s="32">
        <v>8405</v>
      </c>
      <c r="D479" s="32">
        <v>15000</v>
      </c>
      <c r="E479" s="1" t="s">
        <v>80</v>
      </c>
      <c r="F479" s="1">
        <v>167.15</v>
      </c>
      <c r="G479" s="1">
        <v>15000</v>
      </c>
      <c r="H479" s="1">
        <f t="shared" si="8"/>
        <v>0</v>
      </c>
      <c r="I479" s="89"/>
      <c r="J479" s="454"/>
      <c r="K479" s="454"/>
      <c r="L479" s="454"/>
      <c r="M479" s="455"/>
      <c r="N479" s="43"/>
      <c r="O479" s="388"/>
      <c r="P479" s="48"/>
      <c r="Q479" s="370"/>
      <c r="R479" s="48"/>
    </row>
    <row r="480" spans="1:18" s="471" customFormat="1" ht="15" x14ac:dyDescent="0.25">
      <c r="A480" s="1">
        <v>476</v>
      </c>
      <c r="B480" s="1" t="s">
        <v>753</v>
      </c>
      <c r="C480" s="32" t="s">
        <v>30</v>
      </c>
      <c r="D480" s="32">
        <v>4500</v>
      </c>
      <c r="E480" s="1"/>
      <c r="F480" s="1">
        <v>50.35</v>
      </c>
      <c r="G480" s="1">
        <v>4500</v>
      </c>
      <c r="H480" s="1">
        <f t="shared" si="8"/>
        <v>0</v>
      </c>
      <c r="I480" s="89"/>
      <c r="J480" s="454"/>
      <c r="K480" s="454"/>
      <c r="L480" s="454"/>
      <c r="M480" s="455"/>
      <c r="N480" s="43"/>
      <c r="O480" s="388"/>
      <c r="P480" s="48"/>
      <c r="Q480" s="370"/>
      <c r="R480" s="48"/>
    </row>
    <row r="481" spans="1:18" s="471" customFormat="1" ht="15" x14ac:dyDescent="0.25">
      <c r="A481" s="1">
        <v>477</v>
      </c>
      <c r="B481" s="1" t="s">
        <v>753</v>
      </c>
      <c r="C481" s="32">
        <v>1459</v>
      </c>
      <c r="D481" s="32">
        <v>13000</v>
      </c>
      <c r="E481" s="1" t="s">
        <v>80</v>
      </c>
      <c r="F481" s="1">
        <v>144.13</v>
      </c>
      <c r="G481" s="1">
        <v>13000</v>
      </c>
      <c r="H481" s="1">
        <f t="shared" si="8"/>
        <v>0</v>
      </c>
      <c r="I481" s="89"/>
      <c r="J481" s="454"/>
      <c r="K481" s="454"/>
      <c r="L481" s="454"/>
      <c r="M481" s="455"/>
      <c r="N481" s="43"/>
      <c r="O481" s="388"/>
      <c r="P481" s="48"/>
      <c r="Q481" s="370"/>
      <c r="R481" s="48"/>
    </row>
    <row r="482" spans="1:18" s="471" customFormat="1" ht="15" x14ac:dyDescent="0.25">
      <c r="A482" s="1">
        <v>478</v>
      </c>
      <c r="B482" s="1" t="s">
        <v>753</v>
      </c>
      <c r="C482" s="32">
        <v>7272</v>
      </c>
      <c r="D482" s="32">
        <v>18000</v>
      </c>
      <c r="E482" s="1" t="s">
        <v>80</v>
      </c>
      <c r="F482" s="1">
        <v>200.82</v>
      </c>
      <c r="G482" s="1">
        <v>18000</v>
      </c>
      <c r="H482" s="1">
        <f t="shared" si="8"/>
        <v>0</v>
      </c>
      <c r="I482" s="89"/>
      <c r="J482" s="454"/>
      <c r="K482" s="454"/>
      <c r="L482" s="454"/>
      <c r="M482" s="455"/>
      <c r="N482" s="43"/>
      <c r="O482" s="388"/>
      <c r="P482" s="48"/>
      <c r="Q482" s="370"/>
      <c r="R482" s="48"/>
    </row>
    <row r="483" spans="1:18" s="471" customFormat="1" ht="15" x14ac:dyDescent="0.25">
      <c r="A483" s="1">
        <v>479</v>
      </c>
      <c r="B483" s="1" t="s">
        <v>753</v>
      </c>
      <c r="C483" s="32">
        <v>9651</v>
      </c>
      <c r="D483" s="32">
        <v>20000</v>
      </c>
      <c r="E483" s="1" t="s">
        <v>80</v>
      </c>
      <c r="F483" s="1">
        <v>222.82</v>
      </c>
      <c r="G483" s="1">
        <v>20000</v>
      </c>
      <c r="H483" s="1">
        <f t="shared" si="8"/>
        <v>0</v>
      </c>
      <c r="I483" s="89"/>
      <c r="J483" s="454"/>
      <c r="K483" s="454"/>
      <c r="L483" s="454"/>
      <c r="M483" s="455"/>
      <c r="N483" s="43"/>
      <c r="O483" s="388"/>
      <c r="P483" s="48"/>
      <c r="Q483" s="370"/>
      <c r="R483" s="48"/>
    </row>
    <row r="484" spans="1:18" s="471" customFormat="1" ht="15" x14ac:dyDescent="0.25">
      <c r="A484" s="1">
        <v>480</v>
      </c>
      <c r="B484" s="1" t="s">
        <v>753</v>
      </c>
      <c r="C484" s="32">
        <v>9653</v>
      </c>
      <c r="D484" s="32">
        <v>40000</v>
      </c>
      <c r="E484" s="1" t="s">
        <v>80</v>
      </c>
      <c r="F484" s="1">
        <v>445.87</v>
      </c>
      <c r="G484" s="1">
        <v>40000</v>
      </c>
      <c r="H484" s="1">
        <f t="shared" si="8"/>
        <v>0</v>
      </c>
      <c r="I484" s="89"/>
      <c r="J484" s="454"/>
      <c r="K484" s="454"/>
      <c r="L484" s="454"/>
      <c r="M484" s="455"/>
      <c r="N484" s="43"/>
      <c r="O484" s="388"/>
      <c r="P484" s="48"/>
      <c r="Q484" s="370"/>
      <c r="R484" s="48"/>
    </row>
    <row r="485" spans="1:18" s="471" customFormat="1" ht="15" x14ac:dyDescent="0.25">
      <c r="A485" s="1">
        <v>481</v>
      </c>
      <c r="B485" s="1" t="s">
        <v>753</v>
      </c>
      <c r="C485" s="32">
        <v>4577</v>
      </c>
      <c r="D485" s="32">
        <v>14000</v>
      </c>
      <c r="E485" s="1" t="s">
        <v>80</v>
      </c>
      <c r="F485" s="1">
        <v>155.44999999999999</v>
      </c>
      <c r="G485" s="1">
        <v>14000</v>
      </c>
      <c r="H485" s="1">
        <f t="shared" si="8"/>
        <v>0</v>
      </c>
      <c r="I485" s="89"/>
      <c r="J485" s="454"/>
      <c r="K485" s="454"/>
      <c r="L485" s="454"/>
      <c r="M485" s="455"/>
      <c r="N485" s="43"/>
      <c r="O485" s="388"/>
      <c r="P485" s="48"/>
      <c r="Q485" s="370"/>
      <c r="R485" s="48"/>
    </row>
    <row r="486" spans="1:18" s="471" customFormat="1" ht="15" x14ac:dyDescent="0.25">
      <c r="A486" s="1">
        <v>482</v>
      </c>
      <c r="B486" s="1" t="s">
        <v>753</v>
      </c>
      <c r="C486" s="32">
        <v>1496</v>
      </c>
      <c r="D486" s="32">
        <v>20000</v>
      </c>
      <c r="E486" s="1" t="s">
        <v>80</v>
      </c>
      <c r="F486" s="1">
        <v>222.82</v>
      </c>
      <c r="G486" s="1">
        <v>20000</v>
      </c>
      <c r="H486" s="1">
        <f t="shared" si="8"/>
        <v>0</v>
      </c>
      <c r="I486" s="89"/>
      <c r="J486" s="454"/>
      <c r="K486" s="454"/>
      <c r="L486" s="454"/>
      <c r="M486" s="455"/>
      <c r="N486" s="43"/>
      <c r="O486" s="388"/>
      <c r="P486" s="48"/>
      <c r="Q486" s="370"/>
      <c r="R486" s="48"/>
    </row>
    <row r="487" spans="1:18" s="471" customFormat="1" ht="15" x14ac:dyDescent="0.25">
      <c r="A487" s="1">
        <v>483</v>
      </c>
      <c r="B487" s="1" t="s">
        <v>753</v>
      </c>
      <c r="C487" s="32">
        <v>9596</v>
      </c>
      <c r="D487" s="32">
        <v>10000</v>
      </c>
      <c r="E487" s="1" t="s">
        <v>80</v>
      </c>
      <c r="F487" s="1">
        <v>111.42</v>
      </c>
      <c r="G487" s="1">
        <v>10000</v>
      </c>
      <c r="H487" s="1">
        <f t="shared" si="8"/>
        <v>0</v>
      </c>
      <c r="I487" s="89"/>
      <c r="J487" s="454"/>
      <c r="K487" s="454"/>
      <c r="L487" s="454"/>
      <c r="M487" s="455"/>
      <c r="N487" s="43"/>
      <c r="O487" s="388"/>
      <c r="P487" s="48"/>
      <c r="Q487" s="370"/>
      <c r="R487" s="48"/>
    </row>
    <row r="488" spans="1:18" s="471" customFormat="1" ht="15" x14ac:dyDescent="0.25">
      <c r="A488" s="1">
        <v>484</v>
      </c>
      <c r="B488" s="1" t="s">
        <v>753</v>
      </c>
      <c r="C488" s="32">
        <v>4.1500000000000002E-2</v>
      </c>
      <c r="D488" s="32">
        <v>14000</v>
      </c>
      <c r="E488" s="1" t="s">
        <v>80</v>
      </c>
      <c r="F488" s="1">
        <v>155.47</v>
      </c>
      <c r="G488" s="1">
        <v>14000</v>
      </c>
      <c r="H488" s="1">
        <f t="shared" si="8"/>
        <v>0</v>
      </c>
      <c r="I488" s="89"/>
      <c r="J488" s="454"/>
      <c r="K488" s="454"/>
      <c r="L488" s="454"/>
      <c r="M488" s="455"/>
      <c r="N488" s="43"/>
      <c r="O488" s="388"/>
      <c r="P488" s="48"/>
      <c r="Q488" s="370"/>
      <c r="R488" s="48"/>
    </row>
    <row r="489" spans="1:18" s="471" customFormat="1" ht="15" x14ac:dyDescent="0.25">
      <c r="A489" s="1">
        <v>485</v>
      </c>
      <c r="B489" s="1" t="s">
        <v>753</v>
      </c>
      <c r="C489" s="32">
        <v>8050</v>
      </c>
      <c r="D489" s="32">
        <v>12000</v>
      </c>
      <c r="E489" s="1" t="s">
        <v>80</v>
      </c>
      <c r="F489" s="1">
        <v>133.52000000000001</v>
      </c>
      <c r="G489" s="1">
        <v>12000</v>
      </c>
      <c r="H489" s="1">
        <f t="shared" si="8"/>
        <v>0</v>
      </c>
      <c r="I489" s="89"/>
      <c r="J489" s="454"/>
      <c r="K489" s="454"/>
      <c r="L489" s="454"/>
      <c r="M489" s="455"/>
      <c r="N489" s="43"/>
      <c r="O489" s="388"/>
      <c r="P489" s="48"/>
      <c r="Q489" s="370"/>
      <c r="R489" s="48"/>
    </row>
    <row r="490" spans="1:18" s="471" customFormat="1" ht="15" x14ac:dyDescent="0.25">
      <c r="A490" s="1">
        <v>486</v>
      </c>
      <c r="B490" s="1" t="s">
        <v>753</v>
      </c>
      <c r="C490" s="32">
        <v>9151</v>
      </c>
      <c r="D490" s="32">
        <v>25000</v>
      </c>
      <c r="E490" s="1" t="s">
        <v>80</v>
      </c>
      <c r="F490" s="1">
        <v>278.22000000000003</v>
      </c>
      <c r="G490" s="1">
        <v>25000</v>
      </c>
      <c r="H490" s="1">
        <f t="shared" si="8"/>
        <v>0</v>
      </c>
      <c r="I490" s="89"/>
      <c r="J490" s="454"/>
      <c r="K490" s="454"/>
      <c r="L490" s="454"/>
      <c r="M490" s="455"/>
      <c r="N490" s="43"/>
      <c r="O490" s="388"/>
      <c r="P490" s="48"/>
      <c r="Q490" s="370"/>
      <c r="R490" s="48"/>
    </row>
    <row r="491" spans="1:18" s="471" customFormat="1" ht="15" x14ac:dyDescent="0.25">
      <c r="A491" s="1">
        <v>487</v>
      </c>
      <c r="B491" s="1" t="s">
        <v>753</v>
      </c>
      <c r="C491" s="32">
        <v>1495</v>
      </c>
      <c r="D491" s="32">
        <v>20000</v>
      </c>
      <c r="E491" s="1" t="s">
        <v>80</v>
      </c>
      <c r="F491" s="1">
        <v>222.82</v>
      </c>
      <c r="G491" s="1">
        <v>20000</v>
      </c>
      <c r="H491" s="1">
        <f t="shared" si="8"/>
        <v>0</v>
      </c>
      <c r="I491" s="89"/>
      <c r="J491" s="454"/>
      <c r="K491" s="454"/>
      <c r="L491" s="454"/>
      <c r="M491" s="455"/>
      <c r="N491" s="43"/>
      <c r="O491" s="388"/>
      <c r="P491" s="48"/>
      <c r="Q491" s="370"/>
      <c r="R491" s="48"/>
    </row>
    <row r="492" spans="1:18" s="471" customFormat="1" ht="15" x14ac:dyDescent="0.25">
      <c r="A492" s="1">
        <v>488</v>
      </c>
      <c r="B492" s="1" t="s">
        <v>753</v>
      </c>
      <c r="C492" s="32">
        <v>4823</v>
      </c>
      <c r="D492" s="32">
        <v>5000</v>
      </c>
      <c r="E492" s="1" t="s">
        <v>80</v>
      </c>
      <c r="F492" s="1">
        <v>55.85</v>
      </c>
      <c r="G492" s="1">
        <v>5000</v>
      </c>
      <c r="H492" s="1">
        <f t="shared" si="8"/>
        <v>0</v>
      </c>
      <c r="I492" s="89"/>
      <c r="J492" s="454"/>
      <c r="K492" s="454"/>
      <c r="L492" s="454"/>
      <c r="M492" s="455"/>
      <c r="N492" s="43"/>
      <c r="O492" s="388"/>
      <c r="P492" s="48"/>
      <c r="Q492" s="370"/>
      <c r="R492" s="48"/>
    </row>
    <row r="493" spans="1:18" s="471" customFormat="1" ht="15" x14ac:dyDescent="0.25">
      <c r="A493" s="1">
        <v>489</v>
      </c>
      <c r="B493" s="1" t="s">
        <v>753</v>
      </c>
      <c r="C493" s="32">
        <v>7090</v>
      </c>
      <c r="D493" s="32">
        <v>10000</v>
      </c>
      <c r="E493" s="1" t="s">
        <v>80</v>
      </c>
      <c r="F493" s="1">
        <v>111.41</v>
      </c>
      <c r="G493" s="1">
        <v>10000</v>
      </c>
      <c r="H493" s="1">
        <f t="shared" si="8"/>
        <v>0</v>
      </c>
      <c r="I493" s="89"/>
      <c r="J493" s="454"/>
      <c r="K493" s="454"/>
      <c r="L493" s="454"/>
      <c r="M493" s="455"/>
      <c r="N493" s="43"/>
      <c r="O493" s="388"/>
      <c r="P493" s="48"/>
      <c r="Q493" s="370"/>
      <c r="R493" s="48"/>
    </row>
    <row r="494" spans="1:18" s="471" customFormat="1" ht="15.75" thickBot="1" x14ac:dyDescent="0.3">
      <c r="A494" s="1">
        <v>490</v>
      </c>
      <c r="B494" s="1" t="s">
        <v>753</v>
      </c>
      <c r="C494" s="32">
        <v>7.2099999999999997E-2</v>
      </c>
      <c r="D494" s="32">
        <v>10000</v>
      </c>
      <c r="E494" s="1" t="s">
        <v>80</v>
      </c>
      <c r="F494" s="1">
        <v>111.41</v>
      </c>
      <c r="G494" s="1">
        <v>10000</v>
      </c>
      <c r="H494" s="1">
        <f t="shared" si="8"/>
        <v>0</v>
      </c>
      <c r="I494" s="89"/>
      <c r="J494" s="454"/>
      <c r="K494" s="454"/>
      <c r="L494" s="454"/>
      <c r="M494" s="455"/>
      <c r="N494" s="43"/>
      <c r="O494" s="388"/>
      <c r="P494" s="48"/>
      <c r="Q494" s="370"/>
      <c r="R494" s="48"/>
    </row>
    <row r="495" spans="1:18" s="471" customFormat="1" ht="15.75" thickBot="1" x14ac:dyDescent="0.3">
      <c r="A495" s="1">
        <v>491</v>
      </c>
      <c r="B495" s="1" t="s">
        <v>753</v>
      </c>
      <c r="C495" s="32">
        <v>3005</v>
      </c>
      <c r="D495" s="32">
        <v>10000</v>
      </c>
      <c r="E495" s="1" t="s">
        <v>80</v>
      </c>
      <c r="F495" s="1">
        <v>111.41</v>
      </c>
      <c r="G495" s="1">
        <v>10000</v>
      </c>
      <c r="H495" s="1">
        <f t="shared" si="8"/>
        <v>0</v>
      </c>
      <c r="I495" s="89"/>
      <c r="J495" s="454"/>
      <c r="K495" s="454"/>
      <c r="L495" s="454"/>
      <c r="M495" s="455"/>
      <c r="N495" s="43"/>
      <c r="O495" s="103">
        <f>2264728-2242640</f>
        <v>22088</v>
      </c>
      <c r="P495" s="359" t="s">
        <v>756</v>
      </c>
      <c r="Q495" s="367" t="s">
        <v>620</v>
      </c>
      <c r="R495" s="360">
        <f>22088-1200</f>
        <v>20888</v>
      </c>
    </row>
    <row r="496" spans="1:18" s="473" customFormat="1" ht="15" x14ac:dyDescent="0.25">
      <c r="A496" s="1">
        <v>492</v>
      </c>
      <c r="B496" s="1" t="s">
        <v>757</v>
      </c>
      <c r="C496" s="32">
        <v>5.1000000000000004E-3</v>
      </c>
      <c r="D496" s="32">
        <v>15000</v>
      </c>
      <c r="E496" s="1" t="s">
        <v>642</v>
      </c>
      <c r="F496" s="1">
        <v>167.15</v>
      </c>
      <c r="G496" s="1">
        <v>15000</v>
      </c>
      <c r="H496" s="1">
        <f t="shared" si="8"/>
        <v>0</v>
      </c>
      <c r="I496" s="89"/>
      <c r="J496" s="454"/>
      <c r="K496" s="454"/>
      <c r="L496" s="454"/>
      <c r="M496" s="455"/>
      <c r="N496" s="43"/>
      <c r="O496" s="388"/>
      <c r="P496" s="48"/>
      <c r="Q496" s="370"/>
      <c r="R496" s="48"/>
    </row>
    <row r="497" spans="1:18" s="473" customFormat="1" ht="15" x14ac:dyDescent="0.25">
      <c r="A497" s="1">
        <v>493</v>
      </c>
      <c r="B497" s="1" t="s">
        <v>757</v>
      </c>
      <c r="C497" s="32">
        <v>5151</v>
      </c>
      <c r="D497" s="32">
        <v>16000</v>
      </c>
      <c r="E497" s="1" t="s">
        <v>80</v>
      </c>
      <c r="F497" s="1">
        <v>178.22</v>
      </c>
      <c r="G497" s="1">
        <v>16000</v>
      </c>
      <c r="H497" s="1">
        <f t="shared" si="8"/>
        <v>0</v>
      </c>
      <c r="I497" s="89"/>
      <c r="J497" s="454"/>
      <c r="K497" s="454"/>
      <c r="L497" s="454"/>
      <c r="M497" s="455"/>
      <c r="N497" s="43"/>
      <c r="O497" s="388"/>
      <c r="P497" s="48"/>
      <c r="Q497" s="370"/>
      <c r="R497" s="48"/>
    </row>
    <row r="498" spans="1:18" s="473" customFormat="1" ht="15" x14ac:dyDescent="0.25">
      <c r="A498" s="1">
        <v>494</v>
      </c>
      <c r="B498" s="1" t="s">
        <v>757</v>
      </c>
      <c r="C498" s="32">
        <v>5.1999999999999998E-3</v>
      </c>
      <c r="D498" s="32">
        <v>15000</v>
      </c>
      <c r="E498" s="1" t="s">
        <v>80</v>
      </c>
      <c r="F498" s="1">
        <v>167.15</v>
      </c>
      <c r="G498" s="1">
        <v>15000</v>
      </c>
      <c r="H498" s="1">
        <f t="shared" si="8"/>
        <v>0</v>
      </c>
      <c r="I498" s="89"/>
      <c r="J498" s="454"/>
      <c r="K498" s="454"/>
      <c r="L498" s="454"/>
      <c r="M498" s="455"/>
      <c r="N498" s="43"/>
      <c r="O498" s="388"/>
      <c r="P498" s="48"/>
      <c r="Q498" s="370"/>
      <c r="R498" s="48"/>
    </row>
    <row r="499" spans="1:18" s="473" customFormat="1" ht="15" x14ac:dyDescent="0.25">
      <c r="A499" s="1">
        <v>495</v>
      </c>
      <c r="B499" s="1" t="s">
        <v>757</v>
      </c>
      <c r="C499" s="32">
        <v>1720</v>
      </c>
      <c r="D499" s="32">
        <v>16000</v>
      </c>
      <c r="E499" s="1" t="s">
        <v>80</v>
      </c>
      <c r="F499" s="1">
        <v>178.22</v>
      </c>
      <c r="G499" s="1">
        <v>16000</v>
      </c>
      <c r="H499" s="1">
        <f t="shared" si="8"/>
        <v>0</v>
      </c>
      <c r="I499" s="89"/>
      <c r="J499" s="454"/>
      <c r="K499" s="454"/>
      <c r="L499" s="454"/>
      <c r="M499" s="455"/>
      <c r="N499" s="43"/>
      <c r="O499" s="388"/>
      <c r="P499" s="48"/>
      <c r="Q499" s="370"/>
      <c r="R499" s="48"/>
    </row>
    <row r="500" spans="1:18" s="473" customFormat="1" ht="15" x14ac:dyDescent="0.25">
      <c r="A500" s="1">
        <v>496</v>
      </c>
      <c r="B500" s="1" t="s">
        <v>757</v>
      </c>
      <c r="C500" s="32">
        <v>1547</v>
      </c>
      <c r="D500" s="32">
        <v>20000</v>
      </c>
      <c r="E500" s="1" t="s">
        <v>80</v>
      </c>
      <c r="F500" s="1">
        <v>222.82</v>
      </c>
      <c r="G500" s="1">
        <v>20000</v>
      </c>
      <c r="H500" s="1">
        <f t="shared" si="8"/>
        <v>0</v>
      </c>
      <c r="I500" s="89"/>
      <c r="J500" s="454"/>
      <c r="K500" s="454"/>
      <c r="L500" s="454"/>
      <c r="M500" s="455"/>
      <c r="N500" s="43"/>
      <c r="O500" s="388"/>
      <c r="P500" s="48"/>
      <c r="Q500" s="370"/>
      <c r="R500" s="48"/>
    </row>
    <row r="501" spans="1:18" s="473" customFormat="1" ht="15" x14ac:dyDescent="0.25">
      <c r="A501" s="1">
        <v>497</v>
      </c>
      <c r="B501" s="1" t="s">
        <v>757</v>
      </c>
      <c r="C501" s="32">
        <v>7820</v>
      </c>
      <c r="D501" s="32">
        <v>16000</v>
      </c>
      <c r="E501" s="1" t="s">
        <v>80</v>
      </c>
      <c r="F501" s="1">
        <v>178.22</v>
      </c>
      <c r="G501" s="1">
        <v>16000</v>
      </c>
      <c r="H501" s="1">
        <f t="shared" si="8"/>
        <v>0</v>
      </c>
      <c r="I501" s="89"/>
      <c r="J501" s="454"/>
      <c r="K501" s="454"/>
      <c r="L501" s="454"/>
      <c r="M501" s="455"/>
      <c r="N501" s="43"/>
      <c r="O501" s="388"/>
      <c r="P501" s="48"/>
      <c r="Q501" s="370"/>
      <c r="R501" s="48"/>
    </row>
    <row r="502" spans="1:18" s="473" customFormat="1" ht="15" x14ac:dyDescent="0.25">
      <c r="A502" s="1">
        <v>498</v>
      </c>
      <c r="B502" s="1" t="s">
        <v>757</v>
      </c>
      <c r="C502" s="32">
        <v>2425</v>
      </c>
      <c r="D502" s="32">
        <v>15000</v>
      </c>
      <c r="E502" s="1" t="s">
        <v>80</v>
      </c>
      <c r="F502" s="1">
        <v>167.15</v>
      </c>
      <c r="G502" s="1">
        <v>15000</v>
      </c>
      <c r="H502" s="1">
        <f t="shared" si="8"/>
        <v>0</v>
      </c>
      <c r="I502" s="89"/>
      <c r="J502" s="454"/>
      <c r="K502" s="454"/>
      <c r="L502" s="454"/>
      <c r="M502" s="455"/>
      <c r="N502" s="43"/>
      <c r="O502" s="388"/>
      <c r="P502" s="48"/>
      <c r="Q502" s="370"/>
      <c r="R502" s="48"/>
    </row>
    <row r="503" spans="1:18" s="473" customFormat="1" ht="15" x14ac:dyDescent="0.25">
      <c r="A503" s="1">
        <v>499</v>
      </c>
      <c r="B503" s="1" t="s">
        <v>757</v>
      </c>
      <c r="C503" s="32">
        <v>5781</v>
      </c>
      <c r="D503" s="32">
        <v>18000</v>
      </c>
      <c r="E503" s="1" t="s">
        <v>80</v>
      </c>
      <c r="F503" s="1">
        <v>200.18</v>
      </c>
      <c r="G503" s="1">
        <v>18000</v>
      </c>
      <c r="H503" s="1">
        <f t="shared" si="8"/>
        <v>0</v>
      </c>
      <c r="I503" s="89"/>
      <c r="J503" s="454"/>
      <c r="K503" s="454"/>
      <c r="L503" s="454"/>
      <c r="M503" s="455"/>
      <c r="N503" s="43"/>
      <c r="O503" s="388"/>
      <c r="P503" s="48"/>
      <c r="Q503" s="370"/>
      <c r="R503" s="48"/>
    </row>
    <row r="504" spans="1:18" s="473" customFormat="1" ht="15" x14ac:dyDescent="0.25">
      <c r="A504" s="1">
        <v>500</v>
      </c>
      <c r="B504" s="1" t="s">
        <v>757</v>
      </c>
      <c r="C504" s="32">
        <v>7450</v>
      </c>
      <c r="D504" s="32">
        <v>15000</v>
      </c>
      <c r="E504" s="1" t="s">
        <v>80</v>
      </c>
      <c r="F504" s="1">
        <v>167.15</v>
      </c>
      <c r="G504" s="1">
        <v>15000</v>
      </c>
      <c r="H504" s="1">
        <f t="shared" si="8"/>
        <v>0</v>
      </c>
      <c r="I504" s="89"/>
      <c r="J504" s="454"/>
      <c r="K504" s="454"/>
      <c r="L504" s="454"/>
      <c r="M504" s="455"/>
      <c r="N504" s="43"/>
      <c r="O504" s="388"/>
      <c r="P504" s="48"/>
      <c r="Q504" s="370"/>
      <c r="R504" s="48"/>
    </row>
    <row r="505" spans="1:18" s="473" customFormat="1" ht="15" x14ac:dyDescent="0.25">
      <c r="A505" s="1">
        <v>501</v>
      </c>
      <c r="B505" s="1" t="s">
        <v>757</v>
      </c>
      <c r="C505" s="32" t="s">
        <v>30</v>
      </c>
      <c r="D505" s="32">
        <v>5000</v>
      </c>
      <c r="E505" s="1" t="s">
        <v>80</v>
      </c>
      <c r="F505" s="1">
        <v>55.45</v>
      </c>
      <c r="G505" s="1">
        <v>5000</v>
      </c>
      <c r="H505" s="1">
        <f t="shared" si="8"/>
        <v>0</v>
      </c>
      <c r="I505" s="89"/>
      <c r="J505" s="454"/>
      <c r="K505" s="454"/>
      <c r="L505" s="454"/>
      <c r="M505" s="455"/>
      <c r="N505" s="43"/>
      <c r="O505" s="388"/>
      <c r="P505" s="48"/>
      <c r="Q505" s="370"/>
      <c r="R505" s="48"/>
    </row>
    <row r="506" spans="1:18" s="473" customFormat="1" ht="15" x14ac:dyDescent="0.25">
      <c r="A506" s="1">
        <v>502</v>
      </c>
      <c r="B506" s="1" t="s">
        <v>757</v>
      </c>
      <c r="C506" s="32">
        <v>1071</v>
      </c>
      <c r="D506" s="32">
        <v>13000</v>
      </c>
      <c r="E506" s="1" t="s">
        <v>80</v>
      </c>
      <c r="F506" s="1">
        <v>144.13</v>
      </c>
      <c r="G506" s="1">
        <v>13000</v>
      </c>
      <c r="H506" s="1">
        <f t="shared" si="8"/>
        <v>0</v>
      </c>
      <c r="I506" s="89"/>
      <c r="J506" s="454"/>
      <c r="K506" s="454"/>
      <c r="L506" s="454"/>
      <c r="M506" s="455"/>
      <c r="N506" s="43"/>
      <c r="O506" s="388"/>
      <c r="P506" s="48"/>
      <c r="Q506" s="370"/>
      <c r="R506" s="48"/>
    </row>
    <row r="507" spans="1:18" s="473" customFormat="1" ht="15" x14ac:dyDescent="0.25">
      <c r="A507" s="1">
        <v>503</v>
      </c>
      <c r="B507" s="1" t="s">
        <v>757</v>
      </c>
      <c r="C507" s="32">
        <v>1965</v>
      </c>
      <c r="D507" s="32">
        <v>12000</v>
      </c>
      <c r="E507" s="1" t="s">
        <v>80</v>
      </c>
      <c r="F507" s="1">
        <v>133.41999999999999</v>
      </c>
      <c r="G507" s="1">
        <v>12000</v>
      </c>
      <c r="H507" s="1">
        <f t="shared" si="8"/>
        <v>0</v>
      </c>
      <c r="I507" s="89"/>
      <c r="J507" s="454"/>
      <c r="K507" s="454"/>
      <c r="L507" s="454"/>
      <c r="M507" s="455"/>
      <c r="N507" s="43"/>
      <c r="O507" s="388"/>
      <c r="P507" s="48"/>
      <c r="Q507" s="370"/>
      <c r="R507" s="48"/>
    </row>
    <row r="508" spans="1:18" s="473" customFormat="1" ht="15" x14ac:dyDescent="0.25">
      <c r="A508" s="1">
        <v>504</v>
      </c>
      <c r="B508" s="1" t="s">
        <v>757</v>
      </c>
      <c r="C508" s="32">
        <v>3738</v>
      </c>
      <c r="D508" s="32">
        <v>18000</v>
      </c>
      <c r="E508" s="1" t="s">
        <v>80</v>
      </c>
      <c r="F508" s="1">
        <v>200.18</v>
      </c>
      <c r="G508" s="1">
        <v>18000</v>
      </c>
      <c r="H508" s="1">
        <f t="shared" si="8"/>
        <v>0</v>
      </c>
      <c r="I508" s="89"/>
      <c r="J508" s="454"/>
      <c r="K508" s="454"/>
      <c r="L508" s="454"/>
      <c r="M508" s="455"/>
      <c r="N508" s="43"/>
      <c r="O508" s="388"/>
      <c r="P508" s="48"/>
      <c r="Q508" s="370"/>
      <c r="R508" s="48"/>
    </row>
    <row r="509" spans="1:18" s="473" customFormat="1" ht="15" x14ac:dyDescent="0.25">
      <c r="A509" s="1">
        <v>505</v>
      </c>
      <c r="B509" s="1" t="s">
        <v>757</v>
      </c>
      <c r="C509" s="32">
        <v>9235</v>
      </c>
      <c r="D509" s="32">
        <v>26000</v>
      </c>
      <c r="E509" s="1" t="s">
        <v>80</v>
      </c>
      <c r="F509" s="1">
        <v>289.74</v>
      </c>
      <c r="G509" s="1">
        <v>26000</v>
      </c>
      <c r="H509" s="1">
        <f t="shared" si="8"/>
        <v>0</v>
      </c>
      <c r="I509" s="89"/>
      <c r="J509" s="454"/>
      <c r="K509" s="454"/>
      <c r="L509" s="454"/>
      <c r="M509" s="455"/>
      <c r="N509" s="43"/>
      <c r="O509" s="388"/>
      <c r="P509" s="48"/>
      <c r="Q509" s="370"/>
      <c r="R509" s="48"/>
    </row>
    <row r="510" spans="1:18" s="473" customFormat="1" ht="15" x14ac:dyDescent="0.25">
      <c r="A510" s="1">
        <v>506</v>
      </c>
      <c r="B510" s="1" t="s">
        <v>757</v>
      </c>
      <c r="C510" s="32">
        <v>9289</v>
      </c>
      <c r="D510" s="32">
        <v>27000</v>
      </c>
      <c r="E510" s="1" t="s">
        <v>80</v>
      </c>
      <c r="F510" s="1">
        <v>300.67</v>
      </c>
      <c r="G510" s="1">
        <v>27000</v>
      </c>
      <c r="H510" s="1">
        <f t="shared" si="8"/>
        <v>0</v>
      </c>
      <c r="I510" s="89"/>
      <c r="J510" s="454"/>
      <c r="K510" s="454"/>
      <c r="L510" s="454"/>
      <c r="M510" s="455"/>
      <c r="N510" s="43"/>
      <c r="O510" s="388"/>
      <c r="P510" s="48"/>
      <c r="Q510" s="370"/>
      <c r="R510" s="48"/>
    </row>
    <row r="511" spans="1:18" s="473" customFormat="1" ht="15" x14ac:dyDescent="0.25">
      <c r="A511" s="1">
        <v>507</v>
      </c>
      <c r="B511" s="1" t="s">
        <v>757</v>
      </c>
      <c r="C511" s="32">
        <v>9458</v>
      </c>
      <c r="D511" s="32">
        <v>30000</v>
      </c>
      <c r="E511" s="1" t="s">
        <v>80</v>
      </c>
      <c r="F511" s="1">
        <v>334.82</v>
      </c>
      <c r="G511" s="1">
        <v>30000</v>
      </c>
      <c r="H511" s="1">
        <f t="shared" si="8"/>
        <v>0</v>
      </c>
      <c r="I511" s="89"/>
      <c r="J511" s="454"/>
      <c r="K511" s="454"/>
      <c r="L511" s="454"/>
      <c r="M511" s="455"/>
      <c r="N511" s="43"/>
      <c r="O511" s="388"/>
      <c r="P511" s="48"/>
      <c r="Q511" s="370"/>
      <c r="R511" s="48"/>
    </row>
    <row r="512" spans="1:18" s="473" customFormat="1" ht="15" x14ac:dyDescent="0.25">
      <c r="A512" s="1">
        <v>508</v>
      </c>
      <c r="B512" s="1" t="s">
        <v>757</v>
      </c>
      <c r="C512" s="32">
        <v>8963</v>
      </c>
      <c r="D512" s="32">
        <v>26000</v>
      </c>
      <c r="E512" s="1" t="s">
        <v>80</v>
      </c>
      <c r="F512" s="1">
        <v>289.74</v>
      </c>
      <c r="G512" s="1">
        <v>26000</v>
      </c>
      <c r="H512" s="1">
        <f t="shared" si="8"/>
        <v>0</v>
      </c>
      <c r="I512" s="89"/>
      <c r="J512" s="454"/>
      <c r="K512" s="454"/>
      <c r="L512" s="454"/>
      <c r="M512" s="455"/>
      <c r="N512" s="43"/>
      <c r="O512" s="388"/>
      <c r="P512" s="48"/>
      <c r="Q512" s="370"/>
      <c r="R512" s="48"/>
    </row>
    <row r="513" spans="1:18" s="473" customFormat="1" ht="15" x14ac:dyDescent="0.25">
      <c r="A513" s="1">
        <v>509</v>
      </c>
      <c r="B513" s="1" t="s">
        <v>757</v>
      </c>
      <c r="C513" s="32">
        <v>9457</v>
      </c>
      <c r="D513" s="32">
        <v>30000</v>
      </c>
      <c r="E513" s="1" t="s">
        <v>80</v>
      </c>
      <c r="F513" s="1">
        <v>334.82</v>
      </c>
      <c r="G513" s="1">
        <v>30000</v>
      </c>
      <c r="H513" s="1">
        <f t="shared" si="8"/>
        <v>0</v>
      </c>
      <c r="I513" s="89"/>
      <c r="J513" s="454"/>
      <c r="K513" s="454"/>
      <c r="L513" s="454"/>
      <c r="M513" s="455"/>
      <c r="N513" s="43"/>
      <c r="O513" s="388"/>
      <c r="P513" s="48"/>
      <c r="Q513" s="370"/>
      <c r="R513" s="48"/>
    </row>
    <row r="514" spans="1:18" s="473" customFormat="1" ht="15" x14ac:dyDescent="0.25">
      <c r="A514" s="1">
        <v>510</v>
      </c>
      <c r="B514" s="1" t="s">
        <v>757</v>
      </c>
      <c r="C514" s="32">
        <v>9992</v>
      </c>
      <c r="D514" s="32">
        <v>26000</v>
      </c>
      <c r="E514" s="1" t="s">
        <v>80</v>
      </c>
      <c r="F514" s="1">
        <v>289.74</v>
      </c>
      <c r="G514" s="1">
        <v>26000</v>
      </c>
      <c r="H514" s="1">
        <f t="shared" si="8"/>
        <v>0</v>
      </c>
      <c r="I514" s="89"/>
      <c r="J514" s="454"/>
      <c r="K514" s="454"/>
      <c r="L514" s="454"/>
      <c r="M514" s="455"/>
      <c r="N514" s="43"/>
      <c r="O514" s="388"/>
      <c r="P514" s="48"/>
      <c r="Q514" s="370"/>
      <c r="R514" s="48"/>
    </row>
    <row r="515" spans="1:18" s="473" customFormat="1" ht="15" x14ac:dyDescent="0.25">
      <c r="A515" s="1">
        <v>511</v>
      </c>
      <c r="B515" s="1" t="s">
        <v>757</v>
      </c>
      <c r="C515" s="32">
        <v>7196</v>
      </c>
      <c r="D515" s="32">
        <v>30000</v>
      </c>
      <c r="E515" s="1" t="s">
        <v>80</v>
      </c>
      <c r="F515" s="1">
        <v>289.74</v>
      </c>
      <c r="G515" s="1">
        <v>30000</v>
      </c>
      <c r="H515" s="1">
        <f t="shared" si="8"/>
        <v>0</v>
      </c>
      <c r="I515" s="89"/>
      <c r="J515" s="454"/>
      <c r="K515" s="454"/>
      <c r="L515" s="454"/>
      <c r="M515" s="455"/>
      <c r="N515" s="43"/>
      <c r="O515" s="388"/>
      <c r="P515" s="48"/>
      <c r="Q515" s="370"/>
      <c r="R515" s="48"/>
    </row>
    <row r="516" spans="1:18" s="473" customFormat="1" ht="15" x14ac:dyDescent="0.25">
      <c r="A516" s="1">
        <v>512</v>
      </c>
      <c r="B516" s="1" t="s">
        <v>757</v>
      </c>
      <c r="C516" s="32">
        <v>6922</v>
      </c>
      <c r="D516" s="32">
        <v>20000</v>
      </c>
      <c r="E516" s="1" t="s">
        <v>80</v>
      </c>
      <c r="F516" s="1">
        <v>222.82</v>
      </c>
      <c r="G516" s="1">
        <v>20000</v>
      </c>
      <c r="H516" s="1">
        <f t="shared" si="8"/>
        <v>0</v>
      </c>
      <c r="I516" s="89"/>
      <c r="J516" s="454"/>
      <c r="K516" s="454"/>
      <c r="L516" s="454"/>
      <c r="M516" s="455"/>
      <c r="N516" s="43"/>
      <c r="O516" s="388"/>
      <c r="P516" s="48"/>
      <c r="Q516" s="370"/>
      <c r="R516" s="48"/>
    </row>
    <row r="517" spans="1:18" s="473" customFormat="1" ht="15" x14ac:dyDescent="0.25">
      <c r="A517" s="1">
        <v>513</v>
      </c>
      <c r="B517" s="1" t="s">
        <v>757</v>
      </c>
      <c r="C517" s="32">
        <v>1451</v>
      </c>
      <c r="D517" s="32">
        <v>25000</v>
      </c>
      <c r="E517" s="1" t="s">
        <v>80</v>
      </c>
      <c r="F517" s="1">
        <v>278.22000000000003</v>
      </c>
      <c r="G517" s="1">
        <v>25000</v>
      </c>
      <c r="H517" s="1">
        <f t="shared" si="8"/>
        <v>0</v>
      </c>
      <c r="I517" s="89"/>
      <c r="J517" s="454"/>
      <c r="K517" s="454"/>
      <c r="L517" s="454"/>
      <c r="M517" s="455"/>
      <c r="N517" s="43"/>
      <c r="O517" s="388"/>
      <c r="P517" s="48"/>
      <c r="Q517" s="370"/>
      <c r="R517" s="48"/>
    </row>
    <row r="518" spans="1:18" s="473" customFormat="1" ht="15" x14ac:dyDescent="0.25">
      <c r="A518" s="1">
        <v>514</v>
      </c>
      <c r="B518" s="1" t="s">
        <v>757</v>
      </c>
      <c r="C518" s="32">
        <v>2320</v>
      </c>
      <c r="D518" s="32">
        <v>25000</v>
      </c>
      <c r="E518" s="1" t="s">
        <v>80</v>
      </c>
      <c r="F518" s="1">
        <v>278.22000000000003</v>
      </c>
      <c r="G518" s="1">
        <v>25000</v>
      </c>
      <c r="H518" s="1">
        <f t="shared" si="8"/>
        <v>0</v>
      </c>
      <c r="I518" s="89"/>
      <c r="J518" s="454"/>
      <c r="K518" s="454"/>
      <c r="L518" s="454"/>
      <c r="M518" s="455"/>
      <c r="N518" s="43"/>
      <c r="O518" s="388"/>
      <c r="P518" s="48"/>
      <c r="Q518" s="370"/>
      <c r="R518" s="48"/>
    </row>
    <row r="519" spans="1:18" s="473" customFormat="1" ht="15" x14ac:dyDescent="0.25">
      <c r="A519" s="1">
        <v>515</v>
      </c>
      <c r="B519" s="1" t="s">
        <v>757</v>
      </c>
      <c r="C519" s="32">
        <v>1589</v>
      </c>
      <c r="D519" s="32">
        <v>27000</v>
      </c>
      <c r="E519" s="1" t="s">
        <v>80</v>
      </c>
      <c r="F519" s="1">
        <v>300.67</v>
      </c>
      <c r="G519" s="1">
        <v>27000</v>
      </c>
      <c r="H519" s="1">
        <f t="shared" si="8"/>
        <v>0</v>
      </c>
      <c r="I519" s="89"/>
      <c r="J519" s="454"/>
      <c r="K519" s="454"/>
      <c r="L519" s="454"/>
      <c r="M519" s="455"/>
      <c r="N519" s="43"/>
      <c r="O519" s="388"/>
      <c r="P519" s="48"/>
      <c r="Q519" s="370"/>
      <c r="R519" s="48"/>
    </row>
    <row r="520" spans="1:18" s="473" customFormat="1" ht="15.75" thickBot="1" x14ac:dyDescent="0.3">
      <c r="A520" s="1">
        <v>516</v>
      </c>
      <c r="B520" s="1" t="s">
        <v>757</v>
      </c>
      <c r="C520" s="32">
        <v>9108</v>
      </c>
      <c r="D520" s="32">
        <v>25000</v>
      </c>
      <c r="E520" s="1" t="s">
        <v>80</v>
      </c>
      <c r="F520" s="1">
        <v>278.22000000000003</v>
      </c>
      <c r="G520" s="1">
        <v>25000</v>
      </c>
      <c r="H520" s="1">
        <f t="shared" si="8"/>
        <v>0</v>
      </c>
      <c r="I520" s="89"/>
      <c r="J520" s="454"/>
      <c r="K520" s="454"/>
      <c r="L520" s="454"/>
      <c r="M520" s="455"/>
      <c r="N520" s="43"/>
      <c r="O520" s="388"/>
      <c r="P520" s="48"/>
      <c r="Q520" s="370"/>
      <c r="R520" s="48"/>
    </row>
    <row r="521" spans="1:18" s="473" customFormat="1" ht="15.75" thickBot="1" x14ac:dyDescent="0.3">
      <c r="A521" s="1">
        <v>517</v>
      </c>
      <c r="B521" s="1" t="s">
        <v>757</v>
      </c>
      <c r="C521" s="32">
        <v>9107</v>
      </c>
      <c r="D521" s="32">
        <v>25000</v>
      </c>
      <c r="E521" s="1" t="s">
        <v>80</v>
      </c>
      <c r="F521" s="1">
        <v>278.22000000000003</v>
      </c>
      <c r="G521" s="1">
        <v>25000</v>
      </c>
      <c r="H521" s="1">
        <f t="shared" si="8"/>
        <v>0</v>
      </c>
      <c r="I521" s="89"/>
      <c r="J521" s="454"/>
      <c r="K521" s="454"/>
      <c r="L521" s="454"/>
      <c r="M521" s="455"/>
      <c r="N521" s="43"/>
      <c r="O521" s="103">
        <f>2500807-2478640</f>
        <v>22167</v>
      </c>
      <c r="P521" s="359" t="s">
        <v>756</v>
      </c>
      <c r="Q521" s="367" t="s">
        <v>620</v>
      </c>
      <c r="R521" s="360">
        <f>22088-1200</f>
        <v>20888</v>
      </c>
    </row>
    <row r="522" spans="1:18" s="474" customFormat="1" ht="15" x14ac:dyDescent="0.25">
      <c r="A522" s="1">
        <v>518</v>
      </c>
      <c r="B522" s="1" t="s">
        <v>758</v>
      </c>
      <c r="C522" s="32">
        <v>5820</v>
      </c>
      <c r="D522" s="32">
        <v>16000</v>
      </c>
      <c r="E522" s="1" t="s">
        <v>80</v>
      </c>
      <c r="F522" s="1">
        <v>178.22</v>
      </c>
      <c r="G522" s="1">
        <v>16000</v>
      </c>
      <c r="H522" s="1">
        <f t="shared" si="8"/>
        <v>0</v>
      </c>
      <c r="I522" s="89"/>
      <c r="J522" s="454"/>
      <c r="K522" s="454"/>
      <c r="L522" s="454"/>
      <c r="M522" s="455"/>
      <c r="N522" s="43"/>
      <c r="O522" s="388"/>
      <c r="P522" s="48"/>
      <c r="Q522" s="370"/>
      <c r="R522" s="48"/>
    </row>
    <row r="523" spans="1:18" s="474" customFormat="1" ht="15" x14ac:dyDescent="0.25">
      <c r="A523" s="1">
        <v>519</v>
      </c>
      <c r="B523" s="1" t="s">
        <v>758</v>
      </c>
      <c r="C523" s="32">
        <v>3587</v>
      </c>
      <c r="D523" s="32">
        <v>12000</v>
      </c>
      <c r="E523" s="1" t="s">
        <v>80</v>
      </c>
      <c r="F523" s="1">
        <v>133.41999999999999</v>
      </c>
      <c r="G523" s="1">
        <v>12000</v>
      </c>
      <c r="H523" s="1">
        <f t="shared" si="8"/>
        <v>0</v>
      </c>
      <c r="I523" s="89"/>
      <c r="J523" s="454"/>
      <c r="K523" s="454"/>
      <c r="L523" s="454"/>
      <c r="M523" s="455"/>
      <c r="N523" s="43"/>
      <c r="O523" s="388"/>
      <c r="P523" s="48"/>
      <c r="Q523" s="370"/>
      <c r="R523" s="48"/>
    </row>
    <row r="524" spans="1:18" s="474" customFormat="1" ht="15" x14ac:dyDescent="0.25">
      <c r="A524" s="1">
        <v>520</v>
      </c>
      <c r="B524" s="1" t="s">
        <v>758</v>
      </c>
      <c r="C524" s="32">
        <v>3577</v>
      </c>
      <c r="D524" s="32">
        <v>12000</v>
      </c>
      <c r="E524" s="1" t="s">
        <v>80</v>
      </c>
      <c r="F524" s="1">
        <v>133.41999999999999</v>
      </c>
      <c r="G524" s="1">
        <v>12000</v>
      </c>
      <c r="H524" s="1">
        <f t="shared" si="8"/>
        <v>0</v>
      </c>
      <c r="I524" s="89"/>
      <c r="J524" s="454"/>
      <c r="K524" s="454"/>
      <c r="L524" s="454"/>
      <c r="M524" s="455"/>
      <c r="N524" s="43"/>
      <c r="O524" s="388"/>
      <c r="P524" s="48"/>
      <c r="Q524" s="370"/>
      <c r="R524" s="48"/>
    </row>
    <row r="525" spans="1:18" s="474" customFormat="1" ht="15" x14ac:dyDescent="0.25">
      <c r="A525" s="1">
        <v>521</v>
      </c>
      <c r="B525" s="1" t="s">
        <v>758</v>
      </c>
      <c r="C525" s="32">
        <v>6930</v>
      </c>
      <c r="D525" s="32">
        <v>16000</v>
      </c>
      <c r="E525" s="1" t="s">
        <v>80</v>
      </c>
      <c r="F525" s="1">
        <v>178.22</v>
      </c>
      <c r="G525" s="1">
        <v>16000</v>
      </c>
      <c r="H525" s="1">
        <f t="shared" si="8"/>
        <v>0</v>
      </c>
      <c r="I525" s="89"/>
      <c r="J525" s="454"/>
      <c r="K525" s="454"/>
      <c r="L525" s="454"/>
      <c r="M525" s="455"/>
      <c r="N525" s="43"/>
      <c r="O525" s="388"/>
      <c r="P525" s="48"/>
      <c r="Q525" s="370"/>
      <c r="R525" s="48"/>
    </row>
    <row r="526" spans="1:18" s="474" customFormat="1" ht="15" x14ac:dyDescent="0.25">
      <c r="A526" s="1">
        <v>522</v>
      </c>
      <c r="B526" s="1" t="s">
        <v>758</v>
      </c>
      <c r="C526" s="32">
        <v>1827</v>
      </c>
      <c r="D526" s="32">
        <v>12000</v>
      </c>
      <c r="E526" s="1" t="s">
        <v>80</v>
      </c>
      <c r="F526" s="1">
        <v>133.41999999999999</v>
      </c>
      <c r="G526" s="1">
        <v>12000</v>
      </c>
      <c r="H526" s="1">
        <f t="shared" si="8"/>
        <v>0</v>
      </c>
      <c r="I526" s="89"/>
      <c r="J526" s="454"/>
      <c r="K526" s="454"/>
      <c r="L526" s="454"/>
      <c r="M526" s="455"/>
      <c r="N526" s="43"/>
      <c r="O526" s="388"/>
      <c r="P526" s="48"/>
      <c r="Q526" s="370"/>
      <c r="R526" s="48"/>
    </row>
    <row r="527" spans="1:18" s="474" customFormat="1" ht="15" x14ac:dyDescent="0.25">
      <c r="A527" s="1">
        <v>523</v>
      </c>
      <c r="B527" s="1" t="s">
        <v>758</v>
      </c>
      <c r="C527" s="32">
        <v>8327</v>
      </c>
      <c r="D527" s="32">
        <v>12000</v>
      </c>
      <c r="E527" s="1" t="s">
        <v>80</v>
      </c>
      <c r="F527" s="1">
        <v>133.41999999999999</v>
      </c>
      <c r="G527" s="1">
        <v>12000</v>
      </c>
      <c r="H527" s="1">
        <f t="shared" si="8"/>
        <v>0</v>
      </c>
      <c r="I527" s="89"/>
      <c r="J527" s="454"/>
      <c r="K527" s="454"/>
      <c r="L527" s="454"/>
      <c r="M527" s="455"/>
      <c r="N527" s="43"/>
      <c r="O527" s="388"/>
      <c r="P527" s="48"/>
      <c r="Q527" s="370"/>
      <c r="R527" s="48"/>
    </row>
    <row r="528" spans="1:18" s="474" customFormat="1" ht="15" x14ac:dyDescent="0.25">
      <c r="A528" s="1">
        <v>524</v>
      </c>
      <c r="B528" s="1" t="s">
        <v>758</v>
      </c>
      <c r="C528" s="32">
        <v>5252</v>
      </c>
      <c r="D528" s="32">
        <v>16000</v>
      </c>
      <c r="E528" s="1" t="s">
        <v>80</v>
      </c>
      <c r="F528" s="1">
        <v>178.22</v>
      </c>
      <c r="G528" s="1">
        <v>16000</v>
      </c>
      <c r="H528" s="1">
        <f t="shared" si="8"/>
        <v>0</v>
      </c>
      <c r="I528" s="89"/>
      <c r="J528" s="454"/>
      <c r="K528" s="454"/>
      <c r="L528" s="454"/>
      <c r="M528" s="455"/>
      <c r="N528" s="43"/>
      <c r="O528" s="388"/>
      <c r="P528" s="48"/>
      <c r="Q528" s="370"/>
      <c r="R528" s="48"/>
    </row>
    <row r="529" spans="1:18" s="474" customFormat="1" ht="15" x14ac:dyDescent="0.25">
      <c r="A529" s="1">
        <v>525</v>
      </c>
      <c r="B529" s="1" t="s">
        <v>758</v>
      </c>
      <c r="C529" s="32">
        <v>8311</v>
      </c>
      <c r="D529" s="32">
        <v>24000</v>
      </c>
      <c r="E529" s="1" t="s">
        <v>80</v>
      </c>
      <c r="F529" s="1">
        <v>267.52</v>
      </c>
      <c r="G529" s="1">
        <v>24000</v>
      </c>
      <c r="H529" s="1">
        <f t="shared" si="8"/>
        <v>0</v>
      </c>
      <c r="I529" s="89"/>
      <c r="J529" s="454"/>
      <c r="K529" s="454"/>
      <c r="L529" s="454"/>
      <c r="M529" s="455"/>
      <c r="N529" s="43"/>
      <c r="O529" s="388"/>
      <c r="P529" s="48"/>
      <c r="Q529" s="370"/>
      <c r="R529" s="48"/>
    </row>
    <row r="530" spans="1:18" s="474" customFormat="1" ht="15" x14ac:dyDescent="0.25">
      <c r="A530" s="1">
        <v>526</v>
      </c>
      <c r="B530" s="1" t="s">
        <v>758</v>
      </c>
      <c r="C530" s="32" t="s">
        <v>30</v>
      </c>
      <c r="D530" s="32">
        <v>5000</v>
      </c>
      <c r="E530" s="1" t="s">
        <v>80</v>
      </c>
      <c r="F530" s="1">
        <v>55.45</v>
      </c>
      <c r="G530" s="1">
        <v>5000</v>
      </c>
      <c r="H530" s="1">
        <f t="shared" si="8"/>
        <v>0</v>
      </c>
      <c r="I530" s="89"/>
      <c r="J530" s="454"/>
      <c r="K530" s="454"/>
      <c r="L530" s="454"/>
      <c r="M530" s="455"/>
      <c r="N530" s="43"/>
      <c r="O530" s="388"/>
      <c r="P530" s="48"/>
      <c r="Q530" s="370"/>
      <c r="R530" s="48"/>
    </row>
    <row r="531" spans="1:18" s="474" customFormat="1" ht="15" x14ac:dyDescent="0.25">
      <c r="A531" s="1">
        <v>527</v>
      </c>
      <c r="B531" s="1" t="s">
        <v>758</v>
      </c>
      <c r="C531" s="32" t="s">
        <v>735</v>
      </c>
      <c r="D531" s="32">
        <v>3000</v>
      </c>
      <c r="E531" s="1" t="s">
        <v>80</v>
      </c>
      <c r="F531" s="1">
        <v>33.68</v>
      </c>
      <c r="G531" s="1">
        <v>3000</v>
      </c>
      <c r="H531" s="1">
        <f t="shared" si="8"/>
        <v>0</v>
      </c>
      <c r="I531" s="89"/>
      <c r="J531" s="454"/>
      <c r="K531" s="454"/>
      <c r="L531" s="454"/>
      <c r="M531" s="455"/>
      <c r="N531" s="43"/>
      <c r="O531" s="388"/>
      <c r="P531" s="48"/>
      <c r="Q531" s="370"/>
      <c r="R531" s="48"/>
    </row>
    <row r="532" spans="1:18" s="474" customFormat="1" ht="15" x14ac:dyDescent="0.25">
      <c r="A532" s="1">
        <v>528</v>
      </c>
      <c r="B532" s="1" t="s">
        <v>758</v>
      </c>
      <c r="C532" s="32" t="s">
        <v>30</v>
      </c>
      <c r="D532" s="32">
        <v>4500</v>
      </c>
      <c r="E532" s="1" t="s">
        <v>80</v>
      </c>
      <c r="F532" s="1">
        <v>50.35</v>
      </c>
      <c r="G532" s="1">
        <v>4500</v>
      </c>
      <c r="H532" s="1">
        <f t="shared" si="8"/>
        <v>0</v>
      </c>
      <c r="I532" s="89"/>
      <c r="J532" s="454"/>
      <c r="K532" s="454"/>
      <c r="L532" s="454"/>
      <c r="M532" s="455"/>
      <c r="N532" s="43"/>
      <c r="O532" s="388"/>
      <c r="P532" s="48"/>
      <c r="Q532" s="370"/>
      <c r="R532" s="48"/>
    </row>
    <row r="533" spans="1:18" s="474" customFormat="1" ht="15" x14ac:dyDescent="0.25">
      <c r="A533" s="1">
        <v>529</v>
      </c>
      <c r="B533" s="1" t="s">
        <v>758</v>
      </c>
      <c r="C533" s="32" t="s">
        <v>633</v>
      </c>
      <c r="D533" s="32">
        <v>210</v>
      </c>
      <c r="E533" s="1" t="s">
        <v>80</v>
      </c>
      <c r="F533" s="1">
        <v>2.09</v>
      </c>
      <c r="G533" s="1">
        <v>210</v>
      </c>
      <c r="H533" s="1">
        <f t="shared" ref="H533:H596" si="9">D533-G533</f>
        <v>0</v>
      </c>
      <c r="I533" s="89"/>
      <c r="J533" s="454"/>
      <c r="K533" s="454"/>
      <c r="L533" s="454"/>
      <c r="M533" s="455"/>
      <c r="N533" s="43"/>
      <c r="O533" s="388"/>
      <c r="P533" s="48"/>
      <c r="Q533" s="370"/>
      <c r="R533" s="48"/>
    </row>
    <row r="534" spans="1:18" s="474" customFormat="1" ht="15" x14ac:dyDescent="0.25">
      <c r="A534" s="1">
        <v>530</v>
      </c>
      <c r="B534" s="1" t="s">
        <v>758</v>
      </c>
      <c r="C534" s="32">
        <v>9977</v>
      </c>
      <c r="D534" s="32">
        <v>13000</v>
      </c>
      <c r="E534" s="1" t="s">
        <v>80</v>
      </c>
      <c r="F534" s="1">
        <v>144.13</v>
      </c>
      <c r="G534" s="1">
        <v>13000</v>
      </c>
      <c r="H534" s="1">
        <f t="shared" si="9"/>
        <v>0</v>
      </c>
      <c r="I534" s="89"/>
      <c r="J534" s="454"/>
      <c r="K534" s="454"/>
      <c r="L534" s="454"/>
      <c r="M534" s="455"/>
      <c r="N534" s="43"/>
      <c r="O534" s="388"/>
      <c r="P534" s="48"/>
      <c r="Q534" s="370"/>
      <c r="R534" s="48"/>
    </row>
    <row r="535" spans="1:18" s="474" customFormat="1" ht="15" x14ac:dyDescent="0.25">
      <c r="A535" s="1">
        <v>531</v>
      </c>
      <c r="B535" s="1" t="s">
        <v>758</v>
      </c>
      <c r="C535" s="32">
        <v>3648</v>
      </c>
      <c r="D535" s="32">
        <v>15000</v>
      </c>
      <c r="E535" s="1" t="s">
        <v>80</v>
      </c>
      <c r="F535" s="1">
        <v>167.15</v>
      </c>
      <c r="G535" s="1">
        <v>15000</v>
      </c>
      <c r="H535" s="1">
        <f t="shared" si="9"/>
        <v>0</v>
      </c>
      <c r="I535" s="89"/>
      <c r="J535" s="454"/>
      <c r="K535" s="454"/>
      <c r="L535" s="454"/>
      <c r="M535" s="455"/>
      <c r="N535" s="43"/>
      <c r="O535" s="388"/>
      <c r="P535" s="48"/>
      <c r="Q535" s="370"/>
      <c r="R535" s="48"/>
    </row>
    <row r="536" spans="1:18" s="474" customFormat="1" ht="15" x14ac:dyDescent="0.25">
      <c r="A536" s="1">
        <v>532</v>
      </c>
      <c r="B536" s="1" t="s">
        <v>758</v>
      </c>
      <c r="C536" s="32">
        <v>1448</v>
      </c>
      <c r="D536" s="32">
        <v>20000</v>
      </c>
      <c r="E536" s="1" t="s">
        <v>80</v>
      </c>
      <c r="F536" s="1">
        <v>222.82</v>
      </c>
      <c r="G536" s="1">
        <v>20000</v>
      </c>
      <c r="H536" s="1">
        <f t="shared" si="9"/>
        <v>0</v>
      </c>
      <c r="I536" s="89"/>
      <c r="J536" s="454"/>
      <c r="K536" s="454"/>
      <c r="L536" s="454"/>
      <c r="M536" s="455"/>
      <c r="N536" s="43"/>
      <c r="O536" s="388"/>
      <c r="P536" s="48"/>
      <c r="Q536" s="370"/>
      <c r="R536" s="48"/>
    </row>
    <row r="537" spans="1:18" s="474" customFormat="1" ht="15" x14ac:dyDescent="0.25">
      <c r="A537" s="1">
        <v>533</v>
      </c>
      <c r="B537" s="1" t="s">
        <v>758</v>
      </c>
      <c r="C537" s="32">
        <v>8820</v>
      </c>
      <c r="D537" s="32">
        <v>16000</v>
      </c>
      <c r="E537" s="1" t="s">
        <v>80</v>
      </c>
      <c r="F537" s="1">
        <v>178.22</v>
      </c>
      <c r="G537" s="1">
        <v>16000</v>
      </c>
      <c r="H537" s="1">
        <f t="shared" si="9"/>
        <v>0</v>
      </c>
      <c r="I537" s="89"/>
      <c r="J537" s="454"/>
      <c r="K537" s="454"/>
      <c r="L537" s="454"/>
      <c r="M537" s="455"/>
      <c r="N537" s="43"/>
      <c r="O537" s="388"/>
      <c r="P537" s="48"/>
      <c r="Q537" s="370"/>
      <c r="R537" s="48"/>
    </row>
    <row r="538" spans="1:18" s="474" customFormat="1" ht="15" x14ac:dyDescent="0.25">
      <c r="A538" s="1">
        <v>534</v>
      </c>
      <c r="B538" s="1" t="s">
        <v>758</v>
      </c>
      <c r="C538" s="32">
        <v>5196</v>
      </c>
      <c r="D538" s="32">
        <v>26000</v>
      </c>
      <c r="E538" s="1" t="s">
        <v>80</v>
      </c>
      <c r="F538" s="1">
        <v>289.76</v>
      </c>
      <c r="G538" s="1">
        <v>26000</v>
      </c>
      <c r="H538" s="1">
        <f t="shared" si="9"/>
        <v>0</v>
      </c>
      <c r="I538" s="89"/>
      <c r="J538" s="454"/>
      <c r="K538" s="454"/>
      <c r="L538" s="454"/>
      <c r="M538" s="455"/>
      <c r="N538" s="43"/>
      <c r="O538" s="388"/>
      <c r="P538" s="48"/>
      <c r="Q538" s="370"/>
      <c r="R538" s="48"/>
    </row>
    <row r="539" spans="1:18" s="474" customFormat="1" ht="15" x14ac:dyDescent="0.25">
      <c r="A539" s="1">
        <v>535</v>
      </c>
      <c r="B539" s="1" t="s">
        <v>758</v>
      </c>
      <c r="C539" s="32">
        <v>8747</v>
      </c>
      <c r="D539" s="32">
        <v>32000</v>
      </c>
      <c r="E539" s="1" t="s">
        <v>80</v>
      </c>
      <c r="F539" s="1">
        <v>356.27</v>
      </c>
      <c r="G539" s="1">
        <v>32000</v>
      </c>
      <c r="H539" s="1">
        <f t="shared" si="9"/>
        <v>0</v>
      </c>
      <c r="I539" s="89"/>
      <c r="J539" s="454"/>
      <c r="K539" s="454"/>
      <c r="L539" s="454"/>
      <c r="M539" s="455"/>
      <c r="N539" s="43"/>
      <c r="O539" s="388"/>
      <c r="P539" s="48"/>
      <c r="Q539" s="370"/>
      <c r="R539" s="48"/>
    </row>
    <row r="540" spans="1:18" s="474" customFormat="1" ht="15" x14ac:dyDescent="0.25">
      <c r="A540" s="1">
        <v>536</v>
      </c>
      <c r="B540" s="1" t="s">
        <v>758</v>
      </c>
      <c r="C540" s="32">
        <v>2517</v>
      </c>
      <c r="D540" s="32">
        <v>25000</v>
      </c>
      <c r="E540" s="1" t="s">
        <v>80</v>
      </c>
      <c r="F540" s="1">
        <v>278.22000000000003</v>
      </c>
      <c r="G540" s="1">
        <v>25000</v>
      </c>
      <c r="H540" s="1">
        <f t="shared" si="9"/>
        <v>0</v>
      </c>
      <c r="I540" s="89"/>
      <c r="J540" s="454"/>
      <c r="K540" s="454"/>
      <c r="L540" s="454"/>
      <c r="M540" s="455"/>
      <c r="N540" s="43"/>
      <c r="O540" s="388"/>
      <c r="P540" s="48"/>
      <c r="Q540" s="370"/>
      <c r="R540" s="48"/>
    </row>
    <row r="541" spans="1:18" s="474" customFormat="1" ht="15" x14ac:dyDescent="0.25">
      <c r="A541" s="1">
        <v>537</v>
      </c>
      <c r="B541" s="1" t="s">
        <v>758</v>
      </c>
      <c r="C541" s="32">
        <v>9981</v>
      </c>
      <c r="D541" s="32">
        <v>7000</v>
      </c>
      <c r="E541" s="1" t="s">
        <v>80</v>
      </c>
      <c r="F541" s="1">
        <v>77.95</v>
      </c>
      <c r="G541" s="1">
        <v>7000</v>
      </c>
      <c r="H541" s="1">
        <f t="shared" si="9"/>
        <v>0</v>
      </c>
      <c r="I541" s="89"/>
      <c r="J541" s="454"/>
      <c r="K541" s="454"/>
      <c r="L541" s="454"/>
      <c r="M541" s="455"/>
      <c r="N541" s="43"/>
      <c r="O541" s="388"/>
      <c r="P541" s="48"/>
      <c r="Q541" s="370"/>
      <c r="R541" s="48"/>
    </row>
    <row r="542" spans="1:18" s="474" customFormat="1" ht="15" x14ac:dyDescent="0.25">
      <c r="A542" s="1">
        <v>538</v>
      </c>
      <c r="B542" s="1" t="s">
        <v>758</v>
      </c>
      <c r="C542" s="32">
        <v>3952</v>
      </c>
      <c r="D542" s="32">
        <v>20000</v>
      </c>
      <c r="E542" s="1" t="s">
        <v>80</v>
      </c>
      <c r="F542" s="1">
        <v>222.82</v>
      </c>
      <c r="G542" s="1">
        <v>20000</v>
      </c>
      <c r="H542" s="1">
        <f t="shared" si="9"/>
        <v>0</v>
      </c>
      <c r="I542" s="89"/>
      <c r="J542" s="454"/>
      <c r="K542" s="454"/>
      <c r="L542" s="454"/>
      <c r="M542" s="455"/>
      <c r="N542" s="43"/>
      <c r="O542" s="388"/>
      <c r="P542" s="48"/>
      <c r="Q542" s="370"/>
      <c r="R542" s="48"/>
    </row>
    <row r="543" spans="1:18" s="474" customFormat="1" ht="15.75" thickBot="1" x14ac:dyDescent="0.3">
      <c r="A543" s="1">
        <v>539</v>
      </c>
      <c r="B543" s="1" t="s">
        <v>758</v>
      </c>
      <c r="C543" s="32">
        <v>6517</v>
      </c>
      <c r="D543" s="32">
        <v>10000</v>
      </c>
      <c r="E543" s="1" t="s">
        <v>80</v>
      </c>
      <c r="F543" s="1">
        <v>111.42</v>
      </c>
      <c r="G543" s="1">
        <v>10000</v>
      </c>
      <c r="H543" s="1">
        <f t="shared" si="9"/>
        <v>0</v>
      </c>
      <c r="I543" s="89"/>
      <c r="J543" s="454"/>
      <c r="K543" s="454"/>
      <c r="L543" s="454"/>
      <c r="M543" s="455"/>
      <c r="N543" s="43"/>
      <c r="O543" s="388"/>
      <c r="P543" s="48"/>
      <c r="Q543" s="370"/>
      <c r="R543" s="48"/>
    </row>
    <row r="544" spans="1:18" s="474" customFormat="1" ht="15.75" thickBot="1" x14ac:dyDescent="0.3">
      <c r="A544" s="1">
        <v>540</v>
      </c>
      <c r="B544" s="1" t="s">
        <v>758</v>
      </c>
      <c r="C544" s="32">
        <v>2245</v>
      </c>
      <c r="D544" s="32">
        <v>25000</v>
      </c>
      <c r="E544" s="1" t="s">
        <v>80</v>
      </c>
      <c r="F544" s="1">
        <v>278.22000000000003</v>
      </c>
      <c r="G544" s="1">
        <v>25000</v>
      </c>
      <c r="H544" s="1">
        <f t="shared" si="9"/>
        <v>0</v>
      </c>
      <c r="I544" s="89"/>
      <c r="J544" s="454"/>
      <c r="K544" s="454"/>
      <c r="L544" s="454"/>
      <c r="M544" s="455"/>
      <c r="N544" s="43"/>
      <c r="O544" s="103">
        <f>2248151-2220350</f>
        <v>27801</v>
      </c>
      <c r="P544" s="359" t="s">
        <v>760</v>
      </c>
      <c r="Q544" s="367" t="s">
        <v>620</v>
      </c>
      <c r="R544" s="360">
        <f>27801-7000</f>
        <v>20801</v>
      </c>
    </row>
    <row r="545" spans="1:18" s="475" customFormat="1" ht="15" x14ac:dyDescent="0.25">
      <c r="A545" s="1">
        <v>541</v>
      </c>
      <c r="B545" s="1" t="s">
        <v>761</v>
      </c>
      <c r="C545" s="32">
        <v>5498</v>
      </c>
      <c r="D545" s="32">
        <v>24000</v>
      </c>
      <c r="E545" s="1" t="s">
        <v>80</v>
      </c>
      <c r="F545" s="1">
        <v>267.85000000000002</v>
      </c>
      <c r="G545" s="1">
        <v>24000</v>
      </c>
      <c r="H545" s="1">
        <f t="shared" si="9"/>
        <v>0</v>
      </c>
      <c r="I545" s="89"/>
      <c r="J545" s="454"/>
      <c r="K545" s="454"/>
      <c r="L545" s="454"/>
      <c r="M545" s="455"/>
      <c r="N545" s="43"/>
      <c r="O545" s="388"/>
      <c r="P545" s="48"/>
      <c r="Q545" s="370"/>
      <c r="R545" s="48"/>
    </row>
    <row r="546" spans="1:18" s="475" customFormat="1" ht="15" x14ac:dyDescent="0.25">
      <c r="A546" s="1">
        <v>542</v>
      </c>
      <c r="B546" s="1" t="s">
        <v>761</v>
      </c>
      <c r="C546" s="32">
        <v>5.6399999999999999E-2</v>
      </c>
      <c r="D546" s="32">
        <v>14000</v>
      </c>
      <c r="E546" s="1" t="s">
        <v>80</v>
      </c>
      <c r="F546" s="1">
        <v>155.44999999999999</v>
      </c>
      <c r="G546" s="1">
        <v>14000</v>
      </c>
      <c r="H546" s="1">
        <f t="shared" si="9"/>
        <v>0</v>
      </c>
      <c r="I546" s="89"/>
      <c r="J546" s="454"/>
      <c r="K546" s="454"/>
      <c r="L546" s="454"/>
      <c r="M546" s="455"/>
      <c r="N546" s="43"/>
      <c r="O546" s="388"/>
      <c r="P546" s="48"/>
      <c r="Q546" s="370"/>
      <c r="R546" s="48"/>
    </row>
    <row r="547" spans="1:18" s="475" customFormat="1" ht="15" x14ac:dyDescent="0.25">
      <c r="A547" s="1">
        <v>543</v>
      </c>
      <c r="B547" s="1" t="s">
        <v>761</v>
      </c>
      <c r="C547" s="32">
        <v>4820</v>
      </c>
      <c r="D547" s="32">
        <v>16000</v>
      </c>
      <c r="E547" s="1" t="s">
        <v>80</v>
      </c>
      <c r="F547" s="1">
        <v>178.22</v>
      </c>
      <c r="G547" s="1">
        <v>16000</v>
      </c>
      <c r="H547" s="1">
        <f t="shared" si="9"/>
        <v>0</v>
      </c>
      <c r="I547" s="89"/>
      <c r="J547" s="454"/>
      <c r="K547" s="454"/>
      <c r="L547" s="454"/>
      <c r="M547" s="455"/>
      <c r="N547" s="43"/>
      <c r="O547" s="388"/>
      <c r="P547" s="48"/>
      <c r="Q547" s="370"/>
      <c r="R547" s="48"/>
    </row>
    <row r="548" spans="1:18" s="475" customFormat="1" ht="15" x14ac:dyDescent="0.25">
      <c r="A548" s="1">
        <v>544</v>
      </c>
      <c r="B548" s="1" t="s">
        <v>761</v>
      </c>
      <c r="C548" s="32">
        <v>8505</v>
      </c>
      <c r="D548" s="32">
        <v>24000</v>
      </c>
      <c r="E548" s="1" t="s">
        <v>80</v>
      </c>
      <c r="F548" s="1">
        <v>267.85000000000002</v>
      </c>
      <c r="G548" s="1">
        <v>24000</v>
      </c>
      <c r="H548" s="1">
        <f t="shared" si="9"/>
        <v>0</v>
      </c>
      <c r="I548" s="89"/>
      <c r="J548" s="454"/>
      <c r="K548" s="454"/>
      <c r="L548" s="454"/>
      <c r="M548" s="455"/>
      <c r="N548" s="43"/>
      <c r="O548" s="388"/>
      <c r="P548" s="48"/>
      <c r="Q548" s="370"/>
      <c r="R548" s="48"/>
    </row>
    <row r="549" spans="1:18" s="475" customFormat="1" ht="15" x14ac:dyDescent="0.25">
      <c r="A549" s="1">
        <v>545</v>
      </c>
      <c r="B549" s="1" t="s">
        <v>761</v>
      </c>
      <c r="C549" s="32">
        <v>4077</v>
      </c>
      <c r="D549" s="32">
        <v>12500</v>
      </c>
      <c r="E549" s="1" t="s">
        <v>80</v>
      </c>
      <c r="F549" s="1">
        <v>129.41999999999999</v>
      </c>
      <c r="G549" s="1">
        <v>12500</v>
      </c>
      <c r="H549" s="1">
        <f t="shared" si="9"/>
        <v>0</v>
      </c>
      <c r="I549" s="89"/>
      <c r="J549" s="454"/>
      <c r="K549" s="454"/>
      <c r="L549" s="454"/>
      <c r="M549" s="455"/>
      <c r="N549" s="43"/>
      <c r="O549" s="388"/>
      <c r="P549" s="48"/>
      <c r="Q549" s="370"/>
      <c r="R549" s="48"/>
    </row>
    <row r="550" spans="1:18" s="475" customFormat="1" ht="15" x14ac:dyDescent="0.25">
      <c r="A550" s="1">
        <v>546</v>
      </c>
      <c r="B550" s="1" t="s">
        <v>761</v>
      </c>
      <c r="C550" s="32">
        <v>4579</v>
      </c>
      <c r="D550" s="32">
        <v>17000</v>
      </c>
      <c r="E550" s="1" t="s">
        <v>80</v>
      </c>
      <c r="F550" s="1">
        <v>189.37</v>
      </c>
      <c r="G550" s="1">
        <v>17000</v>
      </c>
      <c r="H550" s="1">
        <f t="shared" si="9"/>
        <v>0</v>
      </c>
      <c r="I550" s="89"/>
      <c r="J550" s="454"/>
      <c r="K550" s="454"/>
      <c r="L550" s="454"/>
      <c r="M550" s="455"/>
      <c r="N550" s="43"/>
      <c r="O550" s="388"/>
      <c r="P550" s="48"/>
      <c r="Q550" s="370"/>
      <c r="R550" s="48"/>
    </row>
    <row r="551" spans="1:18" s="475" customFormat="1" ht="15" x14ac:dyDescent="0.25">
      <c r="A551" s="1">
        <v>547</v>
      </c>
      <c r="B551" s="1" t="s">
        <v>761</v>
      </c>
      <c r="C551" s="32" t="s">
        <v>30</v>
      </c>
      <c r="D551" s="32">
        <v>5000</v>
      </c>
      <c r="E551" s="1" t="s">
        <v>80</v>
      </c>
      <c r="F551" s="1">
        <v>55.68</v>
      </c>
      <c r="G551" s="1">
        <v>5000</v>
      </c>
      <c r="H551" s="1">
        <f t="shared" si="9"/>
        <v>0</v>
      </c>
      <c r="I551" s="89"/>
      <c r="J551" s="454"/>
      <c r="K551" s="454"/>
      <c r="L551" s="454"/>
      <c r="M551" s="455"/>
      <c r="N551" s="43"/>
      <c r="O551" s="388"/>
      <c r="P551" s="48"/>
      <c r="Q551" s="370"/>
      <c r="R551" s="48"/>
    </row>
    <row r="552" spans="1:18" s="475" customFormat="1" ht="15" x14ac:dyDescent="0.25">
      <c r="A552" s="1">
        <v>548</v>
      </c>
      <c r="B552" s="1" t="s">
        <v>761</v>
      </c>
      <c r="C552" s="32">
        <v>4648</v>
      </c>
      <c r="D552" s="32">
        <v>32000</v>
      </c>
      <c r="E552" s="1" t="s">
        <v>80</v>
      </c>
      <c r="F552" s="1">
        <v>356.72</v>
      </c>
      <c r="G552" s="1">
        <v>32000</v>
      </c>
      <c r="H552" s="1">
        <f t="shared" si="9"/>
        <v>0</v>
      </c>
      <c r="I552" s="89"/>
      <c r="J552" s="454"/>
      <c r="K552" s="454"/>
      <c r="L552" s="454"/>
      <c r="M552" s="455"/>
      <c r="N552" s="43"/>
      <c r="O552" s="388"/>
      <c r="P552" s="48"/>
      <c r="Q552" s="370"/>
      <c r="R552" s="48"/>
    </row>
    <row r="553" spans="1:18" s="475" customFormat="1" ht="15" x14ac:dyDescent="0.25">
      <c r="A553" s="1">
        <v>549</v>
      </c>
      <c r="B553" s="1" t="s">
        <v>761</v>
      </c>
      <c r="C553" s="32">
        <v>8382</v>
      </c>
      <c r="D553" s="32">
        <v>20000</v>
      </c>
      <c r="E553" s="1" t="s">
        <v>80</v>
      </c>
      <c r="F553" s="1">
        <v>222.82</v>
      </c>
      <c r="G553" s="1">
        <v>20000</v>
      </c>
      <c r="H553" s="1">
        <f t="shared" si="9"/>
        <v>0</v>
      </c>
      <c r="I553" s="89"/>
      <c r="J553" s="454"/>
      <c r="K553" s="454"/>
      <c r="L553" s="454"/>
      <c r="M553" s="455"/>
      <c r="N553" s="43"/>
      <c r="O553" s="388"/>
      <c r="P553" s="48"/>
      <c r="Q553" s="370"/>
      <c r="R553" s="48"/>
    </row>
    <row r="554" spans="1:18" s="475" customFormat="1" ht="15" x14ac:dyDescent="0.25">
      <c r="A554" s="1">
        <v>550</v>
      </c>
      <c r="B554" s="1" t="s">
        <v>761</v>
      </c>
      <c r="C554" s="32">
        <v>7642</v>
      </c>
      <c r="D554" s="32">
        <v>25000</v>
      </c>
      <c r="E554" s="1" t="s">
        <v>80</v>
      </c>
      <c r="F554" s="1">
        <v>278.22000000000003</v>
      </c>
      <c r="G554" s="1">
        <v>25000</v>
      </c>
      <c r="H554" s="1">
        <f t="shared" si="9"/>
        <v>0</v>
      </c>
      <c r="I554" s="89"/>
      <c r="J554" s="454"/>
      <c r="K554" s="454"/>
      <c r="L554" s="454"/>
      <c r="M554" s="455"/>
      <c r="N554" s="43"/>
      <c r="O554" s="388"/>
      <c r="P554" s="48"/>
      <c r="Q554" s="370"/>
      <c r="R554" s="48"/>
    </row>
    <row r="555" spans="1:18" s="475" customFormat="1" ht="15" x14ac:dyDescent="0.25">
      <c r="A555" s="1">
        <v>551</v>
      </c>
      <c r="B555" s="1" t="s">
        <v>761</v>
      </c>
      <c r="C555" s="32">
        <v>6447</v>
      </c>
      <c r="D555" s="32">
        <v>23000</v>
      </c>
      <c r="E555" s="1" t="s">
        <v>80</v>
      </c>
      <c r="F555" s="1">
        <v>256.38</v>
      </c>
      <c r="G555" s="1">
        <v>23000</v>
      </c>
      <c r="H555" s="1">
        <f t="shared" si="9"/>
        <v>0</v>
      </c>
      <c r="I555" s="89"/>
      <c r="J555" s="454"/>
      <c r="K555" s="454"/>
      <c r="L555" s="454"/>
      <c r="M555" s="455"/>
      <c r="N555" s="43"/>
      <c r="O555" s="388"/>
      <c r="P555" s="48"/>
      <c r="Q555" s="370"/>
      <c r="R555" s="48"/>
    </row>
    <row r="556" spans="1:18" s="475" customFormat="1" ht="15" x14ac:dyDescent="0.25">
      <c r="A556" s="1">
        <v>552</v>
      </c>
      <c r="B556" s="1" t="s">
        <v>761</v>
      </c>
      <c r="C556" s="32">
        <v>1421</v>
      </c>
      <c r="D556" s="32">
        <v>30000</v>
      </c>
      <c r="E556" s="1" t="s">
        <v>80</v>
      </c>
      <c r="F556" s="1">
        <v>334.82</v>
      </c>
      <c r="G556" s="1">
        <v>30000</v>
      </c>
      <c r="H556" s="1">
        <f t="shared" si="9"/>
        <v>0</v>
      </c>
      <c r="I556" s="89"/>
      <c r="J556" s="454"/>
      <c r="K556" s="454"/>
      <c r="L556" s="454"/>
      <c r="M556" s="455"/>
      <c r="N556" s="43"/>
      <c r="O556" s="388"/>
      <c r="P556" s="48"/>
      <c r="Q556" s="370"/>
      <c r="R556" s="48"/>
    </row>
    <row r="557" spans="1:18" s="475" customFormat="1" ht="15" x14ac:dyDescent="0.25">
      <c r="A557" s="1">
        <v>553</v>
      </c>
      <c r="B557" s="1" t="s">
        <v>761</v>
      </c>
      <c r="C557" s="32">
        <v>4365</v>
      </c>
      <c r="D557" s="32">
        <v>17000</v>
      </c>
      <c r="E557" s="1" t="s">
        <v>80</v>
      </c>
      <c r="F557" s="1">
        <v>189.47</v>
      </c>
      <c r="G557" s="1">
        <v>17000</v>
      </c>
      <c r="H557" s="1">
        <f t="shared" si="9"/>
        <v>0</v>
      </c>
      <c r="I557" s="89"/>
      <c r="J557" s="454"/>
      <c r="K557" s="454"/>
      <c r="L557" s="454"/>
      <c r="M557" s="455"/>
      <c r="N557" s="43"/>
      <c r="O557" s="388"/>
      <c r="P557" s="48"/>
      <c r="Q557" s="370"/>
      <c r="R557" s="48"/>
    </row>
    <row r="558" spans="1:18" s="475" customFormat="1" ht="15" x14ac:dyDescent="0.25">
      <c r="A558" s="1">
        <v>554</v>
      </c>
      <c r="B558" s="1" t="s">
        <v>761</v>
      </c>
      <c r="C558" s="32">
        <v>9585</v>
      </c>
      <c r="D558" s="32">
        <v>30000</v>
      </c>
      <c r="E558" s="1" t="s">
        <v>80</v>
      </c>
      <c r="F558" s="1">
        <v>334.82</v>
      </c>
      <c r="G558" s="1">
        <v>30000</v>
      </c>
      <c r="H558" s="1">
        <f t="shared" si="9"/>
        <v>0</v>
      </c>
      <c r="I558" s="89"/>
      <c r="J558" s="454"/>
      <c r="K558" s="454"/>
      <c r="L558" s="454"/>
      <c r="M558" s="455"/>
      <c r="N558" s="43"/>
      <c r="O558" s="388"/>
      <c r="P558" s="48"/>
      <c r="Q558" s="370"/>
      <c r="R558" s="48"/>
    </row>
    <row r="559" spans="1:18" s="475" customFormat="1" ht="15" x14ac:dyDescent="0.25">
      <c r="A559" s="1">
        <v>555</v>
      </c>
      <c r="B559" s="1" t="s">
        <v>761</v>
      </c>
      <c r="C559" s="32">
        <v>2009</v>
      </c>
      <c r="D559" s="32">
        <v>10000</v>
      </c>
      <c r="E559" s="1" t="s">
        <v>80</v>
      </c>
      <c r="F559" s="1">
        <v>141.41999999999999</v>
      </c>
      <c r="G559" s="1">
        <v>10000</v>
      </c>
      <c r="H559" s="1">
        <f t="shared" si="9"/>
        <v>0</v>
      </c>
      <c r="I559" s="89"/>
      <c r="J559" s="454"/>
      <c r="K559" s="454"/>
      <c r="L559" s="454"/>
      <c r="M559" s="455"/>
      <c r="N559" s="43"/>
      <c r="O559" s="388"/>
      <c r="P559" s="48"/>
      <c r="Q559" s="370"/>
      <c r="R559" s="48"/>
    </row>
    <row r="560" spans="1:18" s="475" customFormat="1" ht="15" x14ac:dyDescent="0.25">
      <c r="A560" s="1">
        <v>556</v>
      </c>
      <c r="B560" s="1" t="s">
        <v>761</v>
      </c>
      <c r="C560" s="32">
        <v>4023</v>
      </c>
      <c r="D560" s="32">
        <v>17000</v>
      </c>
      <c r="E560" s="1" t="s">
        <v>80</v>
      </c>
      <c r="F560" s="1">
        <v>189.47</v>
      </c>
      <c r="G560" s="1">
        <v>17000</v>
      </c>
      <c r="H560" s="1">
        <f t="shared" si="9"/>
        <v>0</v>
      </c>
      <c r="I560" s="89"/>
      <c r="J560" s="454"/>
      <c r="K560" s="454"/>
      <c r="L560" s="454"/>
      <c r="M560" s="455"/>
      <c r="N560" s="43"/>
      <c r="O560" s="388"/>
      <c r="P560" s="48"/>
      <c r="Q560" s="370"/>
      <c r="R560" s="48"/>
    </row>
    <row r="561" spans="1:18" s="475" customFormat="1" ht="15" x14ac:dyDescent="0.25">
      <c r="A561" s="1">
        <v>557</v>
      </c>
      <c r="B561" s="1" t="s">
        <v>762</v>
      </c>
      <c r="C561" s="32" t="s">
        <v>735</v>
      </c>
      <c r="D561" s="32">
        <v>3000</v>
      </c>
      <c r="E561" s="1" t="s">
        <v>80</v>
      </c>
      <c r="F561" s="1">
        <v>33.450000000000003</v>
      </c>
      <c r="G561" s="1">
        <v>3000</v>
      </c>
      <c r="H561" s="1">
        <f t="shared" si="9"/>
        <v>0</v>
      </c>
      <c r="I561" s="89"/>
      <c r="J561" s="454"/>
      <c r="K561" s="454"/>
      <c r="L561" s="454"/>
      <c r="M561" s="455"/>
      <c r="N561" s="43"/>
      <c r="O561" s="388"/>
      <c r="P561" s="48"/>
      <c r="Q561" s="370"/>
      <c r="R561" s="48"/>
    </row>
    <row r="562" spans="1:18" s="475" customFormat="1" ht="15" x14ac:dyDescent="0.25">
      <c r="A562" s="1">
        <v>558</v>
      </c>
      <c r="B562" s="1" t="s">
        <v>762</v>
      </c>
      <c r="C562" s="32" t="s">
        <v>30</v>
      </c>
      <c r="D562" s="32">
        <v>4500</v>
      </c>
      <c r="E562" s="1" t="s">
        <v>80</v>
      </c>
      <c r="F562" s="1">
        <v>50.85</v>
      </c>
      <c r="G562" s="1">
        <v>4500</v>
      </c>
      <c r="H562" s="1">
        <f t="shared" si="9"/>
        <v>0</v>
      </c>
      <c r="I562" s="89"/>
      <c r="J562" s="454"/>
      <c r="K562" s="454"/>
      <c r="L562" s="454"/>
      <c r="M562" s="455"/>
      <c r="N562" s="43"/>
      <c r="O562" s="388"/>
      <c r="P562" s="48"/>
      <c r="Q562" s="370"/>
      <c r="R562" s="48"/>
    </row>
    <row r="563" spans="1:18" s="475" customFormat="1" ht="15" x14ac:dyDescent="0.25">
      <c r="A563" s="1">
        <v>559</v>
      </c>
      <c r="B563" s="1" t="s">
        <v>762</v>
      </c>
      <c r="C563" s="32">
        <v>6311</v>
      </c>
      <c r="D563" s="32">
        <v>30000</v>
      </c>
      <c r="E563" s="1" t="s">
        <v>80</v>
      </c>
      <c r="F563" s="1">
        <v>344.82</v>
      </c>
      <c r="G563" s="1">
        <v>30000</v>
      </c>
      <c r="H563" s="1">
        <f t="shared" si="9"/>
        <v>0</v>
      </c>
      <c r="I563" s="89"/>
      <c r="J563" s="454"/>
      <c r="K563" s="454"/>
      <c r="L563" s="454"/>
      <c r="M563" s="455"/>
      <c r="N563" s="43"/>
      <c r="O563" s="388"/>
      <c r="P563" s="48"/>
      <c r="Q563" s="370"/>
      <c r="R563" s="48"/>
    </row>
    <row r="564" spans="1:18" s="475" customFormat="1" ht="15.75" thickBot="1" x14ac:dyDescent="0.3">
      <c r="A564" s="1">
        <v>560</v>
      </c>
      <c r="B564" s="1" t="s">
        <v>762</v>
      </c>
      <c r="C564" s="32">
        <v>9356</v>
      </c>
      <c r="D564" s="32">
        <v>22300</v>
      </c>
      <c r="E564" s="1" t="s">
        <v>80</v>
      </c>
      <c r="F564" s="1">
        <v>248.58</v>
      </c>
      <c r="G564" s="1">
        <v>22300</v>
      </c>
      <c r="H564" s="1">
        <f t="shared" si="9"/>
        <v>0</v>
      </c>
      <c r="I564" s="89"/>
      <c r="J564" s="454"/>
      <c r="K564" s="454"/>
      <c r="L564" s="454"/>
      <c r="M564" s="455"/>
      <c r="N564" s="43"/>
      <c r="O564" s="388"/>
      <c r="P564" s="48"/>
      <c r="Q564" s="370"/>
      <c r="R564" s="48"/>
    </row>
    <row r="565" spans="1:18" s="475" customFormat="1" ht="15.75" thickBot="1" x14ac:dyDescent="0.3">
      <c r="A565" s="1">
        <v>561</v>
      </c>
      <c r="B565" s="1" t="s">
        <v>762</v>
      </c>
      <c r="C565" s="32">
        <v>3774</v>
      </c>
      <c r="D565" s="32">
        <v>7000</v>
      </c>
      <c r="E565" s="1" t="s">
        <v>80</v>
      </c>
      <c r="F565" s="1">
        <v>77.37</v>
      </c>
      <c r="G565" s="1">
        <v>7000</v>
      </c>
      <c r="H565" s="1">
        <f t="shared" si="9"/>
        <v>0</v>
      </c>
      <c r="I565" s="89"/>
      <c r="J565" s="454"/>
      <c r="K565" s="454"/>
      <c r="L565" s="454"/>
      <c r="M565" s="455"/>
      <c r="N565" s="43"/>
      <c r="O565" s="103">
        <f>2625818-2603650</f>
        <v>22168</v>
      </c>
      <c r="P565" s="359" t="s">
        <v>763</v>
      </c>
      <c r="Q565" s="367" t="s">
        <v>620</v>
      </c>
      <c r="R565" s="360">
        <f>22168-1300</f>
        <v>20868</v>
      </c>
    </row>
    <row r="566" spans="1:18" s="478" customFormat="1" ht="15" x14ac:dyDescent="0.25">
      <c r="A566" s="1">
        <v>562</v>
      </c>
      <c r="B566" s="1" t="s">
        <v>764</v>
      </c>
      <c r="C566" s="32" t="s">
        <v>30</v>
      </c>
      <c r="D566" s="32">
        <v>5000</v>
      </c>
      <c r="E566" s="1" t="s">
        <v>80</v>
      </c>
      <c r="F566" s="1">
        <v>55.45</v>
      </c>
      <c r="G566" s="1">
        <v>5000</v>
      </c>
      <c r="H566" s="1">
        <f t="shared" si="9"/>
        <v>0</v>
      </c>
      <c r="I566" s="89"/>
      <c r="J566" s="454"/>
      <c r="K566" s="454"/>
      <c r="L566" s="454"/>
      <c r="M566" s="455"/>
      <c r="N566" s="43"/>
      <c r="O566" s="388"/>
      <c r="P566" s="48"/>
      <c r="Q566" s="370"/>
      <c r="R566" s="48"/>
    </row>
    <row r="567" spans="1:18" s="479" customFormat="1" ht="15" x14ac:dyDescent="0.25">
      <c r="A567" s="1">
        <v>563</v>
      </c>
      <c r="B567" s="1" t="s">
        <v>766</v>
      </c>
      <c r="C567" s="32" t="s">
        <v>633</v>
      </c>
      <c r="D567" s="32">
        <v>210</v>
      </c>
      <c r="E567" s="1" t="s">
        <v>80</v>
      </c>
      <c r="F567" s="1">
        <v>2.08</v>
      </c>
      <c r="G567" s="1">
        <v>210</v>
      </c>
      <c r="H567" s="1">
        <f t="shared" si="9"/>
        <v>0</v>
      </c>
      <c r="I567" s="89"/>
      <c r="J567" s="454"/>
      <c r="K567" s="454"/>
      <c r="L567" s="454"/>
      <c r="M567" s="455"/>
      <c r="N567" s="43"/>
      <c r="O567" s="388"/>
      <c r="P567" s="48"/>
      <c r="Q567" s="370"/>
      <c r="R567" s="48"/>
    </row>
    <row r="568" spans="1:18" s="479" customFormat="1" ht="15" x14ac:dyDescent="0.25">
      <c r="A568" s="1">
        <v>564</v>
      </c>
      <c r="B568" s="1" t="s">
        <v>766</v>
      </c>
      <c r="C568" s="32">
        <v>8820</v>
      </c>
      <c r="D568" s="32">
        <v>16000</v>
      </c>
      <c r="E568" s="1" t="s">
        <v>80</v>
      </c>
      <c r="F568" s="1">
        <v>178.22</v>
      </c>
      <c r="G568" s="1">
        <v>16000</v>
      </c>
      <c r="H568" s="1">
        <f t="shared" si="9"/>
        <v>0</v>
      </c>
      <c r="I568" s="89"/>
      <c r="J568" s="454"/>
      <c r="K568" s="454"/>
      <c r="L568" s="454"/>
      <c r="M568" s="455"/>
      <c r="N568" s="43"/>
      <c r="O568" s="388"/>
      <c r="P568" s="48"/>
      <c r="Q568" s="370"/>
      <c r="R568" s="48"/>
    </row>
    <row r="569" spans="1:18" s="479" customFormat="1" ht="15" x14ac:dyDescent="0.25">
      <c r="A569" s="1">
        <v>565</v>
      </c>
      <c r="B569" s="1" t="s">
        <v>766</v>
      </c>
      <c r="C569" s="32">
        <v>7820</v>
      </c>
      <c r="D569" s="32">
        <v>16000</v>
      </c>
      <c r="E569" s="1" t="s">
        <v>80</v>
      </c>
      <c r="F569" s="1">
        <v>178.22</v>
      </c>
      <c r="G569" s="1">
        <v>16000</v>
      </c>
      <c r="H569" s="1">
        <f t="shared" si="9"/>
        <v>0</v>
      </c>
      <c r="I569" s="89"/>
      <c r="J569" s="454"/>
      <c r="K569" s="454"/>
      <c r="L569" s="454"/>
      <c r="M569" s="455"/>
      <c r="N569" s="43"/>
      <c r="O569" s="388"/>
      <c r="P569" s="48"/>
      <c r="Q569" s="370"/>
      <c r="R569" s="48"/>
    </row>
    <row r="570" spans="1:18" s="479" customFormat="1" ht="15" x14ac:dyDescent="0.25">
      <c r="A570" s="1">
        <v>566</v>
      </c>
      <c r="B570" s="1" t="s">
        <v>766</v>
      </c>
      <c r="C570" s="32">
        <v>3662</v>
      </c>
      <c r="D570" s="32">
        <v>20000</v>
      </c>
      <c r="E570" s="1" t="s">
        <v>80</v>
      </c>
      <c r="F570" s="1">
        <v>222.82</v>
      </c>
      <c r="G570" s="1">
        <v>20000</v>
      </c>
      <c r="H570" s="1">
        <f t="shared" si="9"/>
        <v>0</v>
      </c>
      <c r="I570" s="89"/>
      <c r="J570" s="454"/>
      <c r="K570" s="454"/>
      <c r="L570" s="454"/>
      <c r="M570" s="455"/>
      <c r="N570" s="43"/>
      <c r="O570" s="388"/>
      <c r="P570" s="48"/>
      <c r="Q570" s="370"/>
      <c r="R570" s="48"/>
    </row>
    <row r="571" spans="1:18" s="479" customFormat="1" ht="15" x14ac:dyDescent="0.25">
      <c r="A571" s="1">
        <v>567</v>
      </c>
      <c r="B571" s="1" t="s">
        <v>766</v>
      </c>
      <c r="C571" s="32">
        <v>3665</v>
      </c>
      <c r="D571" s="32">
        <v>18000</v>
      </c>
      <c r="E571" s="1" t="s">
        <v>80</v>
      </c>
      <c r="F571" s="1">
        <v>200.8</v>
      </c>
      <c r="G571" s="1">
        <v>18000</v>
      </c>
      <c r="H571" s="1">
        <f t="shared" si="9"/>
        <v>0</v>
      </c>
      <c r="I571" s="89"/>
      <c r="J571" s="454"/>
      <c r="K571" s="454"/>
      <c r="L571" s="454"/>
      <c r="M571" s="455"/>
      <c r="N571" s="43"/>
      <c r="O571" s="388"/>
      <c r="P571" s="48"/>
      <c r="Q571" s="370"/>
      <c r="R571" s="48"/>
    </row>
    <row r="572" spans="1:18" s="479" customFormat="1" ht="15" x14ac:dyDescent="0.25">
      <c r="A572" s="1">
        <v>568</v>
      </c>
      <c r="B572" s="1" t="s">
        <v>766</v>
      </c>
      <c r="C572" s="32">
        <v>4.4499999999999998E-2</v>
      </c>
      <c r="D572" s="32">
        <v>14000</v>
      </c>
      <c r="E572" s="1" t="s">
        <v>80</v>
      </c>
      <c r="F572" s="1">
        <v>155.44999999999999</v>
      </c>
      <c r="G572" s="1">
        <v>14000</v>
      </c>
      <c r="H572" s="1">
        <f t="shared" si="9"/>
        <v>0</v>
      </c>
      <c r="I572" s="89"/>
      <c r="J572" s="454"/>
      <c r="K572" s="454"/>
      <c r="L572" s="454"/>
      <c r="M572" s="455"/>
      <c r="N572" s="43"/>
      <c r="O572" s="388"/>
      <c r="P572" s="48"/>
      <c r="Q572" s="370"/>
      <c r="R572" s="48"/>
    </row>
    <row r="573" spans="1:18" s="479" customFormat="1" ht="15" x14ac:dyDescent="0.25">
      <c r="A573" s="1">
        <v>569</v>
      </c>
      <c r="B573" s="1" t="s">
        <v>766</v>
      </c>
      <c r="C573" s="32">
        <v>3587</v>
      </c>
      <c r="D573" s="32">
        <v>12000</v>
      </c>
      <c r="E573" s="1" t="s">
        <v>80</v>
      </c>
      <c r="F573" s="1">
        <v>133.41999999999999</v>
      </c>
      <c r="G573" s="1">
        <v>12000</v>
      </c>
      <c r="H573" s="1">
        <f t="shared" si="9"/>
        <v>0</v>
      </c>
      <c r="I573" s="89"/>
      <c r="J573" s="454"/>
      <c r="K573" s="454"/>
      <c r="L573" s="454"/>
      <c r="M573" s="455"/>
      <c r="N573" s="43"/>
      <c r="O573" s="388"/>
      <c r="P573" s="48"/>
      <c r="Q573" s="370"/>
      <c r="R573" s="48"/>
    </row>
    <row r="574" spans="1:18" s="479" customFormat="1" ht="15" x14ac:dyDescent="0.25">
      <c r="A574" s="1">
        <v>570</v>
      </c>
      <c r="B574" s="1" t="s">
        <v>766</v>
      </c>
      <c r="C574" s="32">
        <v>9397</v>
      </c>
      <c r="D574" s="32">
        <v>13000</v>
      </c>
      <c r="E574" s="1" t="s">
        <v>80</v>
      </c>
      <c r="F574" s="1">
        <v>144.13</v>
      </c>
      <c r="G574" s="1">
        <v>13000</v>
      </c>
      <c r="H574" s="1">
        <f t="shared" si="9"/>
        <v>0</v>
      </c>
      <c r="I574" s="89"/>
      <c r="J574" s="454"/>
      <c r="K574" s="454"/>
      <c r="L574" s="454"/>
      <c r="M574" s="455"/>
      <c r="N574" s="43"/>
      <c r="O574" s="388"/>
      <c r="P574" s="48"/>
      <c r="Q574" s="370"/>
      <c r="R574" s="48"/>
    </row>
    <row r="575" spans="1:18" s="479" customFormat="1" ht="15" x14ac:dyDescent="0.25">
      <c r="A575" s="1">
        <v>571</v>
      </c>
      <c r="B575" s="1" t="s">
        <v>766</v>
      </c>
      <c r="C575" s="32">
        <v>3941</v>
      </c>
      <c r="D575" s="32">
        <v>15000</v>
      </c>
      <c r="E575" s="1" t="s">
        <v>80</v>
      </c>
      <c r="F575" s="1">
        <v>167.15</v>
      </c>
      <c r="G575" s="1">
        <v>15000</v>
      </c>
      <c r="H575" s="1">
        <f t="shared" si="9"/>
        <v>0</v>
      </c>
      <c r="I575" s="89"/>
      <c r="J575" s="454"/>
      <c r="K575" s="454"/>
      <c r="L575" s="454"/>
      <c r="M575" s="455"/>
      <c r="N575" s="43"/>
      <c r="O575" s="388"/>
      <c r="P575" s="48"/>
      <c r="Q575" s="370"/>
      <c r="R575" s="48"/>
    </row>
    <row r="576" spans="1:18" s="479" customFormat="1" ht="15" x14ac:dyDescent="0.25">
      <c r="A576" s="1">
        <v>572</v>
      </c>
      <c r="B576" s="1" t="s">
        <v>766</v>
      </c>
      <c r="C576" s="32">
        <v>9544</v>
      </c>
      <c r="D576" s="32">
        <v>13000</v>
      </c>
      <c r="E576" s="1" t="s">
        <v>80</v>
      </c>
      <c r="F576" s="1">
        <v>144.13</v>
      </c>
      <c r="G576" s="1">
        <v>13000</v>
      </c>
      <c r="H576" s="1">
        <f t="shared" si="9"/>
        <v>0</v>
      </c>
      <c r="I576" s="89"/>
      <c r="J576" s="454"/>
      <c r="K576" s="454"/>
      <c r="L576" s="454"/>
      <c r="M576" s="455"/>
      <c r="N576" s="43"/>
      <c r="O576" s="388"/>
      <c r="P576" s="48"/>
      <c r="Q576" s="370"/>
      <c r="R576" s="48"/>
    </row>
    <row r="577" spans="1:18" s="479" customFormat="1" ht="15" x14ac:dyDescent="0.25">
      <c r="A577" s="1">
        <v>573</v>
      </c>
      <c r="B577" s="1" t="s">
        <v>766</v>
      </c>
      <c r="C577" s="32">
        <v>8551</v>
      </c>
      <c r="D577" s="32">
        <v>20000</v>
      </c>
      <c r="E577" s="1" t="s">
        <v>80</v>
      </c>
      <c r="F577" s="1">
        <v>222.82</v>
      </c>
      <c r="G577" s="1">
        <v>20000</v>
      </c>
      <c r="H577" s="1">
        <f t="shared" si="9"/>
        <v>0</v>
      </c>
      <c r="I577" s="89"/>
      <c r="J577" s="454"/>
      <c r="K577" s="454"/>
      <c r="L577" s="454"/>
      <c r="M577" s="455"/>
      <c r="N577" s="43"/>
      <c r="O577" s="388"/>
      <c r="P577" s="48"/>
      <c r="Q577" s="370"/>
      <c r="R577" s="48"/>
    </row>
    <row r="578" spans="1:18" s="479" customFormat="1" ht="15" x14ac:dyDescent="0.25">
      <c r="A578" s="1">
        <v>574</v>
      </c>
      <c r="B578" s="1" t="s">
        <v>766</v>
      </c>
      <c r="C578" s="32" t="s">
        <v>30</v>
      </c>
      <c r="D578" s="32">
        <v>5000</v>
      </c>
      <c r="E578" s="1" t="s">
        <v>80</v>
      </c>
      <c r="F578" s="1">
        <v>55.45</v>
      </c>
      <c r="G578" s="1">
        <v>5000</v>
      </c>
      <c r="H578" s="1">
        <f t="shared" si="9"/>
        <v>0</v>
      </c>
      <c r="I578" s="89"/>
      <c r="J578" s="454"/>
      <c r="K578" s="454"/>
      <c r="L578" s="454"/>
      <c r="M578" s="455"/>
      <c r="N578" s="43"/>
      <c r="O578" s="388"/>
      <c r="P578" s="48"/>
      <c r="Q578" s="370"/>
      <c r="R578" s="48"/>
    </row>
    <row r="579" spans="1:18" s="479" customFormat="1" ht="15" x14ac:dyDescent="0.25">
      <c r="A579" s="1">
        <v>575</v>
      </c>
      <c r="B579" s="1" t="s">
        <v>766</v>
      </c>
      <c r="C579" s="32">
        <v>4067</v>
      </c>
      <c r="D579" s="32">
        <v>12000</v>
      </c>
      <c r="E579" s="1" t="s">
        <v>80</v>
      </c>
      <c r="F579" s="1">
        <v>133.41999999999999</v>
      </c>
      <c r="G579" s="1">
        <v>12000</v>
      </c>
      <c r="H579" s="1">
        <f t="shared" si="9"/>
        <v>0</v>
      </c>
      <c r="I579" s="89"/>
      <c r="J579" s="454"/>
      <c r="K579" s="454"/>
      <c r="L579" s="454"/>
      <c r="M579" s="455"/>
      <c r="N579" s="43"/>
      <c r="O579" s="388"/>
      <c r="P579" s="48"/>
      <c r="Q579" s="370"/>
      <c r="R579" s="48"/>
    </row>
    <row r="580" spans="1:18" s="479" customFormat="1" ht="15" x14ac:dyDescent="0.25">
      <c r="A580" s="1">
        <v>576</v>
      </c>
      <c r="B580" s="1" t="s">
        <v>766</v>
      </c>
      <c r="C580" s="32">
        <v>9002</v>
      </c>
      <c r="D580" s="32">
        <v>21000</v>
      </c>
      <c r="E580" s="1" t="s">
        <v>80</v>
      </c>
      <c r="F580" s="1">
        <v>233.67</v>
      </c>
      <c r="G580" s="1">
        <v>21000</v>
      </c>
      <c r="H580" s="1">
        <f t="shared" si="9"/>
        <v>0</v>
      </c>
      <c r="I580" s="89"/>
      <c r="J580" s="454"/>
      <c r="K580" s="454"/>
      <c r="L580" s="454"/>
      <c r="M580" s="455"/>
      <c r="N580" s="43"/>
      <c r="O580" s="388"/>
      <c r="P580" s="48"/>
      <c r="Q580" s="370"/>
      <c r="R580" s="48"/>
    </row>
    <row r="581" spans="1:18" s="479" customFormat="1" ht="15" x14ac:dyDescent="0.25">
      <c r="A581" s="1">
        <v>577</v>
      </c>
      <c r="B581" s="1" t="s">
        <v>766</v>
      </c>
      <c r="C581" s="32">
        <v>9.4999999999999998E-3</v>
      </c>
      <c r="D581" s="32">
        <v>20000</v>
      </c>
      <c r="E581" s="1" t="s">
        <v>80</v>
      </c>
      <c r="F581" s="1">
        <v>222.82</v>
      </c>
      <c r="G581" s="1">
        <v>20000</v>
      </c>
      <c r="H581" s="1">
        <f t="shared" si="9"/>
        <v>0</v>
      </c>
      <c r="I581" s="89"/>
      <c r="J581" s="454"/>
      <c r="K581" s="454"/>
      <c r="L581" s="454"/>
      <c r="M581" s="455"/>
      <c r="N581" s="43"/>
      <c r="O581" s="388"/>
      <c r="P581" s="48"/>
      <c r="Q581" s="370"/>
      <c r="R581" s="48"/>
    </row>
    <row r="582" spans="1:18" s="479" customFormat="1" ht="15" x14ac:dyDescent="0.25">
      <c r="A582" s="1">
        <v>578</v>
      </c>
      <c r="B582" s="1" t="s">
        <v>766</v>
      </c>
      <c r="C582" s="32">
        <v>7672</v>
      </c>
      <c r="D582" s="32">
        <v>20000</v>
      </c>
      <c r="E582" s="1" t="s">
        <v>80</v>
      </c>
      <c r="F582" s="1">
        <v>222.82</v>
      </c>
      <c r="G582" s="1">
        <v>20000</v>
      </c>
      <c r="H582" s="1">
        <f t="shared" si="9"/>
        <v>0</v>
      </c>
      <c r="I582" s="89"/>
      <c r="J582" s="454"/>
      <c r="K582" s="454"/>
      <c r="L582" s="454"/>
      <c r="M582" s="455"/>
      <c r="N582" s="43"/>
      <c r="O582" s="388"/>
      <c r="P582" s="48"/>
      <c r="Q582" s="370"/>
      <c r="R582" s="48"/>
    </row>
    <row r="583" spans="1:18" s="479" customFormat="1" ht="15" x14ac:dyDescent="0.25">
      <c r="A583" s="1">
        <v>579</v>
      </c>
      <c r="B583" s="1" t="s">
        <v>766</v>
      </c>
      <c r="C583" s="32">
        <v>2795</v>
      </c>
      <c r="D583" s="32">
        <v>20000</v>
      </c>
      <c r="E583" s="1" t="s">
        <v>80</v>
      </c>
      <c r="F583" s="1">
        <v>222.82</v>
      </c>
      <c r="G583" s="1">
        <v>20000</v>
      </c>
      <c r="H583" s="1">
        <f t="shared" si="9"/>
        <v>0</v>
      </c>
      <c r="I583" s="89"/>
      <c r="J583" s="454"/>
      <c r="K583" s="454"/>
      <c r="L583" s="454"/>
      <c r="M583" s="455"/>
      <c r="N583" s="43"/>
      <c r="O583" s="388"/>
      <c r="P583" s="48"/>
      <c r="Q583" s="370"/>
      <c r="R583" s="48"/>
    </row>
    <row r="584" spans="1:18" s="479" customFormat="1" ht="15" x14ac:dyDescent="0.25">
      <c r="A584" s="1">
        <v>580</v>
      </c>
      <c r="B584" s="1" t="s">
        <v>766</v>
      </c>
      <c r="C584" s="32">
        <v>9903</v>
      </c>
      <c r="D584" s="32">
        <v>20000</v>
      </c>
      <c r="E584" s="1" t="s">
        <v>80</v>
      </c>
      <c r="F584" s="1">
        <v>222.82</v>
      </c>
      <c r="G584" s="1">
        <v>20000</v>
      </c>
      <c r="H584" s="1">
        <f t="shared" si="9"/>
        <v>0</v>
      </c>
      <c r="I584" s="89"/>
      <c r="J584" s="454"/>
      <c r="K584" s="454"/>
      <c r="L584" s="454"/>
      <c r="M584" s="455"/>
      <c r="N584" s="43"/>
      <c r="O584" s="388"/>
      <c r="P584" s="48"/>
      <c r="Q584" s="370"/>
      <c r="R584" s="48"/>
    </row>
    <row r="585" spans="1:18" s="479" customFormat="1" ht="15" x14ac:dyDescent="0.25">
      <c r="A585" s="1">
        <v>581</v>
      </c>
      <c r="B585" s="1" t="s">
        <v>766</v>
      </c>
      <c r="C585" s="32">
        <v>7.5800000000000006E-2</v>
      </c>
      <c r="D585" s="32">
        <v>24000</v>
      </c>
      <c r="E585" s="1" t="s">
        <v>80</v>
      </c>
      <c r="F585" s="1">
        <v>267.94</v>
      </c>
      <c r="G585" s="1">
        <v>24000</v>
      </c>
      <c r="H585" s="1">
        <f t="shared" si="9"/>
        <v>0</v>
      </c>
      <c r="I585" s="89"/>
      <c r="J585" s="454"/>
      <c r="K585" s="454"/>
      <c r="L585" s="454"/>
      <c r="M585" s="455"/>
      <c r="N585" s="43"/>
      <c r="O585" s="388"/>
      <c r="P585" s="48"/>
      <c r="Q585" s="370"/>
      <c r="R585" s="48"/>
    </row>
    <row r="586" spans="1:18" s="479" customFormat="1" ht="15" x14ac:dyDescent="0.25">
      <c r="A586" s="1">
        <v>582</v>
      </c>
      <c r="B586" s="1" t="s">
        <v>766</v>
      </c>
      <c r="C586" s="32">
        <v>9075</v>
      </c>
      <c r="D586" s="32">
        <v>24000</v>
      </c>
      <c r="E586" s="1" t="s">
        <v>80</v>
      </c>
      <c r="F586" s="1">
        <v>267.94</v>
      </c>
      <c r="G586" s="1">
        <v>24000</v>
      </c>
      <c r="H586" s="1">
        <f t="shared" si="9"/>
        <v>0</v>
      </c>
      <c r="I586" s="89"/>
      <c r="J586" s="454"/>
      <c r="K586" s="454"/>
      <c r="L586" s="454"/>
      <c r="M586" s="455"/>
      <c r="N586" s="43"/>
      <c r="O586" s="388"/>
      <c r="P586" s="48"/>
      <c r="Q586" s="370"/>
      <c r="R586" s="48"/>
    </row>
    <row r="587" spans="1:18" s="479" customFormat="1" ht="15" x14ac:dyDescent="0.25">
      <c r="A587" s="1">
        <v>583</v>
      </c>
      <c r="B587" s="1" t="s">
        <v>766</v>
      </c>
      <c r="C587" s="32">
        <v>8459</v>
      </c>
      <c r="D587" s="32">
        <v>20000</v>
      </c>
      <c r="E587" s="1" t="s">
        <v>80</v>
      </c>
      <c r="F587" s="1">
        <v>222.82</v>
      </c>
      <c r="G587" s="1">
        <v>20000</v>
      </c>
      <c r="H587" s="1">
        <f t="shared" si="9"/>
        <v>0</v>
      </c>
      <c r="I587" s="89"/>
      <c r="J587" s="454"/>
      <c r="K587" s="454"/>
      <c r="L587" s="454"/>
      <c r="M587" s="455"/>
      <c r="N587" s="43"/>
      <c r="O587" s="388"/>
      <c r="P587" s="48"/>
      <c r="Q587" s="370"/>
      <c r="R587" s="48"/>
    </row>
    <row r="588" spans="1:18" s="479" customFormat="1" ht="15" x14ac:dyDescent="0.25">
      <c r="A588" s="1">
        <v>584</v>
      </c>
      <c r="B588" s="1" t="s">
        <v>766</v>
      </c>
      <c r="C588" s="32">
        <v>5171</v>
      </c>
      <c r="D588" s="32">
        <v>20000</v>
      </c>
      <c r="E588" s="1" t="s">
        <v>80</v>
      </c>
      <c r="F588" s="1">
        <v>222.82</v>
      </c>
      <c r="G588" s="1">
        <v>20000</v>
      </c>
      <c r="H588" s="1">
        <f t="shared" si="9"/>
        <v>0</v>
      </c>
      <c r="I588" s="89"/>
      <c r="J588" s="454"/>
      <c r="K588" s="454"/>
      <c r="L588" s="454"/>
      <c r="M588" s="455"/>
      <c r="N588" s="43"/>
      <c r="O588" s="388"/>
      <c r="P588" s="48"/>
      <c r="Q588" s="370"/>
      <c r="R588" s="48"/>
    </row>
    <row r="589" spans="1:18" s="479" customFormat="1" ht="15" x14ac:dyDescent="0.25">
      <c r="A589" s="1">
        <v>585</v>
      </c>
      <c r="B589" s="1" t="s">
        <v>766</v>
      </c>
      <c r="C589" s="32">
        <v>3977</v>
      </c>
      <c r="D589" s="32">
        <v>20000</v>
      </c>
      <c r="E589" s="1" t="s">
        <v>80</v>
      </c>
      <c r="F589" s="1">
        <v>222.82</v>
      </c>
      <c r="G589" s="1">
        <v>20000</v>
      </c>
      <c r="H589" s="1">
        <f t="shared" si="9"/>
        <v>0</v>
      </c>
      <c r="I589" s="89"/>
      <c r="J589" s="454"/>
      <c r="K589" s="454"/>
      <c r="L589" s="454"/>
      <c r="M589" s="455"/>
      <c r="N589" s="43"/>
      <c r="O589" s="388"/>
      <c r="P589" s="48"/>
      <c r="Q589" s="370"/>
      <c r="R589" s="48"/>
    </row>
    <row r="590" spans="1:18" s="479" customFormat="1" ht="15" x14ac:dyDescent="0.25">
      <c r="A590" s="1">
        <v>586</v>
      </c>
      <c r="B590" s="1" t="s">
        <v>766</v>
      </c>
      <c r="C590" s="32">
        <v>6402</v>
      </c>
      <c r="D590" s="32">
        <v>20000</v>
      </c>
      <c r="E590" s="1" t="s">
        <v>80</v>
      </c>
      <c r="F590" s="1">
        <v>222.82</v>
      </c>
      <c r="G590" s="1">
        <v>20000</v>
      </c>
      <c r="H590" s="1">
        <f t="shared" si="9"/>
        <v>0</v>
      </c>
      <c r="I590" s="89"/>
      <c r="J590" s="454"/>
      <c r="K590" s="454"/>
      <c r="L590" s="454"/>
      <c r="M590" s="455"/>
      <c r="N590" s="43"/>
      <c r="O590" s="388"/>
      <c r="P590" s="48"/>
      <c r="Q590" s="370"/>
      <c r="R590" s="48"/>
    </row>
    <row r="591" spans="1:18" s="479" customFormat="1" ht="15" x14ac:dyDescent="0.25">
      <c r="A591" s="1">
        <v>587</v>
      </c>
      <c r="B591" s="1" t="s">
        <v>766</v>
      </c>
      <c r="C591" s="32">
        <v>4092</v>
      </c>
      <c r="D591" s="32">
        <v>20000</v>
      </c>
      <c r="E591" s="1" t="s">
        <v>80</v>
      </c>
      <c r="F591" s="1">
        <v>222.82</v>
      </c>
      <c r="G591" s="1">
        <v>20000</v>
      </c>
      <c r="H591" s="1">
        <f t="shared" si="9"/>
        <v>0</v>
      </c>
      <c r="I591" s="89"/>
      <c r="J591" s="454"/>
      <c r="K591" s="454"/>
      <c r="L591" s="454"/>
      <c r="M591" s="455"/>
      <c r="N591" s="43"/>
      <c r="O591" s="388"/>
      <c r="P591" s="48"/>
      <c r="Q591" s="370"/>
      <c r="R591" s="48"/>
    </row>
    <row r="592" spans="1:18" s="479" customFormat="1" ht="15" x14ac:dyDescent="0.25">
      <c r="A592" s="1">
        <v>588</v>
      </c>
      <c r="B592" s="1" t="s">
        <v>766</v>
      </c>
      <c r="C592" s="32">
        <v>1629</v>
      </c>
      <c r="D592" s="32">
        <v>20000</v>
      </c>
      <c r="E592" s="1" t="s">
        <v>80</v>
      </c>
      <c r="F592" s="1">
        <v>222.82</v>
      </c>
      <c r="G592" s="1">
        <v>20000</v>
      </c>
      <c r="H592" s="1">
        <f t="shared" si="9"/>
        <v>0</v>
      </c>
      <c r="I592" s="89"/>
      <c r="J592" s="454"/>
      <c r="K592" s="454"/>
      <c r="L592" s="454"/>
      <c r="M592" s="455"/>
      <c r="N592" s="43"/>
      <c r="O592" s="388"/>
      <c r="P592" s="48"/>
      <c r="Q592" s="370"/>
      <c r="R592" s="48"/>
    </row>
    <row r="593" spans="1:18" s="479" customFormat="1" ht="15" x14ac:dyDescent="0.25">
      <c r="A593" s="1">
        <v>589</v>
      </c>
      <c r="B593" s="1" t="s">
        <v>766</v>
      </c>
      <c r="C593" s="32">
        <v>4197</v>
      </c>
      <c r="D593" s="32">
        <v>20000</v>
      </c>
      <c r="E593" s="1" t="s">
        <v>80</v>
      </c>
      <c r="F593" s="1">
        <v>222.82</v>
      </c>
      <c r="G593" s="1">
        <v>20000</v>
      </c>
      <c r="H593" s="1">
        <f t="shared" si="9"/>
        <v>0</v>
      </c>
      <c r="I593" s="89"/>
      <c r="J593" s="454"/>
      <c r="K593" s="454"/>
      <c r="L593" s="454"/>
      <c r="M593" s="455"/>
      <c r="N593" s="43"/>
      <c r="O593" s="388"/>
      <c r="P593" s="48"/>
      <c r="Q593" s="370"/>
      <c r="R593" s="48"/>
    </row>
    <row r="594" spans="1:18" s="479" customFormat="1" ht="15" x14ac:dyDescent="0.25">
      <c r="A594" s="1">
        <v>590</v>
      </c>
      <c r="B594" s="1" t="s">
        <v>766</v>
      </c>
      <c r="C594" s="32">
        <v>4295</v>
      </c>
      <c r="D594" s="32">
        <v>22000</v>
      </c>
      <c r="E594" s="1" t="s">
        <v>80</v>
      </c>
      <c r="F594" s="1">
        <v>245.87</v>
      </c>
      <c r="G594" s="1">
        <v>22000</v>
      </c>
      <c r="H594" s="1">
        <f t="shared" si="9"/>
        <v>0</v>
      </c>
      <c r="I594" s="89"/>
      <c r="J594" s="454"/>
      <c r="K594" s="454"/>
      <c r="L594" s="454"/>
      <c r="M594" s="455"/>
      <c r="N594" s="43"/>
      <c r="O594" s="388"/>
      <c r="P594" s="48"/>
      <c r="Q594" s="370"/>
      <c r="R594" s="48"/>
    </row>
    <row r="595" spans="1:18" s="479" customFormat="1" ht="15" x14ac:dyDescent="0.25">
      <c r="A595" s="1">
        <v>591</v>
      </c>
      <c r="B595" s="1" t="s">
        <v>766</v>
      </c>
      <c r="C595" s="32">
        <v>1176</v>
      </c>
      <c r="D595" s="32">
        <v>8000</v>
      </c>
      <c r="E595" s="1" t="s">
        <v>80</v>
      </c>
      <c r="F595" s="1">
        <v>89.67</v>
      </c>
      <c r="G595" s="1">
        <v>8000</v>
      </c>
      <c r="H595" s="1">
        <f t="shared" si="9"/>
        <v>0</v>
      </c>
      <c r="I595" s="89"/>
      <c r="J595" s="454"/>
      <c r="K595" s="454"/>
      <c r="L595" s="454"/>
      <c r="M595" s="455"/>
      <c r="N595" s="43"/>
      <c r="O595" s="388"/>
      <c r="P595" s="48"/>
      <c r="Q595" s="370"/>
      <c r="R595" s="48"/>
    </row>
    <row r="596" spans="1:18" s="479" customFormat="1" ht="15" x14ac:dyDescent="0.25">
      <c r="A596" s="1">
        <v>592</v>
      </c>
      <c r="B596" s="1" t="s">
        <v>766</v>
      </c>
      <c r="C596" s="32">
        <v>3476</v>
      </c>
      <c r="D596" s="32">
        <v>5000</v>
      </c>
      <c r="E596" s="1" t="s">
        <v>80</v>
      </c>
      <c r="F596" s="1">
        <v>55.85</v>
      </c>
      <c r="G596" s="1">
        <v>5000</v>
      </c>
      <c r="H596" s="1">
        <f t="shared" si="9"/>
        <v>0</v>
      </c>
      <c r="I596" s="89"/>
      <c r="J596" s="454"/>
      <c r="K596" s="454"/>
      <c r="L596" s="454"/>
      <c r="M596" s="455"/>
      <c r="N596" s="43"/>
      <c r="O596" s="388"/>
      <c r="P596" s="48"/>
      <c r="Q596" s="370"/>
      <c r="R596" s="48"/>
    </row>
    <row r="597" spans="1:18" s="479" customFormat="1" ht="15" x14ac:dyDescent="0.25">
      <c r="A597" s="1">
        <v>593</v>
      </c>
      <c r="B597" s="1" t="s">
        <v>766</v>
      </c>
      <c r="C597" s="32" t="s">
        <v>30</v>
      </c>
      <c r="D597" s="32">
        <v>4500</v>
      </c>
      <c r="E597" s="1" t="s">
        <v>80</v>
      </c>
      <c r="F597" s="1">
        <v>50.48</v>
      </c>
      <c r="G597" s="1">
        <v>4500</v>
      </c>
      <c r="H597" s="1">
        <f t="shared" ref="H597:H660" si="10">D597-G597</f>
        <v>0</v>
      </c>
      <c r="I597" s="89"/>
      <c r="J597" s="454"/>
      <c r="K597" s="454"/>
      <c r="L597" s="454"/>
      <c r="M597" s="455"/>
      <c r="N597" s="43"/>
      <c r="O597" s="388"/>
      <c r="P597" s="48"/>
      <c r="Q597" s="370"/>
      <c r="R597" s="48"/>
    </row>
    <row r="598" spans="1:18" s="479" customFormat="1" ht="15" x14ac:dyDescent="0.25">
      <c r="A598" s="1">
        <v>594</v>
      </c>
      <c r="B598" s="1" t="s">
        <v>766</v>
      </c>
      <c r="C598" s="32">
        <v>1332</v>
      </c>
      <c r="D598" s="32">
        <v>14000</v>
      </c>
      <c r="E598" s="1" t="s">
        <v>80</v>
      </c>
      <c r="F598" s="1">
        <v>155.44999999999999</v>
      </c>
      <c r="G598" s="1">
        <v>14000</v>
      </c>
      <c r="H598" s="1">
        <f t="shared" si="10"/>
        <v>0</v>
      </c>
      <c r="I598" s="89"/>
      <c r="J598" s="454"/>
      <c r="K598" s="454"/>
      <c r="L598" s="454"/>
      <c r="M598" s="455"/>
      <c r="N598" s="43"/>
      <c r="O598" s="388"/>
      <c r="P598" s="48"/>
      <c r="Q598" s="370"/>
      <c r="R598" s="48"/>
    </row>
    <row r="599" spans="1:18" s="479" customFormat="1" ht="15" x14ac:dyDescent="0.25">
      <c r="A599" s="1">
        <v>595</v>
      </c>
      <c r="B599" s="1" t="s">
        <v>766</v>
      </c>
      <c r="C599" s="32">
        <v>8602</v>
      </c>
      <c r="D599" s="32">
        <v>31000</v>
      </c>
      <c r="E599" s="1" t="s">
        <v>80</v>
      </c>
      <c r="F599" s="1">
        <v>345.48</v>
      </c>
      <c r="G599" s="1">
        <v>31000</v>
      </c>
      <c r="H599" s="1">
        <f t="shared" si="10"/>
        <v>0</v>
      </c>
      <c r="I599" s="89"/>
      <c r="J599" s="454"/>
      <c r="K599" s="454"/>
      <c r="L599" s="454"/>
      <c r="M599" s="455"/>
      <c r="N599" s="43"/>
      <c r="O599" s="388"/>
      <c r="P599" s="48"/>
      <c r="Q599" s="370"/>
      <c r="R599" s="48"/>
    </row>
    <row r="600" spans="1:18" s="479" customFormat="1" ht="15" x14ac:dyDescent="0.25">
      <c r="A600" s="1">
        <v>596</v>
      </c>
      <c r="B600" s="1" t="s">
        <v>766</v>
      </c>
      <c r="C600" s="32">
        <v>1491</v>
      </c>
      <c r="D600" s="32">
        <v>14000</v>
      </c>
      <c r="E600" s="1" t="s">
        <v>80</v>
      </c>
      <c r="F600" s="1">
        <v>155.44999999999999</v>
      </c>
      <c r="G600" s="1">
        <v>14000</v>
      </c>
      <c r="H600" s="1">
        <f t="shared" si="10"/>
        <v>0</v>
      </c>
      <c r="I600" s="89"/>
      <c r="J600" s="454"/>
      <c r="K600" s="454"/>
      <c r="L600" s="454"/>
      <c r="M600" s="455"/>
      <c r="N600" s="43"/>
      <c r="O600" s="388"/>
      <c r="P600" s="48"/>
      <c r="Q600" s="370"/>
      <c r="R600" s="48"/>
    </row>
    <row r="601" spans="1:18" s="479" customFormat="1" ht="15" x14ac:dyDescent="0.25">
      <c r="A601" s="1">
        <v>597</v>
      </c>
      <c r="B601" s="1" t="s">
        <v>766</v>
      </c>
      <c r="C601" s="32">
        <v>1778</v>
      </c>
      <c r="D601" s="32">
        <v>21000</v>
      </c>
      <c r="E601" s="1" t="s">
        <v>80</v>
      </c>
      <c r="F601" s="1">
        <v>233.27</v>
      </c>
      <c r="G601" s="1">
        <v>21000</v>
      </c>
      <c r="H601" s="1">
        <f t="shared" si="10"/>
        <v>0</v>
      </c>
      <c r="I601" s="89"/>
      <c r="J601" s="454"/>
      <c r="K601" s="454"/>
      <c r="L601" s="454"/>
      <c r="M601" s="455"/>
      <c r="N601" s="43"/>
      <c r="O601" s="388"/>
      <c r="P601" s="48"/>
      <c r="Q601" s="370"/>
      <c r="R601" s="48"/>
    </row>
    <row r="602" spans="1:18" s="479" customFormat="1" ht="15" x14ac:dyDescent="0.25">
      <c r="A602" s="1">
        <v>598</v>
      </c>
      <c r="B602" s="1" t="s">
        <v>766</v>
      </c>
      <c r="C602" s="32">
        <v>2593</v>
      </c>
      <c r="D602" s="32">
        <v>25000</v>
      </c>
      <c r="E602" s="1" t="s">
        <v>80</v>
      </c>
      <c r="F602" s="1">
        <v>278.22000000000003</v>
      </c>
      <c r="G602" s="1">
        <v>25000</v>
      </c>
      <c r="H602" s="1">
        <f t="shared" si="10"/>
        <v>0</v>
      </c>
      <c r="I602" s="89"/>
      <c r="J602" s="454"/>
      <c r="K602" s="454"/>
      <c r="L602" s="454"/>
      <c r="M602" s="455"/>
      <c r="N602" s="43"/>
      <c r="O602" s="388"/>
      <c r="P602" s="48"/>
      <c r="Q602" s="370"/>
      <c r="R602" s="48"/>
    </row>
    <row r="603" spans="1:18" s="479" customFormat="1" ht="15" x14ac:dyDescent="0.25">
      <c r="A603" s="1">
        <v>599</v>
      </c>
      <c r="B603" s="1" t="s">
        <v>766</v>
      </c>
      <c r="C603" s="32">
        <v>3998</v>
      </c>
      <c r="D603" s="32">
        <v>19000</v>
      </c>
      <c r="E603" s="1" t="s">
        <v>80</v>
      </c>
      <c r="F603" s="1">
        <v>151.66999999999999</v>
      </c>
      <c r="G603" s="1">
        <v>19000</v>
      </c>
      <c r="H603" s="1">
        <f t="shared" si="10"/>
        <v>0</v>
      </c>
      <c r="I603" s="89"/>
      <c r="J603" s="454"/>
      <c r="K603" s="454"/>
      <c r="L603" s="454"/>
      <c r="M603" s="455"/>
      <c r="N603" s="43"/>
      <c r="O603" s="388"/>
      <c r="P603" s="48"/>
      <c r="Q603" s="370"/>
      <c r="R603" s="48"/>
    </row>
    <row r="604" spans="1:18" s="479" customFormat="1" ht="15" x14ac:dyDescent="0.25">
      <c r="A604" s="1">
        <v>600</v>
      </c>
      <c r="B604" s="1" t="s">
        <v>766</v>
      </c>
      <c r="C604" s="32">
        <v>1420</v>
      </c>
      <c r="D604" s="32">
        <v>21000</v>
      </c>
      <c r="E604" s="1" t="s">
        <v>80</v>
      </c>
      <c r="F604" s="1">
        <v>233.38</v>
      </c>
      <c r="G604" s="1">
        <v>21000</v>
      </c>
      <c r="H604" s="1">
        <f t="shared" si="10"/>
        <v>0</v>
      </c>
      <c r="I604" s="89"/>
      <c r="J604" s="454"/>
      <c r="K604" s="454"/>
      <c r="L604" s="454"/>
      <c r="M604" s="455"/>
      <c r="N604" s="43"/>
      <c r="O604" s="388"/>
      <c r="P604" s="48"/>
      <c r="Q604" s="370"/>
      <c r="R604" s="48"/>
    </row>
    <row r="605" spans="1:18" s="479" customFormat="1" ht="15" x14ac:dyDescent="0.25">
      <c r="A605" s="1">
        <v>601</v>
      </c>
      <c r="B605" s="1" t="s">
        <v>766</v>
      </c>
      <c r="C605" s="32">
        <v>9.8199999999999996E-2</v>
      </c>
      <c r="D605" s="32">
        <v>19000</v>
      </c>
      <c r="E605" s="1" t="s">
        <v>80</v>
      </c>
      <c r="F605" s="1">
        <v>151.66999999999999</v>
      </c>
      <c r="G605" s="1">
        <v>19000</v>
      </c>
      <c r="H605" s="1">
        <f t="shared" si="10"/>
        <v>0</v>
      </c>
      <c r="I605" s="89"/>
      <c r="J605" s="454"/>
      <c r="K605" s="454"/>
      <c r="L605" s="454"/>
      <c r="M605" s="455"/>
      <c r="N605" s="43"/>
      <c r="O605" s="388"/>
      <c r="P605" s="48"/>
      <c r="Q605" s="370"/>
      <c r="R605" s="48"/>
    </row>
    <row r="606" spans="1:18" s="479" customFormat="1" ht="15.75" thickBot="1" x14ac:dyDescent="0.3">
      <c r="A606" s="1">
        <v>602</v>
      </c>
      <c r="B606" s="1" t="s">
        <v>766</v>
      </c>
      <c r="C606" s="32">
        <v>4788</v>
      </c>
      <c r="D606" s="32">
        <v>18000</v>
      </c>
      <c r="E606" s="1" t="s">
        <v>80</v>
      </c>
      <c r="F606" s="1">
        <v>200.82</v>
      </c>
      <c r="G606" s="1">
        <v>18000</v>
      </c>
      <c r="H606" s="1">
        <f t="shared" si="10"/>
        <v>0</v>
      </c>
      <c r="I606" s="89"/>
      <c r="J606" s="454"/>
      <c r="K606" s="454"/>
      <c r="L606" s="454"/>
      <c r="M606" s="455"/>
      <c r="N606" s="43"/>
      <c r="O606" s="388"/>
      <c r="P606" s="48"/>
      <c r="Q606" s="370"/>
      <c r="R606" s="48"/>
    </row>
    <row r="607" spans="1:18" s="479" customFormat="1" ht="15.75" thickBot="1" x14ac:dyDescent="0.3">
      <c r="A607" s="1">
        <v>603</v>
      </c>
      <c r="B607" s="1" t="s">
        <v>766</v>
      </c>
      <c r="C607" s="32">
        <v>5.8500000000000003E-2</v>
      </c>
      <c r="D607" s="32">
        <v>23000</v>
      </c>
      <c r="E607" s="1" t="s">
        <v>80</v>
      </c>
      <c r="F607" s="1">
        <v>256.98</v>
      </c>
      <c r="G607" s="1">
        <v>23000</v>
      </c>
      <c r="H607" s="1">
        <f t="shared" si="10"/>
        <v>0</v>
      </c>
      <c r="I607" s="89"/>
      <c r="J607" s="454"/>
      <c r="K607" s="454"/>
      <c r="L607" s="454"/>
      <c r="M607" s="455"/>
      <c r="N607" s="43"/>
      <c r="O607" s="103">
        <f>2533529-2516360</f>
        <v>17169</v>
      </c>
      <c r="P607" s="359" t="s">
        <v>763</v>
      </c>
      <c r="Q607" s="367" t="s">
        <v>620</v>
      </c>
      <c r="R607" s="360">
        <f>17169-1300</f>
        <v>15869</v>
      </c>
    </row>
    <row r="608" spans="1:18" s="480" customFormat="1" ht="15" x14ac:dyDescent="0.25">
      <c r="A608" s="1">
        <v>604</v>
      </c>
      <c r="B608" s="1" t="s">
        <v>767</v>
      </c>
      <c r="C608" s="293">
        <v>9972</v>
      </c>
      <c r="D608" s="32">
        <v>13000</v>
      </c>
      <c r="E608" s="1" t="s">
        <v>80</v>
      </c>
      <c r="F608" s="1">
        <v>144.13</v>
      </c>
      <c r="G608" s="1">
        <v>13000</v>
      </c>
      <c r="H608" s="1">
        <f t="shared" si="10"/>
        <v>0</v>
      </c>
      <c r="I608" s="89"/>
      <c r="J608" s="454"/>
      <c r="K608" s="454"/>
      <c r="L608" s="454"/>
      <c r="M608" s="455"/>
      <c r="N608" s="43"/>
      <c r="O608" s="388"/>
      <c r="P608" s="48"/>
      <c r="Q608" s="370"/>
      <c r="R608" s="48"/>
    </row>
    <row r="609" spans="1:18" s="480" customFormat="1" ht="15" x14ac:dyDescent="0.25">
      <c r="A609" s="1">
        <v>605</v>
      </c>
      <c r="B609" s="1" t="s">
        <v>767</v>
      </c>
      <c r="C609" s="32">
        <v>3644</v>
      </c>
      <c r="D609" s="32">
        <v>16000</v>
      </c>
      <c r="E609" s="1" t="s">
        <v>80</v>
      </c>
      <c r="F609" s="1">
        <v>178.22</v>
      </c>
      <c r="G609" s="295">
        <v>16000</v>
      </c>
      <c r="H609" s="1">
        <f t="shared" si="10"/>
        <v>0</v>
      </c>
      <c r="I609" s="89"/>
      <c r="J609" s="454"/>
      <c r="K609" s="454"/>
      <c r="L609" s="454"/>
      <c r="M609" s="455"/>
      <c r="N609" s="43"/>
      <c r="O609" s="388"/>
      <c r="P609" s="48"/>
      <c r="Q609" s="370"/>
      <c r="R609" s="48"/>
    </row>
    <row r="610" spans="1:18" s="480" customFormat="1" ht="15" x14ac:dyDescent="0.25">
      <c r="A610" s="1">
        <v>606</v>
      </c>
      <c r="B610" s="1" t="s">
        <v>767</v>
      </c>
      <c r="C610" s="32">
        <v>3444</v>
      </c>
      <c r="D610" s="32">
        <v>16000</v>
      </c>
      <c r="E610" s="1" t="s">
        <v>80</v>
      </c>
      <c r="F610" s="1">
        <v>178.22</v>
      </c>
      <c r="G610" s="295">
        <v>16000</v>
      </c>
      <c r="H610" s="1">
        <f t="shared" si="10"/>
        <v>0</v>
      </c>
      <c r="I610" s="89"/>
      <c r="J610" s="454"/>
      <c r="K610" s="454"/>
      <c r="L610" s="454"/>
      <c r="M610" s="455"/>
      <c r="N610" s="43"/>
      <c r="O610" s="388"/>
      <c r="P610" s="48"/>
      <c r="Q610" s="370"/>
      <c r="R610" s="48"/>
    </row>
    <row r="611" spans="1:18" s="480" customFormat="1" ht="15" x14ac:dyDescent="0.25">
      <c r="A611" s="1">
        <v>607</v>
      </c>
      <c r="B611" s="1" t="s">
        <v>767</v>
      </c>
      <c r="C611" s="32">
        <v>5820</v>
      </c>
      <c r="D611" s="32">
        <v>16000</v>
      </c>
      <c r="E611" s="1" t="s">
        <v>80</v>
      </c>
      <c r="F611" s="1">
        <v>178.22</v>
      </c>
      <c r="G611" s="295">
        <v>16000</v>
      </c>
      <c r="H611" s="1">
        <f t="shared" si="10"/>
        <v>0</v>
      </c>
      <c r="I611" s="89"/>
      <c r="J611" s="454"/>
      <c r="K611" s="454"/>
      <c r="L611" s="454"/>
      <c r="M611" s="455"/>
      <c r="N611" s="43"/>
      <c r="O611" s="388"/>
      <c r="P611" s="48"/>
      <c r="Q611" s="370"/>
      <c r="R611" s="48"/>
    </row>
    <row r="612" spans="1:18" s="480" customFormat="1" ht="15" x14ac:dyDescent="0.25">
      <c r="A612" s="1">
        <v>608</v>
      </c>
      <c r="B612" s="1" t="s">
        <v>767</v>
      </c>
      <c r="C612" s="32">
        <v>6930</v>
      </c>
      <c r="D612" s="32">
        <v>16000</v>
      </c>
      <c r="E612" s="1" t="s">
        <v>80</v>
      </c>
      <c r="F612" s="1">
        <v>178.22</v>
      </c>
      <c r="G612" s="295">
        <v>16000</v>
      </c>
      <c r="H612" s="1">
        <f t="shared" si="10"/>
        <v>0</v>
      </c>
      <c r="I612" s="89"/>
      <c r="J612" s="454"/>
      <c r="K612" s="454"/>
      <c r="L612" s="454"/>
      <c r="M612" s="455"/>
      <c r="N612" s="43"/>
      <c r="O612" s="388"/>
      <c r="P612" s="48"/>
      <c r="Q612" s="370"/>
      <c r="R612" s="48"/>
    </row>
    <row r="613" spans="1:18" s="480" customFormat="1" ht="15" x14ac:dyDescent="0.25">
      <c r="A613" s="1">
        <v>609</v>
      </c>
      <c r="B613" s="1" t="s">
        <v>767</v>
      </c>
      <c r="C613" s="32">
        <v>4820</v>
      </c>
      <c r="D613" s="32">
        <v>16000</v>
      </c>
      <c r="E613" s="1" t="s">
        <v>80</v>
      </c>
      <c r="F613" s="1">
        <v>178.22</v>
      </c>
      <c r="G613" s="295">
        <v>16000</v>
      </c>
      <c r="H613" s="1">
        <f t="shared" si="10"/>
        <v>0</v>
      </c>
      <c r="I613" s="89"/>
      <c r="J613" s="454"/>
      <c r="K613" s="454"/>
      <c r="L613" s="454"/>
      <c r="M613" s="455"/>
      <c r="N613" s="43"/>
      <c r="O613" s="388"/>
      <c r="P613" s="48"/>
      <c r="Q613" s="370"/>
      <c r="R613" s="48"/>
    </row>
    <row r="614" spans="1:18" s="480" customFormat="1" ht="15" x14ac:dyDescent="0.25">
      <c r="A614" s="1">
        <v>610</v>
      </c>
      <c r="B614" s="1" t="s">
        <v>767</v>
      </c>
      <c r="C614" s="32">
        <v>6734</v>
      </c>
      <c r="D614" s="32">
        <v>16000</v>
      </c>
      <c r="E614" s="1" t="s">
        <v>80</v>
      </c>
      <c r="F614" s="1">
        <v>178.22</v>
      </c>
      <c r="G614" s="295">
        <v>16000</v>
      </c>
      <c r="H614" s="1">
        <f t="shared" si="10"/>
        <v>0</v>
      </c>
      <c r="I614" s="89"/>
      <c r="J614" s="454"/>
      <c r="K614" s="454"/>
      <c r="L614" s="454"/>
      <c r="M614" s="455"/>
      <c r="N614" s="43"/>
      <c r="O614" s="388"/>
      <c r="P614" s="48"/>
      <c r="Q614" s="370"/>
      <c r="R614" s="48"/>
    </row>
    <row r="615" spans="1:18" s="480" customFormat="1" ht="15" x14ac:dyDescent="0.25">
      <c r="A615" s="1">
        <v>611</v>
      </c>
      <c r="B615" s="1" t="s">
        <v>767</v>
      </c>
      <c r="C615" s="32">
        <v>1720</v>
      </c>
      <c r="D615" s="32">
        <v>16000</v>
      </c>
      <c r="E615" s="1" t="s">
        <v>80</v>
      </c>
      <c r="F615" s="1">
        <v>178.22</v>
      </c>
      <c r="G615" s="295">
        <v>16000</v>
      </c>
      <c r="H615" s="1">
        <f t="shared" si="10"/>
        <v>0</v>
      </c>
      <c r="I615" s="89"/>
      <c r="J615" s="454"/>
      <c r="K615" s="454"/>
      <c r="L615" s="454"/>
      <c r="M615" s="455"/>
      <c r="N615" s="43"/>
      <c r="O615" s="388"/>
      <c r="P615" s="48"/>
      <c r="Q615" s="370"/>
      <c r="R615" s="48"/>
    </row>
    <row r="616" spans="1:18" s="480" customFormat="1" ht="15" x14ac:dyDescent="0.25">
      <c r="A616" s="1">
        <v>612</v>
      </c>
      <c r="B616" s="1" t="s">
        <v>767</v>
      </c>
      <c r="C616" s="32">
        <v>3971</v>
      </c>
      <c r="D616" s="32">
        <v>10000</v>
      </c>
      <c r="E616" s="1" t="s">
        <v>80</v>
      </c>
      <c r="F616" s="1">
        <v>111.41</v>
      </c>
      <c r="G616" s="295">
        <v>10000</v>
      </c>
      <c r="H616" s="1">
        <f t="shared" si="10"/>
        <v>0</v>
      </c>
      <c r="I616" s="89"/>
      <c r="J616" s="454"/>
      <c r="K616" s="454"/>
      <c r="L616" s="454"/>
      <c r="M616" s="455"/>
      <c r="N616" s="43"/>
      <c r="O616" s="388"/>
      <c r="P616" s="48"/>
      <c r="Q616" s="370"/>
      <c r="R616" s="48"/>
    </row>
    <row r="617" spans="1:18" s="480" customFormat="1" ht="15" x14ac:dyDescent="0.25">
      <c r="A617" s="1">
        <v>613</v>
      </c>
      <c r="B617" s="1" t="s">
        <v>767</v>
      </c>
      <c r="C617" s="32">
        <v>3496</v>
      </c>
      <c r="D617" s="32">
        <v>10000</v>
      </c>
      <c r="E617" s="1" t="s">
        <v>80</v>
      </c>
      <c r="F617" s="1">
        <v>111.41</v>
      </c>
      <c r="G617" s="295">
        <v>10000</v>
      </c>
      <c r="H617" s="1">
        <f t="shared" si="10"/>
        <v>0</v>
      </c>
      <c r="I617" s="89"/>
      <c r="J617" s="454"/>
      <c r="K617" s="454"/>
      <c r="L617" s="454"/>
      <c r="M617" s="455"/>
      <c r="N617" s="43"/>
      <c r="O617" s="388"/>
      <c r="P617" s="48"/>
      <c r="Q617" s="370"/>
      <c r="R617" s="48"/>
    </row>
    <row r="618" spans="1:18" s="480" customFormat="1" ht="15" x14ac:dyDescent="0.25">
      <c r="A618" s="1">
        <v>614</v>
      </c>
      <c r="B618" s="1" t="s">
        <v>767</v>
      </c>
      <c r="C618" s="32">
        <v>8909</v>
      </c>
      <c r="D618" s="32">
        <v>10000</v>
      </c>
      <c r="E618" s="1" t="s">
        <v>80</v>
      </c>
      <c r="F618" s="1">
        <v>111.41</v>
      </c>
      <c r="G618" s="295">
        <v>10000</v>
      </c>
      <c r="H618" s="1">
        <f t="shared" si="10"/>
        <v>0</v>
      </c>
      <c r="I618" s="89"/>
      <c r="J618" s="454"/>
      <c r="K618" s="454"/>
      <c r="L618" s="454"/>
      <c r="M618" s="455"/>
      <c r="N618" s="43"/>
      <c r="O618" s="388"/>
      <c r="P618" s="48"/>
      <c r="Q618" s="370"/>
      <c r="R618" s="48"/>
    </row>
    <row r="619" spans="1:18" s="480" customFormat="1" ht="15" x14ac:dyDescent="0.25">
      <c r="A619" s="1">
        <v>615</v>
      </c>
      <c r="B619" s="1" t="s">
        <v>767</v>
      </c>
      <c r="C619" s="32" t="s">
        <v>30</v>
      </c>
      <c r="D619" s="32">
        <v>5000</v>
      </c>
      <c r="E619" s="1" t="s">
        <v>80</v>
      </c>
      <c r="F619" s="1">
        <v>55.85</v>
      </c>
      <c r="G619" s="295">
        <v>5000</v>
      </c>
      <c r="H619" s="1">
        <f t="shared" si="10"/>
        <v>0</v>
      </c>
      <c r="I619" s="89"/>
      <c r="J619" s="454"/>
      <c r="K619" s="454"/>
      <c r="L619" s="454"/>
      <c r="M619" s="455"/>
      <c r="N619" s="43"/>
      <c r="O619" s="388"/>
      <c r="P619" s="48"/>
      <c r="Q619" s="370"/>
      <c r="R619" s="48"/>
    </row>
    <row r="620" spans="1:18" s="480" customFormat="1" ht="15" x14ac:dyDescent="0.25">
      <c r="A620" s="1">
        <v>616</v>
      </c>
      <c r="B620" s="1" t="s">
        <v>767</v>
      </c>
      <c r="C620" s="32" t="s">
        <v>735</v>
      </c>
      <c r="D620" s="32">
        <v>3500</v>
      </c>
      <c r="E620" s="1" t="s">
        <v>80</v>
      </c>
      <c r="F620" s="1">
        <v>38.450000000000003</v>
      </c>
      <c r="G620" s="295">
        <v>3500</v>
      </c>
      <c r="H620" s="1">
        <f t="shared" si="10"/>
        <v>0</v>
      </c>
      <c r="I620" s="89"/>
      <c r="J620" s="454"/>
      <c r="K620" s="454"/>
      <c r="L620" s="454"/>
      <c r="M620" s="455"/>
      <c r="N620" s="43"/>
      <c r="O620" s="388"/>
      <c r="P620" s="48"/>
      <c r="Q620" s="370"/>
      <c r="R620" s="48"/>
    </row>
    <row r="621" spans="1:18" s="480" customFormat="1" ht="15" x14ac:dyDescent="0.25">
      <c r="A621" s="1">
        <v>617</v>
      </c>
      <c r="B621" s="1" t="s">
        <v>767</v>
      </c>
      <c r="C621" s="32">
        <v>7411</v>
      </c>
      <c r="D621" s="32">
        <v>24000</v>
      </c>
      <c r="E621" s="1" t="s">
        <v>80</v>
      </c>
      <c r="F621" s="1">
        <v>267.67</v>
      </c>
      <c r="G621" s="295">
        <v>24000</v>
      </c>
      <c r="H621" s="1">
        <f t="shared" si="10"/>
        <v>0</v>
      </c>
      <c r="I621" s="89"/>
      <c r="J621" s="454"/>
      <c r="K621" s="454"/>
      <c r="L621" s="454"/>
      <c r="M621" s="455"/>
      <c r="N621" s="43"/>
      <c r="O621" s="388"/>
      <c r="P621" s="48"/>
      <c r="Q621" s="370"/>
      <c r="R621" s="48"/>
    </row>
    <row r="622" spans="1:18" s="480" customFormat="1" ht="15" x14ac:dyDescent="0.25">
      <c r="A622" s="1">
        <v>618</v>
      </c>
      <c r="B622" s="1" t="s">
        <v>767</v>
      </c>
      <c r="C622" s="32">
        <v>5278</v>
      </c>
      <c r="D622" s="32">
        <v>16000</v>
      </c>
      <c r="E622" s="1" t="s">
        <v>80</v>
      </c>
      <c r="F622" s="1">
        <v>178.22</v>
      </c>
      <c r="G622" s="295">
        <v>16000</v>
      </c>
      <c r="H622" s="1">
        <f t="shared" si="10"/>
        <v>0</v>
      </c>
      <c r="I622" s="89"/>
      <c r="J622" s="454"/>
      <c r="K622" s="454"/>
      <c r="L622" s="454"/>
      <c r="M622" s="455"/>
      <c r="N622" s="43"/>
      <c r="O622" s="388"/>
      <c r="P622" s="48"/>
      <c r="Q622" s="370"/>
      <c r="R622" s="48"/>
    </row>
    <row r="623" spans="1:18" s="480" customFormat="1" ht="15" x14ac:dyDescent="0.25">
      <c r="A623" s="1">
        <v>619</v>
      </c>
      <c r="B623" s="1" t="s">
        <v>767</v>
      </c>
      <c r="C623" s="32">
        <v>2972</v>
      </c>
      <c r="D623" s="32">
        <v>15000</v>
      </c>
      <c r="E623" s="1" t="s">
        <v>80</v>
      </c>
      <c r="F623" s="1">
        <v>167.15</v>
      </c>
      <c r="G623" s="295">
        <v>15000</v>
      </c>
      <c r="H623" s="1">
        <f t="shared" si="10"/>
        <v>0</v>
      </c>
      <c r="I623" s="89"/>
      <c r="J623" s="454"/>
      <c r="K623" s="454"/>
      <c r="L623" s="454"/>
      <c r="M623" s="455"/>
      <c r="N623" s="43"/>
      <c r="O623" s="388"/>
      <c r="P623" s="48"/>
      <c r="Q623" s="370"/>
      <c r="R623" s="48"/>
    </row>
    <row r="624" spans="1:18" s="480" customFormat="1" ht="15" x14ac:dyDescent="0.25">
      <c r="A624" s="1">
        <v>620</v>
      </c>
      <c r="B624" s="1" t="s">
        <v>767</v>
      </c>
      <c r="C624" s="32">
        <v>3544</v>
      </c>
      <c r="D624" s="32">
        <v>16000</v>
      </c>
      <c r="E624" s="1" t="s">
        <v>80</v>
      </c>
      <c r="F624" s="1">
        <v>178.22</v>
      </c>
      <c r="G624" s="295">
        <v>16000</v>
      </c>
      <c r="H624" s="1">
        <f t="shared" si="10"/>
        <v>0</v>
      </c>
      <c r="I624" s="89"/>
      <c r="J624" s="454"/>
      <c r="K624" s="454"/>
      <c r="L624" s="454"/>
      <c r="M624" s="455"/>
      <c r="N624" s="43"/>
      <c r="O624" s="388"/>
      <c r="P624" s="48"/>
      <c r="Q624" s="370"/>
      <c r="R624" s="48"/>
    </row>
    <row r="625" spans="1:18" s="480" customFormat="1" ht="15" x14ac:dyDescent="0.25">
      <c r="A625" s="1">
        <v>621</v>
      </c>
      <c r="B625" s="1" t="s">
        <v>767</v>
      </c>
      <c r="C625" s="32">
        <v>4077</v>
      </c>
      <c r="D625" s="32">
        <v>12500</v>
      </c>
      <c r="E625" s="1" t="s">
        <v>80</v>
      </c>
      <c r="F625" s="1">
        <v>127.37</v>
      </c>
      <c r="G625" s="295">
        <v>12500</v>
      </c>
      <c r="H625" s="1">
        <f t="shared" si="10"/>
        <v>0</v>
      </c>
      <c r="I625" s="89"/>
      <c r="J625" s="454"/>
      <c r="K625" s="454"/>
      <c r="L625" s="454"/>
      <c r="M625" s="455"/>
      <c r="N625" s="43"/>
      <c r="O625" s="388"/>
      <c r="P625" s="48"/>
      <c r="Q625" s="370"/>
      <c r="R625" s="48"/>
    </row>
    <row r="626" spans="1:18" s="480" customFormat="1" ht="15" x14ac:dyDescent="0.25">
      <c r="A626" s="1">
        <v>622</v>
      </c>
      <c r="B626" s="1" t="s">
        <v>767</v>
      </c>
      <c r="C626" s="32">
        <v>8139</v>
      </c>
      <c r="D626" s="32">
        <v>30000</v>
      </c>
      <c r="E626" s="1" t="s">
        <v>80</v>
      </c>
      <c r="F626" s="1">
        <v>334.82</v>
      </c>
      <c r="G626" s="295">
        <v>30000</v>
      </c>
      <c r="H626" s="1">
        <f t="shared" si="10"/>
        <v>0</v>
      </c>
      <c r="I626" s="89"/>
      <c r="J626" s="454"/>
      <c r="K626" s="454"/>
      <c r="L626" s="454"/>
      <c r="M626" s="455"/>
      <c r="N626" s="43"/>
      <c r="O626" s="388"/>
      <c r="P626" s="48"/>
      <c r="Q626" s="370"/>
      <c r="R626" s="48"/>
    </row>
    <row r="627" spans="1:18" s="480" customFormat="1" ht="15" x14ac:dyDescent="0.25">
      <c r="A627" s="1">
        <v>623</v>
      </c>
      <c r="B627" s="1" t="s">
        <v>767</v>
      </c>
      <c r="C627" s="32">
        <v>9.2799999999999994E-2</v>
      </c>
      <c r="D627" s="32">
        <v>22000</v>
      </c>
      <c r="E627" s="1" t="s">
        <v>80</v>
      </c>
      <c r="F627" s="1">
        <v>278.67</v>
      </c>
      <c r="G627" s="295">
        <v>22000</v>
      </c>
      <c r="H627" s="1">
        <f t="shared" si="10"/>
        <v>0</v>
      </c>
      <c r="I627" s="89"/>
      <c r="J627" s="454"/>
      <c r="K627" s="454"/>
      <c r="L627" s="454"/>
      <c r="M627" s="455"/>
      <c r="N627" s="43"/>
      <c r="O627" s="388"/>
      <c r="P627" s="48"/>
      <c r="Q627" s="370"/>
      <c r="R627" s="48"/>
    </row>
    <row r="628" spans="1:18" s="480" customFormat="1" ht="15" x14ac:dyDescent="0.25">
      <c r="A628" s="1">
        <v>624</v>
      </c>
      <c r="B628" s="1" t="s">
        <v>767</v>
      </c>
      <c r="C628" s="32">
        <v>7211</v>
      </c>
      <c r="D628" s="32">
        <v>25000</v>
      </c>
      <c r="E628" s="1" t="s">
        <v>80</v>
      </c>
      <c r="F628" s="1">
        <v>278.22000000000003</v>
      </c>
      <c r="G628" s="295">
        <v>25000</v>
      </c>
      <c r="H628" s="1">
        <f t="shared" si="10"/>
        <v>0</v>
      </c>
      <c r="I628" s="89"/>
      <c r="J628" s="454"/>
      <c r="K628" s="454"/>
      <c r="L628" s="454"/>
      <c r="M628" s="455"/>
      <c r="N628" s="43"/>
      <c r="O628" s="388"/>
      <c r="P628" s="48"/>
      <c r="Q628" s="370"/>
      <c r="R628" s="48"/>
    </row>
    <row r="629" spans="1:18" s="480" customFormat="1" ht="15" x14ac:dyDescent="0.25">
      <c r="A629" s="1">
        <v>625</v>
      </c>
      <c r="B629" s="1" t="s">
        <v>767</v>
      </c>
      <c r="C629" s="32">
        <v>9457</v>
      </c>
      <c r="D629" s="32">
        <v>28000</v>
      </c>
      <c r="E629" s="1" t="s">
        <v>80</v>
      </c>
      <c r="F629" s="1">
        <v>308.97000000000003</v>
      </c>
      <c r="G629" s="295">
        <v>28000</v>
      </c>
      <c r="H629" s="1">
        <f t="shared" si="10"/>
        <v>0</v>
      </c>
      <c r="I629" s="89"/>
      <c r="J629" s="454"/>
      <c r="K629" s="454"/>
      <c r="L629" s="454"/>
      <c r="M629" s="455"/>
      <c r="N629" s="43"/>
      <c r="O629" s="388"/>
      <c r="P629" s="48"/>
      <c r="Q629" s="370"/>
      <c r="R629" s="48"/>
    </row>
    <row r="630" spans="1:18" s="480" customFormat="1" ht="15" x14ac:dyDescent="0.25">
      <c r="A630" s="1">
        <v>626</v>
      </c>
      <c r="B630" s="1" t="s">
        <v>767</v>
      </c>
      <c r="C630" s="32">
        <v>2233</v>
      </c>
      <c r="D630" s="32">
        <v>25000</v>
      </c>
      <c r="E630" s="1" t="s">
        <v>80</v>
      </c>
      <c r="F630" s="1">
        <v>278.22000000000003</v>
      </c>
      <c r="G630" s="295">
        <v>25000</v>
      </c>
      <c r="H630" s="1">
        <f t="shared" si="10"/>
        <v>0</v>
      </c>
      <c r="I630" s="89"/>
      <c r="J630" s="454"/>
      <c r="K630" s="454"/>
      <c r="L630" s="454"/>
      <c r="M630" s="455"/>
      <c r="N630" s="43"/>
      <c r="O630" s="388"/>
      <c r="P630" s="48"/>
      <c r="Q630" s="370"/>
      <c r="R630" s="48"/>
    </row>
    <row r="631" spans="1:18" s="480" customFormat="1" ht="15" x14ac:dyDescent="0.25">
      <c r="A631" s="1">
        <v>627</v>
      </c>
      <c r="B631" s="1" t="s">
        <v>767</v>
      </c>
      <c r="C631" s="32">
        <v>9458</v>
      </c>
      <c r="D631" s="32">
        <v>30000</v>
      </c>
      <c r="E631" s="1" t="s">
        <v>80</v>
      </c>
      <c r="F631" s="1">
        <v>334.82</v>
      </c>
      <c r="G631" s="295">
        <v>30000</v>
      </c>
      <c r="H631" s="1">
        <f t="shared" si="10"/>
        <v>0</v>
      </c>
      <c r="I631" s="89"/>
      <c r="J631" s="454"/>
      <c r="K631" s="454"/>
      <c r="L631" s="454"/>
      <c r="M631" s="455"/>
      <c r="N631" s="43"/>
      <c r="O631" s="388"/>
      <c r="P631" s="48"/>
      <c r="Q631" s="370"/>
      <c r="R631" s="48"/>
    </row>
    <row r="632" spans="1:18" s="480" customFormat="1" ht="15" x14ac:dyDescent="0.25">
      <c r="A632" s="1">
        <v>628</v>
      </c>
      <c r="B632" s="1" t="s">
        <v>767</v>
      </c>
      <c r="C632" s="32">
        <v>2320</v>
      </c>
      <c r="D632" s="32">
        <v>27000</v>
      </c>
      <c r="E632" s="1" t="s">
        <v>80</v>
      </c>
      <c r="F632" s="1">
        <v>300.42</v>
      </c>
      <c r="G632" s="295">
        <v>27000</v>
      </c>
      <c r="H632" s="1">
        <f t="shared" si="10"/>
        <v>0</v>
      </c>
      <c r="I632" s="89"/>
      <c r="J632" s="454"/>
      <c r="K632" s="454"/>
      <c r="L632" s="454"/>
      <c r="M632" s="455"/>
      <c r="N632" s="43"/>
      <c r="O632" s="388"/>
      <c r="P632" s="48"/>
      <c r="Q632" s="370"/>
      <c r="R632" s="48"/>
    </row>
    <row r="633" spans="1:18" s="480" customFormat="1" ht="15" x14ac:dyDescent="0.25">
      <c r="A633" s="1">
        <v>629</v>
      </c>
      <c r="B633" s="1" t="s">
        <v>767</v>
      </c>
      <c r="C633" s="32">
        <v>9235</v>
      </c>
      <c r="D633" s="32">
        <v>27000</v>
      </c>
      <c r="E633" s="1" t="s">
        <v>80</v>
      </c>
      <c r="F633" s="1">
        <v>300.42</v>
      </c>
      <c r="G633" s="295">
        <v>27000</v>
      </c>
      <c r="H633" s="1">
        <f t="shared" si="10"/>
        <v>0</v>
      </c>
      <c r="I633" s="89"/>
      <c r="J633" s="454"/>
      <c r="K633" s="454"/>
      <c r="L633" s="454"/>
      <c r="M633" s="455"/>
      <c r="N633" s="43"/>
      <c r="O633" s="388"/>
      <c r="P633" s="48"/>
      <c r="Q633" s="370"/>
      <c r="R633" s="48"/>
    </row>
    <row r="634" spans="1:18" s="480" customFormat="1" ht="15" x14ac:dyDescent="0.25">
      <c r="A634" s="1">
        <v>630</v>
      </c>
      <c r="B634" s="1" t="s">
        <v>767</v>
      </c>
      <c r="C634" s="32">
        <v>7258</v>
      </c>
      <c r="D634" s="32">
        <v>30000</v>
      </c>
      <c r="E634" s="1" t="s">
        <v>80</v>
      </c>
      <c r="F634" s="1">
        <v>334.82</v>
      </c>
      <c r="G634" s="295">
        <v>30000</v>
      </c>
      <c r="H634" s="1">
        <f t="shared" si="10"/>
        <v>0</v>
      </c>
      <c r="I634" s="89"/>
      <c r="J634" s="454"/>
      <c r="K634" s="454"/>
      <c r="L634" s="454"/>
      <c r="M634" s="455"/>
      <c r="N634" s="43"/>
      <c r="O634" s="388"/>
      <c r="P634" s="48"/>
      <c r="Q634" s="370"/>
      <c r="R634" s="48"/>
    </row>
    <row r="635" spans="1:18" s="480" customFormat="1" ht="15.75" thickBot="1" x14ac:dyDescent="0.3">
      <c r="A635" s="1">
        <v>631</v>
      </c>
      <c r="B635" s="1" t="s">
        <v>767</v>
      </c>
      <c r="C635" s="32">
        <v>8963</v>
      </c>
      <c r="D635" s="32">
        <v>26000</v>
      </c>
      <c r="E635" s="1" t="s">
        <v>80</v>
      </c>
      <c r="F635" s="1">
        <v>289.73</v>
      </c>
      <c r="G635" s="295">
        <v>26000</v>
      </c>
      <c r="H635" s="1">
        <f t="shared" si="10"/>
        <v>0</v>
      </c>
      <c r="I635" s="89"/>
      <c r="J635" s="454"/>
      <c r="K635" s="454"/>
      <c r="L635" s="454"/>
      <c r="M635" s="455"/>
      <c r="N635" s="43"/>
      <c r="O635" s="388"/>
      <c r="P635" s="48"/>
      <c r="Q635" s="370"/>
      <c r="R635" s="48"/>
    </row>
    <row r="636" spans="1:18" s="480" customFormat="1" ht="15.75" thickBot="1" x14ac:dyDescent="0.3">
      <c r="A636" s="1">
        <v>632</v>
      </c>
      <c r="B636" s="1" t="s">
        <v>767</v>
      </c>
      <c r="C636" s="32">
        <v>8.3000000000000004E-2</v>
      </c>
      <c r="D636" s="32">
        <v>30000</v>
      </c>
      <c r="E636" s="1" t="s">
        <v>80</v>
      </c>
      <c r="F636" s="1">
        <v>334.82</v>
      </c>
      <c r="G636" s="295">
        <v>30000</v>
      </c>
      <c r="H636" s="1">
        <f t="shared" si="10"/>
        <v>0</v>
      </c>
      <c r="I636" s="89"/>
      <c r="J636" s="454"/>
      <c r="K636" s="454"/>
      <c r="L636" s="454"/>
      <c r="M636" s="455"/>
      <c r="N636" s="43"/>
      <c r="O636" s="103">
        <f>2485529-2463360</f>
        <v>22169</v>
      </c>
      <c r="P636" s="359" t="s">
        <v>763</v>
      </c>
      <c r="Q636" s="367" t="s">
        <v>620</v>
      </c>
      <c r="R636" s="360">
        <f>22169-1300</f>
        <v>20869</v>
      </c>
    </row>
    <row r="637" spans="1:18" s="481" customFormat="1" ht="15" x14ac:dyDescent="0.25">
      <c r="A637" s="1">
        <v>633</v>
      </c>
      <c r="B637" s="1" t="s">
        <v>768</v>
      </c>
      <c r="C637" s="32">
        <v>7450</v>
      </c>
      <c r="D637" s="32">
        <v>15000</v>
      </c>
      <c r="E637" s="1" t="s">
        <v>80</v>
      </c>
      <c r="F637" s="1">
        <v>167.15</v>
      </c>
      <c r="G637" s="295">
        <v>15000</v>
      </c>
      <c r="H637" s="1">
        <f t="shared" si="10"/>
        <v>0</v>
      </c>
      <c r="I637" s="89"/>
      <c r="J637" s="454"/>
      <c r="K637" s="454"/>
      <c r="L637" s="454"/>
      <c r="M637" s="455"/>
      <c r="N637" s="43"/>
      <c r="O637" s="388"/>
      <c r="P637" s="48"/>
      <c r="Q637" s="370"/>
      <c r="R637" s="48"/>
    </row>
    <row r="638" spans="1:18" s="481" customFormat="1" ht="15" x14ac:dyDescent="0.25">
      <c r="A638" s="1">
        <v>634</v>
      </c>
      <c r="B638" s="1" t="s">
        <v>768</v>
      </c>
      <c r="C638" s="32">
        <v>4.1500000000000002E-2</v>
      </c>
      <c r="D638" s="32">
        <v>14000</v>
      </c>
      <c r="E638" s="1" t="s">
        <v>80</v>
      </c>
      <c r="F638" s="1">
        <v>155.44999999999999</v>
      </c>
      <c r="G638" s="295">
        <v>14000</v>
      </c>
      <c r="H638" s="1">
        <f t="shared" si="10"/>
        <v>0</v>
      </c>
      <c r="I638" s="89"/>
      <c r="J638" s="454"/>
      <c r="K638" s="454"/>
      <c r="L638" s="454"/>
      <c r="M638" s="455"/>
      <c r="N638" s="43"/>
      <c r="O638" s="388"/>
      <c r="P638" s="48"/>
      <c r="Q638" s="370"/>
      <c r="R638" s="48"/>
    </row>
    <row r="639" spans="1:18" s="481" customFormat="1" ht="15" x14ac:dyDescent="0.25">
      <c r="A639" s="1">
        <v>635</v>
      </c>
      <c r="B639" s="1" t="s">
        <v>768</v>
      </c>
      <c r="C639" s="32">
        <v>1071</v>
      </c>
      <c r="D639" s="32">
        <v>13000</v>
      </c>
      <c r="E639" s="1" t="s">
        <v>80</v>
      </c>
      <c r="F639" s="1">
        <v>144.13</v>
      </c>
      <c r="G639" s="295">
        <v>13000</v>
      </c>
      <c r="H639" s="1">
        <f t="shared" si="10"/>
        <v>0</v>
      </c>
      <c r="I639" s="89"/>
      <c r="J639" s="454"/>
      <c r="K639" s="454"/>
      <c r="L639" s="454"/>
      <c r="M639" s="455"/>
      <c r="N639" s="43"/>
      <c r="O639" s="388"/>
      <c r="P639" s="48"/>
      <c r="Q639" s="370"/>
      <c r="R639" s="48"/>
    </row>
    <row r="640" spans="1:18" s="481" customFormat="1" ht="15" x14ac:dyDescent="0.25">
      <c r="A640" s="1">
        <v>636</v>
      </c>
      <c r="B640" s="1" t="s">
        <v>768</v>
      </c>
      <c r="C640" s="32">
        <v>3886</v>
      </c>
      <c r="D640" s="32">
        <v>12000</v>
      </c>
      <c r="E640" s="6"/>
      <c r="F640" s="1">
        <v>133.12</v>
      </c>
      <c r="G640" s="295">
        <v>12000</v>
      </c>
      <c r="H640" s="1">
        <f t="shared" si="10"/>
        <v>0</v>
      </c>
      <c r="I640" s="89"/>
      <c r="J640" s="454"/>
      <c r="K640" s="454"/>
      <c r="L640" s="454"/>
      <c r="M640" s="455"/>
      <c r="N640" s="43"/>
      <c r="O640" s="388"/>
      <c r="P640" s="48"/>
      <c r="Q640" s="370"/>
      <c r="R640" s="48"/>
    </row>
    <row r="641" spans="1:18" s="481" customFormat="1" ht="15" x14ac:dyDescent="0.25">
      <c r="A641" s="1">
        <v>637</v>
      </c>
      <c r="B641" s="1" t="s">
        <v>768</v>
      </c>
      <c r="C641" s="32">
        <v>3.8600000000000002E-2</v>
      </c>
      <c r="D641" s="32">
        <v>17000</v>
      </c>
      <c r="E641" s="6"/>
      <c r="F641" s="1">
        <v>189.67</v>
      </c>
      <c r="G641" s="295">
        <v>17000</v>
      </c>
      <c r="H641" s="1">
        <f t="shared" si="10"/>
        <v>0</v>
      </c>
      <c r="I641" s="89"/>
      <c r="J641" s="454"/>
      <c r="K641" s="454"/>
      <c r="L641" s="454"/>
      <c r="M641" s="455"/>
      <c r="N641" s="43"/>
      <c r="O641" s="388"/>
      <c r="P641" s="48"/>
      <c r="Q641" s="370"/>
      <c r="R641" s="48"/>
    </row>
    <row r="642" spans="1:18" s="481" customFormat="1" ht="15" x14ac:dyDescent="0.25">
      <c r="A642" s="1">
        <v>638</v>
      </c>
      <c r="B642" s="1" t="s">
        <v>768</v>
      </c>
      <c r="C642" s="32">
        <v>4451</v>
      </c>
      <c r="D642" s="32">
        <v>10000</v>
      </c>
      <c r="E642" s="1" t="s">
        <v>80</v>
      </c>
      <c r="F642" s="1">
        <v>111.48</v>
      </c>
      <c r="G642" s="295">
        <v>10000</v>
      </c>
      <c r="H642" s="1">
        <f t="shared" si="10"/>
        <v>0</v>
      </c>
      <c r="I642" s="89"/>
      <c r="J642" s="454"/>
      <c r="K642" s="454"/>
      <c r="L642" s="454"/>
      <c r="M642" s="455"/>
      <c r="N642" s="43"/>
      <c r="O642" s="388"/>
      <c r="P642" s="48"/>
      <c r="Q642" s="370"/>
      <c r="R642" s="48"/>
    </row>
    <row r="643" spans="1:18" s="481" customFormat="1" ht="15" x14ac:dyDescent="0.25">
      <c r="A643" s="1">
        <v>639</v>
      </c>
      <c r="B643" s="1" t="s">
        <v>768</v>
      </c>
      <c r="C643" s="32" t="s">
        <v>633</v>
      </c>
      <c r="D643" s="32">
        <v>210</v>
      </c>
      <c r="E643" s="1" t="s">
        <v>80</v>
      </c>
      <c r="F643" s="1">
        <v>2.09</v>
      </c>
      <c r="G643" s="295">
        <v>210</v>
      </c>
      <c r="H643" s="1">
        <f t="shared" si="10"/>
        <v>0</v>
      </c>
      <c r="I643" s="89"/>
      <c r="J643" s="454"/>
      <c r="K643" s="454"/>
      <c r="L643" s="454"/>
      <c r="M643" s="455"/>
      <c r="N643" s="43"/>
      <c r="O643" s="388"/>
      <c r="P643" s="48"/>
      <c r="Q643" s="370"/>
      <c r="R643" s="48"/>
    </row>
    <row r="644" spans="1:18" s="481" customFormat="1" ht="15" x14ac:dyDescent="0.25">
      <c r="A644" s="1">
        <v>640</v>
      </c>
      <c r="B644" s="1" t="s">
        <v>768</v>
      </c>
      <c r="C644" s="32">
        <v>6364</v>
      </c>
      <c r="D644" s="32">
        <v>20000</v>
      </c>
      <c r="E644" s="1" t="s">
        <v>80</v>
      </c>
      <c r="F644" s="1">
        <v>222.82</v>
      </c>
      <c r="G644" s="295">
        <v>20000</v>
      </c>
      <c r="H644" s="1">
        <f t="shared" si="10"/>
        <v>0</v>
      </c>
      <c r="I644" s="89"/>
      <c r="J644" s="454"/>
      <c r="K644" s="454"/>
      <c r="L644" s="454"/>
      <c r="M644" s="455"/>
      <c r="N644" s="43"/>
      <c r="O644" s="388"/>
      <c r="P644" s="48"/>
      <c r="Q644" s="370"/>
      <c r="R644" s="48"/>
    </row>
    <row r="645" spans="1:18" s="481" customFormat="1" ht="15" x14ac:dyDescent="0.25">
      <c r="A645" s="1">
        <v>641</v>
      </c>
      <c r="B645" s="1" t="s">
        <v>768</v>
      </c>
      <c r="C645" s="32" t="s">
        <v>30</v>
      </c>
      <c r="D645" s="32">
        <v>4500</v>
      </c>
      <c r="E645" s="1" t="s">
        <v>80</v>
      </c>
      <c r="F645" s="1">
        <v>50.45</v>
      </c>
      <c r="G645" s="295">
        <v>4500</v>
      </c>
      <c r="H645" s="1">
        <f t="shared" si="10"/>
        <v>0</v>
      </c>
      <c r="I645" s="89"/>
      <c r="J645" s="454"/>
      <c r="K645" s="454"/>
      <c r="L645" s="454"/>
      <c r="M645" s="455"/>
      <c r="N645" s="43"/>
      <c r="O645" s="388"/>
      <c r="P645" s="48"/>
      <c r="Q645" s="370"/>
      <c r="R645" s="48"/>
    </row>
    <row r="646" spans="1:18" s="481" customFormat="1" ht="15" x14ac:dyDescent="0.25">
      <c r="A646" s="1">
        <v>642</v>
      </c>
      <c r="B646" s="1" t="s">
        <v>768</v>
      </c>
      <c r="C646" s="32" t="s">
        <v>30</v>
      </c>
      <c r="D646" s="32">
        <v>5000</v>
      </c>
      <c r="E646" s="1" t="s">
        <v>80</v>
      </c>
      <c r="F646" s="1">
        <v>55.5</v>
      </c>
      <c r="G646" s="295">
        <v>5000</v>
      </c>
      <c r="H646" s="1">
        <f t="shared" si="10"/>
        <v>0</v>
      </c>
      <c r="I646" s="89"/>
      <c r="J646" s="454"/>
      <c r="K646" s="454"/>
      <c r="L646" s="454"/>
      <c r="M646" s="455"/>
      <c r="N646" s="43"/>
      <c r="O646" s="388"/>
      <c r="P646" s="48"/>
      <c r="Q646" s="370"/>
      <c r="R646" s="48"/>
    </row>
    <row r="647" spans="1:18" s="481" customFormat="1" ht="15" x14ac:dyDescent="0.25">
      <c r="A647" s="1">
        <v>643</v>
      </c>
      <c r="B647" s="1" t="s">
        <v>768</v>
      </c>
      <c r="C647" s="32">
        <v>6471</v>
      </c>
      <c r="D647" s="32">
        <v>20000</v>
      </c>
      <c r="E647" s="1" t="s">
        <v>80</v>
      </c>
      <c r="F647" s="1">
        <v>222.82</v>
      </c>
      <c r="G647" s="295">
        <v>20000</v>
      </c>
      <c r="H647" s="1">
        <f t="shared" si="10"/>
        <v>0</v>
      </c>
      <c r="I647" s="89"/>
      <c r="J647" s="454"/>
      <c r="K647" s="454"/>
      <c r="L647" s="454"/>
      <c r="M647" s="455"/>
      <c r="N647" s="43"/>
      <c r="O647" s="388"/>
      <c r="P647" s="48"/>
      <c r="Q647" s="370"/>
      <c r="R647" s="48"/>
    </row>
    <row r="648" spans="1:18" s="481" customFormat="1" ht="15" x14ac:dyDescent="0.25">
      <c r="A648" s="1">
        <v>644</v>
      </c>
      <c r="B648" s="1" t="s">
        <v>768</v>
      </c>
      <c r="C648" s="32">
        <v>6771</v>
      </c>
      <c r="D648" s="32">
        <v>20000</v>
      </c>
      <c r="E648" s="1" t="s">
        <v>80</v>
      </c>
      <c r="F648" s="1">
        <v>222.82</v>
      </c>
      <c r="G648" s="295">
        <v>20000</v>
      </c>
      <c r="H648" s="1">
        <f t="shared" si="10"/>
        <v>0</v>
      </c>
      <c r="I648" s="89"/>
      <c r="J648" s="454"/>
      <c r="K648" s="454"/>
      <c r="L648" s="454"/>
      <c r="M648" s="455"/>
      <c r="N648" s="43"/>
      <c r="O648" s="388"/>
      <c r="P648" s="48"/>
      <c r="Q648" s="370"/>
      <c r="R648" s="48"/>
    </row>
    <row r="649" spans="1:18" s="481" customFormat="1" ht="15" x14ac:dyDescent="0.25">
      <c r="A649" s="1">
        <v>645</v>
      </c>
      <c r="B649" s="1" t="s">
        <v>768</v>
      </c>
      <c r="C649" s="32">
        <v>4067</v>
      </c>
      <c r="D649" s="32">
        <v>13000</v>
      </c>
      <c r="E649" s="1" t="s">
        <v>80</v>
      </c>
      <c r="F649" s="1">
        <v>144.13</v>
      </c>
      <c r="G649" s="295">
        <v>13000</v>
      </c>
      <c r="H649" s="1">
        <f t="shared" si="10"/>
        <v>0</v>
      </c>
      <c r="I649" s="89"/>
      <c r="J649" s="454"/>
      <c r="K649" s="454"/>
      <c r="L649" s="454"/>
      <c r="M649" s="455"/>
      <c r="N649" s="43"/>
      <c r="O649" s="388"/>
      <c r="P649" s="48"/>
      <c r="Q649" s="370"/>
      <c r="R649" s="48"/>
    </row>
    <row r="650" spans="1:18" s="481" customFormat="1" ht="15" x14ac:dyDescent="0.25">
      <c r="A650" s="1">
        <v>646</v>
      </c>
      <c r="B650" s="1" t="s">
        <v>768</v>
      </c>
      <c r="C650" s="32">
        <v>9644</v>
      </c>
      <c r="D650" s="32">
        <v>10000</v>
      </c>
      <c r="E650" s="1" t="s">
        <v>80</v>
      </c>
      <c r="F650" s="1">
        <v>111.42</v>
      </c>
      <c r="G650" s="295">
        <v>10000</v>
      </c>
      <c r="H650" s="1">
        <f t="shared" si="10"/>
        <v>0</v>
      </c>
      <c r="I650" s="89"/>
      <c r="J650" s="454"/>
      <c r="K650" s="454"/>
      <c r="L650" s="454"/>
      <c r="M650" s="455"/>
      <c r="N650" s="43"/>
      <c r="O650" s="388"/>
      <c r="P650" s="48"/>
      <c r="Q650" s="370"/>
      <c r="R650" s="48"/>
    </row>
    <row r="651" spans="1:18" s="481" customFormat="1" ht="15" x14ac:dyDescent="0.25">
      <c r="A651" s="1">
        <v>647</v>
      </c>
      <c r="B651" s="1" t="s">
        <v>768</v>
      </c>
      <c r="C651" s="32">
        <v>9876</v>
      </c>
      <c r="D651" s="32">
        <v>15000</v>
      </c>
      <c r="E651" s="1" t="s">
        <v>80</v>
      </c>
      <c r="F651" s="1">
        <v>167.15</v>
      </c>
      <c r="G651" s="295">
        <v>15000</v>
      </c>
      <c r="H651" s="1">
        <f t="shared" si="10"/>
        <v>0</v>
      </c>
      <c r="I651" s="89"/>
      <c r="J651" s="454"/>
      <c r="K651" s="454"/>
      <c r="L651" s="454"/>
      <c r="M651" s="455"/>
      <c r="N651" s="43"/>
      <c r="O651" s="388"/>
      <c r="P651" s="48"/>
      <c r="Q651" s="370"/>
      <c r="R651" s="48"/>
    </row>
    <row r="652" spans="1:18" s="481" customFormat="1" ht="15" x14ac:dyDescent="0.25">
      <c r="A652" s="1">
        <v>648</v>
      </c>
      <c r="B652" s="1" t="s">
        <v>768</v>
      </c>
      <c r="C652" s="32">
        <v>9777</v>
      </c>
      <c r="D652" s="32">
        <v>15000</v>
      </c>
      <c r="E652" s="1" t="s">
        <v>80</v>
      </c>
      <c r="F652" s="1">
        <v>167.15</v>
      </c>
      <c r="G652" s="295">
        <v>15000</v>
      </c>
      <c r="H652" s="1">
        <f t="shared" si="10"/>
        <v>0</v>
      </c>
      <c r="I652" s="89"/>
      <c r="J652" s="454"/>
      <c r="K652" s="454"/>
      <c r="L652" s="454"/>
      <c r="M652" s="455"/>
      <c r="N652" s="43"/>
      <c r="O652" s="388"/>
      <c r="P652" s="48"/>
      <c r="Q652" s="370"/>
      <c r="R652" s="48"/>
    </row>
    <row r="653" spans="1:18" s="481" customFormat="1" ht="15" x14ac:dyDescent="0.25">
      <c r="A653" s="1">
        <v>649</v>
      </c>
      <c r="B653" s="1" t="s">
        <v>768</v>
      </c>
      <c r="C653" s="32">
        <v>5.1999999999999998E-3</v>
      </c>
      <c r="D653" s="32">
        <v>15000</v>
      </c>
      <c r="E653" s="1" t="s">
        <v>80</v>
      </c>
      <c r="F653" s="1">
        <v>167.15</v>
      </c>
      <c r="G653" s="295">
        <v>15000</v>
      </c>
      <c r="H653" s="1">
        <f t="shared" si="10"/>
        <v>0</v>
      </c>
      <c r="I653" s="89"/>
      <c r="J653" s="454"/>
      <c r="K653" s="454"/>
      <c r="L653" s="454"/>
      <c r="M653" s="455"/>
      <c r="N653" s="43"/>
      <c r="O653" s="388"/>
      <c r="P653" s="48"/>
      <c r="Q653" s="370"/>
      <c r="R653" s="48"/>
    </row>
    <row r="654" spans="1:18" s="481" customFormat="1" ht="15" x14ac:dyDescent="0.25">
      <c r="A654" s="1">
        <v>650</v>
      </c>
      <c r="B654" s="1" t="s">
        <v>768</v>
      </c>
      <c r="C654" s="32">
        <v>5252</v>
      </c>
      <c r="D654" s="32">
        <v>15000</v>
      </c>
      <c r="E654" s="1" t="s">
        <v>80</v>
      </c>
      <c r="F654" s="1">
        <v>167.15</v>
      </c>
      <c r="G654" s="295">
        <v>15000</v>
      </c>
      <c r="H654" s="1">
        <f t="shared" si="10"/>
        <v>0</v>
      </c>
      <c r="I654" s="89"/>
      <c r="J654" s="454"/>
      <c r="K654" s="454"/>
      <c r="L654" s="454"/>
      <c r="M654" s="455"/>
      <c r="N654" s="43"/>
      <c r="O654" s="388"/>
      <c r="P654" s="48"/>
      <c r="Q654" s="370"/>
      <c r="R654" s="48"/>
    </row>
    <row r="655" spans="1:18" s="481" customFormat="1" ht="15" x14ac:dyDescent="0.25">
      <c r="A655" s="1">
        <v>651</v>
      </c>
      <c r="B655" s="1" t="s">
        <v>768</v>
      </c>
      <c r="C655" s="32">
        <v>2496</v>
      </c>
      <c r="D655" s="32">
        <v>16000</v>
      </c>
      <c r="E655" s="1" t="s">
        <v>80</v>
      </c>
      <c r="F655" s="1">
        <v>178.22</v>
      </c>
      <c r="G655" s="295">
        <v>16000</v>
      </c>
      <c r="H655" s="1">
        <f t="shared" si="10"/>
        <v>0</v>
      </c>
      <c r="I655" s="89"/>
      <c r="J655" s="454"/>
      <c r="K655" s="454"/>
      <c r="L655" s="454"/>
      <c r="M655" s="455"/>
      <c r="N655" s="43"/>
      <c r="O655" s="388"/>
      <c r="P655" s="48"/>
      <c r="Q655" s="370"/>
      <c r="R655" s="48"/>
    </row>
    <row r="656" spans="1:18" s="481" customFormat="1" ht="15" x14ac:dyDescent="0.25">
      <c r="A656" s="1">
        <v>652</v>
      </c>
      <c r="B656" s="1" t="s">
        <v>768</v>
      </c>
      <c r="C656" s="32">
        <v>2600</v>
      </c>
      <c r="D656" s="32">
        <v>26300</v>
      </c>
      <c r="E656" s="1" t="s">
        <v>80</v>
      </c>
      <c r="F656" s="1">
        <v>293.87</v>
      </c>
      <c r="G656" s="295">
        <v>26300</v>
      </c>
      <c r="H656" s="1">
        <f t="shared" si="10"/>
        <v>0</v>
      </c>
      <c r="I656" s="89"/>
      <c r="J656" s="454"/>
      <c r="K656" s="454"/>
      <c r="L656" s="454"/>
      <c r="M656" s="455"/>
      <c r="N656" s="43"/>
      <c r="O656" s="388"/>
      <c r="P656" s="48"/>
      <c r="Q656" s="370"/>
      <c r="R656" s="48"/>
    </row>
    <row r="657" spans="1:18" s="481" customFormat="1" ht="15" x14ac:dyDescent="0.25">
      <c r="A657" s="1">
        <v>653</v>
      </c>
      <c r="B657" s="1" t="s">
        <v>768</v>
      </c>
      <c r="C657" s="32">
        <v>8007</v>
      </c>
      <c r="D657" s="32">
        <v>24000</v>
      </c>
      <c r="E657" s="1" t="s">
        <v>80</v>
      </c>
      <c r="F657" s="1">
        <v>245.82</v>
      </c>
      <c r="G657" s="295">
        <v>24000</v>
      </c>
      <c r="H657" s="1">
        <f t="shared" si="10"/>
        <v>0</v>
      </c>
      <c r="I657" s="89"/>
      <c r="J657" s="454"/>
      <c r="K657" s="454"/>
      <c r="L657" s="454"/>
      <c r="M657" s="455"/>
      <c r="N657" s="43"/>
      <c r="O657" s="388"/>
      <c r="P657" s="48"/>
      <c r="Q657" s="370"/>
      <c r="R657" s="48"/>
    </row>
    <row r="658" spans="1:18" s="481" customFormat="1" ht="15" x14ac:dyDescent="0.25">
      <c r="A658" s="1">
        <v>654</v>
      </c>
      <c r="B658" s="1" t="s">
        <v>768</v>
      </c>
      <c r="C658" s="32">
        <v>6445</v>
      </c>
      <c r="D658" s="32">
        <v>12000</v>
      </c>
      <c r="E658" s="1" t="s">
        <v>80</v>
      </c>
      <c r="F658" s="1">
        <v>133.12</v>
      </c>
      <c r="G658" s="295">
        <v>12000</v>
      </c>
      <c r="H658" s="1">
        <f t="shared" si="10"/>
        <v>0</v>
      </c>
      <c r="I658" s="89"/>
      <c r="J658" s="454"/>
      <c r="K658" s="454"/>
      <c r="L658" s="454"/>
      <c r="M658" s="455"/>
      <c r="N658" s="43"/>
      <c r="O658" s="388"/>
      <c r="P658" s="48"/>
      <c r="Q658" s="370"/>
      <c r="R658" s="48"/>
    </row>
    <row r="659" spans="1:18" s="481" customFormat="1" ht="15" x14ac:dyDescent="0.25">
      <c r="A659" s="1">
        <v>655</v>
      </c>
      <c r="B659" s="1" t="s">
        <v>768</v>
      </c>
      <c r="C659" s="32">
        <v>1515</v>
      </c>
      <c r="D659" s="32">
        <v>15000</v>
      </c>
      <c r="E659" s="1" t="s">
        <v>80</v>
      </c>
      <c r="F659" s="1">
        <v>167.15</v>
      </c>
      <c r="G659" s="295">
        <v>15000</v>
      </c>
      <c r="H659" s="1">
        <f t="shared" si="10"/>
        <v>0</v>
      </c>
      <c r="I659" s="89"/>
      <c r="J659" s="454"/>
      <c r="K659" s="454"/>
      <c r="L659" s="454"/>
      <c r="M659" s="455"/>
      <c r="N659" s="43"/>
      <c r="O659" s="388"/>
      <c r="P659" s="48"/>
      <c r="Q659" s="370"/>
      <c r="R659" s="48"/>
    </row>
    <row r="660" spans="1:18" s="481" customFormat="1" ht="15" x14ac:dyDescent="0.25">
      <c r="A660" s="1">
        <v>656</v>
      </c>
      <c r="B660" s="1" t="s">
        <v>768</v>
      </c>
      <c r="C660" s="32">
        <v>4.4699999999999997E-2</v>
      </c>
      <c r="D660" s="32">
        <v>23000</v>
      </c>
      <c r="E660" s="1" t="s">
        <v>80</v>
      </c>
      <c r="F660" s="1">
        <v>256.87</v>
      </c>
      <c r="G660" s="295">
        <v>23000</v>
      </c>
      <c r="H660" s="1">
        <f t="shared" si="10"/>
        <v>0</v>
      </c>
      <c r="I660" s="89"/>
      <c r="J660" s="454"/>
      <c r="K660" s="454"/>
      <c r="L660" s="454"/>
      <c r="M660" s="455"/>
      <c r="N660" s="43"/>
      <c r="O660" s="388"/>
      <c r="P660" s="48"/>
      <c r="Q660" s="370"/>
      <c r="R660" s="48"/>
    </row>
    <row r="661" spans="1:18" s="481" customFormat="1" ht="15" x14ac:dyDescent="0.25">
      <c r="A661" s="1">
        <v>657</v>
      </c>
      <c r="B661" s="1" t="s">
        <v>768</v>
      </c>
      <c r="C661" s="32">
        <v>8993</v>
      </c>
      <c r="D661" s="32">
        <v>25000</v>
      </c>
      <c r="E661" s="1" t="s">
        <v>80</v>
      </c>
      <c r="F661" s="1">
        <v>278.22000000000003</v>
      </c>
      <c r="G661" s="295">
        <v>25000</v>
      </c>
      <c r="H661" s="1">
        <f t="shared" ref="H661:H727" si="11">D661-G661</f>
        <v>0</v>
      </c>
      <c r="I661" s="89"/>
      <c r="J661" s="454"/>
      <c r="K661" s="454"/>
      <c r="L661" s="454"/>
      <c r="M661" s="455"/>
      <c r="N661" s="43"/>
      <c r="O661" s="388"/>
      <c r="P661" s="48"/>
      <c r="Q661" s="370"/>
      <c r="R661" s="48"/>
    </row>
    <row r="662" spans="1:18" s="481" customFormat="1" ht="15" x14ac:dyDescent="0.25">
      <c r="A662" s="1">
        <v>658</v>
      </c>
      <c r="B662" s="1" t="s">
        <v>768</v>
      </c>
      <c r="C662" s="32">
        <v>9645</v>
      </c>
      <c r="D662" s="32">
        <v>12000</v>
      </c>
      <c r="E662" s="1" t="s">
        <v>80</v>
      </c>
      <c r="F662" s="1">
        <v>133.41999999999999</v>
      </c>
      <c r="G662" s="295">
        <v>12000</v>
      </c>
      <c r="H662" s="1">
        <f t="shared" si="11"/>
        <v>0</v>
      </c>
      <c r="I662" s="89"/>
      <c r="J662" s="454"/>
      <c r="K662" s="454"/>
      <c r="L662" s="454"/>
      <c r="M662" s="455"/>
      <c r="N662" s="43"/>
      <c r="O662" s="388"/>
      <c r="P662" s="48"/>
      <c r="Q662" s="370"/>
      <c r="R662" s="48"/>
    </row>
    <row r="663" spans="1:18" s="481" customFormat="1" ht="15" x14ac:dyDescent="0.25">
      <c r="A663" s="1">
        <v>659</v>
      </c>
      <c r="B663" s="1" t="s">
        <v>768</v>
      </c>
      <c r="C663" s="32">
        <v>3377</v>
      </c>
      <c r="D663" s="32">
        <v>45000</v>
      </c>
      <c r="E663" s="1" t="s">
        <v>80</v>
      </c>
      <c r="F663" s="1">
        <v>501.45</v>
      </c>
      <c r="G663" s="295">
        <v>45000</v>
      </c>
      <c r="H663" s="1">
        <f t="shared" si="11"/>
        <v>0</v>
      </c>
      <c r="I663" s="89"/>
      <c r="J663" s="454"/>
      <c r="K663" s="454"/>
      <c r="L663" s="454"/>
      <c r="M663" s="455"/>
      <c r="N663" s="43"/>
      <c r="O663" s="388"/>
      <c r="P663" s="48"/>
      <c r="Q663" s="370"/>
      <c r="R663" s="48"/>
    </row>
    <row r="664" spans="1:18" s="481" customFormat="1" ht="15" x14ac:dyDescent="0.25">
      <c r="A664" s="1">
        <v>660</v>
      </c>
      <c r="B664" s="1" t="s">
        <v>768</v>
      </c>
      <c r="C664" s="32">
        <v>5.8400000000000001E-2</v>
      </c>
      <c r="D664" s="32">
        <v>24000</v>
      </c>
      <c r="E664" s="1" t="s">
        <v>80</v>
      </c>
      <c r="F664" s="1">
        <v>262.33</v>
      </c>
      <c r="G664" s="295">
        <v>24000</v>
      </c>
      <c r="H664" s="1">
        <f t="shared" si="11"/>
        <v>0</v>
      </c>
      <c r="I664" s="89"/>
      <c r="J664" s="454"/>
      <c r="K664" s="454"/>
      <c r="L664" s="454"/>
      <c r="M664" s="455"/>
      <c r="N664" s="43"/>
      <c r="O664" s="388"/>
      <c r="P664" s="48"/>
      <c r="Q664" s="370"/>
      <c r="R664" s="48"/>
    </row>
    <row r="665" spans="1:18" s="481" customFormat="1" ht="15" x14ac:dyDescent="0.25">
      <c r="A665" s="1">
        <v>661</v>
      </c>
      <c r="B665" s="1" t="s">
        <v>768</v>
      </c>
      <c r="C665" s="32">
        <v>9.0499999999999997E-2</v>
      </c>
      <c r="D665" s="32">
        <v>24000</v>
      </c>
      <c r="E665" s="1" t="s">
        <v>80</v>
      </c>
      <c r="F665" s="1">
        <v>262.33</v>
      </c>
      <c r="G665" s="295">
        <v>24000</v>
      </c>
      <c r="H665" s="1">
        <f t="shared" si="11"/>
        <v>0</v>
      </c>
      <c r="I665" s="89"/>
      <c r="J665" s="454"/>
      <c r="K665" s="454"/>
      <c r="L665" s="454"/>
      <c r="M665" s="455"/>
      <c r="N665" s="43"/>
      <c r="O665" s="388"/>
      <c r="P665" s="48"/>
      <c r="Q665" s="370"/>
      <c r="R665" s="48"/>
    </row>
    <row r="666" spans="1:18" s="481" customFormat="1" ht="15" x14ac:dyDescent="0.25">
      <c r="A666" s="1">
        <v>662</v>
      </c>
      <c r="B666" s="1" t="s">
        <v>768</v>
      </c>
      <c r="C666" s="32">
        <v>8274</v>
      </c>
      <c r="D666" s="32">
        <v>24000</v>
      </c>
      <c r="E666" s="1" t="s">
        <v>80</v>
      </c>
      <c r="F666" s="1">
        <v>262.33</v>
      </c>
      <c r="G666" s="295">
        <v>24000</v>
      </c>
      <c r="H666" s="1">
        <f t="shared" si="11"/>
        <v>0</v>
      </c>
      <c r="I666" s="89"/>
      <c r="J666" s="454"/>
      <c r="K666" s="454"/>
      <c r="L666" s="454"/>
      <c r="M666" s="455"/>
      <c r="N666" s="43"/>
      <c r="O666" s="388"/>
      <c r="P666" s="48"/>
      <c r="Q666" s="370"/>
      <c r="R666" s="48"/>
    </row>
    <row r="667" spans="1:18" s="481" customFormat="1" ht="15.75" thickBot="1" x14ac:dyDescent="0.3">
      <c r="A667" s="1">
        <v>663</v>
      </c>
      <c r="B667" s="1" t="s">
        <v>768</v>
      </c>
      <c r="C667" s="32">
        <v>5.4000000000000003E-3</v>
      </c>
      <c r="D667" s="32">
        <v>15000</v>
      </c>
      <c r="E667" s="1" t="s">
        <v>80</v>
      </c>
      <c r="F667" s="1">
        <v>167.15</v>
      </c>
      <c r="G667" s="295">
        <v>15000</v>
      </c>
      <c r="H667" s="1">
        <f t="shared" si="11"/>
        <v>0</v>
      </c>
      <c r="I667" s="89"/>
      <c r="J667" s="454"/>
      <c r="K667" s="454"/>
      <c r="L667" s="454"/>
      <c r="M667" s="455"/>
      <c r="N667" s="43"/>
      <c r="O667" s="388"/>
      <c r="P667" s="48"/>
      <c r="Q667" s="370"/>
      <c r="R667" s="48"/>
    </row>
    <row r="668" spans="1:18" s="481" customFormat="1" ht="15.75" thickBot="1" x14ac:dyDescent="0.3">
      <c r="A668" s="1">
        <v>664</v>
      </c>
      <c r="B668" s="1" t="s">
        <v>768</v>
      </c>
      <c r="C668" s="32">
        <v>8556</v>
      </c>
      <c r="D668" s="32">
        <v>15000</v>
      </c>
      <c r="E668" s="1" t="s">
        <v>80</v>
      </c>
      <c r="F668" s="1">
        <v>167.15</v>
      </c>
      <c r="G668" s="295">
        <v>15000</v>
      </c>
      <c r="H668" s="1">
        <f t="shared" si="11"/>
        <v>0</v>
      </c>
      <c r="I668" s="89"/>
      <c r="J668" s="454"/>
      <c r="K668" s="454"/>
      <c r="L668" s="454"/>
      <c r="M668" s="455"/>
      <c r="N668" s="43"/>
      <c r="O668" s="103">
        <f>2419539-2397370</f>
        <v>22169</v>
      </c>
      <c r="P668" s="359" t="s">
        <v>763</v>
      </c>
      <c r="Q668" s="367" t="s">
        <v>620</v>
      </c>
      <c r="R668" s="360">
        <f>22169-1300</f>
        <v>20869</v>
      </c>
    </row>
    <row r="669" spans="1:18" s="519" customFormat="1" ht="15" x14ac:dyDescent="0.25">
      <c r="A669" s="1"/>
      <c r="B669" s="1" t="s">
        <v>768</v>
      </c>
      <c r="C669" s="32">
        <v>8007</v>
      </c>
      <c r="D669" s="32">
        <v>20000</v>
      </c>
      <c r="E669" s="1"/>
      <c r="F669" s="1">
        <v>222.82</v>
      </c>
      <c r="G669" s="295">
        <v>20000</v>
      </c>
      <c r="H669" s="1">
        <f t="shared" si="11"/>
        <v>0</v>
      </c>
      <c r="I669" s="89"/>
      <c r="J669" s="454"/>
      <c r="K669" s="454"/>
      <c r="L669" s="454"/>
      <c r="M669" s="455"/>
      <c r="N669" s="43"/>
      <c r="O669" s="388"/>
      <c r="P669" s="48"/>
      <c r="Q669" s="370"/>
      <c r="R669" s="48"/>
    </row>
    <row r="670" spans="1:18" s="483" customFormat="1" ht="15" x14ac:dyDescent="0.25">
      <c r="A670" s="1"/>
      <c r="B670" s="1" t="s">
        <v>769</v>
      </c>
      <c r="C670" s="32">
        <v>8311</v>
      </c>
      <c r="D670" s="32">
        <v>23000</v>
      </c>
      <c r="E670" s="1" t="s">
        <v>80</v>
      </c>
      <c r="F670" s="1">
        <v>256.87</v>
      </c>
      <c r="G670" s="295">
        <v>23000</v>
      </c>
      <c r="H670" s="1">
        <f t="shared" si="11"/>
        <v>0</v>
      </c>
      <c r="I670" s="89"/>
      <c r="J670" s="454"/>
      <c r="K670" s="454"/>
      <c r="L670" s="454"/>
      <c r="M670" s="455"/>
      <c r="N670" s="43"/>
      <c r="O670" s="388"/>
      <c r="P670" s="48"/>
      <c r="Q670" s="370"/>
      <c r="R670" s="48"/>
    </row>
    <row r="671" spans="1:18" s="483" customFormat="1" ht="15" x14ac:dyDescent="0.25">
      <c r="A671" s="1"/>
      <c r="B671" s="1" t="s">
        <v>769</v>
      </c>
      <c r="C671" s="32" t="s">
        <v>735</v>
      </c>
      <c r="D671" s="32">
        <v>3000</v>
      </c>
      <c r="E671" s="1" t="s">
        <v>80</v>
      </c>
      <c r="F671" s="1">
        <v>33.450000000000003</v>
      </c>
      <c r="G671" s="295">
        <v>3000</v>
      </c>
      <c r="H671" s="1">
        <f t="shared" si="11"/>
        <v>0</v>
      </c>
      <c r="I671" s="89"/>
      <c r="J671" s="454"/>
      <c r="K671" s="454"/>
      <c r="L671" s="454"/>
      <c r="M671" s="455"/>
      <c r="N671" s="43"/>
      <c r="O671" s="388"/>
      <c r="P671" s="48"/>
      <c r="Q671" s="370"/>
      <c r="R671" s="48"/>
    </row>
    <row r="672" spans="1:18" s="483" customFormat="1" ht="15" x14ac:dyDescent="0.25">
      <c r="A672" s="1"/>
      <c r="B672" s="1" t="s">
        <v>769</v>
      </c>
      <c r="C672" s="32">
        <v>2912</v>
      </c>
      <c r="D672" s="32">
        <v>14000</v>
      </c>
      <c r="E672" s="1" t="s">
        <v>80</v>
      </c>
      <c r="F672" s="1">
        <v>155.44999999999999</v>
      </c>
      <c r="G672" s="295">
        <v>14000</v>
      </c>
      <c r="H672" s="1">
        <f t="shared" si="11"/>
        <v>0</v>
      </c>
      <c r="I672" s="89"/>
      <c r="J672" s="454"/>
      <c r="K672" s="454"/>
      <c r="L672" s="454"/>
      <c r="M672" s="455"/>
      <c r="N672" s="43"/>
      <c r="O672" s="388"/>
      <c r="P672" s="48"/>
      <c r="Q672" s="370"/>
      <c r="R672" s="48"/>
    </row>
    <row r="673" spans="1:18" s="483" customFormat="1" ht="15" x14ac:dyDescent="0.25">
      <c r="A673" s="1"/>
      <c r="B673" s="1" t="s">
        <v>769</v>
      </c>
      <c r="C673" s="32">
        <v>5968</v>
      </c>
      <c r="D673" s="32">
        <v>14000</v>
      </c>
      <c r="E673" s="1" t="s">
        <v>80</v>
      </c>
      <c r="F673" s="1">
        <v>155.44999999999999</v>
      </c>
      <c r="G673" s="295">
        <v>14000</v>
      </c>
      <c r="H673" s="1">
        <f t="shared" si="11"/>
        <v>0</v>
      </c>
      <c r="I673" s="89"/>
      <c r="J673" s="454"/>
      <c r="K673" s="454"/>
      <c r="L673" s="454"/>
      <c r="M673" s="455"/>
      <c r="N673" s="43"/>
      <c r="O673" s="388"/>
      <c r="P673" s="48"/>
      <c r="Q673" s="370"/>
      <c r="R673" s="48"/>
    </row>
    <row r="674" spans="1:18" s="483" customFormat="1" ht="15" x14ac:dyDescent="0.25">
      <c r="A674" s="1"/>
      <c r="B674" s="1" t="s">
        <v>769</v>
      </c>
      <c r="C674" s="32">
        <v>5.1000000000000004E-3</v>
      </c>
      <c r="D674" s="32">
        <v>16000</v>
      </c>
      <c r="E674" s="1" t="s">
        <v>80</v>
      </c>
      <c r="F674" s="1">
        <v>178.22</v>
      </c>
      <c r="G674" s="295">
        <v>16000</v>
      </c>
      <c r="H674" s="1">
        <f t="shared" si="11"/>
        <v>0</v>
      </c>
      <c r="I674" s="89"/>
      <c r="J674" s="454"/>
      <c r="K674" s="454"/>
      <c r="L674" s="454"/>
      <c r="M674" s="455"/>
      <c r="N674" s="43"/>
      <c r="O674" s="388"/>
      <c r="P674" s="48"/>
      <c r="Q674" s="370"/>
      <c r="R674" s="48"/>
    </row>
    <row r="675" spans="1:18" s="483" customFormat="1" ht="15" x14ac:dyDescent="0.25">
      <c r="A675" s="1"/>
      <c r="B675" s="1" t="s">
        <v>769</v>
      </c>
      <c r="C675" s="32">
        <v>5151</v>
      </c>
      <c r="D675" s="32">
        <v>16000</v>
      </c>
      <c r="E675" s="1" t="s">
        <v>80</v>
      </c>
      <c r="F675" s="1">
        <v>178.22</v>
      </c>
      <c r="G675" s="295">
        <v>16000</v>
      </c>
      <c r="H675" s="1">
        <f t="shared" si="11"/>
        <v>0</v>
      </c>
      <c r="I675" s="89"/>
      <c r="J675" s="454"/>
      <c r="K675" s="454"/>
      <c r="L675" s="454"/>
      <c r="M675" s="455"/>
      <c r="N675" s="43"/>
      <c r="O675" s="388"/>
      <c r="P675" s="48"/>
      <c r="Q675" s="370"/>
      <c r="R675" s="48"/>
    </row>
    <row r="676" spans="1:18" s="483" customFormat="1" ht="15" x14ac:dyDescent="0.25">
      <c r="A676" s="1"/>
      <c r="B676" s="1" t="s">
        <v>769</v>
      </c>
      <c r="C676" s="32" t="s">
        <v>30</v>
      </c>
      <c r="D676" s="32">
        <v>5000</v>
      </c>
      <c r="E676" s="1" t="s">
        <v>80</v>
      </c>
      <c r="F676" s="1">
        <v>55.45</v>
      </c>
      <c r="G676" s="295">
        <v>5000</v>
      </c>
      <c r="H676" s="1">
        <f t="shared" si="11"/>
        <v>0</v>
      </c>
      <c r="I676" s="89"/>
      <c r="J676" s="454"/>
      <c r="K676" s="454"/>
      <c r="L676" s="454"/>
      <c r="M676" s="455"/>
      <c r="N676" s="43"/>
      <c r="O676" s="388"/>
      <c r="P676" s="48"/>
      <c r="Q676" s="370"/>
      <c r="R676" s="48"/>
    </row>
    <row r="677" spans="1:18" s="483" customFormat="1" ht="15" x14ac:dyDescent="0.25">
      <c r="A677" s="1"/>
      <c r="B677" s="1" t="s">
        <v>769</v>
      </c>
      <c r="C677" s="32">
        <v>9205</v>
      </c>
      <c r="D677" s="32">
        <v>19000</v>
      </c>
      <c r="E677" s="1" t="s">
        <v>80</v>
      </c>
      <c r="F677" s="1">
        <v>211.68</v>
      </c>
      <c r="G677" s="295">
        <v>19000</v>
      </c>
      <c r="H677" s="1">
        <f t="shared" si="11"/>
        <v>0</v>
      </c>
      <c r="I677" s="89"/>
      <c r="J677" s="454"/>
      <c r="K677" s="454"/>
      <c r="L677" s="454"/>
      <c r="M677" s="455"/>
      <c r="N677" s="43"/>
      <c r="O677" s="388"/>
      <c r="P677" s="48"/>
      <c r="Q677" s="370"/>
      <c r="R677" s="48"/>
    </row>
    <row r="678" spans="1:18" s="483" customFormat="1" ht="15" x14ac:dyDescent="0.25">
      <c r="A678" s="1"/>
      <c r="B678" s="1" t="s">
        <v>769</v>
      </c>
      <c r="C678" s="32">
        <v>4032</v>
      </c>
      <c r="D678" s="32">
        <v>14000</v>
      </c>
      <c r="E678" s="1" t="s">
        <v>80</v>
      </c>
      <c r="F678" s="1">
        <v>155.72</v>
      </c>
      <c r="G678" s="295">
        <v>14000</v>
      </c>
      <c r="H678" s="1">
        <f t="shared" si="11"/>
        <v>0</v>
      </c>
      <c r="I678" s="89"/>
      <c r="J678" s="454"/>
      <c r="K678" s="454"/>
      <c r="L678" s="454"/>
      <c r="M678" s="455"/>
      <c r="N678" s="43"/>
      <c r="O678" s="388"/>
      <c r="P678" s="48"/>
      <c r="Q678" s="370"/>
      <c r="R678" s="48"/>
    </row>
    <row r="679" spans="1:18" s="483" customFormat="1" ht="15" x14ac:dyDescent="0.25">
      <c r="A679" s="1"/>
      <c r="B679" s="1" t="s">
        <v>769</v>
      </c>
      <c r="C679" s="32">
        <v>4092</v>
      </c>
      <c r="D679" s="32">
        <v>9000</v>
      </c>
      <c r="E679" s="1" t="s">
        <v>80</v>
      </c>
      <c r="F679" s="1">
        <v>100.87</v>
      </c>
      <c r="G679" s="295">
        <v>9000</v>
      </c>
      <c r="H679" s="1">
        <f t="shared" si="11"/>
        <v>0</v>
      </c>
      <c r="I679" s="89"/>
      <c r="J679" s="454"/>
      <c r="K679" s="454"/>
      <c r="L679" s="454"/>
      <c r="M679" s="455"/>
      <c r="N679" s="43"/>
      <c r="O679" s="388"/>
      <c r="P679" s="48"/>
      <c r="Q679" s="370"/>
      <c r="R679" s="48"/>
    </row>
    <row r="680" spans="1:18" s="483" customFormat="1" ht="15" x14ac:dyDescent="0.25">
      <c r="A680" s="1"/>
      <c r="B680" s="1" t="s">
        <v>769</v>
      </c>
      <c r="C680" s="32">
        <v>4077</v>
      </c>
      <c r="D680" s="32">
        <v>12000</v>
      </c>
      <c r="E680" s="1" t="s">
        <v>80</v>
      </c>
      <c r="F680" s="1">
        <v>133.41999999999999</v>
      </c>
      <c r="G680" s="295">
        <v>12000</v>
      </c>
      <c r="H680" s="1">
        <f t="shared" si="11"/>
        <v>0</v>
      </c>
      <c r="I680" s="89"/>
      <c r="J680" s="454"/>
      <c r="K680" s="454"/>
      <c r="L680" s="454"/>
      <c r="M680" s="455"/>
      <c r="N680" s="43"/>
      <c r="O680" s="388"/>
      <c r="P680" s="48"/>
      <c r="Q680" s="370"/>
      <c r="R680" s="48"/>
    </row>
    <row r="681" spans="1:18" s="483" customFormat="1" ht="15" x14ac:dyDescent="0.25">
      <c r="A681" s="1"/>
      <c r="B681" s="1" t="s">
        <v>769</v>
      </c>
      <c r="C681" s="32">
        <v>1491</v>
      </c>
      <c r="D681" s="32">
        <v>14000</v>
      </c>
      <c r="E681" s="1" t="s">
        <v>80</v>
      </c>
      <c r="F681" s="1">
        <v>155.72</v>
      </c>
      <c r="G681" s="295">
        <v>14000</v>
      </c>
      <c r="H681" s="1">
        <f t="shared" si="11"/>
        <v>0</v>
      </c>
      <c r="I681" s="89"/>
      <c r="J681" s="454"/>
      <c r="K681" s="454"/>
      <c r="L681" s="454"/>
      <c r="M681" s="455"/>
      <c r="N681" s="43"/>
      <c r="O681" s="388"/>
      <c r="P681" s="48"/>
      <c r="Q681" s="370"/>
      <c r="R681" s="48"/>
    </row>
    <row r="682" spans="1:18" s="483" customFormat="1" ht="15" x14ac:dyDescent="0.25">
      <c r="A682" s="1"/>
      <c r="B682" s="1" t="s">
        <v>769</v>
      </c>
      <c r="C682" s="32">
        <v>5838</v>
      </c>
      <c r="D682" s="32">
        <v>14000</v>
      </c>
      <c r="E682" s="1" t="s">
        <v>80</v>
      </c>
      <c r="F682" s="1">
        <v>155.72</v>
      </c>
      <c r="G682" s="295">
        <v>14000</v>
      </c>
      <c r="H682" s="1">
        <f t="shared" si="11"/>
        <v>0</v>
      </c>
      <c r="I682" s="89"/>
      <c r="J682" s="454"/>
      <c r="K682" s="454"/>
      <c r="L682" s="454"/>
      <c r="M682" s="455"/>
      <c r="N682" s="43"/>
      <c r="O682" s="388"/>
      <c r="P682" s="48"/>
      <c r="Q682" s="370"/>
      <c r="R682" s="48"/>
    </row>
    <row r="683" spans="1:18" s="482" customFormat="1" ht="15" x14ac:dyDescent="0.25">
      <c r="A683" s="1"/>
      <c r="B683" s="1" t="s">
        <v>769</v>
      </c>
      <c r="C683" s="32">
        <v>1307</v>
      </c>
      <c r="D683" s="32">
        <v>17000</v>
      </c>
      <c r="E683" s="1" t="s">
        <v>80</v>
      </c>
      <c r="F683" s="1">
        <v>189.47</v>
      </c>
      <c r="G683" s="295">
        <v>17000</v>
      </c>
      <c r="H683" s="1">
        <f t="shared" si="11"/>
        <v>0</v>
      </c>
      <c r="I683" s="89"/>
      <c r="J683" s="454"/>
      <c r="K683" s="454"/>
      <c r="L683" s="454"/>
      <c r="M683" s="455"/>
      <c r="N683" s="43"/>
      <c r="O683" s="388"/>
      <c r="P683" s="48"/>
      <c r="Q683" s="370"/>
      <c r="R683" s="48"/>
    </row>
    <row r="684" spans="1:18" s="482" customFormat="1" ht="15" x14ac:dyDescent="0.25">
      <c r="A684" s="1"/>
      <c r="B684" s="1" t="s">
        <v>769</v>
      </c>
      <c r="C684" s="32">
        <v>6092</v>
      </c>
      <c r="D684" s="32">
        <v>25000</v>
      </c>
      <c r="E684" s="1" t="s">
        <v>80</v>
      </c>
      <c r="F684" s="1">
        <v>278.22000000000003</v>
      </c>
      <c r="G684" s="295">
        <v>25000</v>
      </c>
      <c r="H684" s="1">
        <f t="shared" si="11"/>
        <v>0</v>
      </c>
      <c r="I684" s="89"/>
      <c r="J684" s="454"/>
      <c r="K684" s="454"/>
      <c r="L684" s="454"/>
      <c r="M684" s="455"/>
      <c r="N684" s="43"/>
      <c r="O684" s="388"/>
      <c r="P684" s="48"/>
      <c r="Q684" s="370"/>
      <c r="R684" s="48"/>
    </row>
    <row r="685" spans="1:18" s="482" customFormat="1" ht="15" x14ac:dyDescent="0.25">
      <c r="A685" s="1"/>
      <c r="B685" s="1" t="s">
        <v>769</v>
      </c>
      <c r="C685" s="32">
        <v>4.7800000000000002E-2</v>
      </c>
      <c r="D685" s="32">
        <v>14000</v>
      </c>
      <c r="E685" s="1" t="s">
        <v>80</v>
      </c>
      <c r="F685" s="1">
        <v>155.27000000000001</v>
      </c>
      <c r="G685" s="295">
        <v>14000</v>
      </c>
      <c r="H685" s="1">
        <f t="shared" si="11"/>
        <v>0</v>
      </c>
      <c r="I685" s="89"/>
      <c r="J685" s="454"/>
      <c r="K685" s="454"/>
      <c r="L685" s="454"/>
      <c r="M685" s="455"/>
      <c r="N685" s="43"/>
      <c r="O685" s="388"/>
      <c r="P685" s="48"/>
      <c r="Q685" s="370"/>
      <c r="R685" s="48"/>
    </row>
    <row r="686" spans="1:18" s="482" customFormat="1" ht="15" x14ac:dyDescent="0.25">
      <c r="A686" s="1"/>
      <c r="B686" s="1" t="s">
        <v>769</v>
      </c>
      <c r="C686" s="32">
        <v>8.8900000000000007E-2</v>
      </c>
      <c r="D686" s="32">
        <v>13500</v>
      </c>
      <c r="E686" s="1" t="s">
        <v>80</v>
      </c>
      <c r="F686" s="1">
        <v>150.87</v>
      </c>
      <c r="G686" s="295">
        <v>13500</v>
      </c>
      <c r="H686" s="1">
        <f t="shared" si="11"/>
        <v>0</v>
      </c>
      <c r="I686" s="89"/>
      <c r="J686" s="454"/>
      <c r="K686" s="454"/>
      <c r="L686" s="454"/>
      <c r="M686" s="455"/>
      <c r="N686" s="43"/>
      <c r="O686" s="388"/>
      <c r="P686" s="48"/>
      <c r="Q686" s="370"/>
      <c r="R686" s="48"/>
    </row>
    <row r="687" spans="1:18" s="482" customFormat="1" ht="15" x14ac:dyDescent="0.25">
      <c r="A687" s="1"/>
      <c r="B687" s="1" t="s">
        <v>769</v>
      </c>
      <c r="C687" s="32">
        <v>1733</v>
      </c>
      <c r="D687" s="32">
        <v>12000</v>
      </c>
      <c r="E687" s="1" t="s">
        <v>80</v>
      </c>
      <c r="F687" s="1">
        <v>115.58</v>
      </c>
      <c r="G687" s="295">
        <v>12000</v>
      </c>
      <c r="H687" s="1">
        <f t="shared" si="11"/>
        <v>0</v>
      </c>
      <c r="I687" s="89"/>
      <c r="J687" s="454"/>
      <c r="K687" s="454"/>
      <c r="L687" s="454"/>
      <c r="M687" s="455"/>
      <c r="N687" s="43"/>
      <c r="O687" s="388"/>
      <c r="P687" s="48"/>
      <c r="Q687" s="370"/>
      <c r="R687" s="48"/>
    </row>
    <row r="688" spans="1:18" s="482" customFormat="1" ht="15" x14ac:dyDescent="0.25">
      <c r="A688" s="1"/>
      <c r="B688" s="1" t="s">
        <v>769</v>
      </c>
      <c r="C688" s="32">
        <v>4.8800000000000003E-2</v>
      </c>
      <c r="D688" s="32">
        <v>5000</v>
      </c>
      <c r="E688" s="1" t="s">
        <v>80</v>
      </c>
      <c r="F688" s="1">
        <v>55.45</v>
      </c>
      <c r="G688" s="295">
        <v>5000</v>
      </c>
      <c r="H688" s="1">
        <f t="shared" si="11"/>
        <v>0</v>
      </c>
      <c r="I688" s="89"/>
      <c r="J688" s="454"/>
      <c r="K688" s="454"/>
      <c r="L688" s="454"/>
      <c r="M688" s="455"/>
      <c r="N688" s="43"/>
      <c r="O688" s="388"/>
      <c r="P688" s="48"/>
      <c r="Q688" s="370"/>
      <c r="R688" s="48"/>
    </row>
    <row r="689" spans="1:18" s="482" customFormat="1" ht="15" x14ac:dyDescent="0.25">
      <c r="A689" s="1"/>
      <c r="B689" s="1" t="s">
        <v>769</v>
      </c>
      <c r="C689" s="32">
        <v>3753</v>
      </c>
      <c r="D689" s="32">
        <v>27000</v>
      </c>
      <c r="E689" s="1" t="s">
        <v>80</v>
      </c>
      <c r="F689" s="1">
        <v>295.37</v>
      </c>
      <c r="G689" s="295">
        <v>27000</v>
      </c>
      <c r="H689" s="1">
        <f t="shared" si="11"/>
        <v>0</v>
      </c>
      <c r="I689" s="89"/>
      <c r="J689" s="454"/>
      <c r="K689" s="454"/>
      <c r="L689" s="454"/>
      <c r="M689" s="455"/>
      <c r="N689" s="43"/>
      <c r="O689" s="388"/>
      <c r="P689" s="48"/>
      <c r="Q689" s="370"/>
      <c r="R689" s="48"/>
    </row>
    <row r="690" spans="1:18" s="482" customFormat="1" ht="15" x14ac:dyDescent="0.25">
      <c r="A690" s="1"/>
      <c r="B690" s="1" t="s">
        <v>769</v>
      </c>
      <c r="C690" s="32">
        <v>9576</v>
      </c>
      <c r="D690" s="32">
        <v>15000</v>
      </c>
      <c r="E690" s="1" t="s">
        <v>80</v>
      </c>
      <c r="F690" s="1">
        <v>167.15</v>
      </c>
      <c r="G690" s="295">
        <v>15000</v>
      </c>
      <c r="H690" s="1">
        <f t="shared" si="11"/>
        <v>0</v>
      </c>
      <c r="I690" s="89"/>
      <c r="J690" s="454"/>
      <c r="K690" s="454"/>
      <c r="L690" s="454"/>
      <c r="M690" s="455"/>
      <c r="N690" s="43"/>
      <c r="O690" s="388"/>
      <c r="P690" s="48"/>
      <c r="Q690" s="370"/>
      <c r="R690" s="48"/>
    </row>
    <row r="691" spans="1:18" s="482" customFormat="1" ht="15" x14ac:dyDescent="0.25">
      <c r="A691" s="1"/>
      <c r="B691" s="1" t="s">
        <v>769</v>
      </c>
      <c r="C691" s="32">
        <v>5008</v>
      </c>
      <c r="D691" s="32">
        <v>8000</v>
      </c>
      <c r="E691" s="1" t="s">
        <v>80</v>
      </c>
      <c r="F691" s="1">
        <v>89.67</v>
      </c>
      <c r="G691" s="295">
        <v>8000</v>
      </c>
      <c r="H691" s="1">
        <f t="shared" si="11"/>
        <v>0</v>
      </c>
      <c r="I691" s="89"/>
      <c r="J691" s="454"/>
      <c r="K691" s="454"/>
      <c r="L691" s="454"/>
      <c r="M691" s="455"/>
      <c r="N691" s="43"/>
      <c r="O691" s="388"/>
      <c r="P691" s="48"/>
      <c r="Q691" s="370"/>
      <c r="R691" s="48"/>
    </row>
    <row r="692" spans="1:18" s="482" customFormat="1" ht="15" x14ac:dyDescent="0.25">
      <c r="A692" s="1"/>
      <c r="B692" s="1" t="s">
        <v>769</v>
      </c>
      <c r="C692" s="32">
        <v>5775</v>
      </c>
      <c r="D692" s="32">
        <v>10000</v>
      </c>
      <c r="E692" s="1" t="s">
        <v>80</v>
      </c>
      <c r="F692" s="1">
        <v>111.42</v>
      </c>
      <c r="G692" s="295">
        <v>10000</v>
      </c>
      <c r="H692" s="1">
        <f t="shared" si="11"/>
        <v>0</v>
      </c>
      <c r="I692" s="89"/>
      <c r="J692" s="454"/>
      <c r="K692" s="454"/>
      <c r="L692" s="454"/>
      <c r="M692" s="455"/>
      <c r="N692" s="43"/>
      <c r="O692" s="388"/>
      <c r="P692" s="48"/>
      <c r="Q692" s="370"/>
      <c r="R692" s="48"/>
    </row>
    <row r="693" spans="1:18" s="482" customFormat="1" ht="15" x14ac:dyDescent="0.25">
      <c r="A693" s="1"/>
      <c r="B693" s="1" t="s">
        <v>769</v>
      </c>
      <c r="C693" s="32">
        <v>7776</v>
      </c>
      <c r="D693" s="32">
        <v>4000</v>
      </c>
      <c r="E693" s="1" t="s">
        <v>80</v>
      </c>
      <c r="F693" s="1">
        <v>44.48</v>
      </c>
      <c r="G693" s="295">
        <v>4000</v>
      </c>
      <c r="H693" s="1">
        <f t="shared" si="11"/>
        <v>0</v>
      </c>
      <c r="I693" s="89"/>
      <c r="J693" s="454"/>
      <c r="K693" s="454"/>
      <c r="L693" s="454"/>
      <c r="M693" s="455"/>
      <c r="N693" s="43"/>
      <c r="O693" s="388"/>
      <c r="P693" s="48"/>
      <c r="Q693" s="370"/>
      <c r="R693" s="48"/>
    </row>
    <row r="694" spans="1:18" s="482" customFormat="1" ht="15" x14ac:dyDescent="0.25">
      <c r="A694" s="1"/>
      <c r="B694" s="1" t="s">
        <v>769</v>
      </c>
      <c r="C694" s="32">
        <v>2320</v>
      </c>
      <c r="D694" s="32">
        <v>20000</v>
      </c>
      <c r="E694" s="1" t="s">
        <v>80</v>
      </c>
      <c r="F694" s="1">
        <v>222.82</v>
      </c>
      <c r="G694" s="295">
        <v>20000</v>
      </c>
      <c r="H694" s="1">
        <f t="shared" si="11"/>
        <v>0</v>
      </c>
      <c r="I694" s="89"/>
      <c r="J694" s="454"/>
      <c r="K694" s="454"/>
      <c r="L694" s="454"/>
      <c r="M694" s="455"/>
      <c r="N694" s="43"/>
      <c r="O694" s="388"/>
      <c r="P694" s="48"/>
      <c r="Q694" s="370"/>
      <c r="R694" s="48"/>
    </row>
    <row r="695" spans="1:18" s="482" customFormat="1" ht="15" x14ac:dyDescent="0.25">
      <c r="A695" s="1"/>
      <c r="B695" s="1" t="s">
        <v>769</v>
      </c>
      <c r="C695" s="32">
        <v>4265</v>
      </c>
      <c r="D695" s="32">
        <v>18000</v>
      </c>
      <c r="E695" s="1" t="s">
        <v>80</v>
      </c>
      <c r="F695" s="1">
        <v>200.82</v>
      </c>
      <c r="G695" s="295">
        <v>18000</v>
      </c>
      <c r="H695" s="1">
        <f t="shared" si="11"/>
        <v>0</v>
      </c>
      <c r="I695" s="89"/>
      <c r="J695" s="454"/>
      <c r="K695" s="454"/>
      <c r="L695" s="454"/>
      <c r="M695" s="455"/>
      <c r="N695" s="43"/>
      <c r="O695" s="388"/>
      <c r="P695" s="48"/>
      <c r="Q695" s="370"/>
      <c r="R695" s="48"/>
    </row>
    <row r="696" spans="1:18" s="482" customFormat="1" ht="15" x14ac:dyDescent="0.25">
      <c r="A696" s="1"/>
      <c r="B696" s="1" t="s">
        <v>769</v>
      </c>
      <c r="C696" s="32">
        <v>3899</v>
      </c>
      <c r="D696" s="32">
        <v>14000</v>
      </c>
      <c r="E696" s="1" t="s">
        <v>80</v>
      </c>
      <c r="F696" s="1">
        <v>155.13999999999999</v>
      </c>
      <c r="G696" s="295">
        <v>14000</v>
      </c>
      <c r="H696" s="1">
        <f t="shared" si="11"/>
        <v>0</v>
      </c>
      <c r="I696" s="89"/>
      <c r="J696" s="454"/>
      <c r="K696" s="454"/>
      <c r="L696" s="454"/>
      <c r="M696" s="455"/>
      <c r="N696" s="43"/>
      <c r="O696" s="388"/>
      <c r="P696" s="48"/>
      <c r="Q696" s="370"/>
      <c r="R696" s="48"/>
    </row>
    <row r="697" spans="1:18" s="482" customFormat="1" ht="15" x14ac:dyDescent="0.25">
      <c r="A697" s="1"/>
      <c r="B697" s="1" t="s">
        <v>769</v>
      </c>
      <c r="C697" s="32">
        <v>1577</v>
      </c>
      <c r="D697" s="32">
        <v>25000</v>
      </c>
      <c r="E697" s="1" t="s">
        <v>80</v>
      </c>
      <c r="F697" s="1">
        <v>278.22000000000003</v>
      </c>
      <c r="G697" s="295">
        <v>25000</v>
      </c>
      <c r="H697" s="1">
        <f t="shared" si="11"/>
        <v>0</v>
      </c>
      <c r="I697" s="89"/>
      <c r="J697" s="454"/>
      <c r="K697" s="454"/>
      <c r="L697" s="454"/>
      <c r="M697" s="455"/>
      <c r="N697" s="43"/>
      <c r="O697" s="388"/>
      <c r="P697" s="48"/>
      <c r="Q697" s="370"/>
      <c r="R697" s="48"/>
    </row>
    <row r="698" spans="1:18" s="482" customFormat="1" ht="15" x14ac:dyDescent="0.25">
      <c r="A698" s="1"/>
      <c r="B698" s="1" t="s">
        <v>769</v>
      </c>
      <c r="C698" s="32">
        <v>6244</v>
      </c>
      <c r="D698" s="32">
        <v>30000</v>
      </c>
      <c r="E698" s="1" t="s">
        <v>80</v>
      </c>
      <c r="F698" s="1">
        <v>334.67</v>
      </c>
      <c r="G698" s="295">
        <v>30000</v>
      </c>
      <c r="H698" s="1">
        <f t="shared" si="11"/>
        <v>0</v>
      </c>
      <c r="I698" s="89"/>
      <c r="J698" s="454"/>
      <c r="K698" s="454"/>
      <c r="L698" s="454"/>
      <c r="M698" s="455"/>
      <c r="N698" s="43"/>
      <c r="O698" s="388"/>
      <c r="P698" s="48"/>
      <c r="Q698" s="370"/>
      <c r="R698" s="48"/>
    </row>
    <row r="699" spans="1:18" s="482" customFormat="1" ht="15" x14ac:dyDescent="0.25">
      <c r="A699" s="1"/>
      <c r="B699" s="1" t="s">
        <v>769</v>
      </c>
      <c r="C699" s="32">
        <v>5400</v>
      </c>
      <c r="D699" s="32">
        <v>8000</v>
      </c>
      <c r="E699" s="1" t="s">
        <v>80</v>
      </c>
      <c r="F699" s="1">
        <v>89.67</v>
      </c>
      <c r="G699" s="295">
        <v>8000</v>
      </c>
      <c r="H699" s="1">
        <f t="shared" si="11"/>
        <v>0</v>
      </c>
      <c r="I699" s="89"/>
      <c r="J699" s="454"/>
      <c r="K699" s="454"/>
      <c r="L699" s="454"/>
      <c r="M699" s="455"/>
      <c r="N699" s="43"/>
      <c r="O699" s="388"/>
      <c r="P699" s="48"/>
      <c r="Q699" s="370"/>
      <c r="R699" s="48"/>
    </row>
    <row r="700" spans="1:18" s="482" customFormat="1" ht="15" x14ac:dyDescent="0.25">
      <c r="A700" s="1"/>
      <c r="B700" s="1" t="s">
        <v>769</v>
      </c>
      <c r="C700" s="32">
        <v>7186</v>
      </c>
      <c r="D700" s="32">
        <v>18000</v>
      </c>
      <c r="E700" s="1" t="s">
        <v>80</v>
      </c>
      <c r="F700" s="1">
        <v>200.82</v>
      </c>
      <c r="G700" s="295">
        <v>18000</v>
      </c>
      <c r="H700" s="1">
        <f t="shared" si="11"/>
        <v>0</v>
      </c>
      <c r="I700" s="89"/>
      <c r="J700" s="454"/>
      <c r="K700" s="454"/>
      <c r="L700" s="454"/>
      <c r="M700" s="455"/>
      <c r="N700" s="43"/>
      <c r="O700" s="388"/>
      <c r="P700" s="48"/>
      <c r="Q700" s="370"/>
      <c r="R700" s="48"/>
    </row>
    <row r="701" spans="1:18" s="482" customFormat="1" ht="15" x14ac:dyDescent="0.25">
      <c r="A701" s="1"/>
      <c r="B701" s="1" t="s">
        <v>769</v>
      </c>
      <c r="C701" s="32">
        <v>1505</v>
      </c>
      <c r="D701" s="32">
        <v>16000</v>
      </c>
      <c r="E701" s="1" t="s">
        <v>80</v>
      </c>
      <c r="F701" s="1">
        <v>178.22</v>
      </c>
      <c r="G701" s="295">
        <v>16000</v>
      </c>
      <c r="H701" s="1">
        <f t="shared" si="11"/>
        <v>0</v>
      </c>
      <c r="I701" s="89"/>
      <c r="J701" s="454"/>
      <c r="K701" s="454"/>
      <c r="L701" s="454"/>
      <c r="M701" s="455"/>
      <c r="N701" s="43"/>
      <c r="O701" s="388"/>
      <c r="P701" s="48"/>
      <c r="Q701" s="370"/>
      <c r="R701" s="48"/>
    </row>
    <row r="702" spans="1:18" s="482" customFormat="1" ht="15" x14ac:dyDescent="0.25">
      <c r="A702" s="1"/>
      <c r="B702" s="1" t="s">
        <v>773</v>
      </c>
      <c r="C702" s="32" t="s">
        <v>30</v>
      </c>
      <c r="D702" s="32">
        <v>4500</v>
      </c>
      <c r="E702" s="1" t="s">
        <v>80</v>
      </c>
      <c r="F702" s="1">
        <v>50.25</v>
      </c>
      <c r="G702" s="295">
        <v>4500</v>
      </c>
      <c r="H702" s="1">
        <f t="shared" si="11"/>
        <v>0</v>
      </c>
      <c r="I702" s="89"/>
      <c r="J702" s="454"/>
      <c r="K702" s="454"/>
      <c r="L702" s="454"/>
      <c r="M702" s="455"/>
      <c r="N702" s="43"/>
      <c r="O702" s="388"/>
      <c r="P702" s="48"/>
      <c r="Q702" s="370"/>
      <c r="R702" s="48"/>
    </row>
    <row r="703" spans="1:18" s="482" customFormat="1" ht="15" x14ac:dyDescent="0.25">
      <c r="A703" s="1"/>
      <c r="B703" s="1" t="s">
        <v>773</v>
      </c>
      <c r="C703" s="32">
        <v>7171</v>
      </c>
      <c r="D703" s="32">
        <v>20000</v>
      </c>
      <c r="E703" s="1" t="s">
        <v>80</v>
      </c>
      <c r="F703" s="1">
        <v>222.82</v>
      </c>
      <c r="G703" s="295">
        <v>20000</v>
      </c>
      <c r="H703" s="1">
        <f t="shared" si="11"/>
        <v>0</v>
      </c>
      <c r="I703" s="89"/>
      <c r="J703" s="454"/>
      <c r="K703" s="454"/>
      <c r="L703" s="454"/>
      <c r="M703" s="455"/>
      <c r="N703" s="43"/>
      <c r="O703" s="388"/>
      <c r="P703" s="48"/>
      <c r="Q703" s="370"/>
      <c r="R703" s="48"/>
    </row>
    <row r="704" spans="1:18" s="482" customFormat="1" ht="15" x14ac:dyDescent="0.25">
      <c r="A704" s="1"/>
      <c r="B704" s="1" t="s">
        <v>773</v>
      </c>
      <c r="C704" s="32">
        <v>3848</v>
      </c>
      <c r="D704" s="32">
        <v>20000</v>
      </c>
      <c r="E704" s="1" t="s">
        <v>80</v>
      </c>
      <c r="F704" s="1">
        <v>222.82</v>
      </c>
      <c r="G704" s="295">
        <v>20000</v>
      </c>
      <c r="H704" s="1">
        <f t="shared" si="11"/>
        <v>0</v>
      </c>
      <c r="I704" s="89"/>
      <c r="J704" s="454"/>
      <c r="K704" s="454"/>
      <c r="L704" s="454"/>
      <c r="M704" s="455"/>
      <c r="N704" s="43"/>
      <c r="O704" s="388"/>
      <c r="P704" s="48"/>
      <c r="Q704" s="370"/>
      <c r="R704" s="48"/>
    </row>
    <row r="705" spans="1:18" s="482" customFormat="1" ht="15" x14ac:dyDescent="0.25">
      <c r="A705" s="1"/>
      <c r="B705" s="1" t="s">
        <v>773</v>
      </c>
      <c r="C705" s="32">
        <v>3839</v>
      </c>
      <c r="D705" s="32">
        <v>15000</v>
      </c>
      <c r="E705" s="1" t="s">
        <v>80</v>
      </c>
      <c r="F705" s="1">
        <v>167.15</v>
      </c>
      <c r="G705" s="295">
        <v>15000</v>
      </c>
      <c r="H705" s="1">
        <f t="shared" si="11"/>
        <v>0</v>
      </c>
      <c r="I705" s="89"/>
      <c r="J705" s="454"/>
      <c r="K705" s="454"/>
      <c r="L705" s="454"/>
      <c r="M705" s="455"/>
      <c r="N705" s="43"/>
      <c r="O705" s="388"/>
      <c r="P705" s="48"/>
      <c r="Q705" s="370"/>
      <c r="R705" s="48"/>
    </row>
    <row r="706" spans="1:18" s="482" customFormat="1" ht="15" x14ac:dyDescent="0.25">
      <c r="A706" s="1"/>
      <c r="B706" s="1" t="s">
        <v>773</v>
      </c>
      <c r="C706" s="32" t="s">
        <v>735</v>
      </c>
      <c r="D706" s="32">
        <v>2000</v>
      </c>
      <c r="E706" s="1" t="s">
        <v>80</v>
      </c>
      <c r="F706" s="1">
        <v>22.25</v>
      </c>
      <c r="G706" s="295">
        <v>2000</v>
      </c>
      <c r="H706" s="1">
        <f t="shared" si="11"/>
        <v>0</v>
      </c>
      <c r="I706" s="89"/>
      <c r="J706" s="454"/>
      <c r="K706" s="454"/>
      <c r="L706" s="454"/>
      <c r="M706" s="455"/>
      <c r="N706" s="43"/>
      <c r="O706" s="388"/>
      <c r="P706" s="48"/>
      <c r="Q706" s="370"/>
      <c r="R706" s="48"/>
    </row>
    <row r="707" spans="1:18" s="482" customFormat="1" ht="15" x14ac:dyDescent="0.25">
      <c r="A707" s="1"/>
      <c r="B707" s="1" t="s">
        <v>773</v>
      </c>
      <c r="C707" s="32">
        <v>5.6399999999999999E-2</v>
      </c>
      <c r="D707" s="32">
        <v>14000</v>
      </c>
      <c r="E707" s="1" t="s">
        <v>80</v>
      </c>
      <c r="F707" s="1">
        <v>155.44999999999999</v>
      </c>
      <c r="G707" s="295">
        <v>14000</v>
      </c>
      <c r="H707" s="1">
        <f t="shared" si="11"/>
        <v>0</v>
      </c>
      <c r="I707" s="89"/>
      <c r="J707" s="454"/>
      <c r="K707" s="454"/>
      <c r="L707" s="454"/>
      <c r="M707" s="455"/>
      <c r="N707" s="43"/>
      <c r="O707" s="388"/>
      <c r="P707" s="48"/>
      <c r="Q707" s="370"/>
      <c r="R707" s="48"/>
    </row>
    <row r="708" spans="1:18" s="482" customFormat="1" ht="15" x14ac:dyDescent="0.25">
      <c r="A708" s="1"/>
      <c r="B708" s="1" t="s">
        <v>773</v>
      </c>
      <c r="C708" s="32">
        <v>9972</v>
      </c>
      <c r="D708" s="32">
        <v>13000</v>
      </c>
      <c r="E708" s="1" t="s">
        <v>80</v>
      </c>
      <c r="F708" s="1">
        <v>144.13</v>
      </c>
      <c r="G708" s="295">
        <v>13000</v>
      </c>
      <c r="H708" s="1">
        <f t="shared" si="11"/>
        <v>0</v>
      </c>
      <c r="I708" s="89"/>
      <c r="J708" s="454"/>
      <c r="K708" s="454"/>
      <c r="L708" s="454"/>
      <c r="M708" s="455"/>
      <c r="N708" s="43"/>
      <c r="O708" s="388"/>
      <c r="P708" s="48"/>
      <c r="Q708" s="370"/>
      <c r="R708" s="48"/>
    </row>
    <row r="709" spans="1:18" s="482" customFormat="1" ht="15" x14ac:dyDescent="0.25">
      <c r="A709" s="1"/>
      <c r="B709" s="1" t="s">
        <v>773</v>
      </c>
      <c r="C709" s="32">
        <v>6.4699999999999994E-2</v>
      </c>
      <c r="D709" s="32">
        <v>14000</v>
      </c>
      <c r="E709" s="1" t="s">
        <v>80</v>
      </c>
      <c r="F709" s="1">
        <v>155.44999999999999</v>
      </c>
      <c r="G709" s="295">
        <v>14000</v>
      </c>
      <c r="H709" s="1">
        <f t="shared" si="11"/>
        <v>0</v>
      </c>
      <c r="I709" s="89"/>
      <c r="J709" s="454"/>
      <c r="K709" s="454"/>
      <c r="L709" s="454"/>
      <c r="M709" s="455"/>
      <c r="N709" s="43"/>
      <c r="O709" s="388"/>
      <c r="P709" s="48"/>
      <c r="Q709" s="370"/>
      <c r="R709" s="48"/>
    </row>
    <row r="710" spans="1:18" s="482" customFormat="1" ht="15" x14ac:dyDescent="0.25">
      <c r="A710" s="1"/>
      <c r="B710" s="1" t="s">
        <v>773</v>
      </c>
      <c r="C710" s="32">
        <v>4067</v>
      </c>
      <c r="D710" s="32">
        <v>12000</v>
      </c>
      <c r="E710" s="1" t="s">
        <v>80</v>
      </c>
      <c r="F710" s="1">
        <v>133.41999999999999</v>
      </c>
      <c r="G710" s="295">
        <v>12000</v>
      </c>
      <c r="H710" s="1">
        <f t="shared" si="11"/>
        <v>0</v>
      </c>
      <c r="I710" s="89"/>
      <c r="J710" s="454"/>
      <c r="K710" s="454"/>
      <c r="L710" s="454"/>
      <c r="M710" s="455"/>
      <c r="N710" s="43"/>
      <c r="O710" s="388"/>
      <c r="P710" s="48"/>
      <c r="Q710" s="370"/>
      <c r="R710" s="48"/>
    </row>
    <row r="711" spans="1:18" s="482" customFormat="1" ht="15" x14ac:dyDescent="0.25">
      <c r="A711" s="1"/>
      <c r="B711" s="1" t="s">
        <v>773</v>
      </c>
      <c r="C711" s="32">
        <v>6012</v>
      </c>
      <c r="D711" s="32">
        <v>15000</v>
      </c>
      <c r="E711" s="1" t="s">
        <v>80</v>
      </c>
      <c r="F711" s="1">
        <v>167.15</v>
      </c>
      <c r="G711" s="295">
        <v>15000</v>
      </c>
      <c r="H711" s="1">
        <f t="shared" si="11"/>
        <v>0</v>
      </c>
      <c r="I711" s="89"/>
      <c r="J711" s="454"/>
      <c r="K711" s="454"/>
      <c r="L711" s="454"/>
      <c r="M711" s="455"/>
      <c r="N711" s="43"/>
      <c r="O711" s="388"/>
      <c r="P711" s="48"/>
      <c r="Q711" s="370"/>
      <c r="R711" s="48"/>
    </row>
    <row r="712" spans="1:18" s="482" customFormat="1" ht="15" x14ac:dyDescent="0.25">
      <c r="A712" s="1"/>
      <c r="B712" s="1" t="s">
        <v>773</v>
      </c>
      <c r="C712" s="32">
        <v>8545</v>
      </c>
      <c r="D712" s="32">
        <v>20000</v>
      </c>
      <c r="E712" s="1" t="s">
        <v>80</v>
      </c>
      <c r="F712" s="1">
        <v>222.82</v>
      </c>
      <c r="G712" s="295">
        <v>20000</v>
      </c>
      <c r="H712" s="1">
        <f t="shared" si="11"/>
        <v>0</v>
      </c>
      <c r="I712" s="89"/>
      <c r="J712" s="454"/>
      <c r="K712" s="454"/>
      <c r="L712" s="454"/>
      <c r="M712" s="455"/>
      <c r="N712" s="43"/>
      <c r="O712" s="388"/>
      <c r="P712" s="48"/>
      <c r="Q712" s="370"/>
      <c r="R712" s="48"/>
    </row>
    <row r="713" spans="1:18" s="482" customFormat="1" ht="15" x14ac:dyDescent="0.25">
      <c r="A713" s="1"/>
      <c r="B713" s="1" t="s">
        <v>773</v>
      </c>
      <c r="C713" s="32">
        <v>6377</v>
      </c>
      <c r="D713" s="32">
        <v>20000</v>
      </c>
      <c r="E713" s="1" t="s">
        <v>80</v>
      </c>
      <c r="F713" s="1">
        <v>222.82</v>
      </c>
      <c r="G713" s="295">
        <v>20000</v>
      </c>
      <c r="H713" s="1">
        <f t="shared" si="11"/>
        <v>0</v>
      </c>
      <c r="I713" s="89"/>
      <c r="J713" s="454"/>
      <c r="K713" s="454"/>
      <c r="L713" s="454"/>
      <c r="M713" s="455"/>
      <c r="N713" s="43"/>
      <c r="O713" s="388"/>
      <c r="P713" s="48"/>
      <c r="Q713" s="370"/>
      <c r="R713" s="48"/>
    </row>
    <row r="714" spans="1:18" s="482" customFormat="1" ht="15" x14ac:dyDescent="0.25">
      <c r="A714" s="1"/>
      <c r="B714" s="1" t="s">
        <v>773</v>
      </c>
      <c r="C714" s="32">
        <v>5403</v>
      </c>
      <c r="D714" s="32">
        <v>10000</v>
      </c>
      <c r="E714" s="1" t="s">
        <v>80</v>
      </c>
      <c r="F714" s="1">
        <v>111.41</v>
      </c>
      <c r="G714" s="295">
        <v>10000</v>
      </c>
      <c r="H714" s="1">
        <f t="shared" si="11"/>
        <v>0</v>
      </c>
      <c r="I714" s="89"/>
      <c r="J714" s="454"/>
      <c r="K714" s="454"/>
      <c r="L714" s="454"/>
      <c r="M714" s="455"/>
      <c r="N714" s="43"/>
      <c r="O714" s="388"/>
      <c r="P714" s="48"/>
      <c r="Q714" s="370"/>
      <c r="R714" s="48"/>
    </row>
    <row r="715" spans="1:18" s="482" customFormat="1" ht="15" x14ac:dyDescent="0.25">
      <c r="A715" s="1"/>
      <c r="B715" s="1" t="s">
        <v>773</v>
      </c>
      <c r="C715" s="32">
        <v>3468</v>
      </c>
      <c r="D715" s="58">
        <v>25000</v>
      </c>
      <c r="E715" s="1" t="s">
        <v>80</v>
      </c>
      <c r="F715" s="1">
        <v>278.22000000000003</v>
      </c>
      <c r="G715" s="295">
        <v>25000</v>
      </c>
      <c r="H715" s="1">
        <f t="shared" si="11"/>
        <v>0</v>
      </c>
      <c r="I715" s="89"/>
      <c r="J715" s="454"/>
      <c r="K715" s="454"/>
      <c r="L715" s="454"/>
      <c r="M715" s="455"/>
      <c r="N715" s="43"/>
      <c r="O715" s="388"/>
      <c r="P715" s="48"/>
      <c r="Q715" s="370"/>
      <c r="R715" s="48"/>
    </row>
    <row r="716" spans="1:18" s="482" customFormat="1" ht="15" x14ac:dyDescent="0.25">
      <c r="A716" s="1"/>
      <c r="B716" s="1" t="s">
        <v>773</v>
      </c>
      <c r="C716" s="32">
        <v>5428</v>
      </c>
      <c r="D716" s="58">
        <v>30000</v>
      </c>
      <c r="E716" s="1" t="s">
        <v>80</v>
      </c>
      <c r="F716" s="1">
        <v>334.82</v>
      </c>
      <c r="G716" s="295">
        <v>30000</v>
      </c>
      <c r="H716" s="1">
        <f t="shared" si="11"/>
        <v>0</v>
      </c>
      <c r="I716" s="89"/>
      <c r="J716" s="454"/>
      <c r="K716" s="454"/>
      <c r="L716" s="454"/>
      <c r="M716" s="455"/>
      <c r="N716" s="43"/>
      <c r="O716" s="388"/>
      <c r="P716" s="48"/>
      <c r="Q716" s="370"/>
      <c r="R716" s="48"/>
    </row>
    <row r="717" spans="1:18" s="482" customFormat="1" ht="15" x14ac:dyDescent="0.25">
      <c r="A717" s="1"/>
      <c r="B717" s="1" t="s">
        <v>773</v>
      </c>
      <c r="C717" s="32">
        <v>9228</v>
      </c>
      <c r="D717" s="58">
        <v>15000</v>
      </c>
      <c r="E717" s="1" t="s">
        <v>80</v>
      </c>
      <c r="F717" s="1">
        <v>167.15</v>
      </c>
      <c r="G717" s="295">
        <v>15000</v>
      </c>
      <c r="H717" s="1">
        <f t="shared" si="11"/>
        <v>0</v>
      </c>
      <c r="I717" s="89"/>
      <c r="J717" s="454"/>
      <c r="K717" s="454"/>
      <c r="L717" s="454"/>
      <c r="M717" s="455"/>
      <c r="N717" s="43"/>
      <c r="O717" s="388"/>
      <c r="P717" s="48"/>
      <c r="Q717" s="370"/>
      <c r="R717" s="48"/>
    </row>
    <row r="718" spans="1:18" s="482" customFormat="1" ht="15" x14ac:dyDescent="0.25">
      <c r="A718" s="1"/>
      <c r="B718" s="1" t="s">
        <v>773</v>
      </c>
      <c r="C718" s="32">
        <v>9711</v>
      </c>
      <c r="D718" s="58">
        <v>28000</v>
      </c>
      <c r="E718" s="1" t="s">
        <v>80</v>
      </c>
      <c r="F718" s="1">
        <v>322.68</v>
      </c>
      <c r="G718" s="295">
        <v>28000</v>
      </c>
      <c r="H718" s="1">
        <f t="shared" si="11"/>
        <v>0</v>
      </c>
      <c r="I718" s="89"/>
      <c r="J718" s="454"/>
      <c r="K718" s="454"/>
      <c r="L718" s="454"/>
      <c r="M718" s="455"/>
      <c r="N718" s="43"/>
      <c r="O718" s="388"/>
      <c r="P718" s="48"/>
      <c r="Q718" s="370"/>
      <c r="R718" s="48"/>
    </row>
    <row r="719" spans="1:18" s="482" customFormat="1" ht="15" x14ac:dyDescent="0.25">
      <c r="A719" s="1"/>
      <c r="B719" s="1" t="s">
        <v>773</v>
      </c>
      <c r="C719" s="32">
        <v>9376</v>
      </c>
      <c r="D719" s="58">
        <v>20000</v>
      </c>
      <c r="E719" s="1" t="s">
        <v>80</v>
      </c>
      <c r="F719" s="1">
        <v>222.82</v>
      </c>
      <c r="G719" s="295">
        <v>20000</v>
      </c>
      <c r="H719" s="1">
        <f t="shared" si="11"/>
        <v>0</v>
      </c>
      <c r="I719" s="89"/>
      <c r="J719" s="454"/>
      <c r="K719" s="454"/>
      <c r="L719" s="454"/>
      <c r="M719" s="455"/>
      <c r="N719" s="43"/>
      <c r="O719" s="388"/>
      <c r="P719" s="48"/>
      <c r="Q719" s="370"/>
      <c r="R719" s="48"/>
    </row>
    <row r="720" spans="1:18" s="482" customFormat="1" ht="15" x14ac:dyDescent="0.25">
      <c r="A720" s="1"/>
      <c r="B720" s="1" t="s">
        <v>773</v>
      </c>
      <c r="C720" s="32">
        <v>8.5699999999999998E-2</v>
      </c>
      <c r="D720" s="58">
        <v>32000</v>
      </c>
      <c r="E720" s="1" t="s">
        <v>80</v>
      </c>
      <c r="F720" s="1">
        <v>356.61</v>
      </c>
      <c r="G720" s="295">
        <v>32000</v>
      </c>
      <c r="H720" s="1">
        <f t="shared" si="11"/>
        <v>0</v>
      </c>
      <c r="I720" s="89"/>
      <c r="J720" s="454"/>
      <c r="K720" s="454"/>
      <c r="L720" s="454"/>
      <c r="M720" s="455"/>
      <c r="N720" s="43"/>
      <c r="O720" s="388"/>
      <c r="P720" s="48"/>
      <c r="Q720" s="370"/>
      <c r="R720" s="48"/>
    </row>
    <row r="721" spans="1:18" s="482" customFormat="1" ht="15" x14ac:dyDescent="0.25">
      <c r="A721" s="1"/>
      <c r="B721" s="1" t="s">
        <v>774</v>
      </c>
      <c r="C721" s="32">
        <v>5498</v>
      </c>
      <c r="D721" s="58">
        <v>24000</v>
      </c>
      <c r="E721" s="1" t="s">
        <v>80</v>
      </c>
      <c r="F721" s="1">
        <v>267.58</v>
      </c>
      <c r="G721" s="295">
        <v>24000</v>
      </c>
      <c r="H721" s="1">
        <f t="shared" si="11"/>
        <v>0</v>
      </c>
      <c r="I721" s="89"/>
      <c r="J721" s="454"/>
      <c r="K721" s="454"/>
      <c r="L721" s="454"/>
      <c r="M721" s="455"/>
      <c r="N721" s="43"/>
      <c r="O721" s="388"/>
      <c r="P721" s="48"/>
      <c r="Q721" s="370"/>
      <c r="R721" s="48"/>
    </row>
    <row r="722" spans="1:18" s="482" customFormat="1" ht="15" x14ac:dyDescent="0.25">
      <c r="A722" s="1"/>
      <c r="B722" s="1" t="s">
        <v>774</v>
      </c>
      <c r="C722" s="32" t="s">
        <v>633</v>
      </c>
      <c r="D722" s="58">
        <v>210</v>
      </c>
      <c r="E722" s="1"/>
      <c r="F722" s="1">
        <v>2.09</v>
      </c>
      <c r="G722" s="295">
        <v>210</v>
      </c>
      <c r="H722" s="1">
        <f t="shared" si="11"/>
        <v>0</v>
      </c>
      <c r="I722" s="89"/>
      <c r="J722" s="454"/>
      <c r="K722" s="454"/>
      <c r="L722" s="454"/>
      <c r="M722" s="455"/>
      <c r="N722" s="43"/>
      <c r="O722" s="388"/>
      <c r="P722" s="48"/>
      <c r="Q722" s="370"/>
      <c r="R722" s="48"/>
    </row>
    <row r="723" spans="1:18" s="482" customFormat="1" ht="15" x14ac:dyDescent="0.25">
      <c r="A723" s="1"/>
      <c r="B723" s="1" t="s">
        <v>774</v>
      </c>
      <c r="C723" s="32">
        <v>6416</v>
      </c>
      <c r="D723" s="58">
        <v>15000</v>
      </c>
      <c r="E723" s="1" t="s">
        <v>80</v>
      </c>
      <c r="F723" s="1">
        <v>167.15</v>
      </c>
      <c r="G723" s="295">
        <v>15000</v>
      </c>
      <c r="H723" s="1">
        <f t="shared" si="11"/>
        <v>0</v>
      </c>
      <c r="I723" s="89"/>
      <c r="J723" s="454"/>
      <c r="K723" s="454"/>
      <c r="L723" s="454"/>
      <c r="M723" s="455"/>
      <c r="N723" s="43"/>
      <c r="O723" s="388"/>
      <c r="P723" s="48"/>
      <c r="Q723" s="370"/>
      <c r="R723" s="48"/>
    </row>
    <row r="724" spans="1:18" s="482" customFormat="1" ht="15" x14ac:dyDescent="0.25">
      <c r="A724" s="1"/>
      <c r="B724" s="1" t="s">
        <v>774</v>
      </c>
      <c r="C724" s="32">
        <v>1393</v>
      </c>
      <c r="D724" s="58">
        <v>15000</v>
      </c>
      <c r="E724" s="1" t="s">
        <v>80</v>
      </c>
      <c r="F724" s="1">
        <v>167.15</v>
      </c>
      <c r="G724" s="295">
        <v>15000</v>
      </c>
      <c r="H724" s="1">
        <f t="shared" si="11"/>
        <v>0</v>
      </c>
      <c r="I724" s="89"/>
      <c r="J724" s="454"/>
      <c r="K724" s="454"/>
      <c r="L724" s="454"/>
      <c r="M724" s="455"/>
      <c r="N724" s="43"/>
      <c r="O724" s="388"/>
      <c r="P724" s="48"/>
      <c r="Q724" s="370"/>
      <c r="R724" s="48"/>
    </row>
    <row r="725" spans="1:18" s="482" customFormat="1" ht="15.75" thickBot="1" x14ac:dyDescent="0.3">
      <c r="A725" s="1"/>
      <c r="B725" s="1" t="s">
        <v>774</v>
      </c>
      <c r="C725" s="32">
        <v>1412</v>
      </c>
      <c r="D725" s="58">
        <v>15000</v>
      </c>
      <c r="E725" s="1" t="s">
        <v>80</v>
      </c>
      <c r="F725" s="1">
        <v>167.15</v>
      </c>
      <c r="G725" s="295">
        <v>15000</v>
      </c>
      <c r="H725" s="1">
        <f t="shared" si="11"/>
        <v>0</v>
      </c>
      <c r="I725" s="89"/>
      <c r="J725" s="454"/>
      <c r="K725" s="454"/>
      <c r="L725" s="454"/>
      <c r="M725" s="455"/>
      <c r="N725" s="43"/>
      <c r="O725" s="388"/>
      <c r="P725" s="48"/>
      <c r="Q725" s="370"/>
      <c r="R725" s="48"/>
    </row>
    <row r="726" spans="1:18" s="482" customFormat="1" ht="15.75" thickBot="1" x14ac:dyDescent="0.3">
      <c r="A726" s="1"/>
      <c r="B726" s="1" t="s">
        <v>774</v>
      </c>
      <c r="C726" s="32">
        <v>6671</v>
      </c>
      <c r="D726" s="58">
        <v>20000</v>
      </c>
      <c r="E726" s="1" t="s">
        <v>80</v>
      </c>
      <c r="F726" s="1">
        <v>222.82</v>
      </c>
      <c r="G726" s="295">
        <v>20000</v>
      </c>
      <c r="H726" s="1">
        <f t="shared" si="11"/>
        <v>0</v>
      </c>
      <c r="I726" s="89"/>
      <c r="J726" s="454"/>
      <c r="K726" s="454"/>
      <c r="L726" s="454"/>
      <c r="M726" s="455"/>
      <c r="N726" s="43"/>
      <c r="O726" s="103">
        <f>2311656-2288580</f>
        <v>23076</v>
      </c>
      <c r="P726" s="359" t="s">
        <v>776</v>
      </c>
      <c r="Q726" s="367" t="s">
        <v>620</v>
      </c>
      <c r="R726" s="360">
        <f>23076-2200</f>
        <v>20876</v>
      </c>
    </row>
    <row r="727" spans="1:18" s="484" customFormat="1" ht="15" x14ac:dyDescent="0.25">
      <c r="A727" s="1"/>
      <c r="B727" s="1" t="s">
        <v>775</v>
      </c>
      <c r="C727" s="32">
        <v>5002</v>
      </c>
      <c r="D727" s="58">
        <v>25000</v>
      </c>
      <c r="E727" s="1" t="s">
        <v>80</v>
      </c>
      <c r="F727" s="1">
        <v>278.22000000000003</v>
      </c>
      <c r="G727" s="295">
        <v>25000</v>
      </c>
      <c r="H727" s="1">
        <f t="shared" si="11"/>
        <v>0</v>
      </c>
      <c r="I727" s="89"/>
      <c r="J727" s="454"/>
      <c r="K727" s="454"/>
      <c r="L727" s="454"/>
      <c r="M727" s="455"/>
      <c r="N727" s="43"/>
      <c r="O727" s="388"/>
      <c r="P727" s="48"/>
      <c r="Q727" s="370"/>
      <c r="R727" s="48"/>
    </row>
    <row r="728" spans="1:18" s="484" customFormat="1" ht="15" x14ac:dyDescent="0.25">
      <c r="A728" s="1"/>
      <c r="B728" s="1" t="s">
        <v>775</v>
      </c>
      <c r="C728" s="32">
        <v>5995</v>
      </c>
      <c r="D728" s="58">
        <v>25000</v>
      </c>
      <c r="E728" s="1" t="s">
        <v>80</v>
      </c>
      <c r="F728" s="1">
        <v>278.22000000000003</v>
      </c>
      <c r="G728" s="295">
        <v>25000</v>
      </c>
      <c r="H728" s="1">
        <f t="shared" ref="H728:H732" si="12">D728-G728</f>
        <v>0</v>
      </c>
      <c r="I728" s="89"/>
      <c r="J728" s="454"/>
      <c r="K728" s="454"/>
      <c r="L728" s="454"/>
      <c r="M728" s="455"/>
      <c r="N728" s="43"/>
      <c r="O728" s="388"/>
      <c r="P728" s="48"/>
      <c r="Q728" s="370"/>
      <c r="R728" s="48"/>
    </row>
    <row r="729" spans="1:18" s="484" customFormat="1" ht="15" x14ac:dyDescent="0.25">
      <c r="A729" s="1"/>
      <c r="B729" s="1" t="s">
        <v>775</v>
      </c>
      <c r="C729" s="32" t="s">
        <v>30</v>
      </c>
      <c r="D729" s="58">
        <v>5000</v>
      </c>
      <c r="E729" s="1" t="s">
        <v>80</v>
      </c>
      <c r="F729" s="1">
        <v>55.45</v>
      </c>
      <c r="G729" s="295">
        <v>5000</v>
      </c>
      <c r="H729" s="1">
        <f t="shared" si="12"/>
        <v>0</v>
      </c>
      <c r="I729" s="89"/>
      <c r="J729" s="454"/>
      <c r="K729" s="454"/>
      <c r="L729" s="454"/>
      <c r="M729" s="455"/>
      <c r="N729" s="43"/>
      <c r="O729" s="388"/>
      <c r="P729" s="48"/>
      <c r="Q729" s="370"/>
      <c r="R729" s="48"/>
    </row>
    <row r="730" spans="1:18" s="484" customFormat="1" ht="15" x14ac:dyDescent="0.25">
      <c r="A730" s="1"/>
      <c r="B730" s="1" t="s">
        <v>775</v>
      </c>
      <c r="C730" s="32">
        <v>1603</v>
      </c>
      <c r="D730" s="58">
        <v>16000</v>
      </c>
      <c r="E730" s="1" t="s">
        <v>80</v>
      </c>
      <c r="F730" s="1">
        <v>178.22</v>
      </c>
      <c r="G730" s="295">
        <v>16000</v>
      </c>
      <c r="H730" s="1">
        <f t="shared" si="12"/>
        <v>0</v>
      </c>
      <c r="I730" s="89"/>
      <c r="J730" s="454"/>
      <c r="K730" s="454"/>
      <c r="L730" s="454"/>
      <c r="M730" s="455"/>
      <c r="N730" s="43"/>
      <c r="O730" s="388"/>
      <c r="P730" s="48"/>
      <c r="Q730" s="370"/>
      <c r="R730" s="48"/>
    </row>
    <row r="731" spans="1:18" s="484" customFormat="1" ht="15.75" thickBot="1" x14ac:dyDescent="0.3">
      <c r="A731" s="1"/>
      <c r="B731" s="1" t="s">
        <v>775</v>
      </c>
      <c r="C731" s="32">
        <v>3651</v>
      </c>
      <c r="D731" s="58">
        <v>22000</v>
      </c>
      <c r="E731" s="1" t="s">
        <v>80</v>
      </c>
      <c r="F731" s="1">
        <v>245.87</v>
      </c>
      <c r="G731" s="295">
        <v>22000</v>
      </c>
      <c r="H731" s="1">
        <f t="shared" si="12"/>
        <v>0</v>
      </c>
      <c r="I731" s="89"/>
      <c r="J731" s="454"/>
      <c r="K731" s="454"/>
      <c r="L731" s="454"/>
      <c r="M731" s="455"/>
      <c r="N731" s="43"/>
      <c r="O731" s="388"/>
      <c r="P731" s="48"/>
      <c r="Q731" s="370"/>
      <c r="R731" s="48"/>
    </row>
    <row r="732" spans="1:18" s="484" customFormat="1" ht="15.75" thickBot="1" x14ac:dyDescent="0.3">
      <c r="A732" s="1"/>
      <c r="B732" s="1" t="s">
        <v>775</v>
      </c>
      <c r="C732" s="32">
        <v>4579</v>
      </c>
      <c r="D732" s="58">
        <v>17000</v>
      </c>
      <c r="E732" s="1" t="s">
        <v>80</v>
      </c>
      <c r="F732" s="1">
        <v>189.47</v>
      </c>
      <c r="G732" s="295">
        <v>17000</v>
      </c>
      <c r="H732" s="1">
        <f t="shared" si="12"/>
        <v>0</v>
      </c>
      <c r="I732" s="89"/>
      <c r="J732" s="454"/>
      <c r="K732" s="454"/>
      <c r="L732" s="454"/>
      <c r="M732" s="455"/>
      <c r="N732" s="43"/>
      <c r="O732" s="103">
        <f>2421656-2398580</f>
        <v>23076</v>
      </c>
      <c r="P732" s="359" t="s">
        <v>776</v>
      </c>
      <c r="Q732" s="367" t="s">
        <v>620</v>
      </c>
      <c r="R732" s="360">
        <f>23076-2200</f>
        <v>20876</v>
      </c>
    </row>
    <row r="733" spans="1:18" ht="15" x14ac:dyDescent="0.25">
      <c r="A733" s="1"/>
      <c r="B733" s="1"/>
      <c r="C733" s="20" t="s">
        <v>9</v>
      </c>
      <c r="D733" s="21">
        <f>SUM(D5:D732)</f>
        <v>15024780</v>
      </c>
      <c r="E733" s="22"/>
      <c r="F733" s="23">
        <f>SUM(F6:F732)</f>
        <v>138301.80000000034</v>
      </c>
      <c r="G733" s="21">
        <f>SUM(G5:G732)</f>
        <v>15024780</v>
      </c>
      <c r="H733" s="22"/>
      <c r="I733" s="24">
        <f>SUM(I2:I55)</f>
        <v>12606200</v>
      </c>
    </row>
    <row r="734" spans="1:18" ht="15" x14ac:dyDescent="0.25">
      <c r="A734" s="1"/>
      <c r="B734" s="1"/>
      <c r="C734" s="20" t="s">
        <v>10</v>
      </c>
      <c r="D734" s="25">
        <f>SUM(D733-I733)</f>
        <v>2418580</v>
      </c>
      <c r="E734" s="22"/>
      <c r="F734" s="22"/>
      <c r="G734" s="26" t="s">
        <v>10</v>
      </c>
      <c r="H734" s="25">
        <f>SUM(G733-I733)</f>
        <v>2418580</v>
      </c>
      <c r="I734" s="25"/>
    </row>
    <row r="736" spans="1:18" ht="15" thickBot="1" x14ac:dyDescent="0.25"/>
    <row r="737" spans="3:9" ht="15" x14ac:dyDescent="0.25">
      <c r="C737" s="199"/>
      <c r="D737" s="197" t="s">
        <v>778</v>
      </c>
      <c r="E737" s="179"/>
      <c r="F737" s="179"/>
      <c r="G737" s="179"/>
      <c r="H737" s="75"/>
      <c r="I737" s="76"/>
    </row>
    <row r="738" spans="3:9" ht="15.75" thickBot="1" x14ac:dyDescent="0.3">
      <c r="C738" s="200" t="s">
        <v>423</v>
      </c>
      <c r="D738" s="198"/>
      <c r="E738" s="181"/>
      <c r="F738" s="181" t="s">
        <v>186</v>
      </c>
      <c r="G738" s="181"/>
      <c r="H738" s="183"/>
      <c r="I738" s="184"/>
    </row>
    <row r="739" spans="3:9" ht="15" x14ac:dyDescent="0.25">
      <c r="C739" s="91" t="s">
        <v>184</v>
      </c>
      <c r="D739" s="90">
        <v>15024780</v>
      </c>
      <c r="E739" s="90"/>
      <c r="F739" s="90" t="s">
        <v>187</v>
      </c>
      <c r="G739" s="90">
        <v>15053839</v>
      </c>
      <c r="H739" s="90" t="s">
        <v>364</v>
      </c>
      <c r="I739" s="187">
        <f>15053839-15004780</f>
        <v>49059</v>
      </c>
    </row>
    <row r="740" spans="3:9" ht="15" x14ac:dyDescent="0.25">
      <c r="C740" s="93" t="s">
        <v>143</v>
      </c>
      <c r="D740" s="42">
        <v>12606200</v>
      </c>
      <c r="E740" s="42"/>
      <c r="F740" s="42" t="s">
        <v>191</v>
      </c>
      <c r="G740" s="42">
        <v>12632183</v>
      </c>
      <c r="H740" s="42" t="s">
        <v>365</v>
      </c>
      <c r="I740" s="188">
        <f>12632183-12606200</f>
        <v>25983</v>
      </c>
    </row>
    <row r="741" spans="3:9" ht="18.75" x14ac:dyDescent="0.3">
      <c r="C741" s="189" t="s">
        <v>95</v>
      </c>
      <c r="D741" s="89">
        <f>15024780-12606200</f>
        <v>2418580</v>
      </c>
      <c r="E741" s="89"/>
      <c r="F741" s="89" t="s">
        <v>95</v>
      </c>
      <c r="G741" s="89">
        <f>15053839-12632183</f>
        <v>2421656</v>
      </c>
      <c r="H741" s="89" t="s">
        <v>390</v>
      </c>
      <c r="I741" s="201">
        <f>2421656-2418580</f>
        <v>3076</v>
      </c>
    </row>
    <row r="742" spans="3:9" ht="19.5" thickBot="1" x14ac:dyDescent="0.35">
      <c r="C742" s="202"/>
      <c r="D742" s="203"/>
      <c r="E742" s="203"/>
      <c r="F742" s="204"/>
      <c r="G742" s="204"/>
      <c r="H742" s="204" t="s">
        <v>421</v>
      </c>
      <c r="I742" s="205">
        <v>2200</v>
      </c>
    </row>
    <row r="743" spans="3:9" ht="18.75" thickBot="1" x14ac:dyDescent="0.3">
      <c r="C743" s="206"/>
      <c r="D743" s="207"/>
      <c r="E743" s="207"/>
      <c r="F743" s="208" t="s">
        <v>192</v>
      </c>
      <c r="G743" s="208"/>
      <c r="H743" s="208"/>
      <c r="I743" s="209">
        <f>3076-2200</f>
        <v>876</v>
      </c>
    </row>
    <row r="748" spans="3:9" x14ac:dyDescent="0.2">
      <c r="H748" s="471"/>
      <c r="I748" s="47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988"/>
  <sheetViews>
    <sheetView topLeftCell="B501" workbookViewId="0">
      <selection activeCell="C526" sqref="C526"/>
    </sheetView>
  </sheetViews>
  <sheetFormatPr defaultRowHeight="15" x14ac:dyDescent="0.25"/>
  <cols>
    <col min="1" max="1" width="4.375" style="398" customWidth="1"/>
    <col min="2" max="2" width="9" style="398"/>
    <col min="3" max="3" width="13.625" style="398" customWidth="1"/>
    <col min="4" max="4" width="13.75" style="398" customWidth="1"/>
    <col min="5" max="5" width="9" style="398" customWidth="1"/>
    <col min="6" max="6" width="10.875" style="398" bestFit="1" customWidth="1"/>
    <col min="7" max="7" width="14.25" style="398" customWidth="1"/>
    <col min="8" max="8" width="13.875" style="398" customWidth="1"/>
    <col min="9" max="9" width="13.375" style="398" bestFit="1" customWidth="1"/>
    <col min="10" max="10" width="9" style="398"/>
    <col min="11" max="11" width="16" style="398" customWidth="1"/>
    <col min="12" max="12" width="10.625" style="398" customWidth="1"/>
    <col min="13" max="13" width="9" style="398"/>
    <col min="14" max="14" width="12.25" style="398" bestFit="1" customWidth="1"/>
    <col min="15" max="15" width="9" style="398"/>
    <col min="16" max="16" width="10.875" style="398" bestFit="1" customWidth="1"/>
    <col min="17" max="16384" width="9" style="398"/>
  </cols>
  <sheetData>
    <row r="2" spans="1:32" ht="21" x14ac:dyDescent="0.35">
      <c r="A2" s="510" t="s">
        <v>75</v>
      </c>
      <c r="B2" s="510"/>
      <c r="C2" s="510"/>
      <c r="D2" s="419" t="s">
        <v>772</v>
      </c>
      <c r="E2" s="419"/>
      <c r="F2" s="419"/>
      <c r="G2" s="419"/>
      <c r="H2" s="510"/>
      <c r="I2" s="510"/>
      <c r="J2" s="510"/>
    </row>
    <row r="3" spans="1:32" ht="18" x14ac:dyDescent="0.25">
      <c r="A3" s="510"/>
      <c r="B3" s="510"/>
      <c r="C3" s="510"/>
      <c r="D3" s="511"/>
      <c r="E3" s="421" t="s">
        <v>815</v>
      </c>
      <c r="F3" s="512"/>
      <c r="G3" s="512"/>
      <c r="H3" s="510"/>
      <c r="I3" s="510"/>
      <c r="J3" s="510"/>
    </row>
    <row r="4" spans="1:32" ht="15.75" x14ac:dyDescent="0.25">
      <c r="A4" s="30" t="s">
        <v>1</v>
      </c>
      <c r="B4" s="30" t="s">
        <v>2</v>
      </c>
      <c r="C4" s="30" t="s">
        <v>97</v>
      </c>
      <c r="D4" s="30" t="s">
        <v>4</v>
      </c>
      <c r="E4" s="110" t="s">
        <v>770</v>
      </c>
      <c r="F4" s="30" t="s">
        <v>5</v>
      </c>
      <c r="G4" s="30" t="s">
        <v>4</v>
      </c>
      <c r="H4" s="30" t="s">
        <v>98</v>
      </c>
      <c r="I4" s="417" t="s">
        <v>8</v>
      </c>
      <c r="J4" s="417" t="s">
        <v>2</v>
      </c>
      <c r="S4" s="526"/>
      <c r="T4" s="526"/>
      <c r="U4" s="526"/>
      <c r="V4" s="526"/>
      <c r="W4" s="526"/>
      <c r="X4" s="526"/>
      <c r="Y4" s="526"/>
      <c r="Z4" s="526"/>
      <c r="AA4" s="526"/>
      <c r="AB4" s="526"/>
      <c r="AC4" s="526"/>
      <c r="AD4" s="526"/>
      <c r="AE4" s="526"/>
      <c r="AF4" s="526"/>
    </row>
    <row r="5" spans="1:32" ht="15.75" x14ac:dyDescent="0.25">
      <c r="A5" s="42"/>
      <c r="B5" s="108" t="s">
        <v>721</v>
      </c>
      <c r="C5" s="162" t="s">
        <v>374</v>
      </c>
      <c r="D5" s="210">
        <v>2418580</v>
      </c>
      <c r="E5" s="162"/>
      <c r="F5" s="162"/>
      <c r="G5" s="210">
        <v>2418580</v>
      </c>
      <c r="H5" s="30"/>
      <c r="I5" s="107"/>
      <c r="J5" s="451"/>
      <c r="S5" s="526"/>
      <c r="T5" s="526"/>
      <c r="U5" s="526"/>
      <c r="V5" s="526"/>
      <c r="W5" s="526"/>
      <c r="X5" s="526"/>
      <c r="Y5" s="526"/>
      <c r="Z5" s="526"/>
      <c r="AA5" s="526"/>
      <c r="AB5" s="526"/>
      <c r="AC5" s="526"/>
      <c r="AD5" s="526"/>
      <c r="AE5" s="526"/>
      <c r="AF5" s="526"/>
    </row>
    <row r="6" spans="1:32" ht="15.75" x14ac:dyDescent="0.25">
      <c r="A6" s="42">
        <v>1</v>
      </c>
      <c r="B6" s="89" t="s">
        <v>740</v>
      </c>
      <c r="C6" s="491" t="s">
        <v>784</v>
      </c>
      <c r="D6" s="490">
        <v>9888</v>
      </c>
      <c r="E6" s="89"/>
      <c r="F6" s="89"/>
      <c r="G6" s="492">
        <v>9888</v>
      </c>
      <c r="H6" s="42"/>
      <c r="I6" s="509">
        <v>200000</v>
      </c>
      <c r="J6" s="454" t="s">
        <v>775</v>
      </c>
      <c r="K6" s="454" t="s">
        <v>482</v>
      </c>
      <c r="L6" s="454"/>
      <c r="M6" s="454"/>
      <c r="N6" s="493"/>
      <c r="S6" s="526"/>
      <c r="T6" s="526"/>
      <c r="U6" s="526"/>
      <c r="V6" s="526"/>
      <c r="W6" s="526"/>
      <c r="X6" s="526"/>
      <c r="Y6" s="526"/>
      <c r="Z6" s="526"/>
      <c r="AA6" s="526"/>
      <c r="AB6" s="526"/>
      <c r="AC6" s="526"/>
      <c r="AD6" s="526"/>
      <c r="AE6" s="526"/>
      <c r="AF6" s="526"/>
    </row>
    <row r="7" spans="1:32" ht="15.75" x14ac:dyDescent="0.25">
      <c r="A7" s="42">
        <v>2</v>
      </c>
      <c r="B7" s="42" t="s">
        <v>777</v>
      </c>
      <c r="C7" s="87">
        <v>1491</v>
      </c>
      <c r="D7" s="476">
        <v>14000</v>
      </c>
      <c r="E7" s="42" t="s">
        <v>80</v>
      </c>
      <c r="F7" s="42">
        <v>155.13999999999999</v>
      </c>
      <c r="G7" s="42">
        <v>14000</v>
      </c>
      <c r="H7" s="42">
        <v>0</v>
      </c>
      <c r="I7" s="509">
        <v>300000</v>
      </c>
      <c r="J7" s="454" t="s">
        <v>777</v>
      </c>
      <c r="K7" s="204" t="s">
        <v>482</v>
      </c>
      <c r="L7" s="204"/>
      <c r="M7" s="204"/>
      <c r="N7" s="30"/>
      <c r="S7" s="526"/>
      <c r="T7" s="526"/>
      <c r="U7" s="526"/>
      <c r="V7" s="526"/>
      <c r="W7" s="526"/>
      <c r="X7" s="526"/>
      <c r="Y7" s="526"/>
      <c r="Z7" s="526"/>
      <c r="AA7" s="526"/>
      <c r="AB7" s="526"/>
      <c r="AC7" s="526"/>
      <c r="AD7" s="526"/>
      <c r="AE7" s="526"/>
      <c r="AF7" s="526"/>
    </row>
    <row r="8" spans="1:32" ht="15.75" x14ac:dyDescent="0.25">
      <c r="A8" s="42">
        <v>3</v>
      </c>
      <c r="B8" s="42" t="s">
        <v>777</v>
      </c>
      <c r="C8" s="87">
        <v>4077</v>
      </c>
      <c r="D8" s="476">
        <v>12000</v>
      </c>
      <c r="E8" s="42" t="s">
        <v>80</v>
      </c>
      <c r="F8" s="42">
        <v>133.41999999999999</v>
      </c>
      <c r="G8" s="42">
        <v>12000</v>
      </c>
      <c r="H8" s="42">
        <v>0</v>
      </c>
      <c r="I8" s="509">
        <v>700000</v>
      </c>
      <c r="J8" s="454" t="s">
        <v>779</v>
      </c>
      <c r="K8" s="204" t="s">
        <v>482</v>
      </c>
      <c r="L8" s="204"/>
      <c r="M8" s="204"/>
      <c r="N8" s="30"/>
      <c r="S8" s="526"/>
      <c r="T8" s="526"/>
      <c r="U8" s="526"/>
      <c r="V8" s="526"/>
      <c r="W8" s="526"/>
      <c r="X8" s="526"/>
      <c r="Y8" s="526"/>
      <c r="Z8" s="526"/>
      <c r="AA8" s="526"/>
      <c r="AB8" s="526"/>
      <c r="AC8" s="526"/>
      <c r="AD8" s="526"/>
      <c r="AE8" s="526"/>
      <c r="AF8" s="526"/>
    </row>
    <row r="9" spans="1:32" ht="15.75" x14ac:dyDescent="0.25">
      <c r="A9" s="42">
        <v>4</v>
      </c>
      <c r="B9" s="42" t="s">
        <v>777</v>
      </c>
      <c r="C9" s="87">
        <v>4067</v>
      </c>
      <c r="D9" s="476">
        <v>12000</v>
      </c>
      <c r="E9" s="42" t="s">
        <v>80</v>
      </c>
      <c r="F9" s="42">
        <v>133.41999999999999</v>
      </c>
      <c r="G9" s="42">
        <v>12000</v>
      </c>
      <c r="H9" s="42">
        <v>0</v>
      </c>
      <c r="I9" s="509">
        <v>800000</v>
      </c>
      <c r="J9" s="454" t="s">
        <v>780</v>
      </c>
      <c r="K9" s="204" t="s">
        <v>482</v>
      </c>
      <c r="L9" s="204"/>
      <c r="M9" s="204"/>
      <c r="N9" s="30"/>
      <c r="S9" s="526"/>
      <c r="T9" s="526"/>
      <c r="U9" s="526"/>
      <c r="V9" s="526"/>
      <c r="W9" s="526"/>
      <c r="X9" s="526"/>
      <c r="Y9" s="526"/>
      <c r="Z9" s="526"/>
      <c r="AA9" s="526"/>
      <c r="AB9" s="526"/>
      <c r="AC9" s="526"/>
      <c r="AD9" s="526"/>
      <c r="AE9" s="526"/>
      <c r="AF9" s="526"/>
    </row>
    <row r="10" spans="1:32" ht="15.75" x14ac:dyDescent="0.25">
      <c r="A10" s="42">
        <v>5</v>
      </c>
      <c r="B10" s="42" t="s">
        <v>777</v>
      </c>
      <c r="C10" s="87">
        <v>3587</v>
      </c>
      <c r="D10" s="476">
        <v>12000</v>
      </c>
      <c r="E10" s="42" t="s">
        <v>80</v>
      </c>
      <c r="F10" s="42">
        <v>133.41999999999999</v>
      </c>
      <c r="G10" s="42">
        <v>12000</v>
      </c>
      <c r="H10" s="42">
        <v>0</v>
      </c>
      <c r="I10" s="509">
        <v>600000</v>
      </c>
      <c r="J10" s="454" t="s">
        <v>781</v>
      </c>
      <c r="K10" s="204" t="s">
        <v>482</v>
      </c>
      <c r="L10" s="204"/>
      <c r="M10" s="204"/>
      <c r="N10" s="30"/>
      <c r="S10" s="526"/>
      <c r="T10" s="526"/>
      <c r="U10" s="526"/>
      <c r="V10" s="526"/>
      <c r="W10" s="526"/>
      <c r="X10" s="526"/>
      <c r="Y10" s="526"/>
      <c r="Z10" s="526"/>
      <c r="AA10" s="526"/>
      <c r="AB10" s="526"/>
      <c r="AC10" s="526"/>
      <c r="AD10" s="526"/>
      <c r="AE10" s="526"/>
      <c r="AF10" s="526"/>
    </row>
    <row r="11" spans="1:32" ht="15.75" x14ac:dyDescent="0.25">
      <c r="A11" s="42">
        <v>6</v>
      </c>
      <c r="B11" s="42" t="s">
        <v>777</v>
      </c>
      <c r="C11" s="87">
        <v>3665</v>
      </c>
      <c r="D11" s="476">
        <v>12000</v>
      </c>
      <c r="E11" s="42" t="s">
        <v>80</v>
      </c>
      <c r="F11" s="42">
        <v>133.41999999999999</v>
      </c>
      <c r="G11" s="42">
        <v>12000</v>
      </c>
      <c r="H11" s="42">
        <v>0</v>
      </c>
      <c r="I11" s="509">
        <v>700000</v>
      </c>
      <c r="J11" s="454" t="s">
        <v>782</v>
      </c>
      <c r="K11" s="204" t="s">
        <v>482</v>
      </c>
      <c r="L11" s="204"/>
      <c r="M11" s="204"/>
      <c r="N11" s="30"/>
      <c r="S11" s="526"/>
      <c r="T11" s="526"/>
      <c r="U11" s="526"/>
      <c r="V11" s="526"/>
      <c r="W11" s="526"/>
      <c r="X11" s="526"/>
      <c r="Y11" s="526"/>
      <c r="Z11" s="526"/>
      <c r="AA11" s="526"/>
      <c r="AB11" s="526"/>
      <c r="AC11" s="526"/>
      <c r="AD11" s="526"/>
      <c r="AE11" s="526"/>
      <c r="AF11" s="526"/>
    </row>
    <row r="12" spans="1:32" ht="15.75" x14ac:dyDescent="0.25">
      <c r="A12" s="42">
        <v>7</v>
      </c>
      <c r="B12" s="42" t="s">
        <v>777</v>
      </c>
      <c r="C12" s="87">
        <v>7840</v>
      </c>
      <c r="D12" s="476">
        <v>27000</v>
      </c>
      <c r="E12" s="42" t="s">
        <v>80</v>
      </c>
      <c r="F12" s="42">
        <v>300.85000000000002</v>
      </c>
      <c r="G12" s="42">
        <v>27000</v>
      </c>
      <c r="H12" s="42">
        <v>0</v>
      </c>
      <c r="I12" s="509">
        <v>500000</v>
      </c>
      <c r="J12" s="454" t="s">
        <v>785</v>
      </c>
      <c r="K12" s="204" t="s">
        <v>482</v>
      </c>
      <c r="L12" s="204"/>
      <c r="M12" s="204"/>
      <c r="N12" s="30"/>
      <c r="S12" s="526"/>
      <c r="T12" s="526"/>
      <c r="U12" s="526"/>
      <c r="V12" s="526"/>
      <c r="W12" s="526"/>
      <c r="X12" s="526"/>
      <c r="Y12" s="526"/>
      <c r="Z12" s="526"/>
      <c r="AA12" s="526"/>
      <c r="AB12" s="526"/>
      <c r="AC12" s="526"/>
      <c r="AD12" s="526"/>
      <c r="AE12" s="526"/>
      <c r="AF12" s="526"/>
    </row>
    <row r="13" spans="1:32" ht="15.75" x14ac:dyDescent="0.25">
      <c r="A13" s="42">
        <v>8</v>
      </c>
      <c r="B13" s="42" t="s">
        <v>777</v>
      </c>
      <c r="C13" s="87">
        <v>9837</v>
      </c>
      <c r="D13" s="476">
        <v>27000</v>
      </c>
      <c r="E13" s="42" t="s">
        <v>80</v>
      </c>
      <c r="F13" s="42">
        <v>300.85000000000002</v>
      </c>
      <c r="G13" s="42">
        <v>27000</v>
      </c>
      <c r="H13" s="42">
        <v>0</v>
      </c>
      <c r="I13" s="509">
        <v>300000</v>
      </c>
      <c r="J13" s="454" t="s">
        <v>786</v>
      </c>
      <c r="K13" s="204" t="s">
        <v>482</v>
      </c>
      <c r="L13" s="204"/>
      <c r="M13" s="204"/>
      <c r="N13" s="30"/>
      <c r="S13" s="526"/>
      <c r="T13" s="526"/>
      <c r="U13" s="526"/>
      <c r="V13" s="526"/>
      <c r="W13" s="526"/>
      <c r="X13" s="526"/>
      <c r="Y13" s="526"/>
      <c r="Z13" s="526"/>
      <c r="AA13" s="526"/>
      <c r="AB13" s="526"/>
      <c r="AC13" s="526"/>
      <c r="AD13" s="526"/>
      <c r="AE13" s="526"/>
      <c r="AF13" s="526"/>
    </row>
    <row r="14" spans="1:32" ht="15.75" x14ac:dyDescent="0.25">
      <c r="A14" s="42">
        <v>9</v>
      </c>
      <c r="B14" s="42" t="s">
        <v>777</v>
      </c>
      <c r="C14" s="87">
        <v>3686</v>
      </c>
      <c r="D14" s="476">
        <v>27000</v>
      </c>
      <c r="E14" s="42" t="s">
        <v>80</v>
      </c>
      <c r="F14" s="42">
        <v>300.85000000000002</v>
      </c>
      <c r="G14" s="42">
        <v>27000</v>
      </c>
      <c r="H14" s="42">
        <v>0</v>
      </c>
      <c r="I14" s="217">
        <v>100000</v>
      </c>
      <c r="J14" s="219" t="s">
        <v>787</v>
      </c>
      <c r="K14" s="219" t="s">
        <v>751</v>
      </c>
      <c r="L14" s="219"/>
      <c r="M14" s="219"/>
      <c r="N14" s="219"/>
      <c r="O14" s="218" t="s">
        <v>787</v>
      </c>
      <c r="S14" s="526"/>
      <c r="T14" s="526"/>
      <c r="U14" s="526"/>
      <c r="V14" s="526"/>
      <c r="W14" s="526"/>
      <c r="X14" s="526"/>
      <c r="Y14" s="526"/>
      <c r="Z14" s="526"/>
      <c r="AA14" s="526"/>
      <c r="AB14" s="526"/>
      <c r="AC14" s="526"/>
      <c r="AD14" s="526"/>
      <c r="AE14" s="526"/>
      <c r="AF14" s="526"/>
    </row>
    <row r="15" spans="1:32" ht="15.75" x14ac:dyDescent="0.25">
      <c r="A15" s="42">
        <v>10</v>
      </c>
      <c r="B15" s="42" t="s">
        <v>777</v>
      </c>
      <c r="C15" s="87" t="s">
        <v>735</v>
      </c>
      <c r="D15" s="476">
        <v>3000</v>
      </c>
      <c r="E15" s="42" t="s">
        <v>80</v>
      </c>
      <c r="F15" s="42">
        <v>33.450000000000003</v>
      </c>
      <c r="G15" s="42">
        <v>3000</v>
      </c>
      <c r="H15" s="42">
        <v>0</v>
      </c>
      <c r="I15" s="509">
        <v>500000</v>
      </c>
      <c r="J15" s="204" t="s">
        <v>787</v>
      </c>
      <c r="K15" s="454" t="s">
        <v>482</v>
      </c>
      <c r="L15" s="454"/>
      <c r="M15" s="454"/>
      <c r="N15" s="493"/>
      <c r="S15" s="526"/>
      <c r="T15" s="526"/>
      <c r="U15" s="526"/>
      <c r="V15" s="526"/>
      <c r="W15" s="526"/>
      <c r="X15" s="526"/>
      <c r="Y15" s="526"/>
      <c r="Z15" s="526"/>
      <c r="AA15" s="526"/>
      <c r="AB15" s="526"/>
      <c r="AC15" s="526"/>
      <c r="AD15" s="526"/>
      <c r="AE15" s="526"/>
      <c r="AF15" s="526"/>
    </row>
    <row r="16" spans="1:32" ht="15.75" x14ac:dyDescent="0.25">
      <c r="A16" s="42">
        <v>11</v>
      </c>
      <c r="B16" s="42" t="s">
        <v>777</v>
      </c>
      <c r="C16" s="476">
        <v>1307</v>
      </c>
      <c r="D16" s="476">
        <v>17000</v>
      </c>
      <c r="E16" s="42" t="s">
        <v>80</v>
      </c>
      <c r="F16" s="42">
        <v>189.69</v>
      </c>
      <c r="G16" s="42">
        <v>17000</v>
      </c>
      <c r="H16" s="42">
        <v>0</v>
      </c>
      <c r="I16" s="509">
        <v>500000</v>
      </c>
      <c r="J16" s="454" t="s">
        <v>788</v>
      </c>
      <c r="K16" s="454" t="s">
        <v>482</v>
      </c>
      <c r="L16" s="454"/>
      <c r="M16" s="454"/>
      <c r="N16" s="493"/>
      <c r="S16" s="526"/>
      <c r="T16" s="526"/>
      <c r="U16" s="526"/>
      <c r="V16" s="526"/>
      <c r="W16" s="526"/>
      <c r="X16" s="526"/>
      <c r="Y16" s="526"/>
      <c r="Z16" s="526"/>
      <c r="AA16" s="526"/>
      <c r="AB16" s="526"/>
      <c r="AC16" s="526"/>
      <c r="AD16" s="526"/>
      <c r="AE16" s="526"/>
      <c r="AF16" s="526"/>
    </row>
    <row r="17" spans="1:32" ht="15.75" x14ac:dyDescent="0.25">
      <c r="A17" s="42">
        <v>12</v>
      </c>
      <c r="B17" s="42" t="s">
        <v>777</v>
      </c>
      <c r="C17" s="87">
        <v>6957</v>
      </c>
      <c r="D17" s="476">
        <v>20000</v>
      </c>
      <c r="E17" s="42" t="s">
        <v>80</v>
      </c>
      <c r="F17" s="42">
        <v>222.82</v>
      </c>
      <c r="G17" s="42">
        <v>20000</v>
      </c>
      <c r="H17" s="42">
        <v>0</v>
      </c>
      <c r="I17" s="509">
        <v>500000</v>
      </c>
      <c r="J17" s="89" t="s">
        <v>789</v>
      </c>
      <c r="K17" s="204" t="s">
        <v>482</v>
      </c>
      <c r="L17" s="204"/>
      <c r="M17" s="204"/>
      <c r="N17" s="30"/>
      <c r="S17" s="526"/>
      <c r="T17" s="526"/>
      <c r="U17" s="526"/>
      <c r="V17" s="526"/>
      <c r="W17" s="526"/>
      <c r="X17" s="526"/>
      <c r="Y17" s="526"/>
      <c r="Z17" s="526"/>
      <c r="AA17" s="526"/>
      <c r="AB17" s="526"/>
      <c r="AC17" s="526"/>
      <c r="AD17" s="526"/>
      <c r="AE17" s="526"/>
      <c r="AF17" s="526"/>
    </row>
    <row r="18" spans="1:32" ht="15.75" x14ac:dyDescent="0.25">
      <c r="A18" s="42">
        <v>13</v>
      </c>
      <c r="B18" s="42" t="s">
        <v>777</v>
      </c>
      <c r="C18" s="87">
        <v>3662</v>
      </c>
      <c r="D18" s="476">
        <v>22000</v>
      </c>
      <c r="E18" s="42" t="s">
        <v>80</v>
      </c>
      <c r="F18" s="42">
        <v>222.82</v>
      </c>
      <c r="G18" s="42">
        <v>22000</v>
      </c>
      <c r="H18" s="42">
        <v>0</v>
      </c>
      <c r="I18" s="509">
        <v>200000</v>
      </c>
      <c r="J18" s="89" t="s">
        <v>790</v>
      </c>
      <c r="K18" s="204" t="s">
        <v>482</v>
      </c>
      <c r="L18" s="204"/>
      <c r="M18" s="204"/>
      <c r="N18" s="30"/>
      <c r="S18" s="526"/>
      <c r="T18" s="526"/>
      <c r="U18" s="526"/>
      <c r="V18" s="526"/>
      <c r="W18" s="526"/>
      <c r="X18" s="526"/>
      <c r="Y18" s="526"/>
      <c r="Z18" s="526"/>
      <c r="AA18" s="526"/>
      <c r="AB18" s="526"/>
      <c r="AC18" s="526"/>
      <c r="AD18" s="526"/>
      <c r="AE18" s="526"/>
      <c r="AF18" s="526"/>
    </row>
    <row r="19" spans="1:32" ht="15.75" x14ac:dyDescent="0.25">
      <c r="A19" s="42">
        <v>14</v>
      </c>
      <c r="B19" s="42" t="s">
        <v>777</v>
      </c>
      <c r="C19" s="87" t="s">
        <v>30</v>
      </c>
      <c r="D19" s="476">
        <v>4500</v>
      </c>
      <c r="E19" s="42" t="s">
        <v>80</v>
      </c>
      <c r="F19" s="42">
        <v>50.45</v>
      </c>
      <c r="G19" s="42">
        <v>4500</v>
      </c>
      <c r="H19" s="42">
        <v>0</v>
      </c>
      <c r="I19" s="509">
        <v>700000</v>
      </c>
      <c r="J19" s="89" t="s">
        <v>792</v>
      </c>
      <c r="K19" s="89" t="s">
        <v>725</v>
      </c>
      <c r="L19" s="89"/>
      <c r="M19" s="89"/>
      <c r="N19" s="30"/>
      <c r="S19" s="526"/>
      <c r="T19" s="526"/>
      <c r="U19" s="526"/>
      <c r="V19" s="526"/>
      <c r="W19" s="526"/>
      <c r="X19" s="526"/>
      <c r="Y19" s="526"/>
      <c r="Z19" s="526"/>
      <c r="AA19" s="526"/>
      <c r="AB19" s="526"/>
      <c r="AC19" s="526"/>
      <c r="AD19" s="526"/>
      <c r="AE19" s="526"/>
      <c r="AF19" s="526"/>
    </row>
    <row r="20" spans="1:32" ht="15.75" x14ac:dyDescent="0.25">
      <c r="A20" s="42">
        <v>15</v>
      </c>
      <c r="B20" s="42" t="s">
        <v>777</v>
      </c>
      <c r="C20" s="87">
        <v>3342</v>
      </c>
      <c r="D20" s="476">
        <v>13000</v>
      </c>
      <c r="E20" s="42" t="s">
        <v>80</v>
      </c>
      <c r="F20" s="42">
        <v>144.13</v>
      </c>
      <c r="G20" s="42">
        <v>13000</v>
      </c>
      <c r="H20" s="42">
        <v>0</v>
      </c>
      <c r="I20" s="509">
        <v>1000000</v>
      </c>
      <c r="J20" s="89" t="s">
        <v>794</v>
      </c>
      <c r="K20" s="204" t="s">
        <v>482</v>
      </c>
      <c r="L20" s="204"/>
      <c r="M20" s="204"/>
      <c r="N20" s="30"/>
      <c r="S20" s="526"/>
      <c r="T20" s="526"/>
      <c r="U20" s="526"/>
      <c r="V20" s="526"/>
      <c r="W20" s="526"/>
      <c r="X20" s="526"/>
      <c r="Y20" s="526"/>
      <c r="Z20" s="526"/>
      <c r="AA20" s="526"/>
      <c r="AB20" s="526"/>
      <c r="AC20" s="526"/>
      <c r="AD20" s="526"/>
      <c r="AE20" s="526"/>
      <c r="AF20" s="526"/>
    </row>
    <row r="21" spans="1:32" ht="15.75" x14ac:dyDescent="0.25">
      <c r="A21" s="42">
        <v>16</v>
      </c>
      <c r="B21" s="42" t="s">
        <v>777</v>
      </c>
      <c r="C21" s="87">
        <v>6092</v>
      </c>
      <c r="D21" s="476">
        <v>16000</v>
      </c>
      <c r="E21" s="42" t="s">
        <v>80</v>
      </c>
      <c r="F21" s="42">
        <v>178.22</v>
      </c>
      <c r="G21" s="42">
        <v>16000</v>
      </c>
      <c r="H21" s="42">
        <v>0</v>
      </c>
      <c r="I21" s="509">
        <v>700000</v>
      </c>
      <c r="J21" s="89" t="s">
        <v>796</v>
      </c>
      <c r="K21" s="204" t="s">
        <v>482</v>
      </c>
      <c r="L21" s="204"/>
      <c r="M21" s="204"/>
      <c r="N21" s="30"/>
      <c r="S21" s="526"/>
      <c r="T21" s="526"/>
      <c r="U21" s="526"/>
      <c r="V21" s="526"/>
      <c r="W21" s="526"/>
      <c r="X21" s="526"/>
      <c r="Y21" s="526"/>
      <c r="Z21" s="526"/>
      <c r="AA21" s="526"/>
      <c r="AB21" s="526"/>
      <c r="AC21" s="526"/>
      <c r="AD21" s="526"/>
      <c r="AE21" s="526"/>
      <c r="AF21" s="526"/>
    </row>
    <row r="22" spans="1:32" ht="15.75" x14ac:dyDescent="0.25">
      <c r="A22" s="42">
        <v>17</v>
      </c>
      <c r="B22" s="42" t="s">
        <v>777</v>
      </c>
      <c r="C22" s="87">
        <v>8549</v>
      </c>
      <c r="D22" s="476">
        <v>5000</v>
      </c>
      <c r="E22" s="42" t="s">
        <v>80</v>
      </c>
      <c r="F22" s="42">
        <v>55.45</v>
      </c>
      <c r="G22" s="42">
        <v>5000</v>
      </c>
      <c r="H22" s="42">
        <v>0</v>
      </c>
      <c r="I22" s="509">
        <v>700000</v>
      </c>
      <c r="J22" s="508" t="s">
        <v>797</v>
      </c>
      <c r="K22" s="204" t="s">
        <v>482</v>
      </c>
      <c r="L22" s="204"/>
      <c r="M22" s="204"/>
      <c r="N22" s="30"/>
      <c r="S22" s="526"/>
      <c r="T22" s="526"/>
      <c r="U22" s="526"/>
      <c r="V22" s="526"/>
      <c r="W22" s="526"/>
      <c r="X22" s="526"/>
      <c r="Y22" s="526"/>
      <c r="Z22" s="526"/>
      <c r="AA22" s="526"/>
      <c r="AB22" s="526"/>
      <c r="AC22" s="526"/>
      <c r="AD22" s="526"/>
      <c r="AE22" s="526"/>
      <c r="AF22" s="526"/>
    </row>
    <row r="23" spans="1:32" ht="15.75" x14ac:dyDescent="0.25">
      <c r="A23" s="42">
        <v>18</v>
      </c>
      <c r="B23" s="42" t="s">
        <v>777</v>
      </c>
      <c r="C23" s="87">
        <v>2464</v>
      </c>
      <c r="D23" s="476">
        <v>21500</v>
      </c>
      <c r="E23" s="42" t="s">
        <v>80</v>
      </c>
      <c r="F23" s="42">
        <v>239.69</v>
      </c>
      <c r="G23" s="42">
        <v>21500</v>
      </c>
      <c r="H23" s="42">
        <v>0</v>
      </c>
      <c r="I23" s="509">
        <v>500000</v>
      </c>
      <c r="J23" s="508" t="s">
        <v>798</v>
      </c>
      <c r="K23" s="89" t="s">
        <v>765</v>
      </c>
      <c r="L23" s="89"/>
      <c r="M23" s="89"/>
      <c r="N23" s="30"/>
      <c r="S23" s="526"/>
      <c r="T23" s="526"/>
      <c r="U23" s="526"/>
      <c r="V23" s="526"/>
      <c r="W23" s="526"/>
      <c r="X23" s="526"/>
      <c r="Y23" s="526"/>
      <c r="Z23" s="526"/>
      <c r="AA23" s="526"/>
      <c r="AB23" s="526"/>
      <c r="AC23" s="526"/>
      <c r="AD23" s="526"/>
      <c r="AE23" s="526"/>
      <c r="AF23" s="526"/>
    </row>
    <row r="24" spans="1:32" ht="15.75" x14ac:dyDescent="0.25">
      <c r="A24" s="42">
        <v>19</v>
      </c>
      <c r="B24" s="42" t="s">
        <v>777</v>
      </c>
      <c r="C24" s="87">
        <v>4291</v>
      </c>
      <c r="D24" s="476">
        <v>20450</v>
      </c>
      <c r="E24" s="42" t="s">
        <v>80</v>
      </c>
      <c r="F24" s="42">
        <v>227.72</v>
      </c>
      <c r="G24" s="42">
        <v>20450</v>
      </c>
      <c r="H24" s="42">
        <v>0</v>
      </c>
      <c r="I24" s="509">
        <v>800000</v>
      </c>
      <c r="J24" s="509" t="s">
        <v>800</v>
      </c>
      <c r="K24" s="204" t="s">
        <v>482</v>
      </c>
      <c r="L24" s="204"/>
      <c r="M24" s="204"/>
      <c r="N24" s="30"/>
      <c r="S24" s="526"/>
      <c r="T24" s="526"/>
      <c r="U24" s="526"/>
      <c r="V24" s="526"/>
      <c r="W24" s="526"/>
      <c r="X24" s="526"/>
      <c r="Y24" s="526"/>
      <c r="Z24" s="526"/>
      <c r="AA24" s="526"/>
      <c r="AB24" s="526"/>
      <c r="AC24" s="526"/>
      <c r="AD24" s="526"/>
      <c r="AE24" s="526"/>
      <c r="AF24" s="526"/>
    </row>
    <row r="25" spans="1:32" ht="15.75" x14ac:dyDescent="0.25">
      <c r="A25" s="42">
        <v>20</v>
      </c>
      <c r="B25" s="42" t="s">
        <v>777</v>
      </c>
      <c r="C25" s="87">
        <v>4.7800000000000002E-2</v>
      </c>
      <c r="D25" s="476">
        <v>10000</v>
      </c>
      <c r="E25" s="42" t="s">
        <v>80</v>
      </c>
      <c r="F25" s="42">
        <v>111.42</v>
      </c>
      <c r="G25" s="42">
        <v>10000</v>
      </c>
      <c r="H25" s="42">
        <v>0</v>
      </c>
      <c r="I25" s="509">
        <v>600000</v>
      </c>
      <c r="J25" s="509" t="s">
        <v>802</v>
      </c>
      <c r="K25" s="204" t="s">
        <v>482</v>
      </c>
      <c r="L25" s="204"/>
      <c r="M25" s="204"/>
      <c r="N25" s="30"/>
      <c r="S25" s="526"/>
      <c r="T25" s="526"/>
      <c r="U25" s="526"/>
      <c r="V25" s="526"/>
      <c r="W25" s="526"/>
      <c r="X25" s="526"/>
      <c r="Y25" s="526"/>
      <c r="Z25" s="526"/>
      <c r="AA25" s="526"/>
      <c r="AB25" s="526"/>
      <c r="AC25" s="526"/>
      <c r="AD25" s="526"/>
      <c r="AE25" s="526"/>
      <c r="AF25" s="526"/>
    </row>
    <row r="26" spans="1:32" ht="15.75" x14ac:dyDescent="0.25">
      <c r="A26" s="42">
        <v>21</v>
      </c>
      <c r="B26" s="42" t="s">
        <v>777</v>
      </c>
      <c r="C26" s="87">
        <v>3367</v>
      </c>
      <c r="D26" s="476">
        <v>26000</v>
      </c>
      <c r="E26" s="42" t="s">
        <v>80</v>
      </c>
      <c r="F26" s="42">
        <v>289.74</v>
      </c>
      <c r="G26" s="42">
        <v>26000</v>
      </c>
      <c r="H26" s="42">
        <v>0</v>
      </c>
      <c r="I26" s="509">
        <v>600000</v>
      </c>
      <c r="J26" s="509" t="s">
        <v>804</v>
      </c>
      <c r="K26" s="204" t="s">
        <v>482</v>
      </c>
      <c r="L26" s="204"/>
      <c r="M26" s="204"/>
      <c r="N26" s="30"/>
      <c r="S26" s="526"/>
      <c r="T26" s="526"/>
      <c r="U26" s="526"/>
      <c r="V26" s="526"/>
      <c r="W26" s="526"/>
      <c r="X26" s="526"/>
      <c r="Y26" s="526"/>
      <c r="Z26" s="526"/>
      <c r="AA26" s="526"/>
      <c r="AB26" s="526"/>
      <c r="AC26" s="526"/>
      <c r="AD26" s="526"/>
      <c r="AE26" s="526"/>
      <c r="AF26" s="526"/>
    </row>
    <row r="27" spans="1:32" ht="15.75" x14ac:dyDescent="0.25">
      <c r="A27" s="42">
        <v>22</v>
      </c>
      <c r="B27" s="42" t="s">
        <v>777</v>
      </c>
      <c r="C27" s="87">
        <v>4.7000000000000002E-3</v>
      </c>
      <c r="D27" s="476">
        <v>15000</v>
      </c>
      <c r="E27" s="42" t="s">
        <v>80</v>
      </c>
      <c r="F27" s="42">
        <v>167.15</v>
      </c>
      <c r="G27" s="42">
        <v>15000</v>
      </c>
      <c r="H27" s="42">
        <v>0</v>
      </c>
      <c r="I27" s="509">
        <v>800000</v>
      </c>
      <c r="J27" s="509" t="s">
        <v>805</v>
      </c>
      <c r="K27" s="204" t="s">
        <v>482</v>
      </c>
      <c r="L27" s="204"/>
      <c r="M27" s="204"/>
      <c r="N27" s="30"/>
      <c r="S27" s="526"/>
      <c r="T27" s="526"/>
      <c r="U27" s="526"/>
      <c r="V27" s="526"/>
      <c r="W27" s="526"/>
      <c r="X27" s="526"/>
      <c r="Y27" s="526"/>
      <c r="Z27" s="526"/>
      <c r="AA27" s="526"/>
      <c r="AB27" s="526"/>
      <c r="AC27" s="526"/>
      <c r="AD27" s="526"/>
      <c r="AE27" s="526"/>
      <c r="AF27" s="526"/>
    </row>
    <row r="28" spans="1:32" ht="15.75" x14ac:dyDescent="0.25">
      <c r="A28" s="42">
        <v>23</v>
      </c>
      <c r="B28" s="42" t="s">
        <v>777</v>
      </c>
      <c r="C28" s="87">
        <v>7672</v>
      </c>
      <c r="D28" s="476">
        <v>20000</v>
      </c>
      <c r="E28" s="42" t="s">
        <v>80</v>
      </c>
      <c r="F28" s="42">
        <v>222.82</v>
      </c>
      <c r="G28" s="42">
        <v>20000</v>
      </c>
      <c r="H28" s="42">
        <v>0</v>
      </c>
      <c r="I28" s="509">
        <v>700000</v>
      </c>
      <c r="J28" s="509" t="s">
        <v>806</v>
      </c>
      <c r="K28" s="204" t="s">
        <v>482</v>
      </c>
      <c r="L28" s="204"/>
      <c r="M28" s="204"/>
      <c r="N28" s="30"/>
      <c r="S28" s="526"/>
      <c r="T28" s="526"/>
      <c r="U28" s="526"/>
      <c r="V28" s="526"/>
      <c r="W28" s="526"/>
      <c r="X28" s="526"/>
      <c r="Y28" s="526"/>
      <c r="Z28" s="526"/>
      <c r="AA28" s="526"/>
      <c r="AB28" s="526"/>
      <c r="AC28" s="526"/>
      <c r="AD28" s="526"/>
      <c r="AE28" s="526"/>
      <c r="AF28" s="526"/>
    </row>
    <row r="29" spans="1:32" ht="15.75" x14ac:dyDescent="0.25">
      <c r="A29" s="42">
        <v>24</v>
      </c>
      <c r="B29" s="42" t="s">
        <v>777</v>
      </c>
      <c r="C29" s="87">
        <v>5864</v>
      </c>
      <c r="D29" s="476">
        <v>15000</v>
      </c>
      <c r="E29" s="42" t="s">
        <v>80</v>
      </c>
      <c r="F29" s="42">
        <v>167.15</v>
      </c>
      <c r="G29" s="42">
        <v>15000</v>
      </c>
      <c r="H29" s="42">
        <v>0</v>
      </c>
      <c r="I29" s="509">
        <v>900000</v>
      </c>
      <c r="J29" s="509" t="s">
        <v>807</v>
      </c>
      <c r="K29" s="204" t="s">
        <v>482</v>
      </c>
      <c r="L29" s="204"/>
      <c r="M29" s="204"/>
      <c r="N29" s="30"/>
      <c r="S29" s="526"/>
      <c r="T29" s="526"/>
      <c r="U29" s="526"/>
      <c r="V29" s="526"/>
      <c r="W29" s="526"/>
      <c r="X29" s="526"/>
      <c r="Y29" s="526"/>
      <c r="Z29" s="526"/>
      <c r="AA29" s="526"/>
      <c r="AB29" s="526"/>
      <c r="AC29" s="526"/>
      <c r="AD29" s="526"/>
      <c r="AE29" s="526"/>
      <c r="AF29" s="526"/>
    </row>
    <row r="30" spans="1:32" ht="15.75" x14ac:dyDescent="0.25">
      <c r="A30" s="42">
        <v>25</v>
      </c>
      <c r="B30" s="42" t="s">
        <v>777</v>
      </c>
      <c r="C30" s="87">
        <v>6104</v>
      </c>
      <c r="D30" s="476">
        <v>26000</v>
      </c>
      <c r="E30" s="42" t="s">
        <v>80</v>
      </c>
      <c r="F30" s="42">
        <v>289.39</v>
      </c>
      <c r="G30" s="42">
        <v>26000</v>
      </c>
      <c r="H30" s="42">
        <v>0</v>
      </c>
      <c r="I30" s="518">
        <v>1300000</v>
      </c>
      <c r="J30" s="518" t="s">
        <v>808</v>
      </c>
      <c r="K30" s="515" t="s">
        <v>809</v>
      </c>
      <c r="L30" s="515"/>
      <c r="M30" s="515"/>
      <c r="N30" s="516"/>
      <c r="O30" s="517"/>
      <c r="P30" s="517"/>
      <c r="Q30" s="517"/>
      <c r="R30" s="517"/>
      <c r="S30" s="526"/>
      <c r="T30" s="526"/>
      <c r="U30" s="526"/>
      <c r="V30" s="526"/>
      <c r="W30" s="526"/>
      <c r="X30" s="526"/>
      <c r="Y30" s="526"/>
      <c r="Z30" s="526"/>
      <c r="AA30" s="526"/>
      <c r="AB30" s="526"/>
      <c r="AC30" s="526"/>
      <c r="AD30" s="526"/>
      <c r="AE30" s="526"/>
      <c r="AF30" s="526"/>
    </row>
    <row r="31" spans="1:32" ht="15.75" x14ac:dyDescent="0.25">
      <c r="A31" s="42">
        <v>26</v>
      </c>
      <c r="B31" s="42" t="s">
        <v>777</v>
      </c>
      <c r="C31" s="87">
        <v>6193</v>
      </c>
      <c r="D31" s="476">
        <v>28000</v>
      </c>
      <c r="E31" s="42" t="s">
        <v>80</v>
      </c>
      <c r="F31" s="42">
        <v>311.85000000000002</v>
      </c>
      <c r="G31" s="42">
        <v>28000</v>
      </c>
      <c r="H31" s="42">
        <v>0</v>
      </c>
      <c r="I31" s="509">
        <v>600000</v>
      </c>
      <c r="J31" s="509" t="s">
        <v>811</v>
      </c>
      <c r="K31" s="204" t="s">
        <v>482</v>
      </c>
      <c r="L31" s="204"/>
      <c r="M31" s="204"/>
      <c r="N31" s="30"/>
      <c r="S31" s="526"/>
      <c r="T31" s="526"/>
      <c r="U31" s="526"/>
      <c r="V31" s="526"/>
      <c r="W31" s="526"/>
      <c r="X31" s="526"/>
      <c r="Y31" s="526"/>
      <c r="Z31" s="526"/>
      <c r="AA31" s="526"/>
      <c r="AB31" s="526"/>
      <c r="AC31" s="526"/>
      <c r="AD31" s="526"/>
      <c r="AE31" s="526"/>
      <c r="AF31" s="526"/>
    </row>
    <row r="32" spans="1:32" ht="15.75" x14ac:dyDescent="0.25">
      <c r="A32" s="42">
        <v>27</v>
      </c>
      <c r="B32" s="42" t="s">
        <v>777</v>
      </c>
      <c r="C32" s="87">
        <v>9458</v>
      </c>
      <c r="D32" s="476">
        <v>29000</v>
      </c>
      <c r="E32" s="42" t="s">
        <v>80</v>
      </c>
      <c r="F32" s="42">
        <v>323.69</v>
      </c>
      <c r="G32" s="42">
        <v>29000</v>
      </c>
      <c r="H32" s="42">
        <v>0</v>
      </c>
      <c r="I32" s="509">
        <v>500000</v>
      </c>
      <c r="J32" s="509" t="s">
        <v>812</v>
      </c>
      <c r="K32" s="204" t="s">
        <v>482</v>
      </c>
      <c r="L32" s="204"/>
      <c r="M32" s="204"/>
      <c r="N32" s="30"/>
      <c r="S32" s="526"/>
      <c r="T32" s="526"/>
      <c r="U32" s="526"/>
      <c r="V32" s="526"/>
      <c r="W32" s="526"/>
      <c r="X32" s="526"/>
      <c r="Y32" s="526"/>
      <c r="Z32" s="526"/>
      <c r="AA32" s="526"/>
      <c r="AB32" s="526"/>
      <c r="AC32" s="526"/>
      <c r="AD32" s="526"/>
      <c r="AE32" s="526"/>
      <c r="AF32" s="526"/>
    </row>
    <row r="33" spans="1:32" ht="15.75" x14ac:dyDescent="0.25">
      <c r="A33" s="42">
        <v>28</v>
      </c>
      <c r="B33" s="42" t="s">
        <v>777</v>
      </c>
      <c r="C33" s="87">
        <v>9235</v>
      </c>
      <c r="D33" s="476">
        <v>26000</v>
      </c>
      <c r="E33" s="42" t="s">
        <v>80</v>
      </c>
      <c r="F33" s="42">
        <v>289.89</v>
      </c>
      <c r="G33" s="42">
        <v>26000</v>
      </c>
      <c r="H33" s="42">
        <v>0</v>
      </c>
      <c r="I33" s="518">
        <v>200000</v>
      </c>
      <c r="J33" s="518" t="s">
        <v>812</v>
      </c>
      <c r="K33" s="515" t="s">
        <v>809</v>
      </c>
      <c r="L33" s="515"/>
      <c r="M33" s="515"/>
      <c r="N33" s="516"/>
      <c r="O33" s="517"/>
      <c r="P33" s="517"/>
      <c r="Q33" s="517"/>
      <c r="S33" s="526"/>
      <c r="T33" s="526"/>
      <c r="U33" s="526"/>
      <c r="V33" s="526"/>
      <c r="W33" s="526"/>
      <c r="X33" s="526"/>
      <c r="Y33" s="526"/>
      <c r="Z33" s="526"/>
      <c r="AA33" s="526"/>
      <c r="AB33" s="526"/>
      <c r="AC33" s="526"/>
      <c r="AD33" s="526"/>
      <c r="AE33" s="526"/>
      <c r="AF33" s="526"/>
    </row>
    <row r="34" spans="1:32" x14ac:dyDescent="0.25">
      <c r="A34" s="42">
        <v>29</v>
      </c>
      <c r="B34" s="42" t="s">
        <v>777</v>
      </c>
      <c r="C34" s="87">
        <v>9457</v>
      </c>
      <c r="D34" s="476">
        <v>28000</v>
      </c>
      <c r="E34" s="42" t="s">
        <v>80</v>
      </c>
      <c r="F34" s="42">
        <v>311.67</v>
      </c>
      <c r="G34" s="42">
        <v>28000</v>
      </c>
      <c r="H34" s="42">
        <v>0</v>
      </c>
      <c r="I34" s="526"/>
      <c r="J34" s="526"/>
      <c r="K34" s="526"/>
      <c r="L34" s="526"/>
      <c r="M34" s="526"/>
      <c r="N34" s="526"/>
      <c r="O34" s="526"/>
      <c r="P34" s="526"/>
      <c r="Q34" s="526"/>
      <c r="S34" s="526"/>
      <c r="T34" s="526"/>
      <c r="U34" s="526"/>
      <c r="V34" s="526"/>
      <c r="W34" s="526"/>
      <c r="X34" s="526"/>
      <c r="Y34" s="526"/>
      <c r="Z34" s="526"/>
      <c r="AA34" s="526"/>
      <c r="AB34" s="526"/>
      <c r="AC34" s="526"/>
      <c r="AD34" s="526"/>
      <c r="AE34" s="526"/>
      <c r="AF34" s="526"/>
    </row>
    <row r="35" spans="1:32" ht="15.75" x14ac:dyDescent="0.25">
      <c r="A35" s="42">
        <v>30</v>
      </c>
      <c r="B35" s="42" t="s">
        <v>777</v>
      </c>
      <c r="C35" s="87">
        <v>2846</v>
      </c>
      <c r="D35" s="476">
        <v>27000</v>
      </c>
      <c r="E35" s="42" t="s">
        <v>80</v>
      </c>
      <c r="F35" s="42">
        <v>300.70999999999998</v>
      </c>
      <c r="G35" s="42">
        <v>27000</v>
      </c>
      <c r="H35" s="42">
        <v>0</v>
      </c>
      <c r="I35" s="509"/>
      <c r="J35" s="89"/>
      <c r="K35" s="89"/>
      <c r="L35" s="89"/>
      <c r="M35" s="89"/>
      <c r="N35" s="30"/>
      <c r="S35" s="526"/>
      <c r="T35" s="526"/>
      <c r="U35" s="526"/>
      <c r="V35" s="526"/>
      <c r="W35" s="526"/>
      <c r="X35" s="526"/>
      <c r="Y35" s="526"/>
      <c r="Z35" s="526"/>
      <c r="AA35" s="526"/>
      <c r="AB35" s="526"/>
      <c r="AC35" s="526"/>
      <c r="AD35" s="526"/>
      <c r="AE35" s="526"/>
      <c r="AF35" s="526"/>
    </row>
    <row r="36" spans="1:32" ht="15.75" x14ac:dyDescent="0.25">
      <c r="A36" s="42">
        <v>31</v>
      </c>
      <c r="B36" s="42" t="s">
        <v>777</v>
      </c>
      <c r="C36" s="87">
        <v>2320</v>
      </c>
      <c r="D36" s="476">
        <v>26000</v>
      </c>
      <c r="E36" s="42" t="s">
        <v>80</v>
      </c>
      <c r="F36" s="42">
        <v>289.89</v>
      </c>
      <c r="G36" s="42">
        <v>26000</v>
      </c>
      <c r="H36" s="42">
        <v>0</v>
      </c>
      <c r="I36" s="509"/>
      <c r="J36" s="89"/>
      <c r="K36" s="89"/>
      <c r="L36" s="89"/>
      <c r="M36" s="89"/>
      <c r="N36" s="30"/>
      <c r="S36" s="526"/>
      <c r="T36" s="526"/>
      <c r="U36" s="526"/>
      <c r="V36" s="526"/>
      <c r="W36" s="526"/>
      <c r="X36" s="526"/>
      <c r="Y36" s="526"/>
      <c r="Z36" s="526"/>
      <c r="AA36" s="526"/>
      <c r="AB36" s="526"/>
      <c r="AC36" s="526"/>
      <c r="AD36" s="526"/>
      <c r="AE36" s="526"/>
      <c r="AF36" s="526"/>
    </row>
    <row r="37" spans="1:32" ht="15.75" x14ac:dyDescent="0.25">
      <c r="A37" s="42">
        <v>32</v>
      </c>
      <c r="B37" s="42" t="s">
        <v>777</v>
      </c>
      <c r="C37" s="87">
        <v>2884</v>
      </c>
      <c r="D37" s="476">
        <v>28000</v>
      </c>
      <c r="E37" s="42" t="s">
        <v>80</v>
      </c>
      <c r="F37" s="42">
        <v>311.67</v>
      </c>
      <c r="G37" s="42">
        <v>28000</v>
      </c>
      <c r="H37" s="42">
        <v>0</v>
      </c>
      <c r="I37" s="509"/>
      <c r="J37" s="89"/>
      <c r="K37" s="89"/>
      <c r="L37" s="89"/>
      <c r="M37" s="89"/>
      <c r="N37" s="30"/>
      <c r="S37" s="526"/>
      <c r="T37" s="526"/>
      <c r="U37" s="526"/>
      <c r="V37" s="526"/>
      <c r="W37" s="526"/>
      <c r="X37" s="526"/>
      <c r="Y37" s="526"/>
      <c r="Z37" s="526"/>
      <c r="AA37" s="526"/>
      <c r="AB37" s="526"/>
      <c r="AC37" s="526"/>
      <c r="AD37" s="526"/>
      <c r="AE37" s="526"/>
      <c r="AF37" s="526"/>
    </row>
    <row r="38" spans="1:32" ht="15.75" x14ac:dyDescent="0.25">
      <c r="A38" s="42">
        <v>33</v>
      </c>
      <c r="B38" s="42" t="s">
        <v>777</v>
      </c>
      <c r="C38" s="87">
        <v>5574</v>
      </c>
      <c r="D38" s="476">
        <v>30000</v>
      </c>
      <c r="E38" s="42" t="s">
        <v>80</v>
      </c>
      <c r="F38" s="42">
        <v>332.2</v>
      </c>
      <c r="G38" s="42">
        <v>30000</v>
      </c>
      <c r="H38" s="42">
        <v>0</v>
      </c>
      <c r="I38" s="509"/>
      <c r="J38" s="89"/>
      <c r="K38" s="89"/>
      <c r="L38" s="89"/>
      <c r="M38" s="89"/>
      <c r="N38" s="30"/>
      <c r="S38" s="526"/>
      <c r="T38" s="526"/>
      <c r="U38" s="526"/>
      <c r="V38" s="526"/>
      <c r="W38" s="526"/>
      <c r="X38" s="526"/>
      <c r="Y38" s="526"/>
      <c r="Z38" s="526"/>
      <c r="AA38" s="526"/>
      <c r="AB38" s="526"/>
      <c r="AC38" s="526"/>
      <c r="AD38" s="526"/>
      <c r="AE38" s="526"/>
      <c r="AF38" s="526"/>
    </row>
    <row r="39" spans="1:32" ht="15.75" x14ac:dyDescent="0.25">
      <c r="A39" s="42">
        <v>34</v>
      </c>
      <c r="B39" s="42" t="s">
        <v>777</v>
      </c>
      <c r="C39" s="87">
        <v>7258</v>
      </c>
      <c r="D39" s="476">
        <v>26000</v>
      </c>
      <c r="E39" s="42" t="s">
        <v>80</v>
      </c>
      <c r="F39" s="42">
        <v>289.89</v>
      </c>
      <c r="G39" s="42">
        <v>26000</v>
      </c>
      <c r="H39" s="42">
        <v>0</v>
      </c>
      <c r="I39" s="509"/>
      <c r="J39" s="89"/>
      <c r="K39" s="89"/>
      <c r="L39" s="89"/>
      <c r="M39" s="89"/>
      <c r="N39" s="30"/>
      <c r="S39" s="526"/>
      <c r="T39" s="526"/>
      <c r="U39" s="526"/>
      <c r="V39" s="526"/>
      <c r="W39" s="526"/>
      <c r="X39" s="526"/>
      <c r="Y39" s="526"/>
      <c r="Z39" s="526"/>
      <c r="AA39" s="526"/>
      <c r="AB39" s="526"/>
      <c r="AC39" s="526"/>
      <c r="AD39" s="526"/>
      <c r="AE39" s="526"/>
      <c r="AF39" s="526"/>
    </row>
    <row r="40" spans="1:32" ht="15.75" x14ac:dyDescent="0.25">
      <c r="A40" s="42">
        <v>35</v>
      </c>
      <c r="B40" s="42" t="s">
        <v>777</v>
      </c>
      <c r="C40" s="87">
        <v>6386</v>
      </c>
      <c r="D40" s="476">
        <v>22000</v>
      </c>
      <c r="E40" s="42" t="s">
        <v>80</v>
      </c>
      <c r="F40" s="42">
        <v>229.68</v>
      </c>
      <c r="G40" s="42">
        <v>22000</v>
      </c>
      <c r="H40" s="42">
        <v>0</v>
      </c>
      <c r="I40" s="509"/>
      <c r="J40" s="89"/>
      <c r="K40" s="89"/>
      <c r="L40" s="89"/>
      <c r="M40" s="89"/>
      <c r="N40" s="30"/>
      <c r="S40" s="526"/>
      <c r="T40" s="526"/>
      <c r="U40" s="526"/>
      <c r="V40" s="526"/>
      <c r="W40" s="526"/>
      <c r="X40" s="526"/>
      <c r="Y40" s="526"/>
      <c r="Z40" s="526"/>
      <c r="AA40" s="526"/>
      <c r="AB40" s="526"/>
      <c r="AC40" s="526"/>
      <c r="AD40" s="526"/>
      <c r="AE40" s="526"/>
      <c r="AF40" s="526"/>
    </row>
    <row r="41" spans="1:32" ht="15.75" x14ac:dyDescent="0.25">
      <c r="A41" s="42">
        <v>36</v>
      </c>
      <c r="B41" s="42" t="s">
        <v>777</v>
      </c>
      <c r="C41" s="87">
        <v>6186</v>
      </c>
      <c r="D41" s="476">
        <v>22000</v>
      </c>
      <c r="E41" s="42" t="s">
        <v>80</v>
      </c>
      <c r="F41" s="42">
        <v>229.68</v>
      </c>
      <c r="G41" s="42">
        <v>22000</v>
      </c>
      <c r="H41" s="42">
        <v>0</v>
      </c>
      <c r="I41" s="509"/>
      <c r="J41" s="89"/>
      <c r="K41" s="89"/>
      <c r="L41" s="89"/>
      <c r="M41" s="89"/>
      <c r="N41" s="30"/>
      <c r="S41" s="526"/>
      <c r="T41" s="526"/>
      <c r="U41" s="526"/>
      <c r="V41" s="526"/>
      <c r="W41" s="526"/>
      <c r="X41" s="526"/>
      <c r="Y41" s="526"/>
      <c r="Z41" s="526"/>
      <c r="AA41" s="526"/>
      <c r="AB41" s="526"/>
      <c r="AC41" s="526"/>
      <c r="AD41" s="526"/>
      <c r="AE41" s="526"/>
      <c r="AF41" s="526"/>
    </row>
    <row r="42" spans="1:32" ht="15.75" x14ac:dyDescent="0.25">
      <c r="A42" s="42">
        <v>37</v>
      </c>
      <c r="B42" s="42" t="s">
        <v>777</v>
      </c>
      <c r="C42" s="87">
        <v>5.1999999999999998E-2</v>
      </c>
      <c r="D42" s="476">
        <v>20000</v>
      </c>
      <c r="E42" s="42" t="s">
        <v>80</v>
      </c>
      <c r="F42" s="42">
        <v>222.82</v>
      </c>
      <c r="G42" s="42">
        <v>20000</v>
      </c>
      <c r="H42" s="42">
        <v>0</v>
      </c>
      <c r="I42" s="509"/>
      <c r="J42" s="89"/>
      <c r="K42" s="89"/>
      <c r="L42" s="89"/>
      <c r="M42" s="89"/>
      <c r="N42" s="30"/>
      <c r="S42" s="526"/>
      <c r="T42" s="526"/>
      <c r="U42" s="526"/>
      <c r="V42" s="526"/>
      <c r="W42" s="526"/>
      <c r="X42" s="526"/>
      <c r="Y42" s="526"/>
      <c r="Z42" s="526"/>
      <c r="AA42" s="526"/>
      <c r="AB42" s="526"/>
      <c r="AC42" s="526"/>
      <c r="AD42" s="526"/>
      <c r="AE42" s="526"/>
      <c r="AF42" s="526"/>
    </row>
    <row r="43" spans="1:32" ht="15.75" x14ac:dyDescent="0.25">
      <c r="A43" s="42">
        <v>38</v>
      </c>
      <c r="B43" s="42" t="s">
        <v>777</v>
      </c>
      <c r="C43" s="87">
        <v>2233</v>
      </c>
      <c r="D43" s="476">
        <v>24000</v>
      </c>
      <c r="E43" s="42" t="s">
        <v>80</v>
      </c>
      <c r="F43" s="42">
        <v>238.95</v>
      </c>
      <c r="G43" s="42">
        <v>24000</v>
      </c>
      <c r="H43" s="42">
        <v>0</v>
      </c>
      <c r="I43" s="509"/>
      <c r="J43" s="89"/>
      <c r="K43" s="89"/>
      <c r="L43" s="89"/>
      <c r="M43" s="89"/>
      <c r="N43" s="30"/>
      <c r="S43" s="526"/>
      <c r="T43" s="526"/>
      <c r="U43" s="526"/>
      <c r="V43" s="526"/>
      <c r="W43" s="526"/>
      <c r="X43" s="526"/>
      <c r="Y43" s="526"/>
      <c r="Z43" s="526"/>
      <c r="AA43" s="526"/>
      <c r="AB43" s="526"/>
      <c r="AC43" s="526"/>
      <c r="AD43" s="526"/>
      <c r="AE43" s="526"/>
      <c r="AF43" s="526"/>
    </row>
    <row r="44" spans="1:32" ht="15.75" x14ac:dyDescent="0.25">
      <c r="A44" s="42">
        <v>39</v>
      </c>
      <c r="B44" s="42" t="s">
        <v>777</v>
      </c>
      <c r="C44" s="87">
        <v>1317</v>
      </c>
      <c r="D44" s="476">
        <v>20000</v>
      </c>
      <c r="E44" s="42" t="s">
        <v>80</v>
      </c>
      <c r="F44" s="42">
        <v>222.82</v>
      </c>
      <c r="G44" s="42">
        <v>20000</v>
      </c>
      <c r="H44" s="42">
        <v>0</v>
      </c>
      <c r="I44" s="509"/>
      <c r="J44" s="89"/>
      <c r="K44" s="89"/>
      <c r="L44" s="89"/>
      <c r="M44" s="89"/>
      <c r="N44" s="30"/>
      <c r="S44" s="526"/>
      <c r="T44" s="526"/>
      <c r="U44" s="526"/>
      <c r="V44" s="526"/>
      <c r="W44" s="526"/>
      <c r="X44" s="526"/>
      <c r="Y44" s="526"/>
      <c r="Z44" s="526"/>
      <c r="AA44" s="526"/>
      <c r="AB44" s="526"/>
      <c r="AC44" s="526"/>
      <c r="AD44" s="526"/>
      <c r="AE44" s="526"/>
      <c r="AF44" s="526"/>
    </row>
    <row r="45" spans="1:32" ht="15.75" x14ac:dyDescent="0.25">
      <c r="A45" s="42">
        <v>40</v>
      </c>
      <c r="B45" s="42" t="s">
        <v>777</v>
      </c>
      <c r="C45" s="87">
        <v>4208</v>
      </c>
      <c r="D45" s="476">
        <v>22000</v>
      </c>
      <c r="E45" s="42" t="s">
        <v>80</v>
      </c>
      <c r="F45" s="42">
        <v>245.85</v>
      </c>
      <c r="G45" s="42">
        <v>22000</v>
      </c>
      <c r="H45" s="42">
        <v>0</v>
      </c>
      <c r="I45" s="509"/>
      <c r="J45" s="89"/>
      <c r="K45" s="89"/>
      <c r="L45" s="89"/>
      <c r="M45" s="89"/>
      <c r="N45" s="30"/>
      <c r="S45" s="526"/>
      <c r="T45" s="526"/>
      <c r="U45" s="526"/>
      <c r="V45" s="526"/>
      <c r="W45" s="526"/>
      <c r="X45" s="526"/>
      <c r="Y45" s="526"/>
      <c r="Z45" s="526"/>
      <c r="AA45" s="526"/>
      <c r="AB45" s="526"/>
      <c r="AC45" s="526"/>
      <c r="AD45" s="526"/>
      <c r="AE45" s="526"/>
      <c r="AF45" s="526"/>
    </row>
    <row r="46" spans="1:32" ht="15.75" x14ac:dyDescent="0.25">
      <c r="A46" s="42">
        <v>41</v>
      </c>
      <c r="B46" s="42" t="s">
        <v>777</v>
      </c>
      <c r="C46" s="87">
        <v>8963</v>
      </c>
      <c r="D46" s="476">
        <v>26000</v>
      </c>
      <c r="E46" s="42" t="s">
        <v>80</v>
      </c>
      <c r="F46" s="42">
        <v>289.89</v>
      </c>
      <c r="G46" s="42">
        <v>26000</v>
      </c>
      <c r="H46" s="42">
        <v>0</v>
      </c>
      <c r="I46" s="509"/>
      <c r="J46" s="89"/>
      <c r="K46" s="89"/>
      <c r="L46" s="89"/>
      <c r="M46" s="89"/>
      <c r="N46" s="30"/>
      <c r="S46" s="526"/>
      <c r="T46" s="526"/>
      <c r="U46" s="526"/>
      <c r="V46" s="526"/>
      <c r="W46" s="526"/>
      <c r="X46" s="526"/>
      <c r="Y46" s="526"/>
      <c r="Z46" s="526"/>
      <c r="AA46" s="526"/>
      <c r="AB46" s="526"/>
      <c r="AC46" s="526"/>
      <c r="AD46" s="526"/>
      <c r="AE46" s="526"/>
      <c r="AF46" s="526"/>
    </row>
    <row r="47" spans="1:32" ht="15.75" x14ac:dyDescent="0.25">
      <c r="A47" s="42">
        <v>42</v>
      </c>
      <c r="B47" s="42" t="s">
        <v>777</v>
      </c>
      <c r="C47" s="87">
        <v>7567</v>
      </c>
      <c r="D47" s="476">
        <v>17000</v>
      </c>
      <c r="E47" s="42" t="s">
        <v>80</v>
      </c>
      <c r="F47" s="42">
        <v>189.45</v>
      </c>
      <c r="G47" s="42">
        <v>17000</v>
      </c>
      <c r="H47" s="42">
        <v>0</v>
      </c>
      <c r="I47" s="509"/>
      <c r="J47" s="89"/>
      <c r="K47" s="89"/>
      <c r="L47" s="89"/>
      <c r="M47" s="89"/>
      <c r="N47" s="30"/>
      <c r="S47" s="526"/>
      <c r="T47" s="526"/>
      <c r="U47" s="526"/>
      <c r="V47" s="526"/>
      <c r="W47" s="526"/>
      <c r="X47" s="526"/>
      <c r="Y47" s="526"/>
      <c r="Z47" s="526"/>
      <c r="AA47" s="526"/>
      <c r="AB47" s="526"/>
      <c r="AC47" s="526"/>
      <c r="AD47" s="526"/>
      <c r="AE47" s="526"/>
      <c r="AF47" s="526"/>
    </row>
    <row r="48" spans="1:32" ht="15.75" x14ac:dyDescent="0.25">
      <c r="A48" s="42">
        <v>43</v>
      </c>
      <c r="B48" s="42" t="s">
        <v>777</v>
      </c>
      <c r="C48" s="87">
        <v>7942</v>
      </c>
      <c r="D48" s="476">
        <v>6000</v>
      </c>
      <c r="E48" s="42" t="s">
        <v>80</v>
      </c>
      <c r="F48" s="42">
        <v>65.87</v>
      </c>
      <c r="G48" s="42">
        <v>6000</v>
      </c>
      <c r="H48" s="42">
        <v>0</v>
      </c>
      <c r="I48" s="509"/>
      <c r="J48" s="89"/>
      <c r="K48" s="89"/>
      <c r="L48" s="89"/>
      <c r="M48" s="89"/>
      <c r="N48" s="30"/>
      <c r="S48" s="526"/>
      <c r="T48" s="526"/>
      <c r="U48" s="526"/>
      <c r="V48" s="526"/>
      <c r="W48" s="526"/>
      <c r="X48" s="526"/>
      <c r="Y48" s="526"/>
      <c r="Z48" s="526"/>
      <c r="AA48" s="526"/>
      <c r="AB48" s="526"/>
      <c r="AC48" s="526"/>
      <c r="AD48" s="526"/>
      <c r="AE48" s="526"/>
      <c r="AF48" s="526"/>
    </row>
    <row r="49" spans="1:32" ht="15.75" x14ac:dyDescent="0.25">
      <c r="A49" s="42">
        <v>44</v>
      </c>
      <c r="B49" s="42" t="s">
        <v>779</v>
      </c>
      <c r="C49" s="87" t="s">
        <v>30</v>
      </c>
      <c r="D49" s="476">
        <v>5000</v>
      </c>
      <c r="E49" s="42" t="s">
        <v>80</v>
      </c>
      <c r="F49" s="42">
        <v>55.45</v>
      </c>
      <c r="G49" s="42">
        <v>5000</v>
      </c>
      <c r="H49" s="42">
        <v>0</v>
      </c>
      <c r="I49" s="509"/>
      <c r="J49" s="89"/>
      <c r="K49" s="89"/>
      <c r="L49" s="89"/>
      <c r="M49" s="89"/>
      <c r="N49" s="30"/>
      <c r="S49" s="526"/>
      <c r="T49" s="526"/>
      <c r="U49" s="526"/>
      <c r="V49" s="526"/>
      <c r="W49" s="526"/>
      <c r="X49" s="526"/>
      <c r="Y49" s="526"/>
      <c r="Z49" s="526"/>
      <c r="AA49" s="526"/>
      <c r="AB49" s="526"/>
      <c r="AC49" s="526"/>
      <c r="AD49" s="526"/>
      <c r="AE49" s="526"/>
      <c r="AF49" s="526"/>
    </row>
    <row r="50" spans="1:32" ht="15.75" x14ac:dyDescent="0.25">
      <c r="A50" s="42">
        <v>45</v>
      </c>
      <c r="B50" s="42" t="s">
        <v>779</v>
      </c>
      <c r="C50" s="476" t="s">
        <v>30</v>
      </c>
      <c r="D50" s="476">
        <v>4500</v>
      </c>
      <c r="E50" s="42" t="s">
        <v>80</v>
      </c>
      <c r="F50" s="513">
        <v>50.55</v>
      </c>
      <c r="G50" s="513">
        <v>4500</v>
      </c>
      <c r="H50" s="513">
        <v>0</v>
      </c>
      <c r="I50" s="509"/>
      <c r="J50" s="89"/>
      <c r="K50" s="89"/>
      <c r="L50" s="89"/>
      <c r="M50" s="89"/>
      <c r="N50" s="30"/>
      <c r="S50" s="526"/>
      <c r="T50" s="526"/>
      <c r="U50" s="526"/>
      <c r="V50" s="526"/>
      <c r="W50" s="526"/>
      <c r="X50" s="526"/>
      <c r="Y50" s="526"/>
      <c r="Z50" s="526"/>
      <c r="AA50" s="526"/>
      <c r="AB50" s="526"/>
      <c r="AC50" s="526"/>
      <c r="AD50" s="526"/>
      <c r="AE50" s="526"/>
      <c r="AF50" s="526"/>
    </row>
    <row r="51" spans="1:32" x14ac:dyDescent="0.25">
      <c r="A51" s="42">
        <v>46</v>
      </c>
      <c r="B51" s="42" t="s">
        <v>779</v>
      </c>
      <c r="C51" s="87">
        <v>7510</v>
      </c>
      <c r="D51" s="476">
        <v>13000</v>
      </c>
      <c r="E51" s="42" t="s">
        <v>80</v>
      </c>
      <c r="F51" s="42">
        <v>144.13</v>
      </c>
      <c r="G51" s="42">
        <v>13000</v>
      </c>
      <c r="H51" s="42">
        <v>0</v>
      </c>
      <c r="I51" s="89"/>
      <c r="J51" s="89"/>
      <c r="K51" s="89"/>
      <c r="L51" s="89"/>
      <c r="M51" s="89"/>
      <c r="N51" s="30"/>
      <c r="S51" s="526"/>
      <c r="T51" s="526"/>
      <c r="U51" s="526"/>
      <c r="V51" s="526"/>
      <c r="W51" s="526"/>
      <c r="X51" s="526"/>
      <c r="Y51" s="526"/>
      <c r="Z51" s="526"/>
      <c r="AA51" s="526"/>
      <c r="AB51" s="526"/>
      <c r="AC51" s="526"/>
      <c r="AD51" s="526"/>
      <c r="AE51" s="526"/>
      <c r="AF51" s="526"/>
    </row>
    <row r="52" spans="1:32" x14ac:dyDescent="0.25">
      <c r="A52" s="42">
        <v>47</v>
      </c>
      <c r="B52" s="42" t="s">
        <v>779</v>
      </c>
      <c r="C52" s="87">
        <v>9751</v>
      </c>
      <c r="D52" s="476">
        <v>12000</v>
      </c>
      <c r="E52" s="42" t="s">
        <v>80</v>
      </c>
      <c r="F52" s="42">
        <v>133.41999999999999</v>
      </c>
      <c r="G52" s="42">
        <v>12000</v>
      </c>
      <c r="H52" s="42">
        <v>0</v>
      </c>
      <c r="I52" s="89"/>
      <c r="J52" s="89"/>
      <c r="K52" s="89"/>
      <c r="L52" s="89"/>
      <c r="M52" s="89"/>
      <c r="N52" s="30"/>
      <c r="S52" s="526"/>
      <c r="T52" s="526"/>
      <c r="U52" s="526"/>
      <c r="V52" s="526"/>
      <c r="W52" s="526"/>
      <c r="X52" s="526"/>
      <c r="Y52" s="526"/>
      <c r="Z52" s="526"/>
      <c r="AA52" s="526"/>
      <c r="AB52" s="526"/>
      <c r="AC52" s="526"/>
      <c r="AD52" s="526"/>
      <c r="AE52" s="526"/>
      <c r="AF52" s="526"/>
    </row>
    <row r="53" spans="1:32" x14ac:dyDescent="0.25">
      <c r="A53" s="42">
        <v>48</v>
      </c>
      <c r="B53" s="42" t="s">
        <v>779</v>
      </c>
      <c r="C53" s="87">
        <v>4591</v>
      </c>
      <c r="D53" s="476">
        <v>26000</v>
      </c>
      <c r="E53" s="42" t="s">
        <v>80</v>
      </c>
      <c r="F53" s="42">
        <v>289.85000000000002</v>
      </c>
      <c r="G53" s="42">
        <v>26000</v>
      </c>
      <c r="H53" s="42">
        <v>0</v>
      </c>
      <c r="I53" s="89"/>
      <c r="J53" s="89"/>
      <c r="K53" s="89"/>
      <c r="L53" s="89"/>
      <c r="M53" s="89"/>
      <c r="N53" s="30"/>
      <c r="S53" s="526"/>
      <c r="T53" s="526"/>
      <c r="U53" s="526"/>
      <c r="V53" s="526"/>
      <c r="W53" s="526"/>
      <c r="X53" s="526"/>
      <c r="Y53" s="526"/>
      <c r="Z53" s="526"/>
      <c r="AA53" s="526"/>
      <c r="AB53" s="526"/>
      <c r="AC53" s="526"/>
      <c r="AD53" s="526"/>
      <c r="AE53" s="526"/>
      <c r="AF53" s="526"/>
    </row>
    <row r="54" spans="1:32" x14ac:dyDescent="0.25">
      <c r="A54" s="42">
        <v>49</v>
      </c>
      <c r="B54" s="42" t="s">
        <v>779</v>
      </c>
      <c r="C54" s="87">
        <v>9653</v>
      </c>
      <c r="D54" s="476">
        <v>24000</v>
      </c>
      <c r="E54" s="42" t="s">
        <v>80</v>
      </c>
      <c r="F54" s="42">
        <v>238.95</v>
      </c>
      <c r="G54" s="42">
        <v>24000</v>
      </c>
      <c r="H54" s="42">
        <v>0</v>
      </c>
      <c r="I54" s="89"/>
      <c r="J54" s="89"/>
      <c r="K54" s="89"/>
      <c r="L54" s="89"/>
      <c r="M54" s="89"/>
      <c r="N54" s="30"/>
      <c r="S54" s="526"/>
      <c r="T54" s="526"/>
      <c r="U54" s="526"/>
      <c r="V54" s="526"/>
      <c r="W54" s="526"/>
      <c r="X54" s="526"/>
      <c r="Y54" s="526"/>
      <c r="Z54" s="526"/>
      <c r="AA54" s="526"/>
      <c r="AB54" s="526"/>
      <c r="AC54" s="526"/>
      <c r="AD54" s="526"/>
      <c r="AE54" s="526"/>
      <c r="AF54" s="526"/>
    </row>
    <row r="55" spans="1:32" x14ac:dyDescent="0.25">
      <c r="A55" s="42">
        <v>50</v>
      </c>
      <c r="B55" s="42" t="s">
        <v>779</v>
      </c>
      <c r="C55" s="87">
        <v>6443</v>
      </c>
      <c r="D55" s="476">
        <v>10000</v>
      </c>
      <c r="E55" s="42" t="s">
        <v>80</v>
      </c>
      <c r="F55" s="42">
        <v>111.42</v>
      </c>
      <c r="G55" s="42">
        <v>10000</v>
      </c>
      <c r="H55" s="42">
        <v>0</v>
      </c>
      <c r="I55" s="89"/>
      <c r="J55" s="89"/>
      <c r="K55" s="89"/>
      <c r="L55" s="89"/>
      <c r="M55" s="89"/>
      <c r="N55" s="30"/>
      <c r="S55" s="526"/>
      <c r="T55" s="526"/>
      <c r="U55" s="526"/>
      <c r="V55" s="526"/>
      <c r="W55" s="526"/>
      <c r="X55" s="526"/>
      <c r="Y55" s="526"/>
      <c r="Z55" s="526"/>
      <c r="AA55" s="526"/>
      <c r="AB55" s="526"/>
      <c r="AC55" s="526"/>
      <c r="AD55" s="526"/>
      <c r="AE55" s="526"/>
      <c r="AF55" s="526"/>
    </row>
    <row r="56" spans="1:32" x14ac:dyDescent="0.25">
      <c r="A56" s="42">
        <v>51</v>
      </c>
      <c r="B56" s="42" t="s">
        <v>779</v>
      </c>
      <c r="C56" s="87">
        <v>9078</v>
      </c>
      <c r="D56" s="476">
        <v>25000</v>
      </c>
      <c r="E56" s="42" t="s">
        <v>80</v>
      </c>
      <c r="F56" s="42">
        <v>278.22000000000003</v>
      </c>
      <c r="G56" s="42">
        <v>25000</v>
      </c>
      <c r="H56" s="42">
        <v>0</v>
      </c>
      <c r="I56" s="89"/>
      <c r="J56" s="89"/>
      <c r="K56" s="89"/>
      <c r="L56" s="89"/>
      <c r="M56" s="89"/>
      <c r="N56" s="30"/>
      <c r="S56" s="526"/>
      <c r="T56" s="526"/>
      <c r="U56" s="526"/>
      <c r="V56" s="526"/>
      <c r="W56" s="526"/>
      <c r="X56" s="526"/>
      <c r="Y56" s="526"/>
      <c r="Z56" s="526"/>
      <c r="AA56" s="526"/>
      <c r="AB56" s="526"/>
      <c r="AC56" s="526"/>
      <c r="AD56" s="526"/>
      <c r="AE56" s="526"/>
      <c r="AF56" s="526"/>
    </row>
    <row r="57" spans="1:32" x14ac:dyDescent="0.25">
      <c r="A57" s="42">
        <v>52</v>
      </c>
      <c r="B57" s="42" t="s">
        <v>779</v>
      </c>
      <c r="C57" s="87">
        <v>2539</v>
      </c>
      <c r="D57" s="476">
        <v>25000</v>
      </c>
      <c r="E57" s="42" t="s">
        <v>80</v>
      </c>
      <c r="F57" s="42">
        <v>278.22000000000003</v>
      </c>
      <c r="G57" s="42">
        <v>25000</v>
      </c>
      <c r="H57" s="42">
        <v>0</v>
      </c>
      <c r="I57" s="89"/>
      <c r="J57" s="89"/>
      <c r="K57" s="89"/>
      <c r="L57" s="89"/>
      <c r="M57" s="89"/>
      <c r="N57" s="30"/>
      <c r="S57" s="526"/>
      <c r="T57" s="526"/>
      <c r="U57" s="526"/>
      <c r="V57" s="526"/>
      <c r="W57" s="526"/>
      <c r="X57" s="526"/>
      <c r="Y57" s="526"/>
      <c r="Z57" s="526"/>
      <c r="AA57" s="526"/>
      <c r="AB57" s="526"/>
      <c r="AC57" s="526"/>
      <c r="AD57" s="526"/>
      <c r="AE57" s="526"/>
      <c r="AF57" s="526"/>
    </row>
    <row r="58" spans="1:32" x14ac:dyDescent="0.25">
      <c r="A58" s="42">
        <v>53</v>
      </c>
      <c r="B58" s="42" t="s">
        <v>779</v>
      </c>
      <c r="C58" s="87">
        <v>8720</v>
      </c>
      <c r="D58" s="476">
        <v>13000</v>
      </c>
      <c r="E58" s="42" t="s">
        <v>80</v>
      </c>
      <c r="F58" s="42">
        <v>144.13</v>
      </c>
      <c r="G58" s="42">
        <v>13000</v>
      </c>
      <c r="H58" s="42">
        <v>0</v>
      </c>
      <c r="I58" s="89"/>
      <c r="J58" s="89"/>
      <c r="K58" s="89"/>
      <c r="L58" s="89"/>
      <c r="M58" s="89"/>
      <c r="N58" s="30"/>
      <c r="S58" s="526"/>
      <c r="T58" s="526"/>
      <c r="U58" s="526"/>
      <c r="V58" s="526"/>
      <c r="W58" s="526"/>
      <c r="X58" s="526"/>
      <c r="Y58" s="526"/>
      <c r="Z58" s="526"/>
      <c r="AA58" s="526"/>
      <c r="AB58" s="526"/>
      <c r="AC58" s="526"/>
      <c r="AD58" s="526"/>
      <c r="AE58" s="526"/>
      <c r="AF58" s="526"/>
    </row>
    <row r="59" spans="1:32" x14ac:dyDescent="0.25">
      <c r="A59" s="42">
        <v>54</v>
      </c>
      <c r="B59" s="42" t="s">
        <v>779</v>
      </c>
      <c r="C59" s="87">
        <v>5.6399999999999999E-2</v>
      </c>
      <c r="D59" s="476">
        <v>14000</v>
      </c>
      <c r="E59" s="42" t="s">
        <v>80</v>
      </c>
      <c r="F59" s="42">
        <v>155.18</v>
      </c>
      <c r="G59" s="42">
        <v>14000</v>
      </c>
      <c r="H59" s="42">
        <v>0</v>
      </c>
      <c r="I59" s="89"/>
      <c r="J59" s="89"/>
      <c r="K59" s="89"/>
      <c r="L59" s="89"/>
      <c r="M59" s="89"/>
      <c r="N59" s="30"/>
      <c r="S59" s="526"/>
      <c r="T59" s="526"/>
      <c r="U59" s="526"/>
      <c r="V59" s="526"/>
      <c r="W59" s="526"/>
      <c r="X59" s="526"/>
      <c r="Y59" s="526"/>
      <c r="Z59" s="526"/>
      <c r="AA59" s="526"/>
      <c r="AB59" s="526"/>
      <c r="AC59" s="526"/>
      <c r="AD59" s="526"/>
      <c r="AE59" s="526"/>
      <c r="AF59" s="526"/>
    </row>
    <row r="60" spans="1:32" x14ac:dyDescent="0.25">
      <c r="A60" s="42">
        <v>55</v>
      </c>
      <c r="B60" s="42" t="s">
        <v>779</v>
      </c>
      <c r="C60" s="87">
        <v>1562</v>
      </c>
      <c r="D60" s="476">
        <v>23000</v>
      </c>
      <c r="E60" s="42" t="s">
        <v>80</v>
      </c>
      <c r="F60" s="42">
        <v>256.69</v>
      </c>
      <c r="G60" s="42">
        <v>23000</v>
      </c>
      <c r="H60" s="42">
        <v>0</v>
      </c>
      <c r="I60" s="89"/>
      <c r="J60" s="89"/>
      <c r="K60" s="89"/>
      <c r="L60" s="89"/>
      <c r="M60" s="89"/>
      <c r="N60" s="30"/>
      <c r="S60" s="526"/>
      <c r="T60" s="526"/>
      <c r="U60" s="526"/>
      <c r="V60" s="526"/>
      <c r="W60" s="526"/>
      <c r="X60" s="526"/>
      <c r="Y60" s="526"/>
      <c r="Z60" s="526"/>
      <c r="AA60" s="526"/>
      <c r="AB60" s="526"/>
      <c r="AC60" s="526"/>
      <c r="AD60" s="526"/>
      <c r="AE60" s="526"/>
      <c r="AF60" s="526"/>
    </row>
    <row r="61" spans="1:32" x14ac:dyDescent="0.25">
      <c r="A61" s="42">
        <v>56</v>
      </c>
      <c r="B61" s="42" t="s">
        <v>779</v>
      </c>
      <c r="C61" s="87">
        <v>4204</v>
      </c>
      <c r="D61" s="476">
        <v>15500</v>
      </c>
      <c r="E61" s="42" t="s">
        <v>80</v>
      </c>
      <c r="F61" s="42">
        <v>172.84</v>
      </c>
      <c r="G61" s="42">
        <v>15500</v>
      </c>
      <c r="H61" s="42">
        <v>0</v>
      </c>
      <c r="I61" s="89"/>
      <c r="J61" s="89"/>
      <c r="K61" s="89"/>
      <c r="L61" s="89"/>
      <c r="M61" s="89"/>
      <c r="N61" s="30"/>
      <c r="S61" s="526"/>
      <c r="T61" s="526"/>
      <c r="U61" s="526"/>
      <c r="V61" s="526"/>
      <c r="W61" s="526"/>
      <c r="X61" s="526"/>
      <c r="Y61" s="526"/>
      <c r="Z61" s="526"/>
      <c r="AA61" s="526"/>
      <c r="AB61" s="526"/>
      <c r="AC61" s="526"/>
      <c r="AD61" s="526"/>
      <c r="AE61" s="526"/>
      <c r="AF61" s="526"/>
    </row>
    <row r="62" spans="1:32" x14ac:dyDescent="0.25">
      <c r="A62" s="42">
        <v>57</v>
      </c>
      <c r="B62" s="42" t="s">
        <v>779</v>
      </c>
      <c r="C62" s="87">
        <v>8597</v>
      </c>
      <c r="D62" s="476">
        <v>18000</v>
      </c>
      <c r="E62" s="42" t="s">
        <v>80</v>
      </c>
      <c r="F62" s="42">
        <v>200.82</v>
      </c>
      <c r="G62" s="42">
        <v>18000</v>
      </c>
      <c r="H62" s="42">
        <v>0</v>
      </c>
      <c r="I62" s="89"/>
      <c r="J62" s="89"/>
      <c r="K62" s="89"/>
      <c r="L62" s="89"/>
      <c r="M62" s="89"/>
      <c r="N62" s="30"/>
      <c r="S62" s="526"/>
      <c r="T62" s="526"/>
      <c r="U62" s="526"/>
      <c r="V62" s="526"/>
      <c r="W62" s="526"/>
      <c r="X62" s="526"/>
      <c r="Y62" s="526"/>
      <c r="Z62" s="526"/>
      <c r="AA62" s="526"/>
      <c r="AB62" s="526"/>
      <c r="AC62" s="526"/>
      <c r="AD62" s="526"/>
      <c r="AE62" s="526"/>
      <c r="AF62" s="526"/>
    </row>
    <row r="63" spans="1:32" x14ac:dyDescent="0.25">
      <c r="A63" s="42">
        <v>58</v>
      </c>
      <c r="B63" s="42" t="s">
        <v>779</v>
      </c>
      <c r="C63" s="87">
        <v>5380</v>
      </c>
      <c r="D63" s="476">
        <v>18000</v>
      </c>
      <c r="E63" s="42" t="s">
        <v>80</v>
      </c>
      <c r="F63" s="42">
        <v>200.82</v>
      </c>
      <c r="G63" s="42">
        <v>18000</v>
      </c>
      <c r="H63" s="42">
        <v>0</v>
      </c>
      <c r="I63" s="89"/>
      <c r="J63" s="89"/>
      <c r="K63" s="89"/>
      <c r="L63" s="89"/>
      <c r="M63" s="89"/>
      <c r="N63" s="30"/>
      <c r="S63" s="526"/>
      <c r="T63" s="526"/>
      <c r="U63" s="526"/>
      <c r="V63" s="526"/>
      <c r="W63" s="526"/>
      <c r="X63" s="526"/>
      <c r="Y63" s="526"/>
      <c r="Z63" s="526"/>
      <c r="AA63" s="526"/>
      <c r="AB63" s="526"/>
      <c r="AC63" s="526"/>
      <c r="AD63" s="526"/>
      <c r="AE63" s="526"/>
      <c r="AF63" s="526"/>
    </row>
    <row r="64" spans="1:32" x14ac:dyDescent="0.25">
      <c r="A64" s="42">
        <v>59</v>
      </c>
      <c r="B64" s="42" t="s">
        <v>779</v>
      </c>
      <c r="C64" s="87">
        <v>6012</v>
      </c>
      <c r="D64" s="476">
        <v>15000</v>
      </c>
      <c r="E64" s="42" t="s">
        <v>80</v>
      </c>
      <c r="F64" s="42">
        <v>167.15</v>
      </c>
      <c r="G64" s="42">
        <v>15000</v>
      </c>
      <c r="H64" s="42">
        <v>0</v>
      </c>
      <c r="I64" s="89"/>
      <c r="J64" s="89"/>
      <c r="K64" s="89"/>
      <c r="L64" s="89"/>
      <c r="M64" s="89"/>
      <c r="N64" s="30"/>
      <c r="S64" s="526"/>
      <c r="T64" s="526"/>
      <c r="U64" s="526"/>
      <c r="V64" s="526"/>
      <c r="W64" s="526"/>
      <c r="X64" s="526"/>
      <c r="Y64" s="526"/>
      <c r="Z64" s="526"/>
      <c r="AA64" s="526"/>
      <c r="AB64" s="526"/>
      <c r="AC64" s="526"/>
      <c r="AD64" s="526"/>
      <c r="AE64" s="526"/>
      <c r="AF64" s="526"/>
    </row>
    <row r="65" spans="1:32" x14ac:dyDescent="0.25">
      <c r="A65" s="42">
        <v>60</v>
      </c>
      <c r="B65" s="42" t="s">
        <v>779</v>
      </c>
      <c r="C65" s="87">
        <v>6311</v>
      </c>
      <c r="D65" s="476">
        <v>30000</v>
      </c>
      <c r="E65" s="42" t="s">
        <v>80</v>
      </c>
      <c r="F65" s="42">
        <v>334.82</v>
      </c>
      <c r="G65" s="42">
        <v>30000</v>
      </c>
      <c r="H65" s="42">
        <v>0</v>
      </c>
      <c r="I65" s="89"/>
      <c r="J65" s="89"/>
      <c r="K65" s="89"/>
      <c r="L65" s="89"/>
      <c r="M65" s="89"/>
      <c r="N65" s="30"/>
      <c r="S65" s="526"/>
      <c r="T65" s="526"/>
      <c r="U65" s="526"/>
      <c r="V65" s="526"/>
      <c r="W65" s="526"/>
      <c r="X65" s="526"/>
      <c r="Y65" s="526"/>
      <c r="Z65" s="526"/>
      <c r="AA65" s="526"/>
      <c r="AB65" s="526"/>
      <c r="AC65" s="526"/>
      <c r="AD65" s="526"/>
      <c r="AE65" s="526"/>
      <c r="AF65" s="526"/>
    </row>
    <row r="66" spans="1:32" x14ac:dyDescent="0.25">
      <c r="A66" s="42">
        <v>61</v>
      </c>
      <c r="B66" s="42" t="s">
        <v>779</v>
      </c>
      <c r="C66" s="87">
        <v>9581</v>
      </c>
      <c r="D66" s="476">
        <v>17000</v>
      </c>
      <c r="E66" s="42" t="s">
        <v>80</v>
      </c>
      <c r="F66" s="42">
        <v>189.27</v>
      </c>
      <c r="G66" s="42">
        <v>17000</v>
      </c>
      <c r="H66" s="42">
        <v>0</v>
      </c>
      <c r="I66" s="89"/>
      <c r="J66" s="89"/>
      <c r="K66" s="89"/>
      <c r="L66" s="89"/>
      <c r="M66" s="89"/>
      <c r="N66" s="30"/>
      <c r="S66" s="526"/>
      <c r="T66" s="526"/>
      <c r="U66" s="526"/>
      <c r="V66" s="526"/>
      <c r="W66" s="526"/>
      <c r="X66" s="526"/>
      <c r="Y66" s="526"/>
      <c r="Z66" s="526"/>
      <c r="AA66" s="526"/>
      <c r="AB66" s="526"/>
      <c r="AC66" s="526"/>
      <c r="AD66" s="526"/>
      <c r="AE66" s="526"/>
      <c r="AF66" s="526"/>
    </row>
    <row r="67" spans="1:32" x14ac:dyDescent="0.25">
      <c r="A67" s="42">
        <v>62</v>
      </c>
      <c r="B67" s="42" t="s">
        <v>779</v>
      </c>
      <c r="C67" s="87">
        <v>6034</v>
      </c>
      <c r="D67" s="476">
        <v>24000</v>
      </c>
      <c r="E67" s="42" t="s">
        <v>80</v>
      </c>
      <c r="F67" s="42">
        <v>238.95</v>
      </c>
      <c r="G67" s="42">
        <v>24000</v>
      </c>
      <c r="H67" s="42">
        <v>0</v>
      </c>
      <c r="I67" s="89"/>
      <c r="J67" s="89"/>
      <c r="K67" s="89"/>
      <c r="L67" s="89"/>
      <c r="M67" s="89"/>
      <c r="N67" s="30"/>
      <c r="S67" s="526"/>
      <c r="T67" s="526"/>
      <c r="U67" s="526"/>
      <c r="V67" s="526"/>
      <c r="W67" s="526"/>
      <c r="X67" s="526"/>
      <c r="Y67" s="526"/>
      <c r="Z67" s="526"/>
      <c r="AA67" s="526"/>
      <c r="AB67" s="526"/>
      <c r="AC67" s="526"/>
      <c r="AD67" s="526"/>
      <c r="AE67" s="526"/>
      <c r="AF67" s="526"/>
    </row>
    <row r="68" spans="1:32" x14ac:dyDescent="0.25">
      <c r="A68" s="42">
        <v>63</v>
      </c>
      <c r="B68" s="42" t="s">
        <v>779</v>
      </c>
      <c r="C68" s="87">
        <v>2640</v>
      </c>
      <c r="D68" s="476">
        <v>22000</v>
      </c>
      <c r="E68" s="42" t="s">
        <v>80</v>
      </c>
      <c r="F68" s="42">
        <v>245.85</v>
      </c>
      <c r="G68" s="42">
        <v>22000</v>
      </c>
      <c r="H68" s="42">
        <v>0</v>
      </c>
      <c r="I68" s="89"/>
      <c r="J68" s="89"/>
      <c r="K68" s="89"/>
      <c r="L68" s="89"/>
      <c r="M68" s="89"/>
      <c r="N68" s="30"/>
      <c r="S68" s="526"/>
      <c r="T68" s="526"/>
      <c r="U68" s="526"/>
      <c r="V68" s="526"/>
      <c r="W68" s="526"/>
      <c r="X68" s="526"/>
      <c r="Y68" s="526"/>
      <c r="Z68" s="526"/>
      <c r="AA68" s="526"/>
      <c r="AB68" s="526"/>
      <c r="AC68" s="526"/>
      <c r="AD68" s="526"/>
      <c r="AE68" s="526"/>
      <c r="AF68" s="526"/>
    </row>
    <row r="69" spans="1:32" x14ac:dyDescent="0.25">
      <c r="A69" s="42">
        <v>64</v>
      </c>
      <c r="B69" s="42" t="s">
        <v>779</v>
      </c>
      <c r="C69" s="87">
        <v>9033</v>
      </c>
      <c r="D69" s="476">
        <v>22000</v>
      </c>
      <c r="E69" s="42" t="s">
        <v>80</v>
      </c>
      <c r="F69" s="42">
        <v>245.85</v>
      </c>
      <c r="G69" s="42">
        <v>22000</v>
      </c>
      <c r="H69" s="42">
        <v>0</v>
      </c>
      <c r="I69" s="89"/>
      <c r="J69" s="89"/>
      <c r="K69" s="89"/>
      <c r="L69" s="89"/>
      <c r="M69" s="89"/>
      <c r="N69" s="30"/>
      <c r="S69" s="526"/>
      <c r="T69" s="526"/>
      <c r="U69" s="526"/>
      <c r="V69" s="526"/>
      <c r="W69" s="526"/>
      <c r="X69" s="526"/>
      <c r="Y69" s="526"/>
      <c r="Z69" s="526"/>
      <c r="AA69" s="526"/>
      <c r="AB69" s="526"/>
      <c r="AC69" s="526"/>
      <c r="AD69" s="526"/>
      <c r="AE69" s="526"/>
      <c r="AF69" s="526"/>
    </row>
    <row r="70" spans="1:32" x14ac:dyDescent="0.25">
      <c r="A70" s="42">
        <v>65</v>
      </c>
      <c r="B70" s="42" t="s">
        <v>779</v>
      </c>
      <c r="C70" s="87">
        <v>2481</v>
      </c>
      <c r="D70" s="476">
        <v>24000</v>
      </c>
      <c r="E70" s="42" t="s">
        <v>80</v>
      </c>
      <c r="F70" s="42">
        <v>245.85</v>
      </c>
      <c r="G70" s="42">
        <v>24000</v>
      </c>
      <c r="H70" s="42">
        <v>0</v>
      </c>
      <c r="I70" s="89"/>
      <c r="J70" s="89"/>
      <c r="K70" s="89"/>
      <c r="L70" s="89"/>
      <c r="M70" s="89"/>
      <c r="N70" s="30"/>
      <c r="S70" s="526"/>
      <c r="T70" s="526"/>
      <c r="U70" s="526"/>
      <c r="V70" s="526"/>
      <c r="W70" s="526"/>
      <c r="X70" s="526"/>
      <c r="Y70" s="526"/>
      <c r="Z70" s="526"/>
      <c r="AA70" s="526"/>
      <c r="AB70" s="526"/>
      <c r="AC70" s="526"/>
      <c r="AD70" s="526"/>
      <c r="AE70" s="526"/>
      <c r="AF70" s="526"/>
    </row>
    <row r="71" spans="1:32" x14ac:dyDescent="0.25">
      <c r="A71" s="42">
        <v>66</v>
      </c>
      <c r="B71" s="42" t="s">
        <v>779</v>
      </c>
      <c r="C71" s="87">
        <v>5879</v>
      </c>
      <c r="D71" s="476">
        <v>20000</v>
      </c>
      <c r="E71" s="42" t="s">
        <v>80</v>
      </c>
      <c r="F71" s="42">
        <v>222.82</v>
      </c>
      <c r="G71" s="42">
        <v>20000</v>
      </c>
      <c r="H71" s="42">
        <v>0</v>
      </c>
      <c r="I71" s="89"/>
      <c r="S71" s="526"/>
      <c r="T71" s="526"/>
      <c r="U71" s="526"/>
      <c r="V71" s="526"/>
      <c r="W71" s="526"/>
      <c r="X71" s="526"/>
      <c r="Y71" s="526"/>
      <c r="Z71" s="526"/>
      <c r="AA71" s="526"/>
      <c r="AB71" s="526"/>
      <c r="AC71" s="526"/>
      <c r="AD71" s="526"/>
      <c r="AE71" s="526"/>
      <c r="AF71" s="526"/>
    </row>
    <row r="72" spans="1:32" x14ac:dyDescent="0.25">
      <c r="A72" s="42">
        <v>67</v>
      </c>
      <c r="B72" s="42" t="s">
        <v>779</v>
      </c>
      <c r="C72" s="87">
        <v>8346</v>
      </c>
      <c r="D72" s="476">
        <v>21000</v>
      </c>
      <c r="E72" s="42" t="s">
        <v>80</v>
      </c>
      <c r="F72" s="42">
        <v>233.24</v>
      </c>
      <c r="G72" s="42">
        <v>21000</v>
      </c>
      <c r="H72" s="42">
        <v>0</v>
      </c>
      <c r="I72" s="89"/>
      <c r="S72" s="526"/>
      <c r="T72" s="526"/>
      <c r="U72" s="526"/>
      <c r="V72" s="526"/>
      <c r="W72" s="526"/>
      <c r="X72" s="526"/>
      <c r="Y72" s="526"/>
      <c r="Z72" s="526"/>
      <c r="AA72" s="526"/>
      <c r="AB72" s="526"/>
      <c r="AC72" s="526"/>
      <c r="AD72" s="526"/>
      <c r="AE72" s="526"/>
      <c r="AF72" s="526"/>
    </row>
    <row r="73" spans="1:32" x14ac:dyDescent="0.25">
      <c r="A73" s="42">
        <v>68</v>
      </c>
      <c r="B73" s="42" t="s">
        <v>779</v>
      </c>
      <c r="C73" s="87">
        <v>3383</v>
      </c>
      <c r="D73" s="476">
        <v>24000</v>
      </c>
      <c r="E73" s="42" t="s">
        <v>80</v>
      </c>
      <c r="F73" s="42">
        <v>238.95</v>
      </c>
      <c r="G73" s="42">
        <v>24000</v>
      </c>
      <c r="H73" s="42">
        <v>0</v>
      </c>
      <c r="I73" s="89"/>
      <c r="S73" s="526"/>
      <c r="T73" s="526"/>
      <c r="U73" s="526"/>
      <c r="V73" s="526"/>
      <c r="W73" s="526"/>
      <c r="X73" s="526"/>
      <c r="Y73" s="526"/>
      <c r="Z73" s="526"/>
      <c r="AA73" s="526"/>
      <c r="AB73" s="526"/>
      <c r="AC73" s="526"/>
      <c r="AD73" s="526"/>
      <c r="AE73" s="526"/>
      <c r="AF73" s="526"/>
    </row>
    <row r="74" spans="1:32" x14ac:dyDescent="0.25">
      <c r="A74" s="42">
        <v>69</v>
      </c>
      <c r="B74" s="42" t="s">
        <v>779</v>
      </c>
      <c r="C74" s="87">
        <v>9306</v>
      </c>
      <c r="D74" s="476">
        <v>7000</v>
      </c>
      <c r="E74" s="42" t="s">
        <v>80</v>
      </c>
      <c r="F74" s="42">
        <v>78.67</v>
      </c>
      <c r="G74" s="42">
        <v>7000</v>
      </c>
      <c r="H74" s="42">
        <v>0</v>
      </c>
      <c r="I74" s="89"/>
      <c r="S74" s="526"/>
      <c r="T74" s="526"/>
      <c r="U74" s="526"/>
      <c r="V74" s="526"/>
      <c r="W74" s="526"/>
      <c r="X74" s="526"/>
      <c r="Y74" s="526"/>
      <c r="Z74" s="526"/>
      <c r="AA74" s="526"/>
      <c r="AB74" s="526"/>
      <c r="AC74" s="526"/>
      <c r="AD74" s="526"/>
      <c r="AE74" s="526"/>
      <c r="AF74" s="526"/>
    </row>
    <row r="75" spans="1:32" x14ac:dyDescent="0.25">
      <c r="A75" s="42">
        <v>70</v>
      </c>
      <c r="B75" s="42" t="s">
        <v>779</v>
      </c>
      <c r="C75" s="87">
        <v>9.2899999999999996E-2</v>
      </c>
      <c r="D75" s="476">
        <v>18000</v>
      </c>
      <c r="E75" s="42" t="s">
        <v>80</v>
      </c>
      <c r="F75" s="42">
        <v>200.82</v>
      </c>
      <c r="G75" s="42">
        <v>18000</v>
      </c>
      <c r="H75" s="42">
        <v>0</v>
      </c>
      <c r="I75" s="89"/>
      <c r="S75" s="526"/>
      <c r="T75" s="526"/>
      <c r="U75" s="526"/>
      <c r="V75" s="526"/>
      <c r="W75" s="526"/>
      <c r="X75" s="526"/>
      <c r="Y75" s="526"/>
      <c r="Z75" s="526"/>
      <c r="AA75" s="526"/>
      <c r="AB75" s="526"/>
      <c r="AC75" s="526"/>
      <c r="AD75" s="526"/>
      <c r="AE75" s="526"/>
      <c r="AF75" s="526"/>
    </row>
    <row r="76" spans="1:32" x14ac:dyDescent="0.25">
      <c r="A76" s="42">
        <v>71</v>
      </c>
      <c r="B76" s="42" t="s">
        <v>779</v>
      </c>
      <c r="C76" s="87">
        <v>6.1699999999999998E-2</v>
      </c>
      <c r="D76" s="476">
        <v>15000</v>
      </c>
      <c r="E76" s="42" t="s">
        <v>80</v>
      </c>
      <c r="F76" s="42">
        <v>167.15</v>
      </c>
      <c r="G76" s="42">
        <v>15000</v>
      </c>
      <c r="H76" s="42">
        <v>0</v>
      </c>
      <c r="I76" s="89"/>
      <c r="S76" s="526"/>
      <c r="T76" s="526"/>
      <c r="U76" s="526"/>
      <c r="V76" s="526"/>
      <c r="W76" s="526"/>
      <c r="X76" s="526"/>
      <c r="Y76" s="526"/>
      <c r="Z76" s="526"/>
      <c r="AA76" s="526"/>
      <c r="AB76" s="526"/>
      <c r="AC76" s="526"/>
      <c r="AD76" s="526"/>
      <c r="AE76" s="526"/>
      <c r="AF76" s="526"/>
    </row>
    <row r="77" spans="1:32" x14ac:dyDescent="0.25">
      <c r="A77" s="42">
        <v>72</v>
      </c>
      <c r="B77" s="42" t="s">
        <v>779</v>
      </c>
      <c r="C77" s="87">
        <v>4307</v>
      </c>
      <c r="D77" s="476">
        <v>14000</v>
      </c>
      <c r="E77" s="42" t="s">
        <v>80</v>
      </c>
      <c r="F77" s="42">
        <v>155.44999999999999</v>
      </c>
      <c r="G77" s="42">
        <v>14000</v>
      </c>
      <c r="H77" s="42">
        <v>0</v>
      </c>
      <c r="I77" s="89"/>
      <c r="S77" s="526"/>
      <c r="T77" s="526"/>
      <c r="U77" s="526"/>
      <c r="V77" s="526"/>
      <c r="W77" s="526"/>
      <c r="X77" s="526"/>
      <c r="Y77" s="526"/>
      <c r="Z77" s="526"/>
      <c r="AA77" s="526"/>
      <c r="AB77" s="526"/>
      <c r="AC77" s="526"/>
      <c r="AD77" s="526"/>
      <c r="AE77" s="526"/>
      <c r="AF77" s="526"/>
    </row>
    <row r="78" spans="1:32" x14ac:dyDescent="0.25">
      <c r="A78" s="42">
        <v>73</v>
      </c>
      <c r="B78" s="42" t="s">
        <v>779</v>
      </c>
      <c r="C78" s="87">
        <v>9972</v>
      </c>
      <c r="D78" s="476">
        <v>13000</v>
      </c>
      <c r="E78" s="42" t="s">
        <v>80</v>
      </c>
      <c r="F78" s="42">
        <v>144.13</v>
      </c>
      <c r="G78" s="42">
        <v>13000</v>
      </c>
      <c r="H78" s="42">
        <v>0</v>
      </c>
      <c r="I78" s="89"/>
      <c r="S78" s="526"/>
      <c r="T78" s="526"/>
      <c r="U78" s="526"/>
      <c r="V78" s="526"/>
      <c r="W78" s="526"/>
      <c r="X78" s="526"/>
      <c r="Y78" s="526"/>
      <c r="Z78" s="526"/>
      <c r="AA78" s="526"/>
      <c r="AB78" s="526"/>
      <c r="AC78" s="526"/>
      <c r="AD78" s="526"/>
      <c r="AE78" s="526"/>
      <c r="AF78" s="526"/>
    </row>
    <row r="79" spans="1:32" x14ac:dyDescent="0.25">
      <c r="A79" s="42">
        <v>74</v>
      </c>
      <c r="B79" s="42" t="s">
        <v>779</v>
      </c>
      <c r="C79" s="87" t="s">
        <v>735</v>
      </c>
      <c r="D79" s="476">
        <v>3500</v>
      </c>
      <c r="E79" s="42" t="s">
        <v>80</v>
      </c>
      <c r="F79" s="42">
        <v>38.25</v>
      </c>
      <c r="G79" s="42">
        <v>3500</v>
      </c>
      <c r="H79" s="42">
        <v>0</v>
      </c>
      <c r="I79" s="89"/>
      <c r="S79" s="526"/>
      <c r="T79" s="526"/>
      <c r="U79" s="526"/>
      <c r="V79" s="526"/>
      <c r="W79" s="526"/>
      <c r="X79" s="526"/>
      <c r="Y79" s="526"/>
      <c r="Z79" s="526"/>
      <c r="AA79" s="526"/>
      <c r="AB79" s="526"/>
      <c r="AC79" s="526"/>
      <c r="AD79" s="526"/>
      <c r="AE79" s="526"/>
      <c r="AF79" s="526"/>
    </row>
    <row r="80" spans="1:32" x14ac:dyDescent="0.25">
      <c r="A80" s="42">
        <v>75</v>
      </c>
      <c r="B80" s="42" t="s">
        <v>779</v>
      </c>
      <c r="C80" s="87">
        <v>6183</v>
      </c>
      <c r="D80" s="476">
        <v>28000</v>
      </c>
      <c r="E80" s="42" t="s">
        <v>80</v>
      </c>
      <c r="F80" s="42">
        <v>311.85000000000002</v>
      </c>
      <c r="G80" s="42">
        <v>28000</v>
      </c>
      <c r="H80" s="42">
        <v>0</v>
      </c>
      <c r="I80" s="89"/>
      <c r="S80" s="526"/>
      <c r="T80" s="526"/>
      <c r="U80" s="526"/>
      <c r="V80" s="526"/>
      <c r="W80" s="526"/>
      <c r="X80" s="526"/>
      <c r="Y80" s="526"/>
      <c r="Z80" s="526"/>
      <c r="AA80" s="526"/>
      <c r="AB80" s="526"/>
      <c r="AC80" s="526"/>
      <c r="AD80" s="526"/>
      <c r="AE80" s="526"/>
      <c r="AF80" s="526"/>
    </row>
    <row r="81" spans="1:32" x14ac:dyDescent="0.25">
      <c r="A81" s="42">
        <v>76</v>
      </c>
      <c r="B81" s="42" t="s">
        <v>779</v>
      </c>
      <c r="C81" s="87">
        <v>7962</v>
      </c>
      <c r="D81" s="476">
        <v>20000</v>
      </c>
      <c r="E81" s="42" t="s">
        <v>80</v>
      </c>
      <c r="F81" s="42">
        <v>222.82</v>
      </c>
      <c r="G81" s="42">
        <v>20000</v>
      </c>
      <c r="H81" s="42">
        <v>0</v>
      </c>
      <c r="I81" s="89"/>
      <c r="S81" s="526"/>
      <c r="T81" s="526"/>
      <c r="U81" s="526"/>
      <c r="V81" s="526"/>
      <c r="W81" s="526"/>
      <c r="X81" s="526"/>
      <c r="Y81" s="526"/>
      <c r="Z81" s="526"/>
      <c r="AA81" s="526"/>
      <c r="AB81" s="526"/>
      <c r="AC81" s="526"/>
      <c r="AD81" s="526"/>
      <c r="AE81" s="526"/>
      <c r="AF81" s="526"/>
    </row>
    <row r="82" spans="1:32" x14ac:dyDescent="0.25">
      <c r="A82" s="42">
        <v>77</v>
      </c>
      <c r="B82" s="42" t="s">
        <v>779</v>
      </c>
      <c r="C82" s="87">
        <v>5758</v>
      </c>
      <c r="D82" s="476">
        <v>40000</v>
      </c>
      <c r="E82" s="42" t="s">
        <v>80</v>
      </c>
      <c r="F82" s="42">
        <v>445.97</v>
      </c>
      <c r="G82" s="42">
        <v>40000</v>
      </c>
      <c r="H82" s="42">
        <v>0</v>
      </c>
      <c r="I82" s="89"/>
      <c r="S82" s="526"/>
      <c r="T82" s="526"/>
      <c r="U82" s="526"/>
      <c r="V82" s="526"/>
      <c r="W82" s="526"/>
      <c r="X82" s="526"/>
      <c r="Y82" s="526"/>
      <c r="Z82" s="526"/>
      <c r="AA82" s="526"/>
      <c r="AB82" s="526"/>
      <c r="AC82" s="526"/>
      <c r="AD82" s="526"/>
      <c r="AE82" s="526"/>
      <c r="AF82" s="526"/>
    </row>
    <row r="83" spans="1:32" x14ac:dyDescent="0.25">
      <c r="A83" s="42">
        <v>78</v>
      </c>
      <c r="B83" s="42" t="s">
        <v>779</v>
      </c>
      <c r="C83" s="87">
        <v>8745</v>
      </c>
      <c r="D83" s="476">
        <v>25000</v>
      </c>
      <c r="E83" s="42" t="s">
        <v>80</v>
      </c>
      <c r="F83" s="42">
        <v>278.22000000000003</v>
      </c>
      <c r="G83" s="42">
        <v>25000</v>
      </c>
      <c r="H83" s="42">
        <v>0</v>
      </c>
      <c r="I83" s="89"/>
      <c r="S83" s="526"/>
      <c r="T83" s="526"/>
      <c r="U83" s="526"/>
      <c r="V83" s="526"/>
      <c r="W83" s="526"/>
      <c r="X83" s="526"/>
      <c r="Y83" s="526"/>
      <c r="Z83" s="526"/>
      <c r="AA83" s="526"/>
      <c r="AB83" s="526"/>
      <c r="AC83" s="526"/>
      <c r="AD83" s="526"/>
      <c r="AE83" s="526"/>
      <c r="AF83" s="526"/>
    </row>
    <row r="84" spans="1:32" x14ac:dyDescent="0.25">
      <c r="A84" s="42">
        <v>79</v>
      </c>
      <c r="B84" s="42" t="s">
        <v>779</v>
      </c>
      <c r="C84" s="87">
        <v>5345</v>
      </c>
      <c r="D84" s="476">
        <v>25000</v>
      </c>
      <c r="E84" s="42" t="s">
        <v>80</v>
      </c>
      <c r="F84" s="42">
        <v>278.22000000000003</v>
      </c>
      <c r="G84" s="42">
        <v>25000</v>
      </c>
      <c r="H84" s="42">
        <v>0</v>
      </c>
      <c r="I84" s="89"/>
      <c r="S84" s="526"/>
      <c r="T84" s="526"/>
      <c r="U84" s="526"/>
      <c r="V84" s="526"/>
      <c r="W84" s="526"/>
      <c r="X84" s="526"/>
      <c r="Y84" s="526"/>
      <c r="Z84" s="526"/>
      <c r="AA84" s="526"/>
      <c r="AB84" s="526"/>
      <c r="AC84" s="526"/>
      <c r="AD84" s="526"/>
      <c r="AE84" s="526"/>
      <c r="AF84" s="526"/>
    </row>
    <row r="85" spans="1:32" x14ac:dyDescent="0.25">
      <c r="A85" s="42">
        <v>80</v>
      </c>
      <c r="B85" s="42" t="s">
        <v>779</v>
      </c>
      <c r="C85" s="87">
        <v>4945</v>
      </c>
      <c r="D85" s="476">
        <v>25000</v>
      </c>
      <c r="E85" s="42" t="s">
        <v>80</v>
      </c>
      <c r="F85" s="42">
        <v>278.22000000000003</v>
      </c>
      <c r="G85" s="42">
        <v>25000</v>
      </c>
      <c r="H85" s="42">
        <v>0</v>
      </c>
      <c r="I85" s="89"/>
      <c r="S85" s="526"/>
      <c r="T85" s="526"/>
      <c r="U85" s="526"/>
      <c r="V85" s="526"/>
      <c r="W85" s="526"/>
      <c r="X85" s="526"/>
      <c r="Y85" s="526"/>
      <c r="Z85" s="526"/>
      <c r="AA85" s="526"/>
      <c r="AB85" s="526"/>
      <c r="AC85" s="526"/>
      <c r="AD85" s="526"/>
      <c r="AE85" s="526"/>
      <c r="AF85" s="526"/>
    </row>
    <row r="86" spans="1:32" x14ac:dyDescent="0.25">
      <c r="A86" s="42">
        <v>81</v>
      </c>
      <c r="B86" s="42" t="s">
        <v>779</v>
      </c>
      <c r="C86" s="87">
        <v>5149</v>
      </c>
      <c r="D86" s="476">
        <v>9000</v>
      </c>
      <c r="E86" s="42" t="s">
        <v>80</v>
      </c>
      <c r="F86" s="42">
        <v>100.67</v>
      </c>
      <c r="G86" s="42">
        <v>9000</v>
      </c>
      <c r="H86" s="42">
        <v>0</v>
      </c>
      <c r="I86" s="89"/>
      <c r="S86" s="526"/>
      <c r="T86" s="526"/>
      <c r="U86" s="526"/>
      <c r="V86" s="526"/>
      <c r="W86" s="526"/>
      <c r="X86" s="526"/>
      <c r="Y86" s="526"/>
      <c r="Z86" s="526"/>
      <c r="AA86" s="526"/>
      <c r="AB86" s="526"/>
      <c r="AC86" s="526"/>
      <c r="AD86" s="526"/>
      <c r="AE86" s="526"/>
      <c r="AF86" s="526"/>
    </row>
    <row r="87" spans="1:32" x14ac:dyDescent="0.25">
      <c r="A87" s="42">
        <v>82</v>
      </c>
      <c r="B87" s="42" t="s">
        <v>779</v>
      </c>
      <c r="C87" s="87">
        <v>1445</v>
      </c>
      <c r="D87" s="476">
        <v>25000</v>
      </c>
      <c r="E87" s="42" t="s">
        <v>80</v>
      </c>
      <c r="F87" s="42">
        <v>278.22000000000003</v>
      </c>
      <c r="G87" s="42">
        <v>25000</v>
      </c>
      <c r="H87" s="42">
        <v>0</v>
      </c>
      <c r="I87" s="89"/>
      <c r="S87" s="526"/>
      <c r="T87" s="526"/>
      <c r="U87" s="526"/>
      <c r="V87" s="526"/>
      <c r="W87" s="526"/>
      <c r="X87" s="526"/>
      <c r="Y87" s="526"/>
      <c r="Z87" s="526"/>
      <c r="AA87" s="526"/>
      <c r="AB87" s="526"/>
      <c r="AC87" s="526"/>
      <c r="AD87" s="526"/>
      <c r="AE87" s="526"/>
      <c r="AF87" s="526"/>
    </row>
    <row r="88" spans="1:32" x14ac:dyDescent="0.25">
      <c r="A88" s="42">
        <v>83</v>
      </c>
      <c r="B88" s="42" t="s">
        <v>779</v>
      </c>
      <c r="C88" s="87">
        <v>8345</v>
      </c>
      <c r="D88" s="476">
        <v>25000</v>
      </c>
      <c r="E88" s="42" t="s">
        <v>80</v>
      </c>
      <c r="F88" s="42">
        <v>278.22000000000003</v>
      </c>
      <c r="G88" s="42">
        <v>25000</v>
      </c>
      <c r="H88" s="42">
        <v>0</v>
      </c>
      <c r="I88" s="89"/>
      <c r="S88" s="526"/>
      <c r="T88" s="526"/>
      <c r="U88" s="526"/>
      <c r="V88" s="526"/>
      <c r="W88" s="526"/>
      <c r="X88" s="526"/>
      <c r="Y88" s="526"/>
      <c r="Z88" s="526"/>
      <c r="AA88" s="526"/>
      <c r="AB88" s="526"/>
      <c r="AC88" s="526"/>
      <c r="AD88" s="526"/>
      <c r="AE88" s="526"/>
      <c r="AF88" s="526"/>
    </row>
    <row r="89" spans="1:32" x14ac:dyDescent="0.25">
      <c r="A89" s="42">
        <v>84</v>
      </c>
      <c r="B89" s="42" t="s">
        <v>779</v>
      </c>
      <c r="C89" s="87">
        <v>1545</v>
      </c>
      <c r="D89" s="476">
        <v>25000</v>
      </c>
      <c r="E89" s="42" t="s">
        <v>80</v>
      </c>
      <c r="F89" s="42">
        <v>278.22000000000003</v>
      </c>
      <c r="G89" s="42">
        <v>25000</v>
      </c>
      <c r="H89" s="42">
        <v>0</v>
      </c>
      <c r="I89" s="89"/>
      <c r="S89" s="526"/>
      <c r="T89" s="526"/>
      <c r="U89" s="526"/>
      <c r="V89" s="526"/>
      <c r="W89" s="526"/>
      <c r="X89" s="526"/>
      <c r="Y89" s="526"/>
      <c r="Z89" s="526"/>
      <c r="AA89" s="526"/>
      <c r="AB89" s="526"/>
      <c r="AC89" s="526"/>
      <c r="AD89" s="526"/>
      <c r="AE89" s="526"/>
      <c r="AF89" s="526"/>
    </row>
    <row r="90" spans="1:32" x14ac:dyDescent="0.25">
      <c r="A90" s="42">
        <v>85</v>
      </c>
      <c r="B90" s="42" t="s">
        <v>779</v>
      </c>
      <c r="C90" s="87">
        <v>9.4500000000000001E-2</v>
      </c>
      <c r="D90" s="476">
        <v>25000</v>
      </c>
      <c r="E90" s="42" t="s">
        <v>80</v>
      </c>
      <c r="F90" s="42">
        <v>278.22000000000003</v>
      </c>
      <c r="G90" s="42">
        <v>25000</v>
      </c>
      <c r="H90" s="42">
        <v>0</v>
      </c>
      <c r="I90" s="89"/>
      <c r="S90" s="526"/>
      <c r="T90" s="526"/>
      <c r="U90" s="526"/>
      <c r="V90" s="526"/>
      <c r="W90" s="526"/>
      <c r="X90" s="526"/>
      <c r="Y90" s="526"/>
      <c r="Z90" s="526"/>
      <c r="AA90" s="526"/>
      <c r="AB90" s="526"/>
      <c r="AC90" s="526"/>
      <c r="AD90" s="526"/>
      <c r="AE90" s="526"/>
      <c r="AF90" s="526"/>
    </row>
    <row r="91" spans="1:32" ht="15.75" x14ac:dyDescent="0.25">
      <c r="A91" s="42">
        <v>86</v>
      </c>
      <c r="B91" s="42" t="s">
        <v>779</v>
      </c>
      <c r="C91" s="87">
        <v>4601</v>
      </c>
      <c r="D91" s="476">
        <v>26000</v>
      </c>
      <c r="E91" s="42" t="s">
        <v>80</v>
      </c>
      <c r="F91" s="42">
        <v>282.37</v>
      </c>
      <c r="G91" s="42">
        <v>26000</v>
      </c>
      <c r="H91" s="42">
        <v>0</v>
      </c>
      <c r="I91" s="89"/>
      <c r="P91" s="509">
        <v>200000</v>
      </c>
      <c r="S91" s="526"/>
      <c r="T91" s="526"/>
      <c r="U91" s="526"/>
      <c r="V91" s="526"/>
      <c r="W91" s="526"/>
      <c r="X91" s="526"/>
      <c r="Y91" s="526"/>
      <c r="Z91" s="526"/>
      <c r="AA91" s="526"/>
      <c r="AB91" s="526"/>
      <c r="AC91" s="526"/>
      <c r="AD91" s="526"/>
      <c r="AE91" s="526"/>
      <c r="AF91" s="526"/>
    </row>
    <row r="92" spans="1:32" ht="15.75" x14ac:dyDescent="0.25">
      <c r="A92" s="42">
        <v>87</v>
      </c>
      <c r="B92" s="42" t="s">
        <v>780</v>
      </c>
      <c r="C92" s="87" t="s">
        <v>633</v>
      </c>
      <c r="D92" s="476">
        <v>100</v>
      </c>
      <c r="E92" s="42" t="s">
        <v>80</v>
      </c>
      <c r="F92" s="42">
        <v>1.0900000000000001</v>
      </c>
      <c r="G92" s="42">
        <v>100</v>
      </c>
      <c r="H92" s="42">
        <v>0</v>
      </c>
      <c r="I92" s="89"/>
      <c r="P92" s="509">
        <v>300000</v>
      </c>
      <c r="S92" s="526"/>
      <c r="T92" s="526"/>
      <c r="U92" s="526"/>
      <c r="V92" s="526"/>
      <c r="W92" s="526"/>
      <c r="X92" s="526"/>
      <c r="Y92" s="526"/>
      <c r="Z92" s="526"/>
      <c r="AA92" s="526"/>
      <c r="AB92" s="526"/>
      <c r="AC92" s="526"/>
      <c r="AD92" s="526"/>
      <c r="AE92" s="526"/>
      <c r="AF92" s="526"/>
    </row>
    <row r="93" spans="1:32" ht="15.75" x14ac:dyDescent="0.25">
      <c r="A93" s="42">
        <v>88</v>
      </c>
      <c r="B93" s="42" t="s">
        <v>780</v>
      </c>
      <c r="C93" s="87">
        <v>2170</v>
      </c>
      <c r="D93" s="476">
        <v>26000</v>
      </c>
      <c r="E93" s="42" t="s">
        <v>80</v>
      </c>
      <c r="F93" s="42">
        <v>276.85000000000002</v>
      </c>
      <c r="G93" s="42">
        <v>26000</v>
      </c>
      <c r="H93" s="42">
        <v>0</v>
      </c>
      <c r="I93" s="89"/>
      <c r="P93" s="509">
        <v>700000</v>
      </c>
      <c r="S93" s="526"/>
      <c r="T93" s="526"/>
      <c r="U93" s="526"/>
      <c r="V93" s="526"/>
      <c r="W93" s="526"/>
      <c r="X93" s="526"/>
      <c r="Y93" s="526"/>
      <c r="Z93" s="526"/>
      <c r="AA93" s="526"/>
      <c r="AB93" s="526"/>
      <c r="AC93" s="526"/>
      <c r="AD93" s="526"/>
      <c r="AE93" s="526"/>
      <c r="AF93" s="526"/>
    </row>
    <row r="94" spans="1:32" ht="15.75" x14ac:dyDescent="0.25">
      <c r="A94" s="42">
        <v>89</v>
      </c>
      <c r="B94" s="42" t="s">
        <v>780</v>
      </c>
      <c r="C94" s="87">
        <v>3587</v>
      </c>
      <c r="D94" s="476">
        <v>14000</v>
      </c>
      <c r="E94" s="42" t="s">
        <v>80</v>
      </c>
      <c r="F94" s="42">
        <v>155.44999999999999</v>
      </c>
      <c r="G94" s="42">
        <v>14000</v>
      </c>
      <c r="H94" s="42">
        <v>0</v>
      </c>
      <c r="I94" s="89"/>
      <c r="P94" s="509">
        <v>800000</v>
      </c>
      <c r="S94" s="526"/>
      <c r="T94" s="526"/>
      <c r="U94" s="526"/>
      <c r="V94" s="526"/>
      <c r="W94" s="526"/>
      <c r="X94" s="526"/>
      <c r="Y94" s="526"/>
      <c r="Z94" s="526"/>
      <c r="AA94" s="526"/>
      <c r="AB94" s="526"/>
      <c r="AC94" s="526"/>
      <c r="AD94" s="526"/>
      <c r="AE94" s="526"/>
      <c r="AF94" s="526"/>
    </row>
    <row r="95" spans="1:32" ht="15.75" x14ac:dyDescent="0.25">
      <c r="A95" s="42">
        <v>90</v>
      </c>
      <c r="B95" s="42" t="s">
        <v>780</v>
      </c>
      <c r="C95" s="87">
        <v>4067</v>
      </c>
      <c r="D95" s="476">
        <v>13000</v>
      </c>
      <c r="E95" s="42" t="s">
        <v>80</v>
      </c>
      <c r="F95" s="42">
        <v>144.13</v>
      </c>
      <c r="G95" s="42">
        <v>13000</v>
      </c>
      <c r="H95" s="42">
        <v>0</v>
      </c>
      <c r="I95" s="89"/>
      <c r="P95" s="509">
        <v>600000</v>
      </c>
      <c r="S95" s="526"/>
      <c r="T95" s="526"/>
      <c r="U95" s="526"/>
      <c r="V95" s="526"/>
      <c r="W95" s="526"/>
      <c r="X95" s="526"/>
      <c r="Y95" s="526"/>
      <c r="Z95" s="526"/>
      <c r="AA95" s="526"/>
      <c r="AB95" s="526"/>
      <c r="AC95" s="526"/>
      <c r="AD95" s="526"/>
      <c r="AE95" s="526"/>
      <c r="AF95" s="526"/>
    </row>
    <row r="96" spans="1:32" ht="15.75" x14ac:dyDescent="0.25">
      <c r="A96" s="42">
        <v>91</v>
      </c>
      <c r="B96" s="42" t="s">
        <v>780</v>
      </c>
      <c r="C96" s="87">
        <v>1172</v>
      </c>
      <c r="D96" s="476">
        <v>14000</v>
      </c>
      <c r="E96" s="42" t="s">
        <v>80</v>
      </c>
      <c r="F96" s="42">
        <v>155.44999999999999</v>
      </c>
      <c r="G96" s="42">
        <v>14000</v>
      </c>
      <c r="H96" s="42">
        <v>0</v>
      </c>
      <c r="I96" s="89"/>
      <c r="P96" s="509">
        <v>700000</v>
      </c>
      <c r="S96" s="526"/>
      <c r="T96" s="526"/>
      <c r="U96" s="526"/>
      <c r="V96" s="526"/>
      <c r="W96" s="526"/>
      <c r="X96" s="526"/>
      <c r="Y96" s="526"/>
      <c r="Z96" s="526"/>
      <c r="AA96" s="526"/>
      <c r="AB96" s="526"/>
      <c r="AC96" s="526"/>
      <c r="AD96" s="526"/>
      <c r="AE96" s="526"/>
      <c r="AF96" s="526"/>
    </row>
    <row r="97" spans="1:32" ht="15.75" x14ac:dyDescent="0.25">
      <c r="A97" s="42">
        <v>92</v>
      </c>
      <c r="B97" s="42" t="s">
        <v>780</v>
      </c>
      <c r="C97" s="87">
        <v>6910</v>
      </c>
      <c r="D97" s="476">
        <v>10000</v>
      </c>
      <c r="E97" s="42" t="s">
        <v>80</v>
      </c>
      <c r="F97" s="42">
        <v>111.41</v>
      </c>
      <c r="G97" s="42">
        <v>10000</v>
      </c>
      <c r="H97" s="42">
        <v>0</v>
      </c>
      <c r="I97" s="89"/>
      <c r="P97" s="509">
        <v>500000</v>
      </c>
      <c r="S97" s="526"/>
      <c r="T97" s="526"/>
      <c r="U97" s="526"/>
      <c r="V97" s="526"/>
      <c r="W97" s="526"/>
      <c r="X97" s="526"/>
      <c r="Y97" s="526"/>
      <c r="Z97" s="526"/>
      <c r="AA97" s="526"/>
      <c r="AB97" s="526"/>
      <c r="AC97" s="526"/>
      <c r="AD97" s="526"/>
      <c r="AE97" s="526"/>
      <c r="AF97" s="526"/>
    </row>
    <row r="98" spans="1:32" ht="15.75" x14ac:dyDescent="0.25">
      <c r="A98" s="42">
        <v>93</v>
      </c>
      <c r="B98" s="42" t="s">
        <v>780</v>
      </c>
      <c r="C98" s="87">
        <v>2354</v>
      </c>
      <c r="D98" s="476">
        <v>16000</v>
      </c>
      <c r="E98" s="42" t="s">
        <v>80</v>
      </c>
      <c r="F98" s="42">
        <v>178.22</v>
      </c>
      <c r="G98" s="42">
        <v>16000</v>
      </c>
      <c r="H98" s="42">
        <v>0</v>
      </c>
      <c r="I98" s="89"/>
      <c r="P98" s="509">
        <v>300000</v>
      </c>
      <c r="S98" s="526"/>
      <c r="T98" s="526"/>
      <c r="U98" s="526"/>
      <c r="V98" s="526"/>
      <c r="W98" s="526"/>
      <c r="X98" s="526"/>
      <c r="Y98" s="526"/>
      <c r="Z98" s="526"/>
      <c r="AA98" s="526"/>
      <c r="AB98" s="526"/>
      <c r="AC98" s="526"/>
      <c r="AD98" s="526"/>
      <c r="AE98" s="526"/>
      <c r="AF98" s="526"/>
    </row>
    <row r="99" spans="1:32" ht="15.75" x14ac:dyDescent="0.25">
      <c r="A99" s="42">
        <v>94</v>
      </c>
      <c r="B99" s="42" t="s">
        <v>780</v>
      </c>
      <c r="C99" s="87">
        <v>9644</v>
      </c>
      <c r="D99" s="476">
        <v>15000</v>
      </c>
      <c r="E99" s="42" t="s">
        <v>80</v>
      </c>
      <c r="F99" s="42">
        <v>167.15</v>
      </c>
      <c r="G99" s="42">
        <v>15000</v>
      </c>
      <c r="H99" s="42">
        <v>0</v>
      </c>
      <c r="I99" s="89"/>
      <c r="P99" s="509">
        <v>500000</v>
      </c>
      <c r="S99" s="526"/>
      <c r="T99" s="526"/>
      <c r="U99" s="526"/>
      <c r="V99" s="526"/>
      <c r="W99" s="526"/>
      <c r="X99" s="526"/>
      <c r="Y99" s="526"/>
      <c r="Z99" s="526"/>
      <c r="AA99" s="526"/>
      <c r="AB99" s="526"/>
      <c r="AC99" s="526"/>
      <c r="AD99" s="526"/>
      <c r="AE99" s="526"/>
      <c r="AF99" s="526"/>
    </row>
    <row r="100" spans="1:32" ht="15.75" x14ac:dyDescent="0.25">
      <c r="A100" s="42">
        <v>95</v>
      </c>
      <c r="B100" s="42" t="s">
        <v>780</v>
      </c>
      <c r="C100" s="87">
        <v>7450</v>
      </c>
      <c r="D100" s="476">
        <v>15000</v>
      </c>
      <c r="E100" s="42" t="s">
        <v>80</v>
      </c>
      <c r="F100" s="42">
        <v>167.15</v>
      </c>
      <c r="G100" s="42">
        <v>15000</v>
      </c>
      <c r="H100" s="42">
        <v>0</v>
      </c>
      <c r="I100" s="89"/>
      <c r="P100" s="509">
        <v>500000</v>
      </c>
      <c r="S100" s="526"/>
      <c r="T100" s="526"/>
      <c r="U100" s="526"/>
      <c r="V100" s="526"/>
      <c r="W100" s="526"/>
      <c r="X100" s="526"/>
      <c r="Y100" s="526"/>
      <c r="Z100" s="526"/>
      <c r="AA100" s="526"/>
      <c r="AB100" s="526"/>
      <c r="AC100" s="526"/>
      <c r="AD100" s="526"/>
      <c r="AE100" s="526"/>
      <c r="AF100" s="526"/>
    </row>
    <row r="101" spans="1:32" ht="15.75" x14ac:dyDescent="0.25">
      <c r="A101" s="42">
        <v>96</v>
      </c>
      <c r="B101" s="42" t="s">
        <v>780</v>
      </c>
      <c r="C101" s="87">
        <v>8874</v>
      </c>
      <c r="D101" s="476">
        <v>27000</v>
      </c>
      <c r="E101" s="42" t="s">
        <v>80</v>
      </c>
      <c r="F101" s="42">
        <v>300.82</v>
      </c>
      <c r="G101" s="42">
        <v>27000</v>
      </c>
      <c r="H101" s="42">
        <v>0</v>
      </c>
      <c r="I101" s="89"/>
      <c r="P101" s="509">
        <v>500000</v>
      </c>
      <c r="S101" s="526"/>
      <c r="T101" s="526"/>
      <c r="U101" s="526"/>
      <c r="V101" s="526"/>
      <c r="W101" s="526"/>
      <c r="X101" s="526"/>
      <c r="Y101" s="526"/>
      <c r="Z101" s="526"/>
      <c r="AA101" s="526"/>
      <c r="AB101" s="526"/>
      <c r="AC101" s="526"/>
      <c r="AD101" s="526"/>
      <c r="AE101" s="526"/>
      <c r="AF101" s="526"/>
    </row>
    <row r="102" spans="1:32" ht="15.75" x14ac:dyDescent="0.25">
      <c r="A102" s="42">
        <v>97</v>
      </c>
      <c r="B102" s="42" t="s">
        <v>780</v>
      </c>
      <c r="C102" s="87">
        <v>6092</v>
      </c>
      <c r="D102" s="476">
        <v>17000</v>
      </c>
      <c r="E102" s="42" t="s">
        <v>80</v>
      </c>
      <c r="F102" s="42">
        <v>189.65</v>
      </c>
      <c r="G102" s="42">
        <v>17000</v>
      </c>
      <c r="H102" s="42">
        <v>0</v>
      </c>
      <c r="I102" s="89"/>
      <c r="P102" s="509">
        <v>200000</v>
      </c>
      <c r="S102" s="526"/>
      <c r="T102" s="526"/>
      <c r="U102" s="526"/>
      <c r="V102" s="526"/>
      <c r="W102" s="526"/>
      <c r="X102" s="526"/>
      <c r="Y102" s="526"/>
      <c r="Z102" s="526"/>
      <c r="AA102" s="526"/>
      <c r="AB102" s="526"/>
      <c r="AC102" s="526"/>
      <c r="AD102" s="526"/>
      <c r="AE102" s="526"/>
      <c r="AF102" s="526"/>
    </row>
    <row r="103" spans="1:32" ht="15.75" x14ac:dyDescent="0.25">
      <c r="A103" s="42">
        <v>98</v>
      </c>
      <c r="B103" s="42" t="s">
        <v>780</v>
      </c>
      <c r="C103" s="87">
        <v>4962</v>
      </c>
      <c r="D103" s="476">
        <v>17000</v>
      </c>
      <c r="E103" s="42" t="s">
        <v>80</v>
      </c>
      <c r="F103" s="42">
        <v>189.65</v>
      </c>
      <c r="G103" s="42">
        <v>17000</v>
      </c>
      <c r="H103" s="42">
        <v>0</v>
      </c>
      <c r="I103" s="89"/>
      <c r="P103" s="509">
        <v>700000</v>
      </c>
      <c r="S103" s="526"/>
      <c r="T103" s="526"/>
      <c r="U103" s="526"/>
      <c r="V103" s="526"/>
      <c r="W103" s="526"/>
      <c r="X103" s="526"/>
      <c r="Y103" s="526"/>
      <c r="Z103" s="526"/>
      <c r="AA103" s="526"/>
      <c r="AB103" s="526"/>
      <c r="AC103" s="526"/>
      <c r="AD103" s="526"/>
      <c r="AE103" s="526"/>
      <c r="AF103" s="526"/>
    </row>
    <row r="104" spans="1:32" ht="15.75" x14ac:dyDescent="0.25">
      <c r="A104" s="42">
        <v>99</v>
      </c>
      <c r="B104" s="42" t="s">
        <v>780</v>
      </c>
      <c r="C104" s="87" t="s">
        <v>30</v>
      </c>
      <c r="D104" s="476">
        <v>5000</v>
      </c>
      <c r="E104" s="42" t="s">
        <v>80</v>
      </c>
      <c r="F104" s="42">
        <v>55.45</v>
      </c>
      <c r="G104" s="42">
        <v>5000</v>
      </c>
      <c r="H104" s="42">
        <v>0</v>
      </c>
      <c r="I104" s="89"/>
      <c r="P104" s="509">
        <v>1000000</v>
      </c>
      <c r="S104" s="526"/>
      <c r="T104" s="526"/>
      <c r="U104" s="526"/>
      <c r="V104" s="526"/>
      <c r="W104" s="526"/>
      <c r="X104" s="526"/>
      <c r="Y104" s="526"/>
      <c r="Z104" s="526"/>
      <c r="AA104" s="526"/>
      <c r="AB104" s="526"/>
      <c r="AC104" s="526"/>
      <c r="AD104" s="526"/>
      <c r="AE104" s="526"/>
      <c r="AF104" s="526"/>
    </row>
    <row r="105" spans="1:32" ht="15.75" x14ac:dyDescent="0.25">
      <c r="A105" s="42">
        <v>100</v>
      </c>
      <c r="B105" s="42" t="s">
        <v>780</v>
      </c>
      <c r="C105" s="87" t="s">
        <v>30</v>
      </c>
      <c r="D105" s="476">
        <v>4500</v>
      </c>
      <c r="E105" s="42" t="s">
        <v>80</v>
      </c>
      <c r="F105" s="42">
        <v>50.5</v>
      </c>
      <c r="G105" s="42">
        <v>4500</v>
      </c>
      <c r="H105" s="42">
        <v>0</v>
      </c>
      <c r="I105" s="89"/>
      <c r="P105" s="509">
        <v>700000</v>
      </c>
      <c r="S105" s="526"/>
      <c r="T105" s="526"/>
      <c r="U105" s="526"/>
      <c r="V105" s="526"/>
      <c r="W105" s="526"/>
      <c r="X105" s="526"/>
      <c r="Y105" s="526"/>
      <c r="Z105" s="526"/>
      <c r="AA105" s="526"/>
      <c r="AB105" s="526"/>
      <c r="AC105" s="526"/>
      <c r="AD105" s="526"/>
      <c r="AE105" s="526"/>
      <c r="AF105" s="526"/>
    </row>
    <row r="106" spans="1:32" ht="15.75" x14ac:dyDescent="0.25">
      <c r="A106" s="42">
        <v>101</v>
      </c>
      <c r="B106" s="42" t="s">
        <v>780</v>
      </c>
      <c r="C106" s="87">
        <v>4.7800000000000002E-2</v>
      </c>
      <c r="D106" s="476">
        <v>10500</v>
      </c>
      <c r="E106" s="42" t="s">
        <v>80</v>
      </c>
      <c r="F106" s="42">
        <v>116.87</v>
      </c>
      <c r="G106" s="42">
        <v>10500</v>
      </c>
      <c r="H106" s="42">
        <v>0</v>
      </c>
      <c r="I106" s="89"/>
      <c r="P106" s="509">
        <v>700000</v>
      </c>
      <c r="S106" s="526"/>
      <c r="T106" s="526"/>
      <c r="U106" s="526"/>
      <c r="V106" s="526"/>
      <c r="W106" s="526"/>
      <c r="X106" s="526"/>
      <c r="Y106" s="526"/>
      <c r="Z106" s="526"/>
      <c r="AA106" s="526"/>
      <c r="AB106" s="526"/>
      <c r="AC106" s="526"/>
      <c r="AD106" s="526"/>
      <c r="AE106" s="526"/>
      <c r="AF106" s="526"/>
    </row>
    <row r="107" spans="1:32" ht="15.75" x14ac:dyDescent="0.25">
      <c r="A107" s="42">
        <v>102</v>
      </c>
      <c r="B107" s="42" t="s">
        <v>780</v>
      </c>
      <c r="C107" s="87">
        <v>3498</v>
      </c>
      <c r="D107" s="476">
        <v>8000</v>
      </c>
      <c r="E107" s="42" t="s">
        <v>80</v>
      </c>
      <c r="F107" s="42">
        <v>89.74</v>
      </c>
      <c r="G107" s="42">
        <v>8000</v>
      </c>
      <c r="H107" s="42">
        <v>0</v>
      </c>
      <c r="I107" s="89"/>
      <c r="P107" s="509">
        <v>500000</v>
      </c>
      <c r="S107" s="526"/>
      <c r="T107" s="526"/>
      <c r="U107" s="526"/>
      <c r="V107" s="526"/>
      <c r="W107" s="526"/>
      <c r="X107" s="526"/>
      <c r="Y107" s="526"/>
      <c r="Z107" s="526"/>
      <c r="AA107" s="526"/>
      <c r="AB107" s="526"/>
      <c r="AC107" s="526"/>
      <c r="AD107" s="526"/>
      <c r="AE107" s="526"/>
      <c r="AF107" s="526"/>
    </row>
    <row r="108" spans="1:32" ht="15.75" x14ac:dyDescent="0.25">
      <c r="A108" s="42">
        <v>103</v>
      </c>
      <c r="B108" s="42" t="s">
        <v>780</v>
      </c>
      <c r="C108" s="87">
        <v>7445</v>
      </c>
      <c r="D108" s="476">
        <v>26000</v>
      </c>
      <c r="E108" s="42" t="s">
        <v>80</v>
      </c>
      <c r="F108" s="42">
        <v>276.85000000000002</v>
      </c>
      <c r="G108" s="42">
        <v>26000</v>
      </c>
      <c r="H108" s="42">
        <v>0</v>
      </c>
      <c r="I108" s="89"/>
      <c r="P108" s="509">
        <v>800000</v>
      </c>
      <c r="S108" s="526"/>
      <c r="T108" s="526"/>
      <c r="U108" s="526"/>
      <c r="V108" s="526"/>
      <c r="W108" s="526"/>
      <c r="X108" s="526"/>
      <c r="Y108" s="526"/>
      <c r="Z108" s="526"/>
      <c r="AA108" s="526"/>
      <c r="AB108" s="526"/>
      <c r="AC108" s="526"/>
      <c r="AD108" s="526"/>
      <c r="AE108" s="526"/>
      <c r="AF108" s="526"/>
    </row>
    <row r="109" spans="1:32" ht="15.75" x14ac:dyDescent="0.25">
      <c r="A109" s="42">
        <v>104</v>
      </c>
      <c r="B109" s="42" t="s">
        <v>780</v>
      </c>
      <c r="C109" s="87">
        <v>4077</v>
      </c>
      <c r="D109" s="476">
        <v>14000</v>
      </c>
      <c r="E109" s="42" t="s">
        <v>80</v>
      </c>
      <c r="F109" s="42">
        <v>155.44999999999999</v>
      </c>
      <c r="G109" s="42">
        <v>14000</v>
      </c>
      <c r="H109" s="42">
        <v>0</v>
      </c>
      <c r="I109" s="89"/>
      <c r="P109" s="509">
        <v>600000</v>
      </c>
      <c r="S109" s="526"/>
      <c r="T109" s="526"/>
      <c r="U109" s="526"/>
      <c r="V109" s="526"/>
      <c r="W109" s="526"/>
      <c r="X109" s="526"/>
      <c r="Y109" s="526"/>
      <c r="Z109" s="526"/>
      <c r="AA109" s="526"/>
      <c r="AB109" s="526"/>
      <c r="AC109" s="526"/>
      <c r="AD109" s="526"/>
      <c r="AE109" s="526"/>
      <c r="AF109" s="526"/>
    </row>
    <row r="110" spans="1:32" ht="15.75" x14ac:dyDescent="0.25">
      <c r="A110" s="42">
        <v>105</v>
      </c>
      <c r="B110" s="42" t="s">
        <v>780</v>
      </c>
      <c r="C110" s="87">
        <v>4.1500000000000002E-2</v>
      </c>
      <c r="D110" s="476">
        <v>14000</v>
      </c>
      <c r="E110" s="42" t="s">
        <v>80</v>
      </c>
      <c r="F110" s="42">
        <v>155.44999999999999</v>
      </c>
      <c r="G110" s="42">
        <v>14000</v>
      </c>
      <c r="H110" s="42">
        <v>0</v>
      </c>
      <c r="I110" s="89"/>
      <c r="P110" s="509">
        <v>600000</v>
      </c>
      <c r="S110" s="526"/>
      <c r="T110" s="526"/>
      <c r="U110" s="526"/>
      <c r="V110" s="526"/>
      <c r="W110" s="526"/>
      <c r="X110" s="526"/>
      <c r="Y110" s="526"/>
      <c r="Z110" s="526"/>
      <c r="AA110" s="526"/>
      <c r="AB110" s="526"/>
      <c r="AC110" s="526"/>
      <c r="AD110" s="526"/>
      <c r="AE110" s="526"/>
      <c r="AF110" s="526"/>
    </row>
    <row r="111" spans="1:32" ht="15.75" x14ac:dyDescent="0.25">
      <c r="A111" s="42">
        <v>106</v>
      </c>
      <c r="B111" s="42" t="s">
        <v>780</v>
      </c>
      <c r="C111" s="87">
        <v>8649</v>
      </c>
      <c r="D111" s="476">
        <v>22000</v>
      </c>
      <c r="E111" s="42" t="s">
        <v>80</v>
      </c>
      <c r="F111" s="42">
        <v>222.82</v>
      </c>
      <c r="G111" s="42">
        <v>22000</v>
      </c>
      <c r="H111" s="42">
        <v>0</v>
      </c>
      <c r="I111" s="89"/>
      <c r="P111" s="509">
        <v>800000</v>
      </c>
      <c r="S111" s="526"/>
      <c r="T111" s="526"/>
      <c r="U111" s="526"/>
      <c r="V111" s="526"/>
      <c r="W111" s="526"/>
      <c r="X111" s="526"/>
      <c r="Y111" s="526"/>
      <c r="Z111" s="526"/>
      <c r="AA111" s="526"/>
      <c r="AB111" s="526"/>
      <c r="AC111" s="526"/>
      <c r="AD111" s="526"/>
      <c r="AE111" s="526"/>
      <c r="AF111" s="526"/>
    </row>
    <row r="112" spans="1:32" ht="15.75" x14ac:dyDescent="0.25">
      <c r="A112" s="42">
        <v>107</v>
      </c>
      <c r="B112" s="42" t="s">
        <v>780</v>
      </c>
      <c r="C112" s="87">
        <v>1386</v>
      </c>
      <c r="D112" s="476">
        <v>22000</v>
      </c>
      <c r="E112" s="42" t="s">
        <v>80</v>
      </c>
      <c r="F112" s="42">
        <v>222.82</v>
      </c>
      <c r="G112" s="42">
        <v>22000</v>
      </c>
      <c r="H112" s="42">
        <v>0</v>
      </c>
      <c r="I112" s="89"/>
      <c r="P112" s="509">
        <v>700000</v>
      </c>
      <c r="S112" s="526"/>
      <c r="T112" s="526"/>
      <c r="U112" s="526"/>
      <c r="V112" s="526"/>
      <c r="W112" s="526"/>
      <c r="X112" s="526"/>
      <c r="Y112" s="526"/>
      <c r="Z112" s="526"/>
      <c r="AA112" s="526"/>
      <c r="AB112" s="526"/>
      <c r="AC112" s="526"/>
      <c r="AD112" s="526"/>
      <c r="AE112" s="526"/>
      <c r="AF112" s="526"/>
    </row>
    <row r="113" spans="1:32" ht="15.75" x14ac:dyDescent="0.25">
      <c r="A113" s="42">
        <v>108</v>
      </c>
      <c r="B113" s="42" t="s">
        <v>780</v>
      </c>
      <c r="C113" s="87">
        <v>5.0099999999999999E-2</v>
      </c>
      <c r="D113" s="476">
        <v>22000</v>
      </c>
      <c r="E113" s="42" t="s">
        <v>80</v>
      </c>
      <c r="F113" s="42">
        <v>222.82</v>
      </c>
      <c r="G113" s="42">
        <v>22000</v>
      </c>
      <c r="H113" s="42">
        <v>0</v>
      </c>
      <c r="I113" s="89"/>
      <c r="P113" s="509">
        <v>900000</v>
      </c>
      <c r="S113" s="526"/>
      <c r="T113" s="526"/>
      <c r="U113" s="526"/>
      <c r="V113" s="526"/>
      <c r="W113" s="526"/>
      <c r="X113" s="526"/>
      <c r="Y113" s="526"/>
      <c r="Z113" s="526"/>
      <c r="AA113" s="526"/>
      <c r="AB113" s="526"/>
      <c r="AC113" s="526"/>
      <c r="AD113" s="526"/>
      <c r="AE113" s="526"/>
      <c r="AF113" s="526"/>
    </row>
    <row r="114" spans="1:32" ht="15.75" x14ac:dyDescent="0.25">
      <c r="A114" s="42">
        <v>109</v>
      </c>
      <c r="B114" s="42" t="s">
        <v>780</v>
      </c>
      <c r="C114" s="87">
        <v>9787</v>
      </c>
      <c r="D114" s="476">
        <v>22000</v>
      </c>
      <c r="E114" s="42" t="s">
        <v>80</v>
      </c>
      <c r="F114" s="42">
        <v>222.82</v>
      </c>
      <c r="G114" s="42">
        <v>22000</v>
      </c>
      <c r="H114" s="42">
        <v>0</v>
      </c>
      <c r="I114" s="89"/>
      <c r="P114" s="509">
        <v>600000</v>
      </c>
      <c r="S114" s="526"/>
      <c r="T114" s="526"/>
      <c r="U114" s="526"/>
      <c r="V114" s="526"/>
      <c r="W114" s="526"/>
      <c r="X114" s="526"/>
      <c r="Y114" s="526"/>
      <c r="Z114" s="526"/>
      <c r="AA114" s="526"/>
      <c r="AB114" s="526"/>
      <c r="AC114" s="526"/>
      <c r="AD114" s="526"/>
      <c r="AE114" s="526"/>
      <c r="AF114" s="526"/>
    </row>
    <row r="115" spans="1:32" ht="15.75" x14ac:dyDescent="0.25">
      <c r="A115" s="42">
        <v>110</v>
      </c>
      <c r="B115" s="42" t="s">
        <v>780</v>
      </c>
      <c r="C115" s="87">
        <v>9477</v>
      </c>
      <c r="D115" s="476">
        <v>22000</v>
      </c>
      <c r="E115" s="42" t="s">
        <v>80</v>
      </c>
      <c r="F115" s="42">
        <v>222.82</v>
      </c>
      <c r="G115" s="42">
        <v>22000</v>
      </c>
      <c r="H115" s="42">
        <v>0</v>
      </c>
      <c r="I115" s="89"/>
      <c r="P115" s="509">
        <v>500000</v>
      </c>
      <c r="S115" s="526"/>
      <c r="T115" s="526"/>
      <c r="U115" s="526"/>
      <c r="V115" s="526"/>
      <c r="W115" s="526"/>
      <c r="X115" s="526"/>
      <c r="Y115" s="526"/>
      <c r="Z115" s="526"/>
      <c r="AA115" s="526"/>
      <c r="AB115" s="526"/>
      <c r="AC115" s="526"/>
      <c r="AD115" s="526"/>
      <c r="AE115" s="526"/>
      <c r="AF115" s="526"/>
    </row>
    <row r="116" spans="1:32" x14ac:dyDescent="0.25">
      <c r="A116" s="42">
        <v>111</v>
      </c>
      <c r="B116" s="42" t="s">
        <v>780</v>
      </c>
      <c r="C116" s="87">
        <v>7.7399999999999997E-2</v>
      </c>
      <c r="D116" s="476">
        <v>20000</v>
      </c>
      <c r="E116" s="42" t="s">
        <v>80</v>
      </c>
      <c r="F116" s="42">
        <v>200.18</v>
      </c>
      <c r="G116" s="42">
        <v>20000</v>
      </c>
      <c r="H116" s="42">
        <v>0</v>
      </c>
      <c r="I116" s="89"/>
      <c r="P116" s="398">
        <f>SUM(P91:P115)</f>
        <v>14900000</v>
      </c>
      <c r="S116" s="526"/>
      <c r="T116" s="526"/>
      <c r="U116" s="526"/>
      <c r="V116" s="526"/>
      <c r="W116" s="526"/>
      <c r="X116" s="526"/>
      <c r="Y116" s="526"/>
      <c r="Z116" s="526"/>
      <c r="AA116" s="526"/>
      <c r="AB116" s="526"/>
      <c r="AC116" s="526"/>
      <c r="AD116" s="526"/>
      <c r="AE116" s="526"/>
      <c r="AF116" s="526"/>
    </row>
    <row r="117" spans="1:32" x14ac:dyDescent="0.25">
      <c r="A117" s="42">
        <v>112</v>
      </c>
      <c r="B117" s="42" t="s">
        <v>780</v>
      </c>
      <c r="C117" s="87">
        <v>1833</v>
      </c>
      <c r="D117" s="476">
        <v>20000</v>
      </c>
      <c r="E117" s="42" t="s">
        <v>80</v>
      </c>
      <c r="F117" s="42">
        <v>200.18</v>
      </c>
      <c r="G117" s="42">
        <v>20000</v>
      </c>
      <c r="H117" s="42">
        <v>0</v>
      </c>
      <c r="I117" s="89"/>
      <c r="S117" s="526"/>
      <c r="T117" s="526"/>
      <c r="U117" s="526"/>
      <c r="V117" s="526"/>
      <c r="W117" s="526"/>
      <c r="X117" s="526"/>
      <c r="Y117" s="526"/>
      <c r="Z117" s="526"/>
      <c r="AA117" s="526"/>
      <c r="AB117" s="526"/>
      <c r="AC117" s="526"/>
      <c r="AD117" s="526"/>
      <c r="AE117" s="526"/>
      <c r="AF117" s="526"/>
    </row>
    <row r="118" spans="1:32" x14ac:dyDescent="0.25">
      <c r="A118" s="42">
        <v>113</v>
      </c>
      <c r="B118" s="42" t="s">
        <v>780</v>
      </c>
      <c r="C118" s="87">
        <v>2067</v>
      </c>
      <c r="D118" s="476">
        <v>20000</v>
      </c>
      <c r="E118" s="42" t="s">
        <v>80</v>
      </c>
      <c r="F118" s="42">
        <v>222.82</v>
      </c>
      <c r="G118" s="42">
        <v>20000</v>
      </c>
      <c r="H118" s="42">
        <v>0</v>
      </c>
      <c r="I118" s="89"/>
      <c r="S118" s="526"/>
      <c r="T118" s="526"/>
      <c r="U118" s="526"/>
      <c r="V118" s="526"/>
      <c r="W118" s="526"/>
      <c r="X118" s="526"/>
      <c r="Y118" s="526"/>
      <c r="Z118" s="526"/>
      <c r="AA118" s="526"/>
      <c r="AB118" s="526"/>
      <c r="AC118" s="526"/>
      <c r="AD118" s="526"/>
      <c r="AE118" s="526"/>
      <c r="AF118" s="526"/>
    </row>
    <row r="119" spans="1:32" x14ac:dyDescent="0.25">
      <c r="A119" s="42">
        <v>114</v>
      </c>
      <c r="B119" s="42" t="s">
        <v>780</v>
      </c>
      <c r="C119" s="87">
        <v>7086</v>
      </c>
      <c r="D119" s="476">
        <v>25000</v>
      </c>
      <c r="E119" s="42" t="s">
        <v>80</v>
      </c>
      <c r="F119" s="42">
        <v>278.22000000000003</v>
      </c>
      <c r="G119" s="42">
        <v>25000</v>
      </c>
      <c r="H119" s="42">
        <v>0</v>
      </c>
      <c r="I119" s="89"/>
      <c r="S119" s="526"/>
      <c r="T119" s="526"/>
      <c r="U119" s="526"/>
      <c r="V119" s="526"/>
      <c r="W119" s="526"/>
      <c r="X119" s="526"/>
      <c r="Y119" s="526"/>
      <c r="Z119" s="526"/>
      <c r="AA119" s="526"/>
      <c r="AB119" s="526"/>
      <c r="AC119" s="526"/>
      <c r="AD119" s="526"/>
      <c r="AE119" s="526"/>
      <c r="AF119" s="526"/>
    </row>
    <row r="120" spans="1:32" x14ac:dyDescent="0.25">
      <c r="A120" s="42">
        <v>115</v>
      </c>
      <c r="B120" s="42" t="s">
        <v>780</v>
      </c>
      <c r="C120" s="87">
        <v>5.7000000000000002E-3</v>
      </c>
      <c r="D120" s="476">
        <v>23000</v>
      </c>
      <c r="E120" s="42" t="s">
        <v>80</v>
      </c>
      <c r="F120" s="42">
        <v>256.74</v>
      </c>
      <c r="G120" s="42">
        <v>23000</v>
      </c>
      <c r="H120" s="42">
        <v>0</v>
      </c>
      <c r="I120" s="89"/>
      <c r="S120" s="526"/>
      <c r="T120" s="526"/>
      <c r="U120" s="526"/>
      <c r="V120" s="526"/>
      <c r="W120" s="526"/>
      <c r="X120" s="526"/>
      <c r="Y120" s="526"/>
      <c r="Z120" s="526"/>
      <c r="AA120" s="526"/>
      <c r="AB120" s="526"/>
      <c r="AC120" s="526"/>
      <c r="AD120" s="526"/>
      <c r="AE120" s="526"/>
      <c r="AF120" s="526"/>
    </row>
    <row r="121" spans="1:32" x14ac:dyDescent="0.25">
      <c r="A121" s="42">
        <v>116</v>
      </c>
      <c r="B121" s="42" t="s">
        <v>780</v>
      </c>
      <c r="C121" s="87">
        <v>6447</v>
      </c>
      <c r="D121" s="476">
        <v>24000</v>
      </c>
      <c r="E121" s="42" t="s">
        <v>80</v>
      </c>
      <c r="F121" s="42">
        <v>267.74</v>
      </c>
      <c r="G121" s="42">
        <v>24000</v>
      </c>
      <c r="H121" s="42">
        <v>0</v>
      </c>
      <c r="I121" s="89"/>
      <c r="S121" s="526"/>
      <c r="T121" s="526"/>
      <c r="U121" s="526"/>
      <c r="V121" s="526"/>
      <c r="W121" s="526"/>
      <c r="X121" s="526"/>
      <c r="Y121" s="526"/>
      <c r="Z121" s="526"/>
      <c r="AA121" s="526"/>
      <c r="AB121" s="526"/>
      <c r="AC121" s="526"/>
      <c r="AD121" s="526"/>
      <c r="AE121" s="526"/>
      <c r="AF121" s="526"/>
    </row>
    <row r="122" spans="1:32" x14ac:dyDescent="0.25">
      <c r="A122" s="42">
        <v>117</v>
      </c>
      <c r="B122" s="42" t="s">
        <v>780</v>
      </c>
      <c r="C122" s="87">
        <v>8.8900000000000007E-2</v>
      </c>
      <c r="D122" s="476">
        <v>13500</v>
      </c>
      <c r="E122" s="42" t="s">
        <v>80</v>
      </c>
      <c r="F122" s="42">
        <v>150.47</v>
      </c>
      <c r="G122" s="42">
        <v>13500</v>
      </c>
      <c r="H122" s="42">
        <v>0</v>
      </c>
      <c r="I122" s="89"/>
      <c r="S122" s="526"/>
      <c r="T122" s="526"/>
      <c r="U122" s="526"/>
      <c r="V122" s="526"/>
      <c r="W122" s="526"/>
      <c r="X122" s="526"/>
      <c r="Y122" s="526"/>
      <c r="Z122" s="526"/>
      <c r="AA122" s="526"/>
      <c r="AB122" s="526"/>
      <c r="AC122" s="526"/>
      <c r="AD122" s="526"/>
      <c r="AE122" s="526"/>
      <c r="AF122" s="526"/>
    </row>
    <row r="123" spans="1:32" x14ac:dyDescent="0.25">
      <c r="A123" s="42">
        <v>118</v>
      </c>
      <c r="B123" s="42" t="s">
        <v>780</v>
      </c>
      <c r="C123" s="87">
        <v>2795</v>
      </c>
      <c r="D123" s="476">
        <v>7000</v>
      </c>
      <c r="E123" s="42" t="s">
        <v>80</v>
      </c>
      <c r="F123" s="42">
        <v>77.849999999999994</v>
      </c>
      <c r="G123" s="42">
        <v>7000</v>
      </c>
      <c r="H123" s="42">
        <v>0</v>
      </c>
      <c r="I123" s="89"/>
      <c r="S123" s="526"/>
      <c r="T123" s="526"/>
      <c r="U123" s="526"/>
      <c r="V123" s="526"/>
      <c r="W123" s="526"/>
      <c r="X123" s="526"/>
      <c r="Y123" s="526"/>
      <c r="Z123" s="526"/>
      <c r="AA123" s="526"/>
      <c r="AB123" s="526"/>
      <c r="AC123" s="526"/>
      <c r="AD123" s="526"/>
      <c r="AE123" s="526"/>
      <c r="AF123" s="526"/>
    </row>
    <row r="124" spans="1:32" x14ac:dyDescent="0.25">
      <c r="A124" s="42">
        <v>119</v>
      </c>
      <c r="B124" s="42" t="s">
        <v>780</v>
      </c>
      <c r="C124" s="87">
        <v>1776</v>
      </c>
      <c r="D124" s="476">
        <v>19000</v>
      </c>
      <c r="E124" s="42" t="s">
        <v>80</v>
      </c>
      <c r="F124" s="42">
        <v>211.85</v>
      </c>
      <c r="G124" s="42">
        <v>19000</v>
      </c>
      <c r="H124" s="42">
        <v>0</v>
      </c>
      <c r="I124" s="89"/>
      <c r="S124" s="526"/>
      <c r="T124" s="526"/>
      <c r="U124" s="526"/>
      <c r="V124" s="526"/>
      <c r="W124" s="526"/>
      <c r="X124" s="526"/>
      <c r="Y124" s="526"/>
      <c r="Z124" s="526"/>
      <c r="AA124" s="526"/>
      <c r="AB124" s="526"/>
      <c r="AC124" s="526"/>
      <c r="AD124" s="526"/>
      <c r="AE124" s="526"/>
      <c r="AF124" s="526"/>
    </row>
    <row r="125" spans="1:32" x14ac:dyDescent="0.25">
      <c r="A125" s="42">
        <v>120</v>
      </c>
      <c r="B125" s="42" t="s">
        <v>780</v>
      </c>
      <c r="C125" s="87">
        <v>8551</v>
      </c>
      <c r="D125" s="476">
        <v>15000</v>
      </c>
      <c r="E125" s="42" t="s">
        <v>80</v>
      </c>
      <c r="F125" s="42">
        <v>167.15</v>
      </c>
      <c r="G125" s="42">
        <v>15000</v>
      </c>
      <c r="H125" s="42">
        <v>0</v>
      </c>
      <c r="I125" s="89"/>
      <c r="S125" s="526"/>
      <c r="T125" s="526"/>
      <c r="U125" s="526"/>
      <c r="V125" s="526"/>
      <c r="W125" s="526"/>
      <c r="X125" s="526"/>
      <c r="Y125" s="526"/>
      <c r="Z125" s="526"/>
      <c r="AA125" s="526"/>
      <c r="AB125" s="526"/>
      <c r="AC125" s="526"/>
      <c r="AD125" s="526"/>
      <c r="AE125" s="526"/>
      <c r="AF125" s="526"/>
    </row>
    <row r="126" spans="1:32" x14ac:dyDescent="0.25">
      <c r="A126" s="42">
        <v>121</v>
      </c>
      <c r="B126" s="42" t="s">
        <v>781</v>
      </c>
      <c r="C126" s="87" t="s">
        <v>633</v>
      </c>
      <c r="D126" s="476">
        <v>210</v>
      </c>
      <c r="E126" s="42" t="s">
        <v>80</v>
      </c>
      <c r="F126" s="42">
        <v>2.09</v>
      </c>
      <c r="G126" s="42">
        <v>210</v>
      </c>
      <c r="H126" s="42">
        <v>0</v>
      </c>
      <c r="I126" s="89"/>
      <c r="S126" s="526"/>
      <c r="T126" s="526"/>
      <c r="U126" s="526"/>
      <c r="V126" s="526"/>
      <c r="W126" s="526"/>
      <c r="X126" s="526"/>
      <c r="Y126" s="526"/>
      <c r="Z126" s="526"/>
      <c r="AA126" s="526"/>
      <c r="AB126" s="526"/>
      <c r="AC126" s="526"/>
      <c r="AD126" s="526"/>
      <c r="AE126" s="526"/>
      <c r="AF126" s="526"/>
    </row>
    <row r="127" spans="1:32" x14ac:dyDescent="0.25">
      <c r="A127" s="42">
        <v>122</v>
      </c>
      <c r="B127" s="42" t="s">
        <v>781</v>
      </c>
      <c r="C127" s="87" t="s">
        <v>30</v>
      </c>
      <c r="D127" s="476">
        <v>5000</v>
      </c>
      <c r="E127" s="42" t="s">
        <v>80</v>
      </c>
      <c r="F127" s="42">
        <v>55.45</v>
      </c>
      <c r="G127" s="42">
        <v>5000</v>
      </c>
      <c r="H127" s="42">
        <v>0</v>
      </c>
      <c r="I127" s="89"/>
      <c r="S127" s="526"/>
      <c r="T127" s="526"/>
      <c r="U127" s="526"/>
      <c r="V127" s="526"/>
      <c r="W127" s="526"/>
      <c r="X127" s="526"/>
      <c r="Y127" s="526"/>
      <c r="Z127" s="526"/>
      <c r="AA127" s="526"/>
      <c r="AB127" s="526"/>
      <c r="AC127" s="526"/>
      <c r="AD127" s="526"/>
      <c r="AE127" s="526"/>
      <c r="AF127" s="526"/>
    </row>
    <row r="128" spans="1:32" x14ac:dyDescent="0.25">
      <c r="A128" s="42">
        <v>123</v>
      </c>
      <c r="B128" s="42" t="s">
        <v>781</v>
      </c>
      <c r="C128" s="87">
        <v>2506</v>
      </c>
      <c r="D128" s="476">
        <v>17000</v>
      </c>
      <c r="E128" s="42" t="s">
        <v>80</v>
      </c>
      <c r="F128" s="42">
        <v>189.85</v>
      </c>
      <c r="G128" s="42">
        <v>17000</v>
      </c>
      <c r="H128" s="42">
        <v>0</v>
      </c>
      <c r="I128" s="89"/>
      <c r="S128" s="526"/>
      <c r="T128" s="526"/>
      <c r="U128" s="526"/>
      <c r="V128" s="526"/>
      <c r="W128" s="526"/>
      <c r="X128" s="526"/>
      <c r="Y128" s="526"/>
      <c r="Z128" s="526"/>
      <c r="AA128" s="526"/>
      <c r="AB128" s="526"/>
      <c r="AC128" s="526"/>
      <c r="AD128" s="526"/>
      <c r="AE128" s="526"/>
      <c r="AF128" s="526"/>
    </row>
    <row r="129" spans="1:32" x14ac:dyDescent="0.25">
      <c r="A129" s="42">
        <v>124</v>
      </c>
      <c r="B129" s="42" t="s">
        <v>781</v>
      </c>
      <c r="C129" s="87">
        <v>3665</v>
      </c>
      <c r="D129" s="476">
        <v>18000</v>
      </c>
      <c r="E129" s="42" t="s">
        <v>80</v>
      </c>
      <c r="F129" s="42">
        <v>200.82</v>
      </c>
      <c r="G129" s="42">
        <v>18000</v>
      </c>
      <c r="H129" s="42">
        <v>0</v>
      </c>
      <c r="I129" s="89"/>
      <c r="S129" s="526"/>
      <c r="T129" s="526"/>
      <c r="U129" s="526"/>
      <c r="V129" s="526"/>
      <c r="W129" s="526"/>
      <c r="X129" s="526"/>
      <c r="Y129" s="526"/>
      <c r="Z129" s="526"/>
      <c r="AA129" s="526"/>
      <c r="AB129" s="526"/>
      <c r="AC129" s="526"/>
      <c r="AD129" s="526"/>
      <c r="AE129" s="526"/>
      <c r="AF129" s="526"/>
    </row>
    <row r="130" spans="1:32" x14ac:dyDescent="0.25">
      <c r="A130" s="42">
        <v>125</v>
      </c>
      <c r="B130" s="42" t="s">
        <v>781</v>
      </c>
      <c r="C130" s="87">
        <v>5864</v>
      </c>
      <c r="D130" s="476">
        <v>15000</v>
      </c>
      <c r="E130" s="42" t="s">
        <v>80</v>
      </c>
      <c r="F130" s="42">
        <v>167.15</v>
      </c>
      <c r="G130" s="42">
        <v>15000</v>
      </c>
      <c r="H130" s="42">
        <v>0</v>
      </c>
      <c r="I130" s="89"/>
      <c r="S130" s="526"/>
      <c r="T130" s="526"/>
      <c r="U130" s="526"/>
      <c r="V130" s="526"/>
      <c r="W130" s="526"/>
      <c r="X130" s="526"/>
      <c r="Y130" s="526"/>
      <c r="Z130" s="526"/>
      <c r="AA130" s="526"/>
      <c r="AB130" s="526"/>
      <c r="AC130" s="526"/>
      <c r="AD130" s="526"/>
      <c r="AE130" s="526"/>
      <c r="AF130" s="526"/>
    </row>
    <row r="131" spans="1:32" x14ac:dyDescent="0.25">
      <c r="A131" s="42">
        <v>126</v>
      </c>
      <c r="B131" s="42" t="s">
        <v>781</v>
      </c>
      <c r="C131" s="87">
        <v>8481</v>
      </c>
      <c r="D131" s="476">
        <v>12000</v>
      </c>
      <c r="E131" s="42" t="s">
        <v>80</v>
      </c>
      <c r="F131" s="42">
        <v>133.41999999999999</v>
      </c>
      <c r="G131" s="42">
        <v>12000</v>
      </c>
      <c r="H131" s="42">
        <v>0</v>
      </c>
      <c r="I131" s="89"/>
      <c r="S131" s="526"/>
      <c r="T131" s="526"/>
      <c r="U131" s="526"/>
      <c r="V131" s="526"/>
      <c r="W131" s="526"/>
      <c r="X131" s="526"/>
      <c r="Y131" s="526"/>
      <c r="Z131" s="526"/>
      <c r="AA131" s="526"/>
      <c r="AB131" s="526"/>
      <c r="AC131" s="526"/>
      <c r="AD131" s="526"/>
      <c r="AE131" s="526"/>
      <c r="AF131" s="526"/>
    </row>
    <row r="132" spans="1:32" x14ac:dyDescent="0.25">
      <c r="A132" s="42">
        <v>127</v>
      </c>
      <c r="B132" s="42" t="s">
        <v>781</v>
      </c>
      <c r="C132" s="87">
        <v>8105</v>
      </c>
      <c r="D132" s="476">
        <v>17000</v>
      </c>
      <c r="E132" s="42" t="s">
        <v>80</v>
      </c>
      <c r="F132" s="42">
        <v>189.85</v>
      </c>
      <c r="G132" s="42">
        <v>17000</v>
      </c>
      <c r="H132" s="42">
        <v>0</v>
      </c>
      <c r="I132" s="89"/>
      <c r="S132" s="526"/>
      <c r="T132" s="526"/>
      <c r="U132" s="526"/>
      <c r="V132" s="526"/>
      <c r="W132" s="526"/>
      <c r="X132" s="526"/>
      <c r="Y132" s="526"/>
      <c r="Z132" s="526"/>
      <c r="AA132" s="526"/>
      <c r="AB132" s="526"/>
      <c r="AC132" s="526"/>
      <c r="AD132" s="526"/>
      <c r="AE132" s="526"/>
      <c r="AF132" s="526"/>
    </row>
    <row r="133" spans="1:32" x14ac:dyDescent="0.25">
      <c r="A133" s="42">
        <v>128</v>
      </c>
      <c r="B133" s="42" t="s">
        <v>781</v>
      </c>
      <c r="C133" s="87">
        <v>4.7000000000000002E-3</v>
      </c>
      <c r="D133" s="476">
        <v>15000</v>
      </c>
      <c r="E133" s="42" t="s">
        <v>80</v>
      </c>
      <c r="F133" s="42">
        <v>167.15</v>
      </c>
      <c r="G133" s="42">
        <v>15000</v>
      </c>
      <c r="H133" s="42">
        <v>0</v>
      </c>
      <c r="I133" s="89"/>
      <c r="S133" s="526"/>
      <c r="T133" s="526"/>
      <c r="U133" s="526"/>
      <c r="V133" s="526"/>
      <c r="W133" s="526"/>
      <c r="X133" s="526"/>
      <c r="Y133" s="526"/>
      <c r="Z133" s="526"/>
      <c r="AA133" s="526"/>
      <c r="AB133" s="526"/>
      <c r="AC133" s="526"/>
      <c r="AD133" s="526"/>
      <c r="AE133" s="526"/>
      <c r="AF133" s="526"/>
    </row>
    <row r="134" spans="1:32" x14ac:dyDescent="0.25">
      <c r="A134" s="42">
        <v>129</v>
      </c>
      <c r="B134" s="42" t="s">
        <v>781</v>
      </c>
      <c r="C134" s="87">
        <v>1295</v>
      </c>
      <c r="D134" s="476">
        <v>18000</v>
      </c>
      <c r="E134" s="42" t="s">
        <v>80</v>
      </c>
      <c r="F134" s="42">
        <v>200.82</v>
      </c>
      <c r="G134" s="42">
        <v>18000</v>
      </c>
      <c r="H134" s="42">
        <v>0</v>
      </c>
      <c r="I134" s="89"/>
      <c r="S134" s="526"/>
      <c r="T134" s="526"/>
      <c r="U134" s="526"/>
      <c r="V134" s="526"/>
      <c r="W134" s="526"/>
      <c r="X134" s="526"/>
      <c r="Y134" s="526"/>
      <c r="Z134" s="526"/>
      <c r="AA134" s="526"/>
      <c r="AB134" s="526"/>
      <c r="AC134" s="526"/>
      <c r="AD134" s="526"/>
      <c r="AE134" s="526"/>
      <c r="AF134" s="526"/>
    </row>
    <row r="135" spans="1:32" x14ac:dyDescent="0.25">
      <c r="A135" s="42">
        <v>130</v>
      </c>
      <c r="B135" s="42" t="s">
        <v>781</v>
      </c>
      <c r="C135" s="87" t="s">
        <v>735</v>
      </c>
      <c r="D135" s="476">
        <v>3500</v>
      </c>
      <c r="E135" s="42" t="s">
        <v>80</v>
      </c>
      <c r="F135" s="42">
        <v>38.450000000000003</v>
      </c>
      <c r="G135" s="42">
        <v>3500</v>
      </c>
      <c r="H135" s="42">
        <v>0</v>
      </c>
      <c r="I135" s="89"/>
      <c r="S135" s="526"/>
      <c r="T135" s="526"/>
      <c r="U135" s="526"/>
      <c r="V135" s="526"/>
      <c r="W135" s="526"/>
      <c r="X135" s="526"/>
      <c r="Y135" s="526"/>
      <c r="Z135" s="526"/>
      <c r="AA135" s="526"/>
      <c r="AB135" s="526"/>
      <c r="AC135" s="526"/>
      <c r="AD135" s="526"/>
      <c r="AE135" s="526"/>
      <c r="AF135" s="526"/>
    </row>
    <row r="136" spans="1:32" x14ac:dyDescent="0.25">
      <c r="A136" s="42">
        <v>131</v>
      </c>
      <c r="B136" s="42" t="s">
        <v>781</v>
      </c>
      <c r="C136" s="87">
        <v>1543</v>
      </c>
      <c r="D136" s="476">
        <v>15000</v>
      </c>
      <c r="E136" s="42" t="s">
        <v>80</v>
      </c>
      <c r="F136" s="42">
        <v>167.15</v>
      </c>
      <c r="G136" s="42">
        <v>15000</v>
      </c>
      <c r="H136" s="42">
        <v>0</v>
      </c>
      <c r="I136" s="89"/>
      <c r="S136" s="526"/>
      <c r="T136" s="526"/>
      <c r="U136" s="526"/>
      <c r="V136" s="526"/>
      <c r="W136" s="526"/>
      <c r="X136" s="526"/>
      <c r="Y136" s="526"/>
      <c r="Z136" s="526"/>
      <c r="AA136" s="526"/>
      <c r="AB136" s="526"/>
      <c r="AC136" s="526"/>
      <c r="AD136" s="526"/>
      <c r="AE136" s="526"/>
      <c r="AF136" s="526"/>
    </row>
    <row r="137" spans="1:32" x14ac:dyDescent="0.25">
      <c r="A137" s="42">
        <v>132</v>
      </c>
      <c r="B137" s="42" t="s">
        <v>781</v>
      </c>
      <c r="C137" s="87" t="s">
        <v>30</v>
      </c>
      <c r="D137" s="476">
        <v>4500</v>
      </c>
      <c r="E137" s="42" t="s">
        <v>80</v>
      </c>
      <c r="F137" s="42">
        <v>50.5</v>
      </c>
      <c r="G137" s="42">
        <v>4500</v>
      </c>
      <c r="H137" s="42">
        <v>0</v>
      </c>
      <c r="I137" s="89"/>
      <c r="S137" s="526"/>
      <c r="T137" s="526"/>
      <c r="U137" s="526"/>
      <c r="V137" s="526"/>
      <c r="W137" s="526"/>
      <c r="X137" s="526"/>
      <c r="Y137" s="526"/>
      <c r="Z137" s="526"/>
      <c r="AA137" s="526"/>
      <c r="AB137" s="526"/>
      <c r="AC137" s="526"/>
      <c r="AD137" s="526"/>
      <c r="AE137" s="526"/>
      <c r="AF137" s="526"/>
    </row>
    <row r="138" spans="1:32" x14ac:dyDescent="0.25">
      <c r="A138" s="42">
        <v>133</v>
      </c>
      <c r="B138" s="42" t="s">
        <v>781</v>
      </c>
      <c r="C138" s="87">
        <v>5645</v>
      </c>
      <c r="D138" s="476">
        <v>32000</v>
      </c>
      <c r="E138" s="42" t="s">
        <v>80</v>
      </c>
      <c r="F138" s="42">
        <v>352.74</v>
      </c>
      <c r="G138" s="42">
        <v>32000</v>
      </c>
      <c r="H138" s="42">
        <v>0</v>
      </c>
      <c r="I138" s="89"/>
      <c r="S138" s="526"/>
      <c r="T138" s="526"/>
      <c r="U138" s="526"/>
      <c r="V138" s="526"/>
      <c r="W138" s="526"/>
      <c r="X138" s="526"/>
      <c r="Y138" s="526"/>
      <c r="Z138" s="526"/>
      <c r="AA138" s="526"/>
      <c r="AB138" s="526"/>
      <c r="AC138" s="526"/>
      <c r="AD138" s="526"/>
      <c r="AE138" s="526"/>
      <c r="AF138" s="526"/>
    </row>
    <row r="139" spans="1:32" x14ac:dyDescent="0.25">
      <c r="A139" s="42">
        <v>134</v>
      </c>
      <c r="B139" s="42" t="s">
        <v>781</v>
      </c>
      <c r="C139" s="87">
        <v>1948</v>
      </c>
      <c r="D139" s="476">
        <v>24256</v>
      </c>
      <c r="E139" s="42" t="s">
        <v>80</v>
      </c>
      <c r="F139" s="42">
        <v>270.85000000000002</v>
      </c>
      <c r="G139" s="42">
        <v>24256</v>
      </c>
      <c r="H139" s="42">
        <v>0</v>
      </c>
      <c r="I139" s="89"/>
      <c r="S139" s="526"/>
      <c r="T139" s="526"/>
      <c r="U139" s="526"/>
      <c r="V139" s="526"/>
      <c r="W139" s="526"/>
      <c r="X139" s="526"/>
      <c r="Y139" s="526"/>
      <c r="Z139" s="526"/>
      <c r="AA139" s="526"/>
      <c r="AB139" s="526"/>
      <c r="AC139" s="526"/>
      <c r="AD139" s="526"/>
      <c r="AE139" s="526"/>
      <c r="AF139" s="526"/>
    </row>
    <row r="140" spans="1:32" x14ac:dyDescent="0.25">
      <c r="A140" s="42">
        <v>135</v>
      </c>
      <c r="B140" s="42" t="s">
        <v>781</v>
      </c>
      <c r="C140" s="87">
        <v>1448</v>
      </c>
      <c r="D140" s="476">
        <v>19000</v>
      </c>
      <c r="E140" s="42" t="s">
        <v>80</v>
      </c>
      <c r="F140" s="42">
        <v>200.71</v>
      </c>
      <c r="G140" s="42">
        <v>19000</v>
      </c>
      <c r="H140" s="42">
        <v>0</v>
      </c>
      <c r="I140" s="89"/>
      <c r="S140" s="526"/>
      <c r="T140" s="526"/>
      <c r="U140" s="526"/>
      <c r="V140" s="526"/>
      <c r="W140" s="526"/>
      <c r="X140" s="526"/>
      <c r="Y140" s="526"/>
      <c r="Z140" s="526"/>
      <c r="AA140" s="526"/>
      <c r="AB140" s="526"/>
      <c r="AC140" s="526"/>
      <c r="AD140" s="526"/>
      <c r="AE140" s="526"/>
      <c r="AF140" s="526"/>
    </row>
    <row r="141" spans="1:32" x14ac:dyDescent="0.25">
      <c r="A141" s="42">
        <v>136</v>
      </c>
      <c r="B141" s="42" t="s">
        <v>781</v>
      </c>
      <c r="C141" s="87">
        <v>9876</v>
      </c>
      <c r="D141" s="476">
        <v>15000</v>
      </c>
      <c r="E141" s="42" t="s">
        <v>80</v>
      </c>
      <c r="F141" s="42">
        <v>167.15</v>
      </c>
      <c r="G141" s="42">
        <v>15000</v>
      </c>
      <c r="H141" s="42">
        <v>0</v>
      </c>
      <c r="I141" s="89"/>
      <c r="S141" s="526"/>
      <c r="T141" s="526"/>
      <c r="U141" s="526"/>
      <c r="V141" s="526"/>
      <c r="W141" s="526"/>
      <c r="X141" s="526"/>
      <c r="Y141" s="526"/>
      <c r="Z141" s="526"/>
      <c r="AA141" s="526"/>
      <c r="AB141" s="526"/>
      <c r="AC141" s="526"/>
      <c r="AD141" s="526"/>
      <c r="AE141" s="526"/>
      <c r="AF141" s="526"/>
    </row>
    <row r="142" spans="1:32" x14ac:dyDescent="0.25">
      <c r="A142" s="42">
        <v>137</v>
      </c>
      <c r="B142" s="42" t="s">
        <v>781</v>
      </c>
      <c r="C142" s="87">
        <v>8311</v>
      </c>
      <c r="D142" s="476">
        <v>24000</v>
      </c>
      <c r="E142" s="42" t="s">
        <v>80</v>
      </c>
      <c r="F142" s="42">
        <v>267.82</v>
      </c>
      <c r="G142" s="42">
        <v>24000</v>
      </c>
      <c r="H142" s="42">
        <v>0</v>
      </c>
      <c r="I142" s="89"/>
      <c r="S142" s="526"/>
      <c r="T142" s="526"/>
      <c r="U142" s="526"/>
      <c r="V142" s="526"/>
      <c r="W142" s="526"/>
      <c r="X142" s="526"/>
      <c r="Y142" s="526"/>
      <c r="Z142" s="526"/>
      <c r="AA142" s="526"/>
      <c r="AB142" s="526"/>
      <c r="AC142" s="526"/>
      <c r="AD142" s="526"/>
      <c r="AE142" s="526"/>
      <c r="AF142" s="526"/>
    </row>
    <row r="143" spans="1:32" x14ac:dyDescent="0.25">
      <c r="A143" s="42">
        <v>138</v>
      </c>
      <c r="B143" s="42" t="s">
        <v>781</v>
      </c>
      <c r="C143" s="87">
        <v>9789</v>
      </c>
      <c r="D143" s="476">
        <v>30000</v>
      </c>
      <c r="E143" s="42" t="s">
        <v>80</v>
      </c>
      <c r="F143" s="42">
        <v>334.82</v>
      </c>
      <c r="G143" s="42">
        <v>30000</v>
      </c>
      <c r="H143" s="42">
        <v>0</v>
      </c>
      <c r="I143" s="89"/>
      <c r="S143" s="526"/>
      <c r="T143" s="526"/>
      <c r="U143" s="526"/>
      <c r="V143" s="526"/>
      <c r="W143" s="526"/>
      <c r="X143" s="526"/>
      <c r="Y143" s="526"/>
      <c r="Z143" s="526"/>
      <c r="AA143" s="526"/>
      <c r="AB143" s="526"/>
      <c r="AC143" s="526"/>
      <c r="AD143" s="526"/>
      <c r="AE143" s="526"/>
      <c r="AF143" s="526"/>
    </row>
    <row r="144" spans="1:32" x14ac:dyDescent="0.25">
      <c r="A144" s="42">
        <v>139</v>
      </c>
      <c r="B144" s="42" t="s">
        <v>781</v>
      </c>
      <c r="C144" s="87">
        <v>3815</v>
      </c>
      <c r="D144" s="476">
        <v>30000</v>
      </c>
      <c r="E144" s="42" t="s">
        <v>80</v>
      </c>
      <c r="F144" s="42">
        <v>334.82</v>
      </c>
      <c r="G144" s="42">
        <v>30000</v>
      </c>
      <c r="H144" s="42">
        <v>0</v>
      </c>
      <c r="I144" s="89"/>
      <c r="S144" s="526"/>
      <c r="T144" s="526"/>
      <c r="U144" s="526"/>
      <c r="V144" s="526"/>
      <c r="W144" s="526"/>
      <c r="X144" s="526"/>
      <c r="Y144" s="526"/>
      <c r="Z144" s="526"/>
      <c r="AA144" s="526"/>
      <c r="AB144" s="526"/>
      <c r="AC144" s="526"/>
      <c r="AD144" s="526"/>
      <c r="AE144" s="526"/>
      <c r="AF144" s="526"/>
    </row>
    <row r="145" spans="1:32" x14ac:dyDescent="0.25">
      <c r="A145" s="42">
        <v>140</v>
      </c>
      <c r="B145" s="42" t="s">
        <v>781</v>
      </c>
      <c r="C145" s="87">
        <v>1950</v>
      </c>
      <c r="D145" s="476">
        <v>26850</v>
      </c>
      <c r="E145" s="42" t="s">
        <v>80</v>
      </c>
      <c r="F145" s="42">
        <v>299.72000000000003</v>
      </c>
      <c r="G145" s="42">
        <v>26850</v>
      </c>
      <c r="H145" s="42">
        <v>0</v>
      </c>
      <c r="I145" s="89"/>
      <c r="S145" s="526"/>
      <c r="T145" s="526"/>
      <c r="U145" s="526"/>
      <c r="V145" s="526"/>
      <c r="W145" s="526"/>
      <c r="X145" s="526"/>
      <c r="Y145" s="526"/>
      <c r="Z145" s="526"/>
      <c r="AA145" s="526"/>
      <c r="AB145" s="526"/>
      <c r="AC145" s="526"/>
      <c r="AD145" s="526"/>
      <c r="AE145" s="526"/>
      <c r="AF145" s="526"/>
    </row>
    <row r="146" spans="1:32" x14ac:dyDescent="0.25">
      <c r="A146" s="42">
        <v>141</v>
      </c>
      <c r="B146" s="42" t="s">
        <v>781</v>
      </c>
      <c r="C146" s="87">
        <v>6803</v>
      </c>
      <c r="D146" s="476">
        <v>19000</v>
      </c>
      <c r="E146" s="42" t="s">
        <v>80</v>
      </c>
      <c r="F146" s="42">
        <v>179.71</v>
      </c>
      <c r="G146" s="42">
        <v>19000</v>
      </c>
      <c r="H146" s="42">
        <v>0</v>
      </c>
      <c r="I146" s="89"/>
      <c r="S146" s="526"/>
      <c r="T146" s="526"/>
      <c r="U146" s="526"/>
      <c r="V146" s="526"/>
      <c r="W146" s="526"/>
      <c r="X146" s="526"/>
      <c r="Y146" s="526"/>
      <c r="Z146" s="526"/>
      <c r="AA146" s="526"/>
      <c r="AB146" s="526"/>
      <c r="AC146" s="526"/>
      <c r="AD146" s="526"/>
      <c r="AE146" s="526"/>
      <c r="AF146" s="526"/>
    </row>
    <row r="147" spans="1:32" x14ac:dyDescent="0.25">
      <c r="A147" s="42">
        <v>142</v>
      </c>
      <c r="B147" s="42" t="s">
        <v>781</v>
      </c>
      <c r="C147" s="87">
        <v>8382</v>
      </c>
      <c r="D147" s="476">
        <v>22000</v>
      </c>
      <c r="E147" s="42" t="s">
        <v>80</v>
      </c>
      <c r="F147" s="42">
        <v>222.82</v>
      </c>
      <c r="G147" s="42">
        <v>22000</v>
      </c>
      <c r="H147" s="42">
        <v>0</v>
      </c>
      <c r="I147" s="89"/>
      <c r="S147" s="526"/>
      <c r="T147" s="526"/>
      <c r="U147" s="526"/>
      <c r="V147" s="526"/>
      <c r="W147" s="526"/>
      <c r="X147" s="526"/>
      <c r="Y147" s="526"/>
      <c r="Z147" s="526"/>
      <c r="AA147" s="526"/>
      <c r="AB147" s="526"/>
      <c r="AC147" s="526"/>
      <c r="AD147" s="526"/>
      <c r="AE147" s="526"/>
      <c r="AF147" s="526"/>
    </row>
    <row r="148" spans="1:32" x14ac:dyDescent="0.25">
      <c r="A148" s="42">
        <v>143</v>
      </c>
      <c r="B148" s="42" t="s">
        <v>781</v>
      </c>
      <c r="C148" s="87">
        <v>4691</v>
      </c>
      <c r="D148" s="476">
        <v>17000</v>
      </c>
      <c r="E148" s="42" t="s">
        <v>80</v>
      </c>
      <c r="F148" s="42">
        <v>189.85</v>
      </c>
      <c r="G148" s="42">
        <v>17000</v>
      </c>
      <c r="H148" s="42">
        <v>0</v>
      </c>
      <c r="I148" s="89"/>
      <c r="S148" s="526"/>
      <c r="T148" s="526"/>
      <c r="U148" s="526"/>
      <c r="V148" s="526"/>
      <c r="W148" s="526"/>
      <c r="X148" s="526"/>
      <c r="Y148" s="526"/>
      <c r="Z148" s="526"/>
      <c r="AA148" s="526"/>
      <c r="AB148" s="526"/>
      <c r="AC148" s="526"/>
      <c r="AD148" s="526"/>
      <c r="AE148" s="526"/>
      <c r="AF148" s="526"/>
    </row>
    <row r="149" spans="1:32" x14ac:dyDescent="0.25">
      <c r="A149" s="42">
        <v>144</v>
      </c>
      <c r="B149" s="42" t="s">
        <v>781</v>
      </c>
      <c r="C149" s="87">
        <v>7680</v>
      </c>
      <c r="D149" s="476">
        <v>22000</v>
      </c>
      <c r="E149" s="42" t="s">
        <v>80</v>
      </c>
      <c r="F149" s="42">
        <v>222.82</v>
      </c>
      <c r="G149" s="42">
        <v>22000</v>
      </c>
      <c r="H149" s="42">
        <v>0</v>
      </c>
      <c r="I149" s="89"/>
      <c r="S149" s="526"/>
      <c r="T149" s="526"/>
      <c r="U149" s="526"/>
      <c r="V149" s="526"/>
      <c r="W149" s="526"/>
      <c r="X149" s="526"/>
      <c r="Y149" s="526"/>
      <c r="Z149" s="526"/>
      <c r="AA149" s="526"/>
      <c r="AB149" s="526"/>
      <c r="AC149" s="526"/>
      <c r="AD149" s="526"/>
      <c r="AE149" s="526"/>
      <c r="AF149" s="526"/>
    </row>
    <row r="150" spans="1:32" x14ac:dyDescent="0.25">
      <c r="A150" s="42">
        <v>145</v>
      </c>
      <c r="B150" s="42" t="s">
        <v>781</v>
      </c>
      <c r="C150" s="87">
        <v>4.02E-2</v>
      </c>
      <c r="D150" s="476">
        <v>32000</v>
      </c>
      <c r="E150" s="42" t="s">
        <v>80</v>
      </c>
      <c r="F150" s="42">
        <v>356.63</v>
      </c>
      <c r="G150" s="42">
        <v>32000</v>
      </c>
      <c r="H150" s="42">
        <v>0</v>
      </c>
      <c r="I150" s="89"/>
      <c r="S150" s="526"/>
      <c r="T150" s="526"/>
      <c r="U150" s="526"/>
      <c r="V150" s="526"/>
      <c r="W150" s="526"/>
      <c r="X150" s="526"/>
      <c r="Y150" s="526"/>
      <c r="Z150" s="526"/>
      <c r="AA150" s="526"/>
      <c r="AB150" s="526"/>
      <c r="AC150" s="526"/>
      <c r="AD150" s="526"/>
      <c r="AE150" s="526"/>
      <c r="AF150" s="526"/>
    </row>
    <row r="151" spans="1:32" x14ac:dyDescent="0.25">
      <c r="A151" s="42">
        <v>146</v>
      </c>
      <c r="B151" s="42" t="s">
        <v>781</v>
      </c>
      <c r="C151" s="87">
        <v>3482</v>
      </c>
      <c r="D151" s="476">
        <v>25000</v>
      </c>
      <c r="E151" s="42" t="s">
        <v>80</v>
      </c>
      <c r="F151" s="42">
        <v>278.22000000000003</v>
      </c>
      <c r="G151" s="42">
        <v>25000</v>
      </c>
      <c r="H151" s="42">
        <v>0</v>
      </c>
      <c r="I151" s="89"/>
      <c r="S151" s="526"/>
      <c r="T151" s="526"/>
      <c r="U151" s="526"/>
      <c r="V151" s="526"/>
      <c r="W151" s="526"/>
      <c r="X151" s="526"/>
      <c r="Y151" s="526"/>
      <c r="Z151" s="526"/>
      <c r="AA151" s="526"/>
      <c r="AB151" s="526"/>
      <c r="AC151" s="526"/>
      <c r="AD151" s="526"/>
      <c r="AE151" s="526"/>
      <c r="AF151" s="526"/>
    </row>
    <row r="152" spans="1:32" x14ac:dyDescent="0.25">
      <c r="A152" s="42">
        <v>147</v>
      </c>
      <c r="B152" s="42" t="s">
        <v>781</v>
      </c>
      <c r="C152" s="87">
        <v>9435</v>
      </c>
      <c r="D152" s="476">
        <v>15000</v>
      </c>
      <c r="E152" s="42" t="s">
        <v>80</v>
      </c>
      <c r="F152" s="42">
        <v>167.15</v>
      </c>
      <c r="G152" s="42">
        <v>15000</v>
      </c>
      <c r="H152" s="42">
        <v>0</v>
      </c>
      <c r="I152" s="89"/>
      <c r="S152" s="526"/>
      <c r="T152" s="526"/>
      <c r="U152" s="526"/>
      <c r="V152" s="526"/>
      <c r="W152" s="526"/>
      <c r="X152" s="526"/>
      <c r="Y152" s="526"/>
      <c r="Z152" s="526"/>
      <c r="AA152" s="526"/>
      <c r="AB152" s="526"/>
      <c r="AC152" s="526"/>
      <c r="AD152" s="526"/>
      <c r="AE152" s="526"/>
      <c r="AF152" s="526"/>
    </row>
    <row r="153" spans="1:32" x14ac:dyDescent="0.25">
      <c r="A153" s="42">
        <v>148</v>
      </c>
      <c r="B153" s="42" t="s">
        <v>781</v>
      </c>
      <c r="C153" s="87">
        <v>1076</v>
      </c>
      <c r="D153" s="476">
        <v>10000</v>
      </c>
      <c r="E153" s="42" t="s">
        <v>80</v>
      </c>
      <c r="F153" s="42">
        <v>111.42</v>
      </c>
      <c r="G153" s="42">
        <v>10000</v>
      </c>
      <c r="H153" s="42">
        <v>0</v>
      </c>
      <c r="I153" s="89"/>
      <c r="S153" s="526"/>
      <c r="T153" s="526"/>
      <c r="U153" s="526"/>
      <c r="V153" s="526"/>
      <c r="W153" s="526"/>
      <c r="X153" s="526"/>
      <c r="Y153" s="526"/>
      <c r="Z153" s="526"/>
      <c r="AA153" s="526"/>
      <c r="AB153" s="526"/>
      <c r="AC153" s="526"/>
      <c r="AD153" s="526"/>
      <c r="AE153" s="526"/>
      <c r="AF153" s="526"/>
    </row>
    <row r="154" spans="1:32" x14ac:dyDescent="0.25">
      <c r="A154" s="42">
        <v>149</v>
      </c>
      <c r="B154" s="42" t="s">
        <v>781</v>
      </c>
      <c r="C154" s="87">
        <v>7999</v>
      </c>
      <c r="D154" s="476">
        <v>24000</v>
      </c>
      <c r="E154" s="42" t="s">
        <v>80</v>
      </c>
      <c r="F154" s="42">
        <v>267.82</v>
      </c>
      <c r="G154" s="42">
        <v>24000</v>
      </c>
      <c r="H154" s="42">
        <v>0</v>
      </c>
      <c r="I154" s="89"/>
      <c r="S154" s="526"/>
      <c r="T154" s="526"/>
      <c r="U154" s="526"/>
      <c r="V154" s="526"/>
      <c r="W154" s="526"/>
      <c r="X154" s="526"/>
      <c r="Y154" s="526"/>
      <c r="Z154" s="526"/>
      <c r="AA154" s="526"/>
      <c r="AB154" s="526"/>
      <c r="AC154" s="526"/>
      <c r="AD154" s="526"/>
      <c r="AE154" s="526"/>
      <c r="AF154" s="526"/>
    </row>
    <row r="155" spans="1:32" x14ac:dyDescent="0.25">
      <c r="A155" s="42">
        <v>150</v>
      </c>
      <c r="B155" s="42" t="s">
        <v>781</v>
      </c>
      <c r="C155" s="87">
        <v>9.7500000000000003E-2</v>
      </c>
      <c r="D155" s="476">
        <v>30000</v>
      </c>
      <c r="E155" s="42" t="s">
        <v>80</v>
      </c>
      <c r="F155" s="42">
        <v>334.82</v>
      </c>
      <c r="G155" s="42">
        <v>30000</v>
      </c>
      <c r="H155" s="42">
        <v>0</v>
      </c>
      <c r="I155" s="89"/>
      <c r="S155" s="526"/>
      <c r="T155" s="526"/>
      <c r="U155" s="526"/>
      <c r="V155" s="526"/>
      <c r="W155" s="526"/>
      <c r="X155" s="526"/>
      <c r="Y155" s="526"/>
      <c r="Z155" s="526"/>
      <c r="AA155" s="526"/>
      <c r="AB155" s="526"/>
      <c r="AC155" s="526"/>
      <c r="AD155" s="526"/>
      <c r="AE155" s="526"/>
      <c r="AF155" s="526"/>
    </row>
    <row r="156" spans="1:32" x14ac:dyDescent="0.25">
      <c r="A156" s="42">
        <v>151</v>
      </c>
      <c r="B156" s="42" t="s">
        <v>781</v>
      </c>
      <c r="C156" s="87">
        <v>9374</v>
      </c>
      <c r="D156" s="476">
        <v>7000</v>
      </c>
      <c r="E156" s="42" t="s">
        <v>80</v>
      </c>
      <c r="F156" s="42">
        <v>77.819999999999993</v>
      </c>
      <c r="G156" s="42">
        <v>7000</v>
      </c>
      <c r="H156" s="42">
        <v>0</v>
      </c>
      <c r="I156" s="89"/>
      <c r="S156" s="526"/>
      <c r="T156" s="526"/>
      <c r="U156" s="526"/>
      <c r="V156" s="526"/>
      <c r="W156" s="526"/>
      <c r="X156" s="526"/>
      <c r="Y156" s="526"/>
      <c r="Z156" s="526"/>
      <c r="AA156" s="526"/>
      <c r="AB156" s="526"/>
      <c r="AC156" s="526"/>
      <c r="AD156" s="526"/>
      <c r="AE156" s="526"/>
      <c r="AF156" s="526"/>
    </row>
    <row r="157" spans="1:32" x14ac:dyDescent="0.25">
      <c r="A157" s="42">
        <v>152</v>
      </c>
      <c r="B157" s="42" t="s">
        <v>781</v>
      </c>
      <c r="C157" s="87">
        <v>4365</v>
      </c>
      <c r="D157" s="476">
        <v>15000</v>
      </c>
      <c r="E157" s="42" t="s">
        <v>80</v>
      </c>
      <c r="F157" s="42">
        <v>167.15</v>
      </c>
      <c r="G157" s="42">
        <v>15000</v>
      </c>
      <c r="H157" s="42">
        <v>0</v>
      </c>
      <c r="I157" s="89"/>
      <c r="S157" s="526"/>
      <c r="T157" s="526"/>
      <c r="U157" s="526"/>
      <c r="V157" s="526"/>
      <c r="W157" s="526"/>
      <c r="X157" s="526"/>
      <c r="Y157" s="526"/>
      <c r="Z157" s="526"/>
      <c r="AA157" s="526"/>
      <c r="AB157" s="526"/>
      <c r="AC157" s="526"/>
      <c r="AD157" s="526"/>
      <c r="AE157" s="526"/>
      <c r="AF157" s="526"/>
    </row>
    <row r="158" spans="1:32" x14ac:dyDescent="0.25">
      <c r="A158" s="42">
        <v>153</v>
      </c>
      <c r="B158" s="42" t="s">
        <v>781</v>
      </c>
      <c r="C158" s="87">
        <v>5624</v>
      </c>
      <c r="D158" s="476">
        <v>25000</v>
      </c>
      <c r="E158" s="42" t="s">
        <v>80</v>
      </c>
      <c r="F158" s="42">
        <v>278.22000000000003</v>
      </c>
      <c r="G158" s="42">
        <v>25000</v>
      </c>
      <c r="H158" s="42">
        <v>0</v>
      </c>
      <c r="I158" s="89"/>
      <c r="S158" s="526"/>
      <c r="T158" s="526"/>
      <c r="U158" s="526"/>
      <c r="V158" s="526"/>
      <c r="W158" s="526"/>
      <c r="X158" s="526"/>
      <c r="Y158" s="526"/>
      <c r="Z158" s="526"/>
      <c r="AA158" s="526"/>
      <c r="AB158" s="526"/>
      <c r="AC158" s="526"/>
      <c r="AD158" s="526"/>
      <c r="AE158" s="526"/>
      <c r="AF158" s="526"/>
    </row>
    <row r="159" spans="1:32" x14ac:dyDescent="0.25">
      <c r="A159" s="42">
        <v>154</v>
      </c>
      <c r="B159" s="42" t="s">
        <v>781</v>
      </c>
      <c r="C159" s="87">
        <v>9.11E-2</v>
      </c>
      <c r="D159" s="476">
        <v>25000</v>
      </c>
      <c r="E159" s="42" t="s">
        <v>80</v>
      </c>
      <c r="F159" s="42">
        <v>278.22000000000003</v>
      </c>
      <c r="G159" s="42">
        <v>25000</v>
      </c>
      <c r="H159" s="42">
        <v>0</v>
      </c>
      <c r="I159" s="89"/>
      <c r="S159" s="526"/>
      <c r="T159" s="526"/>
      <c r="U159" s="526"/>
      <c r="V159" s="526"/>
      <c r="W159" s="526"/>
      <c r="X159" s="526"/>
      <c r="Y159" s="526"/>
      <c r="Z159" s="526"/>
      <c r="AA159" s="526"/>
      <c r="AB159" s="526"/>
      <c r="AC159" s="526"/>
      <c r="AD159" s="526"/>
      <c r="AE159" s="526"/>
      <c r="AF159" s="526"/>
    </row>
    <row r="160" spans="1:32" x14ac:dyDescent="0.25">
      <c r="A160" s="42">
        <v>155</v>
      </c>
      <c r="B160" s="42" t="s">
        <v>781</v>
      </c>
      <c r="C160" s="87">
        <v>6456</v>
      </c>
      <c r="D160" s="476">
        <v>7000</v>
      </c>
      <c r="E160" s="42" t="s">
        <v>80</v>
      </c>
      <c r="F160" s="42">
        <v>77.819999999999993</v>
      </c>
      <c r="G160" s="42">
        <v>7000</v>
      </c>
      <c r="H160" s="42">
        <v>0</v>
      </c>
      <c r="I160" s="89"/>
      <c r="S160" s="526"/>
      <c r="T160" s="526"/>
      <c r="U160" s="526"/>
      <c r="V160" s="526"/>
      <c r="W160" s="526"/>
      <c r="X160" s="526"/>
      <c r="Y160" s="526"/>
      <c r="Z160" s="526"/>
      <c r="AA160" s="526"/>
      <c r="AB160" s="526"/>
      <c r="AC160" s="526"/>
      <c r="AD160" s="526"/>
      <c r="AE160" s="526"/>
      <c r="AF160" s="526"/>
    </row>
    <row r="161" spans="1:32" x14ac:dyDescent="0.25">
      <c r="A161" s="42">
        <v>156</v>
      </c>
      <c r="B161" s="42" t="s">
        <v>782</v>
      </c>
      <c r="C161" s="87">
        <v>7344</v>
      </c>
      <c r="D161" s="476">
        <v>14000</v>
      </c>
      <c r="E161" s="42" t="s">
        <v>80</v>
      </c>
      <c r="F161" s="42">
        <v>155.44999999999999</v>
      </c>
      <c r="G161" s="42">
        <v>14000</v>
      </c>
      <c r="H161" s="42">
        <v>0</v>
      </c>
      <c r="I161" s="89"/>
      <c r="S161" s="526"/>
      <c r="T161" s="526"/>
      <c r="U161" s="526"/>
      <c r="V161" s="526"/>
      <c r="W161" s="526"/>
      <c r="X161" s="526"/>
      <c r="Y161" s="526"/>
      <c r="Z161" s="526"/>
      <c r="AA161" s="526"/>
      <c r="AB161" s="526"/>
      <c r="AC161" s="526"/>
      <c r="AD161" s="526"/>
      <c r="AE161" s="526"/>
      <c r="AF161" s="526"/>
    </row>
    <row r="162" spans="1:32" x14ac:dyDescent="0.25">
      <c r="A162" s="42">
        <v>157</v>
      </c>
      <c r="B162" s="42" t="s">
        <v>782</v>
      </c>
      <c r="C162" s="87">
        <v>9490</v>
      </c>
      <c r="D162" s="476">
        <v>13000</v>
      </c>
      <c r="E162" s="42" t="s">
        <v>80</v>
      </c>
      <c r="F162" s="42">
        <v>144.13</v>
      </c>
      <c r="G162" s="42">
        <v>13000</v>
      </c>
      <c r="H162" s="42">
        <v>0</v>
      </c>
      <c r="I162" s="89"/>
      <c r="S162" s="526"/>
      <c r="T162" s="526"/>
      <c r="U162" s="526"/>
      <c r="V162" s="526"/>
      <c r="W162" s="526"/>
      <c r="X162" s="526"/>
      <c r="Y162" s="526"/>
      <c r="Z162" s="526"/>
      <c r="AA162" s="526"/>
      <c r="AB162" s="526"/>
      <c r="AC162" s="526"/>
      <c r="AD162" s="526"/>
      <c r="AE162" s="526"/>
      <c r="AF162" s="526"/>
    </row>
    <row r="163" spans="1:32" x14ac:dyDescent="0.25">
      <c r="A163" s="42">
        <v>158</v>
      </c>
      <c r="B163" s="42" t="s">
        <v>782</v>
      </c>
      <c r="C163" s="87">
        <v>8909</v>
      </c>
      <c r="D163" s="476">
        <v>10000</v>
      </c>
      <c r="E163" s="42" t="s">
        <v>80</v>
      </c>
      <c r="F163" s="42">
        <v>111.41</v>
      </c>
      <c r="G163" s="42">
        <v>10000</v>
      </c>
      <c r="H163" s="42">
        <v>0</v>
      </c>
      <c r="I163" s="89"/>
      <c r="S163" s="526"/>
      <c r="T163" s="526"/>
      <c r="U163" s="526"/>
      <c r="V163" s="526"/>
      <c r="W163" s="526"/>
      <c r="X163" s="526"/>
      <c r="Y163" s="526"/>
      <c r="Z163" s="526"/>
      <c r="AA163" s="526"/>
      <c r="AB163" s="526"/>
      <c r="AC163" s="526"/>
      <c r="AD163" s="526"/>
      <c r="AE163" s="526"/>
      <c r="AF163" s="526"/>
    </row>
    <row r="164" spans="1:32" x14ac:dyDescent="0.25">
      <c r="A164" s="42">
        <v>159</v>
      </c>
      <c r="B164" s="42" t="s">
        <v>782</v>
      </c>
      <c r="C164" s="87">
        <v>5.6399999999999999E-2</v>
      </c>
      <c r="D164" s="476">
        <v>14000</v>
      </c>
      <c r="E164" s="42" t="s">
        <v>80</v>
      </c>
      <c r="F164" s="42">
        <v>155.44999999999999</v>
      </c>
      <c r="G164" s="42">
        <v>14000</v>
      </c>
      <c r="H164" s="42">
        <v>0</v>
      </c>
      <c r="I164" s="89"/>
      <c r="S164" s="526"/>
      <c r="T164" s="526"/>
      <c r="U164" s="526"/>
      <c r="V164" s="526"/>
      <c r="W164" s="526"/>
      <c r="X164" s="526"/>
      <c r="Y164" s="526"/>
      <c r="Z164" s="526"/>
      <c r="AA164" s="526"/>
      <c r="AB164" s="526"/>
      <c r="AC164" s="526"/>
      <c r="AD164" s="526"/>
      <c r="AE164" s="526"/>
      <c r="AF164" s="526"/>
    </row>
    <row r="165" spans="1:32" x14ac:dyDescent="0.25">
      <c r="A165" s="42">
        <v>160</v>
      </c>
      <c r="B165" s="42" t="s">
        <v>782</v>
      </c>
      <c r="C165" s="87">
        <v>2973</v>
      </c>
      <c r="D165" s="476">
        <v>14000</v>
      </c>
      <c r="E165" s="42" t="s">
        <v>80</v>
      </c>
      <c r="F165" s="42">
        <v>155.44999999999999</v>
      </c>
      <c r="G165" s="42">
        <v>14000</v>
      </c>
      <c r="H165" s="42">
        <v>0</v>
      </c>
      <c r="I165" s="89"/>
      <c r="S165" s="526"/>
      <c r="T165" s="526"/>
      <c r="U165" s="526"/>
      <c r="V165" s="526"/>
      <c r="W165" s="526"/>
      <c r="X165" s="526"/>
      <c r="Y165" s="526"/>
      <c r="Z165" s="526"/>
      <c r="AA165" s="526"/>
      <c r="AB165" s="526"/>
      <c r="AC165" s="526"/>
      <c r="AD165" s="526"/>
      <c r="AE165" s="526"/>
      <c r="AF165" s="526"/>
    </row>
    <row r="166" spans="1:32" x14ac:dyDescent="0.25">
      <c r="A166" s="42">
        <v>161</v>
      </c>
      <c r="B166" s="42" t="s">
        <v>782</v>
      </c>
      <c r="C166" s="87">
        <v>2912</v>
      </c>
      <c r="D166" s="476">
        <v>14000</v>
      </c>
      <c r="E166" s="42" t="s">
        <v>80</v>
      </c>
      <c r="F166" s="42">
        <v>155.44999999999999</v>
      </c>
      <c r="G166" s="42">
        <v>14000</v>
      </c>
      <c r="H166" s="42">
        <v>0</v>
      </c>
      <c r="I166" s="89"/>
      <c r="S166" s="526"/>
      <c r="T166" s="526"/>
      <c r="U166" s="526"/>
      <c r="V166" s="526"/>
      <c r="W166" s="526"/>
      <c r="X166" s="526"/>
      <c r="Y166" s="526"/>
      <c r="Z166" s="526"/>
      <c r="AA166" s="526"/>
      <c r="AB166" s="526"/>
      <c r="AC166" s="526"/>
      <c r="AD166" s="526"/>
      <c r="AE166" s="526"/>
      <c r="AF166" s="526"/>
    </row>
    <row r="167" spans="1:32" x14ac:dyDescent="0.25">
      <c r="A167" s="42">
        <v>162</v>
      </c>
      <c r="B167" s="42" t="s">
        <v>782</v>
      </c>
      <c r="C167" s="87">
        <v>2972</v>
      </c>
      <c r="D167" s="476">
        <v>15000</v>
      </c>
      <c r="E167" s="42" t="s">
        <v>80</v>
      </c>
      <c r="F167" s="42">
        <v>167.15</v>
      </c>
      <c r="G167" s="42">
        <v>15000</v>
      </c>
      <c r="H167" s="42">
        <v>0</v>
      </c>
      <c r="I167" s="89"/>
      <c r="S167" s="526"/>
      <c r="T167" s="526"/>
      <c r="U167" s="526"/>
      <c r="V167" s="526"/>
      <c r="W167" s="526"/>
      <c r="X167" s="526"/>
      <c r="Y167" s="526"/>
      <c r="Z167" s="526"/>
      <c r="AA167" s="526"/>
      <c r="AB167" s="526"/>
      <c r="AC167" s="526"/>
      <c r="AD167" s="526"/>
      <c r="AE167" s="526"/>
      <c r="AF167" s="526"/>
    </row>
    <row r="168" spans="1:32" x14ac:dyDescent="0.25">
      <c r="A168" s="42">
        <v>163</v>
      </c>
      <c r="B168" s="42" t="s">
        <v>782</v>
      </c>
      <c r="C168" s="87">
        <v>3569</v>
      </c>
      <c r="D168" s="476">
        <v>15000</v>
      </c>
      <c r="E168" s="42" t="s">
        <v>80</v>
      </c>
      <c r="F168" s="42">
        <v>167.15</v>
      </c>
      <c r="G168" s="42">
        <v>15000</v>
      </c>
      <c r="H168" s="42">
        <v>0</v>
      </c>
      <c r="I168" s="89"/>
      <c r="S168" s="526"/>
      <c r="T168" s="526"/>
      <c r="U168" s="526"/>
      <c r="V168" s="526"/>
      <c r="W168" s="526"/>
      <c r="X168" s="526"/>
      <c r="Y168" s="526"/>
      <c r="Z168" s="526"/>
      <c r="AA168" s="526"/>
      <c r="AB168" s="526"/>
      <c r="AC168" s="526"/>
      <c r="AD168" s="526"/>
      <c r="AE168" s="526"/>
      <c r="AF168" s="526"/>
    </row>
    <row r="169" spans="1:32" x14ac:dyDescent="0.25">
      <c r="A169" s="42">
        <v>164</v>
      </c>
      <c r="B169" s="42" t="s">
        <v>782</v>
      </c>
      <c r="C169" s="87">
        <v>5.1999999999999998E-3</v>
      </c>
      <c r="D169" s="476">
        <v>15000</v>
      </c>
      <c r="E169" s="42" t="s">
        <v>80</v>
      </c>
      <c r="F169" s="42">
        <v>167.15</v>
      </c>
      <c r="G169" s="42">
        <v>15000</v>
      </c>
      <c r="H169" s="42">
        <v>0</v>
      </c>
      <c r="I169" s="89"/>
      <c r="S169" s="526"/>
      <c r="T169" s="526"/>
      <c r="U169" s="526"/>
      <c r="V169" s="526"/>
      <c r="W169" s="526"/>
      <c r="X169" s="526"/>
      <c r="Y169" s="526"/>
      <c r="Z169" s="526"/>
      <c r="AA169" s="526"/>
      <c r="AB169" s="526"/>
      <c r="AC169" s="526"/>
      <c r="AD169" s="526"/>
      <c r="AE169" s="526"/>
      <c r="AF169" s="526"/>
    </row>
    <row r="170" spans="1:32" x14ac:dyDescent="0.25">
      <c r="A170" s="42">
        <v>165</v>
      </c>
      <c r="B170" s="42" t="s">
        <v>782</v>
      </c>
      <c r="C170" s="87">
        <v>5632</v>
      </c>
      <c r="D170" s="476">
        <v>23000</v>
      </c>
      <c r="E170" s="42" t="s">
        <v>80</v>
      </c>
      <c r="F170" s="42">
        <v>256.74</v>
      </c>
      <c r="G170" s="42">
        <v>23000</v>
      </c>
      <c r="H170" s="42">
        <v>0</v>
      </c>
      <c r="I170" s="89"/>
      <c r="S170" s="526"/>
      <c r="T170" s="526"/>
      <c r="U170" s="526"/>
      <c r="V170" s="526"/>
      <c r="W170" s="526"/>
      <c r="X170" s="526"/>
      <c r="Y170" s="526"/>
      <c r="Z170" s="526"/>
      <c r="AA170" s="526"/>
      <c r="AB170" s="526"/>
      <c r="AC170" s="526"/>
      <c r="AD170" s="526"/>
      <c r="AE170" s="526"/>
      <c r="AF170" s="526"/>
    </row>
    <row r="171" spans="1:32" x14ac:dyDescent="0.25">
      <c r="A171" s="42">
        <v>166</v>
      </c>
      <c r="B171" s="42" t="s">
        <v>782</v>
      </c>
      <c r="C171" s="87">
        <v>5498</v>
      </c>
      <c r="D171" s="476">
        <v>24000</v>
      </c>
      <c r="E171" s="42" t="s">
        <v>80</v>
      </c>
      <c r="F171" s="42">
        <v>267.82</v>
      </c>
      <c r="G171" s="42">
        <v>24000</v>
      </c>
      <c r="H171" s="42">
        <v>0</v>
      </c>
      <c r="I171" s="89"/>
      <c r="S171" s="526"/>
      <c r="T171" s="526"/>
      <c r="U171" s="526"/>
      <c r="V171" s="526"/>
      <c r="W171" s="526"/>
      <c r="X171" s="526"/>
      <c r="Y171" s="526"/>
      <c r="Z171" s="526"/>
      <c r="AA171" s="526"/>
      <c r="AB171" s="526"/>
      <c r="AC171" s="526"/>
      <c r="AD171" s="526"/>
      <c r="AE171" s="526"/>
      <c r="AF171" s="526"/>
    </row>
    <row r="172" spans="1:32" x14ac:dyDescent="0.25">
      <c r="A172" s="42">
        <v>167</v>
      </c>
      <c r="B172" s="42" t="s">
        <v>782</v>
      </c>
      <c r="C172" s="87">
        <v>5252</v>
      </c>
      <c r="D172" s="476">
        <v>16000</v>
      </c>
      <c r="E172" s="42" t="s">
        <v>80</v>
      </c>
      <c r="F172" s="42">
        <v>178.22</v>
      </c>
      <c r="G172" s="42">
        <v>16000</v>
      </c>
      <c r="H172" s="42">
        <v>0</v>
      </c>
      <c r="I172" s="89"/>
      <c r="S172" s="526"/>
      <c r="T172" s="526"/>
      <c r="U172" s="526"/>
      <c r="V172" s="526"/>
      <c r="W172" s="526"/>
      <c r="X172" s="526"/>
      <c r="Y172" s="526"/>
      <c r="Z172" s="526"/>
      <c r="AA172" s="526"/>
      <c r="AB172" s="526"/>
      <c r="AC172" s="526"/>
      <c r="AD172" s="526"/>
      <c r="AE172" s="526"/>
      <c r="AF172" s="526"/>
    </row>
    <row r="173" spans="1:32" x14ac:dyDescent="0.25">
      <c r="A173" s="42">
        <v>168</v>
      </c>
      <c r="B173" s="42" t="s">
        <v>782</v>
      </c>
      <c r="C173" s="87">
        <v>9776</v>
      </c>
      <c r="D173" s="476">
        <v>21000</v>
      </c>
      <c r="E173" s="42" t="s">
        <v>80</v>
      </c>
      <c r="F173" s="42">
        <v>233.85</v>
      </c>
      <c r="G173" s="42">
        <v>21000</v>
      </c>
      <c r="H173" s="42">
        <v>0</v>
      </c>
      <c r="I173" s="89"/>
      <c r="S173" s="526"/>
      <c r="T173" s="526"/>
      <c r="U173" s="526"/>
      <c r="V173" s="526"/>
      <c r="W173" s="526"/>
      <c r="X173" s="526"/>
      <c r="Y173" s="526"/>
      <c r="Z173" s="526"/>
      <c r="AA173" s="526"/>
      <c r="AB173" s="526"/>
      <c r="AC173" s="526"/>
      <c r="AD173" s="526"/>
      <c r="AE173" s="526"/>
      <c r="AF173" s="526"/>
    </row>
    <row r="174" spans="1:32" x14ac:dyDescent="0.25">
      <c r="A174" s="42">
        <v>169</v>
      </c>
      <c r="B174" s="42" t="s">
        <v>782</v>
      </c>
      <c r="C174" s="87">
        <v>1783</v>
      </c>
      <c r="D174" s="476">
        <v>25000</v>
      </c>
      <c r="E174" s="42" t="s">
        <v>80</v>
      </c>
      <c r="F174" s="42">
        <v>278.22000000000003</v>
      </c>
      <c r="G174" s="42">
        <v>25000</v>
      </c>
      <c r="H174" s="42">
        <v>0</v>
      </c>
      <c r="I174" s="89"/>
      <c r="S174" s="526"/>
      <c r="T174" s="526"/>
      <c r="U174" s="526"/>
      <c r="V174" s="526"/>
      <c r="W174" s="526"/>
      <c r="X174" s="526"/>
      <c r="Y174" s="526"/>
      <c r="Z174" s="526"/>
      <c r="AA174" s="526"/>
      <c r="AB174" s="526"/>
      <c r="AC174" s="526"/>
      <c r="AD174" s="526"/>
      <c r="AE174" s="526"/>
      <c r="AF174" s="526"/>
    </row>
    <row r="175" spans="1:32" x14ac:dyDescent="0.25">
      <c r="A175" s="42">
        <v>170</v>
      </c>
      <c r="B175" s="42" t="s">
        <v>782</v>
      </c>
      <c r="C175" s="87">
        <v>3370</v>
      </c>
      <c r="D175" s="476">
        <v>25000</v>
      </c>
      <c r="E175" s="42" t="s">
        <v>80</v>
      </c>
      <c r="F175" s="42">
        <v>278.22000000000003</v>
      </c>
      <c r="G175" s="42">
        <v>25000</v>
      </c>
      <c r="H175" s="42">
        <v>0</v>
      </c>
      <c r="I175" s="89"/>
      <c r="S175" s="526"/>
      <c r="T175" s="526"/>
      <c r="U175" s="526"/>
      <c r="V175" s="526"/>
      <c r="W175" s="526"/>
      <c r="X175" s="526"/>
      <c r="Y175" s="526"/>
      <c r="Z175" s="526"/>
      <c r="AA175" s="526"/>
      <c r="AB175" s="526"/>
      <c r="AC175" s="526"/>
      <c r="AD175" s="526"/>
      <c r="AE175" s="526"/>
      <c r="AF175" s="526"/>
    </row>
    <row r="176" spans="1:32" x14ac:dyDescent="0.25">
      <c r="A176" s="42">
        <v>171</v>
      </c>
      <c r="B176" s="42" t="s">
        <v>782</v>
      </c>
      <c r="C176" s="87">
        <v>5153</v>
      </c>
      <c r="D176" s="476">
        <v>12000</v>
      </c>
      <c r="E176" s="42" t="s">
        <v>80</v>
      </c>
      <c r="F176" s="42">
        <v>133.41999999999999</v>
      </c>
      <c r="G176" s="42">
        <v>12000</v>
      </c>
      <c r="H176" s="42">
        <v>0</v>
      </c>
      <c r="I176" s="89"/>
      <c r="S176" s="526"/>
      <c r="T176" s="526"/>
      <c r="U176" s="526"/>
      <c r="V176" s="526"/>
      <c r="W176" s="526"/>
      <c r="X176" s="526"/>
      <c r="Y176" s="526"/>
      <c r="Z176" s="526"/>
      <c r="AA176" s="526"/>
      <c r="AB176" s="526"/>
      <c r="AC176" s="526"/>
      <c r="AD176" s="526"/>
      <c r="AE176" s="526"/>
      <c r="AF176" s="526"/>
    </row>
    <row r="177" spans="1:32" x14ac:dyDescent="0.25">
      <c r="A177" s="42">
        <v>172</v>
      </c>
      <c r="B177" s="42" t="s">
        <v>782</v>
      </c>
      <c r="C177" s="87">
        <v>1545</v>
      </c>
      <c r="D177" s="476">
        <v>24000</v>
      </c>
      <c r="E177" s="42" t="s">
        <v>80</v>
      </c>
      <c r="F177" s="42">
        <v>246.74</v>
      </c>
      <c r="G177" s="42">
        <v>24000</v>
      </c>
      <c r="H177" s="42">
        <v>0</v>
      </c>
      <c r="I177" s="89"/>
      <c r="S177" s="526"/>
      <c r="T177" s="526"/>
      <c r="U177" s="526"/>
      <c r="V177" s="526"/>
      <c r="W177" s="526"/>
      <c r="X177" s="526"/>
      <c r="Y177" s="526"/>
      <c r="Z177" s="526"/>
      <c r="AA177" s="526"/>
      <c r="AB177" s="526"/>
      <c r="AC177" s="526"/>
      <c r="AD177" s="526"/>
      <c r="AE177" s="526"/>
      <c r="AF177" s="526"/>
    </row>
    <row r="178" spans="1:32" x14ac:dyDescent="0.25">
      <c r="A178" s="42">
        <v>173</v>
      </c>
      <c r="B178" s="42" t="s">
        <v>782</v>
      </c>
      <c r="C178" s="87">
        <v>5604</v>
      </c>
      <c r="D178" s="476">
        <v>22000</v>
      </c>
      <c r="E178" s="42" t="s">
        <v>80</v>
      </c>
      <c r="F178" s="42">
        <v>245.27</v>
      </c>
      <c r="G178" s="42">
        <v>22000</v>
      </c>
      <c r="H178" s="42">
        <v>0</v>
      </c>
      <c r="I178" s="89"/>
      <c r="S178" s="526"/>
      <c r="T178" s="526"/>
      <c r="U178" s="526"/>
      <c r="V178" s="526"/>
      <c r="W178" s="526"/>
      <c r="X178" s="526"/>
      <c r="Y178" s="526"/>
      <c r="Z178" s="526"/>
      <c r="AA178" s="526"/>
      <c r="AB178" s="526"/>
      <c r="AC178" s="526"/>
      <c r="AD178" s="526"/>
      <c r="AE178" s="526"/>
      <c r="AF178" s="526"/>
    </row>
    <row r="179" spans="1:32" x14ac:dyDescent="0.25">
      <c r="A179" s="42">
        <v>174</v>
      </c>
      <c r="B179" s="42" t="s">
        <v>782</v>
      </c>
      <c r="C179" s="87">
        <v>9407</v>
      </c>
      <c r="D179" s="476">
        <v>14000</v>
      </c>
      <c r="E179" s="42" t="s">
        <v>80</v>
      </c>
      <c r="F179" s="42">
        <v>155.15</v>
      </c>
      <c r="G179" s="42">
        <v>14000</v>
      </c>
      <c r="H179" s="42">
        <v>0</v>
      </c>
      <c r="I179" s="89"/>
      <c r="S179" s="526"/>
      <c r="T179" s="526"/>
      <c r="U179" s="526"/>
      <c r="V179" s="526"/>
      <c r="W179" s="526"/>
      <c r="X179" s="526"/>
      <c r="Y179" s="526"/>
      <c r="Z179" s="526"/>
      <c r="AA179" s="526"/>
      <c r="AB179" s="526"/>
      <c r="AC179" s="526"/>
      <c r="AD179" s="526"/>
      <c r="AE179" s="526"/>
      <c r="AF179" s="526"/>
    </row>
    <row r="180" spans="1:32" x14ac:dyDescent="0.25">
      <c r="A180" s="42">
        <v>175</v>
      </c>
      <c r="B180" s="42" t="s">
        <v>782</v>
      </c>
      <c r="C180" s="87">
        <v>5091</v>
      </c>
      <c r="D180" s="476">
        <v>20000</v>
      </c>
      <c r="E180" s="42" t="s">
        <v>80</v>
      </c>
      <c r="F180" s="42">
        <v>222.82</v>
      </c>
      <c r="G180" s="42">
        <v>20000</v>
      </c>
      <c r="H180" s="42">
        <v>0</v>
      </c>
      <c r="I180" s="89"/>
      <c r="S180" s="526"/>
      <c r="T180" s="526"/>
      <c r="U180" s="526"/>
      <c r="V180" s="526"/>
      <c r="W180" s="526"/>
      <c r="X180" s="526"/>
      <c r="Y180" s="526"/>
      <c r="Z180" s="526"/>
      <c r="AA180" s="526"/>
      <c r="AB180" s="526"/>
      <c r="AC180" s="526"/>
      <c r="AD180" s="526"/>
      <c r="AE180" s="526"/>
      <c r="AF180" s="526"/>
    </row>
    <row r="181" spans="1:32" x14ac:dyDescent="0.25">
      <c r="A181" s="42">
        <v>176</v>
      </c>
      <c r="B181" s="42" t="s">
        <v>782</v>
      </c>
      <c r="C181" s="87">
        <v>4629</v>
      </c>
      <c r="D181" s="476">
        <v>9000</v>
      </c>
      <c r="E181" s="42" t="s">
        <v>80</v>
      </c>
      <c r="F181" s="42">
        <v>100.62</v>
      </c>
      <c r="G181" s="42">
        <v>9000</v>
      </c>
      <c r="H181" s="42">
        <v>0</v>
      </c>
      <c r="I181" s="89"/>
      <c r="S181" s="526"/>
      <c r="T181" s="526"/>
      <c r="U181" s="526"/>
      <c r="V181" s="526"/>
      <c r="W181" s="526"/>
      <c r="X181" s="526"/>
      <c r="Y181" s="526"/>
      <c r="Z181" s="526"/>
      <c r="AA181" s="526"/>
      <c r="AB181" s="526"/>
      <c r="AC181" s="526"/>
      <c r="AD181" s="526"/>
      <c r="AE181" s="526"/>
      <c r="AF181" s="526"/>
    </row>
    <row r="182" spans="1:32" x14ac:dyDescent="0.25">
      <c r="A182" s="42">
        <v>177</v>
      </c>
      <c r="B182" s="42" t="s">
        <v>782</v>
      </c>
      <c r="C182" s="87">
        <v>9.1000000000000004E-3</v>
      </c>
      <c r="D182" s="476">
        <v>20000</v>
      </c>
      <c r="E182" s="42" t="s">
        <v>80</v>
      </c>
      <c r="F182" s="42">
        <v>222.82</v>
      </c>
      <c r="G182" s="42">
        <v>20000</v>
      </c>
      <c r="H182" s="42">
        <v>0</v>
      </c>
      <c r="I182" s="89"/>
      <c r="S182" s="526"/>
      <c r="T182" s="526"/>
      <c r="U182" s="526"/>
      <c r="V182" s="526"/>
      <c r="W182" s="526"/>
      <c r="X182" s="526"/>
      <c r="Y182" s="526"/>
      <c r="Z182" s="526"/>
      <c r="AA182" s="526"/>
      <c r="AB182" s="526"/>
      <c r="AC182" s="526"/>
      <c r="AD182" s="526"/>
      <c r="AE182" s="526"/>
      <c r="AF182" s="526"/>
    </row>
    <row r="183" spans="1:32" x14ac:dyDescent="0.25">
      <c r="A183" s="42">
        <v>178</v>
      </c>
      <c r="B183" s="42" t="s">
        <v>783</v>
      </c>
      <c r="C183" s="87">
        <v>4067</v>
      </c>
      <c r="D183" s="476">
        <v>13000</v>
      </c>
      <c r="E183" s="42" t="s">
        <v>80</v>
      </c>
      <c r="F183" s="42">
        <v>144.13</v>
      </c>
      <c r="G183" s="42">
        <v>13000</v>
      </c>
      <c r="H183" s="42">
        <v>0</v>
      </c>
      <c r="I183" s="89"/>
      <c r="S183" s="526"/>
      <c r="T183" s="526"/>
      <c r="U183" s="526"/>
      <c r="V183" s="526"/>
      <c r="W183" s="526"/>
      <c r="X183" s="526"/>
      <c r="Y183" s="526"/>
      <c r="Z183" s="526"/>
      <c r="AA183" s="526"/>
      <c r="AB183" s="526"/>
      <c r="AC183" s="526"/>
      <c r="AD183" s="526"/>
      <c r="AE183" s="526"/>
      <c r="AF183" s="526"/>
    </row>
    <row r="184" spans="1:32" x14ac:dyDescent="0.25">
      <c r="A184" s="42">
        <v>179</v>
      </c>
      <c r="B184" s="42" t="s">
        <v>783</v>
      </c>
      <c r="C184" s="87">
        <v>14000</v>
      </c>
      <c r="D184" s="476">
        <v>14000</v>
      </c>
      <c r="E184" s="42" t="s">
        <v>80</v>
      </c>
      <c r="F184" s="42">
        <v>155.15</v>
      </c>
      <c r="G184" s="42">
        <v>14000</v>
      </c>
      <c r="H184" s="42">
        <v>0</v>
      </c>
      <c r="I184" s="89"/>
      <c r="S184" s="526"/>
      <c r="T184" s="526"/>
      <c r="U184" s="526"/>
      <c r="V184" s="526"/>
      <c r="W184" s="526"/>
      <c r="X184" s="526"/>
      <c r="Y184" s="526"/>
      <c r="Z184" s="526"/>
      <c r="AA184" s="526"/>
      <c r="AB184" s="526"/>
      <c r="AC184" s="526"/>
      <c r="AD184" s="526"/>
      <c r="AE184" s="526"/>
      <c r="AF184" s="526"/>
    </row>
    <row r="185" spans="1:32" x14ac:dyDescent="0.25">
      <c r="A185" s="42">
        <v>180</v>
      </c>
      <c r="B185" s="42" t="s">
        <v>783</v>
      </c>
      <c r="C185" s="87">
        <v>4500</v>
      </c>
      <c r="D185" s="476">
        <v>4500</v>
      </c>
      <c r="E185" s="42" t="s">
        <v>80</v>
      </c>
      <c r="F185" s="42">
        <v>50.45</v>
      </c>
      <c r="G185" s="42">
        <v>4500</v>
      </c>
      <c r="H185" s="42">
        <v>0</v>
      </c>
      <c r="I185" s="89"/>
      <c r="S185" s="526"/>
      <c r="T185" s="526"/>
      <c r="U185" s="526"/>
      <c r="V185" s="526"/>
      <c r="W185" s="526"/>
      <c r="X185" s="526"/>
      <c r="Y185" s="526"/>
      <c r="Z185" s="526"/>
      <c r="AA185" s="526"/>
      <c r="AB185" s="526"/>
      <c r="AC185" s="526"/>
      <c r="AD185" s="526"/>
      <c r="AE185" s="526"/>
      <c r="AF185" s="526"/>
    </row>
    <row r="186" spans="1:32" x14ac:dyDescent="0.25">
      <c r="A186" s="42">
        <v>181</v>
      </c>
      <c r="B186" s="42" t="s">
        <v>783</v>
      </c>
      <c r="C186" s="87">
        <v>9397</v>
      </c>
      <c r="D186" s="476">
        <v>14000</v>
      </c>
      <c r="E186" s="42" t="s">
        <v>80</v>
      </c>
      <c r="F186" s="42">
        <v>155.15</v>
      </c>
      <c r="G186" s="42">
        <v>14000</v>
      </c>
      <c r="H186" s="42">
        <v>0</v>
      </c>
      <c r="I186" s="89"/>
      <c r="S186" s="526"/>
      <c r="T186" s="526"/>
      <c r="U186" s="526"/>
      <c r="V186" s="526"/>
      <c r="W186" s="526"/>
      <c r="X186" s="526"/>
      <c r="Y186" s="526"/>
      <c r="Z186" s="526"/>
      <c r="AA186" s="526"/>
      <c r="AB186" s="526"/>
      <c r="AC186" s="526"/>
      <c r="AD186" s="526"/>
      <c r="AE186" s="526"/>
      <c r="AF186" s="526"/>
    </row>
    <row r="187" spans="1:32" x14ac:dyDescent="0.25">
      <c r="A187" s="42">
        <v>182</v>
      </c>
      <c r="B187" s="42" t="s">
        <v>783</v>
      </c>
      <c r="C187" s="87">
        <v>4071</v>
      </c>
      <c r="D187" s="476">
        <v>20000</v>
      </c>
      <c r="E187" s="42" t="s">
        <v>80</v>
      </c>
      <c r="F187" s="42">
        <v>222.82</v>
      </c>
      <c r="G187" s="42">
        <v>20000</v>
      </c>
      <c r="H187" s="42">
        <v>0</v>
      </c>
      <c r="I187" s="89"/>
      <c r="S187" s="526"/>
      <c r="T187" s="526"/>
      <c r="U187" s="526"/>
      <c r="V187" s="526"/>
      <c r="W187" s="526"/>
      <c r="X187" s="526"/>
      <c r="Y187" s="526"/>
      <c r="Z187" s="526"/>
      <c r="AA187" s="526"/>
      <c r="AB187" s="526"/>
      <c r="AC187" s="526"/>
      <c r="AD187" s="526"/>
      <c r="AE187" s="526"/>
      <c r="AF187" s="526"/>
    </row>
    <row r="188" spans="1:32" x14ac:dyDescent="0.25">
      <c r="A188" s="42">
        <v>183</v>
      </c>
      <c r="B188" s="42" t="s">
        <v>783</v>
      </c>
      <c r="C188" s="87">
        <v>3396</v>
      </c>
      <c r="D188" s="476">
        <v>20000</v>
      </c>
      <c r="E188" s="42" t="s">
        <v>80</v>
      </c>
      <c r="F188" s="42">
        <v>222.82</v>
      </c>
      <c r="G188" s="42">
        <v>20000</v>
      </c>
      <c r="H188" s="42">
        <v>0</v>
      </c>
      <c r="I188" s="89"/>
      <c r="S188" s="526"/>
      <c r="T188" s="526"/>
      <c r="U188" s="526"/>
      <c r="V188" s="526"/>
      <c r="W188" s="526"/>
      <c r="X188" s="526"/>
      <c r="Y188" s="526"/>
      <c r="Z188" s="526"/>
      <c r="AA188" s="526"/>
      <c r="AB188" s="526"/>
      <c r="AC188" s="526"/>
      <c r="AD188" s="526"/>
      <c r="AE188" s="526"/>
      <c r="AF188" s="526"/>
    </row>
    <row r="189" spans="1:32" x14ac:dyDescent="0.25">
      <c r="A189" s="42">
        <v>184</v>
      </c>
      <c r="B189" s="42" t="s">
        <v>783</v>
      </c>
      <c r="C189" s="87">
        <v>3577</v>
      </c>
      <c r="D189" s="476">
        <v>14000</v>
      </c>
      <c r="E189" s="42" t="s">
        <v>80</v>
      </c>
      <c r="F189" s="42">
        <v>155.15</v>
      </c>
      <c r="G189" s="42">
        <v>14000</v>
      </c>
      <c r="H189" s="42">
        <v>0</v>
      </c>
      <c r="I189" s="89"/>
      <c r="S189" s="526"/>
      <c r="T189" s="526"/>
      <c r="U189" s="526"/>
      <c r="V189" s="526"/>
      <c r="W189" s="526"/>
      <c r="X189" s="526"/>
      <c r="Y189" s="526"/>
      <c r="Z189" s="526"/>
      <c r="AA189" s="526"/>
      <c r="AB189" s="526"/>
      <c r="AC189" s="526"/>
      <c r="AD189" s="526"/>
      <c r="AE189" s="526"/>
      <c r="AF189" s="526"/>
    </row>
    <row r="190" spans="1:32" x14ac:dyDescent="0.25">
      <c r="A190" s="42">
        <v>185</v>
      </c>
      <c r="B190" s="42" t="s">
        <v>783</v>
      </c>
      <c r="C190" s="87">
        <v>5151</v>
      </c>
      <c r="D190" s="476">
        <v>16000</v>
      </c>
      <c r="E190" s="42" t="s">
        <v>80</v>
      </c>
      <c r="F190" s="42">
        <v>178.22</v>
      </c>
      <c r="G190" s="42">
        <v>16000</v>
      </c>
      <c r="H190" s="42">
        <v>0</v>
      </c>
      <c r="I190" s="89"/>
      <c r="S190" s="526"/>
      <c r="T190" s="526"/>
      <c r="U190" s="526"/>
      <c r="V190" s="526"/>
      <c r="W190" s="526"/>
      <c r="X190" s="526"/>
      <c r="Y190" s="526"/>
      <c r="Z190" s="526"/>
      <c r="AA190" s="526"/>
      <c r="AB190" s="526"/>
      <c r="AC190" s="526"/>
      <c r="AD190" s="526"/>
      <c r="AE190" s="526"/>
      <c r="AF190" s="526"/>
    </row>
    <row r="191" spans="1:32" x14ac:dyDescent="0.25">
      <c r="A191" s="42">
        <v>186</v>
      </c>
      <c r="B191" s="42" t="s">
        <v>783</v>
      </c>
      <c r="C191" s="87">
        <v>5.1000000000000004E-3</v>
      </c>
      <c r="D191" s="476">
        <v>16000</v>
      </c>
      <c r="E191" s="42" t="s">
        <v>80</v>
      </c>
      <c r="F191" s="42">
        <v>178.22</v>
      </c>
      <c r="G191" s="42">
        <v>16000</v>
      </c>
      <c r="H191" s="42">
        <v>0</v>
      </c>
      <c r="I191" s="89"/>
      <c r="S191" s="526"/>
      <c r="T191" s="526"/>
      <c r="U191" s="526"/>
      <c r="V191" s="526"/>
      <c r="W191" s="526"/>
      <c r="X191" s="526"/>
      <c r="Y191" s="526"/>
      <c r="Z191" s="526"/>
      <c r="AA191" s="526"/>
      <c r="AB191" s="526"/>
      <c r="AC191" s="526"/>
      <c r="AD191" s="526"/>
      <c r="AE191" s="526"/>
      <c r="AF191" s="526"/>
    </row>
    <row r="192" spans="1:32" x14ac:dyDescent="0.25">
      <c r="A192" s="42">
        <v>187</v>
      </c>
      <c r="B192" s="42" t="s">
        <v>783</v>
      </c>
      <c r="C192" s="87">
        <v>8381</v>
      </c>
      <c r="D192" s="476">
        <v>10000</v>
      </c>
      <c r="E192" s="42" t="s">
        <v>80</v>
      </c>
      <c r="F192" s="42">
        <v>111.42</v>
      </c>
      <c r="G192" s="42">
        <v>10000</v>
      </c>
      <c r="H192" s="42">
        <v>0</v>
      </c>
      <c r="I192" s="89"/>
      <c r="S192" s="526"/>
      <c r="T192" s="526"/>
      <c r="U192" s="526"/>
      <c r="V192" s="526"/>
      <c r="W192" s="526"/>
      <c r="X192" s="526"/>
      <c r="Y192" s="526"/>
      <c r="Z192" s="526"/>
      <c r="AA192" s="526"/>
      <c r="AB192" s="526"/>
      <c r="AC192" s="526"/>
      <c r="AD192" s="526"/>
      <c r="AE192" s="526"/>
      <c r="AF192" s="526"/>
    </row>
    <row r="193" spans="1:32" x14ac:dyDescent="0.25">
      <c r="A193" s="42">
        <v>188</v>
      </c>
      <c r="B193" s="42" t="s">
        <v>783</v>
      </c>
      <c r="C193" s="87">
        <v>8426</v>
      </c>
      <c r="D193" s="476">
        <v>24000</v>
      </c>
      <c r="E193" s="42" t="s">
        <v>80</v>
      </c>
      <c r="F193" s="42">
        <v>224.37</v>
      </c>
      <c r="G193" s="42">
        <v>24000</v>
      </c>
      <c r="H193" s="42">
        <v>0</v>
      </c>
      <c r="I193" s="89"/>
      <c r="S193" s="526"/>
      <c r="T193" s="526"/>
      <c r="U193" s="526"/>
      <c r="V193" s="526"/>
      <c r="W193" s="526"/>
      <c r="X193" s="526"/>
      <c r="Y193" s="526"/>
      <c r="Z193" s="526"/>
      <c r="AA193" s="526"/>
      <c r="AB193" s="526"/>
      <c r="AC193" s="526"/>
      <c r="AD193" s="526"/>
      <c r="AE193" s="526"/>
      <c r="AF193" s="526"/>
    </row>
    <row r="194" spans="1:32" x14ac:dyDescent="0.25">
      <c r="A194" s="42">
        <v>189</v>
      </c>
      <c r="B194" s="42" t="s">
        <v>783</v>
      </c>
      <c r="C194" s="87">
        <v>1887</v>
      </c>
      <c r="D194" s="476">
        <v>12000</v>
      </c>
      <c r="E194" s="42" t="s">
        <v>80</v>
      </c>
      <c r="F194" s="42">
        <v>133.41999999999999</v>
      </c>
      <c r="G194" s="42">
        <v>12000</v>
      </c>
      <c r="H194" s="42">
        <v>0</v>
      </c>
      <c r="I194" s="89"/>
      <c r="S194" s="526"/>
      <c r="T194" s="526"/>
      <c r="U194" s="526"/>
      <c r="V194" s="526"/>
      <c r="W194" s="526"/>
      <c r="X194" s="526"/>
      <c r="Y194" s="526"/>
      <c r="Z194" s="526"/>
      <c r="AA194" s="526"/>
      <c r="AB194" s="526"/>
      <c r="AC194" s="526"/>
      <c r="AD194" s="526"/>
      <c r="AE194" s="526"/>
      <c r="AF194" s="526"/>
    </row>
    <row r="195" spans="1:32" x14ac:dyDescent="0.25">
      <c r="A195" s="42">
        <v>190</v>
      </c>
      <c r="B195" s="42" t="s">
        <v>783</v>
      </c>
      <c r="C195" s="87">
        <v>5924</v>
      </c>
      <c r="D195" s="476">
        <v>28000</v>
      </c>
      <c r="E195" s="42" t="s">
        <v>80</v>
      </c>
      <c r="F195" s="42">
        <v>311.94</v>
      </c>
      <c r="G195" s="42">
        <v>28000</v>
      </c>
      <c r="H195" s="42">
        <v>0</v>
      </c>
      <c r="I195" s="89"/>
      <c r="S195" s="526"/>
      <c r="T195" s="526"/>
      <c r="U195" s="526"/>
      <c r="V195" s="526"/>
      <c r="W195" s="526"/>
      <c r="X195" s="526"/>
      <c r="Y195" s="526"/>
      <c r="Z195" s="526"/>
      <c r="AA195" s="526"/>
      <c r="AB195" s="526"/>
      <c r="AC195" s="526"/>
      <c r="AD195" s="526"/>
      <c r="AE195" s="526"/>
      <c r="AF195" s="526"/>
    </row>
    <row r="196" spans="1:32" x14ac:dyDescent="0.25">
      <c r="A196" s="42">
        <v>191</v>
      </c>
      <c r="B196" s="42" t="s">
        <v>783</v>
      </c>
      <c r="C196" s="87">
        <v>9457</v>
      </c>
      <c r="D196" s="476">
        <v>29000</v>
      </c>
      <c r="E196" s="42" t="s">
        <v>80</v>
      </c>
      <c r="F196" s="42">
        <v>309.74</v>
      </c>
      <c r="G196" s="42">
        <v>29000</v>
      </c>
      <c r="H196" s="42">
        <v>0</v>
      </c>
      <c r="I196" s="89"/>
      <c r="S196" s="526"/>
      <c r="T196" s="526"/>
      <c r="U196" s="526"/>
      <c r="V196" s="526"/>
      <c r="W196" s="526"/>
      <c r="X196" s="526"/>
      <c r="Y196" s="526"/>
      <c r="Z196" s="526"/>
      <c r="AA196" s="526"/>
      <c r="AB196" s="526"/>
      <c r="AC196" s="526"/>
      <c r="AD196" s="526"/>
      <c r="AE196" s="526"/>
      <c r="AF196" s="526"/>
    </row>
    <row r="197" spans="1:32" x14ac:dyDescent="0.25">
      <c r="A197" s="42">
        <v>192</v>
      </c>
      <c r="B197" s="42" t="s">
        <v>783</v>
      </c>
      <c r="C197" s="87">
        <v>9205</v>
      </c>
      <c r="D197" s="476">
        <v>17000</v>
      </c>
      <c r="E197" s="42" t="s">
        <v>80</v>
      </c>
      <c r="F197" s="42">
        <v>189.27</v>
      </c>
      <c r="G197" s="42">
        <v>17000</v>
      </c>
      <c r="H197" s="42">
        <v>0</v>
      </c>
      <c r="I197" s="89"/>
      <c r="S197" s="526"/>
      <c r="T197" s="526"/>
      <c r="U197" s="526"/>
      <c r="V197" s="526"/>
      <c r="W197" s="526"/>
      <c r="X197" s="526"/>
      <c r="Y197" s="526"/>
      <c r="Z197" s="526"/>
      <c r="AA197" s="526"/>
      <c r="AB197" s="526"/>
      <c r="AC197" s="526"/>
      <c r="AD197" s="526"/>
      <c r="AE197" s="526"/>
      <c r="AF197" s="526"/>
    </row>
    <row r="198" spans="1:32" x14ac:dyDescent="0.25">
      <c r="A198" s="42">
        <v>193</v>
      </c>
      <c r="B198" s="42" t="s">
        <v>783</v>
      </c>
      <c r="C198" s="87">
        <v>5.8400000000000001E-2</v>
      </c>
      <c r="D198" s="476">
        <v>22000</v>
      </c>
      <c r="E198" s="42" t="s">
        <v>80</v>
      </c>
      <c r="F198" s="42">
        <v>245.98</v>
      </c>
      <c r="G198" s="42">
        <v>22000</v>
      </c>
      <c r="H198" s="42">
        <v>0</v>
      </c>
      <c r="I198" s="89"/>
      <c r="S198" s="526"/>
      <c r="T198" s="526"/>
      <c r="U198" s="526"/>
      <c r="V198" s="526"/>
      <c r="W198" s="526"/>
      <c r="X198" s="526"/>
      <c r="Y198" s="526"/>
      <c r="Z198" s="526"/>
      <c r="AA198" s="526"/>
      <c r="AB198" s="526"/>
      <c r="AC198" s="526"/>
      <c r="AD198" s="526"/>
      <c r="AE198" s="526"/>
      <c r="AF198" s="526"/>
    </row>
    <row r="199" spans="1:32" x14ac:dyDescent="0.25">
      <c r="A199" s="42">
        <v>194</v>
      </c>
      <c r="B199" s="42" t="s">
        <v>783</v>
      </c>
      <c r="C199" s="87" t="s">
        <v>30</v>
      </c>
      <c r="D199" s="476">
        <v>5000</v>
      </c>
      <c r="E199" s="42" t="s">
        <v>80</v>
      </c>
      <c r="F199" s="42">
        <v>55.5</v>
      </c>
      <c r="G199" s="42">
        <v>5000</v>
      </c>
      <c r="H199" s="42">
        <v>0</v>
      </c>
      <c r="I199" s="89"/>
      <c r="S199" s="526"/>
      <c r="T199" s="526"/>
      <c r="U199" s="526"/>
      <c r="V199" s="526"/>
      <c r="W199" s="526"/>
      <c r="X199" s="526"/>
      <c r="Y199" s="526"/>
      <c r="Z199" s="526"/>
      <c r="AA199" s="526"/>
      <c r="AB199" s="526"/>
      <c r="AC199" s="526"/>
      <c r="AD199" s="526"/>
      <c r="AE199" s="526"/>
      <c r="AF199" s="526"/>
    </row>
    <row r="200" spans="1:32" x14ac:dyDescent="0.25">
      <c r="A200" s="42">
        <v>195</v>
      </c>
      <c r="B200" s="42" t="s">
        <v>783</v>
      </c>
      <c r="C200" s="87">
        <v>4077</v>
      </c>
      <c r="D200" s="476">
        <v>14000</v>
      </c>
      <c r="E200" s="42" t="s">
        <v>80</v>
      </c>
      <c r="F200" s="42">
        <v>155.69</v>
      </c>
      <c r="G200" s="42">
        <v>14000</v>
      </c>
      <c r="H200" s="42">
        <v>0</v>
      </c>
      <c r="I200" s="89"/>
      <c r="S200" s="526"/>
      <c r="T200" s="526"/>
      <c r="U200" s="526"/>
      <c r="V200" s="526"/>
      <c r="W200" s="526"/>
      <c r="X200" s="526"/>
      <c r="Y200" s="526"/>
      <c r="Z200" s="526"/>
      <c r="AA200" s="526"/>
      <c r="AB200" s="526"/>
      <c r="AC200" s="526"/>
      <c r="AD200" s="526"/>
      <c r="AE200" s="526"/>
      <c r="AF200" s="526"/>
    </row>
    <row r="201" spans="1:32" x14ac:dyDescent="0.25">
      <c r="A201" s="42">
        <v>196</v>
      </c>
      <c r="B201" s="42" t="s">
        <v>783</v>
      </c>
      <c r="C201" s="87">
        <v>8007</v>
      </c>
      <c r="D201" s="476">
        <v>22000</v>
      </c>
      <c r="E201" s="42" t="s">
        <v>80</v>
      </c>
      <c r="F201" s="42">
        <v>245.58</v>
      </c>
      <c r="G201" s="42">
        <v>22000</v>
      </c>
      <c r="H201" s="42">
        <v>0</v>
      </c>
      <c r="I201" s="89"/>
      <c r="S201" s="526"/>
      <c r="T201" s="526"/>
      <c r="U201" s="526"/>
      <c r="V201" s="526"/>
      <c r="W201" s="526"/>
      <c r="X201" s="526"/>
      <c r="Y201" s="526"/>
      <c r="Z201" s="526"/>
      <c r="AA201" s="526"/>
      <c r="AB201" s="526"/>
      <c r="AC201" s="526"/>
      <c r="AD201" s="526"/>
      <c r="AE201" s="526"/>
      <c r="AF201" s="526"/>
    </row>
    <row r="202" spans="1:32" x14ac:dyDescent="0.25">
      <c r="A202" s="42">
        <v>197</v>
      </c>
      <c r="B202" s="42" t="s">
        <v>783</v>
      </c>
      <c r="C202" s="87">
        <v>5941</v>
      </c>
      <c r="D202" s="476">
        <v>27000</v>
      </c>
      <c r="E202" s="42" t="s">
        <v>80</v>
      </c>
      <c r="F202" s="42">
        <v>300.70999999999998</v>
      </c>
      <c r="G202" s="42">
        <v>27000</v>
      </c>
      <c r="H202" s="42">
        <v>0</v>
      </c>
      <c r="I202" s="89"/>
      <c r="S202" s="526"/>
      <c r="T202" s="526"/>
      <c r="U202" s="526"/>
      <c r="V202" s="526"/>
      <c r="W202" s="526"/>
      <c r="X202" s="526"/>
      <c r="Y202" s="526"/>
      <c r="Z202" s="526"/>
      <c r="AA202" s="526"/>
      <c r="AB202" s="526"/>
      <c r="AC202" s="526"/>
      <c r="AD202" s="526"/>
      <c r="AE202" s="526"/>
      <c r="AF202" s="526"/>
    </row>
    <row r="203" spans="1:32" x14ac:dyDescent="0.25">
      <c r="A203" s="42">
        <v>198</v>
      </c>
      <c r="B203" s="42" t="s">
        <v>783</v>
      </c>
      <c r="C203" s="87">
        <v>1602</v>
      </c>
      <c r="D203" s="476">
        <v>20000</v>
      </c>
      <c r="E203" s="42" t="s">
        <v>80</v>
      </c>
      <c r="F203" s="42">
        <v>222.82</v>
      </c>
      <c r="G203" s="42">
        <v>20000</v>
      </c>
      <c r="H203" s="42">
        <v>0</v>
      </c>
      <c r="I203" s="89"/>
      <c r="S203" s="526"/>
      <c r="T203" s="526"/>
      <c r="U203" s="526"/>
      <c r="V203" s="526"/>
      <c r="W203" s="526"/>
      <c r="X203" s="526"/>
      <c r="Y203" s="526"/>
      <c r="Z203" s="526"/>
      <c r="AA203" s="526"/>
      <c r="AB203" s="526"/>
      <c r="AC203" s="526"/>
      <c r="AD203" s="526"/>
      <c r="AE203" s="526"/>
      <c r="AF203" s="526"/>
    </row>
    <row r="204" spans="1:32" x14ac:dyDescent="0.25">
      <c r="A204" s="42">
        <v>199</v>
      </c>
      <c r="B204" s="42" t="s">
        <v>783</v>
      </c>
      <c r="C204" s="87">
        <v>8874</v>
      </c>
      <c r="D204" s="476">
        <v>23000</v>
      </c>
      <c r="E204" s="42" t="s">
        <v>80</v>
      </c>
      <c r="F204" s="42">
        <v>256.97000000000003</v>
      </c>
      <c r="G204" s="42">
        <v>23000</v>
      </c>
      <c r="H204" s="42">
        <v>0</v>
      </c>
      <c r="I204" s="89"/>
      <c r="S204" s="526"/>
      <c r="T204" s="526"/>
      <c r="U204" s="526"/>
      <c r="V204" s="526"/>
      <c r="W204" s="526"/>
      <c r="X204" s="526"/>
      <c r="Y204" s="526"/>
      <c r="Z204" s="526"/>
      <c r="AA204" s="526"/>
      <c r="AB204" s="526"/>
      <c r="AC204" s="526"/>
      <c r="AD204" s="526"/>
      <c r="AE204" s="526"/>
      <c r="AF204" s="526"/>
    </row>
    <row r="205" spans="1:32" x14ac:dyDescent="0.25">
      <c r="A205" s="42">
        <v>200</v>
      </c>
      <c r="B205" s="42" t="s">
        <v>785</v>
      </c>
      <c r="C205" s="87">
        <v>1412</v>
      </c>
      <c r="D205" s="476">
        <v>15000</v>
      </c>
      <c r="E205" s="42" t="s">
        <v>80</v>
      </c>
      <c r="F205" s="42">
        <v>167.15</v>
      </c>
      <c r="G205" s="42">
        <v>15000</v>
      </c>
      <c r="H205" s="42">
        <f t="shared" ref="H205:H268" si="0">D205-G205</f>
        <v>0</v>
      </c>
      <c r="I205" s="89"/>
      <c r="S205" s="526"/>
      <c r="T205" s="526"/>
      <c r="U205" s="526"/>
      <c r="V205" s="526"/>
      <c r="W205" s="526"/>
      <c r="X205" s="526"/>
      <c r="Y205" s="526"/>
      <c r="Z205" s="526"/>
      <c r="AA205" s="526"/>
      <c r="AB205" s="526"/>
      <c r="AC205" s="526"/>
      <c r="AD205" s="526"/>
      <c r="AE205" s="526"/>
      <c r="AF205" s="526"/>
    </row>
    <row r="206" spans="1:32" x14ac:dyDescent="0.25">
      <c r="A206" s="42">
        <v>201</v>
      </c>
      <c r="B206" s="42" t="s">
        <v>785</v>
      </c>
      <c r="C206" s="87" t="s">
        <v>30</v>
      </c>
      <c r="D206" s="476">
        <v>5000</v>
      </c>
      <c r="E206" s="42" t="s">
        <v>80</v>
      </c>
      <c r="F206" s="42">
        <v>55.45</v>
      </c>
      <c r="G206" s="42">
        <v>5000</v>
      </c>
      <c r="H206" s="42">
        <f t="shared" si="0"/>
        <v>0</v>
      </c>
      <c r="I206" s="89"/>
      <c r="S206" s="526"/>
      <c r="T206" s="526"/>
      <c r="U206" s="526"/>
      <c r="V206" s="526"/>
      <c r="W206" s="526"/>
      <c r="X206" s="526"/>
      <c r="Y206" s="526"/>
      <c r="Z206" s="526"/>
      <c r="AA206" s="526"/>
      <c r="AB206" s="526"/>
      <c r="AC206" s="526"/>
      <c r="AD206" s="526"/>
      <c r="AE206" s="526"/>
      <c r="AF206" s="526"/>
    </row>
    <row r="207" spans="1:32" x14ac:dyDescent="0.25">
      <c r="A207" s="42">
        <v>202</v>
      </c>
      <c r="B207" s="42" t="s">
        <v>785</v>
      </c>
      <c r="C207" s="87">
        <v>1886</v>
      </c>
      <c r="D207" s="476">
        <v>20000</v>
      </c>
      <c r="E207" s="42" t="s">
        <v>80</v>
      </c>
      <c r="F207" s="42">
        <v>222.82</v>
      </c>
      <c r="G207" s="42">
        <v>20000</v>
      </c>
      <c r="H207" s="42">
        <f t="shared" si="0"/>
        <v>0</v>
      </c>
      <c r="I207" s="89"/>
      <c r="S207" s="526"/>
      <c r="T207" s="526"/>
      <c r="U207" s="526"/>
      <c r="V207" s="526"/>
      <c r="W207" s="526"/>
      <c r="X207" s="526"/>
      <c r="Y207" s="526"/>
      <c r="Z207" s="526"/>
      <c r="AA207" s="526"/>
      <c r="AB207" s="526"/>
      <c r="AC207" s="526"/>
      <c r="AD207" s="526"/>
      <c r="AE207" s="526"/>
      <c r="AF207" s="526"/>
    </row>
    <row r="208" spans="1:32" x14ac:dyDescent="0.25">
      <c r="A208" s="42">
        <v>203</v>
      </c>
      <c r="B208" s="42" t="s">
        <v>785</v>
      </c>
      <c r="C208" s="87">
        <v>1574</v>
      </c>
      <c r="D208" s="476">
        <v>30000</v>
      </c>
      <c r="E208" s="42" t="s">
        <v>80</v>
      </c>
      <c r="F208" s="42">
        <v>334.82</v>
      </c>
      <c r="G208" s="42">
        <v>30000</v>
      </c>
      <c r="H208" s="42">
        <f t="shared" si="0"/>
        <v>0</v>
      </c>
      <c r="I208" s="89"/>
      <c r="S208" s="526"/>
      <c r="T208" s="526"/>
      <c r="U208" s="526"/>
      <c r="V208" s="526"/>
      <c r="W208" s="526"/>
      <c r="X208" s="526"/>
      <c r="Y208" s="526"/>
      <c r="Z208" s="526"/>
      <c r="AA208" s="526"/>
      <c r="AB208" s="526"/>
      <c r="AC208" s="526"/>
      <c r="AD208" s="526"/>
      <c r="AE208" s="526"/>
      <c r="AF208" s="526"/>
    </row>
    <row r="209" spans="1:32" x14ac:dyDescent="0.25">
      <c r="A209" s="42">
        <v>204</v>
      </c>
      <c r="B209" s="42" t="s">
        <v>785</v>
      </c>
      <c r="C209" s="87">
        <v>1393</v>
      </c>
      <c r="D209" s="476">
        <v>15000</v>
      </c>
      <c r="E209" s="42" t="s">
        <v>80</v>
      </c>
      <c r="F209" s="42">
        <v>167.15</v>
      </c>
      <c r="G209" s="42">
        <v>15000</v>
      </c>
      <c r="H209" s="42">
        <f t="shared" si="0"/>
        <v>0</v>
      </c>
      <c r="I209" s="89"/>
      <c r="S209" s="526"/>
      <c r="T209" s="526"/>
      <c r="U209" s="526"/>
      <c r="V209" s="526"/>
      <c r="W209" s="526"/>
      <c r="X209" s="526"/>
      <c r="Y209" s="526"/>
      <c r="Z209" s="526"/>
      <c r="AA209" s="526"/>
      <c r="AB209" s="526"/>
      <c r="AC209" s="526"/>
      <c r="AD209" s="526"/>
      <c r="AE209" s="526"/>
      <c r="AF209" s="526"/>
    </row>
    <row r="210" spans="1:32" x14ac:dyDescent="0.25">
      <c r="A210" s="42">
        <v>205</v>
      </c>
      <c r="B210" s="42" t="s">
        <v>785</v>
      </c>
      <c r="C210" s="87">
        <v>2320</v>
      </c>
      <c r="D210" s="476">
        <v>28000</v>
      </c>
      <c r="E210" s="42" t="s">
        <v>80</v>
      </c>
      <c r="F210" s="42">
        <v>311.82</v>
      </c>
      <c r="G210" s="42">
        <v>28000</v>
      </c>
      <c r="H210" s="42">
        <f t="shared" si="0"/>
        <v>0</v>
      </c>
      <c r="I210" s="89"/>
      <c r="S210" s="526"/>
      <c r="T210" s="526"/>
      <c r="U210" s="526"/>
      <c r="V210" s="526"/>
      <c r="W210" s="526"/>
      <c r="X210" s="526"/>
      <c r="Y210" s="526"/>
      <c r="Z210" s="526"/>
      <c r="AA210" s="526"/>
      <c r="AB210" s="526"/>
      <c r="AC210" s="526"/>
      <c r="AD210" s="526"/>
      <c r="AE210" s="526"/>
      <c r="AF210" s="526"/>
    </row>
    <row r="211" spans="1:32" x14ac:dyDescent="0.25">
      <c r="A211" s="42">
        <v>206</v>
      </c>
      <c r="B211" s="42" t="s">
        <v>785</v>
      </c>
      <c r="C211" s="87">
        <v>7258</v>
      </c>
      <c r="D211" s="476">
        <v>30000</v>
      </c>
      <c r="E211" s="42" t="s">
        <v>80</v>
      </c>
      <c r="F211" s="42">
        <v>334.82</v>
      </c>
      <c r="G211" s="42">
        <v>30000</v>
      </c>
      <c r="H211" s="42">
        <f t="shared" si="0"/>
        <v>0</v>
      </c>
      <c r="I211" s="89"/>
      <c r="S211" s="526"/>
      <c r="T211" s="526"/>
      <c r="U211" s="526"/>
      <c r="V211" s="526"/>
      <c r="W211" s="526"/>
      <c r="X211" s="526"/>
      <c r="Y211" s="526"/>
      <c r="Z211" s="526"/>
      <c r="AA211" s="526"/>
      <c r="AB211" s="526"/>
      <c r="AC211" s="526"/>
      <c r="AD211" s="526"/>
      <c r="AE211" s="526"/>
      <c r="AF211" s="526"/>
    </row>
    <row r="212" spans="1:32" x14ac:dyDescent="0.25">
      <c r="A212" s="42">
        <v>207</v>
      </c>
      <c r="B212" s="42" t="s">
        <v>785</v>
      </c>
      <c r="C212" s="87">
        <v>9458</v>
      </c>
      <c r="D212" s="476">
        <v>30000</v>
      </c>
      <c r="E212" s="42" t="s">
        <v>80</v>
      </c>
      <c r="F212" s="42">
        <v>334.82</v>
      </c>
      <c r="G212" s="42">
        <v>30000</v>
      </c>
      <c r="H212" s="42">
        <f t="shared" si="0"/>
        <v>0</v>
      </c>
      <c r="I212" s="89"/>
      <c r="S212" s="526"/>
      <c r="T212" s="526"/>
      <c r="U212" s="526"/>
      <c r="V212" s="526"/>
      <c r="W212" s="526"/>
      <c r="X212" s="526"/>
      <c r="Y212" s="526"/>
      <c r="Z212" s="526"/>
      <c r="AA212" s="526"/>
      <c r="AB212" s="526"/>
      <c r="AC212" s="526"/>
      <c r="AD212" s="526"/>
      <c r="AE212" s="526"/>
      <c r="AF212" s="526"/>
    </row>
    <row r="213" spans="1:32" x14ac:dyDescent="0.25">
      <c r="A213" s="42">
        <v>208</v>
      </c>
      <c r="B213" s="42" t="s">
        <v>785</v>
      </c>
      <c r="C213" s="87">
        <v>4295</v>
      </c>
      <c r="D213" s="476">
        <v>23000</v>
      </c>
      <c r="E213" s="42" t="s">
        <v>80</v>
      </c>
      <c r="F213" s="42">
        <v>256.70999999999998</v>
      </c>
      <c r="G213" s="42">
        <v>23000</v>
      </c>
      <c r="H213" s="42">
        <f t="shared" si="0"/>
        <v>0</v>
      </c>
      <c r="I213" s="89"/>
      <c r="S213" s="526"/>
      <c r="T213" s="526"/>
      <c r="U213" s="526"/>
      <c r="V213" s="526"/>
      <c r="W213" s="526"/>
      <c r="X213" s="526"/>
      <c r="Y213" s="526"/>
      <c r="Z213" s="526"/>
      <c r="AA213" s="526"/>
      <c r="AB213" s="526"/>
      <c r="AC213" s="526"/>
      <c r="AD213" s="526"/>
      <c r="AE213" s="526"/>
      <c r="AF213" s="526"/>
    </row>
    <row r="214" spans="1:32" x14ac:dyDescent="0.25">
      <c r="A214" s="42">
        <v>209</v>
      </c>
      <c r="B214" s="42" t="s">
        <v>785</v>
      </c>
      <c r="C214" s="87">
        <v>6704</v>
      </c>
      <c r="D214" s="476">
        <v>20000</v>
      </c>
      <c r="E214" s="42" t="s">
        <v>80</v>
      </c>
      <c r="F214" s="42">
        <v>222.82</v>
      </c>
      <c r="G214" s="42">
        <v>20000</v>
      </c>
      <c r="H214" s="42">
        <f t="shared" si="0"/>
        <v>0</v>
      </c>
      <c r="I214" s="89"/>
      <c r="S214" s="526"/>
      <c r="T214" s="526"/>
      <c r="U214" s="526"/>
      <c r="V214" s="526"/>
      <c r="W214" s="526"/>
      <c r="X214" s="526"/>
      <c r="Y214" s="526"/>
      <c r="Z214" s="526"/>
      <c r="AA214" s="526"/>
      <c r="AB214" s="526"/>
      <c r="AC214" s="526"/>
      <c r="AD214" s="526"/>
      <c r="AE214" s="526"/>
      <c r="AF214" s="526"/>
    </row>
    <row r="215" spans="1:32" x14ac:dyDescent="0.25">
      <c r="A215" s="42">
        <v>210</v>
      </c>
      <c r="B215" s="42" t="s">
        <v>785</v>
      </c>
      <c r="C215" s="87">
        <v>7021</v>
      </c>
      <c r="D215" s="476">
        <v>20000</v>
      </c>
      <c r="E215" s="42" t="s">
        <v>80</v>
      </c>
      <c r="F215" s="42">
        <v>222.82</v>
      </c>
      <c r="G215" s="42">
        <v>20000</v>
      </c>
      <c r="H215" s="42">
        <f t="shared" si="0"/>
        <v>0</v>
      </c>
      <c r="I215" s="89"/>
      <c r="S215" s="526"/>
      <c r="T215" s="526"/>
      <c r="U215" s="526"/>
      <c r="V215" s="526"/>
      <c r="W215" s="526"/>
      <c r="X215" s="526"/>
      <c r="Y215" s="526"/>
      <c r="Z215" s="526"/>
      <c r="AA215" s="526"/>
      <c r="AB215" s="526"/>
      <c r="AC215" s="526"/>
      <c r="AD215" s="526"/>
      <c r="AE215" s="526"/>
      <c r="AF215" s="526"/>
    </row>
    <row r="216" spans="1:32" x14ac:dyDescent="0.25">
      <c r="A216" s="42">
        <v>211</v>
      </c>
      <c r="B216" s="42" t="s">
        <v>786</v>
      </c>
      <c r="C216" s="87" t="s">
        <v>735</v>
      </c>
      <c r="D216" s="476">
        <v>3000</v>
      </c>
      <c r="E216" s="42" t="s">
        <v>80</v>
      </c>
      <c r="F216" s="42">
        <v>33.450000000000003</v>
      </c>
      <c r="G216" s="42">
        <v>3000</v>
      </c>
      <c r="H216" s="42">
        <f t="shared" si="0"/>
        <v>0</v>
      </c>
      <c r="I216" s="89"/>
      <c r="S216" s="526"/>
      <c r="T216" s="526"/>
      <c r="U216" s="526"/>
      <c r="V216" s="526"/>
      <c r="W216" s="526"/>
      <c r="X216" s="526"/>
      <c r="Y216" s="526"/>
      <c r="Z216" s="526"/>
      <c r="AA216" s="526"/>
      <c r="AB216" s="526"/>
      <c r="AC216" s="526"/>
      <c r="AD216" s="526"/>
      <c r="AE216" s="526"/>
      <c r="AF216" s="526"/>
    </row>
    <row r="217" spans="1:32" x14ac:dyDescent="0.25">
      <c r="A217" s="42">
        <v>212</v>
      </c>
      <c r="B217" s="42" t="s">
        <v>786</v>
      </c>
      <c r="C217" s="87">
        <v>8960</v>
      </c>
      <c r="D217" s="476">
        <v>15000</v>
      </c>
      <c r="E217" s="42" t="s">
        <v>80</v>
      </c>
      <c r="F217" s="42">
        <v>167.15</v>
      </c>
      <c r="G217" s="42">
        <v>15000</v>
      </c>
      <c r="H217" s="42">
        <f t="shared" si="0"/>
        <v>0</v>
      </c>
      <c r="I217" s="89"/>
      <c r="S217" s="526"/>
      <c r="T217" s="526"/>
      <c r="U217" s="526"/>
      <c r="V217" s="526"/>
      <c r="W217" s="526"/>
      <c r="X217" s="526"/>
      <c r="Y217" s="526"/>
      <c r="Z217" s="526"/>
      <c r="AA217" s="526"/>
      <c r="AB217" s="526"/>
      <c r="AC217" s="526"/>
      <c r="AD217" s="526"/>
      <c r="AE217" s="526"/>
      <c r="AF217" s="526"/>
    </row>
    <row r="218" spans="1:32" x14ac:dyDescent="0.25">
      <c r="A218" s="42">
        <v>213</v>
      </c>
      <c r="B218" s="42" t="s">
        <v>786</v>
      </c>
      <c r="C218" s="87">
        <v>8105</v>
      </c>
      <c r="D218" s="476">
        <v>18000</v>
      </c>
      <c r="E218" s="42" t="s">
        <v>80</v>
      </c>
      <c r="F218" s="42">
        <v>200.82</v>
      </c>
      <c r="G218" s="42">
        <v>18000</v>
      </c>
      <c r="H218" s="42">
        <f t="shared" si="0"/>
        <v>0</v>
      </c>
      <c r="I218" s="89"/>
      <c r="S218" s="526"/>
      <c r="T218" s="526"/>
      <c r="U218" s="526"/>
      <c r="V218" s="526"/>
      <c r="W218" s="526"/>
      <c r="X218" s="526"/>
      <c r="Y218" s="526"/>
      <c r="Z218" s="526"/>
      <c r="AA218" s="526"/>
      <c r="AB218" s="526"/>
      <c r="AC218" s="526"/>
      <c r="AD218" s="526"/>
      <c r="AE218" s="526"/>
      <c r="AF218" s="526"/>
    </row>
    <row r="219" spans="1:32" x14ac:dyDescent="0.25">
      <c r="A219" s="42">
        <v>214</v>
      </c>
      <c r="B219" s="42" t="s">
        <v>786</v>
      </c>
      <c r="C219" s="87">
        <v>3686</v>
      </c>
      <c r="D219" s="476">
        <v>27000</v>
      </c>
      <c r="E219" s="42" t="s">
        <v>80</v>
      </c>
      <c r="F219" s="42">
        <v>300.70999999999998</v>
      </c>
      <c r="G219" s="42">
        <v>27000</v>
      </c>
      <c r="H219" s="42">
        <f t="shared" si="0"/>
        <v>0</v>
      </c>
      <c r="I219" s="89"/>
      <c r="S219" s="526"/>
      <c r="T219" s="526"/>
      <c r="U219" s="526"/>
      <c r="V219" s="526"/>
      <c r="W219" s="526"/>
      <c r="X219" s="526"/>
      <c r="Y219" s="526"/>
      <c r="Z219" s="526"/>
      <c r="AA219" s="526"/>
      <c r="AB219" s="526"/>
      <c r="AC219" s="526"/>
      <c r="AD219" s="526"/>
      <c r="AE219" s="526"/>
      <c r="AF219" s="526"/>
    </row>
    <row r="220" spans="1:32" x14ac:dyDescent="0.25">
      <c r="A220" s="42">
        <v>215</v>
      </c>
      <c r="B220" s="42" t="s">
        <v>786</v>
      </c>
      <c r="C220" s="87">
        <v>2497</v>
      </c>
      <c r="D220" s="476">
        <v>18000</v>
      </c>
      <c r="E220" s="42" t="s">
        <v>80</v>
      </c>
      <c r="F220" s="42">
        <v>200.82</v>
      </c>
      <c r="G220" s="42">
        <v>18000</v>
      </c>
      <c r="H220" s="42">
        <f t="shared" si="0"/>
        <v>0</v>
      </c>
      <c r="I220" s="89"/>
      <c r="S220" s="526"/>
      <c r="T220" s="526"/>
      <c r="U220" s="526"/>
      <c r="V220" s="526"/>
      <c r="W220" s="526"/>
      <c r="X220" s="526"/>
      <c r="Y220" s="526"/>
      <c r="Z220" s="526"/>
      <c r="AA220" s="526"/>
      <c r="AB220" s="526"/>
      <c r="AC220" s="526"/>
      <c r="AD220" s="526"/>
      <c r="AE220" s="526"/>
      <c r="AF220" s="526"/>
    </row>
    <row r="221" spans="1:32" x14ac:dyDescent="0.25">
      <c r="A221" s="42">
        <v>216</v>
      </c>
      <c r="B221" s="42" t="s">
        <v>786</v>
      </c>
      <c r="C221" s="87">
        <v>1573</v>
      </c>
      <c r="D221" s="476">
        <v>30000</v>
      </c>
      <c r="E221" s="42" t="s">
        <v>80</v>
      </c>
      <c r="F221" s="42">
        <v>334.82</v>
      </c>
      <c r="G221" s="42">
        <v>30000</v>
      </c>
      <c r="H221" s="42">
        <f t="shared" si="0"/>
        <v>0</v>
      </c>
      <c r="I221" s="89"/>
      <c r="S221" s="526"/>
      <c r="T221" s="526"/>
      <c r="U221" s="526"/>
      <c r="V221" s="526"/>
      <c r="W221" s="526"/>
      <c r="X221" s="526"/>
      <c r="Y221" s="526"/>
      <c r="Z221" s="526"/>
      <c r="AA221" s="526"/>
      <c r="AB221" s="526"/>
      <c r="AC221" s="526"/>
      <c r="AD221" s="526"/>
      <c r="AE221" s="526"/>
      <c r="AF221" s="526"/>
    </row>
    <row r="222" spans="1:32" x14ac:dyDescent="0.25">
      <c r="A222" s="42">
        <v>217</v>
      </c>
      <c r="B222" s="42" t="s">
        <v>786</v>
      </c>
      <c r="C222" s="87">
        <v>9.5600000000000004E-2</v>
      </c>
      <c r="D222" s="476">
        <v>25000</v>
      </c>
      <c r="E222" s="42" t="s">
        <v>80</v>
      </c>
      <c r="F222" s="42">
        <v>278.22000000000003</v>
      </c>
      <c r="G222" s="42">
        <v>25000</v>
      </c>
      <c r="H222" s="42">
        <f t="shared" si="0"/>
        <v>0</v>
      </c>
      <c r="I222" s="89"/>
      <c r="S222" s="526"/>
      <c r="T222" s="526"/>
      <c r="U222" s="526"/>
      <c r="V222" s="526"/>
      <c r="W222" s="526"/>
      <c r="X222" s="526"/>
      <c r="Y222" s="526"/>
      <c r="Z222" s="526"/>
      <c r="AA222" s="526"/>
      <c r="AB222" s="526"/>
      <c r="AC222" s="526"/>
      <c r="AD222" s="526"/>
      <c r="AE222" s="526"/>
      <c r="AF222" s="526"/>
    </row>
    <row r="223" spans="1:32" x14ac:dyDescent="0.25">
      <c r="A223" s="42">
        <v>218</v>
      </c>
      <c r="B223" s="42" t="s">
        <v>786</v>
      </c>
      <c r="C223" s="87">
        <v>8762</v>
      </c>
      <c r="D223" s="476">
        <v>20000</v>
      </c>
      <c r="E223" s="42" t="s">
        <v>80</v>
      </c>
      <c r="F223" s="42">
        <v>222.82</v>
      </c>
      <c r="G223" s="42">
        <v>20000</v>
      </c>
      <c r="H223" s="42">
        <f t="shared" si="0"/>
        <v>0</v>
      </c>
      <c r="I223" s="89"/>
      <c r="S223" s="526"/>
      <c r="T223" s="526"/>
      <c r="U223" s="526"/>
      <c r="V223" s="526"/>
      <c r="W223" s="526"/>
      <c r="X223" s="526"/>
      <c r="Y223" s="526"/>
      <c r="Z223" s="526"/>
      <c r="AA223" s="526"/>
      <c r="AB223" s="526"/>
      <c r="AC223" s="526"/>
      <c r="AD223" s="526"/>
      <c r="AE223" s="526"/>
      <c r="AF223" s="526"/>
    </row>
    <row r="224" spans="1:32" x14ac:dyDescent="0.25">
      <c r="A224" s="42">
        <v>219</v>
      </c>
      <c r="B224" s="42" t="s">
        <v>786</v>
      </c>
      <c r="C224" s="87">
        <v>6790</v>
      </c>
      <c r="D224" s="476">
        <v>15000</v>
      </c>
      <c r="E224" s="42" t="s">
        <v>80</v>
      </c>
      <c r="F224" s="42">
        <v>167.15</v>
      </c>
      <c r="G224" s="42">
        <v>15000</v>
      </c>
      <c r="H224" s="42">
        <f t="shared" si="0"/>
        <v>0</v>
      </c>
      <c r="I224" s="89"/>
      <c r="S224" s="526"/>
      <c r="T224" s="526"/>
      <c r="U224" s="526"/>
      <c r="V224" s="526"/>
      <c r="W224" s="526"/>
      <c r="X224" s="526"/>
      <c r="Y224" s="526"/>
      <c r="Z224" s="526"/>
      <c r="AA224" s="526"/>
      <c r="AB224" s="526"/>
      <c r="AC224" s="526"/>
      <c r="AD224" s="526"/>
      <c r="AE224" s="526"/>
      <c r="AF224" s="526"/>
    </row>
    <row r="225" spans="1:32" x14ac:dyDescent="0.25">
      <c r="A225" s="42">
        <v>220</v>
      </c>
      <c r="B225" s="42" t="s">
        <v>786</v>
      </c>
      <c r="C225" s="87">
        <v>9805</v>
      </c>
      <c r="D225" s="476">
        <v>15000</v>
      </c>
      <c r="E225" s="42" t="s">
        <v>80</v>
      </c>
      <c r="F225" s="42">
        <v>167.15</v>
      </c>
      <c r="G225" s="42">
        <v>15000</v>
      </c>
      <c r="H225" s="42">
        <f t="shared" si="0"/>
        <v>0</v>
      </c>
      <c r="I225" s="89"/>
      <c r="S225" s="526"/>
      <c r="T225" s="526"/>
      <c r="U225" s="526"/>
      <c r="V225" s="526"/>
      <c r="W225" s="526"/>
      <c r="X225" s="526"/>
      <c r="Y225" s="526"/>
      <c r="Z225" s="526"/>
      <c r="AA225" s="526"/>
      <c r="AB225" s="526"/>
      <c r="AC225" s="526"/>
      <c r="AD225" s="526"/>
      <c r="AE225" s="526"/>
      <c r="AF225" s="526"/>
    </row>
    <row r="226" spans="1:32" x14ac:dyDescent="0.25">
      <c r="A226" s="42">
        <v>221</v>
      </c>
      <c r="B226" s="42" t="s">
        <v>786</v>
      </c>
      <c r="C226" s="87">
        <v>6018</v>
      </c>
      <c r="D226" s="476">
        <v>5000</v>
      </c>
      <c r="E226" s="42" t="s">
        <v>80</v>
      </c>
      <c r="F226" s="42">
        <v>55.45</v>
      </c>
      <c r="G226" s="42">
        <v>5000</v>
      </c>
      <c r="H226" s="42">
        <f t="shared" si="0"/>
        <v>0</v>
      </c>
      <c r="I226" s="89"/>
      <c r="S226" s="526"/>
      <c r="T226" s="526"/>
      <c r="U226" s="526"/>
      <c r="V226" s="526"/>
      <c r="W226" s="526"/>
      <c r="X226" s="526"/>
      <c r="Y226" s="526"/>
      <c r="Z226" s="526"/>
      <c r="AA226" s="526"/>
      <c r="AB226" s="526"/>
      <c r="AC226" s="526"/>
      <c r="AD226" s="526"/>
      <c r="AE226" s="526"/>
      <c r="AF226" s="526"/>
    </row>
    <row r="227" spans="1:32" x14ac:dyDescent="0.25">
      <c r="A227" s="42">
        <v>222</v>
      </c>
      <c r="B227" s="42" t="s">
        <v>786</v>
      </c>
      <c r="C227" s="87">
        <v>2192</v>
      </c>
      <c r="D227" s="476">
        <v>15000</v>
      </c>
      <c r="E227" s="42" t="s">
        <v>80</v>
      </c>
      <c r="F227" s="42">
        <v>167.15</v>
      </c>
      <c r="G227" s="42">
        <v>15000</v>
      </c>
      <c r="H227" s="42">
        <f t="shared" si="0"/>
        <v>0</v>
      </c>
      <c r="I227" s="89"/>
      <c r="S227" s="526"/>
      <c r="T227" s="526"/>
      <c r="U227" s="526"/>
      <c r="V227" s="526"/>
      <c r="W227" s="526"/>
      <c r="X227" s="526"/>
      <c r="Y227" s="526"/>
      <c r="Z227" s="526"/>
      <c r="AA227" s="526"/>
      <c r="AB227" s="526"/>
      <c r="AC227" s="526"/>
      <c r="AD227" s="526"/>
      <c r="AE227" s="526"/>
      <c r="AF227" s="526"/>
    </row>
    <row r="228" spans="1:32" x14ac:dyDescent="0.25">
      <c r="A228" s="42">
        <v>223</v>
      </c>
      <c r="B228" s="42" t="s">
        <v>786</v>
      </c>
      <c r="C228" s="87">
        <v>9235</v>
      </c>
      <c r="D228" s="476">
        <v>27000</v>
      </c>
      <c r="E228" s="42" t="s">
        <v>80</v>
      </c>
      <c r="F228" s="42">
        <v>300.74</v>
      </c>
      <c r="G228" s="42">
        <v>27000</v>
      </c>
      <c r="H228" s="42">
        <f t="shared" si="0"/>
        <v>0</v>
      </c>
      <c r="I228" s="89"/>
      <c r="S228" s="526"/>
      <c r="T228" s="526"/>
      <c r="U228" s="526"/>
      <c r="V228" s="526"/>
      <c r="W228" s="526"/>
      <c r="X228" s="526"/>
      <c r="Y228" s="526"/>
      <c r="Z228" s="526"/>
      <c r="AA228" s="526"/>
      <c r="AB228" s="526"/>
      <c r="AC228" s="526"/>
      <c r="AD228" s="526"/>
      <c r="AE228" s="526"/>
      <c r="AF228" s="526"/>
    </row>
    <row r="229" spans="1:32" x14ac:dyDescent="0.25">
      <c r="A229" s="42">
        <v>224</v>
      </c>
      <c r="B229" s="42" t="s">
        <v>786</v>
      </c>
      <c r="C229" s="87">
        <v>8963</v>
      </c>
      <c r="D229" s="476">
        <v>26000</v>
      </c>
      <c r="E229" s="42" t="s">
        <v>80</v>
      </c>
      <c r="F229" s="42">
        <v>289.52</v>
      </c>
      <c r="G229" s="42">
        <v>26000</v>
      </c>
      <c r="H229" s="42">
        <f t="shared" si="0"/>
        <v>0</v>
      </c>
      <c r="I229" s="89"/>
      <c r="S229" s="526"/>
      <c r="T229" s="526"/>
      <c r="U229" s="526"/>
      <c r="V229" s="526"/>
      <c r="W229" s="526"/>
      <c r="X229" s="526"/>
      <c r="Y229" s="526"/>
      <c r="Z229" s="526"/>
      <c r="AA229" s="526"/>
      <c r="AB229" s="526"/>
      <c r="AC229" s="526"/>
      <c r="AD229" s="526"/>
      <c r="AE229" s="526"/>
      <c r="AF229" s="526"/>
    </row>
    <row r="230" spans="1:32" x14ac:dyDescent="0.25">
      <c r="A230" s="42">
        <v>225</v>
      </c>
      <c r="B230" s="42" t="s">
        <v>786</v>
      </c>
      <c r="C230" s="87">
        <v>9081</v>
      </c>
      <c r="D230" s="476">
        <v>5000</v>
      </c>
      <c r="E230" s="42" t="s">
        <v>80</v>
      </c>
      <c r="F230" s="42">
        <v>55.54</v>
      </c>
      <c r="G230" s="42">
        <v>5000</v>
      </c>
      <c r="H230" s="42">
        <f t="shared" si="0"/>
        <v>0</v>
      </c>
      <c r="I230" s="89"/>
      <c r="S230" s="526"/>
      <c r="T230" s="526"/>
      <c r="U230" s="526"/>
      <c r="V230" s="526"/>
      <c r="W230" s="526"/>
      <c r="X230" s="526"/>
      <c r="Y230" s="526"/>
      <c r="Z230" s="526"/>
      <c r="AA230" s="526"/>
      <c r="AB230" s="526"/>
      <c r="AC230" s="526"/>
      <c r="AD230" s="526"/>
      <c r="AE230" s="526"/>
      <c r="AF230" s="526"/>
    </row>
    <row r="231" spans="1:32" x14ac:dyDescent="0.25">
      <c r="A231" s="42">
        <v>226</v>
      </c>
      <c r="B231" s="42" t="s">
        <v>786</v>
      </c>
      <c r="C231" s="87">
        <v>3227</v>
      </c>
      <c r="D231" s="476">
        <v>6000</v>
      </c>
      <c r="E231" s="42" t="s">
        <v>80</v>
      </c>
      <c r="F231" s="42">
        <v>66.849999999999994</v>
      </c>
      <c r="G231" s="42">
        <v>6000</v>
      </c>
      <c r="H231" s="42">
        <f t="shared" si="0"/>
        <v>0</v>
      </c>
      <c r="I231" s="89"/>
      <c r="S231" s="526"/>
      <c r="T231" s="526"/>
      <c r="U231" s="526"/>
      <c r="V231" s="526"/>
      <c r="W231" s="526"/>
      <c r="X231" s="526"/>
      <c r="Y231" s="526"/>
      <c r="Z231" s="526"/>
      <c r="AA231" s="526"/>
      <c r="AB231" s="526"/>
      <c r="AC231" s="526"/>
      <c r="AD231" s="526"/>
      <c r="AE231" s="526"/>
      <c r="AF231" s="526"/>
    </row>
    <row r="232" spans="1:32" x14ac:dyDescent="0.25">
      <c r="A232" s="42">
        <v>227</v>
      </c>
      <c r="B232" s="42" t="s">
        <v>786</v>
      </c>
      <c r="C232" s="87">
        <v>6251</v>
      </c>
      <c r="D232" s="476">
        <v>15000</v>
      </c>
      <c r="E232" s="42" t="s">
        <v>80</v>
      </c>
      <c r="F232" s="42">
        <v>167.15</v>
      </c>
      <c r="G232" s="42">
        <v>15000</v>
      </c>
      <c r="H232" s="42">
        <f t="shared" si="0"/>
        <v>0</v>
      </c>
      <c r="I232" s="89"/>
      <c r="S232" s="526"/>
      <c r="T232" s="526"/>
      <c r="U232" s="526"/>
      <c r="V232" s="526"/>
      <c r="W232" s="526"/>
      <c r="X232" s="526"/>
      <c r="Y232" s="526"/>
      <c r="Z232" s="526"/>
      <c r="AA232" s="526"/>
      <c r="AB232" s="526"/>
      <c r="AC232" s="526"/>
      <c r="AD232" s="526"/>
      <c r="AE232" s="526"/>
      <c r="AF232" s="526"/>
    </row>
    <row r="233" spans="1:32" x14ac:dyDescent="0.25">
      <c r="A233" s="42">
        <v>228</v>
      </c>
      <c r="B233" s="42" t="s">
        <v>786</v>
      </c>
      <c r="C233" s="87">
        <v>3969</v>
      </c>
      <c r="D233" s="476">
        <v>20000</v>
      </c>
      <c r="E233" s="42" t="s">
        <v>80</v>
      </c>
      <c r="F233" s="42">
        <v>222.82</v>
      </c>
      <c r="G233" s="42">
        <v>20000</v>
      </c>
      <c r="H233" s="42">
        <f t="shared" si="0"/>
        <v>0</v>
      </c>
      <c r="I233" s="89"/>
      <c r="S233" s="526"/>
      <c r="T233" s="526"/>
      <c r="U233" s="526"/>
      <c r="V233" s="526"/>
      <c r="W233" s="526"/>
      <c r="X233" s="526"/>
      <c r="Y233" s="526"/>
      <c r="Z233" s="526"/>
      <c r="AA233" s="526"/>
      <c r="AB233" s="526"/>
      <c r="AC233" s="526"/>
      <c r="AD233" s="526"/>
      <c r="AE233" s="526"/>
      <c r="AF233" s="526"/>
    </row>
    <row r="234" spans="1:32" x14ac:dyDescent="0.25">
      <c r="A234" s="42">
        <v>229</v>
      </c>
      <c r="B234" s="42" t="s">
        <v>786</v>
      </c>
      <c r="C234" s="87">
        <v>8.5699999999999998E-2</v>
      </c>
      <c r="D234" s="476">
        <v>30000</v>
      </c>
      <c r="E234" s="42" t="s">
        <v>80</v>
      </c>
      <c r="F234" s="42">
        <v>334.82</v>
      </c>
      <c r="G234" s="42">
        <v>30000</v>
      </c>
      <c r="H234" s="42">
        <f t="shared" si="0"/>
        <v>0</v>
      </c>
      <c r="I234" s="89"/>
      <c r="S234" s="526"/>
      <c r="T234" s="526"/>
      <c r="U234" s="526"/>
      <c r="V234" s="526"/>
      <c r="W234" s="526"/>
      <c r="X234" s="526"/>
      <c r="Y234" s="526"/>
      <c r="Z234" s="526"/>
      <c r="AA234" s="526"/>
      <c r="AB234" s="526"/>
      <c r="AC234" s="526"/>
      <c r="AD234" s="526"/>
      <c r="AE234" s="526"/>
      <c r="AF234" s="526"/>
    </row>
    <row r="235" spans="1:32" x14ac:dyDescent="0.25">
      <c r="A235" s="42">
        <v>230</v>
      </c>
      <c r="B235" s="42" t="s">
        <v>786</v>
      </c>
      <c r="C235" s="87">
        <v>9.5699999999999993E-2</v>
      </c>
      <c r="D235" s="476">
        <v>30000</v>
      </c>
      <c r="E235" s="42" t="s">
        <v>80</v>
      </c>
      <c r="F235" s="42">
        <v>334.82</v>
      </c>
      <c r="G235" s="42">
        <v>30000</v>
      </c>
      <c r="H235" s="42">
        <f t="shared" si="0"/>
        <v>0</v>
      </c>
      <c r="I235" s="89"/>
      <c r="S235" s="526"/>
      <c r="T235" s="526"/>
      <c r="U235" s="526"/>
      <c r="V235" s="526"/>
      <c r="W235" s="526"/>
      <c r="X235" s="526"/>
      <c r="Y235" s="526"/>
      <c r="Z235" s="526"/>
      <c r="AA235" s="526"/>
      <c r="AB235" s="526"/>
      <c r="AC235" s="526"/>
      <c r="AD235" s="526"/>
      <c r="AE235" s="526"/>
      <c r="AF235" s="526"/>
    </row>
    <row r="236" spans="1:32" x14ac:dyDescent="0.25">
      <c r="A236" s="42">
        <v>231</v>
      </c>
      <c r="B236" s="42" t="s">
        <v>786</v>
      </c>
      <c r="C236" s="87">
        <v>2233</v>
      </c>
      <c r="D236" s="476">
        <v>21000</v>
      </c>
      <c r="E236" s="42" t="s">
        <v>80</v>
      </c>
      <c r="F236" s="42">
        <v>233.72</v>
      </c>
      <c r="G236" s="42">
        <v>21000</v>
      </c>
      <c r="H236" s="42">
        <f t="shared" si="0"/>
        <v>0</v>
      </c>
      <c r="I236" s="89"/>
      <c r="S236" s="526"/>
      <c r="T236" s="526"/>
      <c r="U236" s="526"/>
      <c r="V236" s="526"/>
      <c r="W236" s="526"/>
      <c r="X236" s="526"/>
      <c r="Y236" s="526"/>
      <c r="Z236" s="526"/>
      <c r="AA236" s="526"/>
      <c r="AB236" s="526"/>
      <c r="AC236" s="526"/>
      <c r="AD236" s="526"/>
      <c r="AE236" s="526"/>
      <c r="AF236" s="526"/>
    </row>
    <row r="237" spans="1:32" x14ac:dyDescent="0.25">
      <c r="A237" s="42">
        <v>232</v>
      </c>
      <c r="B237" s="42" t="s">
        <v>787</v>
      </c>
      <c r="C237" s="87" t="s">
        <v>30</v>
      </c>
      <c r="D237" s="476">
        <v>5000</v>
      </c>
      <c r="E237" s="42" t="s">
        <v>80</v>
      </c>
      <c r="F237" s="42">
        <v>55.45</v>
      </c>
      <c r="G237" s="42">
        <v>5000</v>
      </c>
      <c r="H237" s="42">
        <f t="shared" si="0"/>
        <v>0</v>
      </c>
      <c r="I237" s="89"/>
      <c r="S237" s="526"/>
      <c r="T237" s="526"/>
      <c r="U237" s="526"/>
      <c r="V237" s="526"/>
      <c r="W237" s="526"/>
      <c r="X237" s="526"/>
      <c r="Y237" s="526"/>
      <c r="Z237" s="526"/>
      <c r="AA237" s="526"/>
      <c r="AB237" s="526"/>
      <c r="AC237" s="526"/>
      <c r="AD237" s="526"/>
      <c r="AE237" s="526"/>
      <c r="AF237" s="526"/>
    </row>
    <row r="238" spans="1:32" x14ac:dyDescent="0.25">
      <c r="A238" s="42">
        <v>233</v>
      </c>
      <c r="B238" s="42" t="s">
        <v>787</v>
      </c>
      <c r="C238" s="87">
        <v>6957</v>
      </c>
      <c r="D238" s="476">
        <v>25000</v>
      </c>
      <c r="E238" s="42" t="s">
        <v>80</v>
      </c>
      <c r="F238" s="42">
        <v>278.22000000000003</v>
      </c>
      <c r="G238" s="42">
        <v>25000</v>
      </c>
      <c r="H238" s="42">
        <f t="shared" si="0"/>
        <v>0</v>
      </c>
      <c r="I238" s="89"/>
      <c r="S238" s="526"/>
      <c r="T238" s="526"/>
      <c r="U238" s="526"/>
      <c r="V238" s="526"/>
      <c r="W238" s="526"/>
      <c r="X238" s="526"/>
      <c r="Y238" s="526"/>
      <c r="Z238" s="526"/>
      <c r="AA238" s="526"/>
      <c r="AB238" s="526"/>
      <c r="AC238" s="526"/>
      <c r="AD238" s="526"/>
      <c r="AE238" s="526"/>
      <c r="AF238" s="526"/>
    </row>
    <row r="239" spans="1:32" x14ac:dyDescent="0.25">
      <c r="A239" s="42">
        <v>234</v>
      </c>
      <c r="B239" s="42" t="s">
        <v>787</v>
      </c>
      <c r="C239" s="87" t="s">
        <v>30</v>
      </c>
      <c r="D239" s="476">
        <v>4500</v>
      </c>
      <c r="E239" s="42" t="s">
        <v>80</v>
      </c>
      <c r="F239" s="42">
        <v>50.45</v>
      </c>
      <c r="G239" s="42">
        <v>4500</v>
      </c>
      <c r="H239" s="42">
        <f t="shared" si="0"/>
        <v>0</v>
      </c>
      <c r="I239" s="89"/>
      <c r="S239" s="526"/>
      <c r="T239" s="526"/>
      <c r="U239" s="526"/>
      <c r="V239" s="526"/>
      <c r="W239" s="526"/>
      <c r="X239" s="526"/>
      <c r="Y239" s="526"/>
      <c r="Z239" s="526"/>
      <c r="AA239" s="526"/>
      <c r="AB239" s="526"/>
      <c r="AC239" s="526"/>
      <c r="AD239" s="526"/>
      <c r="AE239" s="526"/>
      <c r="AF239" s="526"/>
    </row>
    <row r="240" spans="1:32" x14ac:dyDescent="0.25">
      <c r="A240" s="42">
        <v>235</v>
      </c>
      <c r="B240" s="42" t="s">
        <v>787</v>
      </c>
      <c r="C240" s="87">
        <v>7450</v>
      </c>
      <c r="D240" s="476">
        <v>10000</v>
      </c>
      <c r="E240" s="42" t="s">
        <v>80</v>
      </c>
      <c r="F240" s="42">
        <v>111.42</v>
      </c>
      <c r="G240" s="42">
        <v>10000</v>
      </c>
      <c r="H240" s="42">
        <f t="shared" si="0"/>
        <v>0</v>
      </c>
      <c r="I240" s="89"/>
      <c r="S240" s="526"/>
      <c r="T240" s="526"/>
      <c r="U240" s="526"/>
      <c r="V240" s="526"/>
      <c r="W240" s="526"/>
      <c r="X240" s="526"/>
      <c r="Y240" s="526"/>
      <c r="Z240" s="526"/>
      <c r="AA240" s="526"/>
      <c r="AB240" s="526"/>
      <c r="AC240" s="526"/>
      <c r="AD240" s="526"/>
      <c r="AE240" s="526"/>
      <c r="AF240" s="526"/>
    </row>
    <row r="241" spans="1:32" x14ac:dyDescent="0.25">
      <c r="A241" s="42">
        <v>236</v>
      </c>
      <c r="B241" s="42" t="s">
        <v>787</v>
      </c>
      <c r="C241" s="87">
        <v>8.7499999999999994E-2</v>
      </c>
      <c r="D241" s="476">
        <v>15000</v>
      </c>
      <c r="E241" s="42" t="s">
        <v>80</v>
      </c>
      <c r="F241" s="42">
        <v>167.15</v>
      </c>
      <c r="G241" s="42">
        <v>15000</v>
      </c>
      <c r="H241" s="42">
        <f t="shared" si="0"/>
        <v>0</v>
      </c>
      <c r="I241" s="89"/>
      <c r="S241" s="526"/>
      <c r="T241" s="526"/>
      <c r="U241" s="526"/>
      <c r="V241" s="526"/>
      <c r="W241" s="526"/>
      <c r="X241" s="526"/>
      <c r="Y241" s="526"/>
      <c r="Z241" s="526"/>
      <c r="AA241" s="526"/>
      <c r="AB241" s="526"/>
      <c r="AC241" s="526"/>
      <c r="AD241" s="526"/>
      <c r="AE241" s="526"/>
      <c r="AF241" s="526"/>
    </row>
    <row r="242" spans="1:32" x14ac:dyDescent="0.25">
      <c r="A242" s="42">
        <v>237</v>
      </c>
      <c r="B242" s="42" t="s">
        <v>787</v>
      </c>
      <c r="C242" s="87">
        <v>7960</v>
      </c>
      <c r="D242" s="476">
        <v>16000</v>
      </c>
      <c r="E242" s="42" t="s">
        <v>80</v>
      </c>
      <c r="F242" s="42">
        <v>178.22</v>
      </c>
      <c r="G242" s="42">
        <v>16000</v>
      </c>
      <c r="H242" s="42">
        <f t="shared" si="0"/>
        <v>0</v>
      </c>
      <c r="I242" s="89"/>
      <c r="S242" s="526"/>
      <c r="T242" s="526"/>
      <c r="U242" s="526"/>
      <c r="V242" s="526"/>
      <c r="W242" s="526"/>
      <c r="X242" s="526"/>
      <c r="Y242" s="526"/>
      <c r="Z242" s="526"/>
      <c r="AA242" s="526"/>
      <c r="AB242" s="526"/>
      <c r="AC242" s="526"/>
      <c r="AD242" s="526"/>
      <c r="AE242" s="526"/>
      <c r="AF242" s="526"/>
    </row>
    <row r="243" spans="1:32" x14ac:dyDescent="0.25">
      <c r="A243" s="42">
        <v>238</v>
      </c>
      <c r="B243" s="42" t="s">
        <v>787</v>
      </c>
      <c r="C243" s="87">
        <v>5403</v>
      </c>
      <c r="D243" s="476">
        <v>15000</v>
      </c>
      <c r="E243" s="42" t="s">
        <v>80</v>
      </c>
      <c r="F243" s="42">
        <v>167.15</v>
      </c>
      <c r="G243" s="42">
        <v>15000</v>
      </c>
      <c r="H243" s="42">
        <f t="shared" si="0"/>
        <v>0</v>
      </c>
      <c r="I243" s="89"/>
      <c r="S243" s="526"/>
      <c r="T243" s="526"/>
      <c r="U243" s="526"/>
      <c r="V243" s="526"/>
      <c r="W243" s="526"/>
      <c r="X243" s="526"/>
      <c r="Y243" s="526"/>
      <c r="Z243" s="526"/>
      <c r="AA243" s="526"/>
      <c r="AB243" s="526"/>
      <c r="AC243" s="526"/>
      <c r="AD243" s="526"/>
      <c r="AE243" s="526"/>
      <c r="AF243" s="526"/>
    </row>
    <row r="244" spans="1:32" x14ac:dyDescent="0.25">
      <c r="A244" s="42">
        <v>239</v>
      </c>
      <c r="B244" s="42" t="s">
        <v>787</v>
      </c>
      <c r="C244" s="87">
        <v>9.7699999999999995E-2</v>
      </c>
      <c r="D244" s="476">
        <v>11000</v>
      </c>
      <c r="E244" s="42" t="s">
        <v>80</v>
      </c>
      <c r="F244" s="42">
        <v>122.42</v>
      </c>
      <c r="G244" s="42">
        <v>11000</v>
      </c>
      <c r="H244" s="42">
        <f t="shared" si="0"/>
        <v>0</v>
      </c>
      <c r="I244" s="89"/>
      <c r="S244" s="526"/>
      <c r="T244" s="526"/>
      <c r="U244" s="526"/>
      <c r="V244" s="526"/>
      <c r="W244" s="526"/>
      <c r="X244" s="526"/>
      <c r="Y244" s="526"/>
      <c r="Z244" s="526"/>
      <c r="AA244" s="526"/>
      <c r="AB244" s="526"/>
      <c r="AC244" s="526"/>
      <c r="AD244" s="526"/>
      <c r="AE244" s="526"/>
      <c r="AF244" s="526"/>
    </row>
    <row r="245" spans="1:32" x14ac:dyDescent="0.25">
      <c r="A245" s="42">
        <v>240</v>
      </c>
      <c r="B245" s="42" t="s">
        <v>787</v>
      </c>
      <c r="C245" s="87">
        <v>9972</v>
      </c>
      <c r="D245" s="476">
        <v>14000</v>
      </c>
      <c r="E245" s="42" t="s">
        <v>80</v>
      </c>
      <c r="F245" s="42">
        <v>155.44999999999999</v>
      </c>
      <c r="G245" s="42">
        <v>14000</v>
      </c>
      <c r="H245" s="42">
        <f t="shared" si="0"/>
        <v>0</v>
      </c>
      <c r="I245" s="89"/>
      <c r="S245" s="526"/>
      <c r="T245" s="526"/>
      <c r="U245" s="526"/>
      <c r="V245" s="526"/>
      <c r="W245" s="526"/>
      <c r="X245" s="526"/>
      <c r="Y245" s="526"/>
      <c r="Z245" s="526"/>
      <c r="AA245" s="526"/>
      <c r="AB245" s="526"/>
      <c r="AC245" s="526"/>
      <c r="AD245" s="526"/>
      <c r="AE245" s="526"/>
      <c r="AF245" s="526"/>
    </row>
    <row r="246" spans="1:32" x14ac:dyDescent="0.25">
      <c r="A246" s="42">
        <v>241</v>
      </c>
      <c r="B246" s="42" t="s">
        <v>787</v>
      </c>
      <c r="C246" s="87">
        <v>4307</v>
      </c>
      <c r="D246" s="476">
        <v>14000</v>
      </c>
      <c r="E246" s="42" t="s">
        <v>80</v>
      </c>
      <c r="F246" s="42">
        <v>155.44999999999999</v>
      </c>
      <c r="G246" s="42">
        <v>14000</v>
      </c>
      <c r="H246" s="42">
        <f t="shared" si="0"/>
        <v>0</v>
      </c>
      <c r="I246" s="89"/>
      <c r="S246" s="526"/>
      <c r="T246" s="526"/>
      <c r="U246" s="526"/>
      <c r="V246" s="526"/>
      <c r="W246" s="526"/>
      <c r="X246" s="526"/>
      <c r="Y246" s="526"/>
      <c r="Z246" s="526"/>
      <c r="AA246" s="526"/>
      <c r="AB246" s="526"/>
      <c r="AC246" s="526"/>
      <c r="AD246" s="526"/>
      <c r="AE246" s="526"/>
      <c r="AF246" s="526"/>
    </row>
    <row r="247" spans="1:32" x14ac:dyDescent="0.25">
      <c r="A247" s="42">
        <v>242</v>
      </c>
      <c r="B247" s="42" t="s">
        <v>787</v>
      </c>
      <c r="C247" s="87">
        <v>1802</v>
      </c>
      <c r="D247" s="476">
        <v>26000</v>
      </c>
      <c r="E247" s="42" t="s">
        <v>80</v>
      </c>
      <c r="F247" s="42">
        <v>287.69</v>
      </c>
      <c r="G247" s="42">
        <v>26000</v>
      </c>
      <c r="H247" s="42">
        <f t="shared" si="0"/>
        <v>0</v>
      </c>
      <c r="I247" s="89"/>
      <c r="S247" s="526"/>
      <c r="T247" s="526"/>
      <c r="U247" s="526"/>
      <c r="V247" s="526"/>
      <c r="W247" s="526"/>
      <c r="X247" s="526"/>
      <c r="Y247" s="526"/>
      <c r="Z247" s="526"/>
      <c r="AA247" s="526"/>
      <c r="AB247" s="526"/>
      <c r="AC247" s="526"/>
      <c r="AD247" s="526"/>
      <c r="AE247" s="526"/>
      <c r="AF247" s="526"/>
    </row>
    <row r="248" spans="1:32" x14ac:dyDescent="0.25">
      <c r="A248" s="42">
        <v>243</v>
      </c>
      <c r="B248" s="42" t="s">
        <v>787</v>
      </c>
      <c r="C248" s="87">
        <v>2884</v>
      </c>
      <c r="D248" s="476">
        <v>28000</v>
      </c>
      <c r="E248" s="42" t="s">
        <v>80</v>
      </c>
      <c r="F248" s="42">
        <v>378.45</v>
      </c>
      <c r="G248" s="42">
        <v>28000</v>
      </c>
      <c r="H248" s="42">
        <f t="shared" si="0"/>
        <v>0</v>
      </c>
      <c r="I248" s="89"/>
      <c r="S248" s="526"/>
      <c r="T248" s="526"/>
      <c r="U248" s="526"/>
      <c r="V248" s="526"/>
      <c r="W248" s="526"/>
      <c r="X248" s="526"/>
      <c r="Y248" s="526"/>
      <c r="Z248" s="526"/>
      <c r="AA248" s="526"/>
      <c r="AB248" s="526"/>
      <c r="AC248" s="526"/>
      <c r="AD248" s="526"/>
      <c r="AE248" s="526"/>
      <c r="AF248" s="526"/>
    </row>
    <row r="249" spans="1:32" x14ac:dyDescent="0.25">
      <c r="A249" s="42">
        <v>244</v>
      </c>
      <c r="B249" s="42" t="s">
        <v>787</v>
      </c>
      <c r="C249" s="87">
        <v>3068</v>
      </c>
      <c r="D249" s="476">
        <v>16000</v>
      </c>
      <c r="E249" s="42" t="s">
        <v>80</v>
      </c>
      <c r="F249" s="42">
        <v>178.22</v>
      </c>
      <c r="G249" s="42">
        <v>16000</v>
      </c>
      <c r="H249" s="42">
        <f t="shared" si="0"/>
        <v>0</v>
      </c>
      <c r="I249" s="89"/>
      <c r="S249" s="526"/>
      <c r="T249" s="526"/>
      <c r="U249" s="526"/>
      <c r="V249" s="526"/>
      <c r="W249" s="526"/>
      <c r="X249" s="526"/>
      <c r="Y249" s="526"/>
      <c r="Z249" s="526"/>
      <c r="AA249" s="526"/>
      <c r="AB249" s="526"/>
      <c r="AC249" s="526"/>
      <c r="AD249" s="526"/>
      <c r="AE249" s="526"/>
      <c r="AF249" s="526"/>
    </row>
    <row r="250" spans="1:32" x14ac:dyDescent="0.25">
      <c r="A250" s="42">
        <v>245</v>
      </c>
      <c r="B250" s="42" t="s">
        <v>787</v>
      </c>
      <c r="C250" s="87">
        <v>3451</v>
      </c>
      <c r="D250" s="476">
        <v>10000</v>
      </c>
      <c r="E250" s="42" t="s">
        <v>80</v>
      </c>
      <c r="F250" s="42">
        <v>111.42</v>
      </c>
      <c r="G250" s="42">
        <v>10000</v>
      </c>
      <c r="H250" s="42">
        <f t="shared" si="0"/>
        <v>0</v>
      </c>
      <c r="I250" s="89"/>
      <c r="S250" s="526"/>
      <c r="T250" s="526"/>
      <c r="U250" s="526"/>
      <c r="V250" s="526"/>
      <c r="W250" s="526"/>
      <c r="X250" s="526"/>
      <c r="Y250" s="526"/>
      <c r="Z250" s="526"/>
      <c r="AA250" s="526"/>
      <c r="AB250" s="526"/>
      <c r="AC250" s="526"/>
      <c r="AD250" s="526"/>
      <c r="AE250" s="526"/>
      <c r="AF250" s="526"/>
    </row>
    <row r="251" spans="1:32" x14ac:dyDescent="0.25">
      <c r="A251" s="42">
        <v>246</v>
      </c>
      <c r="B251" s="42" t="s">
        <v>787</v>
      </c>
      <c r="C251" s="87">
        <v>4599</v>
      </c>
      <c r="D251" s="476">
        <v>30000</v>
      </c>
      <c r="E251" s="42" t="s">
        <v>80</v>
      </c>
      <c r="F251" s="42">
        <v>334.22</v>
      </c>
      <c r="G251" s="42">
        <v>30000</v>
      </c>
      <c r="H251" s="42">
        <f t="shared" si="0"/>
        <v>0</v>
      </c>
      <c r="I251" s="89"/>
      <c r="S251" s="526"/>
      <c r="T251" s="526"/>
      <c r="U251" s="526"/>
      <c r="V251" s="526"/>
      <c r="W251" s="526"/>
      <c r="X251" s="526"/>
      <c r="Y251" s="526"/>
      <c r="Z251" s="526"/>
      <c r="AA251" s="526"/>
      <c r="AB251" s="526"/>
      <c r="AC251" s="526"/>
      <c r="AD251" s="526"/>
      <c r="AE251" s="526"/>
      <c r="AF251" s="526"/>
    </row>
    <row r="252" spans="1:32" x14ac:dyDescent="0.25">
      <c r="A252" s="42">
        <v>247</v>
      </c>
      <c r="B252" s="42" t="s">
        <v>787</v>
      </c>
      <c r="C252" s="87">
        <v>7149</v>
      </c>
      <c r="D252" s="476">
        <v>18000</v>
      </c>
      <c r="E252" s="42" t="s">
        <v>80</v>
      </c>
      <c r="F252" s="42">
        <v>200.82</v>
      </c>
      <c r="G252" s="42">
        <v>18000</v>
      </c>
      <c r="H252" s="42">
        <f t="shared" si="0"/>
        <v>0</v>
      </c>
      <c r="I252" s="89"/>
      <c r="S252" s="526"/>
      <c r="T252" s="526"/>
      <c r="U252" s="526"/>
      <c r="V252" s="526"/>
      <c r="W252" s="526"/>
      <c r="X252" s="526"/>
      <c r="Y252" s="526"/>
      <c r="Z252" s="526"/>
      <c r="AA252" s="526"/>
      <c r="AB252" s="526"/>
      <c r="AC252" s="526"/>
      <c r="AD252" s="526"/>
      <c r="AE252" s="526"/>
      <c r="AF252" s="526"/>
    </row>
    <row r="253" spans="1:32" x14ac:dyDescent="0.25">
      <c r="A253" s="42">
        <v>248</v>
      </c>
      <c r="B253" s="42" t="s">
        <v>787</v>
      </c>
      <c r="C253" s="87">
        <v>7672</v>
      </c>
      <c r="D253" s="476">
        <v>20000</v>
      </c>
      <c r="E253" s="42" t="s">
        <v>80</v>
      </c>
      <c r="F253" s="42">
        <v>222.82</v>
      </c>
      <c r="G253" s="42">
        <v>20000</v>
      </c>
      <c r="H253" s="42">
        <f t="shared" si="0"/>
        <v>0</v>
      </c>
      <c r="I253" s="89"/>
      <c r="S253" s="526"/>
      <c r="T253" s="526"/>
      <c r="U253" s="526"/>
      <c r="V253" s="526"/>
      <c r="W253" s="526"/>
      <c r="X253" s="526"/>
      <c r="Y253" s="526"/>
      <c r="Z253" s="526"/>
      <c r="AA253" s="526"/>
      <c r="AB253" s="526"/>
      <c r="AC253" s="526"/>
      <c r="AD253" s="526"/>
      <c r="AE253" s="526"/>
      <c r="AF253" s="526"/>
    </row>
    <row r="254" spans="1:32" x14ac:dyDescent="0.25">
      <c r="A254" s="42">
        <v>249</v>
      </c>
      <c r="B254" s="42" t="s">
        <v>787</v>
      </c>
      <c r="C254" s="87">
        <v>8382</v>
      </c>
      <c r="D254" s="476">
        <v>21000</v>
      </c>
      <c r="E254" s="42" t="s">
        <v>80</v>
      </c>
      <c r="F254" s="42">
        <v>232.58</v>
      </c>
      <c r="G254" s="42">
        <v>21000</v>
      </c>
      <c r="H254" s="42">
        <f t="shared" si="0"/>
        <v>0</v>
      </c>
      <c r="I254" s="89"/>
      <c r="S254" s="526"/>
      <c r="T254" s="526"/>
      <c r="U254" s="526"/>
      <c r="V254" s="526"/>
      <c r="W254" s="526"/>
      <c r="X254" s="526"/>
      <c r="Y254" s="526"/>
      <c r="Z254" s="526"/>
      <c r="AA254" s="526"/>
      <c r="AB254" s="526"/>
      <c r="AC254" s="526"/>
      <c r="AD254" s="526"/>
      <c r="AE254" s="526"/>
      <c r="AF254" s="526"/>
    </row>
    <row r="255" spans="1:32" x14ac:dyDescent="0.25">
      <c r="A255" s="42">
        <v>250</v>
      </c>
      <c r="B255" s="42" t="s">
        <v>787</v>
      </c>
      <c r="C255" s="87">
        <v>6186</v>
      </c>
      <c r="D255" s="476">
        <v>20000</v>
      </c>
      <c r="E255" s="42" t="s">
        <v>80</v>
      </c>
      <c r="F255" s="42">
        <v>222.82</v>
      </c>
      <c r="G255" s="42">
        <v>20000</v>
      </c>
      <c r="H255" s="42">
        <f t="shared" si="0"/>
        <v>0</v>
      </c>
      <c r="I255" s="89"/>
      <c r="S255" s="526"/>
      <c r="T255" s="526"/>
      <c r="U255" s="526"/>
      <c r="V255" s="526"/>
      <c r="W255" s="526"/>
      <c r="X255" s="526"/>
      <c r="Y255" s="526"/>
      <c r="Z255" s="526"/>
      <c r="AA255" s="526"/>
      <c r="AB255" s="526"/>
      <c r="AC255" s="526"/>
      <c r="AD255" s="526"/>
      <c r="AE255" s="526"/>
      <c r="AF255" s="526"/>
    </row>
    <row r="256" spans="1:32" x14ac:dyDescent="0.25">
      <c r="A256" s="42">
        <v>251</v>
      </c>
      <c r="B256" s="42" t="s">
        <v>787</v>
      </c>
      <c r="C256" s="87">
        <v>5616</v>
      </c>
      <c r="D256" s="476">
        <v>5000</v>
      </c>
      <c r="E256" s="42" t="s">
        <v>80</v>
      </c>
      <c r="F256" s="42">
        <v>55.45</v>
      </c>
      <c r="G256" s="42">
        <v>5000</v>
      </c>
      <c r="H256" s="42">
        <f t="shared" si="0"/>
        <v>0</v>
      </c>
      <c r="I256" s="89"/>
      <c r="S256" s="526"/>
      <c r="T256" s="526"/>
      <c r="U256" s="526"/>
      <c r="V256" s="526"/>
      <c r="W256" s="526"/>
      <c r="X256" s="526"/>
      <c r="Y256" s="526"/>
      <c r="Z256" s="526"/>
      <c r="AA256" s="526"/>
      <c r="AB256" s="526"/>
      <c r="AC256" s="526"/>
      <c r="AD256" s="526"/>
      <c r="AE256" s="526"/>
      <c r="AF256" s="526"/>
    </row>
    <row r="257" spans="1:32" x14ac:dyDescent="0.25">
      <c r="A257" s="42">
        <v>252</v>
      </c>
      <c r="B257" s="42" t="s">
        <v>787</v>
      </c>
      <c r="C257" s="87">
        <v>2593</v>
      </c>
      <c r="D257" s="476">
        <v>24000</v>
      </c>
      <c r="E257" s="42" t="s">
        <v>80</v>
      </c>
      <c r="F257" s="42">
        <v>267.57</v>
      </c>
      <c r="G257" s="42">
        <v>24000</v>
      </c>
      <c r="H257" s="42">
        <f t="shared" si="0"/>
        <v>0</v>
      </c>
      <c r="I257" s="89"/>
      <c r="S257" s="526"/>
      <c r="T257" s="526"/>
      <c r="U257" s="526"/>
      <c r="V257" s="526"/>
      <c r="W257" s="526"/>
      <c r="X257" s="526"/>
      <c r="Y257" s="526"/>
      <c r="Z257" s="526"/>
      <c r="AA257" s="526"/>
      <c r="AB257" s="526"/>
      <c r="AC257" s="526"/>
      <c r="AD257" s="526"/>
      <c r="AE257" s="526"/>
      <c r="AF257" s="526"/>
    </row>
    <row r="258" spans="1:32" x14ac:dyDescent="0.25">
      <c r="A258" s="42">
        <v>253</v>
      </c>
      <c r="B258" s="42" t="s">
        <v>787</v>
      </c>
      <c r="C258" s="87">
        <v>7.0000000000000001E-3</v>
      </c>
      <c r="D258" s="476">
        <v>35000</v>
      </c>
      <c r="E258" s="42" t="s">
        <v>80</v>
      </c>
      <c r="F258" s="42">
        <v>389.29</v>
      </c>
      <c r="G258" s="42">
        <v>35000</v>
      </c>
      <c r="H258" s="42">
        <f t="shared" si="0"/>
        <v>0</v>
      </c>
      <c r="I258" s="89"/>
      <c r="S258" s="526"/>
      <c r="T258" s="526"/>
      <c r="U258" s="526"/>
      <c r="V258" s="526"/>
      <c r="W258" s="526"/>
      <c r="X258" s="526"/>
      <c r="Y258" s="526"/>
      <c r="Z258" s="526"/>
      <c r="AA258" s="526"/>
      <c r="AB258" s="526"/>
      <c r="AC258" s="526"/>
      <c r="AD258" s="526"/>
      <c r="AE258" s="526"/>
      <c r="AF258" s="526"/>
    </row>
    <row r="259" spans="1:32" x14ac:dyDescent="0.25">
      <c r="A259" s="42">
        <v>254</v>
      </c>
      <c r="B259" s="42" t="s">
        <v>787</v>
      </c>
      <c r="C259" s="87">
        <v>3383</v>
      </c>
      <c r="D259" s="476">
        <v>21000</v>
      </c>
      <c r="E259" s="42" t="s">
        <v>80</v>
      </c>
      <c r="F259" s="42">
        <v>233.58</v>
      </c>
      <c r="G259" s="42">
        <v>21000</v>
      </c>
      <c r="H259" s="42">
        <f t="shared" si="0"/>
        <v>0</v>
      </c>
      <c r="I259" s="89"/>
      <c r="S259" s="526"/>
      <c r="T259" s="526"/>
      <c r="U259" s="526"/>
      <c r="V259" s="526"/>
      <c r="W259" s="526"/>
      <c r="X259" s="526"/>
      <c r="Y259" s="526"/>
      <c r="Z259" s="526"/>
      <c r="AA259" s="526"/>
      <c r="AB259" s="526"/>
      <c r="AC259" s="526"/>
      <c r="AD259" s="526"/>
      <c r="AE259" s="526"/>
      <c r="AF259" s="526"/>
    </row>
    <row r="260" spans="1:32" x14ac:dyDescent="0.25">
      <c r="A260" s="42">
        <v>255</v>
      </c>
      <c r="B260" s="42" t="s">
        <v>787</v>
      </c>
      <c r="C260" s="87">
        <v>7365</v>
      </c>
      <c r="D260" s="476">
        <v>21000</v>
      </c>
      <c r="E260" s="42" t="s">
        <v>80</v>
      </c>
      <c r="F260" s="42">
        <v>233.58</v>
      </c>
      <c r="G260" s="42">
        <v>21000</v>
      </c>
      <c r="H260" s="42">
        <f t="shared" si="0"/>
        <v>0</v>
      </c>
      <c r="I260" s="89"/>
    </row>
    <row r="261" spans="1:32" x14ac:dyDescent="0.25">
      <c r="A261" s="42">
        <v>256</v>
      </c>
      <c r="B261" s="42" t="s">
        <v>787</v>
      </c>
      <c r="C261" s="87">
        <v>5388</v>
      </c>
      <c r="D261" s="476">
        <v>15000</v>
      </c>
      <c r="E261" s="42" t="s">
        <v>80</v>
      </c>
      <c r="F261" s="42">
        <v>167.15</v>
      </c>
      <c r="G261" s="42">
        <v>15000</v>
      </c>
      <c r="H261" s="42">
        <f t="shared" si="0"/>
        <v>0</v>
      </c>
      <c r="I261" s="89"/>
    </row>
    <row r="262" spans="1:32" x14ac:dyDescent="0.25">
      <c r="A262" s="42">
        <v>257</v>
      </c>
      <c r="B262" s="42" t="s">
        <v>787</v>
      </c>
      <c r="C262" s="87">
        <v>5.2299999999999999E-2</v>
      </c>
      <c r="D262" s="476">
        <v>15000</v>
      </c>
      <c r="E262" s="42" t="s">
        <v>80</v>
      </c>
      <c r="F262" s="42">
        <v>167.15</v>
      </c>
      <c r="G262" s="42">
        <v>15000</v>
      </c>
      <c r="H262" s="42">
        <f t="shared" si="0"/>
        <v>0</v>
      </c>
      <c r="I262" s="89"/>
    </row>
    <row r="263" spans="1:32" x14ac:dyDescent="0.25">
      <c r="A263" s="42">
        <v>258</v>
      </c>
      <c r="B263" s="42" t="s">
        <v>788</v>
      </c>
      <c r="C263" s="87">
        <v>3342</v>
      </c>
      <c r="D263" s="476">
        <v>2000</v>
      </c>
      <c r="E263" s="42" t="s">
        <v>80</v>
      </c>
      <c r="F263" s="42">
        <v>22.32</v>
      </c>
      <c r="G263" s="42">
        <v>2000</v>
      </c>
      <c r="H263" s="42">
        <f t="shared" si="0"/>
        <v>0</v>
      </c>
      <c r="I263" s="89"/>
    </row>
    <row r="264" spans="1:32" x14ac:dyDescent="0.25">
      <c r="A264" s="42">
        <v>259</v>
      </c>
      <c r="B264" s="42" t="s">
        <v>788</v>
      </c>
      <c r="C264" s="87">
        <v>4838</v>
      </c>
      <c r="D264" s="476">
        <v>15000</v>
      </c>
      <c r="E264" s="42" t="s">
        <v>80</v>
      </c>
      <c r="F264" s="42">
        <v>167.15</v>
      </c>
      <c r="G264" s="42">
        <v>15000</v>
      </c>
      <c r="H264" s="42">
        <f t="shared" si="0"/>
        <v>0</v>
      </c>
      <c r="I264" s="89"/>
    </row>
    <row r="265" spans="1:32" x14ac:dyDescent="0.25">
      <c r="A265" s="42">
        <v>260</v>
      </c>
      <c r="B265" s="42" t="s">
        <v>788</v>
      </c>
      <c r="C265" s="87">
        <v>7748</v>
      </c>
      <c r="D265" s="476">
        <v>30000</v>
      </c>
      <c r="E265" s="42" t="s">
        <v>80</v>
      </c>
      <c r="F265" s="42">
        <v>334.82</v>
      </c>
      <c r="G265" s="42">
        <v>30000</v>
      </c>
      <c r="H265" s="42">
        <f t="shared" si="0"/>
        <v>0</v>
      </c>
      <c r="I265" s="89"/>
    </row>
    <row r="266" spans="1:32" x14ac:dyDescent="0.25">
      <c r="A266" s="42">
        <v>261</v>
      </c>
      <c r="B266" s="42" t="s">
        <v>788</v>
      </c>
      <c r="C266" s="87" t="s">
        <v>735</v>
      </c>
      <c r="D266" s="476">
        <v>3500</v>
      </c>
      <c r="E266" s="42" t="s">
        <v>80</v>
      </c>
      <c r="F266" s="42">
        <v>38.450000000000003</v>
      </c>
      <c r="G266" s="42">
        <v>3500</v>
      </c>
      <c r="H266" s="42">
        <f t="shared" si="0"/>
        <v>0</v>
      </c>
      <c r="I266" s="89"/>
    </row>
    <row r="267" spans="1:32" x14ac:dyDescent="0.25">
      <c r="A267" s="42">
        <v>262</v>
      </c>
      <c r="B267" s="42" t="s">
        <v>788</v>
      </c>
      <c r="C267" s="87">
        <v>6768</v>
      </c>
      <c r="D267" s="476">
        <v>20000</v>
      </c>
      <c r="E267" s="42"/>
      <c r="F267" s="42">
        <v>222.82</v>
      </c>
      <c r="G267" s="42">
        <v>20000</v>
      </c>
      <c r="H267" s="42">
        <f t="shared" si="0"/>
        <v>0</v>
      </c>
      <c r="I267" s="89"/>
    </row>
    <row r="268" spans="1:32" x14ac:dyDescent="0.25">
      <c r="A268" s="42">
        <v>263</v>
      </c>
      <c r="B268" s="42" t="s">
        <v>788</v>
      </c>
      <c r="C268" s="87">
        <v>9642</v>
      </c>
      <c r="D268" s="476">
        <v>25000</v>
      </c>
      <c r="E268" s="42"/>
      <c r="F268" s="42">
        <v>278.22000000000003</v>
      </c>
      <c r="G268" s="42">
        <v>25000</v>
      </c>
      <c r="H268" s="42">
        <f t="shared" si="0"/>
        <v>0</v>
      </c>
      <c r="I268" s="89"/>
    </row>
    <row r="269" spans="1:32" x14ac:dyDescent="0.25">
      <c r="A269" s="42">
        <v>264</v>
      </c>
      <c r="B269" s="42" t="s">
        <v>788</v>
      </c>
      <c r="C269" s="87">
        <v>5.6399999999999999E-2</v>
      </c>
      <c r="D269" s="476">
        <v>14000</v>
      </c>
      <c r="E269" s="42" t="s">
        <v>80</v>
      </c>
      <c r="F269" s="42">
        <v>155.44999999999999</v>
      </c>
      <c r="G269" s="42">
        <v>14000</v>
      </c>
      <c r="H269" s="42">
        <f t="shared" ref="H269:H332" si="1">D269-G269</f>
        <v>0</v>
      </c>
      <c r="I269" s="89"/>
    </row>
    <row r="270" spans="1:32" x14ac:dyDescent="0.25">
      <c r="A270" s="42">
        <v>265</v>
      </c>
      <c r="B270" s="42" t="s">
        <v>788</v>
      </c>
      <c r="C270" s="87">
        <v>4.7000000000000002E-3</v>
      </c>
      <c r="D270" s="476">
        <v>15000</v>
      </c>
      <c r="E270" s="42" t="s">
        <v>80</v>
      </c>
      <c r="F270" s="42">
        <v>167.15</v>
      </c>
      <c r="G270" s="42">
        <v>15000</v>
      </c>
      <c r="H270" s="42">
        <f t="shared" si="1"/>
        <v>0</v>
      </c>
      <c r="I270" s="89"/>
    </row>
    <row r="271" spans="1:32" x14ac:dyDescent="0.25">
      <c r="A271" s="42">
        <v>266</v>
      </c>
      <c r="B271" s="42" t="s">
        <v>788</v>
      </c>
      <c r="C271" s="87">
        <v>1543</v>
      </c>
      <c r="D271" s="476">
        <v>15000</v>
      </c>
      <c r="E271" s="42" t="s">
        <v>80</v>
      </c>
      <c r="F271" s="42">
        <v>167.15</v>
      </c>
      <c r="G271" s="42">
        <v>15000</v>
      </c>
      <c r="H271" s="42">
        <f t="shared" si="1"/>
        <v>0</v>
      </c>
      <c r="I271" s="89"/>
    </row>
    <row r="272" spans="1:32" x14ac:dyDescent="0.25">
      <c r="A272" s="42">
        <v>267</v>
      </c>
      <c r="B272" s="42" t="s">
        <v>788</v>
      </c>
      <c r="C272" s="87">
        <v>9767</v>
      </c>
      <c r="D272" s="476">
        <v>15000</v>
      </c>
      <c r="E272" s="42" t="s">
        <v>80</v>
      </c>
      <c r="F272" s="42">
        <v>167.15</v>
      </c>
      <c r="G272" s="42">
        <v>15000</v>
      </c>
      <c r="H272" s="42">
        <f t="shared" si="1"/>
        <v>0</v>
      </c>
      <c r="I272" s="89"/>
    </row>
    <row r="273" spans="1:9" x14ac:dyDescent="0.25">
      <c r="A273" s="42">
        <v>268</v>
      </c>
      <c r="B273" s="42" t="s">
        <v>788</v>
      </c>
      <c r="C273" s="87">
        <v>1215</v>
      </c>
      <c r="D273" s="476">
        <v>18000</v>
      </c>
      <c r="E273" s="42" t="s">
        <v>80</v>
      </c>
      <c r="F273" s="42">
        <v>200.28</v>
      </c>
      <c r="G273" s="42">
        <v>18000</v>
      </c>
      <c r="H273" s="42">
        <f t="shared" si="1"/>
        <v>0</v>
      </c>
      <c r="I273" s="89"/>
    </row>
    <row r="274" spans="1:9" x14ac:dyDescent="0.25">
      <c r="A274" s="42">
        <v>269</v>
      </c>
      <c r="B274" s="42" t="s">
        <v>788</v>
      </c>
      <c r="C274" s="87">
        <v>4204</v>
      </c>
      <c r="D274" s="476">
        <v>15000</v>
      </c>
      <c r="E274" s="42" t="s">
        <v>80</v>
      </c>
      <c r="F274" s="42">
        <v>167.15</v>
      </c>
      <c r="G274" s="42">
        <v>15000</v>
      </c>
      <c r="H274" s="42">
        <f t="shared" si="1"/>
        <v>0</v>
      </c>
      <c r="I274" s="89"/>
    </row>
    <row r="275" spans="1:9" x14ac:dyDescent="0.25">
      <c r="A275" s="42">
        <v>270</v>
      </c>
      <c r="B275" s="42" t="s">
        <v>788</v>
      </c>
      <c r="C275" s="87" t="s">
        <v>30</v>
      </c>
      <c r="D275" s="476">
        <v>5000</v>
      </c>
      <c r="E275" s="42" t="s">
        <v>80</v>
      </c>
      <c r="F275" s="42">
        <v>55.45</v>
      </c>
      <c r="G275" s="42">
        <v>5000</v>
      </c>
      <c r="H275" s="42">
        <f t="shared" si="1"/>
        <v>0</v>
      </c>
      <c r="I275" s="89"/>
    </row>
    <row r="276" spans="1:9" x14ac:dyDescent="0.25">
      <c r="A276" s="42">
        <v>271</v>
      </c>
      <c r="B276" s="42" t="s">
        <v>788</v>
      </c>
      <c r="C276" s="87">
        <v>2017</v>
      </c>
      <c r="D276" s="476">
        <v>28000</v>
      </c>
      <c r="E276" s="42" t="s">
        <v>80</v>
      </c>
      <c r="F276" s="42">
        <v>311.74</v>
      </c>
      <c r="G276" s="42">
        <v>28000</v>
      </c>
      <c r="H276" s="42">
        <f t="shared" si="1"/>
        <v>0</v>
      </c>
      <c r="I276" s="89"/>
    </row>
    <row r="277" spans="1:9" x14ac:dyDescent="0.25">
      <c r="A277" s="42">
        <v>272</v>
      </c>
      <c r="B277" s="42" t="s">
        <v>788</v>
      </c>
      <c r="C277" s="87" t="s">
        <v>30</v>
      </c>
      <c r="D277" s="476">
        <v>4500</v>
      </c>
      <c r="E277" s="42" t="s">
        <v>80</v>
      </c>
      <c r="F277" s="42">
        <v>50.45</v>
      </c>
      <c r="G277" s="42">
        <v>4500</v>
      </c>
      <c r="H277" s="42">
        <f t="shared" si="1"/>
        <v>0</v>
      </c>
      <c r="I277" s="89"/>
    </row>
    <row r="278" spans="1:9" x14ac:dyDescent="0.25">
      <c r="A278" s="42">
        <v>273</v>
      </c>
      <c r="B278" s="42" t="s">
        <v>788</v>
      </c>
      <c r="C278" s="87">
        <v>4768</v>
      </c>
      <c r="D278" s="476">
        <v>25000</v>
      </c>
      <c r="E278" s="42" t="s">
        <v>80</v>
      </c>
      <c r="F278" s="42">
        <v>278.22000000000003</v>
      </c>
      <c r="G278" s="42">
        <v>25000</v>
      </c>
      <c r="H278" s="42">
        <f t="shared" si="1"/>
        <v>0</v>
      </c>
      <c r="I278" s="89"/>
    </row>
    <row r="279" spans="1:9" x14ac:dyDescent="0.25">
      <c r="A279" s="42">
        <v>274</v>
      </c>
      <c r="B279" s="42" t="s">
        <v>788</v>
      </c>
      <c r="C279" s="87">
        <v>6181</v>
      </c>
      <c r="D279" s="476">
        <v>10000</v>
      </c>
      <c r="E279" s="42" t="s">
        <v>80</v>
      </c>
      <c r="F279" s="42">
        <v>111.42</v>
      </c>
      <c r="G279" s="42">
        <v>10000</v>
      </c>
      <c r="H279" s="42">
        <f t="shared" si="1"/>
        <v>0</v>
      </c>
      <c r="I279" s="89"/>
    </row>
    <row r="280" spans="1:9" x14ac:dyDescent="0.25">
      <c r="A280" s="42">
        <v>275</v>
      </c>
      <c r="B280" s="42" t="s">
        <v>788</v>
      </c>
      <c r="C280" s="87">
        <v>3419</v>
      </c>
      <c r="D280" s="476">
        <v>30000</v>
      </c>
      <c r="E280" s="42" t="s">
        <v>80</v>
      </c>
      <c r="F280" s="42">
        <v>334.82</v>
      </c>
      <c r="G280" s="42">
        <v>30000</v>
      </c>
      <c r="H280" s="42">
        <f t="shared" si="1"/>
        <v>0</v>
      </c>
      <c r="I280" s="89"/>
    </row>
    <row r="281" spans="1:9" x14ac:dyDescent="0.25">
      <c r="A281" s="42">
        <v>276</v>
      </c>
      <c r="B281" s="42" t="s">
        <v>788</v>
      </c>
      <c r="C281" s="87">
        <v>3.0200000000000001E-2</v>
      </c>
      <c r="D281" s="476">
        <v>29000</v>
      </c>
      <c r="E281" s="42" t="s">
        <v>80</v>
      </c>
      <c r="F281" s="42">
        <v>323.98</v>
      </c>
      <c r="G281" s="42">
        <v>29000</v>
      </c>
      <c r="H281" s="42">
        <f t="shared" si="1"/>
        <v>0</v>
      </c>
      <c r="I281" s="89"/>
    </row>
    <row r="282" spans="1:9" x14ac:dyDescent="0.25">
      <c r="A282" s="42">
        <v>277</v>
      </c>
      <c r="B282" s="42" t="s">
        <v>788</v>
      </c>
      <c r="C282" s="87">
        <v>9477</v>
      </c>
      <c r="D282" s="476">
        <v>21000</v>
      </c>
      <c r="E282" s="42" t="s">
        <v>80</v>
      </c>
      <c r="F282" s="42">
        <v>245.29</v>
      </c>
      <c r="G282" s="42">
        <v>21000</v>
      </c>
      <c r="H282" s="42">
        <f t="shared" si="1"/>
        <v>0</v>
      </c>
      <c r="I282" s="89"/>
    </row>
    <row r="283" spans="1:9" x14ac:dyDescent="0.25">
      <c r="A283" s="42">
        <v>278</v>
      </c>
      <c r="B283" s="42" t="s">
        <v>788</v>
      </c>
      <c r="C283" s="87">
        <v>3235</v>
      </c>
      <c r="D283" s="476">
        <v>28000</v>
      </c>
      <c r="E283" s="42" t="s">
        <v>80</v>
      </c>
      <c r="F283" s="42">
        <v>324.58</v>
      </c>
      <c r="G283" s="42">
        <v>28000</v>
      </c>
      <c r="H283" s="42">
        <f t="shared" si="1"/>
        <v>0</v>
      </c>
      <c r="I283" s="89"/>
    </row>
    <row r="284" spans="1:9" x14ac:dyDescent="0.25">
      <c r="A284" s="42">
        <v>279</v>
      </c>
      <c r="B284" s="42" t="s">
        <v>788</v>
      </c>
      <c r="C284" s="87">
        <v>5377</v>
      </c>
      <c r="D284" s="476">
        <v>27000</v>
      </c>
      <c r="E284" s="42" t="s">
        <v>80</v>
      </c>
      <c r="F284" s="42">
        <v>300.72000000000003</v>
      </c>
      <c r="G284" s="42">
        <v>27000</v>
      </c>
      <c r="H284" s="42">
        <f t="shared" si="1"/>
        <v>0</v>
      </c>
      <c r="I284" s="89"/>
    </row>
    <row r="285" spans="1:9" x14ac:dyDescent="0.25">
      <c r="A285" s="42">
        <v>280</v>
      </c>
      <c r="B285" s="42" t="s">
        <v>788</v>
      </c>
      <c r="C285" s="87">
        <v>8109</v>
      </c>
      <c r="D285" s="476">
        <v>27000</v>
      </c>
      <c r="E285" s="42" t="s">
        <v>80</v>
      </c>
      <c r="F285" s="42">
        <v>300.72000000000003</v>
      </c>
      <c r="G285" s="42">
        <v>27000</v>
      </c>
      <c r="H285" s="42">
        <f t="shared" si="1"/>
        <v>0</v>
      </c>
      <c r="I285" s="89"/>
    </row>
    <row r="286" spans="1:9" x14ac:dyDescent="0.25">
      <c r="A286" s="42">
        <v>281</v>
      </c>
      <c r="B286" s="42" t="s">
        <v>788</v>
      </c>
      <c r="C286" s="87">
        <v>1776</v>
      </c>
      <c r="D286" s="476">
        <v>20000</v>
      </c>
      <c r="E286" s="42" t="s">
        <v>80</v>
      </c>
      <c r="F286" s="42">
        <v>222.82</v>
      </c>
      <c r="G286" s="42">
        <v>20000</v>
      </c>
      <c r="H286" s="42">
        <f t="shared" si="1"/>
        <v>0</v>
      </c>
      <c r="I286" s="89"/>
    </row>
    <row r="287" spans="1:9" x14ac:dyDescent="0.25">
      <c r="A287" s="42">
        <v>282</v>
      </c>
      <c r="B287" s="42" t="s">
        <v>788</v>
      </c>
      <c r="C287" s="87">
        <v>6447</v>
      </c>
      <c r="D287" s="476">
        <v>21030</v>
      </c>
      <c r="E287" s="42" t="s">
        <v>80</v>
      </c>
      <c r="F287" s="42">
        <v>234.75</v>
      </c>
      <c r="G287" s="42">
        <v>21030</v>
      </c>
      <c r="H287" s="42">
        <f t="shared" si="1"/>
        <v>0</v>
      </c>
      <c r="I287" s="89"/>
    </row>
    <row r="288" spans="1:9" x14ac:dyDescent="0.25">
      <c r="A288" s="42">
        <v>283</v>
      </c>
      <c r="B288" s="42" t="s">
        <v>788</v>
      </c>
      <c r="C288" s="87">
        <v>4692</v>
      </c>
      <c r="D288" s="476">
        <v>30000</v>
      </c>
      <c r="E288" s="42" t="s">
        <v>80</v>
      </c>
      <c r="F288" s="42">
        <v>334.82</v>
      </c>
      <c r="G288" s="42">
        <v>30000</v>
      </c>
      <c r="H288" s="42">
        <f t="shared" si="1"/>
        <v>0</v>
      </c>
      <c r="I288" s="89"/>
    </row>
    <row r="289" spans="1:9" x14ac:dyDescent="0.25">
      <c r="A289" s="42">
        <v>284</v>
      </c>
      <c r="B289" s="42" t="s">
        <v>788</v>
      </c>
      <c r="C289" s="87">
        <v>2457</v>
      </c>
      <c r="D289" s="476">
        <v>9000</v>
      </c>
      <c r="E289" s="42" t="s">
        <v>80</v>
      </c>
      <c r="F289" s="42">
        <v>100.57</v>
      </c>
      <c r="G289" s="42">
        <v>9000</v>
      </c>
      <c r="H289" s="42">
        <f t="shared" si="1"/>
        <v>0</v>
      </c>
      <c r="I289" s="89"/>
    </row>
    <row r="290" spans="1:9" x14ac:dyDescent="0.25">
      <c r="A290" s="42">
        <v>285</v>
      </c>
      <c r="B290" s="42" t="s">
        <v>788</v>
      </c>
      <c r="C290" s="87">
        <v>6592</v>
      </c>
      <c r="D290" s="476">
        <v>30000</v>
      </c>
      <c r="E290" s="42" t="s">
        <v>80</v>
      </c>
      <c r="F290" s="42">
        <v>334.82</v>
      </c>
      <c r="G290" s="42">
        <v>30000</v>
      </c>
      <c r="H290" s="42">
        <f t="shared" si="1"/>
        <v>0</v>
      </c>
      <c r="I290" s="89"/>
    </row>
    <row r="291" spans="1:9" x14ac:dyDescent="0.25">
      <c r="A291" s="42">
        <v>286</v>
      </c>
      <c r="B291" s="42" t="s">
        <v>788</v>
      </c>
      <c r="C291" s="87">
        <v>2496</v>
      </c>
      <c r="D291" s="476">
        <v>15300</v>
      </c>
      <c r="E291" s="42" t="s">
        <v>80</v>
      </c>
      <c r="F291" s="42">
        <v>170.95</v>
      </c>
      <c r="G291" s="42">
        <v>15300</v>
      </c>
      <c r="H291" s="42">
        <f t="shared" si="1"/>
        <v>0</v>
      </c>
      <c r="I291" s="89"/>
    </row>
    <row r="292" spans="1:9" x14ac:dyDescent="0.25">
      <c r="A292" s="42">
        <v>287</v>
      </c>
      <c r="B292" s="42" t="s">
        <v>788</v>
      </c>
      <c r="C292" s="87">
        <v>7441</v>
      </c>
      <c r="D292" s="476">
        <v>20000</v>
      </c>
      <c r="E292" s="42" t="s">
        <v>80</v>
      </c>
      <c r="F292" s="42">
        <v>222.82</v>
      </c>
      <c r="G292" s="42">
        <v>20000</v>
      </c>
      <c r="H292" s="42">
        <f t="shared" si="1"/>
        <v>0</v>
      </c>
      <c r="I292" s="89"/>
    </row>
    <row r="293" spans="1:9" x14ac:dyDescent="0.25">
      <c r="A293" s="42">
        <v>288</v>
      </c>
      <c r="B293" s="42" t="s">
        <v>789</v>
      </c>
      <c r="C293" s="87">
        <v>3891</v>
      </c>
      <c r="D293" s="476">
        <v>25000</v>
      </c>
      <c r="E293" s="42" t="s">
        <v>80</v>
      </c>
      <c r="F293" s="42">
        <v>278.22000000000003</v>
      </c>
      <c r="G293" s="42">
        <v>25000</v>
      </c>
      <c r="H293" s="42">
        <f t="shared" si="1"/>
        <v>0</v>
      </c>
      <c r="I293" s="89"/>
    </row>
    <row r="294" spans="1:9" x14ac:dyDescent="0.25">
      <c r="A294" s="42">
        <v>289</v>
      </c>
      <c r="B294" s="42" t="s">
        <v>789</v>
      </c>
      <c r="C294" s="87" t="s">
        <v>30</v>
      </c>
      <c r="D294" s="476">
        <v>5000</v>
      </c>
      <c r="E294" s="42" t="s">
        <v>80</v>
      </c>
      <c r="F294" s="42">
        <v>55.45</v>
      </c>
      <c r="G294" s="42">
        <v>5000</v>
      </c>
      <c r="H294" s="42">
        <f t="shared" si="1"/>
        <v>0</v>
      </c>
      <c r="I294" s="89"/>
    </row>
    <row r="295" spans="1:9" x14ac:dyDescent="0.25">
      <c r="A295" s="42">
        <v>290</v>
      </c>
      <c r="B295" s="42" t="s">
        <v>789</v>
      </c>
      <c r="C295" s="87">
        <v>1332</v>
      </c>
      <c r="D295" s="476">
        <v>14000</v>
      </c>
      <c r="E295" s="42" t="s">
        <v>80</v>
      </c>
      <c r="F295" s="42">
        <v>155.44999999999999</v>
      </c>
      <c r="G295" s="42">
        <v>14000</v>
      </c>
      <c r="H295" s="42">
        <f t="shared" si="1"/>
        <v>0</v>
      </c>
      <c r="I295" s="89"/>
    </row>
    <row r="296" spans="1:9" x14ac:dyDescent="0.25">
      <c r="A296" s="42">
        <v>291</v>
      </c>
      <c r="B296" s="42" t="s">
        <v>789</v>
      </c>
      <c r="C296" s="87">
        <v>3398</v>
      </c>
      <c r="D296" s="476">
        <v>13000</v>
      </c>
      <c r="E296" s="42" t="s">
        <v>80</v>
      </c>
      <c r="F296" s="42">
        <v>144.13</v>
      </c>
      <c r="G296" s="42">
        <v>13000</v>
      </c>
      <c r="H296" s="42">
        <f t="shared" si="1"/>
        <v>0</v>
      </c>
      <c r="I296" s="89"/>
    </row>
    <row r="297" spans="1:9" x14ac:dyDescent="0.25">
      <c r="A297" s="42">
        <v>292</v>
      </c>
      <c r="B297" s="42" t="s">
        <v>789</v>
      </c>
      <c r="C297" s="87">
        <v>1448</v>
      </c>
      <c r="D297" s="476">
        <v>19000</v>
      </c>
      <c r="E297" s="42" t="s">
        <v>80</v>
      </c>
      <c r="F297" s="42">
        <v>209.85</v>
      </c>
      <c r="G297" s="42">
        <v>19000</v>
      </c>
      <c r="H297" s="42">
        <f t="shared" si="1"/>
        <v>0</v>
      </c>
      <c r="I297" s="89"/>
    </row>
    <row r="298" spans="1:9" x14ac:dyDescent="0.25">
      <c r="A298" s="42">
        <v>293</v>
      </c>
      <c r="B298" s="42" t="s">
        <v>789</v>
      </c>
      <c r="C298" s="87">
        <v>9876</v>
      </c>
      <c r="D298" s="476">
        <v>15000</v>
      </c>
      <c r="E298" s="42" t="s">
        <v>80</v>
      </c>
      <c r="F298" s="42">
        <v>167.15</v>
      </c>
      <c r="G298" s="42">
        <v>15000</v>
      </c>
      <c r="H298" s="42">
        <f t="shared" si="1"/>
        <v>0</v>
      </c>
      <c r="I298" s="89"/>
    </row>
    <row r="299" spans="1:9" x14ac:dyDescent="0.25">
      <c r="A299" s="42">
        <v>294</v>
      </c>
      <c r="B299" s="42" t="s">
        <v>789</v>
      </c>
      <c r="C299" s="87" t="s">
        <v>735</v>
      </c>
      <c r="D299" s="476">
        <v>3500</v>
      </c>
      <c r="E299" s="42" t="s">
        <v>80</v>
      </c>
      <c r="F299" s="42">
        <v>38.450000000000003</v>
      </c>
      <c r="G299" s="42">
        <v>3500</v>
      </c>
      <c r="H299" s="42">
        <f t="shared" si="1"/>
        <v>0</v>
      </c>
      <c r="I299" s="89"/>
    </row>
    <row r="300" spans="1:9" x14ac:dyDescent="0.25">
      <c r="A300" s="42">
        <v>295</v>
      </c>
      <c r="B300" s="42" t="s">
        <v>789</v>
      </c>
      <c r="C300" s="87">
        <v>6549</v>
      </c>
      <c r="D300" s="476">
        <v>26000</v>
      </c>
      <c r="E300" s="42" t="s">
        <v>80</v>
      </c>
      <c r="F300" s="42">
        <v>289.74</v>
      </c>
      <c r="G300" s="42">
        <v>26000</v>
      </c>
      <c r="H300" s="42">
        <f t="shared" si="1"/>
        <v>0</v>
      </c>
      <c r="I300" s="89"/>
    </row>
    <row r="301" spans="1:9" x14ac:dyDescent="0.25">
      <c r="A301" s="42">
        <v>296</v>
      </c>
      <c r="B301" s="42" t="s">
        <v>789</v>
      </c>
      <c r="C301" s="87">
        <v>1827</v>
      </c>
      <c r="D301" s="476">
        <v>17000</v>
      </c>
      <c r="E301" s="42" t="s">
        <v>80</v>
      </c>
      <c r="F301" s="42">
        <v>189.47</v>
      </c>
      <c r="G301" s="42">
        <v>17000</v>
      </c>
      <c r="H301" s="42">
        <f t="shared" si="1"/>
        <v>0</v>
      </c>
      <c r="I301" s="89"/>
    </row>
    <row r="302" spans="1:9" x14ac:dyDescent="0.25">
      <c r="A302" s="42">
        <v>297</v>
      </c>
      <c r="B302" s="42" t="s">
        <v>789</v>
      </c>
      <c r="C302" s="87">
        <v>2774</v>
      </c>
      <c r="D302" s="476">
        <v>14000</v>
      </c>
      <c r="E302" s="42" t="s">
        <v>80</v>
      </c>
      <c r="F302" s="42">
        <v>155.41999999999999</v>
      </c>
      <c r="G302" s="42">
        <v>14000</v>
      </c>
      <c r="H302" s="42">
        <f t="shared" si="1"/>
        <v>0</v>
      </c>
      <c r="I302" s="89"/>
    </row>
    <row r="303" spans="1:9" x14ac:dyDescent="0.25">
      <c r="A303" s="42">
        <v>298</v>
      </c>
      <c r="B303" s="42" t="s">
        <v>789</v>
      </c>
      <c r="C303" s="87">
        <v>9457</v>
      </c>
      <c r="D303" s="476">
        <v>28000</v>
      </c>
      <c r="E303" s="42" t="s">
        <v>80</v>
      </c>
      <c r="F303" s="42">
        <v>289.74</v>
      </c>
      <c r="G303" s="42">
        <v>28000</v>
      </c>
      <c r="H303" s="42">
        <f t="shared" si="1"/>
        <v>0</v>
      </c>
      <c r="I303" s="89"/>
    </row>
    <row r="304" spans="1:9" x14ac:dyDescent="0.25">
      <c r="A304" s="42">
        <v>299</v>
      </c>
      <c r="B304" s="42" t="s">
        <v>789</v>
      </c>
      <c r="C304" s="87">
        <v>1139</v>
      </c>
      <c r="D304" s="476">
        <v>25000</v>
      </c>
      <c r="E304" s="42" t="s">
        <v>80</v>
      </c>
      <c r="F304" s="42">
        <v>278.22000000000003</v>
      </c>
      <c r="G304" s="42">
        <v>25000</v>
      </c>
      <c r="H304" s="42">
        <f t="shared" si="1"/>
        <v>0</v>
      </c>
      <c r="I304" s="89"/>
    </row>
    <row r="305" spans="1:16" x14ac:dyDescent="0.25">
      <c r="A305" s="42">
        <v>300</v>
      </c>
      <c r="B305" s="42" t="s">
        <v>789</v>
      </c>
      <c r="C305" s="87">
        <v>8913</v>
      </c>
      <c r="D305" s="476">
        <v>9000</v>
      </c>
      <c r="E305" s="42" t="s">
        <v>80</v>
      </c>
      <c r="F305" s="42">
        <v>100.82</v>
      </c>
      <c r="G305" s="42">
        <v>9000</v>
      </c>
      <c r="H305" s="42">
        <f t="shared" si="1"/>
        <v>0</v>
      </c>
      <c r="I305" s="89"/>
      <c r="J305" s="398">
        <f>2219242-2186164</f>
        <v>33078</v>
      </c>
      <c r="K305" s="398" t="s">
        <v>776</v>
      </c>
      <c r="L305" s="398" t="s">
        <v>620</v>
      </c>
      <c r="M305" s="398">
        <f>23076-2200</f>
        <v>20876</v>
      </c>
      <c r="P305" s="398">
        <f>73078-23076</f>
        <v>50002</v>
      </c>
    </row>
    <row r="306" spans="1:16" x14ac:dyDescent="0.25">
      <c r="A306" s="42">
        <v>301</v>
      </c>
      <c r="B306" s="42" t="s">
        <v>790</v>
      </c>
      <c r="C306" s="87">
        <v>5.1000000000000004E-3</v>
      </c>
      <c r="D306" s="476">
        <v>16000</v>
      </c>
      <c r="E306" s="42" t="s">
        <v>80</v>
      </c>
      <c r="F306" s="42">
        <v>178.22</v>
      </c>
      <c r="G306" s="42">
        <v>16000</v>
      </c>
      <c r="H306" s="42">
        <f t="shared" si="1"/>
        <v>0</v>
      </c>
      <c r="I306" s="89"/>
    </row>
    <row r="307" spans="1:16" x14ac:dyDescent="0.25">
      <c r="A307" s="42">
        <v>302</v>
      </c>
      <c r="B307" s="42" t="s">
        <v>790</v>
      </c>
      <c r="C307" s="87">
        <v>5.1999999999999998E-3</v>
      </c>
      <c r="D307" s="476">
        <v>16000</v>
      </c>
      <c r="E307" s="42" t="s">
        <v>80</v>
      </c>
      <c r="F307" s="42">
        <v>178.22</v>
      </c>
      <c r="G307" s="42">
        <v>16000</v>
      </c>
      <c r="H307" s="42">
        <f t="shared" si="1"/>
        <v>0</v>
      </c>
      <c r="I307" s="89"/>
    </row>
    <row r="308" spans="1:16" x14ac:dyDescent="0.25">
      <c r="A308" s="42">
        <v>303</v>
      </c>
      <c r="B308" s="42" t="s">
        <v>790</v>
      </c>
      <c r="C308" s="87">
        <v>5151</v>
      </c>
      <c r="D308" s="476">
        <v>16000</v>
      </c>
      <c r="E308" s="42" t="s">
        <v>80</v>
      </c>
      <c r="F308" s="42">
        <v>178.22</v>
      </c>
      <c r="G308" s="42">
        <v>16000</v>
      </c>
      <c r="H308" s="42">
        <f t="shared" si="1"/>
        <v>0</v>
      </c>
      <c r="I308" s="89"/>
    </row>
    <row r="309" spans="1:16" x14ac:dyDescent="0.25">
      <c r="A309" s="42">
        <v>304</v>
      </c>
      <c r="B309" s="42" t="s">
        <v>790</v>
      </c>
      <c r="C309" s="87">
        <v>5252</v>
      </c>
      <c r="D309" s="476">
        <v>16000</v>
      </c>
      <c r="E309" s="42" t="s">
        <v>80</v>
      </c>
      <c r="F309" s="42">
        <v>178.22</v>
      </c>
      <c r="G309" s="42">
        <v>16000</v>
      </c>
      <c r="H309" s="42">
        <f t="shared" si="1"/>
        <v>0</v>
      </c>
      <c r="I309" s="89"/>
    </row>
    <row r="310" spans="1:16" x14ac:dyDescent="0.25">
      <c r="A310" s="42">
        <v>305</v>
      </c>
      <c r="B310" s="42" t="s">
        <v>790</v>
      </c>
      <c r="C310" s="87">
        <v>6133</v>
      </c>
      <c r="D310" s="476">
        <v>14000</v>
      </c>
      <c r="E310" s="42" t="s">
        <v>80</v>
      </c>
      <c r="F310" s="42">
        <v>155.44999999999999</v>
      </c>
      <c r="G310" s="42">
        <v>14000</v>
      </c>
      <c r="H310" s="42">
        <f t="shared" si="1"/>
        <v>0</v>
      </c>
      <c r="I310" s="89"/>
    </row>
    <row r="311" spans="1:16" x14ac:dyDescent="0.25">
      <c r="A311" s="42">
        <v>306</v>
      </c>
      <c r="B311" s="42" t="s">
        <v>790</v>
      </c>
      <c r="C311" s="87">
        <v>6930</v>
      </c>
      <c r="D311" s="476">
        <v>25000</v>
      </c>
      <c r="E311" s="42" t="s">
        <v>80</v>
      </c>
      <c r="F311" s="42">
        <v>278.22000000000003</v>
      </c>
      <c r="G311" s="42">
        <v>25000</v>
      </c>
      <c r="H311" s="42">
        <f t="shared" si="1"/>
        <v>0</v>
      </c>
      <c r="I311" s="89"/>
    </row>
    <row r="312" spans="1:16" x14ac:dyDescent="0.25">
      <c r="A312" s="42">
        <v>307</v>
      </c>
      <c r="B312" s="42" t="s">
        <v>790</v>
      </c>
      <c r="C312" s="87">
        <v>9644</v>
      </c>
      <c r="D312" s="476">
        <v>15000</v>
      </c>
      <c r="E312" s="42" t="s">
        <v>80</v>
      </c>
      <c r="F312" s="42">
        <v>167.15</v>
      </c>
      <c r="G312" s="42">
        <v>15000</v>
      </c>
      <c r="H312" s="42">
        <f t="shared" si="1"/>
        <v>0</v>
      </c>
      <c r="I312" s="89"/>
    </row>
    <row r="313" spans="1:16" x14ac:dyDescent="0.25">
      <c r="A313" s="42">
        <v>308</v>
      </c>
      <c r="B313" s="42" t="s">
        <v>790</v>
      </c>
      <c r="C313" s="87">
        <v>8047</v>
      </c>
      <c r="D313" s="476">
        <v>27000</v>
      </c>
      <c r="E313" s="42" t="s">
        <v>80</v>
      </c>
      <c r="F313" s="42">
        <v>300.82</v>
      </c>
      <c r="G313" s="42">
        <v>27000</v>
      </c>
      <c r="H313" s="42">
        <f t="shared" si="1"/>
        <v>0</v>
      </c>
      <c r="I313" s="89"/>
    </row>
    <row r="314" spans="1:16" x14ac:dyDescent="0.25">
      <c r="A314" s="42">
        <v>309</v>
      </c>
      <c r="B314" s="42" t="s">
        <v>790</v>
      </c>
      <c r="C314" s="87">
        <v>4231</v>
      </c>
      <c r="D314" s="476">
        <v>20000</v>
      </c>
      <c r="E314" s="42" t="s">
        <v>80</v>
      </c>
      <c r="F314" s="42">
        <v>222.82</v>
      </c>
      <c r="G314" s="42">
        <v>20000</v>
      </c>
      <c r="H314" s="42">
        <f t="shared" si="1"/>
        <v>0</v>
      </c>
      <c r="I314" s="89"/>
    </row>
    <row r="315" spans="1:16" x14ac:dyDescent="0.25">
      <c r="A315" s="42">
        <v>310</v>
      </c>
      <c r="B315" s="42" t="s">
        <v>790</v>
      </c>
      <c r="C315" s="87" t="s">
        <v>633</v>
      </c>
      <c r="D315" s="476">
        <v>210</v>
      </c>
      <c r="E315" s="42" t="s">
        <v>80</v>
      </c>
      <c r="F315" s="42">
        <v>2.09</v>
      </c>
      <c r="G315" s="42">
        <v>210</v>
      </c>
      <c r="H315" s="42">
        <f t="shared" si="1"/>
        <v>0</v>
      </c>
      <c r="I315" s="89"/>
    </row>
    <row r="316" spans="1:16" x14ac:dyDescent="0.25">
      <c r="A316" s="42">
        <v>311</v>
      </c>
      <c r="B316" s="42" t="s">
        <v>790</v>
      </c>
      <c r="C316" s="87">
        <v>2496</v>
      </c>
      <c r="D316" s="476">
        <v>16000</v>
      </c>
      <c r="E316" s="42" t="s">
        <v>80</v>
      </c>
      <c r="F316" s="42">
        <v>178.22</v>
      </c>
      <c r="G316" s="42">
        <v>16000</v>
      </c>
      <c r="H316" s="42">
        <f t="shared" si="1"/>
        <v>0</v>
      </c>
      <c r="I316" s="89"/>
    </row>
    <row r="317" spans="1:16" x14ac:dyDescent="0.25">
      <c r="A317" s="42">
        <v>312</v>
      </c>
      <c r="B317" s="42" t="s">
        <v>790</v>
      </c>
      <c r="C317" s="87">
        <v>2260</v>
      </c>
      <c r="D317" s="476">
        <v>13000</v>
      </c>
      <c r="E317" s="42" t="s">
        <v>80</v>
      </c>
      <c r="F317" s="42">
        <v>144.44999999999999</v>
      </c>
      <c r="G317" s="42">
        <v>13000</v>
      </c>
      <c r="H317" s="42">
        <f t="shared" si="1"/>
        <v>0</v>
      </c>
      <c r="I317" s="89"/>
    </row>
    <row r="318" spans="1:16" x14ac:dyDescent="0.25">
      <c r="A318" s="42">
        <v>313</v>
      </c>
      <c r="B318" s="42" t="s">
        <v>790</v>
      </c>
      <c r="C318" s="87" t="s">
        <v>30</v>
      </c>
      <c r="D318" s="476">
        <v>5000</v>
      </c>
      <c r="E318" s="42" t="s">
        <v>80</v>
      </c>
      <c r="F318" s="42">
        <v>55.45</v>
      </c>
      <c r="G318" s="42">
        <v>5000</v>
      </c>
      <c r="H318" s="42">
        <f t="shared" si="1"/>
        <v>0</v>
      </c>
      <c r="I318" s="89"/>
    </row>
    <row r="319" spans="1:16" x14ac:dyDescent="0.25">
      <c r="A319" s="42">
        <v>314</v>
      </c>
      <c r="B319" s="42" t="s">
        <v>790</v>
      </c>
      <c r="C319" s="87" t="s">
        <v>30</v>
      </c>
      <c r="D319" s="476">
        <v>4500</v>
      </c>
      <c r="E319" s="42" t="s">
        <v>80</v>
      </c>
      <c r="F319" s="42">
        <v>50.55</v>
      </c>
      <c r="G319" s="42">
        <v>4500</v>
      </c>
      <c r="H319" s="42">
        <f t="shared" si="1"/>
        <v>0</v>
      </c>
      <c r="I319" s="89"/>
    </row>
    <row r="320" spans="1:16" x14ac:dyDescent="0.25">
      <c r="A320" s="42">
        <v>315</v>
      </c>
      <c r="B320" s="42" t="s">
        <v>790</v>
      </c>
      <c r="C320" s="87">
        <v>3344</v>
      </c>
      <c r="D320" s="476">
        <v>20000</v>
      </c>
      <c r="E320" s="42" t="s">
        <v>80</v>
      </c>
      <c r="F320" s="42">
        <v>222.82</v>
      </c>
      <c r="G320" s="42">
        <v>20000</v>
      </c>
      <c r="H320" s="42">
        <f t="shared" si="1"/>
        <v>0</v>
      </c>
      <c r="I320" s="89"/>
    </row>
    <row r="321" spans="1:9" x14ac:dyDescent="0.25">
      <c r="A321" s="42">
        <v>316</v>
      </c>
      <c r="B321" s="42" t="s">
        <v>790</v>
      </c>
      <c r="C321" s="87">
        <v>7623</v>
      </c>
      <c r="D321" s="476">
        <v>20000</v>
      </c>
      <c r="E321" s="42" t="s">
        <v>80</v>
      </c>
      <c r="F321" s="42">
        <v>222.82</v>
      </c>
      <c r="G321" s="42">
        <v>20000</v>
      </c>
      <c r="H321" s="42">
        <f t="shared" si="1"/>
        <v>0</v>
      </c>
      <c r="I321" s="89"/>
    </row>
    <row r="322" spans="1:9" x14ac:dyDescent="0.25">
      <c r="A322" s="42">
        <v>317</v>
      </c>
      <c r="B322" s="42" t="s">
        <v>790</v>
      </c>
      <c r="C322" s="87">
        <v>5130</v>
      </c>
      <c r="D322" s="476">
        <v>20000</v>
      </c>
      <c r="E322" s="42" t="s">
        <v>80</v>
      </c>
      <c r="F322" s="42">
        <v>222.82</v>
      </c>
      <c r="G322" s="42">
        <v>20000</v>
      </c>
      <c r="H322" s="42">
        <f t="shared" si="1"/>
        <v>0</v>
      </c>
      <c r="I322" s="89"/>
    </row>
    <row r="323" spans="1:9" x14ac:dyDescent="0.25">
      <c r="A323" s="42">
        <v>318</v>
      </c>
      <c r="B323" s="42" t="s">
        <v>790</v>
      </c>
      <c r="C323" s="87">
        <v>6459</v>
      </c>
      <c r="D323" s="476">
        <v>20000</v>
      </c>
      <c r="E323" s="42" t="s">
        <v>80</v>
      </c>
      <c r="F323" s="42">
        <v>222.82</v>
      </c>
      <c r="G323" s="42">
        <v>20000</v>
      </c>
      <c r="H323" s="42">
        <f t="shared" si="1"/>
        <v>0</v>
      </c>
      <c r="I323" s="89"/>
    </row>
    <row r="324" spans="1:9" x14ac:dyDescent="0.25">
      <c r="A324" s="42">
        <v>319</v>
      </c>
      <c r="B324" s="42" t="s">
        <v>790</v>
      </c>
      <c r="C324" s="87">
        <v>6402</v>
      </c>
      <c r="D324" s="476">
        <v>15000</v>
      </c>
      <c r="E324" s="42" t="s">
        <v>80</v>
      </c>
      <c r="F324" s="42">
        <v>167.15</v>
      </c>
      <c r="G324" s="42">
        <v>15000</v>
      </c>
      <c r="H324" s="42">
        <f t="shared" si="1"/>
        <v>0</v>
      </c>
      <c r="I324" s="89"/>
    </row>
    <row r="325" spans="1:9" x14ac:dyDescent="0.25">
      <c r="A325" s="42">
        <v>320</v>
      </c>
      <c r="B325" s="42" t="s">
        <v>790</v>
      </c>
      <c r="C325" s="87">
        <v>6474</v>
      </c>
      <c r="D325" s="476">
        <v>15000</v>
      </c>
      <c r="E325" s="42" t="s">
        <v>80</v>
      </c>
      <c r="F325" s="42">
        <v>167.15</v>
      </c>
      <c r="G325" s="42">
        <v>15000</v>
      </c>
      <c r="H325" s="42">
        <f t="shared" si="1"/>
        <v>0</v>
      </c>
      <c r="I325" s="89"/>
    </row>
    <row r="326" spans="1:9" x14ac:dyDescent="0.25">
      <c r="A326" s="42">
        <v>321</v>
      </c>
      <c r="B326" s="42" t="s">
        <v>790</v>
      </c>
      <c r="C326" s="87">
        <v>9458</v>
      </c>
      <c r="D326" s="476">
        <v>28000</v>
      </c>
      <c r="E326" s="42" t="s">
        <v>80</v>
      </c>
      <c r="F326" s="42">
        <v>298.85000000000002</v>
      </c>
      <c r="G326" s="42">
        <v>28000</v>
      </c>
      <c r="H326" s="42">
        <f t="shared" si="1"/>
        <v>0</v>
      </c>
      <c r="I326" s="89"/>
    </row>
    <row r="327" spans="1:9" x14ac:dyDescent="0.25">
      <c r="A327" s="42">
        <v>322</v>
      </c>
      <c r="B327" s="42" t="s">
        <v>790</v>
      </c>
      <c r="C327" s="87">
        <v>2.4899999999999999E-2</v>
      </c>
      <c r="D327" s="476">
        <v>22000</v>
      </c>
      <c r="E327" s="42" t="s">
        <v>80</v>
      </c>
      <c r="F327" s="42">
        <v>232.94</v>
      </c>
      <c r="G327" s="42">
        <v>22000</v>
      </c>
      <c r="H327" s="42">
        <f t="shared" si="1"/>
        <v>0</v>
      </c>
      <c r="I327" s="89"/>
    </row>
    <row r="328" spans="1:9" x14ac:dyDescent="0.25">
      <c r="A328" s="42">
        <v>323</v>
      </c>
      <c r="B328" s="42" t="s">
        <v>790</v>
      </c>
      <c r="C328" s="87">
        <v>3431</v>
      </c>
      <c r="D328" s="476">
        <v>20000</v>
      </c>
      <c r="E328" s="42" t="s">
        <v>80</v>
      </c>
      <c r="F328" s="42">
        <v>222.82</v>
      </c>
      <c r="G328" s="42">
        <v>20000</v>
      </c>
      <c r="H328" s="42">
        <f t="shared" si="1"/>
        <v>0</v>
      </c>
      <c r="I328" s="89"/>
    </row>
    <row r="329" spans="1:9" x14ac:dyDescent="0.25">
      <c r="A329" s="42">
        <v>324</v>
      </c>
      <c r="B329" s="42" t="s">
        <v>790</v>
      </c>
      <c r="C329" s="87">
        <v>8597</v>
      </c>
      <c r="D329" s="476">
        <v>20000</v>
      </c>
      <c r="E329" s="42" t="s">
        <v>80</v>
      </c>
      <c r="F329" s="42">
        <v>222.82</v>
      </c>
      <c r="G329" s="42">
        <v>20000</v>
      </c>
      <c r="H329" s="42">
        <f t="shared" si="1"/>
        <v>0</v>
      </c>
      <c r="I329" s="89"/>
    </row>
    <row r="330" spans="1:9" x14ac:dyDescent="0.25">
      <c r="A330" s="42">
        <v>325</v>
      </c>
      <c r="B330" s="42" t="s">
        <v>790</v>
      </c>
      <c r="C330" s="87">
        <v>5380</v>
      </c>
      <c r="D330" s="476">
        <v>20000</v>
      </c>
      <c r="E330" s="42" t="s">
        <v>80</v>
      </c>
      <c r="F330" s="42">
        <v>222.82</v>
      </c>
      <c r="G330" s="42">
        <v>20000</v>
      </c>
      <c r="H330" s="42">
        <f t="shared" si="1"/>
        <v>0</v>
      </c>
      <c r="I330" s="89"/>
    </row>
    <row r="331" spans="1:9" x14ac:dyDescent="0.25">
      <c r="A331" s="42">
        <v>326</v>
      </c>
      <c r="B331" s="42" t="s">
        <v>790</v>
      </c>
      <c r="C331" s="87">
        <v>2320</v>
      </c>
      <c r="D331" s="476">
        <v>28000</v>
      </c>
      <c r="E331" s="42" t="s">
        <v>80</v>
      </c>
      <c r="F331" s="42">
        <v>311.45</v>
      </c>
      <c r="G331" s="42">
        <v>28000</v>
      </c>
      <c r="H331" s="42">
        <f t="shared" si="1"/>
        <v>0</v>
      </c>
      <c r="I331" s="89"/>
    </row>
    <row r="332" spans="1:9" x14ac:dyDescent="0.25">
      <c r="A332" s="42">
        <v>327</v>
      </c>
      <c r="B332" s="42" t="s">
        <v>790</v>
      </c>
      <c r="C332" s="87">
        <v>2021</v>
      </c>
      <c r="D332" s="476">
        <v>10000</v>
      </c>
      <c r="E332" s="42" t="s">
        <v>80</v>
      </c>
      <c r="F332" s="42">
        <v>111.41</v>
      </c>
      <c r="G332" s="42">
        <v>10000</v>
      </c>
      <c r="H332" s="42">
        <f t="shared" si="1"/>
        <v>0</v>
      </c>
      <c r="I332" s="89"/>
    </row>
    <row r="333" spans="1:9" x14ac:dyDescent="0.25">
      <c r="A333" s="42">
        <v>328</v>
      </c>
      <c r="B333" s="42" t="s">
        <v>790</v>
      </c>
      <c r="C333" s="87">
        <v>8371</v>
      </c>
      <c r="D333" s="476">
        <v>7000</v>
      </c>
      <c r="E333" s="42" t="s">
        <v>80</v>
      </c>
      <c r="F333" s="42">
        <v>77.819999999999993</v>
      </c>
      <c r="G333" s="42">
        <v>7000</v>
      </c>
      <c r="H333" s="42">
        <f t="shared" ref="H333:H396" si="2">D333-G333</f>
        <v>0</v>
      </c>
      <c r="I333" s="89"/>
    </row>
    <row r="334" spans="1:9" x14ac:dyDescent="0.25">
      <c r="A334" s="42">
        <v>329</v>
      </c>
      <c r="B334" s="42" t="s">
        <v>790</v>
      </c>
      <c r="C334" s="87">
        <v>8934</v>
      </c>
      <c r="D334" s="476">
        <v>25000</v>
      </c>
      <c r="E334" s="42" t="s">
        <v>80</v>
      </c>
      <c r="F334" s="42">
        <v>278.22000000000003</v>
      </c>
      <c r="G334" s="42">
        <v>25000</v>
      </c>
      <c r="H334" s="42">
        <f t="shared" si="2"/>
        <v>0</v>
      </c>
      <c r="I334" s="89"/>
    </row>
    <row r="335" spans="1:9" x14ac:dyDescent="0.25">
      <c r="A335" s="42">
        <v>330</v>
      </c>
      <c r="B335" s="42" t="s">
        <v>791</v>
      </c>
      <c r="C335" s="87">
        <v>5152</v>
      </c>
      <c r="D335" s="476">
        <v>16000</v>
      </c>
      <c r="E335" s="42" t="s">
        <v>80</v>
      </c>
      <c r="F335" s="42">
        <v>178.22</v>
      </c>
      <c r="G335" s="42">
        <v>16000</v>
      </c>
      <c r="H335" s="42">
        <f t="shared" si="2"/>
        <v>0</v>
      </c>
      <c r="I335" s="89"/>
    </row>
    <row r="336" spans="1:9" x14ac:dyDescent="0.25">
      <c r="A336" s="42">
        <v>331</v>
      </c>
      <c r="B336" s="42" t="s">
        <v>791</v>
      </c>
      <c r="C336" s="87">
        <v>8105</v>
      </c>
      <c r="D336" s="476">
        <v>17000</v>
      </c>
      <c r="E336" s="42" t="s">
        <v>80</v>
      </c>
      <c r="F336" s="42">
        <v>189.27</v>
      </c>
      <c r="G336" s="42">
        <v>17000</v>
      </c>
      <c r="H336" s="42">
        <f t="shared" si="2"/>
        <v>0</v>
      </c>
      <c r="I336" s="89"/>
    </row>
    <row r="337" spans="1:13" x14ac:dyDescent="0.25">
      <c r="A337" s="42">
        <v>332</v>
      </c>
      <c r="B337" s="42" t="s">
        <v>791</v>
      </c>
      <c r="C337" s="87">
        <v>1543</v>
      </c>
      <c r="D337" s="476">
        <v>15000</v>
      </c>
      <c r="E337" s="42" t="s">
        <v>80</v>
      </c>
      <c r="F337" s="42">
        <v>167.15</v>
      </c>
      <c r="G337" s="42">
        <v>15000</v>
      </c>
      <c r="H337" s="42">
        <f t="shared" si="2"/>
        <v>0</v>
      </c>
      <c r="I337" s="89"/>
    </row>
    <row r="338" spans="1:13" x14ac:dyDescent="0.25">
      <c r="A338" s="42">
        <v>333</v>
      </c>
      <c r="B338" s="42" t="s">
        <v>791</v>
      </c>
      <c r="C338" s="87">
        <v>2883</v>
      </c>
      <c r="D338" s="476">
        <v>15000</v>
      </c>
      <c r="E338" s="42" t="s">
        <v>80</v>
      </c>
      <c r="F338" s="42">
        <v>167.15</v>
      </c>
      <c r="G338" s="42">
        <v>15000</v>
      </c>
      <c r="H338" s="42">
        <f t="shared" si="2"/>
        <v>0</v>
      </c>
      <c r="I338" s="89"/>
    </row>
    <row r="339" spans="1:13" x14ac:dyDescent="0.25">
      <c r="A339" s="42">
        <v>334</v>
      </c>
      <c r="B339" s="42" t="s">
        <v>791</v>
      </c>
      <c r="C339" s="87">
        <v>5864</v>
      </c>
      <c r="D339" s="476">
        <v>15000</v>
      </c>
      <c r="E339" s="42" t="s">
        <v>80</v>
      </c>
      <c r="F339" s="42">
        <v>167.15</v>
      </c>
      <c r="G339" s="42">
        <v>15000</v>
      </c>
      <c r="H339" s="42">
        <f t="shared" si="2"/>
        <v>0</v>
      </c>
      <c r="I339" s="89"/>
    </row>
    <row r="340" spans="1:13" x14ac:dyDescent="0.25">
      <c r="A340" s="42">
        <v>335</v>
      </c>
      <c r="B340" s="42" t="s">
        <v>791</v>
      </c>
      <c r="C340" s="87">
        <v>6758</v>
      </c>
      <c r="D340" s="476">
        <v>13000</v>
      </c>
      <c r="E340" s="42" t="s">
        <v>80</v>
      </c>
      <c r="F340" s="42">
        <v>144.12</v>
      </c>
      <c r="G340" s="42">
        <v>13000</v>
      </c>
      <c r="H340" s="42">
        <f t="shared" si="2"/>
        <v>0</v>
      </c>
      <c r="I340" s="89"/>
    </row>
    <row r="341" spans="1:13" x14ac:dyDescent="0.25">
      <c r="A341" s="42">
        <v>336</v>
      </c>
      <c r="B341" s="42" t="s">
        <v>791</v>
      </c>
      <c r="C341" s="87">
        <v>5498</v>
      </c>
      <c r="D341" s="476">
        <v>25000</v>
      </c>
      <c r="E341" s="42" t="s">
        <v>80</v>
      </c>
      <c r="F341" s="42">
        <v>278.22000000000003</v>
      </c>
      <c r="G341" s="42">
        <v>25000</v>
      </c>
      <c r="H341" s="42">
        <f t="shared" si="2"/>
        <v>0</v>
      </c>
      <c r="I341" s="89"/>
    </row>
    <row r="342" spans="1:13" x14ac:dyDescent="0.25">
      <c r="A342" s="42">
        <v>337</v>
      </c>
      <c r="B342" s="42" t="s">
        <v>791</v>
      </c>
      <c r="C342" s="87">
        <v>9924</v>
      </c>
      <c r="D342" s="476">
        <v>23000</v>
      </c>
      <c r="E342" s="42" t="s">
        <v>80</v>
      </c>
      <c r="F342" s="42">
        <v>256.72000000000003</v>
      </c>
      <c r="G342" s="42">
        <v>23000</v>
      </c>
      <c r="H342" s="42">
        <f t="shared" si="2"/>
        <v>0</v>
      </c>
      <c r="I342" s="89"/>
    </row>
    <row r="343" spans="1:13" x14ac:dyDescent="0.25">
      <c r="A343" s="42">
        <v>338</v>
      </c>
      <c r="B343" s="42" t="s">
        <v>791</v>
      </c>
      <c r="C343" s="87">
        <v>8.8900000000000007E-2</v>
      </c>
      <c r="D343" s="476">
        <v>13500</v>
      </c>
      <c r="E343" s="42" t="s">
        <v>80</v>
      </c>
      <c r="F343" s="42">
        <v>150.29</v>
      </c>
      <c r="G343" s="42">
        <v>13500</v>
      </c>
      <c r="H343" s="42">
        <f t="shared" si="2"/>
        <v>0</v>
      </c>
      <c r="I343" s="89"/>
    </row>
    <row r="344" spans="1:13" x14ac:dyDescent="0.25">
      <c r="A344" s="42">
        <v>339</v>
      </c>
      <c r="B344" s="42" t="s">
        <v>791</v>
      </c>
      <c r="C344" s="87">
        <v>1832</v>
      </c>
      <c r="D344" s="476">
        <v>13000</v>
      </c>
      <c r="E344" s="42" t="s">
        <v>80</v>
      </c>
      <c r="F344" s="42">
        <v>144.13</v>
      </c>
      <c r="G344" s="42">
        <v>13000</v>
      </c>
      <c r="H344" s="42">
        <f t="shared" si="2"/>
        <v>0</v>
      </c>
      <c r="I344" s="89"/>
    </row>
    <row r="345" spans="1:13" x14ac:dyDescent="0.25">
      <c r="A345" s="42">
        <v>340</v>
      </c>
      <c r="B345" s="42" t="s">
        <v>791</v>
      </c>
      <c r="C345" s="87" t="s">
        <v>30</v>
      </c>
      <c r="D345" s="476">
        <v>5000</v>
      </c>
      <c r="E345" s="42" t="s">
        <v>80</v>
      </c>
      <c r="F345" s="42">
        <v>55.45</v>
      </c>
      <c r="G345" s="42">
        <v>5000</v>
      </c>
      <c r="H345" s="42">
        <f t="shared" si="2"/>
        <v>0</v>
      </c>
      <c r="I345" s="89"/>
    </row>
    <row r="346" spans="1:13" x14ac:dyDescent="0.25">
      <c r="A346" s="42">
        <v>341</v>
      </c>
      <c r="B346" s="42" t="s">
        <v>791</v>
      </c>
      <c r="C346" s="87">
        <v>4.7E-2</v>
      </c>
      <c r="D346" s="476">
        <v>13000</v>
      </c>
      <c r="E346" s="42" t="s">
        <v>80</v>
      </c>
      <c r="F346" s="42">
        <v>144.13</v>
      </c>
      <c r="G346" s="42">
        <v>13000</v>
      </c>
      <c r="H346" s="42">
        <f t="shared" si="2"/>
        <v>0</v>
      </c>
      <c r="I346" s="89"/>
    </row>
    <row r="347" spans="1:13" x14ac:dyDescent="0.25">
      <c r="A347" s="42">
        <v>342</v>
      </c>
      <c r="B347" s="42" t="s">
        <v>791</v>
      </c>
      <c r="C347" s="87">
        <v>1071</v>
      </c>
      <c r="D347" s="476">
        <v>13000</v>
      </c>
      <c r="E347" s="42" t="s">
        <v>80</v>
      </c>
      <c r="F347" s="42">
        <v>144.13</v>
      </c>
      <c r="G347" s="42">
        <v>13000</v>
      </c>
      <c r="H347" s="42">
        <f t="shared" si="2"/>
        <v>0</v>
      </c>
      <c r="I347" s="89"/>
    </row>
    <row r="348" spans="1:13" x14ac:dyDescent="0.25">
      <c r="A348" s="42">
        <v>343</v>
      </c>
      <c r="B348" s="42" t="s">
        <v>791</v>
      </c>
      <c r="C348" s="87">
        <v>8902</v>
      </c>
      <c r="D348" s="476">
        <v>20000</v>
      </c>
      <c r="E348" s="42" t="s">
        <v>80</v>
      </c>
      <c r="F348" s="42">
        <v>222.82</v>
      </c>
      <c r="G348" s="42">
        <v>20000</v>
      </c>
      <c r="H348" s="42">
        <f t="shared" si="2"/>
        <v>0</v>
      </c>
      <c r="I348" s="89"/>
    </row>
    <row r="349" spans="1:13" ht="15.75" thickBot="1" x14ac:dyDescent="0.3">
      <c r="A349" s="42">
        <v>344</v>
      </c>
      <c r="B349" s="42" t="s">
        <v>791</v>
      </c>
      <c r="C349" s="87">
        <v>8963</v>
      </c>
      <c r="D349" s="476">
        <v>30000</v>
      </c>
      <c r="E349" s="42" t="s">
        <v>80</v>
      </c>
      <c r="F349" s="42">
        <v>329.74</v>
      </c>
      <c r="G349" s="42">
        <v>30000</v>
      </c>
      <c r="H349" s="42">
        <f t="shared" si="2"/>
        <v>0</v>
      </c>
      <c r="I349" s="89"/>
    </row>
    <row r="350" spans="1:13" ht="15.75" thickBot="1" x14ac:dyDescent="0.3">
      <c r="A350" s="42">
        <v>345</v>
      </c>
      <c r="B350" s="42" t="s">
        <v>791</v>
      </c>
      <c r="C350" s="87">
        <v>7258</v>
      </c>
      <c r="D350" s="476">
        <v>30000</v>
      </c>
      <c r="E350" s="42" t="s">
        <v>80</v>
      </c>
      <c r="F350" s="42">
        <v>329.74</v>
      </c>
      <c r="G350" s="42">
        <v>30000</v>
      </c>
      <c r="H350" s="42">
        <f t="shared" si="2"/>
        <v>0</v>
      </c>
      <c r="I350" s="89"/>
      <c r="J350" s="103">
        <f>2779452-2756374</f>
        <v>23078</v>
      </c>
      <c r="K350" s="359" t="s">
        <v>776</v>
      </c>
      <c r="L350" s="367" t="s">
        <v>620</v>
      </c>
      <c r="M350" s="360">
        <f>23076-2200</f>
        <v>20876</v>
      </c>
    </row>
    <row r="351" spans="1:13" x14ac:dyDescent="0.25">
      <c r="A351" s="42">
        <v>346</v>
      </c>
      <c r="B351" s="42" t="s">
        <v>792</v>
      </c>
      <c r="C351" s="87" t="s">
        <v>633</v>
      </c>
      <c r="D351" s="476">
        <v>210</v>
      </c>
      <c r="E351" s="42" t="s">
        <v>80</v>
      </c>
      <c r="F351" s="42">
        <v>2.09</v>
      </c>
      <c r="G351" s="42">
        <v>210</v>
      </c>
      <c r="H351" s="42">
        <f t="shared" si="2"/>
        <v>0</v>
      </c>
      <c r="I351" s="89"/>
      <c r="J351" s="388"/>
      <c r="K351" s="48"/>
      <c r="L351" s="370"/>
      <c r="M351" s="48"/>
    </row>
    <row r="352" spans="1:13" x14ac:dyDescent="0.25">
      <c r="A352" s="42">
        <v>347</v>
      </c>
      <c r="B352" s="42" t="s">
        <v>792</v>
      </c>
      <c r="C352" s="87" t="s">
        <v>30</v>
      </c>
      <c r="D352" s="476">
        <v>5000</v>
      </c>
      <c r="E352" s="42" t="s">
        <v>80</v>
      </c>
      <c r="F352" s="42">
        <v>55.45</v>
      </c>
      <c r="G352" s="42">
        <v>5000</v>
      </c>
      <c r="H352" s="42">
        <f t="shared" si="2"/>
        <v>0</v>
      </c>
      <c r="I352" s="89"/>
      <c r="J352" s="388"/>
      <c r="K352" s="48"/>
      <c r="L352" s="370"/>
      <c r="M352" s="48"/>
    </row>
    <row r="353" spans="1:13" x14ac:dyDescent="0.25">
      <c r="A353" s="42">
        <v>348</v>
      </c>
      <c r="B353" s="42" t="s">
        <v>793</v>
      </c>
      <c r="C353" s="87">
        <v>6930</v>
      </c>
      <c r="D353" s="476">
        <v>16000</v>
      </c>
      <c r="E353" s="42" t="s">
        <v>80</v>
      </c>
      <c r="F353" s="42">
        <v>178.22</v>
      </c>
      <c r="G353" s="42">
        <v>16000</v>
      </c>
      <c r="H353" s="42">
        <f t="shared" si="2"/>
        <v>0</v>
      </c>
      <c r="I353" s="89"/>
      <c r="J353" s="388"/>
      <c r="K353" s="48"/>
      <c r="L353" s="370"/>
      <c r="M353" s="48"/>
    </row>
    <row r="354" spans="1:13" x14ac:dyDescent="0.25">
      <c r="A354" s="42">
        <v>349</v>
      </c>
      <c r="B354" s="42" t="s">
        <v>793</v>
      </c>
      <c r="C354" s="87" t="s">
        <v>735</v>
      </c>
      <c r="D354" s="476">
        <v>3500</v>
      </c>
      <c r="E354" s="42" t="s">
        <v>80</v>
      </c>
      <c r="F354" s="42">
        <v>38.450000000000003</v>
      </c>
      <c r="G354" s="42">
        <v>3500</v>
      </c>
      <c r="H354" s="42">
        <f t="shared" si="2"/>
        <v>0</v>
      </c>
      <c r="I354" s="89"/>
      <c r="J354" s="388"/>
      <c r="K354" s="48"/>
      <c r="L354" s="370"/>
      <c r="M354" s="48"/>
    </row>
    <row r="355" spans="1:13" x14ac:dyDescent="0.25">
      <c r="A355" s="42">
        <v>350</v>
      </c>
      <c r="B355" s="42" t="s">
        <v>793</v>
      </c>
      <c r="C355" s="87">
        <v>8326</v>
      </c>
      <c r="D355" s="476">
        <v>14000</v>
      </c>
      <c r="E355" s="42" t="s">
        <v>80</v>
      </c>
      <c r="F355" s="42">
        <v>155.13999999999999</v>
      </c>
      <c r="G355" s="42">
        <v>14000</v>
      </c>
      <c r="H355" s="42">
        <f t="shared" si="2"/>
        <v>0</v>
      </c>
      <c r="I355" s="89"/>
      <c r="J355" s="388"/>
      <c r="K355" s="48"/>
      <c r="L355" s="370"/>
      <c r="M355" s="48"/>
    </row>
    <row r="356" spans="1:13" x14ac:dyDescent="0.25">
      <c r="A356" s="42">
        <v>351</v>
      </c>
      <c r="B356" s="42" t="s">
        <v>793</v>
      </c>
      <c r="C356" s="87">
        <v>6734</v>
      </c>
      <c r="D356" s="476">
        <v>16000</v>
      </c>
      <c r="E356" s="42" t="s">
        <v>80</v>
      </c>
      <c r="F356" s="42">
        <v>178.22</v>
      </c>
      <c r="G356" s="42">
        <v>16000</v>
      </c>
      <c r="H356" s="42">
        <f t="shared" si="2"/>
        <v>0</v>
      </c>
      <c r="I356" s="89"/>
      <c r="J356" s="388"/>
      <c r="K356" s="48"/>
      <c r="L356" s="370"/>
      <c r="M356" s="48"/>
    </row>
    <row r="357" spans="1:13" x14ac:dyDescent="0.25">
      <c r="A357" s="42">
        <v>352</v>
      </c>
      <c r="B357" s="42" t="s">
        <v>793</v>
      </c>
      <c r="C357" s="87">
        <v>5820</v>
      </c>
      <c r="D357" s="476">
        <v>16000</v>
      </c>
      <c r="E357" s="42" t="s">
        <v>80</v>
      </c>
      <c r="F357" s="42">
        <v>178.22</v>
      </c>
      <c r="G357" s="42">
        <v>16000</v>
      </c>
      <c r="H357" s="42">
        <f t="shared" si="2"/>
        <v>0</v>
      </c>
      <c r="I357" s="89"/>
      <c r="J357" s="388"/>
      <c r="K357" s="48"/>
      <c r="L357" s="370"/>
      <c r="M357" s="48"/>
    </row>
    <row r="358" spans="1:13" x14ac:dyDescent="0.25">
      <c r="A358" s="42">
        <v>353</v>
      </c>
      <c r="B358" s="42" t="s">
        <v>793</v>
      </c>
      <c r="C358" s="87">
        <v>9426</v>
      </c>
      <c r="D358" s="476">
        <v>16000</v>
      </c>
      <c r="E358" s="42" t="s">
        <v>80</v>
      </c>
      <c r="F358" s="42">
        <v>178.22</v>
      </c>
      <c r="G358" s="42">
        <v>16000</v>
      </c>
      <c r="H358" s="42">
        <f t="shared" si="2"/>
        <v>0</v>
      </c>
      <c r="I358" s="89"/>
      <c r="J358" s="388"/>
      <c r="K358" s="48"/>
      <c r="L358" s="370"/>
      <c r="M358" s="48"/>
    </row>
    <row r="359" spans="1:13" x14ac:dyDescent="0.25">
      <c r="A359" s="42">
        <v>354</v>
      </c>
      <c r="B359" s="42" t="s">
        <v>793</v>
      </c>
      <c r="C359" s="87">
        <v>2962</v>
      </c>
      <c r="D359" s="476">
        <v>16000</v>
      </c>
      <c r="E359" s="42" t="s">
        <v>80</v>
      </c>
      <c r="F359" s="42">
        <v>178.22</v>
      </c>
      <c r="G359" s="42">
        <v>16000</v>
      </c>
      <c r="H359" s="42">
        <f t="shared" si="2"/>
        <v>0</v>
      </c>
      <c r="I359" s="89"/>
      <c r="J359" s="388"/>
      <c r="K359" s="48"/>
      <c r="L359" s="370"/>
      <c r="M359" s="48"/>
    </row>
    <row r="360" spans="1:13" x14ac:dyDescent="0.25">
      <c r="A360" s="42">
        <v>355</v>
      </c>
      <c r="B360" s="42" t="s">
        <v>793</v>
      </c>
      <c r="C360" s="87">
        <v>2963</v>
      </c>
      <c r="D360" s="476">
        <v>17000</v>
      </c>
      <c r="E360" s="42" t="s">
        <v>80</v>
      </c>
      <c r="F360" s="42">
        <v>189.74</v>
      </c>
      <c r="G360" s="42">
        <v>17000</v>
      </c>
      <c r="H360" s="42">
        <f t="shared" si="2"/>
        <v>0</v>
      </c>
      <c r="I360" s="89"/>
      <c r="J360" s="388"/>
      <c r="K360" s="48"/>
      <c r="L360" s="370"/>
      <c r="M360" s="48"/>
    </row>
    <row r="361" spans="1:13" x14ac:dyDescent="0.25">
      <c r="A361" s="42">
        <v>356</v>
      </c>
      <c r="B361" s="42" t="s">
        <v>793</v>
      </c>
      <c r="C361" s="87" t="s">
        <v>30</v>
      </c>
      <c r="D361" s="476">
        <v>3000</v>
      </c>
      <c r="E361" s="42" t="s">
        <v>80</v>
      </c>
      <c r="F361" s="42">
        <v>33.450000000000003</v>
      </c>
      <c r="G361" s="42">
        <v>3000</v>
      </c>
      <c r="H361" s="42">
        <f t="shared" si="2"/>
        <v>0</v>
      </c>
      <c r="I361" s="89"/>
      <c r="J361" s="388"/>
      <c r="K361" s="48"/>
      <c r="L361" s="370"/>
      <c r="M361" s="48"/>
    </row>
    <row r="362" spans="1:13" x14ac:dyDescent="0.25">
      <c r="A362" s="42">
        <v>357</v>
      </c>
      <c r="B362" s="42" t="s">
        <v>793</v>
      </c>
      <c r="C362" s="87">
        <v>4747</v>
      </c>
      <c r="D362" s="476">
        <v>5000</v>
      </c>
      <c r="E362" s="42" t="s">
        <v>80</v>
      </c>
      <c r="F362" s="42">
        <v>55.45</v>
      </c>
      <c r="G362" s="42">
        <v>5000</v>
      </c>
      <c r="H362" s="42">
        <f t="shared" si="2"/>
        <v>0</v>
      </c>
      <c r="I362" s="89"/>
      <c r="J362" s="388"/>
      <c r="K362" s="48"/>
      <c r="L362" s="370"/>
      <c r="M362" s="48"/>
    </row>
    <row r="363" spans="1:13" x14ac:dyDescent="0.25">
      <c r="A363" s="42">
        <v>358</v>
      </c>
      <c r="B363" s="42" t="s">
        <v>793</v>
      </c>
      <c r="C363" s="87">
        <v>7450</v>
      </c>
      <c r="D363" s="476">
        <v>16000</v>
      </c>
      <c r="E363" s="42" t="s">
        <v>80</v>
      </c>
      <c r="F363" s="42">
        <v>178.22</v>
      </c>
      <c r="G363" s="42">
        <v>16000</v>
      </c>
      <c r="H363" s="42">
        <f t="shared" si="2"/>
        <v>0</v>
      </c>
      <c r="I363" s="89"/>
      <c r="J363" s="388"/>
      <c r="K363" s="48"/>
      <c r="L363" s="370"/>
      <c r="M363" s="48"/>
    </row>
    <row r="364" spans="1:13" x14ac:dyDescent="0.25">
      <c r="A364" s="42">
        <v>359</v>
      </c>
      <c r="B364" s="42" t="s">
        <v>793</v>
      </c>
      <c r="C364" s="87">
        <v>6911</v>
      </c>
      <c r="D364" s="476">
        <v>17000</v>
      </c>
      <c r="E364" s="42" t="s">
        <v>80</v>
      </c>
      <c r="F364" s="42">
        <v>189.42</v>
      </c>
      <c r="G364" s="42">
        <v>17000</v>
      </c>
      <c r="H364" s="42">
        <f t="shared" si="2"/>
        <v>0</v>
      </c>
      <c r="I364" s="89"/>
      <c r="J364" s="388"/>
      <c r="K364" s="48"/>
      <c r="L364" s="370"/>
      <c r="M364" s="48"/>
    </row>
    <row r="365" spans="1:13" x14ac:dyDescent="0.25">
      <c r="A365" s="42">
        <v>360</v>
      </c>
      <c r="B365" s="42" t="s">
        <v>793</v>
      </c>
      <c r="C365" s="87">
        <v>6.4699999999999994E-2</v>
      </c>
      <c r="D365" s="476">
        <v>14000</v>
      </c>
      <c r="E365" s="42" t="s">
        <v>80</v>
      </c>
      <c r="F365" s="42">
        <v>155.13999999999999</v>
      </c>
      <c r="G365" s="42">
        <v>14000</v>
      </c>
      <c r="H365" s="42">
        <f t="shared" si="2"/>
        <v>0</v>
      </c>
      <c r="I365" s="89"/>
      <c r="J365" s="388"/>
      <c r="K365" s="48"/>
      <c r="L365" s="370"/>
      <c r="M365" s="48"/>
    </row>
    <row r="366" spans="1:13" x14ac:dyDescent="0.25">
      <c r="A366" s="42">
        <v>361</v>
      </c>
      <c r="B366" s="42" t="s">
        <v>793</v>
      </c>
      <c r="C366" s="87">
        <v>4077</v>
      </c>
      <c r="D366" s="476">
        <v>13000</v>
      </c>
      <c r="E366" s="42" t="s">
        <v>80</v>
      </c>
      <c r="F366" s="42">
        <v>144.13</v>
      </c>
      <c r="G366" s="42">
        <v>13000</v>
      </c>
      <c r="H366" s="42">
        <f t="shared" si="2"/>
        <v>0</v>
      </c>
      <c r="I366" s="89"/>
      <c r="J366" s="388"/>
      <c r="K366" s="48"/>
      <c r="L366" s="370"/>
      <c r="M366" s="48"/>
    </row>
    <row r="367" spans="1:13" x14ac:dyDescent="0.25">
      <c r="A367" s="42">
        <v>362</v>
      </c>
      <c r="B367" s="42" t="s">
        <v>793</v>
      </c>
      <c r="C367" s="87">
        <v>5504</v>
      </c>
      <c r="D367" s="476">
        <v>18000</v>
      </c>
      <c r="E367" s="42" t="s">
        <v>80</v>
      </c>
      <c r="F367" s="42">
        <v>200.82</v>
      </c>
      <c r="G367" s="42">
        <v>18000</v>
      </c>
      <c r="H367" s="42">
        <f t="shared" si="2"/>
        <v>0</v>
      </c>
      <c r="I367" s="89"/>
      <c r="J367" s="388"/>
      <c r="K367" s="48"/>
      <c r="L367" s="370"/>
      <c r="M367" s="48"/>
    </row>
    <row r="368" spans="1:13" x14ac:dyDescent="0.25">
      <c r="A368" s="42">
        <v>363</v>
      </c>
      <c r="B368" s="42" t="s">
        <v>793</v>
      </c>
      <c r="C368" s="87">
        <v>5152</v>
      </c>
      <c r="D368" s="476">
        <v>16000</v>
      </c>
      <c r="E368" s="42" t="s">
        <v>80</v>
      </c>
      <c r="F368" s="42">
        <v>178.22</v>
      </c>
      <c r="G368" s="42">
        <v>16000</v>
      </c>
      <c r="H368" s="42">
        <f t="shared" si="2"/>
        <v>0</v>
      </c>
      <c r="I368" s="89"/>
      <c r="J368" s="388"/>
      <c r="K368" s="48"/>
      <c r="L368" s="370"/>
      <c r="M368" s="48"/>
    </row>
    <row r="369" spans="1:13" x14ac:dyDescent="0.25">
      <c r="A369" s="42">
        <v>364</v>
      </c>
      <c r="B369" s="42" t="s">
        <v>793</v>
      </c>
      <c r="C369" s="87">
        <v>6946</v>
      </c>
      <c r="D369" s="476">
        <v>20000</v>
      </c>
      <c r="E369" s="42" t="s">
        <v>80</v>
      </c>
      <c r="F369" s="42">
        <v>222.82</v>
      </c>
      <c r="G369" s="42">
        <v>20000</v>
      </c>
      <c r="H369" s="42">
        <f t="shared" si="2"/>
        <v>0</v>
      </c>
      <c r="I369" s="89"/>
      <c r="J369" s="388"/>
      <c r="K369" s="48"/>
      <c r="L369" s="370"/>
      <c r="M369" s="48"/>
    </row>
    <row r="370" spans="1:13" x14ac:dyDescent="0.25">
      <c r="A370" s="42">
        <v>365</v>
      </c>
      <c r="B370" s="42" t="s">
        <v>793</v>
      </c>
      <c r="C370" s="87">
        <v>3108</v>
      </c>
      <c r="D370" s="476">
        <v>20000</v>
      </c>
      <c r="E370" s="42" t="s">
        <v>80</v>
      </c>
      <c r="F370" s="42">
        <v>222.82</v>
      </c>
      <c r="G370" s="42">
        <v>20000</v>
      </c>
      <c r="H370" s="42">
        <f t="shared" si="2"/>
        <v>0</v>
      </c>
      <c r="I370" s="89"/>
      <c r="J370" s="388"/>
      <c r="K370" s="48"/>
      <c r="L370" s="370"/>
      <c r="M370" s="48"/>
    </row>
    <row r="371" spans="1:13" x14ac:dyDescent="0.25">
      <c r="A371" s="42">
        <v>366</v>
      </c>
      <c r="B371" s="42" t="s">
        <v>793</v>
      </c>
      <c r="C371" s="87">
        <v>3068</v>
      </c>
      <c r="D371" s="476">
        <v>17000</v>
      </c>
      <c r="E371" s="42" t="s">
        <v>80</v>
      </c>
      <c r="F371" s="42">
        <v>189.42</v>
      </c>
      <c r="G371" s="42">
        <v>17000</v>
      </c>
      <c r="H371" s="42">
        <f t="shared" si="2"/>
        <v>0</v>
      </c>
      <c r="I371" s="89"/>
      <c r="J371" s="388"/>
      <c r="K371" s="48"/>
      <c r="L371" s="370"/>
      <c r="M371" s="48"/>
    </row>
    <row r="372" spans="1:13" x14ac:dyDescent="0.25">
      <c r="A372" s="42">
        <v>367</v>
      </c>
      <c r="B372" s="42" t="s">
        <v>793</v>
      </c>
      <c r="C372" s="87">
        <v>1172</v>
      </c>
      <c r="D372" s="476">
        <v>15000</v>
      </c>
      <c r="E372" s="42" t="s">
        <v>80</v>
      </c>
      <c r="F372" s="42">
        <v>167.15</v>
      </c>
      <c r="G372" s="42">
        <v>15000</v>
      </c>
      <c r="H372" s="42">
        <f t="shared" si="2"/>
        <v>0</v>
      </c>
      <c r="I372" s="89"/>
      <c r="J372" s="388"/>
      <c r="K372" s="48"/>
      <c r="L372" s="370"/>
      <c r="M372" s="48"/>
    </row>
    <row r="373" spans="1:13" x14ac:dyDescent="0.25">
      <c r="A373" s="42">
        <v>368</v>
      </c>
      <c r="B373" s="42" t="s">
        <v>793</v>
      </c>
      <c r="C373" s="87">
        <v>6133</v>
      </c>
      <c r="D373" s="476">
        <v>16000</v>
      </c>
      <c r="E373" s="42" t="s">
        <v>80</v>
      </c>
      <c r="F373" s="42">
        <v>178.22</v>
      </c>
      <c r="G373" s="42">
        <v>16000</v>
      </c>
      <c r="H373" s="42">
        <f t="shared" si="2"/>
        <v>0</v>
      </c>
      <c r="I373" s="89"/>
      <c r="J373" s="388"/>
      <c r="K373" s="48"/>
      <c r="L373" s="370"/>
      <c r="M373" s="48"/>
    </row>
    <row r="374" spans="1:13" x14ac:dyDescent="0.25">
      <c r="A374" s="42">
        <v>369</v>
      </c>
      <c r="B374" s="42" t="s">
        <v>793</v>
      </c>
      <c r="C374" s="87" t="s">
        <v>30</v>
      </c>
      <c r="D374" s="476">
        <v>5000</v>
      </c>
      <c r="E374" s="42" t="s">
        <v>80</v>
      </c>
      <c r="F374" s="42">
        <v>55.45</v>
      </c>
      <c r="G374" s="42">
        <v>5000</v>
      </c>
      <c r="H374" s="42">
        <f t="shared" si="2"/>
        <v>0</v>
      </c>
      <c r="I374" s="89"/>
      <c r="J374" s="388"/>
      <c r="K374" s="48"/>
      <c r="L374" s="370"/>
      <c r="M374" s="48"/>
    </row>
    <row r="375" spans="1:13" x14ac:dyDescent="0.25">
      <c r="A375" s="42">
        <v>370</v>
      </c>
      <c r="B375" s="42" t="s">
        <v>793</v>
      </c>
      <c r="C375" s="87">
        <v>2867</v>
      </c>
      <c r="D375" s="476">
        <v>17000</v>
      </c>
      <c r="E375" s="42" t="s">
        <v>80</v>
      </c>
      <c r="F375" s="42">
        <v>189.42</v>
      </c>
      <c r="G375" s="42">
        <v>17000</v>
      </c>
      <c r="H375" s="42">
        <f t="shared" si="2"/>
        <v>0</v>
      </c>
      <c r="I375" s="89"/>
      <c r="J375" s="388"/>
      <c r="K375" s="48"/>
      <c r="L375" s="370"/>
      <c r="M375" s="48"/>
    </row>
    <row r="376" spans="1:13" x14ac:dyDescent="0.25">
      <c r="A376" s="42">
        <v>371</v>
      </c>
      <c r="B376" s="42" t="s">
        <v>793</v>
      </c>
      <c r="C376" s="87" t="s">
        <v>30</v>
      </c>
      <c r="D376" s="476">
        <v>4900</v>
      </c>
      <c r="E376" s="42" t="s">
        <v>80</v>
      </c>
      <c r="F376" s="42">
        <v>54.74</v>
      </c>
      <c r="G376" s="42">
        <v>4900</v>
      </c>
      <c r="H376" s="42">
        <f t="shared" si="2"/>
        <v>0</v>
      </c>
      <c r="I376" s="89"/>
      <c r="J376" s="388"/>
      <c r="K376" s="48"/>
      <c r="L376" s="370"/>
      <c r="M376" s="48"/>
    </row>
    <row r="377" spans="1:13" x14ac:dyDescent="0.25">
      <c r="A377" s="42">
        <v>372</v>
      </c>
      <c r="B377" s="42" t="s">
        <v>793</v>
      </c>
      <c r="C377" s="87">
        <v>1.0999999999999999E-2</v>
      </c>
      <c r="D377" s="476">
        <v>15000</v>
      </c>
      <c r="E377" s="42" t="s">
        <v>80</v>
      </c>
      <c r="F377" s="42">
        <v>167.15</v>
      </c>
      <c r="G377" s="42">
        <v>15000</v>
      </c>
      <c r="H377" s="42">
        <f t="shared" si="2"/>
        <v>0</v>
      </c>
      <c r="I377" s="89"/>
      <c r="J377" s="388"/>
      <c r="K377" s="48"/>
      <c r="L377" s="370"/>
      <c r="M377" s="48"/>
    </row>
    <row r="378" spans="1:13" x14ac:dyDescent="0.25">
      <c r="A378" s="42">
        <v>373</v>
      </c>
      <c r="B378" s="42" t="s">
        <v>793</v>
      </c>
      <c r="C378" s="87">
        <v>9518</v>
      </c>
      <c r="D378" s="476">
        <v>23000</v>
      </c>
      <c r="E378" s="42" t="s">
        <v>80</v>
      </c>
      <c r="F378" s="42">
        <v>256.74</v>
      </c>
      <c r="G378" s="42">
        <v>23000</v>
      </c>
      <c r="H378" s="42">
        <f t="shared" si="2"/>
        <v>0</v>
      </c>
      <c r="I378" s="89"/>
      <c r="J378" s="388"/>
      <c r="K378" s="48"/>
      <c r="L378" s="370"/>
      <c r="M378" s="48"/>
    </row>
    <row r="379" spans="1:13" x14ac:dyDescent="0.25">
      <c r="A379" s="42">
        <v>374</v>
      </c>
      <c r="B379" s="42" t="s">
        <v>793</v>
      </c>
      <c r="C379" s="87">
        <v>2150</v>
      </c>
      <c r="D379" s="476">
        <v>19888</v>
      </c>
      <c r="E379" s="42" t="s">
        <v>80</v>
      </c>
      <c r="F379" s="42">
        <v>221.68</v>
      </c>
      <c r="G379" s="42">
        <v>19888</v>
      </c>
      <c r="H379" s="42">
        <f t="shared" si="2"/>
        <v>0</v>
      </c>
      <c r="I379" s="89"/>
      <c r="J379" s="388"/>
      <c r="K379" s="48"/>
      <c r="L379" s="370"/>
      <c r="M379" s="48"/>
    </row>
    <row r="380" spans="1:13" x14ac:dyDescent="0.25">
      <c r="A380" s="42">
        <v>375</v>
      </c>
      <c r="B380" s="42" t="s">
        <v>793</v>
      </c>
      <c r="C380" s="87">
        <v>9849</v>
      </c>
      <c r="D380" s="476">
        <v>22000</v>
      </c>
      <c r="E380" s="42" t="s">
        <v>80</v>
      </c>
      <c r="F380" s="42">
        <v>245.27</v>
      </c>
      <c r="G380" s="42">
        <v>22000</v>
      </c>
      <c r="H380" s="42">
        <f t="shared" si="2"/>
        <v>0</v>
      </c>
      <c r="I380" s="89"/>
      <c r="J380" s="388"/>
      <c r="K380" s="48"/>
      <c r="L380" s="370"/>
      <c r="M380" s="48"/>
    </row>
    <row r="381" spans="1:13" x14ac:dyDescent="0.25">
      <c r="A381" s="42">
        <v>376</v>
      </c>
      <c r="B381" s="42" t="s">
        <v>793</v>
      </c>
      <c r="C381" s="87">
        <v>5137</v>
      </c>
      <c r="D381" s="476">
        <v>20000</v>
      </c>
      <c r="E381" s="42" t="s">
        <v>80</v>
      </c>
      <c r="F381" s="42">
        <v>222.82</v>
      </c>
      <c r="G381" s="42">
        <v>20000</v>
      </c>
      <c r="H381" s="42">
        <f t="shared" si="2"/>
        <v>0</v>
      </c>
      <c r="I381" s="89"/>
      <c r="J381" s="388"/>
      <c r="K381" s="48"/>
      <c r="L381" s="370"/>
      <c r="M381" s="48"/>
    </row>
    <row r="382" spans="1:13" x14ac:dyDescent="0.25">
      <c r="A382" s="42">
        <v>377</v>
      </c>
      <c r="B382" s="42" t="s">
        <v>793</v>
      </c>
      <c r="C382" s="87">
        <v>4225</v>
      </c>
      <c r="D382" s="476">
        <v>30000</v>
      </c>
      <c r="E382" s="42" t="s">
        <v>80</v>
      </c>
      <c r="F382" s="42">
        <v>334.22</v>
      </c>
      <c r="G382" s="42">
        <v>30000</v>
      </c>
      <c r="H382" s="42">
        <f t="shared" si="2"/>
        <v>0</v>
      </c>
      <c r="I382" s="89"/>
      <c r="J382" s="388"/>
      <c r="K382" s="48"/>
      <c r="L382" s="370"/>
      <c r="M382" s="48"/>
    </row>
    <row r="383" spans="1:13" x14ac:dyDescent="0.25">
      <c r="A383" s="42">
        <v>378</v>
      </c>
      <c r="B383" s="42" t="s">
        <v>793</v>
      </c>
      <c r="C383" s="87">
        <v>5574</v>
      </c>
      <c r="D383" s="476">
        <v>32000</v>
      </c>
      <c r="E383" s="42" t="s">
        <v>80</v>
      </c>
      <c r="F383" s="42">
        <v>356.48</v>
      </c>
      <c r="G383" s="42">
        <v>32000</v>
      </c>
      <c r="H383" s="42">
        <f t="shared" si="2"/>
        <v>0</v>
      </c>
      <c r="I383" s="89"/>
      <c r="J383" s="388"/>
      <c r="K383" s="48"/>
      <c r="L383" s="370"/>
      <c r="M383" s="48"/>
    </row>
    <row r="384" spans="1:13" x14ac:dyDescent="0.25">
      <c r="A384" s="42">
        <v>379</v>
      </c>
      <c r="B384" s="42" t="s">
        <v>793</v>
      </c>
      <c r="C384" s="87">
        <v>1386</v>
      </c>
      <c r="D384" s="476">
        <v>24000</v>
      </c>
      <c r="E384" s="42" t="s">
        <v>80</v>
      </c>
      <c r="F384" s="42">
        <v>267.85000000000002</v>
      </c>
      <c r="G384" s="42">
        <v>24000</v>
      </c>
      <c r="H384" s="42">
        <f t="shared" si="2"/>
        <v>0</v>
      </c>
      <c r="I384" s="89"/>
      <c r="J384" s="388"/>
      <c r="K384" s="48"/>
      <c r="L384" s="370"/>
      <c r="M384" s="48"/>
    </row>
    <row r="385" spans="1:13" x14ac:dyDescent="0.25">
      <c r="A385" s="42">
        <v>380</v>
      </c>
      <c r="B385" s="42" t="s">
        <v>793</v>
      </c>
      <c r="C385" s="87">
        <v>7369</v>
      </c>
      <c r="D385" s="476">
        <v>10000</v>
      </c>
      <c r="E385" s="42" t="s">
        <v>80</v>
      </c>
      <c r="F385" s="42">
        <v>111.42</v>
      </c>
      <c r="G385" s="42">
        <v>10000</v>
      </c>
      <c r="H385" s="42">
        <f t="shared" si="2"/>
        <v>0</v>
      </c>
      <c r="I385" s="89"/>
      <c r="J385" s="388"/>
      <c r="K385" s="48"/>
      <c r="L385" s="370"/>
      <c r="M385" s="48"/>
    </row>
    <row r="386" spans="1:13" x14ac:dyDescent="0.25">
      <c r="A386" s="42">
        <v>381</v>
      </c>
      <c r="B386" s="42" t="s">
        <v>793</v>
      </c>
      <c r="C386" s="87">
        <v>9804</v>
      </c>
      <c r="D386" s="476">
        <v>23000</v>
      </c>
      <c r="E386" s="42" t="s">
        <v>80</v>
      </c>
      <c r="F386" s="42">
        <v>252.74</v>
      </c>
      <c r="G386" s="42">
        <v>23000</v>
      </c>
      <c r="H386" s="42">
        <f t="shared" si="2"/>
        <v>0</v>
      </c>
      <c r="I386" s="89"/>
      <c r="J386" s="388"/>
      <c r="K386" s="48"/>
      <c r="L386" s="370"/>
      <c r="M386" s="48"/>
    </row>
    <row r="387" spans="1:13" x14ac:dyDescent="0.25">
      <c r="A387" s="42">
        <v>382</v>
      </c>
      <c r="B387" s="42" t="s">
        <v>793</v>
      </c>
      <c r="C387" s="87">
        <v>6535</v>
      </c>
      <c r="D387" s="476">
        <v>20000</v>
      </c>
      <c r="E387" s="42" t="s">
        <v>80</v>
      </c>
      <c r="F387" s="42">
        <v>222.82</v>
      </c>
      <c r="G387" s="42">
        <v>20000</v>
      </c>
      <c r="H387" s="42">
        <f t="shared" si="2"/>
        <v>0</v>
      </c>
      <c r="I387" s="89"/>
      <c r="J387" s="388"/>
      <c r="K387" s="48"/>
      <c r="L387" s="370"/>
      <c r="M387" s="48"/>
    </row>
    <row r="388" spans="1:13" x14ac:dyDescent="0.25">
      <c r="A388" s="42">
        <v>383</v>
      </c>
      <c r="B388" s="42" t="s">
        <v>793</v>
      </c>
      <c r="C388" s="87">
        <v>3877</v>
      </c>
      <c r="D388" s="476">
        <v>32000</v>
      </c>
      <c r="E388" s="42" t="s">
        <v>80</v>
      </c>
      <c r="F388" s="42">
        <v>356.48</v>
      </c>
      <c r="G388" s="42">
        <v>32000</v>
      </c>
      <c r="H388" s="42">
        <f t="shared" si="2"/>
        <v>0</v>
      </c>
      <c r="I388" s="89"/>
      <c r="J388" s="388"/>
      <c r="K388" s="48"/>
      <c r="L388" s="370"/>
      <c r="M388" s="48"/>
    </row>
    <row r="389" spans="1:13" x14ac:dyDescent="0.25">
      <c r="A389" s="42">
        <v>384</v>
      </c>
      <c r="B389" s="42" t="s">
        <v>793</v>
      </c>
      <c r="C389" s="87">
        <v>9986</v>
      </c>
      <c r="D389" s="476">
        <v>25000</v>
      </c>
      <c r="E389" s="42" t="s">
        <v>80</v>
      </c>
      <c r="F389" s="42">
        <v>278.22000000000003</v>
      </c>
      <c r="G389" s="42">
        <v>25000</v>
      </c>
      <c r="H389" s="42">
        <f t="shared" si="2"/>
        <v>0</v>
      </c>
      <c r="I389" s="89"/>
      <c r="J389" s="388"/>
      <c r="K389" s="48"/>
      <c r="L389" s="370"/>
      <c r="M389" s="48"/>
    </row>
    <row r="390" spans="1:13" x14ac:dyDescent="0.25">
      <c r="A390" s="42">
        <v>385</v>
      </c>
      <c r="B390" s="42" t="s">
        <v>793</v>
      </c>
      <c r="C390" s="87">
        <v>2726</v>
      </c>
      <c r="D390" s="476">
        <v>22000</v>
      </c>
      <c r="E390" s="42" t="s">
        <v>80</v>
      </c>
      <c r="F390" s="42">
        <v>245.27</v>
      </c>
      <c r="G390" s="42">
        <v>22000</v>
      </c>
      <c r="H390" s="42">
        <f t="shared" si="2"/>
        <v>0</v>
      </c>
      <c r="I390" s="89"/>
      <c r="J390" s="388"/>
      <c r="K390" s="48"/>
      <c r="L390" s="370"/>
      <c r="M390" s="48"/>
    </row>
    <row r="391" spans="1:13" x14ac:dyDescent="0.25">
      <c r="A391" s="42">
        <v>386</v>
      </c>
      <c r="B391" s="42" t="s">
        <v>793</v>
      </c>
      <c r="C391" s="87">
        <v>9289</v>
      </c>
      <c r="D391" s="476">
        <v>30000</v>
      </c>
      <c r="E391" s="42" t="s">
        <v>80</v>
      </c>
      <c r="F391" s="42">
        <v>334.22</v>
      </c>
      <c r="G391" s="42">
        <v>30000</v>
      </c>
      <c r="H391" s="42">
        <f t="shared" si="2"/>
        <v>0</v>
      </c>
      <c r="I391" s="89"/>
      <c r="J391" s="388"/>
      <c r="K391" s="48"/>
      <c r="L391" s="370"/>
      <c r="M391" s="48"/>
    </row>
    <row r="392" spans="1:13" x14ac:dyDescent="0.25">
      <c r="A392" s="42">
        <v>387</v>
      </c>
      <c r="B392" s="42" t="s">
        <v>793</v>
      </c>
      <c r="C392" s="87">
        <v>2815</v>
      </c>
      <c r="D392" s="476">
        <v>10000</v>
      </c>
      <c r="E392" s="42" t="s">
        <v>80</v>
      </c>
      <c r="F392" s="42">
        <v>111.42</v>
      </c>
      <c r="G392" s="42">
        <v>10000</v>
      </c>
      <c r="H392" s="42">
        <f t="shared" si="2"/>
        <v>0</v>
      </c>
      <c r="I392" s="89"/>
      <c r="J392" s="388"/>
      <c r="K392" s="48"/>
      <c r="L392" s="370"/>
      <c r="M392" s="48"/>
    </row>
    <row r="393" spans="1:13" x14ac:dyDescent="0.25">
      <c r="A393" s="42">
        <v>388</v>
      </c>
      <c r="B393" s="42" t="s">
        <v>793</v>
      </c>
      <c r="C393" s="87">
        <v>6643</v>
      </c>
      <c r="D393" s="476">
        <v>32000</v>
      </c>
      <c r="E393" s="42" t="s">
        <v>80</v>
      </c>
      <c r="F393" s="42">
        <v>356.48</v>
      </c>
      <c r="G393" s="42">
        <v>32000</v>
      </c>
      <c r="H393" s="42">
        <f t="shared" si="2"/>
        <v>0</v>
      </c>
      <c r="I393" s="89"/>
      <c r="J393" s="388"/>
      <c r="K393" s="48"/>
      <c r="L393" s="370"/>
      <c r="M393" s="48"/>
    </row>
    <row r="394" spans="1:13" x14ac:dyDescent="0.25">
      <c r="A394" s="42">
        <v>389</v>
      </c>
      <c r="B394" s="42" t="s">
        <v>793</v>
      </c>
      <c r="C394" s="87">
        <v>3743</v>
      </c>
      <c r="D394" s="476">
        <v>22000</v>
      </c>
      <c r="E394" s="42" t="s">
        <v>80</v>
      </c>
      <c r="F394" s="42">
        <v>245.27</v>
      </c>
      <c r="G394" s="42">
        <v>22000</v>
      </c>
      <c r="H394" s="42">
        <f t="shared" si="2"/>
        <v>0</v>
      </c>
      <c r="I394" s="89"/>
      <c r="J394" s="388"/>
      <c r="K394" s="48"/>
      <c r="L394" s="370"/>
      <c r="M394" s="48"/>
    </row>
    <row r="395" spans="1:13" ht="15.75" thickBot="1" x14ac:dyDescent="0.3">
      <c r="A395" s="42">
        <v>390</v>
      </c>
      <c r="B395" s="42" t="s">
        <v>793</v>
      </c>
      <c r="C395" s="87">
        <v>3210</v>
      </c>
      <c r="D395" s="476">
        <v>29000</v>
      </c>
      <c r="E395" s="42" t="s">
        <v>80</v>
      </c>
      <c r="F395" s="42">
        <v>352.37</v>
      </c>
      <c r="G395" s="42">
        <v>29000</v>
      </c>
      <c r="H395" s="42">
        <f t="shared" si="2"/>
        <v>0</v>
      </c>
      <c r="I395" s="89"/>
      <c r="J395" s="388"/>
      <c r="K395" s="48"/>
      <c r="L395" s="370"/>
      <c r="M395" s="48"/>
    </row>
    <row r="396" spans="1:13" ht="15.75" thickBot="1" x14ac:dyDescent="0.3">
      <c r="A396" s="42">
        <v>391</v>
      </c>
      <c r="B396" s="42" t="s">
        <v>793</v>
      </c>
      <c r="C396" s="87">
        <v>9288</v>
      </c>
      <c r="D396" s="476">
        <v>32000</v>
      </c>
      <c r="E396" s="42" t="s">
        <v>80</v>
      </c>
      <c r="F396" s="42">
        <v>356.48</v>
      </c>
      <c r="G396" s="42">
        <v>32000</v>
      </c>
      <c r="H396" s="42">
        <f t="shared" si="2"/>
        <v>0</v>
      </c>
      <c r="I396" s="89"/>
      <c r="J396" s="103">
        <f>1888952-1865872</f>
        <v>23080</v>
      </c>
      <c r="K396" s="359" t="s">
        <v>776</v>
      </c>
      <c r="L396" s="367" t="s">
        <v>620</v>
      </c>
      <c r="M396" s="360">
        <f>23076-2200</f>
        <v>20876</v>
      </c>
    </row>
    <row r="397" spans="1:13" x14ac:dyDescent="0.25">
      <c r="A397" s="42">
        <v>392</v>
      </c>
      <c r="B397" s="42" t="s">
        <v>794</v>
      </c>
      <c r="C397" s="87">
        <v>6644</v>
      </c>
      <c r="D397" s="476">
        <v>15500</v>
      </c>
      <c r="E397" s="42" t="s">
        <v>80</v>
      </c>
      <c r="F397" s="42">
        <v>172.58</v>
      </c>
      <c r="G397" s="42">
        <v>15500</v>
      </c>
      <c r="H397" s="42">
        <f t="shared" ref="H397:H460" si="3">D397-G397</f>
        <v>0</v>
      </c>
      <c r="I397" s="89"/>
      <c r="J397" s="388"/>
      <c r="K397" s="48"/>
      <c r="L397" s="370"/>
      <c r="M397" s="48"/>
    </row>
    <row r="398" spans="1:13" x14ac:dyDescent="0.25">
      <c r="A398" s="42">
        <v>393</v>
      </c>
      <c r="B398" s="42" t="s">
        <v>794</v>
      </c>
      <c r="C398" s="87">
        <v>4554</v>
      </c>
      <c r="D398" s="476">
        <v>14500</v>
      </c>
      <c r="E398" s="42" t="s">
        <v>80</v>
      </c>
      <c r="F398" s="42">
        <v>161.41999999999999</v>
      </c>
      <c r="G398" s="42">
        <v>14500</v>
      </c>
      <c r="H398" s="42">
        <f t="shared" si="3"/>
        <v>0</v>
      </c>
      <c r="I398" s="89"/>
      <c r="J398" s="388"/>
      <c r="K398" s="48"/>
      <c r="L398" s="370"/>
      <c r="M398" s="48"/>
    </row>
    <row r="399" spans="1:13" x14ac:dyDescent="0.25">
      <c r="A399" s="42">
        <v>394</v>
      </c>
      <c r="B399" s="42" t="s">
        <v>794</v>
      </c>
      <c r="C399" s="87">
        <v>2271</v>
      </c>
      <c r="D399" s="476">
        <v>12000</v>
      </c>
      <c r="E399" s="42" t="s">
        <v>80</v>
      </c>
      <c r="F399" s="42">
        <v>133.85</v>
      </c>
      <c r="G399" s="42">
        <v>12000</v>
      </c>
      <c r="H399" s="42">
        <f t="shared" si="3"/>
        <v>0</v>
      </c>
      <c r="I399" s="89"/>
      <c r="J399" s="388"/>
      <c r="K399" s="48"/>
      <c r="L399" s="370"/>
      <c r="M399" s="48"/>
    </row>
    <row r="400" spans="1:13" x14ac:dyDescent="0.25">
      <c r="A400" s="42">
        <v>395</v>
      </c>
      <c r="B400" s="42" t="s">
        <v>794</v>
      </c>
      <c r="C400" s="87">
        <v>3686</v>
      </c>
      <c r="D400" s="476">
        <v>27000</v>
      </c>
      <c r="E400" s="42" t="s">
        <v>80</v>
      </c>
      <c r="F400" s="42">
        <v>300.92</v>
      </c>
      <c r="G400" s="42">
        <v>27000</v>
      </c>
      <c r="H400" s="42">
        <f t="shared" si="3"/>
        <v>0</v>
      </c>
      <c r="I400" s="89"/>
      <c r="J400" s="388"/>
      <c r="K400" s="48"/>
      <c r="L400" s="370"/>
      <c r="M400" s="48"/>
    </row>
    <row r="401" spans="1:13" x14ac:dyDescent="0.25">
      <c r="A401" s="42">
        <v>396</v>
      </c>
      <c r="B401" s="42" t="s">
        <v>794</v>
      </c>
      <c r="C401" s="87">
        <v>8332</v>
      </c>
      <c r="D401" s="476">
        <v>31000</v>
      </c>
      <c r="E401" s="42" t="s">
        <v>80</v>
      </c>
      <c r="F401" s="42">
        <v>345.64</v>
      </c>
      <c r="G401" s="42">
        <v>31000</v>
      </c>
      <c r="H401" s="42">
        <f t="shared" si="3"/>
        <v>0</v>
      </c>
      <c r="I401" s="89"/>
      <c r="J401" s="388"/>
      <c r="K401" s="48"/>
      <c r="L401" s="370"/>
      <c r="M401" s="48"/>
    </row>
    <row r="402" spans="1:13" x14ac:dyDescent="0.25">
      <c r="A402" s="42">
        <v>397</v>
      </c>
      <c r="B402" s="42" t="s">
        <v>794</v>
      </c>
      <c r="C402" s="87">
        <v>5859</v>
      </c>
      <c r="D402" s="476">
        <v>15000</v>
      </c>
      <c r="E402" s="42" t="s">
        <v>80</v>
      </c>
      <c r="F402" s="42">
        <v>167.15</v>
      </c>
      <c r="G402" s="42">
        <v>15000</v>
      </c>
      <c r="H402" s="42">
        <f t="shared" si="3"/>
        <v>0</v>
      </c>
      <c r="I402" s="89"/>
      <c r="J402" s="388"/>
      <c r="K402" s="48"/>
      <c r="L402" s="370"/>
      <c r="M402" s="48"/>
    </row>
    <row r="403" spans="1:13" x14ac:dyDescent="0.25">
      <c r="A403" s="42">
        <v>398</v>
      </c>
      <c r="B403" s="42" t="s">
        <v>794</v>
      </c>
      <c r="C403" s="87">
        <v>5968</v>
      </c>
      <c r="D403" s="476">
        <v>14000</v>
      </c>
      <c r="E403" s="42" t="s">
        <v>80</v>
      </c>
      <c r="F403" s="42">
        <v>155.44999999999999</v>
      </c>
      <c r="G403" s="42">
        <v>14000</v>
      </c>
      <c r="H403" s="42">
        <f t="shared" si="3"/>
        <v>0</v>
      </c>
      <c r="I403" s="89"/>
      <c r="J403" s="388"/>
      <c r="K403" s="48"/>
      <c r="L403" s="370"/>
      <c r="M403" s="48"/>
    </row>
    <row r="404" spans="1:13" x14ac:dyDescent="0.25">
      <c r="A404" s="42">
        <v>399</v>
      </c>
      <c r="B404" s="42" t="s">
        <v>794</v>
      </c>
      <c r="C404" s="87">
        <v>6957</v>
      </c>
      <c r="D404" s="476">
        <v>20000</v>
      </c>
      <c r="E404" s="42" t="s">
        <v>80</v>
      </c>
      <c r="F404" s="42">
        <v>222.82</v>
      </c>
      <c r="G404" s="42">
        <v>20000</v>
      </c>
      <c r="H404" s="42">
        <f t="shared" si="3"/>
        <v>0</v>
      </c>
      <c r="I404" s="89"/>
      <c r="J404" s="388"/>
      <c r="K404" s="48"/>
      <c r="L404" s="370"/>
      <c r="M404" s="48"/>
    </row>
    <row r="405" spans="1:13" x14ac:dyDescent="0.25">
      <c r="A405" s="42">
        <v>400</v>
      </c>
      <c r="B405" s="42" t="s">
        <v>794</v>
      </c>
      <c r="C405" s="87">
        <v>6193</v>
      </c>
      <c r="D405" s="476">
        <v>29000</v>
      </c>
      <c r="E405" s="42" t="s">
        <v>80</v>
      </c>
      <c r="F405" s="42">
        <v>352.37</v>
      </c>
      <c r="G405" s="42">
        <v>29000</v>
      </c>
      <c r="H405" s="42">
        <f t="shared" si="3"/>
        <v>0</v>
      </c>
      <c r="I405" s="89"/>
      <c r="J405" s="388"/>
      <c r="K405" s="48"/>
      <c r="L405" s="370"/>
      <c r="M405" s="48"/>
    </row>
    <row r="406" spans="1:13" x14ac:dyDescent="0.25">
      <c r="A406" s="42">
        <v>401</v>
      </c>
      <c r="B406" s="42" t="s">
        <v>794</v>
      </c>
      <c r="C406" s="87">
        <v>3557</v>
      </c>
      <c r="D406" s="476">
        <v>27000</v>
      </c>
      <c r="E406" s="42" t="s">
        <v>80</v>
      </c>
      <c r="F406" s="42">
        <v>300.92</v>
      </c>
      <c r="G406" s="42">
        <v>27000</v>
      </c>
      <c r="H406" s="42">
        <f t="shared" si="3"/>
        <v>0</v>
      </c>
      <c r="I406" s="89"/>
      <c r="J406" s="388"/>
      <c r="K406" s="48"/>
      <c r="L406" s="370"/>
      <c r="M406" s="48"/>
    </row>
    <row r="407" spans="1:13" x14ac:dyDescent="0.25">
      <c r="A407" s="42">
        <v>402</v>
      </c>
      <c r="B407" s="42" t="s">
        <v>794</v>
      </c>
      <c r="C407" s="87">
        <v>4.7000000000000002E-3</v>
      </c>
      <c r="D407" s="476">
        <v>14000</v>
      </c>
      <c r="E407" s="42" t="s">
        <v>80</v>
      </c>
      <c r="F407" s="42">
        <v>155.44999999999999</v>
      </c>
      <c r="G407" s="42">
        <v>14000</v>
      </c>
      <c r="H407" s="42">
        <f t="shared" si="3"/>
        <v>0</v>
      </c>
      <c r="I407" s="89"/>
      <c r="J407" s="388"/>
      <c r="K407" s="48"/>
      <c r="L407" s="370"/>
      <c r="M407" s="48"/>
    </row>
    <row r="408" spans="1:13" x14ac:dyDescent="0.25">
      <c r="A408" s="42">
        <v>403</v>
      </c>
      <c r="B408" s="42" t="s">
        <v>794</v>
      </c>
      <c r="C408" s="87">
        <v>4291</v>
      </c>
      <c r="D408" s="476">
        <v>25000</v>
      </c>
      <c r="E408" s="42" t="s">
        <v>80</v>
      </c>
      <c r="F408" s="42">
        <v>278.22000000000003</v>
      </c>
      <c r="G408" s="42">
        <v>25000</v>
      </c>
      <c r="H408" s="42">
        <f t="shared" si="3"/>
        <v>0</v>
      </c>
      <c r="I408" s="89"/>
      <c r="J408" s="388"/>
      <c r="K408" s="48"/>
      <c r="L408" s="370"/>
      <c r="M408" s="48"/>
    </row>
    <row r="409" spans="1:13" x14ac:dyDescent="0.25">
      <c r="A409" s="42">
        <v>404</v>
      </c>
      <c r="B409" s="42" t="s">
        <v>794</v>
      </c>
      <c r="C409" s="87">
        <v>2497</v>
      </c>
      <c r="D409" s="476">
        <v>19000</v>
      </c>
      <c r="E409" s="42" t="s">
        <v>80</v>
      </c>
      <c r="F409" s="42">
        <v>211.39</v>
      </c>
      <c r="G409" s="42">
        <v>19000</v>
      </c>
      <c r="H409" s="42">
        <f t="shared" si="3"/>
        <v>0</v>
      </c>
      <c r="I409" s="89"/>
      <c r="J409" s="388"/>
      <c r="K409" s="48"/>
      <c r="L409" s="370"/>
      <c r="M409" s="48"/>
    </row>
    <row r="410" spans="1:13" x14ac:dyDescent="0.25">
      <c r="A410" s="42">
        <v>405</v>
      </c>
      <c r="B410" s="42" t="s">
        <v>794</v>
      </c>
      <c r="C410" s="87">
        <v>2141</v>
      </c>
      <c r="D410" s="476">
        <v>10000</v>
      </c>
      <c r="E410" s="42" t="s">
        <v>80</v>
      </c>
      <c r="F410" s="42">
        <v>111.42</v>
      </c>
      <c r="G410" s="42">
        <v>10000</v>
      </c>
      <c r="H410" s="42">
        <f t="shared" si="3"/>
        <v>0</v>
      </c>
      <c r="I410" s="89"/>
      <c r="J410" s="388"/>
      <c r="K410" s="48"/>
      <c r="L410" s="370"/>
      <c r="M410" s="48"/>
    </row>
    <row r="411" spans="1:13" x14ac:dyDescent="0.25">
      <c r="A411" s="42">
        <v>406</v>
      </c>
      <c r="B411" s="42" t="s">
        <v>794</v>
      </c>
      <c r="C411" s="87">
        <v>3424</v>
      </c>
      <c r="D411" s="476">
        <v>10000</v>
      </c>
      <c r="E411" s="42" t="s">
        <v>80</v>
      </c>
      <c r="F411" s="42">
        <v>111.42</v>
      </c>
      <c r="G411" s="42">
        <v>10000</v>
      </c>
      <c r="H411" s="42">
        <f t="shared" si="3"/>
        <v>0</v>
      </c>
      <c r="I411" s="89"/>
      <c r="J411" s="388"/>
      <c r="K411" s="48"/>
      <c r="L411" s="370"/>
      <c r="M411" s="48"/>
    </row>
    <row r="412" spans="1:13" x14ac:dyDescent="0.25">
      <c r="A412" s="42">
        <v>407</v>
      </c>
      <c r="B412" s="42" t="s">
        <v>794</v>
      </c>
      <c r="C412" s="87" t="s">
        <v>30</v>
      </c>
      <c r="D412" s="476">
        <v>4500</v>
      </c>
      <c r="E412" s="42" t="s">
        <v>80</v>
      </c>
      <c r="F412" s="42">
        <v>50.45</v>
      </c>
      <c r="G412" s="42">
        <v>4500</v>
      </c>
      <c r="H412" s="42">
        <f t="shared" si="3"/>
        <v>0</v>
      </c>
      <c r="I412" s="89"/>
      <c r="J412" s="388"/>
      <c r="K412" s="48"/>
      <c r="L412" s="370"/>
      <c r="M412" s="48"/>
    </row>
    <row r="413" spans="1:13" x14ac:dyDescent="0.25">
      <c r="A413" s="42">
        <v>408</v>
      </c>
      <c r="B413" s="42" t="s">
        <v>794</v>
      </c>
      <c r="C413" s="87">
        <v>9876</v>
      </c>
      <c r="D413" s="476">
        <v>15000</v>
      </c>
      <c r="E413" s="42" t="s">
        <v>80</v>
      </c>
      <c r="F413" s="42">
        <v>167.15</v>
      </c>
      <c r="G413" s="42">
        <v>15000</v>
      </c>
      <c r="H413" s="42">
        <f t="shared" si="3"/>
        <v>0</v>
      </c>
      <c r="I413" s="89"/>
      <c r="J413" s="388"/>
      <c r="K413" s="48"/>
      <c r="L413" s="370"/>
      <c r="M413" s="48"/>
    </row>
    <row r="414" spans="1:13" x14ac:dyDescent="0.25">
      <c r="A414" s="42">
        <v>409</v>
      </c>
      <c r="B414" s="42" t="s">
        <v>794</v>
      </c>
      <c r="C414" s="87">
        <v>1377</v>
      </c>
      <c r="D414" s="476">
        <v>20000</v>
      </c>
      <c r="E414" s="42" t="s">
        <v>80</v>
      </c>
      <c r="F414" s="42">
        <v>222.82</v>
      </c>
      <c r="G414" s="42">
        <v>20000</v>
      </c>
      <c r="H414" s="42">
        <f t="shared" si="3"/>
        <v>0</v>
      </c>
      <c r="I414" s="89"/>
      <c r="J414" s="388"/>
      <c r="K414" s="48"/>
      <c r="L414" s="370"/>
      <c r="M414" s="48"/>
    </row>
    <row r="415" spans="1:13" x14ac:dyDescent="0.25">
      <c r="A415" s="42">
        <v>410</v>
      </c>
      <c r="B415" s="42" t="s">
        <v>794</v>
      </c>
      <c r="C415" s="87"/>
      <c r="D415" s="476">
        <v>17000</v>
      </c>
      <c r="E415" s="42" t="s">
        <v>80</v>
      </c>
      <c r="F415" s="42">
        <v>189.22</v>
      </c>
      <c r="G415" s="42">
        <v>17000</v>
      </c>
      <c r="H415" s="42">
        <f t="shared" si="3"/>
        <v>0</v>
      </c>
      <c r="I415" s="89"/>
      <c r="J415" s="388"/>
      <c r="K415" s="48"/>
      <c r="L415" s="370"/>
      <c r="M415" s="48"/>
    </row>
    <row r="416" spans="1:13" x14ac:dyDescent="0.25">
      <c r="A416" s="42">
        <v>411</v>
      </c>
      <c r="B416" s="42" t="s">
        <v>794</v>
      </c>
      <c r="C416" s="87">
        <v>2665</v>
      </c>
      <c r="D416" s="476">
        <v>17000</v>
      </c>
      <c r="E416" s="42" t="s">
        <v>80</v>
      </c>
      <c r="F416" s="42">
        <v>189.22</v>
      </c>
      <c r="G416" s="42">
        <v>17000</v>
      </c>
      <c r="H416" s="42">
        <f t="shared" si="3"/>
        <v>0</v>
      </c>
      <c r="I416" s="89"/>
      <c r="J416" s="388"/>
      <c r="K416" s="48"/>
      <c r="L416" s="370"/>
      <c r="M416" s="48"/>
    </row>
    <row r="417" spans="1:13" x14ac:dyDescent="0.25">
      <c r="A417" s="42">
        <v>412</v>
      </c>
      <c r="B417" s="42" t="s">
        <v>794</v>
      </c>
      <c r="C417" s="87">
        <v>4953</v>
      </c>
      <c r="D417" s="476">
        <v>22000</v>
      </c>
      <c r="E417" s="42" t="s">
        <v>80</v>
      </c>
      <c r="F417" s="42">
        <v>245.35</v>
      </c>
      <c r="G417" s="42">
        <v>22000</v>
      </c>
      <c r="H417" s="42">
        <f t="shared" si="3"/>
        <v>0</v>
      </c>
      <c r="I417" s="89"/>
      <c r="J417" s="388"/>
      <c r="K417" s="48"/>
      <c r="L417" s="370"/>
      <c r="M417" s="48"/>
    </row>
    <row r="418" spans="1:13" x14ac:dyDescent="0.25">
      <c r="A418" s="42">
        <v>413</v>
      </c>
      <c r="B418" s="42" t="s">
        <v>794</v>
      </c>
      <c r="C418" s="87">
        <v>2649</v>
      </c>
      <c r="D418" s="476">
        <v>10000</v>
      </c>
      <c r="E418" s="42" t="s">
        <v>80</v>
      </c>
      <c r="F418" s="42">
        <v>111.42</v>
      </c>
      <c r="G418" s="42">
        <v>10000</v>
      </c>
      <c r="H418" s="42">
        <f t="shared" si="3"/>
        <v>0</v>
      </c>
      <c r="I418" s="89"/>
      <c r="J418" s="388"/>
      <c r="K418" s="48"/>
      <c r="L418" s="370"/>
      <c r="M418" s="48"/>
    </row>
    <row r="419" spans="1:13" x14ac:dyDescent="0.25">
      <c r="A419" s="42">
        <v>414</v>
      </c>
      <c r="B419" s="42" t="s">
        <v>794</v>
      </c>
      <c r="C419" s="87">
        <v>7567</v>
      </c>
      <c r="D419" s="476">
        <v>15000</v>
      </c>
      <c r="E419" s="42" t="s">
        <v>80</v>
      </c>
      <c r="F419" s="42">
        <v>167.15</v>
      </c>
      <c r="G419" s="42">
        <v>15000</v>
      </c>
      <c r="H419" s="42">
        <f t="shared" si="3"/>
        <v>0</v>
      </c>
      <c r="I419" s="89"/>
      <c r="J419" s="388"/>
      <c r="K419" s="48"/>
      <c r="L419" s="370"/>
      <c r="M419" s="48"/>
    </row>
    <row r="420" spans="1:13" x14ac:dyDescent="0.25">
      <c r="A420" s="42">
        <v>415</v>
      </c>
      <c r="B420" s="42" t="s">
        <v>794</v>
      </c>
      <c r="C420" s="87">
        <v>3235</v>
      </c>
      <c r="D420" s="476">
        <v>30000</v>
      </c>
      <c r="E420" s="42" t="s">
        <v>80</v>
      </c>
      <c r="F420" s="42">
        <v>334.22</v>
      </c>
      <c r="G420" s="42">
        <v>30000</v>
      </c>
      <c r="H420" s="42">
        <f t="shared" si="3"/>
        <v>0</v>
      </c>
      <c r="I420" s="89"/>
      <c r="J420" s="388"/>
      <c r="K420" s="48"/>
      <c r="L420" s="370"/>
      <c r="M420" s="48"/>
    </row>
    <row r="421" spans="1:13" x14ac:dyDescent="0.25">
      <c r="A421" s="42">
        <v>416</v>
      </c>
      <c r="B421" s="42" t="s">
        <v>794</v>
      </c>
      <c r="C421" s="87">
        <v>4099</v>
      </c>
      <c r="D421" s="476">
        <v>23000</v>
      </c>
      <c r="E421" s="42" t="s">
        <v>80</v>
      </c>
      <c r="F421" s="42">
        <v>228.47</v>
      </c>
      <c r="G421" s="42">
        <v>23000</v>
      </c>
      <c r="H421" s="42">
        <f t="shared" si="3"/>
        <v>0</v>
      </c>
      <c r="I421" s="89"/>
      <c r="J421" s="388"/>
      <c r="K421" s="48"/>
      <c r="L421" s="370"/>
      <c r="M421" s="48"/>
    </row>
    <row r="422" spans="1:13" x14ac:dyDescent="0.25">
      <c r="A422" s="42">
        <v>417</v>
      </c>
      <c r="B422" s="42" t="s">
        <v>794</v>
      </c>
      <c r="C422" s="87">
        <v>2779</v>
      </c>
      <c r="D422" s="476">
        <v>30000</v>
      </c>
      <c r="E422" s="42" t="s">
        <v>80</v>
      </c>
      <c r="F422" s="42">
        <v>334.22</v>
      </c>
      <c r="G422" s="42">
        <v>30000</v>
      </c>
      <c r="H422" s="42">
        <f t="shared" si="3"/>
        <v>0</v>
      </c>
      <c r="I422" s="89"/>
      <c r="J422" s="388"/>
      <c r="K422" s="48"/>
      <c r="L422" s="370"/>
      <c r="M422" s="48"/>
    </row>
    <row r="423" spans="1:13" x14ac:dyDescent="0.25">
      <c r="A423" s="42">
        <v>418</v>
      </c>
      <c r="B423" s="42" t="s">
        <v>794</v>
      </c>
      <c r="C423" s="87">
        <v>9733</v>
      </c>
      <c r="D423" s="476">
        <v>10000</v>
      </c>
      <c r="E423" s="42" t="s">
        <v>80</v>
      </c>
      <c r="F423" s="42">
        <v>111.42</v>
      </c>
      <c r="G423" s="42">
        <v>10000</v>
      </c>
      <c r="H423" s="42">
        <f t="shared" si="3"/>
        <v>0</v>
      </c>
      <c r="I423" s="89"/>
      <c r="J423" s="388"/>
      <c r="K423" s="48"/>
      <c r="L423" s="370"/>
      <c r="M423" s="48"/>
    </row>
    <row r="424" spans="1:13" x14ac:dyDescent="0.25">
      <c r="A424" s="42">
        <v>419</v>
      </c>
      <c r="B424" s="42" t="s">
        <v>794</v>
      </c>
      <c r="C424" s="87">
        <v>2912</v>
      </c>
      <c r="D424" s="476">
        <v>15000</v>
      </c>
      <c r="E424" s="42" t="s">
        <v>80</v>
      </c>
      <c r="F424" s="42">
        <v>167.15</v>
      </c>
      <c r="G424" s="42">
        <v>15000</v>
      </c>
      <c r="H424" s="42">
        <f t="shared" si="3"/>
        <v>0</v>
      </c>
      <c r="I424" s="89"/>
      <c r="J424" s="388"/>
      <c r="K424" s="48"/>
      <c r="L424" s="370"/>
      <c r="M424" s="48"/>
    </row>
    <row r="425" spans="1:13" x14ac:dyDescent="0.25">
      <c r="A425" s="42">
        <v>420</v>
      </c>
      <c r="B425" s="42" t="s">
        <v>794</v>
      </c>
      <c r="C425" s="87">
        <v>4786</v>
      </c>
      <c r="D425" s="476">
        <v>17000</v>
      </c>
      <c r="E425" s="42" t="s">
        <v>80</v>
      </c>
      <c r="F425" s="42">
        <v>189.22</v>
      </c>
      <c r="G425" s="42">
        <v>17000</v>
      </c>
      <c r="H425" s="42">
        <f t="shared" si="3"/>
        <v>0</v>
      </c>
      <c r="I425" s="89"/>
      <c r="J425" s="388"/>
      <c r="K425" s="48"/>
      <c r="L425" s="370"/>
      <c r="M425" s="48"/>
    </row>
    <row r="426" spans="1:13" x14ac:dyDescent="0.25">
      <c r="A426" s="42">
        <v>421</v>
      </c>
      <c r="B426" s="42" t="s">
        <v>794</v>
      </c>
      <c r="C426" s="87" t="s">
        <v>30</v>
      </c>
      <c r="D426" s="476">
        <v>5000</v>
      </c>
      <c r="E426" s="42"/>
      <c r="F426" s="42">
        <v>55.45</v>
      </c>
      <c r="G426" s="42">
        <v>5000</v>
      </c>
      <c r="H426" s="42">
        <f t="shared" si="3"/>
        <v>0</v>
      </c>
      <c r="I426" s="89"/>
      <c r="J426" s="388"/>
      <c r="K426" s="48"/>
      <c r="L426" s="370"/>
      <c r="M426" s="48"/>
    </row>
    <row r="427" spans="1:13" x14ac:dyDescent="0.25">
      <c r="A427" s="42">
        <v>422</v>
      </c>
      <c r="B427" s="42" t="s">
        <v>794</v>
      </c>
      <c r="C427" s="87">
        <v>6425</v>
      </c>
      <c r="D427" s="476">
        <v>20000</v>
      </c>
      <c r="E427" s="42" t="s">
        <v>80</v>
      </c>
      <c r="F427" s="42">
        <v>222.82</v>
      </c>
      <c r="G427" s="42">
        <v>20000</v>
      </c>
      <c r="H427" s="42">
        <f t="shared" si="3"/>
        <v>0</v>
      </c>
      <c r="I427" s="89"/>
      <c r="J427" s="388"/>
      <c r="K427" s="48"/>
      <c r="L427" s="370"/>
      <c r="M427" s="48"/>
    </row>
    <row r="428" spans="1:13" x14ac:dyDescent="0.25">
      <c r="A428" s="42">
        <v>423</v>
      </c>
      <c r="B428" s="42" t="s">
        <v>794</v>
      </c>
      <c r="C428" s="87">
        <v>8316</v>
      </c>
      <c r="D428" s="476">
        <v>10000</v>
      </c>
      <c r="E428" s="42" t="s">
        <v>80</v>
      </c>
      <c r="F428" s="42">
        <v>111.42</v>
      </c>
      <c r="G428" s="42">
        <v>10000</v>
      </c>
      <c r="H428" s="42">
        <f t="shared" si="3"/>
        <v>0</v>
      </c>
      <c r="I428" s="89"/>
      <c r="J428" s="388"/>
      <c r="K428" s="48"/>
      <c r="L428" s="370"/>
      <c r="M428" s="48"/>
    </row>
    <row r="429" spans="1:13" x14ac:dyDescent="0.25">
      <c r="A429" s="42">
        <v>424</v>
      </c>
      <c r="B429" s="42" t="s">
        <v>794</v>
      </c>
      <c r="C429" s="87">
        <v>1.2999999999999999E-3</v>
      </c>
      <c r="D429" s="476">
        <v>30000</v>
      </c>
      <c r="E429" s="42" t="s">
        <v>80</v>
      </c>
      <c r="F429" s="42">
        <v>334.22</v>
      </c>
      <c r="G429" s="42">
        <v>30000</v>
      </c>
      <c r="H429" s="42">
        <f t="shared" si="3"/>
        <v>0</v>
      </c>
      <c r="I429" s="89"/>
      <c r="J429" s="388"/>
      <c r="K429" s="48"/>
      <c r="L429" s="370"/>
      <c r="M429" s="48"/>
    </row>
    <row r="430" spans="1:13" x14ac:dyDescent="0.25">
      <c r="A430" s="42">
        <v>425</v>
      </c>
      <c r="B430" s="42" t="s">
        <v>794</v>
      </c>
      <c r="C430" s="87">
        <v>2652</v>
      </c>
      <c r="D430" s="476">
        <v>30000</v>
      </c>
      <c r="E430" s="42" t="s">
        <v>80</v>
      </c>
      <c r="F430" s="42">
        <v>334.22</v>
      </c>
      <c r="G430" s="42">
        <v>30000</v>
      </c>
      <c r="H430" s="42">
        <f t="shared" si="3"/>
        <v>0</v>
      </c>
      <c r="I430" s="89"/>
      <c r="J430" s="388"/>
      <c r="K430" s="48"/>
      <c r="L430" s="370"/>
      <c r="M430" s="48"/>
    </row>
    <row r="431" spans="1:13" x14ac:dyDescent="0.25">
      <c r="A431" s="42">
        <v>426</v>
      </c>
      <c r="B431" s="42" t="s">
        <v>794</v>
      </c>
      <c r="C431" s="87">
        <v>4649</v>
      </c>
      <c r="D431" s="476">
        <v>16000</v>
      </c>
      <c r="E431" s="42" t="s">
        <v>80</v>
      </c>
      <c r="F431" s="42">
        <v>178.22</v>
      </c>
      <c r="G431" s="42">
        <v>16000</v>
      </c>
      <c r="H431" s="42">
        <f t="shared" si="3"/>
        <v>0</v>
      </c>
      <c r="I431" s="89"/>
      <c r="J431" s="388"/>
      <c r="K431" s="48"/>
      <c r="L431" s="370"/>
      <c r="M431" s="48"/>
    </row>
    <row r="432" spans="1:13" ht="15.75" thickBot="1" x14ac:dyDescent="0.3">
      <c r="A432" s="42">
        <v>427</v>
      </c>
      <c r="B432" s="42" t="s">
        <v>794</v>
      </c>
      <c r="C432" s="87">
        <v>9235</v>
      </c>
      <c r="D432" s="476">
        <v>27000</v>
      </c>
      <c r="E432" s="42" t="s">
        <v>80</v>
      </c>
      <c r="F432" s="42">
        <v>300.92</v>
      </c>
      <c r="G432" s="42">
        <v>27000</v>
      </c>
      <c r="H432" s="42">
        <f t="shared" si="3"/>
        <v>0</v>
      </c>
      <c r="I432" s="89"/>
      <c r="J432" s="388"/>
      <c r="K432" s="48"/>
      <c r="L432" s="370"/>
      <c r="M432" s="48"/>
    </row>
    <row r="433" spans="1:13" ht="15.75" thickBot="1" x14ac:dyDescent="0.3">
      <c r="A433" s="42">
        <v>428</v>
      </c>
      <c r="B433" s="42" t="s">
        <v>794</v>
      </c>
      <c r="C433" s="87">
        <v>9457</v>
      </c>
      <c r="D433" s="476">
        <v>28000</v>
      </c>
      <c r="E433" s="42" t="s">
        <v>80</v>
      </c>
      <c r="F433" s="42">
        <v>311.48</v>
      </c>
      <c r="G433" s="42">
        <v>28000</v>
      </c>
      <c r="H433" s="42">
        <f t="shared" si="3"/>
        <v>0</v>
      </c>
      <c r="I433" s="89"/>
      <c r="J433" s="103">
        <f>2583454-2560372</f>
        <v>23082</v>
      </c>
      <c r="K433" s="359" t="s">
        <v>776</v>
      </c>
      <c r="L433" s="367" t="s">
        <v>620</v>
      </c>
      <c r="M433" s="360">
        <f>23076-2200</f>
        <v>20876</v>
      </c>
    </row>
    <row r="434" spans="1:13" x14ac:dyDescent="0.25">
      <c r="A434" s="42">
        <v>429</v>
      </c>
      <c r="B434" s="42" t="s">
        <v>796</v>
      </c>
      <c r="C434" s="87" t="s">
        <v>633</v>
      </c>
      <c r="D434" s="476">
        <v>100</v>
      </c>
      <c r="E434" s="42" t="s">
        <v>80</v>
      </c>
      <c r="F434" s="42">
        <v>1.08</v>
      </c>
      <c r="G434" s="42">
        <v>100</v>
      </c>
      <c r="H434" s="42">
        <f t="shared" si="3"/>
        <v>0</v>
      </c>
      <c r="I434" s="89"/>
      <c r="J434" s="388"/>
      <c r="K434" s="48"/>
      <c r="L434" s="370"/>
      <c r="M434" s="48"/>
    </row>
    <row r="435" spans="1:13" x14ac:dyDescent="0.25">
      <c r="A435" s="42">
        <v>430</v>
      </c>
      <c r="B435" s="42" t="s">
        <v>796</v>
      </c>
      <c r="C435" s="87">
        <v>6.4699999999999994E-2</v>
      </c>
      <c r="D435" s="476">
        <v>14000</v>
      </c>
      <c r="E435" s="42" t="s">
        <v>80</v>
      </c>
      <c r="F435" s="42">
        <v>155.75</v>
      </c>
      <c r="G435" s="42">
        <v>14000</v>
      </c>
      <c r="H435" s="42">
        <f t="shared" si="3"/>
        <v>0</v>
      </c>
      <c r="I435" s="89"/>
      <c r="J435" s="388"/>
      <c r="K435" s="48"/>
      <c r="L435" s="370"/>
      <c r="M435" s="48"/>
    </row>
    <row r="436" spans="1:13" x14ac:dyDescent="0.25">
      <c r="A436" s="42">
        <v>431</v>
      </c>
      <c r="B436" s="42" t="s">
        <v>796</v>
      </c>
      <c r="C436" s="87">
        <v>6787</v>
      </c>
      <c r="D436" s="476">
        <v>12500</v>
      </c>
      <c r="E436" s="42" t="s">
        <v>80</v>
      </c>
      <c r="F436" s="42">
        <v>139.82</v>
      </c>
      <c r="G436" s="42">
        <v>12500</v>
      </c>
      <c r="H436" s="42">
        <f t="shared" si="3"/>
        <v>0</v>
      </c>
      <c r="I436" s="89"/>
      <c r="J436" s="388"/>
      <c r="K436" s="48"/>
      <c r="L436" s="370"/>
      <c r="M436" s="48"/>
    </row>
    <row r="437" spans="1:13" x14ac:dyDescent="0.25">
      <c r="A437" s="42">
        <v>432</v>
      </c>
      <c r="B437" s="42" t="s">
        <v>796</v>
      </c>
      <c r="C437" s="87">
        <v>5152</v>
      </c>
      <c r="D437" s="476">
        <v>16000</v>
      </c>
      <c r="E437" s="42" t="s">
        <v>80</v>
      </c>
      <c r="F437" s="42">
        <v>178.22</v>
      </c>
      <c r="G437" s="42">
        <v>16000</v>
      </c>
      <c r="H437" s="42">
        <f t="shared" si="3"/>
        <v>0</v>
      </c>
      <c r="I437" s="89"/>
      <c r="J437" s="388"/>
      <c r="K437" s="48"/>
      <c r="L437" s="370"/>
      <c r="M437" s="48"/>
    </row>
    <row r="438" spans="1:13" x14ac:dyDescent="0.25">
      <c r="A438" s="42">
        <v>433</v>
      </c>
      <c r="B438" s="42" t="s">
        <v>796</v>
      </c>
      <c r="C438" s="87">
        <v>3665</v>
      </c>
      <c r="D438" s="476">
        <v>18000</v>
      </c>
      <c r="E438" s="42" t="s">
        <v>80</v>
      </c>
      <c r="F438" s="42">
        <v>200.82</v>
      </c>
      <c r="G438" s="42">
        <v>18000</v>
      </c>
      <c r="H438" s="42">
        <f t="shared" si="3"/>
        <v>0</v>
      </c>
      <c r="I438" s="89"/>
      <c r="J438" s="388"/>
      <c r="K438" s="48"/>
      <c r="L438" s="370"/>
      <c r="M438" s="48"/>
    </row>
    <row r="439" spans="1:13" x14ac:dyDescent="0.25">
      <c r="A439" s="42">
        <v>434</v>
      </c>
      <c r="B439" s="42" t="s">
        <v>796</v>
      </c>
      <c r="C439" s="87">
        <v>6133</v>
      </c>
      <c r="D439" s="476">
        <v>15000</v>
      </c>
      <c r="E439" s="42" t="s">
        <v>80</v>
      </c>
      <c r="F439" s="42">
        <v>167.15</v>
      </c>
      <c r="G439" s="42">
        <v>15000</v>
      </c>
      <c r="H439" s="42">
        <f t="shared" si="3"/>
        <v>0</v>
      </c>
      <c r="I439" s="89"/>
      <c r="J439" s="388"/>
      <c r="K439" s="48"/>
      <c r="L439" s="370"/>
      <c r="M439" s="48"/>
    </row>
    <row r="440" spans="1:13" x14ac:dyDescent="0.25">
      <c r="A440" s="42">
        <v>435</v>
      </c>
      <c r="B440" s="42" t="s">
        <v>796</v>
      </c>
      <c r="C440" s="87">
        <v>7411</v>
      </c>
      <c r="D440" s="476">
        <v>24000</v>
      </c>
      <c r="E440" s="42" t="s">
        <v>80</v>
      </c>
      <c r="F440" s="42">
        <v>267.57</v>
      </c>
      <c r="G440" s="42">
        <v>24000</v>
      </c>
      <c r="H440" s="42">
        <f t="shared" si="3"/>
        <v>0</v>
      </c>
      <c r="I440" s="89"/>
      <c r="J440" s="388"/>
      <c r="K440" s="48"/>
      <c r="L440" s="370"/>
      <c r="M440" s="48"/>
    </row>
    <row r="441" spans="1:13" x14ac:dyDescent="0.25">
      <c r="A441" s="42">
        <v>436</v>
      </c>
      <c r="B441" s="42" t="s">
        <v>796</v>
      </c>
      <c r="C441" s="87">
        <v>9721</v>
      </c>
      <c r="D441" s="476">
        <v>16000</v>
      </c>
      <c r="E441" s="42" t="s">
        <v>80</v>
      </c>
      <c r="F441" s="42">
        <v>178.22</v>
      </c>
      <c r="G441" s="42">
        <v>16000</v>
      </c>
      <c r="H441" s="42">
        <f t="shared" si="3"/>
        <v>0</v>
      </c>
      <c r="I441" s="89"/>
      <c r="J441" s="388"/>
      <c r="K441" s="48"/>
      <c r="L441" s="370"/>
      <c r="M441" s="48"/>
    </row>
    <row r="442" spans="1:13" x14ac:dyDescent="0.25">
      <c r="A442" s="42">
        <v>437</v>
      </c>
      <c r="B442" s="42" t="s">
        <v>796</v>
      </c>
      <c r="C442" s="87" t="s">
        <v>633</v>
      </c>
      <c r="D442" s="476">
        <v>210</v>
      </c>
      <c r="E442" s="42" t="s">
        <v>80</v>
      </c>
      <c r="F442" s="42">
        <v>2.09</v>
      </c>
      <c r="G442" s="42">
        <v>210</v>
      </c>
      <c r="H442" s="42">
        <f t="shared" si="3"/>
        <v>0</v>
      </c>
      <c r="I442" s="89"/>
      <c r="J442" s="388"/>
      <c r="K442" s="48"/>
      <c r="L442" s="370"/>
      <c r="M442" s="48"/>
    </row>
    <row r="443" spans="1:13" x14ac:dyDescent="0.25">
      <c r="A443" s="42">
        <v>438</v>
      </c>
      <c r="B443" s="42" t="s">
        <v>796</v>
      </c>
      <c r="C443" s="87" t="s">
        <v>735</v>
      </c>
      <c r="D443" s="476">
        <v>3500</v>
      </c>
      <c r="E443" s="42" t="s">
        <v>80</v>
      </c>
      <c r="F443" s="42">
        <v>38.450000000000003</v>
      </c>
      <c r="G443" s="42">
        <v>3500</v>
      </c>
      <c r="H443" s="42">
        <f t="shared" si="3"/>
        <v>0</v>
      </c>
      <c r="I443" s="89"/>
      <c r="J443" s="388"/>
      <c r="K443" s="48"/>
      <c r="L443" s="370"/>
      <c r="M443" s="48"/>
    </row>
    <row r="444" spans="1:13" x14ac:dyDescent="0.25">
      <c r="A444" s="42">
        <v>439</v>
      </c>
      <c r="B444" s="42" t="s">
        <v>796</v>
      </c>
      <c r="C444" s="87">
        <v>6957</v>
      </c>
      <c r="D444" s="476">
        <v>17000</v>
      </c>
      <c r="E444" s="42" t="s">
        <v>80</v>
      </c>
      <c r="F444" s="42">
        <v>189.72</v>
      </c>
      <c r="G444" s="42">
        <v>17000</v>
      </c>
      <c r="H444" s="42">
        <f t="shared" si="3"/>
        <v>0</v>
      </c>
      <c r="I444" s="89"/>
      <c r="J444" s="388"/>
      <c r="K444" s="48"/>
      <c r="L444" s="370"/>
      <c r="M444" s="48"/>
    </row>
    <row r="445" spans="1:13" x14ac:dyDescent="0.25">
      <c r="A445" s="42">
        <v>440</v>
      </c>
      <c r="B445" s="42" t="s">
        <v>796</v>
      </c>
      <c r="C445" s="87">
        <v>6930</v>
      </c>
      <c r="D445" s="476">
        <v>16000</v>
      </c>
      <c r="E445" s="42" t="s">
        <v>80</v>
      </c>
      <c r="F445" s="42">
        <v>178.22</v>
      </c>
      <c r="G445" s="42">
        <v>16000</v>
      </c>
      <c r="H445" s="42">
        <f t="shared" si="3"/>
        <v>0</v>
      </c>
      <c r="I445" s="89"/>
      <c r="J445" s="388"/>
      <c r="K445" s="48"/>
      <c r="L445" s="370"/>
      <c r="M445" s="48"/>
    </row>
    <row r="446" spans="1:13" x14ac:dyDescent="0.25">
      <c r="A446" s="42">
        <v>441</v>
      </c>
      <c r="B446" s="42" t="s">
        <v>796</v>
      </c>
      <c r="C446" s="87">
        <v>8326</v>
      </c>
      <c r="D446" s="476">
        <v>17000</v>
      </c>
      <c r="E446" s="42" t="s">
        <v>80</v>
      </c>
      <c r="F446" s="42">
        <v>189.72</v>
      </c>
      <c r="G446" s="42">
        <v>17000</v>
      </c>
      <c r="H446" s="42">
        <f t="shared" si="3"/>
        <v>0</v>
      </c>
      <c r="I446" s="89"/>
      <c r="J446" s="388"/>
      <c r="K446" s="48"/>
      <c r="L446" s="370"/>
      <c r="M446" s="48"/>
    </row>
    <row r="447" spans="1:13" x14ac:dyDescent="0.25">
      <c r="A447" s="42">
        <v>442</v>
      </c>
      <c r="B447" s="42" t="s">
        <v>796</v>
      </c>
      <c r="C447" s="87">
        <v>2963</v>
      </c>
      <c r="D447" s="476">
        <v>16000</v>
      </c>
      <c r="E447" s="42" t="s">
        <v>80</v>
      </c>
      <c r="F447" s="42">
        <v>178.22</v>
      </c>
      <c r="G447" s="42">
        <v>16000</v>
      </c>
      <c r="H447" s="42">
        <f t="shared" si="3"/>
        <v>0</v>
      </c>
      <c r="I447" s="89"/>
      <c r="J447" s="388"/>
      <c r="K447" s="48"/>
      <c r="L447" s="370"/>
      <c r="M447" s="48"/>
    </row>
    <row r="448" spans="1:13" x14ac:dyDescent="0.25">
      <c r="A448" s="42">
        <v>443</v>
      </c>
      <c r="B448" s="42" t="s">
        <v>796</v>
      </c>
      <c r="C448" s="87">
        <v>6734</v>
      </c>
      <c r="D448" s="476">
        <v>16000</v>
      </c>
      <c r="E448" s="42" t="s">
        <v>80</v>
      </c>
      <c r="F448" s="42">
        <v>178.22</v>
      </c>
      <c r="G448" s="42">
        <v>16000</v>
      </c>
      <c r="H448" s="42">
        <f t="shared" si="3"/>
        <v>0</v>
      </c>
      <c r="I448" s="89"/>
      <c r="J448" s="388"/>
      <c r="K448" s="48"/>
      <c r="L448" s="370"/>
      <c r="M448" s="48"/>
    </row>
    <row r="449" spans="1:13" x14ac:dyDescent="0.25">
      <c r="A449" s="42">
        <v>444</v>
      </c>
      <c r="B449" s="42" t="s">
        <v>796</v>
      </c>
      <c r="C449" s="87">
        <v>5820</v>
      </c>
      <c r="D449" s="476">
        <v>16000</v>
      </c>
      <c r="E449" s="42" t="s">
        <v>80</v>
      </c>
      <c r="F449" s="42">
        <v>178.22</v>
      </c>
      <c r="G449" s="42">
        <v>16000</v>
      </c>
      <c r="H449" s="42">
        <f t="shared" si="3"/>
        <v>0</v>
      </c>
      <c r="I449" s="89"/>
      <c r="J449" s="388"/>
      <c r="K449" s="48"/>
      <c r="L449" s="370"/>
      <c r="M449" s="48"/>
    </row>
    <row r="450" spans="1:13" x14ac:dyDescent="0.25">
      <c r="A450" s="42">
        <v>445</v>
      </c>
      <c r="B450" s="42" t="s">
        <v>796</v>
      </c>
      <c r="C450" s="87">
        <v>7122</v>
      </c>
      <c r="D450" s="476">
        <v>24000</v>
      </c>
      <c r="E450" s="42" t="s">
        <v>80</v>
      </c>
      <c r="F450" s="42">
        <v>267.69</v>
      </c>
      <c r="G450" s="42">
        <v>24000</v>
      </c>
      <c r="H450" s="42">
        <f t="shared" si="3"/>
        <v>0</v>
      </c>
      <c r="I450" s="89"/>
      <c r="J450" s="388"/>
      <c r="K450" s="48"/>
      <c r="L450" s="370"/>
      <c r="M450" s="48"/>
    </row>
    <row r="451" spans="1:13" x14ac:dyDescent="0.25">
      <c r="A451" s="42">
        <v>446</v>
      </c>
      <c r="B451" s="42" t="s">
        <v>796</v>
      </c>
      <c r="C451" s="87">
        <v>8990</v>
      </c>
      <c r="D451" s="476">
        <v>17000</v>
      </c>
      <c r="E451" s="42" t="s">
        <v>80</v>
      </c>
      <c r="F451" s="42">
        <v>189.72</v>
      </c>
      <c r="G451" s="42">
        <v>17000</v>
      </c>
      <c r="H451" s="42">
        <f t="shared" si="3"/>
        <v>0</v>
      </c>
      <c r="I451" s="89"/>
      <c r="J451" s="388"/>
      <c r="K451" s="48"/>
      <c r="L451" s="370"/>
      <c r="M451" s="48"/>
    </row>
    <row r="452" spans="1:13" x14ac:dyDescent="0.25">
      <c r="A452" s="42">
        <v>447</v>
      </c>
      <c r="B452" s="42" t="s">
        <v>796</v>
      </c>
      <c r="C452" s="87">
        <v>6104</v>
      </c>
      <c r="D452" s="476">
        <v>27000</v>
      </c>
      <c r="E452" s="42" t="s">
        <v>80</v>
      </c>
      <c r="F452" s="42">
        <v>300.82</v>
      </c>
      <c r="G452" s="42">
        <v>27000</v>
      </c>
      <c r="H452" s="42">
        <f t="shared" si="3"/>
        <v>0</v>
      </c>
      <c r="I452" s="89"/>
      <c r="J452" s="388"/>
      <c r="K452" s="48"/>
      <c r="L452" s="370"/>
      <c r="M452" s="48"/>
    </row>
    <row r="453" spans="1:13" x14ac:dyDescent="0.25">
      <c r="A453" s="42">
        <v>448</v>
      </c>
      <c r="B453" s="42" t="s">
        <v>796</v>
      </c>
      <c r="C453" s="87">
        <v>7669</v>
      </c>
      <c r="D453" s="476">
        <v>25000</v>
      </c>
      <c r="E453" s="42" t="s">
        <v>80</v>
      </c>
      <c r="F453" s="42">
        <v>278.22000000000003</v>
      </c>
      <c r="G453" s="42">
        <v>25000</v>
      </c>
      <c r="H453" s="42">
        <f t="shared" si="3"/>
        <v>0</v>
      </c>
      <c r="I453" s="89"/>
      <c r="J453" s="388"/>
      <c r="K453" s="48"/>
      <c r="L453" s="370"/>
      <c r="M453" s="48"/>
    </row>
    <row r="454" spans="1:13" x14ac:dyDescent="0.25">
      <c r="A454" s="42">
        <v>449</v>
      </c>
      <c r="B454" s="42" t="s">
        <v>796</v>
      </c>
      <c r="C454" s="87">
        <v>3896</v>
      </c>
      <c r="D454" s="476">
        <v>30000</v>
      </c>
      <c r="E454" s="42" t="s">
        <v>80</v>
      </c>
      <c r="F454" s="42">
        <v>334.22</v>
      </c>
      <c r="G454" s="42">
        <v>30000</v>
      </c>
      <c r="H454" s="42">
        <f t="shared" si="3"/>
        <v>0</v>
      </c>
      <c r="I454" s="89"/>
      <c r="J454" s="388"/>
      <c r="K454" s="48"/>
      <c r="L454" s="370"/>
      <c r="M454" s="48"/>
    </row>
    <row r="455" spans="1:13" x14ac:dyDescent="0.25">
      <c r="A455" s="42">
        <v>450</v>
      </c>
      <c r="B455" s="42" t="s">
        <v>796</v>
      </c>
      <c r="C455" s="87">
        <v>9867</v>
      </c>
      <c r="D455" s="476">
        <v>33000</v>
      </c>
      <c r="E455" s="42" t="s">
        <v>80</v>
      </c>
      <c r="F455" s="42">
        <v>347.46</v>
      </c>
      <c r="G455" s="42">
        <v>33000</v>
      </c>
      <c r="H455" s="42">
        <f t="shared" si="3"/>
        <v>0</v>
      </c>
      <c r="I455" s="89"/>
      <c r="J455" s="388"/>
      <c r="K455" s="48"/>
      <c r="L455" s="370"/>
      <c r="M455" s="48"/>
    </row>
    <row r="456" spans="1:13" x14ac:dyDescent="0.25">
      <c r="A456" s="42">
        <v>451</v>
      </c>
      <c r="B456" s="42" t="s">
        <v>796</v>
      </c>
      <c r="C456" s="87">
        <v>6447</v>
      </c>
      <c r="D456" s="476">
        <v>23000</v>
      </c>
      <c r="E456" s="42" t="s">
        <v>80</v>
      </c>
      <c r="F456" s="42">
        <v>243.41</v>
      </c>
      <c r="G456" s="42">
        <v>23000</v>
      </c>
      <c r="H456" s="42">
        <f t="shared" si="3"/>
        <v>0</v>
      </c>
      <c r="I456" s="89"/>
      <c r="J456" s="388"/>
      <c r="K456" s="48"/>
      <c r="L456" s="370"/>
      <c r="M456" s="48"/>
    </row>
    <row r="457" spans="1:13" x14ac:dyDescent="0.25">
      <c r="A457" s="42">
        <v>452</v>
      </c>
      <c r="B457" s="42" t="s">
        <v>796</v>
      </c>
      <c r="C457" s="87">
        <v>7365</v>
      </c>
      <c r="D457" s="476">
        <v>25000</v>
      </c>
      <c r="E457" s="42" t="s">
        <v>80</v>
      </c>
      <c r="F457" s="42">
        <v>278.22000000000003</v>
      </c>
      <c r="G457" s="42">
        <v>25000</v>
      </c>
      <c r="H457" s="42">
        <f t="shared" si="3"/>
        <v>0</v>
      </c>
      <c r="I457" s="89"/>
      <c r="J457" s="388"/>
      <c r="K457" s="48"/>
      <c r="L457" s="370"/>
      <c r="M457" s="48"/>
    </row>
    <row r="458" spans="1:13" x14ac:dyDescent="0.25">
      <c r="A458" s="42">
        <v>453</v>
      </c>
      <c r="B458" s="42" t="s">
        <v>796</v>
      </c>
      <c r="C458" s="87">
        <v>8274</v>
      </c>
      <c r="D458" s="476">
        <v>24000</v>
      </c>
      <c r="E458" s="42" t="s">
        <v>80</v>
      </c>
      <c r="F458" s="42">
        <v>241.26</v>
      </c>
      <c r="G458" s="42">
        <v>24000</v>
      </c>
      <c r="H458" s="42">
        <f t="shared" si="3"/>
        <v>0</v>
      </c>
      <c r="I458" s="89"/>
      <c r="J458" s="388"/>
      <c r="K458" s="48"/>
      <c r="L458" s="370"/>
      <c r="M458" s="48"/>
    </row>
    <row r="459" spans="1:13" x14ac:dyDescent="0.25">
      <c r="A459" s="42">
        <v>454</v>
      </c>
      <c r="B459" s="42" t="s">
        <v>796</v>
      </c>
      <c r="C459" s="87">
        <v>8169</v>
      </c>
      <c r="D459" s="476">
        <v>20000</v>
      </c>
      <c r="E459" s="42" t="s">
        <v>80</v>
      </c>
      <c r="F459" s="42">
        <v>222.82</v>
      </c>
      <c r="G459" s="42">
        <v>20000</v>
      </c>
      <c r="H459" s="42">
        <f t="shared" si="3"/>
        <v>0</v>
      </c>
      <c r="I459" s="89"/>
      <c r="J459" s="388"/>
      <c r="K459" s="48"/>
      <c r="L459" s="370"/>
      <c r="M459" s="48"/>
    </row>
    <row r="460" spans="1:13" x14ac:dyDescent="0.25">
      <c r="A460" s="42">
        <v>455</v>
      </c>
      <c r="B460" s="42" t="s">
        <v>796</v>
      </c>
      <c r="C460" s="87">
        <v>3211</v>
      </c>
      <c r="D460" s="476">
        <v>10000</v>
      </c>
      <c r="E460" s="42" t="s">
        <v>80</v>
      </c>
      <c r="F460" s="42">
        <v>111.42</v>
      </c>
      <c r="G460" s="42">
        <v>10000</v>
      </c>
      <c r="H460" s="42">
        <f t="shared" si="3"/>
        <v>0</v>
      </c>
      <c r="I460" s="89"/>
      <c r="J460" s="388"/>
      <c r="K460" s="48"/>
      <c r="L460" s="370"/>
      <c r="M460" s="48"/>
    </row>
    <row r="461" spans="1:13" x14ac:dyDescent="0.25">
      <c r="A461" s="42">
        <v>456</v>
      </c>
      <c r="B461" s="42" t="s">
        <v>796</v>
      </c>
      <c r="C461" s="87">
        <v>8.7499999999999994E-2</v>
      </c>
      <c r="D461" s="476">
        <v>20000</v>
      </c>
      <c r="E461" s="42" t="s">
        <v>80</v>
      </c>
      <c r="F461" s="42">
        <v>222.82</v>
      </c>
      <c r="G461" s="42">
        <v>20000</v>
      </c>
      <c r="H461" s="42">
        <f t="shared" ref="H461:H524" si="4">D461-G461</f>
        <v>0</v>
      </c>
      <c r="I461" s="89"/>
      <c r="J461" s="388"/>
      <c r="K461" s="48"/>
      <c r="L461" s="370"/>
      <c r="M461" s="48"/>
    </row>
    <row r="462" spans="1:13" x14ac:dyDescent="0.25">
      <c r="A462" s="42">
        <v>457</v>
      </c>
      <c r="B462" s="42" t="s">
        <v>796</v>
      </c>
      <c r="C462" s="87">
        <v>6443</v>
      </c>
      <c r="D462" s="476">
        <v>15000</v>
      </c>
      <c r="E462" s="42" t="s">
        <v>80</v>
      </c>
      <c r="F462" s="42">
        <v>167.15</v>
      </c>
      <c r="G462" s="42">
        <v>15000</v>
      </c>
      <c r="H462" s="42">
        <f t="shared" si="4"/>
        <v>0</v>
      </c>
      <c r="I462" s="89"/>
      <c r="J462" s="388"/>
      <c r="K462" s="48"/>
      <c r="L462" s="370"/>
      <c r="M462" s="48"/>
    </row>
    <row r="463" spans="1:13" x14ac:dyDescent="0.25">
      <c r="A463" s="42">
        <v>458</v>
      </c>
      <c r="B463" s="42" t="s">
        <v>796</v>
      </c>
      <c r="C463" s="87">
        <v>6.1699999999999998E-2</v>
      </c>
      <c r="D463" s="476">
        <v>20000</v>
      </c>
      <c r="E463" s="42" t="s">
        <v>80</v>
      </c>
      <c r="F463" s="42">
        <v>222.82</v>
      </c>
      <c r="G463" s="42">
        <v>20000</v>
      </c>
      <c r="H463" s="42">
        <f t="shared" si="4"/>
        <v>0</v>
      </c>
      <c r="I463" s="89"/>
      <c r="J463" s="388"/>
      <c r="K463" s="48"/>
      <c r="L463" s="370"/>
      <c r="M463" s="48"/>
    </row>
    <row r="464" spans="1:13" x14ac:dyDescent="0.25">
      <c r="A464" s="42">
        <v>459</v>
      </c>
      <c r="B464" s="42" t="s">
        <v>796</v>
      </c>
      <c r="C464" s="87">
        <v>6929</v>
      </c>
      <c r="D464" s="476">
        <v>15000</v>
      </c>
      <c r="E464" s="42" t="s">
        <v>80</v>
      </c>
      <c r="F464" s="42">
        <v>167.15</v>
      </c>
      <c r="G464" s="42">
        <v>15000</v>
      </c>
      <c r="H464" s="42">
        <f t="shared" si="4"/>
        <v>0</v>
      </c>
      <c r="I464" s="89"/>
      <c r="J464" s="388"/>
      <c r="K464" s="48"/>
      <c r="L464" s="370"/>
      <c r="M464" s="48"/>
    </row>
    <row r="465" spans="1:13" x14ac:dyDescent="0.25">
      <c r="A465" s="42">
        <v>460</v>
      </c>
      <c r="B465" s="42" t="s">
        <v>796</v>
      </c>
      <c r="C465" s="87">
        <v>5838</v>
      </c>
      <c r="D465" s="476">
        <v>17000</v>
      </c>
      <c r="E465" s="42" t="s">
        <v>80</v>
      </c>
      <c r="F465" s="42">
        <v>189.72</v>
      </c>
      <c r="G465" s="42">
        <v>17000</v>
      </c>
      <c r="H465" s="42">
        <f t="shared" si="4"/>
        <v>0</v>
      </c>
      <c r="I465" s="89"/>
      <c r="J465" s="388"/>
      <c r="K465" s="48"/>
      <c r="L465" s="370"/>
      <c r="M465" s="48"/>
    </row>
    <row r="466" spans="1:13" x14ac:dyDescent="0.25">
      <c r="A466" s="42">
        <v>461</v>
      </c>
      <c r="B466" s="42" t="s">
        <v>796</v>
      </c>
      <c r="C466" s="87">
        <v>6795</v>
      </c>
      <c r="D466" s="476">
        <v>15000</v>
      </c>
      <c r="E466" s="42" t="s">
        <v>80</v>
      </c>
      <c r="F466" s="42">
        <v>167.15</v>
      </c>
      <c r="G466" s="42">
        <v>15000</v>
      </c>
      <c r="H466" s="42">
        <f t="shared" si="4"/>
        <v>0</v>
      </c>
      <c r="I466" s="89"/>
      <c r="J466" s="388"/>
      <c r="K466" s="48"/>
      <c r="L466" s="370"/>
      <c r="M466" s="48"/>
    </row>
    <row r="467" spans="1:13" x14ac:dyDescent="0.25">
      <c r="A467" s="42">
        <v>462</v>
      </c>
      <c r="B467" s="42" t="s">
        <v>796</v>
      </c>
      <c r="C467" s="87">
        <v>3377</v>
      </c>
      <c r="D467" s="476">
        <v>30000</v>
      </c>
      <c r="E467" s="42" t="s">
        <v>80</v>
      </c>
      <c r="F467" s="42">
        <v>334.22</v>
      </c>
      <c r="G467" s="42">
        <v>30000</v>
      </c>
      <c r="H467" s="42">
        <f t="shared" si="4"/>
        <v>0</v>
      </c>
      <c r="I467" s="89"/>
      <c r="J467" s="388"/>
      <c r="K467" s="48"/>
      <c r="L467" s="370"/>
      <c r="M467" s="48"/>
    </row>
    <row r="468" spans="1:13" x14ac:dyDescent="0.25">
      <c r="A468" s="42">
        <v>463</v>
      </c>
      <c r="B468" s="42" t="s">
        <v>796</v>
      </c>
      <c r="C468" s="87">
        <v>8999</v>
      </c>
      <c r="D468" s="476">
        <v>10000</v>
      </c>
      <c r="E468" s="42" t="s">
        <v>80</v>
      </c>
      <c r="F468" s="42">
        <v>111.41</v>
      </c>
      <c r="G468" s="42">
        <v>10000</v>
      </c>
      <c r="H468" s="42">
        <f t="shared" si="4"/>
        <v>0</v>
      </c>
      <c r="I468" s="89"/>
      <c r="J468" s="388"/>
      <c r="K468" s="48"/>
      <c r="L468" s="370"/>
      <c r="M468" s="48"/>
    </row>
    <row r="469" spans="1:13" x14ac:dyDescent="0.25">
      <c r="A469" s="42">
        <v>464</v>
      </c>
      <c r="B469" s="42" t="s">
        <v>796</v>
      </c>
      <c r="C469" s="87">
        <v>9903</v>
      </c>
      <c r="D469" s="476">
        <v>22000</v>
      </c>
      <c r="E469" s="42" t="s">
        <v>80</v>
      </c>
      <c r="F469" s="42">
        <v>245.22</v>
      </c>
      <c r="G469" s="42">
        <v>22000</v>
      </c>
      <c r="H469" s="42">
        <f t="shared" si="4"/>
        <v>0</v>
      </c>
      <c r="I469" s="89"/>
      <c r="J469" s="388"/>
      <c r="K469" s="48"/>
      <c r="L469" s="370"/>
      <c r="M469" s="48"/>
    </row>
    <row r="470" spans="1:13" x14ac:dyDescent="0.25">
      <c r="A470" s="42">
        <v>465</v>
      </c>
      <c r="B470" s="42" t="s">
        <v>796</v>
      </c>
      <c r="C470" s="87">
        <v>4822</v>
      </c>
      <c r="D470" s="476">
        <v>22000</v>
      </c>
      <c r="E470" s="42" t="s">
        <v>80</v>
      </c>
      <c r="F470" s="42">
        <v>245.22</v>
      </c>
      <c r="G470" s="42">
        <v>22000</v>
      </c>
      <c r="H470" s="42">
        <f t="shared" si="4"/>
        <v>0</v>
      </c>
      <c r="I470" s="89"/>
      <c r="J470" s="388"/>
      <c r="K470" s="48"/>
      <c r="L470" s="370"/>
      <c r="M470" s="48"/>
    </row>
    <row r="471" spans="1:13" x14ac:dyDescent="0.25">
      <c r="A471" s="42">
        <v>466</v>
      </c>
      <c r="B471" s="42" t="s">
        <v>796</v>
      </c>
      <c r="C471" s="87">
        <v>8007</v>
      </c>
      <c r="D471" s="476">
        <v>24000</v>
      </c>
      <c r="E471" s="42" t="s">
        <v>80</v>
      </c>
      <c r="F471" s="42">
        <v>267.69</v>
      </c>
      <c r="G471" s="42">
        <v>24000</v>
      </c>
      <c r="H471" s="42">
        <f t="shared" si="4"/>
        <v>0</v>
      </c>
      <c r="I471" s="89"/>
      <c r="J471" s="388"/>
      <c r="K471" s="48"/>
      <c r="L471" s="370"/>
      <c r="M471" s="48"/>
    </row>
    <row r="472" spans="1:13" x14ac:dyDescent="0.25">
      <c r="A472" s="42">
        <v>467</v>
      </c>
      <c r="B472" s="42" t="s">
        <v>796</v>
      </c>
      <c r="C472" s="87">
        <v>4295</v>
      </c>
      <c r="D472" s="476">
        <v>23000</v>
      </c>
      <c r="E472" s="42" t="s">
        <v>80</v>
      </c>
      <c r="F472" s="42">
        <v>256.70999999999998</v>
      </c>
      <c r="G472" s="42">
        <v>23000</v>
      </c>
      <c r="H472" s="42">
        <f t="shared" si="4"/>
        <v>0</v>
      </c>
      <c r="I472" s="89"/>
      <c r="J472" s="388"/>
      <c r="K472" s="48"/>
      <c r="L472" s="370"/>
      <c r="M472" s="48"/>
    </row>
    <row r="473" spans="1:13" x14ac:dyDescent="0.25">
      <c r="A473" s="42">
        <v>468</v>
      </c>
      <c r="B473" s="42" t="s">
        <v>796</v>
      </c>
      <c r="C473" s="87">
        <v>7764</v>
      </c>
      <c r="D473" s="476">
        <v>20000</v>
      </c>
      <c r="E473" s="42" t="s">
        <v>80</v>
      </c>
      <c r="F473" s="42">
        <v>222.82</v>
      </c>
      <c r="G473" s="42">
        <v>20000</v>
      </c>
      <c r="H473" s="42">
        <f t="shared" si="4"/>
        <v>0</v>
      </c>
      <c r="I473" s="89"/>
      <c r="J473" s="388"/>
      <c r="K473" s="48"/>
      <c r="L473" s="370"/>
      <c r="M473" s="48"/>
    </row>
    <row r="474" spans="1:13" ht="15.75" thickBot="1" x14ac:dyDescent="0.3">
      <c r="A474" s="42">
        <v>469</v>
      </c>
      <c r="B474" s="42" t="s">
        <v>796</v>
      </c>
      <c r="C474" s="87">
        <v>4437</v>
      </c>
      <c r="D474" s="476">
        <v>12000</v>
      </c>
      <c r="E474" s="42" t="s">
        <v>80</v>
      </c>
      <c r="F474" s="42">
        <v>133.41999999999999</v>
      </c>
      <c r="G474" s="42">
        <v>12000</v>
      </c>
      <c r="H474" s="42">
        <f t="shared" si="4"/>
        <v>0</v>
      </c>
      <c r="I474" s="89"/>
      <c r="J474" s="388"/>
      <c r="K474" s="48"/>
      <c r="L474" s="370"/>
      <c r="M474" s="48"/>
    </row>
    <row r="475" spans="1:13" ht="15.75" thickBot="1" x14ac:dyDescent="0.3">
      <c r="A475" s="42">
        <v>470</v>
      </c>
      <c r="B475" s="42" t="s">
        <v>796</v>
      </c>
      <c r="C475" s="87">
        <v>4059</v>
      </c>
      <c r="D475" s="476">
        <v>10000</v>
      </c>
      <c r="E475" s="42" t="s">
        <v>80</v>
      </c>
      <c r="F475" s="42">
        <v>111.42</v>
      </c>
      <c r="G475" s="42">
        <v>10000</v>
      </c>
      <c r="H475" s="42">
        <f t="shared" si="4"/>
        <v>0</v>
      </c>
      <c r="I475" s="89"/>
      <c r="J475" s="103">
        <f>2633764-2610682</f>
        <v>23082</v>
      </c>
      <c r="K475" s="359" t="s">
        <v>776</v>
      </c>
      <c r="L475" s="367" t="s">
        <v>620</v>
      </c>
      <c r="M475" s="360">
        <f>23076-2200</f>
        <v>20876</v>
      </c>
    </row>
    <row r="476" spans="1:13" x14ac:dyDescent="0.25">
      <c r="A476" s="42">
        <v>471</v>
      </c>
      <c r="B476" s="42" t="s">
        <v>797</v>
      </c>
      <c r="C476" s="87" t="s">
        <v>735</v>
      </c>
      <c r="D476" s="476">
        <v>3500</v>
      </c>
      <c r="E476" s="42" t="s">
        <v>80</v>
      </c>
      <c r="F476" s="42">
        <v>38.450000000000003</v>
      </c>
      <c r="G476" s="42">
        <v>3500</v>
      </c>
      <c r="H476" s="42">
        <f t="shared" si="4"/>
        <v>0</v>
      </c>
      <c r="I476" s="89"/>
      <c r="J476" s="388"/>
      <c r="K476" s="48"/>
      <c r="L476" s="370"/>
      <c r="M476" s="48"/>
    </row>
    <row r="477" spans="1:13" x14ac:dyDescent="0.25">
      <c r="A477" s="42">
        <v>472</v>
      </c>
      <c r="B477" s="42" t="s">
        <v>797</v>
      </c>
      <c r="C477" s="87">
        <v>8820</v>
      </c>
      <c r="D477" s="476">
        <v>16000</v>
      </c>
      <c r="E477" s="42" t="s">
        <v>80</v>
      </c>
      <c r="F477" s="42">
        <v>178.22</v>
      </c>
      <c r="G477" s="42">
        <v>16000</v>
      </c>
      <c r="H477" s="42">
        <f t="shared" si="4"/>
        <v>0</v>
      </c>
      <c r="I477" s="89"/>
      <c r="J477" s="388"/>
      <c r="K477" s="48"/>
      <c r="L477" s="370"/>
      <c r="M477" s="48"/>
    </row>
    <row r="478" spans="1:13" x14ac:dyDescent="0.25">
      <c r="A478" s="42">
        <v>473</v>
      </c>
      <c r="B478" s="42" t="s">
        <v>797</v>
      </c>
      <c r="C478" s="87">
        <v>6735</v>
      </c>
      <c r="D478" s="476">
        <v>16000</v>
      </c>
      <c r="E478" s="42" t="s">
        <v>80</v>
      </c>
      <c r="F478" s="42">
        <v>178.22</v>
      </c>
      <c r="G478" s="42">
        <v>16000</v>
      </c>
      <c r="H478" s="42">
        <f t="shared" si="4"/>
        <v>0</v>
      </c>
      <c r="I478" s="89"/>
      <c r="J478" s="388"/>
      <c r="K478" s="48"/>
      <c r="L478" s="370"/>
      <c r="M478" s="48"/>
    </row>
    <row r="479" spans="1:13" x14ac:dyDescent="0.25">
      <c r="A479" s="42">
        <v>474</v>
      </c>
      <c r="B479" s="42" t="s">
        <v>797</v>
      </c>
      <c r="C479" s="87">
        <v>4820</v>
      </c>
      <c r="D479" s="476">
        <v>17000</v>
      </c>
      <c r="E479" s="42" t="s">
        <v>80</v>
      </c>
      <c r="F479" s="42">
        <v>189.71</v>
      </c>
      <c r="G479" s="42">
        <v>17000</v>
      </c>
      <c r="H479" s="42">
        <f t="shared" si="4"/>
        <v>0</v>
      </c>
      <c r="I479" s="89"/>
      <c r="J479" s="388"/>
      <c r="K479" s="48"/>
      <c r="L479" s="370"/>
      <c r="M479" s="48"/>
    </row>
    <row r="480" spans="1:13" x14ac:dyDescent="0.25">
      <c r="A480" s="42">
        <v>475</v>
      </c>
      <c r="B480" s="42" t="s">
        <v>797</v>
      </c>
      <c r="C480" s="87">
        <v>6932</v>
      </c>
      <c r="D480" s="476">
        <v>16000</v>
      </c>
      <c r="E480" s="42" t="s">
        <v>80</v>
      </c>
      <c r="F480" s="42">
        <v>178.22</v>
      </c>
      <c r="G480" s="42">
        <v>16000</v>
      </c>
      <c r="H480" s="42">
        <f t="shared" si="4"/>
        <v>0</v>
      </c>
      <c r="I480" s="89"/>
      <c r="J480" s="388"/>
      <c r="K480" s="48"/>
      <c r="L480" s="370"/>
      <c r="M480" s="48"/>
    </row>
    <row r="481" spans="1:13" x14ac:dyDescent="0.25">
      <c r="A481" s="42">
        <v>476</v>
      </c>
      <c r="B481" s="42" t="s">
        <v>797</v>
      </c>
      <c r="C481" s="87">
        <v>4513</v>
      </c>
      <c r="D481" s="476">
        <v>16000</v>
      </c>
      <c r="E481" s="42" t="s">
        <v>80</v>
      </c>
      <c r="F481" s="42">
        <v>178.22</v>
      </c>
      <c r="G481" s="42">
        <v>16000</v>
      </c>
      <c r="H481" s="42">
        <f t="shared" si="4"/>
        <v>0</v>
      </c>
      <c r="I481" s="89"/>
      <c r="J481" s="388"/>
      <c r="K481" s="48"/>
      <c r="L481" s="370"/>
      <c r="M481" s="48"/>
    </row>
    <row r="482" spans="1:13" x14ac:dyDescent="0.25">
      <c r="A482" s="42">
        <v>477</v>
      </c>
      <c r="B482" s="42" t="s">
        <v>797</v>
      </c>
      <c r="C482" s="87">
        <v>4514</v>
      </c>
      <c r="D482" s="476">
        <v>16000</v>
      </c>
      <c r="E482" s="42" t="s">
        <v>80</v>
      </c>
      <c r="F482" s="42">
        <v>178.22</v>
      </c>
      <c r="G482" s="42">
        <v>16000</v>
      </c>
      <c r="H482" s="42">
        <f t="shared" si="4"/>
        <v>0</v>
      </c>
      <c r="I482" s="89"/>
      <c r="J482" s="388"/>
      <c r="K482" s="48"/>
      <c r="L482" s="370"/>
      <c r="M482" s="48"/>
    </row>
    <row r="483" spans="1:13" x14ac:dyDescent="0.25">
      <c r="A483" s="42">
        <v>478</v>
      </c>
      <c r="B483" s="42" t="s">
        <v>797</v>
      </c>
      <c r="C483" s="87">
        <v>2912</v>
      </c>
      <c r="D483" s="476">
        <v>14000</v>
      </c>
      <c r="E483" s="42" t="s">
        <v>80</v>
      </c>
      <c r="F483" s="42">
        <v>155.41999999999999</v>
      </c>
      <c r="G483" s="42">
        <v>14000</v>
      </c>
      <c r="H483" s="42">
        <f t="shared" si="4"/>
        <v>0</v>
      </c>
      <c r="I483" s="89"/>
      <c r="J483" s="388"/>
      <c r="K483" s="48"/>
      <c r="L483" s="370"/>
      <c r="M483" s="48"/>
    </row>
    <row r="484" spans="1:13" x14ac:dyDescent="0.25">
      <c r="A484" s="42">
        <v>479</v>
      </c>
      <c r="B484" s="42" t="s">
        <v>797</v>
      </c>
      <c r="C484" s="87">
        <v>2962</v>
      </c>
      <c r="D484" s="476">
        <v>17000</v>
      </c>
      <c r="E484" s="42" t="s">
        <v>80</v>
      </c>
      <c r="F484" s="42">
        <v>189.82</v>
      </c>
      <c r="G484" s="42">
        <v>17000</v>
      </c>
      <c r="H484" s="42">
        <f t="shared" si="4"/>
        <v>0</v>
      </c>
      <c r="I484" s="89"/>
      <c r="J484" s="388"/>
      <c r="K484" s="48"/>
      <c r="L484" s="370"/>
      <c r="M484" s="48"/>
    </row>
    <row r="485" spans="1:13" x14ac:dyDescent="0.25">
      <c r="A485" s="42">
        <v>480</v>
      </c>
      <c r="B485" s="42" t="s">
        <v>797</v>
      </c>
      <c r="C485" s="87">
        <v>9426</v>
      </c>
      <c r="D485" s="476">
        <v>17000</v>
      </c>
      <c r="E485" s="42" t="s">
        <v>80</v>
      </c>
      <c r="F485" s="42">
        <v>189.82</v>
      </c>
      <c r="G485" s="42">
        <v>17000</v>
      </c>
      <c r="H485" s="42">
        <f t="shared" si="4"/>
        <v>0</v>
      </c>
      <c r="I485" s="89"/>
      <c r="J485" s="388"/>
      <c r="K485" s="48"/>
      <c r="L485" s="370"/>
      <c r="M485" s="48"/>
    </row>
    <row r="486" spans="1:13" x14ac:dyDescent="0.25">
      <c r="A486" s="42">
        <v>481</v>
      </c>
      <c r="B486" s="42" t="s">
        <v>797</v>
      </c>
      <c r="C486" s="87">
        <v>9212</v>
      </c>
      <c r="D486" s="476">
        <v>17000</v>
      </c>
      <c r="E486" s="42" t="s">
        <v>80</v>
      </c>
      <c r="F486" s="42">
        <v>189.82</v>
      </c>
      <c r="G486" s="42">
        <v>17000</v>
      </c>
      <c r="H486" s="42">
        <f t="shared" si="4"/>
        <v>0</v>
      </c>
      <c r="I486" s="89"/>
      <c r="J486" s="388"/>
      <c r="K486" s="48"/>
      <c r="L486" s="370"/>
      <c r="M486" s="48"/>
    </row>
    <row r="487" spans="1:13" x14ac:dyDescent="0.25">
      <c r="A487" s="42">
        <v>482</v>
      </c>
      <c r="B487" s="42" t="s">
        <v>797</v>
      </c>
      <c r="C487" s="87">
        <v>1127</v>
      </c>
      <c r="D487" s="476">
        <v>25000</v>
      </c>
      <c r="E487" s="42" t="s">
        <v>80</v>
      </c>
      <c r="F487" s="42">
        <v>278.22000000000003</v>
      </c>
      <c r="G487" s="42">
        <v>25000</v>
      </c>
      <c r="H487" s="42">
        <f t="shared" si="4"/>
        <v>0</v>
      </c>
      <c r="I487" s="89"/>
      <c r="J487" s="388"/>
      <c r="K487" s="48"/>
      <c r="L487" s="370"/>
      <c r="M487" s="48"/>
    </row>
    <row r="488" spans="1:13" x14ac:dyDescent="0.25">
      <c r="A488" s="42">
        <v>483</v>
      </c>
      <c r="B488" s="42" t="s">
        <v>797</v>
      </c>
      <c r="C488" s="87">
        <v>4067</v>
      </c>
      <c r="D488" s="476">
        <v>14000</v>
      </c>
      <c r="E488" s="42" t="s">
        <v>80</v>
      </c>
      <c r="F488" s="42">
        <v>155.41999999999999</v>
      </c>
      <c r="G488" s="42">
        <v>14000</v>
      </c>
      <c r="H488" s="42">
        <f t="shared" si="4"/>
        <v>0</v>
      </c>
      <c r="I488" s="89"/>
      <c r="J488" s="388"/>
      <c r="K488" s="48"/>
      <c r="L488" s="370"/>
      <c r="M488" s="48"/>
    </row>
    <row r="489" spans="1:13" x14ac:dyDescent="0.25">
      <c r="A489" s="42">
        <v>484</v>
      </c>
      <c r="B489" s="42" t="s">
        <v>797</v>
      </c>
      <c r="C489" s="87" t="s">
        <v>30</v>
      </c>
      <c r="D489" s="476">
        <v>5000</v>
      </c>
      <c r="E489" s="42" t="s">
        <v>80</v>
      </c>
      <c r="F489" s="42">
        <v>55.45</v>
      </c>
      <c r="G489" s="42">
        <v>5000</v>
      </c>
      <c r="H489" s="42">
        <f t="shared" si="4"/>
        <v>0</v>
      </c>
      <c r="I489" s="89"/>
      <c r="J489" s="388"/>
      <c r="K489" s="48"/>
      <c r="L489" s="370"/>
      <c r="M489" s="48"/>
    </row>
    <row r="490" spans="1:13" x14ac:dyDescent="0.25">
      <c r="A490" s="42">
        <v>485</v>
      </c>
      <c r="B490" s="42" t="s">
        <v>797</v>
      </c>
      <c r="C490" s="87">
        <v>4270</v>
      </c>
      <c r="D490" s="476">
        <v>24000</v>
      </c>
      <c r="E490" s="42" t="s">
        <v>80</v>
      </c>
      <c r="F490" s="42">
        <v>267.41000000000003</v>
      </c>
      <c r="G490" s="42">
        <v>24000</v>
      </c>
      <c r="H490" s="42">
        <f t="shared" si="4"/>
        <v>0</v>
      </c>
      <c r="I490" s="89"/>
      <c r="J490" s="388"/>
      <c r="K490" s="48"/>
      <c r="L490" s="370"/>
      <c r="M490" s="48"/>
    </row>
    <row r="491" spans="1:13" x14ac:dyDescent="0.25">
      <c r="A491" s="42">
        <v>486</v>
      </c>
      <c r="B491" s="42" t="s">
        <v>797</v>
      </c>
      <c r="C491" s="87">
        <v>3867</v>
      </c>
      <c r="D491" s="476">
        <v>30000</v>
      </c>
      <c r="E491" s="42" t="s">
        <v>80</v>
      </c>
      <c r="F491" s="42">
        <v>334.82</v>
      </c>
      <c r="G491" s="42">
        <v>30000</v>
      </c>
      <c r="H491" s="42">
        <f t="shared" si="4"/>
        <v>0</v>
      </c>
      <c r="I491" s="89"/>
      <c r="J491" s="388"/>
      <c r="K491" s="48"/>
      <c r="L491" s="370"/>
      <c r="M491" s="48"/>
    </row>
    <row r="492" spans="1:13" x14ac:dyDescent="0.25">
      <c r="A492" s="42">
        <v>487</v>
      </c>
      <c r="B492" s="42" t="s">
        <v>797</v>
      </c>
      <c r="C492" s="87">
        <v>7251</v>
      </c>
      <c r="D492" s="476">
        <v>8000</v>
      </c>
      <c r="E492" s="42" t="s">
        <v>80</v>
      </c>
      <c r="F492" s="42">
        <v>89.74</v>
      </c>
      <c r="G492" s="42">
        <v>8000</v>
      </c>
      <c r="H492" s="42">
        <f t="shared" si="4"/>
        <v>0</v>
      </c>
      <c r="I492" s="89"/>
      <c r="J492" s="388"/>
      <c r="K492" s="48"/>
      <c r="L492" s="370"/>
      <c r="M492" s="48"/>
    </row>
    <row r="493" spans="1:13" x14ac:dyDescent="0.25">
      <c r="A493" s="42">
        <v>488</v>
      </c>
      <c r="B493" s="42" t="s">
        <v>797</v>
      </c>
      <c r="C493" s="87">
        <v>4681</v>
      </c>
      <c r="D493" s="476">
        <v>10000</v>
      </c>
      <c r="E493" s="42" t="s">
        <v>80</v>
      </c>
      <c r="F493" s="42">
        <v>111.42</v>
      </c>
      <c r="G493" s="42">
        <v>10000</v>
      </c>
      <c r="H493" s="42">
        <f t="shared" si="4"/>
        <v>0</v>
      </c>
      <c r="I493" s="89"/>
      <c r="J493" s="388"/>
      <c r="K493" s="48"/>
      <c r="L493" s="370"/>
      <c r="M493" s="48"/>
    </row>
    <row r="494" spans="1:13" x14ac:dyDescent="0.25">
      <c r="A494" s="42">
        <v>489</v>
      </c>
      <c r="B494" s="42" t="s">
        <v>797</v>
      </c>
      <c r="C494" s="87">
        <v>2559</v>
      </c>
      <c r="D494" s="476">
        <v>7000</v>
      </c>
      <c r="E494" s="42" t="s">
        <v>80</v>
      </c>
      <c r="F494" s="42">
        <v>77.67</v>
      </c>
      <c r="G494" s="42">
        <v>7000</v>
      </c>
      <c r="H494" s="42">
        <f t="shared" si="4"/>
        <v>0</v>
      </c>
      <c r="I494" s="89"/>
      <c r="J494" s="388"/>
      <c r="K494" s="48"/>
      <c r="L494" s="370"/>
      <c r="M494" s="48"/>
    </row>
    <row r="495" spans="1:13" x14ac:dyDescent="0.25">
      <c r="A495" s="42">
        <v>490</v>
      </c>
      <c r="B495" s="42" t="s">
        <v>797</v>
      </c>
      <c r="C495" s="87">
        <v>9407</v>
      </c>
      <c r="D495" s="476">
        <v>14000</v>
      </c>
      <c r="E495" s="42" t="s">
        <v>80</v>
      </c>
      <c r="F495" s="42">
        <v>155.41999999999999</v>
      </c>
      <c r="G495" s="42">
        <v>14000</v>
      </c>
      <c r="H495" s="42">
        <f t="shared" si="4"/>
        <v>0</v>
      </c>
      <c r="I495" s="89"/>
      <c r="J495" s="388"/>
      <c r="K495" s="48"/>
      <c r="L495" s="370"/>
      <c r="M495" s="48"/>
    </row>
    <row r="496" spans="1:13" x14ac:dyDescent="0.25">
      <c r="A496" s="42">
        <v>491</v>
      </c>
      <c r="B496" s="42" t="s">
        <v>797</v>
      </c>
      <c r="C496" s="87" t="s">
        <v>30</v>
      </c>
      <c r="D496" s="476">
        <v>4500</v>
      </c>
      <c r="E496" s="42" t="s">
        <v>80</v>
      </c>
      <c r="F496" s="42">
        <v>50.45</v>
      </c>
      <c r="G496" s="42">
        <v>4500</v>
      </c>
      <c r="H496" s="42">
        <f t="shared" si="4"/>
        <v>0</v>
      </c>
      <c r="I496" s="89"/>
      <c r="J496" s="388"/>
      <c r="K496" s="48"/>
      <c r="L496" s="370"/>
      <c r="M496" s="48"/>
    </row>
    <row r="497" spans="1:13" x14ac:dyDescent="0.25">
      <c r="A497" s="42">
        <v>492</v>
      </c>
      <c r="B497" s="42" t="s">
        <v>797</v>
      </c>
      <c r="C497" s="87">
        <v>3577</v>
      </c>
      <c r="D497" s="476">
        <v>14000</v>
      </c>
      <c r="E497" s="42" t="s">
        <v>80</v>
      </c>
      <c r="F497" s="42">
        <v>155.41999999999999</v>
      </c>
      <c r="G497" s="42">
        <v>14000</v>
      </c>
      <c r="H497" s="42">
        <f t="shared" si="4"/>
        <v>0</v>
      </c>
      <c r="I497" s="89"/>
      <c r="J497" s="388"/>
      <c r="K497" s="48"/>
      <c r="L497" s="370"/>
      <c r="M497" s="48"/>
    </row>
    <row r="498" spans="1:13" x14ac:dyDescent="0.25">
      <c r="A498" s="42">
        <v>493</v>
      </c>
      <c r="B498" s="42" t="s">
        <v>797</v>
      </c>
      <c r="C498" s="87">
        <v>5968</v>
      </c>
      <c r="D498" s="476">
        <v>14000</v>
      </c>
      <c r="E498" s="42" t="s">
        <v>80</v>
      </c>
      <c r="F498" s="42">
        <v>155.41999999999999</v>
      </c>
      <c r="G498" s="42">
        <v>14000</v>
      </c>
      <c r="H498" s="42">
        <f t="shared" si="4"/>
        <v>0</v>
      </c>
      <c r="I498" s="89"/>
      <c r="J498" s="388"/>
      <c r="K498" s="48"/>
      <c r="L498" s="370"/>
      <c r="M498" s="48"/>
    </row>
    <row r="499" spans="1:13" x14ac:dyDescent="0.25">
      <c r="A499" s="42">
        <v>494</v>
      </c>
      <c r="B499" s="42" t="s">
        <v>797</v>
      </c>
      <c r="C499" s="87">
        <v>6114</v>
      </c>
      <c r="D499" s="476">
        <v>10000</v>
      </c>
      <c r="E499" s="42" t="s">
        <v>80</v>
      </c>
      <c r="F499" s="42">
        <v>111.42</v>
      </c>
      <c r="G499" s="42">
        <v>10000</v>
      </c>
      <c r="H499" s="42">
        <f t="shared" si="4"/>
        <v>0</v>
      </c>
      <c r="I499" s="89"/>
      <c r="J499" s="388"/>
      <c r="K499" s="48"/>
      <c r="L499" s="370"/>
      <c r="M499" s="48"/>
    </row>
    <row r="500" spans="1:13" x14ac:dyDescent="0.25">
      <c r="A500" s="42">
        <v>495</v>
      </c>
      <c r="B500" s="42" t="s">
        <v>797</v>
      </c>
      <c r="C500" s="87">
        <v>2371</v>
      </c>
      <c r="D500" s="476">
        <v>28000</v>
      </c>
      <c r="E500" s="42" t="s">
        <v>80</v>
      </c>
      <c r="F500" s="42">
        <v>311.82</v>
      </c>
      <c r="G500" s="42">
        <v>28000</v>
      </c>
      <c r="H500" s="42">
        <f t="shared" si="4"/>
        <v>0</v>
      </c>
      <c r="I500" s="89"/>
      <c r="J500" s="388"/>
      <c r="K500" s="48"/>
      <c r="L500" s="370"/>
      <c r="M500" s="48"/>
    </row>
    <row r="501" spans="1:13" x14ac:dyDescent="0.25">
      <c r="A501" s="42">
        <v>496</v>
      </c>
      <c r="B501" s="42" t="s">
        <v>797</v>
      </c>
      <c r="C501" s="87">
        <v>2867</v>
      </c>
      <c r="D501" s="476">
        <v>17000</v>
      </c>
      <c r="E501" s="42" t="s">
        <v>80</v>
      </c>
      <c r="F501" s="42">
        <v>189.71</v>
      </c>
      <c r="G501" s="42">
        <v>17000</v>
      </c>
      <c r="H501" s="42">
        <f t="shared" si="4"/>
        <v>0</v>
      </c>
      <c r="I501" s="89"/>
      <c r="J501" s="388"/>
      <c r="K501" s="48"/>
      <c r="L501" s="370"/>
      <c r="M501" s="48"/>
    </row>
    <row r="502" spans="1:13" x14ac:dyDescent="0.25">
      <c r="A502" s="42">
        <v>497</v>
      </c>
      <c r="B502" s="42" t="s">
        <v>797</v>
      </c>
      <c r="C502" s="87">
        <v>2961</v>
      </c>
      <c r="D502" s="476">
        <v>16000</v>
      </c>
      <c r="E502" s="42" t="s">
        <v>80</v>
      </c>
      <c r="F502" s="42">
        <v>178.22</v>
      </c>
      <c r="G502" s="42">
        <v>16000</v>
      </c>
      <c r="H502" s="42">
        <f t="shared" si="4"/>
        <v>0</v>
      </c>
      <c r="I502" s="89"/>
      <c r="J502" s="388"/>
      <c r="K502" s="48"/>
      <c r="L502" s="370"/>
      <c r="M502" s="48"/>
    </row>
    <row r="503" spans="1:13" x14ac:dyDescent="0.25">
      <c r="A503" s="42">
        <v>498</v>
      </c>
      <c r="B503" s="42" t="s">
        <v>797</v>
      </c>
      <c r="C503" s="87">
        <v>2884</v>
      </c>
      <c r="D503" s="476">
        <v>22000</v>
      </c>
      <c r="E503" s="42" t="s">
        <v>80</v>
      </c>
      <c r="F503" s="42">
        <v>245.92</v>
      </c>
      <c r="G503" s="42">
        <v>22000</v>
      </c>
      <c r="H503" s="42">
        <f t="shared" si="4"/>
        <v>0</v>
      </c>
      <c r="I503" s="89"/>
      <c r="J503" s="388"/>
      <c r="K503" s="48"/>
      <c r="L503" s="370"/>
      <c r="M503" s="48"/>
    </row>
    <row r="504" spans="1:13" x14ac:dyDescent="0.25">
      <c r="A504" s="42">
        <v>499</v>
      </c>
      <c r="B504" s="42" t="s">
        <v>797</v>
      </c>
      <c r="C504" s="87">
        <v>7528</v>
      </c>
      <c r="D504" s="476">
        <v>15000</v>
      </c>
      <c r="E504" s="42" t="s">
        <v>80</v>
      </c>
      <c r="F504" s="42">
        <v>167.15</v>
      </c>
      <c r="G504" s="42">
        <v>15000</v>
      </c>
      <c r="H504" s="42">
        <f t="shared" si="4"/>
        <v>0</v>
      </c>
      <c r="I504" s="89"/>
      <c r="J504" s="388"/>
      <c r="K504" s="48"/>
      <c r="L504" s="370"/>
      <c r="M504" s="48"/>
    </row>
    <row r="505" spans="1:13" x14ac:dyDescent="0.25">
      <c r="A505" s="42">
        <v>500</v>
      </c>
      <c r="B505" s="42" t="s">
        <v>797</v>
      </c>
      <c r="C505" s="87">
        <v>6459</v>
      </c>
      <c r="D505" s="476">
        <v>34000</v>
      </c>
      <c r="E505" s="42" t="s">
        <v>80</v>
      </c>
      <c r="F505" s="42">
        <v>372.97</v>
      </c>
      <c r="G505" s="42">
        <v>34000</v>
      </c>
      <c r="H505" s="42">
        <f t="shared" si="4"/>
        <v>0</v>
      </c>
      <c r="I505" s="89"/>
      <c r="J505" s="388"/>
      <c r="K505" s="48"/>
      <c r="L505" s="370"/>
      <c r="M505" s="48"/>
    </row>
    <row r="506" spans="1:13" x14ac:dyDescent="0.25">
      <c r="A506" s="42">
        <v>501</v>
      </c>
      <c r="B506" s="42" t="s">
        <v>797</v>
      </c>
      <c r="C506" s="87">
        <v>9967</v>
      </c>
      <c r="D506" s="476">
        <v>16000</v>
      </c>
      <c r="E506" s="42" t="s">
        <v>80</v>
      </c>
      <c r="F506" s="42">
        <v>178.22</v>
      </c>
      <c r="G506" s="42">
        <v>16000</v>
      </c>
      <c r="H506" s="42">
        <f t="shared" si="4"/>
        <v>0</v>
      </c>
      <c r="I506" s="89"/>
      <c r="J506" s="388"/>
      <c r="K506" s="48"/>
      <c r="L506" s="370"/>
      <c r="M506" s="48"/>
    </row>
    <row r="507" spans="1:13" x14ac:dyDescent="0.25">
      <c r="A507" s="42">
        <v>502</v>
      </c>
      <c r="B507" s="42" t="s">
        <v>797</v>
      </c>
      <c r="C507" s="87">
        <v>1661</v>
      </c>
      <c r="D507" s="476">
        <v>21000</v>
      </c>
      <c r="E507" s="42" t="s">
        <v>80</v>
      </c>
      <c r="F507" s="42">
        <v>252.89</v>
      </c>
      <c r="G507" s="42">
        <v>21000</v>
      </c>
      <c r="H507" s="42">
        <f t="shared" si="4"/>
        <v>0</v>
      </c>
      <c r="I507" s="89"/>
      <c r="J507" s="388"/>
      <c r="K507" s="48"/>
      <c r="L507" s="370"/>
      <c r="M507" s="48"/>
    </row>
    <row r="508" spans="1:13" x14ac:dyDescent="0.25">
      <c r="A508" s="42">
        <v>503</v>
      </c>
      <c r="B508" s="42" t="s">
        <v>797</v>
      </c>
      <c r="C508" s="87">
        <v>1170</v>
      </c>
      <c r="D508" s="476">
        <v>8000</v>
      </c>
      <c r="E508" s="42" t="s">
        <v>80</v>
      </c>
      <c r="F508" s="42">
        <v>89.67</v>
      </c>
      <c r="G508" s="42">
        <v>8000</v>
      </c>
      <c r="H508" s="42">
        <f t="shared" si="4"/>
        <v>0</v>
      </c>
      <c r="I508" s="89"/>
      <c r="J508" s="388"/>
      <c r="K508" s="48"/>
      <c r="L508" s="370"/>
      <c r="M508" s="48"/>
    </row>
    <row r="509" spans="1:13" x14ac:dyDescent="0.25">
      <c r="A509" s="42">
        <v>504</v>
      </c>
      <c r="B509" s="42" t="s">
        <v>797</v>
      </c>
      <c r="C509" s="87">
        <v>1167</v>
      </c>
      <c r="D509" s="476">
        <v>8000</v>
      </c>
      <c r="E509" s="42" t="s">
        <v>80</v>
      </c>
      <c r="F509" s="42">
        <v>89.67</v>
      </c>
      <c r="G509" s="42">
        <v>8000</v>
      </c>
      <c r="H509" s="42">
        <f t="shared" si="4"/>
        <v>0</v>
      </c>
      <c r="I509" s="89"/>
      <c r="J509" s="388"/>
      <c r="K509" s="48"/>
      <c r="L509" s="370"/>
      <c r="M509" s="48"/>
    </row>
    <row r="510" spans="1:13" x14ac:dyDescent="0.25">
      <c r="A510" s="42">
        <v>505</v>
      </c>
      <c r="B510" s="42" t="s">
        <v>797</v>
      </c>
      <c r="C510" s="87">
        <v>4743</v>
      </c>
      <c r="D510" s="476">
        <v>21000</v>
      </c>
      <c r="E510" s="42" t="s">
        <v>80</v>
      </c>
      <c r="F510" s="42">
        <v>252.89</v>
      </c>
      <c r="G510" s="42">
        <v>21000</v>
      </c>
      <c r="H510" s="42">
        <f t="shared" si="4"/>
        <v>0</v>
      </c>
      <c r="I510" s="89"/>
      <c r="J510" s="388"/>
      <c r="K510" s="48"/>
      <c r="L510" s="370"/>
      <c r="M510" s="48"/>
    </row>
    <row r="511" spans="1:13" x14ac:dyDescent="0.25">
      <c r="A511" s="42">
        <v>506</v>
      </c>
      <c r="B511" s="42" t="s">
        <v>798</v>
      </c>
      <c r="C511" s="87">
        <v>8326</v>
      </c>
      <c r="D511" s="476">
        <v>14000</v>
      </c>
      <c r="E511" s="42" t="s">
        <v>80</v>
      </c>
      <c r="F511" s="42">
        <v>155.13999999999999</v>
      </c>
      <c r="G511" s="42">
        <v>14000</v>
      </c>
      <c r="H511" s="42">
        <f t="shared" si="4"/>
        <v>0</v>
      </c>
      <c r="I511" s="89"/>
      <c r="J511" s="388"/>
      <c r="K511" s="48"/>
      <c r="L511" s="370"/>
      <c r="M511" s="48"/>
    </row>
    <row r="512" spans="1:13" x14ac:dyDescent="0.25">
      <c r="A512" s="42">
        <v>507</v>
      </c>
      <c r="B512" s="42" t="s">
        <v>798</v>
      </c>
      <c r="C512" s="87">
        <v>8726</v>
      </c>
      <c r="D512" s="476">
        <v>14000</v>
      </c>
      <c r="E512" s="42" t="s">
        <v>80</v>
      </c>
      <c r="F512" s="42">
        <v>155.13999999999999</v>
      </c>
      <c r="G512" s="42">
        <v>14000</v>
      </c>
      <c r="H512" s="42">
        <f t="shared" si="4"/>
        <v>0</v>
      </c>
      <c r="I512" s="89"/>
      <c r="J512" s="388"/>
      <c r="K512" s="48"/>
      <c r="L512" s="370"/>
      <c r="M512" s="48"/>
    </row>
    <row r="513" spans="1:13" x14ac:dyDescent="0.25">
      <c r="A513" s="42">
        <v>508</v>
      </c>
      <c r="B513" s="42" t="s">
        <v>798</v>
      </c>
      <c r="C513" s="87" t="s">
        <v>633</v>
      </c>
      <c r="D513" s="476">
        <v>210</v>
      </c>
      <c r="E513" s="42" t="s">
        <v>80</v>
      </c>
      <c r="F513" s="42">
        <v>2.09</v>
      </c>
      <c r="G513" s="42">
        <v>210</v>
      </c>
      <c r="H513" s="42">
        <f t="shared" si="4"/>
        <v>0</v>
      </c>
      <c r="I513" s="89"/>
      <c r="J513" s="388"/>
      <c r="K513" s="48"/>
      <c r="L513" s="370"/>
      <c r="M513" s="48"/>
    </row>
    <row r="514" spans="1:13" x14ac:dyDescent="0.25">
      <c r="A514" s="42">
        <v>509</v>
      </c>
      <c r="B514" s="42" t="s">
        <v>798</v>
      </c>
      <c r="C514" s="87">
        <v>2972</v>
      </c>
      <c r="D514" s="476">
        <v>21000</v>
      </c>
      <c r="E514" s="42" t="s">
        <v>80</v>
      </c>
      <c r="F514" s="42">
        <v>238.74</v>
      </c>
      <c r="G514" s="42">
        <v>21000</v>
      </c>
      <c r="H514" s="42">
        <f t="shared" si="4"/>
        <v>0</v>
      </c>
      <c r="I514" s="89"/>
      <c r="J514" s="388"/>
      <c r="K514" s="48"/>
      <c r="L514" s="370"/>
      <c r="M514" s="48"/>
    </row>
    <row r="515" spans="1:13" x14ac:dyDescent="0.25">
      <c r="A515" s="42">
        <v>510</v>
      </c>
      <c r="B515" s="42" t="s">
        <v>798</v>
      </c>
      <c r="C515" s="87">
        <v>3.3099999999999997E-2</v>
      </c>
      <c r="D515" s="476">
        <v>12000</v>
      </c>
      <c r="E515" s="42" t="s">
        <v>80</v>
      </c>
      <c r="F515" s="42">
        <v>144.12</v>
      </c>
      <c r="G515" s="42">
        <v>12000</v>
      </c>
      <c r="H515" s="42">
        <f t="shared" si="4"/>
        <v>0</v>
      </c>
      <c r="I515" s="89"/>
      <c r="J515" s="388"/>
      <c r="K515" s="48"/>
      <c r="L515" s="370"/>
      <c r="M515" s="48"/>
    </row>
    <row r="516" spans="1:13" x14ac:dyDescent="0.25">
      <c r="A516" s="42">
        <v>511</v>
      </c>
      <c r="B516" s="42" t="s">
        <v>798</v>
      </c>
      <c r="C516" s="87">
        <v>3662</v>
      </c>
      <c r="D516" s="476">
        <v>20000</v>
      </c>
      <c r="E516" s="42" t="s">
        <v>80</v>
      </c>
      <c r="F516" s="42">
        <v>222.82</v>
      </c>
      <c r="G516" s="42">
        <v>20000</v>
      </c>
      <c r="H516" s="42">
        <f t="shared" si="4"/>
        <v>0</v>
      </c>
      <c r="I516" s="89"/>
      <c r="J516" s="388"/>
      <c r="K516" s="48"/>
      <c r="L516" s="370"/>
      <c r="M516" s="48"/>
    </row>
    <row r="517" spans="1:13" x14ac:dyDescent="0.25">
      <c r="A517" s="42">
        <v>512</v>
      </c>
      <c r="B517" s="42" t="s">
        <v>798</v>
      </c>
      <c r="C517" s="87">
        <v>6387</v>
      </c>
      <c r="D517" s="476">
        <v>16000</v>
      </c>
      <c r="E517" s="42" t="s">
        <v>80</v>
      </c>
      <c r="F517" s="42">
        <v>178.22</v>
      </c>
      <c r="G517" s="42">
        <v>16000</v>
      </c>
      <c r="H517" s="42">
        <f t="shared" si="4"/>
        <v>0</v>
      </c>
      <c r="I517" s="89"/>
      <c r="J517" s="388"/>
      <c r="K517" s="48"/>
      <c r="L517" s="370"/>
      <c r="M517" s="48"/>
    </row>
    <row r="518" spans="1:13" x14ac:dyDescent="0.25">
      <c r="A518" s="42">
        <v>513</v>
      </c>
      <c r="B518" s="42" t="s">
        <v>798</v>
      </c>
      <c r="C518" s="87">
        <v>4.7000000000000002E-3</v>
      </c>
      <c r="D518" s="476">
        <v>14000</v>
      </c>
      <c r="E518" s="42" t="s">
        <v>80</v>
      </c>
      <c r="F518" s="42">
        <v>155.13999999999999</v>
      </c>
      <c r="G518" s="42">
        <v>14000</v>
      </c>
      <c r="H518" s="42">
        <f t="shared" si="4"/>
        <v>0</v>
      </c>
      <c r="I518" s="89"/>
      <c r="J518" s="388"/>
      <c r="K518" s="48"/>
      <c r="L518" s="370"/>
      <c r="M518" s="48"/>
    </row>
    <row r="519" spans="1:13" x14ac:dyDescent="0.25">
      <c r="A519" s="42">
        <v>514</v>
      </c>
      <c r="B519" s="42" t="s">
        <v>798</v>
      </c>
      <c r="C519" s="87">
        <v>2425</v>
      </c>
      <c r="D519" s="476">
        <v>23000</v>
      </c>
      <c r="E519" s="42" t="s">
        <v>80</v>
      </c>
      <c r="F519" s="42">
        <v>245.82</v>
      </c>
      <c r="G519" s="42">
        <v>23000</v>
      </c>
      <c r="H519" s="42">
        <f t="shared" si="4"/>
        <v>0</v>
      </c>
      <c r="I519" s="89"/>
      <c r="J519" s="388"/>
      <c r="K519" s="48"/>
      <c r="L519" s="370"/>
      <c r="M519" s="48"/>
    </row>
    <row r="520" spans="1:13" x14ac:dyDescent="0.25">
      <c r="A520" s="42">
        <v>515</v>
      </c>
      <c r="B520" s="42" t="s">
        <v>798</v>
      </c>
      <c r="C520" s="87">
        <v>2779</v>
      </c>
      <c r="D520" s="476">
        <v>20459</v>
      </c>
      <c r="E520" s="42" t="s">
        <v>80</v>
      </c>
      <c r="F520" s="42">
        <v>227.58</v>
      </c>
      <c r="G520" s="42">
        <v>20459</v>
      </c>
      <c r="H520" s="42">
        <f t="shared" si="4"/>
        <v>0</v>
      </c>
      <c r="I520" s="89"/>
      <c r="J520" s="388"/>
      <c r="K520" s="48"/>
      <c r="L520" s="370"/>
      <c r="M520" s="48"/>
    </row>
    <row r="521" spans="1:13" x14ac:dyDescent="0.25">
      <c r="A521" s="42">
        <v>516</v>
      </c>
      <c r="B521" s="42" t="s">
        <v>798</v>
      </c>
      <c r="C521" s="87" t="s">
        <v>30</v>
      </c>
      <c r="D521" s="476">
        <v>5000</v>
      </c>
      <c r="E521" s="42" t="s">
        <v>80</v>
      </c>
      <c r="F521" s="42">
        <v>50.45</v>
      </c>
      <c r="G521" s="42">
        <v>5000</v>
      </c>
      <c r="H521" s="42">
        <f t="shared" si="4"/>
        <v>0</v>
      </c>
      <c r="I521" s="89"/>
      <c r="J521" s="388"/>
      <c r="K521" s="48"/>
      <c r="L521" s="370"/>
      <c r="M521" s="48"/>
    </row>
    <row r="522" spans="1:13" x14ac:dyDescent="0.25">
      <c r="A522" s="42">
        <v>517</v>
      </c>
      <c r="B522" s="42" t="s">
        <v>798</v>
      </c>
      <c r="C522" s="87">
        <v>7071</v>
      </c>
      <c r="D522" s="476">
        <v>21000</v>
      </c>
      <c r="E522" s="42" t="s">
        <v>80</v>
      </c>
      <c r="F522" s="42">
        <v>233.42</v>
      </c>
      <c r="G522" s="42">
        <v>21000</v>
      </c>
      <c r="H522" s="42">
        <f t="shared" si="4"/>
        <v>0</v>
      </c>
      <c r="I522" s="89"/>
      <c r="J522" s="388"/>
      <c r="K522" s="48"/>
      <c r="L522" s="370"/>
      <c r="M522" s="48"/>
    </row>
    <row r="523" spans="1:13" x14ac:dyDescent="0.25">
      <c r="A523" s="42">
        <v>518</v>
      </c>
      <c r="B523" s="42" t="s">
        <v>798</v>
      </c>
      <c r="C523" s="87" t="s">
        <v>633</v>
      </c>
      <c r="D523" s="476">
        <v>100</v>
      </c>
      <c r="E523" s="42" t="s">
        <v>80</v>
      </c>
      <c r="F523" s="42">
        <v>1.0900000000000001</v>
      </c>
      <c r="G523" s="42">
        <v>100</v>
      </c>
      <c r="H523" s="42">
        <f t="shared" si="4"/>
        <v>0</v>
      </c>
      <c r="I523" s="89"/>
      <c r="J523" s="388"/>
      <c r="K523" s="48"/>
      <c r="L523" s="370"/>
      <c r="M523" s="48"/>
    </row>
    <row r="524" spans="1:13" x14ac:dyDescent="0.25">
      <c r="A524" s="42">
        <v>519</v>
      </c>
      <c r="B524" s="42" t="s">
        <v>798</v>
      </c>
      <c r="C524" s="87">
        <v>4365</v>
      </c>
      <c r="D524" s="476">
        <v>18000</v>
      </c>
      <c r="E524" s="42" t="s">
        <v>80</v>
      </c>
      <c r="F524" s="42">
        <v>200.82</v>
      </c>
      <c r="G524" s="42">
        <v>18000</v>
      </c>
      <c r="H524" s="42">
        <f t="shared" si="4"/>
        <v>0</v>
      </c>
      <c r="I524" s="89"/>
      <c r="J524" s="388"/>
      <c r="K524" s="48"/>
      <c r="L524" s="370"/>
      <c r="M524" s="48"/>
    </row>
    <row r="525" spans="1:13" x14ac:dyDescent="0.25">
      <c r="A525" s="42">
        <v>520</v>
      </c>
      <c r="B525" s="42" t="s">
        <v>798</v>
      </c>
      <c r="C525" s="87">
        <v>3358</v>
      </c>
      <c r="D525" s="476">
        <v>12000</v>
      </c>
      <c r="E525" s="42" t="s">
        <v>80</v>
      </c>
      <c r="F525" s="42">
        <v>144.12</v>
      </c>
      <c r="G525" s="42">
        <v>12000</v>
      </c>
      <c r="H525" s="42">
        <f t="shared" ref="H525:H588" si="5">D525-G525</f>
        <v>0</v>
      </c>
      <c r="I525" s="89"/>
      <c r="J525" s="388"/>
      <c r="K525" s="48"/>
      <c r="L525" s="370"/>
      <c r="M525" s="48"/>
    </row>
    <row r="526" spans="1:13" x14ac:dyDescent="0.25">
      <c r="A526" s="42">
        <v>521</v>
      </c>
      <c r="B526" s="42" t="s">
        <v>798</v>
      </c>
      <c r="C526" s="87">
        <v>4110</v>
      </c>
      <c r="D526" s="476">
        <v>10000</v>
      </c>
      <c r="E526" s="42" t="s">
        <v>80</v>
      </c>
      <c r="F526" s="42">
        <v>111.41</v>
      </c>
      <c r="G526" s="42">
        <v>10000</v>
      </c>
      <c r="H526" s="42">
        <f t="shared" si="5"/>
        <v>0</v>
      </c>
      <c r="I526" s="89"/>
      <c r="J526" s="388"/>
      <c r="K526" s="48"/>
      <c r="L526" s="370"/>
      <c r="M526" s="48"/>
    </row>
    <row r="527" spans="1:13" x14ac:dyDescent="0.25">
      <c r="A527" s="42">
        <v>522</v>
      </c>
      <c r="B527" s="42" t="s">
        <v>798</v>
      </c>
      <c r="C527" s="87">
        <v>7748</v>
      </c>
      <c r="D527" s="476">
        <v>34000</v>
      </c>
      <c r="E527" s="42" t="s">
        <v>80</v>
      </c>
      <c r="F527" s="42">
        <v>378.52</v>
      </c>
      <c r="G527" s="42">
        <v>34000</v>
      </c>
      <c r="H527" s="42">
        <f t="shared" si="5"/>
        <v>0</v>
      </c>
      <c r="I527" s="89"/>
      <c r="J527" s="388"/>
      <c r="K527" s="48"/>
      <c r="L527" s="370"/>
      <c r="M527" s="48"/>
    </row>
    <row r="528" spans="1:13" x14ac:dyDescent="0.25">
      <c r="A528" s="42">
        <v>523</v>
      </c>
      <c r="B528" s="42" t="s">
        <v>798</v>
      </c>
      <c r="C528" s="87">
        <v>4111</v>
      </c>
      <c r="D528" s="476">
        <v>10000</v>
      </c>
      <c r="E528" s="42" t="s">
        <v>80</v>
      </c>
      <c r="F528" s="42">
        <v>111.41</v>
      </c>
      <c r="G528" s="42">
        <v>10000</v>
      </c>
      <c r="H528" s="42">
        <f t="shared" si="5"/>
        <v>0</v>
      </c>
      <c r="I528" s="89"/>
      <c r="J528" s="388"/>
      <c r="K528" s="48"/>
      <c r="L528" s="370"/>
      <c r="M528" s="48"/>
    </row>
    <row r="529" spans="1:13" x14ac:dyDescent="0.25">
      <c r="A529" s="42">
        <v>524</v>
      </c>
      <c r="B529" s="42" t="s">
        <v>798</v>
      </c>
      <c r="C529" s="87">
        <v>1907</v>
      </c>
      <c r="D529" s="476">
        <v>24000</v>
      </c>
      <c r="E529" s="42" t="s">
        <v>80</v>
      </c>
      <c r="F529" s="42">
        <v>236.49</v>
      </c>
      <c r="G529" s="42">
        <v>24000</v>
      </c>
      <c r="H529" s="42">
        <f t="shared" si="5"/>
        <v>0</v>
      </c>
      <c r="I529" s="89"/>
      <c r="J529" s="388"/>
      <c r="K529" s="48"/>
      <c r="L529" s="370"/>
      <c r="M529" s="48"/>
    </row>
    <row r="530" spans="1:13" x14ac:dyDescent="0.25">
      <c r="A530" s="42">
        <v>525</v>
      </c>
      <c r="B530" s="42" t="s">
        <v>798</v>
      </c>
      <c r="C530" s="87">
        <v>1337</v>
      </c>
      <c r="D530" s="476">
        <v>23000</v>
      </c>
      <c r="E530" s="42" t="s">
        <v>80</v>
      </c>
      <c r="F530" s="42">
        <v>256.70999999999998</v>
      </c>
      <c r="G530" s="42">
        <v>23000</v>
      </c>
      <c r="H530" s="42">
        <f t="shared" si="5"/>
        <v>0</v>
      </c>
      <c r="I530" s="89"/>
      <c r="J530" s="388"/>
      <c r="K530" s="48"/>
      <c r="L530" s="370"/>
      <c r="M530" s="48"/>
    </row>
    <row r="531" spans="1:13" x14ac:dyDescent="0.25">
      <c r="A531" s="42">
        <v>526</v>
      </c>
      <c r="B531" s="42" t="s">
        <v>798</v>
      </c>
      <c r="C531" s="87">
        <v>7116</v>
      </c>
      <c r="D531" s="476">
        <v>20000</v>
      </c>
      <c r="E531" s="42" t="s">
        <v>80</v>
      </c>
      <c r="F531" s="42">
        <v>222.82</v>
      </c>
      <c r="G531" s="42">
        <v>20000</v>
      </c>
      <c r="H531" s="42">
        <f t="shared" si="5"/>
        <v>0</v>
      </c>
      <c r="I531" s="89"/>
      <c r="J531" s="388"/>
      <c r="K531" s="48"/>
      <c r="L531" s="370"/>
      <c r="M531" s="48"/>
    </row>
    <row r="532" spans="1:13" x14ac:dyDescent="0.25">
      <c r="A532" s="42">
        <v>527</v>
      </c>
      <c r="B532" s="42" t="s">
        <v>798</v>
      </c>
      <c r="C532" s="87">
        <v>8087</v>
      </c>
      <c r="D532" s="476">
        <v>5000</v>
      </c>
      <c r="E532" s="42" t="s">
        <v>80</v>
      </c>
      <c r="F532" s="42">
        <v>55.45</v>
      </c>
      <c r="G532" s="42">
        <v>5000</v>
      </c>
      <c r="H532" s="42">
        <f t="shared" si="5"/>
        <v>0</v>
      </c>
      <c r="I532" s="89"/>
      <c r="J532" s="388"/>
      <c r="K532" s="48"/>
      <c r="L532" s="370"/>
      <c r="M532" s="48"/>
    </row>
    <row r="533" spans="1:13" x14ac:dyDescent="0.25">
      <c r="A533" s="42">
        <v>528</v>
      </c>
      <c r="B533" s="42" t="s">
        <v>798</v>
      </c>
      <c r="C533" s="87">
        <v>6623</v>
      </c>
      <c r="D533" s="476">
        <v>8000</v>
      </c>
      <c r="E533" s="42" t="s">
        <v>80</v>
      </c>
      <c r="F533" s="42">
        <v>89.85</v>
      </c>
      <c r="G533" s="42">
        <v>8000</v>
      </c>
      <c r="H533" s="42">
        <f t="shared" si="5"/>
        <v>0</v>
      </c>
      <c r="I533" s="89"/>
      <c r="J533" s="388"/>
      <c r="K533" s="48"/>
      <c r="L533" s="370"/>
      <c r="M533" s="48"/>
    </row>
    <row r="534" spans="1:13" x14ac:dyDescent="0.25">
      <c r="A534" s="42">
        <v>529</v>
      </c>
      <c r="B534" s="42" t="s">
        <v>799</v>
      </c>
      <c r="C534" s="87">
        <v>7048</v>
      </c>
      <c r="D534" s="476">
        <v>32000</v>
      </c>
      <c r="E534" s="42" t="s">
        <v>80</v>
      </c>
      <c r="F534" s="42">
        <v>356.82</v>
      </c>
      <c r="G534" s="42">
        <v>32000</v>
      </c>
      <c r="H534" s="42">
        <f t="shared" si="5"/>
        <v>0</v>
      </c>
      <c r="I534" s="89"/>
      <c r="J534" s="388"/>
      <c r="K534" s="48"/>
      <c r="L534" s="370"/>
      <c r="M534" s="48"/>
    </row>
    <row r="535" spans="1:13" x14ac:dyDescent="0.25">
      <c r="A535" s="42">
        <v>530</v>
      </c>
      <c r="B535" s="42" t="s">
        <v>799</v>
      </c>
      <c r="C535" s="87">
        <v>2029</v>
      </c>
      <c r="D535" s="476">
        <v>15000</v>
      </c>
      <c r="E535" s="42" t="s">
        <v>80</v>
      </c>
      <c r="F535" s="42">
        <v>167.15</v>
      </c>
      <c r="G535" s="42">
        <v>15000</v>
      </c>
      <c r="H535" s="42">
        <f t="shared" si="5"/>
        <v>0</v>
      </c>
      <c r="I535" s="89"/>
      <c r="J535" s="388"/>
      <c r="K535" s="48"/>
      <c r="L535" s="370"/>
      <c r="M535" s="48"/>
    </row>
    <row r="536" spans="1:13" x14ac:dyDescent="0.25">
      <c r="A536" s="42">
        <v>531</v>
      </c>
      <c r="B536" s="42" t="s">
        <v>799</v>
      </c>
      <c r="C536" s="514">
        <v>2279</v>
      </c>
      <c r="D536" s="514">
        <v>5000</v>
      </c>
      <c r="E536" s="42" t="s">
        <v>80</v>
      </c>
      <c r="F536" s="42">
        <v>167.15</v>
      </c>
      <c r="G536" s="42">
        <v>5000</v>
      </c>
      <c r="H536" s="42">
        <f t="shared" si="5"/>
        <v>0</v>
      </c>
      <c r="I536" s="89"/>
      <c r="J536" s="388"/>
      <c r="K536" s="48"/>
      <c r="L536" s="370"/>
      <c r="M536" s="48"/>
    </row>
    <row r="537" spans="1:13" x14ac:dyDescent="0.25">
      <c r="A537" s="42">
        <v>532</v>
      </c>
      <c r="B537" s="42" t="s">
        <v>799</v>
      </c>
      <c r="C537" s="87">
        <v>5838</v>
      </c>
      <c r="D537" s="476">
        <v>14000</v>
      </c>
      <c r="E537" s="42" t="s">
        <v>80</v>
      </c>
      <c r="F537" s="42">
        <v>157.82</v>
      </c>
      <c r="G537" s="42">
        <v>14000</v>
      </c>
      <c r="H537" s="42">
        <f t="shared" si="5"/>
        <v>0</v>
      </c>
      <c r="I537" s="89"/>
      <c r="J537" s="388"/>
      <c r="K537" s="48"/>
      <c r="L537" s="370"/>
      <c r="M537" s="48"/>
    </row>
    <row r="538" spans="1:13" x14ac:dyDescent="0.25">
      <c r="A538" s="42">
        <v>533</v>
      </c>
      <c r="B538" s="42" t="s">
        <v>799</v>
      </c>
      <c r="C538" s="87">
        <v>6496</v>
      </c>
      <c r="D538" s="476">
        <v>15000</v>
      </c>
      <c r="E538" s="42" t="s">
        <v>80</v>
      </c>
      <c r="F538" s="42">
        <v>167.15</v>
      </c>
      <c r="G538" s="42">
        <v>15000</v>
      </c>
      <c r="H538" s="42">
        <f t="shared" si="5"/>
        <v>0</v>
      </c>
      <c r="I538" s="89"/>
      <c r="J538" s="388"/>
      <c r="K538" s="48"/>
      <c r="L538" s="370"/>
      <c r="M538" s="48"/>
    </row>
    <row r="539" spans="1:13" x14ac:dyDescent="0.25">
      <c r="A539" s="42">
        <v>534</v>
      </c>
      <c r="B539" s="42" t="s">
        <v>799</v>
      </c>
      <c r="C539" s="87">
        <v>6930</v>
      </c>
      <c r="D539" s="476">
        <v>17000</v>
      </c>
      <c r="E539" s="42" t="s">
        <v>80</v>
      </c>
      <c r="F539" s="42">
        <v>189.82</v>
      </c>
      <c r="G539" s="42">
        <v>17000</v>
      </c>
      <c r="H539" s="42">
        <f t="shared" si="5"/>
        <v>0</v>
      </c>
      <c r="I539" s="89"/>
      <c r="J539" s="388"/>
      <c r="K539" s="48"/>
      <c r="L539" s="370"/>
      <c r="M539" s="48"/>
    </row>
    <row r="540" spans="1:13" x14ac:dyDescent="0.25">
      <c r="A540" s="42">
        <v>535</v>
      </c>
      <c r="B540" s="42" t="s">
        <v>799</v>
      </c>
      <c r="C540" s="87">
        <v>5820</v>
      </c>
      <c r="D540" s="476">
        <v>17000</v>
      </c>
      <c r="E540" s="42" t="s">
        <v>80</v>
      </c>
      <c r="F540" s="42">
        <v>189.63</v>
      </c>
      <c r="G540" s="42">
        <v>17000</v>
      </c>
      <c r="H540" s="42">
        <f t="shared" si="5"/>
        <v>0</v>
      </c>
      <c r="I540" s="89"/>
      <c r="J540" s="388"/>
      <c r="K540" s="48"/>
      <c r="L540" s="370"/>
      <c r="M540" s="48"/>
    </row>
    <row r="541" spans="1:13" x14ac:dyDescent="0.25">
      <c r="A541" s="42">
        <v>536</v>
      </c>
      <c r="B541" s="42" t="s">
        <v>799</v>
      </c>
      <c r="C541" s="87" t="s">
        <v>30</v>
      </c>
      <c r="D541" s="476">
        <v>4500</v>
      </c>
      <c r="E541" s="42" t="s">
        <v>80</v>
      </c>
      <c r="F541" s="42">
        <v>50.45</v>
      </c>
      <c r="G541" s="42">
        <v>4500</v>
      </c>
      <c r="H541" s="42">
        <f t="shared" si="5"/>
        <v>0</v>
      </c>
      <c r="I541" s="89"/>
      <c r="J541" s="388"/>
      <c r="K541" s="48"/>
      <c r="L541" s="370"/>
      <c r="M541" s="48"/>
    </row>
    <row r="542" spans="1:13" x14ac:dyDescent="0.25">
      <c r="A542" s="42">
        <v>537</v>
      </c>
      <c r="B542" s="42" t="s">
        <v>799</v>
      </c>
      <c r="C542" s="87">
        <v>6957</v>
      </c>
      <c r="D542" s="476">
        <v>16500</v>
      </c>
      <c r="E542" s="42" t="s">
        <v>80</v>
      </c>
      <c r="F542" s="42">
        <v>189.83</v>
      </c>
      <c r="G542" s="42">
        <v>16500</v>
      </c>
      <c r="H542" s="42">
        <f t="shared" si="5"/>
        <v>0</v>
      </c>
      <c r="I542" s="89"/>
      <c r="J542" s="388"/>
      <c r="K542" s="48"/>
      <c r="L542" s="370"/>
      <c r="M542" s="48"/>
    </row>
    <row r="543" spans="1:13" x14ac:dyDescent="0.25">
      <c r="A543" s="42">
        <v>538</v>
      </c>
      <c r="B543" s="42" t="s">
        <v>799</v>
      </c>
      <c r="C543" s="87">
        <v>9212</v>
      </c>
      <c r="D543" s="476">
        <v>17000</v>
      </c>
      <c r="E543" s="42" t="s">
        <v>80</v>
      </c>
      <c r="F543" s="42">
        <v>189.82</v>
      </c>
      <c r="G543" s="42">
        <v>17000</v>
      </c>
      <c r="H543" s="42">
        <f t="shared" si="5"/>
        <v>0</v>
      </c>
      <c r="I543" s="89"/>
      <c r="J543" s="388"/>
      <c r="K543" s="48"/>
      <c r="L543" s="370"/>
      <c r="M543" s="48"/>
    </row>
    <row r="544" spans="1:13" x14ac:dyDescent="0.25">
      <c r="A544" s="42">
        <v>539</v>
      </c>
      <c r="B544" s="42" t="s">
        <v>799</v>
      </c>
      <c r="C544" s="87">
        <v>2973</v>
      </c>
      <c r="D544" s="476">
        <v>15000</v>
      </c>
      <c r="E544" s="42" t="s">
        <v>80</v>
      </c>
      <c r="F544" s="42">
        <v>167.15</v>
      </c>
      <c r="G544" s="42">
        <v>15000</v>
      </c>
      <c r="H544" s="42">
        <f t="shared" si="5"/>
        <v>0</v>
      </c>
      <c r="I544" s="89"/>
      <c r="J544" s="388"/>
      <c r="K544" s="48"/>
      <c r="L544" s="370"/>
      <c r="M544" s="48"/>
    </row>
    <row r="545" spans="1:13" x14ac:dyDescent="0.25">
      <c r="A545" s="42">
        <v>540</v>
      </c>
      <c r="B545" s="42" t="s">
        <v>799</v>
      </c>
      <c r="C545" s="87">
        <v>6.4699999999999994E-2</v>
      </c>
      <c r="D545" s="476">
        <v>13000</v>
      </c>
      <c r="E545" s="42" t="s">
        <v>80</v>
      </c>
      <c r="F545" s="42">
        <v>144.13</v>
      </c>
      <c r="G545" s="42">
        <v>13000</v>
      </c>
      <c r="H545" s="42">
        <f t="shared" si="5"/>
        <v>0</v>
      </c>
      <c r="I545" s="89"/>
      <c r="J545" s="388"/>
      <c r="K545" s="48"/>
      <c r="L545" s="370"/>
      <c r="M545" s="48"/>
    </row>
    <row r="546" spans="1:13" x14ac:dyDescent="0.25">
      <c r="A546" s="42">
        <v>541</v>
      </c>
      <c r="B546" s="42" t="s">
        <v>799</v>
      </c>
      <c r="C546" s="87">
        <v>1543</v>
      </c>
      <c r="D546" s="476">
        <v>15000</v>
      </c>
      <c r="E546" s="42" t="s">
        <v>80</v>
      </c>
      <c r="F546" s="42">
        <v>167.15</v>
      </c>
      <c r="G546" s="42">
        <v>15000</v>
      </c>
      <c r="H546" s="42">
        <f t="shared" si="5"/>
        <v>0</v>
      </c>
      <c r="I546" s="89"/>
      <c r="J546" s="388"/>
      <c r="K546" s="48"/>
      <c r="L546" s="370"/>
      <c r="M546" s="48"/>
    </row>
    <row r="547" spans="1:13" x14ac:dyDescent="0.25">
      <c r="A547" s="42">
        <v>542</v>
      </c>
      <c r="B547" s="42" t="s">
        <v>799</v>
      </c>
      <c r="C547" s="87">
        <v>2972</v>
      </c>
      <c r="D547" s="476">
        <v>15000</v>
      </c>
      <c r="E547" s="42" t="s">
        <v>80</v>
      </c>
      <c r="F547" s="42">
        <v>167.15</v>
      </c>
      <c r="G547" s="42">
        <v>15000</v>
      </c>
      <c r="H547" s="42">
        <f t="shared" si="5"/>
        <v>0</v>
      </c>
      <c r="I547" s="89"/>
      <c r="J547" s="388"/>
      <c r="K547" s="48"/>
      <c r="L547" s="370"/>
      <c r="M547" s="48"/>
    </row>
    <row r="548" spans="1:13" x14ac:dyDescent="0.25">
      <c r="A548" s="42">
        <v>543</v>
      </c>
      <c r="B548" s="42" t="s">
        <v>799</v>
      </c>
      <c r="C548" s="87">
        <v>6946</v>
      </c>
      <c r="D548" s="476">
        <v>20000</v>
      </c>
      <c r="E548" s="42" t="s">
        <v>80</v>
      </c>
      <c r="F548" s="42">
        <v>222.82</v>
      </c>
      <c r="G548" s="42">
        <v>20000</v>
      </c>
      <c r="H548" s="42">
        <f t="shared" si="5"/>
        <v>0</v>
      </c>
      <c r="I548" s="89"/>
      <c r="J548" s="388"/>
      <c r="K548" s="48"/>
      <c r="L548" s="370"/>
      <c r="M548" s="48"/>
    </row>
    <row r="549" spans="1:13" x14ac:dyDescent="0.25">
      <c r="A549" s="42">
        <v>544</v>
      </c>
      <c r="B549" s="42" t="s">
        <v>799</v>
      </c>
      <c r="C549" s="87">
        <v>5152</v>
      </c>
      <c r="D549" s="476">
        <v>16000</v>
      </c>
      <c r="E549" s="42" t="s">
        <v>80</v>
      </c>
      <c r="F549" s="42">
        <v>178.22</v>
      </c>
      <c r="G549" s="42">
        <v>16000</v>
      </c>
      <c r="H549" s="42">
        <f t="shared" si="5"/>
        <v>0</v>
      </c>
      <c r="I549" s="89"/>
      <c r="J549" s="388"/>
      <c r="K549" s="48"/>
      <c r="L549" s="370"/>
      <c r="M549" s="48"/>
    </row>
    <row r="550" spans="1:13" x14ac:dyDescent="0.25">
      <c r="A550" s="42">
        <v>545</v>
      </c>
      <c r="B550" s="42" t="s">
        <v>799</v>
      </c>
      <c r="C550" s="87">
        <v>6734</v>
      </c>
      <c r="D550" s="476">
        <v>17000</v>
      </c>
      <c r="E550" s="42" t="s">
        <v>80</v>
      </c>
      <c r="F550" s="42">
        <v>189.93</v>
      </c>
      <c r="G550" s="42">
        <v>17000</v>
      </c>
      <c r="H550" s="42">
        <f t="shared" si="5"/>
        <v>0</v>
      </c>
      <c r="I550" s="89"/>
      <c r="J550" s="388"/>
      <c r="K550" s="48"/>
      <c r="L550" s="370"/>
      <c r="M550" s="48"/>
    </row>
    <row r="551" spans="1:13" x14ac:dyDescent="0.25">
      <c r="A551" s="42">
        <v>546</v>
      </c>
      <c r="B551" s="42" t="s">
        <v>799</v>
      </c>
      <c r="C551" s="87">
        <v>8990</v>
      </c>
      <c r="D551" s="476">
        <v>17000</v>
      </c>
      <c r="E551" s="42" t="s">
        <v>80</v>
      </c>
      <c r="F551" s="42">
        <v>189.93</v>
      </c>
      <c r="G551" s="42">
        <v>17000</v>
      </c>
      <c r="H551" s="42">
        <f t="shared" si="5"/>
        <v>0</v>
      </c>
      <c r="I551" s="89"/>
      <c r="J551" s="388"/>
      <c r="K551" s="48"/>
      <c r="L551" s="370"/>
      <c r="M551" s="48"/>
    </row>
    <row r="552" spans="1:13" x14ac:dyDescent="0.25">
      <c r="A552" s="42">
        <v>547</v>
      </c>
      <c r="B552" s="42" t="s">
        <v>799</v>
      </c>
      <c r="C552" s="87">
        <v>1662</v>
      </c>
      <c r="D552" s="476">
        <v>15000</v>
      </c>
      <c r="E552" s="42" t="s">
        <v>80</v>
      </c>
      <c r="F552" s="42">
        <v>167.15</v>
      </c>
      <c r="G552" s="42">
        <v>15000</v>
      </c>
      <c r="H552" s="42">
        <f t="shared" si="5"/>
        <v>0</v>
      </c>
      <c r="I552" s="89"/>
      <c r="J552" s="388"/>
      <c r="K552" s="48"/>
      <c r="L552" s="370"/>
      <c r="M552" s="48"/>
    </row>
    <row r="553" spans="1:13" x14ac:dyDescent="0.25">
      <c r="A553" s="42">
        <v>548</v>
      </c>
      <c r="B553" s="42" t="s">
        <v>799</v>
      </c>
      <c r="C553" s="87">
        <v>5403</v>
      </c>
      <c r="D553" s="476">
        <v>20000</v>
      </c>
      <c r="E553" s="42" t="s">
        <v>80</v>
      </c>
      <c r="F553" s="42">
        <v>222.82</v>
      </c>
      <c r="G553" s="42">
        <v>20000</v>
      </c>
      <c r="H553" s="42">
        <f t="shared" si="5"/>
        <v>0</v>
      </c>
      <c r="I553" s="89"/>
      <c r="J553" s="388"/>
      <c r="K553" s="48"/>
      <c r="L553" s="370"/>
      <c r="M553" s="48"/>
    </row>
    <row r="554" spans="1:13" x14ac:dyDescent="0.25">
      <c r="A554" s="42">
        <v>549</v>
      </c>
      <c r="B554" s="42" t="s">
        <v>799</v>
      </c>
      <c r="C554" s="87">
        <v>6758</v>
      </c>
      <c r="D554" s="476">
        <v>14000</v>
      </c>
      <c r="E554" s="42" t="s">
        <v>80</v>
      </c>
      <c r="F554" s="42">
        <v>155.44999999999999</v>
      </c>
      <c r="G554" s="42">
        <v>14000</v>
      </c>
      <c r="H554" s="42">
        <f t="shared" si="5"/>
        <v>0</v>
      </c>
      <c r="I554" s="89"/>
      <c r="J554" s="388"/>
      <c r="K554" s="48"/>
      <c r="L554" s="370"/>
      <c r="M554" s="48"/>
    </row>
    <row r="555" spans="1:13" x14ac:dyDescent="0.25">
      <c r="A555" s="42">
        <v>550</v>
      </c>
      <c r="B555" s="42" t="s">
        <v>799</v>
      </c>
      <c r="C555" s="87">
        <v>9767</v>
      </c>
      <c r="D555" s="476">
        <v>16000</v>
      </c>
      <c r="E555" s="42" t="s">
        <v>80</v>
      </c>
      <c r="F555" s="42">
        <v>178.22</v>
      </c>
      <c r="G555" s="42">
        <v>16000</v>
      </c>
      <c r="H555" s="42">
        <f t="shared" si="5"/>
        <v>0</v>
      </c>
      <c r="I555" s="89"/>
      <c r="J555" s="388"/>
      <c r="K555" s="48"/>
      <c r="L555" s="370"/>
      <c r="M555" s="48"/>
    </row>
    <row r="556" spans="1:13" x14ac:dyDescent="0.25">
      <c r="A556" s="42">
        <v>551</v>
      </c>
      <c r="B556" s="42" t="s">
        <v>799</v>
      </c>
      <c r="C556" s="87">
        <v>8392</v>
      </c>
      <c r="D556" s="476">
        <v>20538</v>
      </c>
      <c r="E556" s="42" t="s">
        <v>80</v>
      </c>
      <c r="F556" s="42">
        <v>228.71</v>
      </c>
      <c r="G556" s="42">
        <v>20538</v>
      </c>
      <c r="H556" s="42">
        <f t="shared" si="5"/>
        <v>0</v>
      </c>
      <c r="I556" s="89"/>
      <c r="J556" s="388"/>
      <c r="K556" s="48"/>
      <c r="L556" s="370"/>
      <c r="M556" s="48"/>
    </row>
    <row r="557" spans="1:13" x14ac:dyDescent="0.25">
      <c r="A557" s="42">
        <v>552</v>
      </c>
      <c r="B557" s="42" t="s">
        <v>799</v>
      </c>
      <c r="C557" s="87">
        <v>5321</v>
      </c>
      <c r="D557" s="476">
        <v>15000</v>
      </c>
      <c r="E557" s="42" t="s">
        <v>80</v>
      </c>
      <c r="F557" s="42">
        <v>167.15</v>
      </c>
      <c r="G557" s="42">
        <v>15000</v>
      </c>
      <c r="H557" s="42">
        <f t="shared" si="5"/>
        <v>0</v>
      </c>
      <c r="I557" s="89"/>
      <c r="J557" s="388"/>
      <c r="K557" s="48"/>
      <c r="L557" s="370"/>
      <c r="M557" s="48"/>
    </row>
    <row r="558" spans="1:13" x14ac:dyDescent="0.25">
      <c r="A558" s="42">
        <v>553</v>
      </c>
      <c r="B558" s="42" t="s">
        <v>799</v>
      </c>
      <c r="C558" s="87">
        <v>5339</v>
      </c>
      <c r="D558" s="476">
        <v>15000</v>
      </c>
      <c r="E558" s="42" t="s">
        <v>80</v>
      </c>
      <c r="F558" s="42">
        <v>167.15</v>
      </c>
      <c r="G558" s="42">
        <v>15000</v>
      </c>
      <c r="H558" s="42">
        <f t="shared" si="5"/>
        <v>0</v>
      </c>
      <c r="I558" s="89"/>
      <c r="J558" s="388"/>
      <c r="K558" s="48"/>
      <c r="L558" s="370"/>
      <c r="M558" s="48"/>
    </row>
    <row r="559" spans="1:13" x14ac:dyDescent="0.25">
      <c r="A559" s="42">
        <v>554</v>
      </c>
      <c r="B559" s="42" t="s">
        <v>799</v>
      </c>
      <c r="C559" s="87">
        <v>1783</v>
      </c>
      <c r="D559" s="476">
        <v>15000</v>
      </c>
      <c r="E559" s="42" t="s">
        <v>80</v>
      </c>
      <c r="F559" s="42">
        <v>167.15</v>
      </c>
      <c r="G559" s="42">
        <v>15000</v>
      </c>
      <c r="H559" s="42">
        <f t="shared" si="5"/>
        <v>0</v>
      </c>
      <c r="I559" s="89"/>
      <c r="J559" s="388"/>
      <c r="K559" s="48"/>
      <c r="L559" s="370"/>
      <c r="M559" s="48"/>
    </row>
    <row r="560" spans="1:13" x14ac:dyDescent="0.25">
      <c r="A560" s="42">
        <v>555</v>
      </c>
      <c r="B560" s="42" t="s">
        <v>799</v>
      </c>
      <c r="C560" s="87">
        <v>6339</v>
      </c>
      <c r="D560" s="476">
        <v>26000</v>
      </c>
      <c r="E560" s="42" t="s">
        <v>80</v>
      </c>
      <c r="F560" s="42">
        <v>289.72000000000003</v>
      </c>
      <c r="G560" s="42">
        <v>26000</v>
      </c>
      <c r="H560" s="42">
        <f t="shared" si="5"/>
        <v>0</v>
      </c>
      <c r="I560" s="89"/>
      <c r="J560" s="388"/>
      <c r="K560" s="48"/>
      <c r="L560" s="370"/>
      <c r="M560" s="48"/>
    </row>
    <row r="561" spans="1:13" x14ac:dyDescent="0.25">
      <c r="A561" s="42">
        <v>556</v>
      </c>
      <c r="B561" s="42" t="s">
        <v>799</v>
      </c>
      <c r="C561" s="87">
        <v>4146</v>
      </c>
      <c r="D561" s="476">
        <v>12000</v>
      </c>
      <c r="E561" s="42" t="s">
        <v>80</v>
      </c>
      <c r="F561" s="42">
        <v>133.41999999999999</v>
      </c>
      <c r="G561" s="42">
        <v>12000</v>
      </c>
      <c r="H561" s="42">
        <f t="shared" si="5"/>
        <v>0</v>
      </c>
      <c r="I561" s="89"/>
      <c r="J561" s="388"/>
      <c r="K561" s="48"/>
      <c r="L561" s="370"/>
      <c r="M561" s="48"/>
    </row>
    <row r="562" spans="1:13" x14ac:dyDescent="0.25">
      <c r="A562" s="42">
        <v>557</v>
      </c>
      <c r="B562" s="42" t="s">
        <v>799</v>
      </c>
      <c r="C562" s="87">
        <v>5.3999999999999999E-2</v>
      </c>
      <c r="D562" s="476">
        <v>20000</v>
      </c>
      <c r="E562" s="42" t="s">
        <v>80</v>
      </c>
      <c r="F562" s="42">
        <v>222.82</v>
      </c>
      <c r="G562" s="42">
        <v>20000</v>
      </c>
      <c r="H562" s="42">
        <f t="shared" si="5"/>
        <v>0</v>
      </c>
      <c r="I562" s="89"/>
      <c r="J562" s="388"/>
      <c r="K562" s="48"/>
      <c r="L562" s="370"/>
      <c r="M562" s="48"/>
    </row>
    <row r="563" spans="1:13" x14ac:dyDescent="0.25">
      <c r="A563" s="42">
        <v>558</v>
      </c>
      <c r="B563" s="42" t="s">
        <v>799</v>
      </c>
      <c r="C563" s="87" t="s">
        <v>30</v>
      </c>
      <c r="D563" s="476">
        <v>5000</v>
      </c>
      <c r="E563" s="42" t="s">
        <v>80</v>
      </c>
      <c r="F563" s="42">
        <v>55.45</v>
      </c>
      <c r="G563" s="42">
        <v>5000</v>
      </c>
      <c r="H563" s="42">
        <f t="shared" si="5"/>
        <v>0</v>
      </c>
      <c r="I563" s="89"/>
      <c r="J563" s="398">
        <f>2813755-2790989</f>
        <v>22766</v>
      </c>
      <c r="K563" s="398" t="s">
        <v>776</v>
      </c>
      <c r="L563" s="398" t="s">
        <v>620</v>
      </c>
      <c r="M563" s="398">
        <f>23076-2200</f>
        <v>20876</v>
      </c>
    </row>
    <row r="564" spans="1:13" x14ac:dyDescent="0.25">
      <c r="A564" s="42">
        <v>559</v>
      </c>
      <c r="B564" s="42" t="s">
        <v>800</v>
      </c>
      <c r="C564" s="87" t="s">
        <v>735</v>
      </c>
      <c r="D564" s="476">
        <v>3500</v>
      </c>
      <c r="E564" s="42" t="s">
        <v>80</v>
      </c>
      <c r="F564" s="42">
        <v>38.450000000000003</v>
      </c>
      <c r="G564" s="42">
        <v>3500</v>
      </c>
      <c r="H564" s="42">
        <f t="shared" si="5"/>
        <v>0</v>
      </c>
      <c r="I564" s="89"/>
    </row>
    <row r="565" spans="1:13" x14ac:dyDescent="0.25">
      <c r="A565" s="42">
        <v>560</v>
      </c>
      <c r="B565" s="42" t="s">
        <v>800</v>
      </c>
      <c r="C565" s="87">
        <v>6133</v>
      </c>
      <c r="D565" s="476">
        <v>15500</v>
      </c>
      <c r="E565" s="42" t="s">
        <v>80</v>
      </c>
      <c r="F565" s="42">
        <v>172.85</v>
      </c>
      <c r="G565" s="42">
        <v>15500</v>
      </c>
      <c r="H565" s="42">
        <f t="shared" si="5"/>
        <v>0</v>
      </c>
      <c r="I565" s="89"/>
    </row>
    <row r="566" spans="1:13" x14ac:dyDescent="0.25">
      <c r="A566" s="42">
        <v>561</v>
      </c>
      <c r="B566" s="42" t="s">
        <v>800</v>
      </c>
      <c r="C566" s="87">
        <v>6795</v>
      </c>
      <c r="D566" s="476">
        <v>15000</v>
      </c>
      <c r="E566" s="42" t="s">
        <v>80</v>
      </c>
      <c r="F566" s="42">
        <v>167.15</v>
      </c>
      <c r="G566" s="42">
        <v>15000</v>
      </c>
      <c r="H566" s="42">
        <f t="shared" si="5"/>
        <v>0</v>
      </c>
      <c r="I566" s="89"/>
    </row>
    <row r="567" spans="1:13" x14ac:dyDescent="0.25">
      <c r="A567" s="42">
        <v>562</v>
      </c>
      <c r="B567" s="42" t="s">
        <v>800</v>
      </c>
      <c r="C567" s="87">
        <v>7254</v>
      </c>
      <c r="D567" s="476">
        <v>6000</v>
      </c>
      <c r="E567" s="42" t="s">
        <v>80</v>
      </c>
      <c r="F567" s="42">
        <v>66.45</v>
      </c>
      <c r="G567" s="42">
        <v>6000</v>
      </c>
      <c r="H567" s="42">
        <f t="shared" si="5"/>
        <v>0</v>
      </c>
      <c r="I567" s="89"/>
    </row>
    <row r="568" spans="1:13" x14ac:dyDescent="0.25">
      <c r="A568" s="42">
        <v>563</v>
      </c>
      <c r="B568" s="42" t="s">
        <v>800</v>
      </c>
      <c r="C568" s="87">
        <v>2953</v>
      </c>
      <c r="D568" s="476">
        <v>5000</v>
      </c>
      <c r="E568" s="42" t="s">
        <v>80</v>
      </c>
      <c r="F568" s="42">
        <v>55.5</v>
      </c>
      <c r="G568" s="42">
        <v>5000</v>
      </c>
      <c r="H568" s="42">
        <f t="shared" si="5"/>
        <v>0</v>
      </c>
      <c r="I568" s="89"/>
    </row>
    <row r="569" spans="1:13" x14ac:dyDescent="0.25">
      <c r="A569" s="42">
        <v>564</v>
      </c>
      <c r="B569" s="42" t="s">
        <v>800</v>
      </c>
      <c r="C569" s="87">
        <v>4738</v>
      </c>
      <c r="D569" s="476">
        <v>6000</v>
      </c>
      <c r="E569" s="42" t="s">
        <v>80</v>
      </c>
      <c r="F569" s="42">
        <v>66.45</v>
      </c>
      <c r="G569" s="42">
        <v>6000</v>
      </c>
      <c r="H569" s="42">
        <f t="shared" si="5"/>
        <v>0</v>
      </c>
      <c r="I569" s="89"/>
    </row>
    <row r="570" spans="1:13" x14ac:dyDescent="0.25">
      <c r="A570" s="42">
        <v>565</v>
      </c>
      <c r="B570" s="42" t="s">
        <v>800</v>
      </c>
      <c r="C570" s="87">
        <v>6787</v>
      </c>
      <c r="D570" s="476">
        <v>12500</v>
      </c>
      <c r="E570" s="42" t="s">
        <v>80</v>
      </c>
      <c r="F570" s="42">
        <v>139.57</v>
      </c>
      <c r="G570" s="42">
        <v>12500</v>
      </c>
      <c r="H570" s="42">
        <f t="shared" si="5"/>
        <v>0</v>
      </c>
      <c r="I570" s="89"/>
    </row>
    <row r="571" spans="1:13" x14ac:dyDescent="0.25">
      <c r="A571" s="42">
        <v>566</v>
      </c>
      <c r="B571" s="42" t="s">
        <v>800</v>
      </c>
      <c r="C571" s="87">
        <v>2867</v>
      </c>
      <c r="D571" s="476">
        <v>17000</v>
      </c>
      <c r="E571" s="42" t="s">
        <v>80</v>
      </c>
      <c r="F571" s="42">
        <v>189.27</v>
      </c>
      <c r="G571" s="42">
        <v>17000</v>
      </c>
      <c r="H571" s="42">
        <f t="shared" si="5"/>
        <v>0</v>
      </c>
      <c r="I571" s="89"/>
    </row>
    <row r="572" spans="1:13" x14ac:dyDescent="0.25">
      <c r="A572" s="42">
        <v>567</v>
      </c>
      <c r="B572" s="42" t="s">
        <v>800</v>
      </c>
      <c r="C572" s="87">
        <v>5548</v>
      </c>
      <c r="D572" s="476">
        <v>30000</v>
      </c>
      <c r="E572" s="42" t="s">
        <v>80</v>
      </c>
      <c r="F572" s="42">
        <v>334.22</v>
      </c>
      <c r="G572" s="42">
        <v>30000</v>
      </c>
      <c r="H572" s="42">
        <f t="shared" si="5"/>
        <v>0</v>
      </c>
      <c r="I572" s="89"/>
    </row>
    <row r="573" spans="1:13" x14ac:dyDescent="0.25">
      <c r="A573" s="42">
        <v>568</v>
      </c>
      <c r="B573" s="42" t="s">
        <v>800</v>
      </c>
      <c r="C573" s="87">
        <v>6911</v>
      </c>
      <c r="D573" s="476">
        <v>18000</v>
      </c>
      <c r="E573" s="42" t="s">
        <v>80</v>
      </c>
      <c r="F573" s="42">
        <v>200.18</v>
      </c>
      <c r="G573" s="42">
        <v>18000</v>
      </c>
      <c r="H573" s="42">
        <f t="shared" si="5"/>
        <v>0</v>
      </c>
      <c r="I573" s="89"/>
    </row>
    <row r="574" spans="1:13" x14ac:dyDescent="0.25">
      <c r="A574" s="42">
        <v>569</v>
      </c>
      <c r="B574" s="42" t="s">
        <v>800</v>
      </c>
      <c r="C574" s="87">
        <v>5910</v>
      </c>
      <c r="D574" s="476">
        <v>10000</v>
      </c>
      <c r="E574" s="42" t="s">
        <v>80</v>
      </c>
      <c r="F574" s="42">
        <v>111.42</v>
      </c>
      <c r="G574" s="42">
        <v>10000</v>
      </c>
      <c r="H574" s="42">
        <f t="shared" si="5"/>
        <v>0</v>
      </c>
      <c r="I574" s="89"/>
    </row>
    <row r="575" spans="1:13" x14ac:dyDescent="0.25">
      <c r="A575" s="42">
        <v>570</v>
      </c>
      <c r="B575" s="42" t="s">
        <v>800</v>
      </c>
      <c r="C575" s="87">
        <v>4908</v>
      </c>
      <c r="D575" s="476">
        <v>15000</v>
      </c>
      <c r="E575" s="42" t="s">
        <v>80</v>
      </c>
      <c r="F575" s="42">
        <v>167.15</v>
      </c>
      <c r="G575" s="42">
        <v>15000</v>
      </c>
      <c r="H575" s="42">
        <f t="shared" si="5"/>
        <v>0</v>
      </c>
      <c r="I575" s="89"/>
    </row>
    <row r="576" spans="1:13" x14ac:dyDescent="0.25">
      <c r="A576" s="42">
        <v>571</v>
      </c>
      <c r="B576" s="42" t="s">
        <v>800</v>
      </c>
      <c r="C576" s="87">
        <v>7510</v>
      </c>
      <c r="D576" s="476">
        <v>10000</v>
      </c>
      <c r="E576" s="42" t="s">
        <v>80</v>
      </c>
      <c r="F576" s="42">
        <v>111.42</v>
      </c>
      <c r="G576" s="42">
        <v>10000</v>
      </c>
      <c r="H576" s="42">
        <f t="shared" si="5"/>
        <v>0</v>
      </c>
      <c r="I576" s="89"/>
    </row>
    <row r="577" spans="1:13" x14ac:dyDescent="0.25">
      <c r="A577" s="42">
        <v>572</v>
      </c>
      <c r="B577" s="42" t="s">
        <v>800</v>
      </c>
      <c r="C577" s="87">
        <v>6929</v>
      </c>
      <c r="D577" s="476">
        <v>16000</v>
      </c>
      <c r="E577" s="42" t="s">
        <v>80</v>
      </c>
      <c r="F577" s="42">
        <v>178.22</v>
      </c>
      <c r="G577" s="42">
        <v>16000</v>
      </c>
      <c r="H577" s="42">
        <f t="shared" si="5"/>
        <v>0</v>
      </c>
      <c r="I577" s="89"/>
    </row>
    <row r="578" spans="1:13" x14ac:dyDescent="0.25">
      <c r="A578" s="42">
        <v>573</v>
      </c>
      <c r="B578" s="42" t="s">
        <v>800</v>
      </c>
      <c r="C578" s="87">
        <v>6579</v>
      </c>
      <c r="D578" s="476">
        <v>28000</v>
      </c>
      <c r="E578" s="42" t="s">
        <v>80</v>
      </c>
      <c r="F578" s="42">
        <v>311.70999999999998</v>
      </c>
      <c r="G578" s="42">
        <v>28000</v>
      </c>
      <c r="H578" s="42">
        <f t="shared" si="5"/>
        <v>0</v>
      </c>
      <c r="I578" s="89"/>
    </row>
    <row r="579" spans="1:13" x14ac:dyDescent="0.25">
      <c r="A579" s="42">
        <v>574</v>
      </c>
      <c r="B579" s="42" t="s">
        <v>800</v>
      </c>
      <c r="C579" s="87">
        <v>3665</v>
      </c>
      <c r="D579" s="476">
        <v>8000</v>
      </c>
      <c r="E579" s="42" t="s">
        <v>80</v>
      </c>
      <c r="F579" s="42">
        <v>89.93</v>
      </c>
      <c r="G579" s="42">
        <v>8000</v>
      </c>
      <c r="H579" s="42">
        <f t="shared" si="5"/>
        <v>0</v>
      </c>
      <c r="I579" s="89"/>
    </row>
    <row r="580" spans="1:13" x14ac:dyDescent="0.25">
      <c r="A580" s="42">
        <v>575</v>
      </c>
      <c r="B580" s="42" t="s">
        <v>800</v>
      </c>
      <c r="C580" s="87">
        <v>4030</v>
      </c>
      <c r="D580" s="476">
        <v>19000</v>
      </c>
      <c r="E580" s="42" t="s">
        <v>80</v>
      </c>
      <c r="F580" s="42">
        <v>211.27</v>
      </c>
      <c r="G580" s="42">
        <v>19000</v>
      </c>
      <c r="H580" s="42">
        <f t="shared" si="5"/>
        <v>0</v>
      </c>
      <c r="I580" s="89"/>
    </row>
    <row r="581" spans="1:13" x14ac:dyDescent="0.25">
      <c r="A581" s="42">
        <v>576</v>
      </c>
      <c r="B581" s="42" t="s">
        <v>800</v>
      </c>
      <c r="C581" s="87">
        <v>2320</v>
      </c>
      <c r="D581" s="476">
        <v>29000</v>
      </c>
      <c r="E581" s="42" t="s">
        <v>80</v>
      </c>
      <c r="F581" s="42">
        <v>325.49</v>
      </c>
      <c r="G581" s="42">
        <v>29000</v>
      </c>
      <c r="H581" s="42">
        <f t="shared" si="5"/>
        <v>0</v>
      </c>
      <c r="I581" s="89"/>
    </row>
    <row r="582" spans="1:13" x14ac:dyDescent="0.25">
      <c r="A582" s="42">
        <v>577</v>
      </c>
      <c r="B582" s="42" t="s">
        <v>800</v>
      </c>
      <c r="C582" s="87">
        <v>9458</v>
      </c>
      <c r="D582" s="476">
        <v>30000</v>
      </c>
      <c r="E582" s="42" t="s">
        <v>80</v>
      </c>
      <c r="F582" s="42">
        <v>334.22</v>
      </c>
      <c r="G582" s="42">
        <v>30000</v>
      </c>
      <c r="H582" s="42">
        <f t="shared" si="5"/>
        <v>0</v>
      </c>
      <c r="I582" s="89"/>
    </row>
    <row r="583" spans="1:13" x14ac:dyDescent="0.25">
      <c r="A583" s="42">
        <v>578</v>
      </c>
      <c r="B583" s="42" t="s">
        <v>800</v>
      </c>
      <c r="C583" s="87">
        <v>7258</v>
      </c>
      <c r="D583" s="476">
        <v>28000</v>
      </c>
      <c r="E583" s="42" t="s">
        <v>80</v>
      </c>
      <c r="F583" s="42">
        <v>322.58</v>
      </c>
      <c r="G583" s="42">
        <v>28000</v>
      </c>
      <c r="H583" s="42">
        <f t="shared" si="5"/>
        <v>0</v>
      </c>
      <c r="I583" s="89"/>
    </row>
    <row r="584" spans="1:13" x14ac:dyDescent="0.25">
      <c r="A584" s="42">
        <v>579</v>
      </c>
      <c r="B584" s="42" t="s">
        <v>800</v>
      </c>
      <c r="C584" s="87">
        <v>3504</v>
      </c>
      <c r="D584" s="476">
        <v>15000</v>
      </c>
      <c r="E584" s="42" t="s">
        <v>80</v>
      </c>
      <c r="F584" s="42">
        <v>167.15</v>
      </c>
      <c r="G584" s="42">
        <v>15000</v>
      </c>
      <c r="H584" s="42">
        <f t="shared" si="5"/>
        <v>0</v>
      </c>
      <c r="I584" s="89"/>
    </row>
    <row r="585" spans="1:13" x14ac:dyDescent="0.25">
      <c r="A585" s="42">
        <v>580</v>
      </c>
      <c r="B585" s="42" t="s">
        <v>800</v>
      </c>
      <c r="C585" s="87">
        <v>8963</v>
      </c>
      <c r="D585" s="476">
        <v>27000</v>
      </c>
      <c r="E585" s="42" t="s">
        <v>80</v>
      </c>
      <c r="F585" s="42">
        <v>300.42</v>
      </c>
      <c r="G585" s="42">
        <v>27000</v>
      </c>
      <c r="H585" s="42">
        <f t="shared" si="5"/>
        <v>0</v>
      </c>
      <c r="I585" s="89"/>
    </row>
    <row r="586" spans="1:13" x14ac:dyDescent="0.25">
      <c r="A586" s="42">
        <v>581</v>
      </c>
      <c r="B586" s="42" t="s">
        <v>800</v>
      </c>
      <c r="C586" s="87">
        <v>1956</v>
      </c>
      <c r="D586" s="476">
        <v>19000</v>
      </c>
      <c r="E586" s="42" t="s">
        <v>80</v>
      </c>
      <c r="F586" s="42">
        <v>219.42</v>
      </c>
      <c r="G586" s="42">
        <v>19000</v>
      </c>
      <c r="H586" s="42">
        <f t="shared" si="5"/>
        <v>0</v>
      </c>
      <c r="I586" s="89"/>
    </row>
    <row r="587" spans="1:13" x14ac:dyDescent="0.25">
      <c r="A587" s="42">
        <v>582</v>
      </c>
      <c r="B587" s="42" t="s">
        <v>800</v>
      </c>
      <c r="C587" s="87">
        <v>2071</v>
      </c>
      <c r="D587" s="476">
        <v>20000</v>
      </c>
      <c r="E587" s="42" t="s">
        <v>80</v>
      </c>
      <c r="F587" s="42">
        <v>222.82</v>
      </c>
      <c r="G587" s="42">
        <v>20000</v>
      </c>
      <c r="H587" s="42">
        <f t="shared" si="5"/>
        <v>0</v>
      </c>
      <c r="I587" s="89"/>
    </row>
    <row r="588" spans="1:13" x14ac:dyDescent="0.25">
      <c r="A588" s="42">
        <v>583</v>
      </c>
      <c r="B588" s="42" t="s">
        <v>800</v>
      </c>
      <c r="C588" s="87">
        <v>2150</v>
      </c>
      <c r="D588" s="476">
        <v>23000</v>
      </c>
      <c r="E588" s="42" t="s">
        <v>80</v>
      </c>
      <c r="F588" s="42">
        <v>256.77999999999997</v>
      </c>
      <c r="G588" s="42">
        <v>23000</v>
      </c>
      <c r="H588" s="42">
        <f t="shared" si="5"/>
        <v>0</v>
      </c>
      <c r="I588" s="89"/>
    </row>
    <row r="589" spans="1:13" x14ac:dyDescent="0.25">
      <c r="A589" s="42">
        <v>584</v>
      </c>
      <c r="B589" s="42" t="s">
        <v>800</v>
      </c>
      <c r="C589" s="87">
        <v>3235</v>
      </c>
      <c r="D589" s="476">
        <v>30000</v>
      </c>
      <c r="E589" s="42" t="s">
        <v>80</v>
      </c>
      <c r="F589" s="42">
        <v>334.42</v>
      </c>
      <c r="G589" s="42">
        <v>30000</v>
      </c>
      <c r="H589" s="42">
        <f t="shared" ref="H589:H652" si="6">D589-G589</f>
        <v>0</v>
      </c>
      <c r="I589" s="89"/>
      <c r="J589" s="398">
        <f>2466598-2446489</f>
        <v>20109</v>
      </c>
      <c r="K589" s="398" t="s">
        <v>801</v>
      </c>
      <c r="L589" s="398" t="s">
        <v>620</v>
      </c>
      <c r="M589" s="86">
        <f>22000-20109</f>
        <v>1891</v>
      </c>
    </row>
    <row r="590" spans="1:13" x14ac:dyDescent="0.25">
      <c r="A590" s="42">
        <v>585</v>
      </c>
      <c r="B590" s="42" t="s">
        <v>802</v>
      </c>
      <c r="C590" s="87">
        <v>5.1999999999999998E-3</v>
      </c>
      <c r="D590" s="476">
        <v>16000</v>
      </c>
      <c r="E590" s="42" t="s">
        <v>80</v>
      </c>
      <c r="F590" s="42">
        <v>178.22</v>
      </c>
      <c r="G590" s="42">
        <v>16000</v>
      </c>
      <c r="H590" s="42">
        <f t="shared" si="6"/>
        <v>0</v>
      </c>
      <c r="I590" s="89"/>
    </row>
    <row r="591" spans="1:13" x14ac:dyDescent="0.25">
      <c r="A591" s="42">
        <v>586</v>
      </c>
      <c r="B591" s="42" t="s">
        <v>802</v>
      </c>
      <c r="C591" s="87">
        <v>4513</v>
      </c>
      <c r="D591" s="476">
        <v>16000</v>
      </c>
      <c r="E591" s="42" t="s">
        <v>80</v>
      </c>
      <c r="F591" s="42">
        <v>178.22</v>
      </c>
      <c r="G591" s="42">
        <v>16000</v>
      </c>
      <c r="H591" s="42">
        <f t="shared" si="6"/>
        <v>0</v>
      </c>
      <c r="I591" s="89"/>
    </row>
    <row r="592" spans="1:13" x14ac:dyDescent="0.25">
      <c r="A592" s="42">
        <v>587</v>
      </c>
      <c r="B592" s="42" t="s">
        <v>802</v>
      </c>
      <c r="C592" s="87">
        <v>4514</v>
      </c>
      <c r="D592" s="476">
        <v>16000</v>
      </c>
      <c r="E592" s="42" t="s">
        <v>80</v>
      </c>
      <c r="F592" s="42">
        <v>178.22</v>
      </c>
      <c r="G592" s="42">
        <v>16000</v>
      </c>
      <c r="H592" s="42">
        <f t="shared" si="6"/>
        <v>0</v>
      </c>
      <c r="I592" s="89"/>
    </row>
    <row r="593" spans="1:9" x14ac:dyDescent="0.25">
      <c r="A593" s="42">
        <v>588</v>
      </c>
      <c r="B593" s="42" t="s">
        <v>802</v>
      </c>
      <c r="C593" s="87">
        <v>5152</v>
      </c>
      <c r="D593" s="476">
        <v>16000</v>
      </c>
      <c r="E593" s="42" t="s">
        <v>80</v>
      </c>
      <c r="F593" s="42">
        <v>178.22</v>
      </c>
      <c r="G593" s="42">
        <v>16000</v>
      </c>
      <c r="H593" s="42">
        <f t="shared" si="6"/>
        <v>0</v>
      </c>
      <c r="I593" s="89"/>
    </row>
    <row r="594" spans="1:9" x14ac:dyDescent="0.25">
      <c r="A594" s="42">
        <v>589</v>
      </c>
      <c r="B594" s="42" t="s">
        <v>802</v>
      </c>
      <c r="C594" s="87">
        <v>4820</v>
      </c>
      <c r="D594" s="476">
        <v>16000</v>
      </c>
      <c r="E594" s="42" t="s">
        <v>80</v>
      </c>
      <c r="F594" s="42">
        <v>178.22</v>
      </c>
      <c r="G594" s="42">
        <v>16000</v>
      </c>
      <c r="H594" s="42">
        <f t="shared" si="6"/>
        <v>0</v>
      </c>
      <c r="I594" s="89"/>
    </row>
    <row r="595" spans="1:9" x14ac:dyDescent="0.25">
      <c r="A595" s="42">
        <v>590</v>
      </c>
      <c r="B595" s="42" t="s">
        <v>802</v>
      </c>
      <c r="C595" s="87">
        <v>8820</v>
      </c>
      <c r="D595" s="476">
        <v>16000</v>
      </c>
      <c r="E595" s="42" t="s">
        <v>80</v>
      </c>
      <c r="F595" s="42">
        <v>178.22</v>
      </c>
      <c r="G595" s="42">
        <v>16000</v>
      </c>
      <c r="H595" s="42">
        <f t="shared" si="6"/>
        <v>0</v>
      </c>
      <c r="I595" s="89"/>
    </row>
    <row r="596" spans="1:9" x14ac:dyDescent="0.25">
      <c r="A596" s="42">
        <v>591</v>
      </c>
      <c r="B596" s="42" t="s">
        <v>802</v>
      </c>
      <c r="C596" s="87">
        <v>6735</v>
      </c>
      <c r="D596" s="476">
        <v>17000</v>
      </c>
      <c r="E596" s="42" t="s">
        <v>80</v>
      </c>
      <c r="F596" s="42">
        <v>189.42</v>
      </c>
      <c r="G596" s="42">
        <v>17000</v>
      </c>
      <c r="H596" s="42">
        <f t="shared" si="6"/>
        <v>0</v>
      </c>
      <c r="I596" s="89"/>
    </row>
    <row r="597" spans="1:9" x14ac:dyDescent="0.25">
      <c r="A597" s="42">
        <v>592</v>
      </c>
      <c r="B597" s="42" t="s">
        <v>802</v>
      </c>
      <c r="C597" s="87">
        <v>8990</v>
      </c>
      <c r="D597" s="476">
        <v>17000</v>
      </c>
      <c r="E597" s="42" t="s">
        <v>80</v>
      </c>
      <c r="F597" s="42">
        <v>189.42</v>
      </c>
      <c r="G597" s="42">
        <v>17000</v>
      </c>
      <c r="H597" s="42">
        <f t="shared" si="6"/>
        <v>0</v>
      </c>
      <c r="I597" s="89"/>
    </row>
    <row r="598" spans="1:9" x14ac:dyDescent="0.25">
      <c r="A598" s="42">
        <v>593</v>
      </c>
      <c r="B598" s="42" t="s">
        <v>802</v>
      </c>
      <c r="C598" s="87">
        <v>6932</v>
      </c>
      <c r="D598" s="476">
        <v>17000</v>
      </c>
      <c r="E598" s="42" t="s">
        <v>80</v>
      </c>
      <c r="F598" s="42">
        <v>189.42</v>
      </c>
      <c r="G598" s="42">
        <v>17000</v>
      </c>
      <c r="H598" s="42">
        <f t="shared" si="6"/>
        <v>0</v>
      </c>
      <c r="I598" s="89"/>
    </row>
    <row r="599" spans="1:9" x14ac:dyDescent="0.25">
      <c r="A599" s="42">
        <v>594</v>
      </c>
      <c r="B599" s="42" t="s">
        <v>802</v>
      </c>
      <c r="C599" s="87">
        <v>9212</v>
      </c>
      <c r="D599" s="476">
        <v>17000</v>
      </c>
      <c r="E599" s="42" t="s">
        <v>80</v>
      </c>
      <c r="F599" s="42">
        <v>189.42</v>
      </c>
      <c r="G599" s="42">
        <v>17000</v>
      </c>
      <c r="H599" s="42">
        <f t="shared" si="6"/>
        <v>0</v>
      </c>
      <c r="I599" s="89"/>
    </row>
    <row r="600" spans="1:9" x14ac:dyDescent="0.25">
      <c r="A600" s="42">
        <v>595</v>
      </c>
      <c r="B600" s="42" t="s">
        <v>802</v>
      </c>
      <c r="C600" s="87">
        <v>2.53E-2</v>
      </c>
      <c r="D600" s="476">
        <v>17000</v>
      </c>
      <c r="E600" s="42" t="s">
        <v>80</v>
      </c>
      <c r="F600" s="42">
        <v>189.42</v>
      </c>
      <c r="G600" s="42">
        <v>17000</v>
      </c>
      <c r="H600" s="42">
        <f t="shared" si="6"/>
        <v>0</v>
      </c>
      <c r="I600" s="89"/>
    </row>
    <row r="601" spans="1:9" x14ac:dyDescent="0.25">
      <c r="A601" s="42">
        <v>596</v>
      </c>
      <c r="B601" s="42" t="s">
        <v>802</v>
      </c>
      <c r="C601" s="87">
        <v>5820</v>
      </c>
      <c r="D601" s="476">
        <v>17000</v>
      </c>
      <c r="E601" s="42" t="s">
        <v>80</v>
      </c>
      <c r="F601" s="42">
        <v>189.42</v>
      </c>
      <c r="G601" s="42">
        <v>17000</v>
      </c>
      <c r="H601" s="42">
        <f t="shared" si="6"/>
        <v>0</v>
      </c>
      <c r="I601" s="89"/>
    </row>
    <row r="602" spans="1:9" x14ac:dyDescent="0.25">
      <c r="A602" s="42">
        <v>597</v>
      </c>
      <c r="B602" s="42" t="s">
        <v>802</v>
      </c>
      <c r="C602" s="87">
        <v>6734</v>
      </c>
      <c r="D602" s="476">
        <v>17000</v>
      </c>
      <c r="E602" s="42" t="s">
        <v>80</v>
      </c>
      <c r="F602" s="42">
        <v>189.42</v>
      </c>
      <c r="G602" s="42">
        <v>17000</v>
      </c>
      <c r="H602" s="42">
        <f t="shared" si="6"/>
        <v>0</v>
      </c>
      <c r="I602" s="89"/>
    </row>
    <row r="603" spans="1:9" x14ac:dyDescent="0.25">
      <c r="A603" s="42">
        <v>598</v>
      </c>
      <c r="B603" s="42" t="s">
        <v>802</v>
      </c>
      <c r="C603" s="87">
        <v>6930</v>
      </c>
      <c r="D603" s="476">
        <v>17000</v>
      </c>
      <c r="E603" s="42" t="s">
        <v>80</v>
      </c>
      <c r="F603" s="42">
        <v>189.42</v>
      </c>
      <c r="G603" s="42">
        <v>17000</v>
      </c>
      <c r="H603" s="42">
        <f t="shared" si="6"/>
        <v>0</v>
      </c>
      <c r="I603" s="89"/>
    </row>
    <row r="604" spans="1:9" x14ac:dyDescent="0.25">
      <c r="A604" s="42">
        <v>599</v>
      </c>
      <c r="B604" s="42" t="s">
        <v>802</v>
      </c>
      <c r="C604" s="87">
        <v>6957</v>
      </c>
      <c r="D604" s="476">
        <v>18000</v>
      </c>
      <c r="E604" s="42" t="s">
        <v>80</v>
      </c>
      <c r="F604" s="42">
        <v>194.71</v>
      </c>
      <c r="G604" s="42">
        <v>18000</v>
      </c>
      <c r="H604" s="42">
        <f t="shared" si="6"/>
        <v>0</v>
      </c>
      <c r="I604" s="89"/>
    </row>
    <row r="605" spans="1:9" x14ac:dyDescent="0.25">
      <c r="A605" s="42">
        <v>600</v>
      </c>
      <c r="B605" s="42" t="s">
        <v>802</v>
      </c>
      <c r="C605" s="87">
        <v>7960</v>
      </c>
      <c r="D605" s="476">
        <v>18000</v>
      </c>
      <c r="E605" s="42" t="s">
        <v>80</v>
      </c>
      <c r="F605" s="42">
        <v>194.71</v>
      </c>
      <c r="G605" s="42">
        <v>18000</v>
      </c>
      <c r="H605" s="42">
        <f t="shared" si="6"/>
        <v>0</v>
      </c>
      <c r="I605" s="89"/>
    </row>
    <row r="606" spans="1:9" x14ac:dyDescent="0.25">
      <c r="A606" s="42">
        <v>601</v>
      </c>
      <c r="B606" s="42" t="s">
        <v>802</v>
      </c>
      <c r="C606" s="87">
        <v>3662</v>
      </c>
      <c r="D606" s="476">
        <v>20000</v>
      </c>
      <c r="E606" s="42" t="s">
        <v>80</v>
      </c>
      <c r="F606" s="42">
        <v>222.52</v>
      </c>
      <c r="G606" s="42">
        <v>20000</v>
      </c>
      <c r="H606" s="42">
        <f t="shared" si="6"/>
        <v>0</v>
      </c>
      <c r="I606" s="89"/>
    </row>
    <row r="607" spans="1:9" x14ac:dyDescent="0.25">
      <c r="A607" s="42">
        <v>602</v>
      </c>
      <c r="B607" s="42" t="s">
        <v>802</v>
      </c>
      <c r="C607" s="87">
        <v>1547</v>
      </c>
      <c r="D607" s="476">
        <v>20000</v>
      </c>
      <c r="E607" s="42" t="s">
        <v>80</v>
      </c>
      <c r="F607" s="42">
        <v>222.52</v>
      </c>
      <c r="G607" s="42">
        <v>20000</v>
      </c>
      <c r="H607" s="42">
        <f t="shared" si="6"/>
        <v>0</v>
      </c>
      <c r="I607" s="89"/>
    </row>
    <row r="608" spans="1:9" x14ac:dyDescent="0.25">
      <c r="A608" s="42">
        <v>603</v>
      </c>
      <c r="B608" s="42" t="s">
        <v>802</v>
      </c>
      <c r="C608" s="87" t="s">
        <v>30</v>
      </c>
      <c r="D608" s="476">
        <v>4500</v>
      </c>
      <c r="E608" s="42" t="s">
        <v>80</v>
      </c>
      <c r="F608" s="42">
        <v>50.45</v>
      </c>
      <c r="G608" s="42">
        <v>4500</v>
      </c>
      <c r="H608" s="42">
        <f t="shared" si="6"/>
        <v>0</v>
      </c>
      <c r="I608" s="89"/>
    </row>
    <row r="609" spans="1:9" x14ac:dyDescent="0.25">
      <c r="A609" s="42">
        <v>604</v>
      </c>
      <c r="B609" s="42" t="s">
        <v>802</v>
      </c>
      <c r="C609" s="87">
        <v>9521</v>
      </c>
      <c r="D609" s="476">
        <v>23000</v>
      </c>
      <c r="E609" s="42" t="s">
        <v>80</v>
      </c>
      <c r="F609" s="42">
        <v>256.87</v>
      </c>
      <c r="G609" s="42">
        <v>23000</v>
      </c>
      <c r="H609" s="42">
        <f t="shared" si="6"/>
        <v>0</v>
      </c>
      <c r="I609" s="89"/>
    </row>
    <row r="610" spans="1:9" x14ac:dyDescent="0.25">
      <c r="A610" s="42">
        <v>605</v>
      </c>
      <c r="B610" s="42" t="s">
        <v>802</v>
      </c>
      <c r="C610" s="87">
        <v>1416</v>
      </c>
      <c r="D610" s="476">
        <v>10000</v>
      </c>
      <c r="E610" s="42" t="s">
        <v>80</v>
      </c>
      <c r="F610" s="42">
        <v>111.42</v>
      </c>
      <c r="G610" s="42">
        <v>10000</v>
      </c>
      <c r="H610" s="42">
        <f t="shared" si="6"/>
        <v>0</v>
      </c>
      <c r="I610" s="89"/>
    </row>
    <row r="611" spans="1:9" x14ac:dyDescent="0.25">
      <c r="A611" s="42">
        <v>606</v>
      </c>
      <c r="B611" s="42" t="s">
        <v>802</v>
      </c>
      <c r="C611" s="87">
        <v>8392</v>
      </c>
      <c r="D611" s="476">
        <v>15000</v>
      </c>
      <c r="E611" s="42" t="s">
        <v>80</v>
      </c>
      <c r="F611" s="42">
        <v>167.15</v>
      </c>
      <c r="G611" s="42">
        <v>15000</v>
      </c>
      <c r="H611" s="42">
        <f t="shared" si="6"/>
        <v>0</v>
      </c>
      <c r="I611" s="89"/>
    </row>
    <row r="612" spans="1:9" x14ac:dyDescent="0.25">
      <c r="A612" s="42">
        <v>607</v>
      </c>
      <c r="B612" s="42" t="s">
        <v>802</v>
      </c>
      <c r="C612" s="87">
        <v>6.4699999999999994E-2</v>
      </c>
      <c r="D612" s="476">
        <v>13000</v>
      </c>
      <c r="E612" s="42" t="s">
        <v>80</v>
      </c>
      <c r="F612" s="42">
        <v>144.13</v>
      </c>
      <c r="G612" s="42">
        <v>13000</v>
      </c>
      <c r="H612" s="42">
        <f t="shared" si="6"/>
        <v>0</v>
      </c>
      <c r="I612" s="89"/>
    </row>
    <row r="613" spans="1:9" x14ac:dyDescent="0.25">
      <c r="A613" s="42">
        <v>608</v>
      </c>
      <c r="B613" s="42" t="s">
        <v>802</v>
      </c>
      <c r="C613" s="87">
        <v>4506</v>
      </c>
      <c r="D613" s="476">
        <v>15000</v>
      </c>
      <c r="E613" s="42" t="s">
        <v>80</v>
      </c>
      <c r="F613" s="42">
        <v>167.15</v>
      </c>
      <c r="G613" s="42">
        <v>15000</v>
      </c>
      <c r="H613" s="42">
        <f t="shared" si="6"/>
        <v>0</v>
      </c>
      <c r="I613" s="89"/>
    </row>
    <row r="614" spans="1:9" x14ac:dyDescent="0.25">
      <c r="A614" s="42">
        <v>609</v>
      </c>
      <c r="B614" s="42" t="s">
        <v>802</v>
      </c>
      <c r="C614" s="87">
        <v>4.7000000000000002E-3</v>
      </c>
      <c r="D614" s="476">
        <v>14000</v>
      </c>
      <c r="E614" s="42" t="s">
        <v>80</v>
      </c>
      <c r="F614" s="42">
        <v>144.13</v>
      </c>
      <c r="G614" s="42">
        <v>14000</v>
      </c>
      <c r="H614" s="42">
        <f t="shared" si="6"/>
        <v>0</v>
      </c>
      <c r="I614" s="89"/>
    </row>
    <row r="615" spans="1:9" x14ac:dyDescent="0.25">
      <c r="A615" s="42">
        <v>610</v>
      </c>
      <c r="B615" s="42" t="s">
        <v>802</v>
      </c>
      <c r="C615" s="87">
        <v>2072</v>
      </c>
      <c r="D615" s="476">
        <v>29000</v>
      </c>
      <c r="E615" s="42" t="s">
        <v>80</v>
      </c>
      <c r="F615" s="42">
        <v>323.67</v>
      </c>
      <c r="G615" s="42">
        <v>29000</v>
      </c>
      <c r="H615" s="42">
        <f t="shared" si="6"/>
        <v>0</v>
      </c>
      <c r="I615" s="89"/>
    </row>
    <row r="616" spans="1:9" x14ac:dyDescent="0.25">
      <c r="A616" s="42">
        <v>611</v>
      </c>
      <c r="B616" s="42" t="s">
        <v>802</v>
      </c>
      <c r="C616" s="87" t="s">
        <v>633</v>
      </c>
      <c r="D616" s="476">
        <v>210</v>
      </c>
      <c r="E616" s="42" t="s">
        <v>80</v>
      </c>
      <c r="F616" s="42">
        <v>2.09</v>
      </c>
      <c r="G616" s="42">
        <v>210</v>
      </c>
      <c r="H616" s="42">
        <f t="shared" si="6"/>
        <v>0</v>
      </c>
      <c r="I616" s="89"/>
    </row>
    <row r="617" spans="1:9" x14ac:dyDescent="0.25">
      <c r="A617" s="42">
        <v>612</v>
      </c>
      <c r="B617" s="42" t="s">
        <v>802</v>
      </c>
      <c r="C617" s="87">
        <v>8799</v>
      </c>
      <c r="D617" s="476">
        <v>15000</v>
      </c>
      <c r="E617" s="42" t="s">
        <v>80</v>
      </c>
      <c r="F617" s="42">
        <v>167.15</v>
      </c>
      <c r="G617" s="42">
        <v>15000</v>
      </c>
      <c r="H617" s="42">
        <f t="shared" si="6"/>
        <v>0</v>
      </c>
      <c r="I617" s="89"/>
    </row>
    <row r="618" spans="1:9" x14ac:dyDescent="0.25">
      <c r="A618" s="42">
        <v>613</v>
      </c>
      <c r="B618" s="42" t="s">
        <v>802</v>
      </c>
      <c r="C618" s="87">
        <v>9817</v>
      </c>
      <c r="D618" s="476">
        <v>20000</v>
      </c>
      <c r="E618" s="42" t="s">
        <v>80</v>
      </c>
      <c r="F618" s="42">
        <v>222.52</v>
      </c>
      <c r="G618" s="42">
        <v>20000</v>
      </c>
      <c r="H618" s="42">
        <f t="shared" si="6"/>
        <v>0</v>
      </c>
      <c r="I618" s="89"/>
    </row>
    <row r="619" spans="1:9" x14ac:dyDescent="0.25">
      <c r="A619" s="42">
        <v>614</v>
      </c>
      <c r="B619" s="42" t="s">
        <v>802</v>
      </c>
      <c r="C619" s="87">
        <v>5204</v>
      </c>
      <c r="D619" s="476">
        <v>27000</v>
      </c>
      <c r="E619" s="42" t="s">
        <v>80</v>
      </c>
      <c r="F619" s="42">
        <v>300.82</v>
      </c>
      <c r="G619" s="42">
        <v>27000</v>
      </c>
      <c r="H619" s="42">
        <f t="shared" si="6"/>
        <v>0</v>
      </c>
      <c r="I619" s="89"/>
    </row>
    <row r="620" spans="1:9" x14ac:dyDescent="0.25">
      <c r="A620" s="42">
        <v>615</v>
      </c>
      <c r="B620" s="42" t="s">
        <v>802</v>
      </c>
      <c r="C620" s="87">
        <v>4768</v>
      </c>
      <c r="D620" s="476">
        <v>6000</v>
      </c>
      <c r="E620" s="42" t="s">
        <v>80</v>
      </c>
      <c r="F620" s="42">
        <v>66.349999999999994</v>
      </c>
      <c r="G620" s="42">
        <v>6000</v>
      </c>
      <c r="H620" s="42">
        <f t="shared" si="6"/>
        <v>0</v>
      </c>
      <c r="I620" s="89"/>
    </row>
    <row r="621" spans="1:9" x14ac:dyDescent="0.25">
      <c r="A621" s="42">
        <v>616</v>
      </c>
      <c r="B621" s="42" t="s">
        <v>802</v>
      </c>
      <c r="C621" s="87">
        <v>7567</v>
      </c>
      <c r="D621" s="476">
        <v>20000</v>
      </c>
      <c r="E621" s="42" t="s">
        <v>80</v>
      </c>
      <c r="F621" s="42">
        <v>222.52</v>
      </c>
      <c r="G621" s="42">
        <v>20000</v>
      </c>
      <c r="H621" s="42">
        <f t="shared" si="6"/>
        <v>0</v>
      </c>
      <c r="I621" s="89"/>
    </row>
    <row r="622" spans="1:9" x14ac:dyDescent="0.25">
      <c r="A622" s="42">
        <v>617</v>
      </c>
      <c r="B622" s="42" t="s">
        <v>802</v>
      </c>
      <c r="C622" s="87">
        <v>1330</v>
      </c>
      <c r="D622" s="476">
        <v>10000</v>
      </c>
      <c r="E622" s="42" t="s">
        <v>80</v>
      </c>
      <c r="F622" s="42">
        <v>111.42</v>
      </c>
      <c r="G622" s="42">
        <v>10000</v>
      </c>
      <c r="H622" s="42">
        <f t="shared" si="6"/>
        <v>0</v>
      </c>
      <c r="I622" s="89"/>
    </row>
    <row r="623" spans="1:9" x14ac:dyDescent="0.25">
      <c r="A623" s="42">
        <v>618</v>
      </c>
      <c r="B623" s="42" t="s">
        <v>802</v>
      </c>
      <c r="C623" s="87">
        <v>7457</v>
      </c>
      <c r="D623" s="476">
        <v>7000</v>
      </c>
      <c r="E623" s="42" t="s">
        <v>80</v>
      </c>
      <c r="F623" s="42">
        <v>80.52</v>
      </c>
      <c r="G623" s="42">
        <v>7000</v>
      </c>
      <c r="H623" s="42">
        <f t="shared" si="6"/>
        <v>0</v>
      </c>
      <c r="I623" s="89"/>
    </row>
    <row r="624" spans="1:9" x14ac:dyDescent="0.25">
      <c r="A624" s="42">
        <v>619</v>
      </c>
      <c r="B624" s="42" t="s">
        <v>802</v>
      </c>
      <c r="C624" s="87">
        <v>3042</v>
      </c>
      <c r="D624" s="476">
        <v>11500</v>
      </c>
      <c r="E624" s="42" t="s">
        <v>80</v>
      </c>
      <c r="F624" s="42">
        <v>155.74</v>
      </c>
      <c r="G624" s="42">
        <v>11500</v>
      </c>
      <c r="H624" s="42">
        <f t="shared" si="6"/>
        <v>0</v>
      </c>
      <c r="I624" s="89"/>
    </row>
    <row r="625" spans="1:13" x14ac:dyDescent="0.25">
      <c r="A625" s="42">
        <v>620</v>
      </c>
      <c r="B625" s="42" t="s">
        <v>802</v>
      </c>
      <c r="C625" s="87">
        <v>3577</v>
      </c>
      <c r="D625" s="476">
        <v>14000</v>
      </c>
      <c r="E625" s="42" t="s">
        <v>80</v>
      </c>
      <c r="F625" s="42">
        <v>133.41999999999999</v>
      </c>
      <c r="G625" s="42">
        <v>14000</v>
      </c>
      <c r="H625" s="42">
        <f t="shared" si="6"/>
        <v>0</v>
      </c>
      <c r="I625" s="89"/>
    </row>
    <row r="626" spans="1:13" x14ac:dyDescent="0.25">
      <c r="A626" s="42">
        <v>621</v>
      </c>
      <c r="B626" s="42" t="s">
        <v>802</v>
      </c>
      <c r="C626" s="87">
        <v>7327</v>
      </c>
      <c r="D626" s="476">
        <v>5000</v>
      </c>
      <c r="E626" s="42" t="s">
        <v>80</v>
      </c>
      <c r="F626" s="42">
        <v>55.45</v>
      </c>
      <c r="G626" s="42">
        <v>5000</v>
      </c>
      <c r="H626" s="42">
        <f t="shared" si="6"/>
        <v>0</v>
      </c>
      <c r="I626" s="89"/>
    </row>
    <row r="627" spans="1:13" x14ac:dyDescent="0.25">
      <c r="A627" s="42">
        <v>622</v>
      </c>
      <c r="B627" s="42" t="s">
        <v>802</v>
      </c>
      <c r="C627" s="87">
        <v>2647</v>
      </c>
      <c r="D627" s="476">
        <v>30000</v>
      </c>
      <c r="E627" s="42" t="s">
        <v>80</v>
      </c>
      <c r="F627" s="42">
        <v>334.82</v>
      </c>
      <c r="G627" s="42">
        <v>30000</v>
      </c>
      <c r="H627" s="42">
        <f t="shared" si="6"/>
        <v>0</v>
      </c>
      <c r="I627" s="89"/>
    </row>
    <row r="628" spans="1:13" x14ac:dyDescent="0.25">
      <c r="A628" s="42">
        <v>623</v>
      </c>
      <c r="B628" s="42" t="s">
        <v>802</v>
      </c>
      <c r="C628" s="87">
        <v>2912</v>
      </c>
      <c r="D628" s="476">
        <v>14000</v>
      </c>
      <c r="E628" s="42" t="s">
        <v>80</v>
      </c>
      <c r="F628" s="42">
        <v>133.41999999999999</v>
      </c>
      <c r="G628" s="42">
        <v>14000</v>
      </c>
      <c r="H628" s="42">
        <f t="shared" si="6"/>
        <v>0</v>
      </c>
      <c r="I628" s="89"/>
    </row>
    <row r="629" spans="1:13" x14ac:dyDescent="0.25">
      <c r="A629" s="42">
        <v>624</v>
      </c>
      <c r="B629" s="42" t="s">
        <v>802</v>
      </c>
      <c r="C629" s="87" t="s">
        <v>30</v>
      </c>
      <c r="D629" s="476">
        <v>5000</v>
      </c>
      <c r="E629" s="42" t="s">
        <v>80</v>
      </c>
      <c r="F629" s="42">
        <v>55.45</v>
      </c>
      <c r="G629" s="42">
        <v>5000</v>
      </c>
      <c r="H629" s="42">
        <f t="shared" si="6"/>
        <v>0</v>
      </c>
      <c r="I629" s="89"/>
    </row>
    <row r="630" spans="1:13" x14ac:dyDescent="0.25">
      <c r="A630" s="42">
        <v>625</v>
      </c>
      <c r="B630" s="42" t="s">
        <v>802</v>
      </c>
      <c r="C630" s="87">
        <v>1.4800000000000001E-2</v>
      </c>
      <c r="D630" s="476">
        <v>14000</v>
      </c>
      <c r="E630" s="42" t="s">
        <v>80</v>
      </c>
      <c r="F630" s="42">
        <v>155.41999999999999</v>
      </c>
      <c r="G630" s="42">
        <v>14000</v>
      </c>
      <c r="H630" s="42">
        <f t="shared" si="6"/>
        <v>0</v>
      </c>
      <c r="I630" s="89"/>
    </row>
    <row r="631" spans="1:13" x14ac:dyDescent="0.25">
      <c r="A631" s="42">
        <v>626</v>
      </c>
      <c r="B631" s="42" t="s">
        <v>802</v>
      </c>
      <c r="C631" s="87">
        <v>2233</v>
      </c>
      <c r="D631" s="476">
        <v>20000</v>
      </c>
      <c r="E631" s="42" t="s">
        <v>80</v>
      </c>
      <c r="F631" s="42">
        <v>222.52</v>
      </c>
      <c r="G631" s="42">
        <v>20000</v>
      </c>
      <c r="H631" s="42">
        <f t="shared" si="6"/>
        <v>0</v>
      </c>
      <c r="I631" s="89"/>
    </row>
    <row r="632" spans="1:13" x14ac:dyDescent="0.25">
      <c r="A632" s="42">
        <v>627</v>
      </c>
      <c r="B632" s="42" t="s">
        <v>802</v>
      </c>
      <c r="C632" s="87">
        <v>9457</v>
      </c>
      <c r="D632" s="476">
        <v>27000</v>
      </c>
      <c r="E632" s="42" t="s">
        <v>80</v>
      </c>
      <c r="F632" s="42">
        <v>300.70999999999998</v>
      </c>
      <c r="G632" s="42">
        <v>27000</v>
      </c>
      <c r="H632" s="42">
        <f t="shared" si="6"/>
        <v>0</v>
      </c>
      <c r="I632" s="89"/>
    </row>
    <row r="633" spans="1:13" x14ac:dyDescent="0.25">
      <c r="A633" s="42">
        <v>628</v>
      </c>
      <c r="B633" s="42" t="s">
        <v>802</v>
      </c>
      <c r="C633" s="87">
        <v>3490</v>
      </c>
      <c r="D633" s="476">
        <v>25000</v>
      </c>
      <c r="E633" s="42" t="s">
        <v>80</v>
      </c>
      <c r="F633" s="42">
        <v>278.22000000000003</v>
      </c>
      <c r="G633" s="42">
        <v>25000</v>
      </c>
      <c r="H633" s="42">
        <f t="shared" si="6"/>
        <v>0</v>
      </c>
      <c r="I633" s="89"/>
    </row>
    <row r="634" spans="1:13" x14ac:dyDescent="0.25">
      <c r="A634" s="42">
        <v>629</v>
      </c>
      <c r="B634" s="42" t="s">
        <v>802</v>
      </c>
      <c r="C634" s="87">
        <v>4648</v>
      </c>
      <c r="D634" s="476">
        <v>20000</v>
      </c>
      <c r="E634" s="42" t="s">
        <v>80</v>
      </c>
      <c r="F634" s="42">
        <v>222.52</v>
      </c>
      <c r="G634" s="42">
        <v>20000</v>
      </c>
      <c r="H634" s="42">
        <f t="shared" si="6"/>
        <v>0</v>
      </c>
      <c r="I634" s="89"/>
    </row>
    <row r="635" spans="1:13" x14ac:dyDescent="0.25">
      <c r="A635" s="42">
        <v>630</v>
      </c>
      <c r="B635" s="42" t="s">
        <v>802</v>
      </c>
      <c r="C635" s="87">
        <v>7365</v>
      </c>
      <c r="D635" s="476">
        <v>18000</v>
      </c>
      <c r="E635" s="42" t="s">
        <v>80</v>
      </c>
      <c r="F635" s="42">
        <v>200.67</v>
      </c>
      <c r="G635" s="42">
        <v>18000</v>
      </c>
      <c r="H635" s="42">
        <f t="shared" si="6"/>
        <v>0</v>
      </c>
      <c r="I635" s="89"/>
    </row>
    <row r="636" spans="1:13" x14ac:dyDescent="0.25">
      <c r="A636" s="42">
        <v>631</v>
      </c>
      <c r="B636" s="42" t="s">
        <v>802</v>
      </c>
      <c r="C636" s="87">
        <v>7211</v>
      </c>
      <c r="D636" s="476">
        <v>25000</v>
      </c>
      <c r="E636" s="42" t="s">
        <v>80</v>
      </c>
      <c r="F636" s="42">
        <v>278.22000000000003</v>
      </c>
      <c r="G636" s="42">
        <v>25000</v>
      </c>
      <c r="H636" s="42">
        <f t="shared" si="6"/>
        <v>0</v>
      </c>
      <c r="I636" s="89"/>
      <c r="J636" s="398">
        <f>2615034-2601699</f>
        <v>13335</v>
      </c>
      <c r="K636" s="398" t="s">
        <v>803</v>
      </c>
      <c r="L636" s="398" t="s">
        <v>620</v>
      </c>
      <c r="M636" s="86">
        <f>13335-2040</f>
        <v>11295</v>
      </c>
    </row>
    <row r="637" spans="1:13" x14ac:dyDescent="0.25">
      <c r="A637" s="42">
        <v>632</v>
      </c>
      <c r="B637" s="42" t="s">
        <v>804</v>
      </c>
      <c r="C637" s="87">
        <v>5888</v>
      </c>
      <c r="D637" s="476">
        <v>20308</v>
      </c>
      <c r="E637" s="42" t="s">
        <v>80</v>
      </c>
      <c r="F637" s="42">
        <v>226.72</v>
      </c>
      <c r="G637" s="42">
        <v>20308</v>
      </c>
      <c r="H637" s="42">
        <f t="shared" si="6"/>
        <v>0</v>
      </c>
      <c r="I637" s="89"/>
      <c r="M637" s="86"/>
    </row>
    <row r="638" spans="1:13" x14ac:dyDescent="0.25">
      <c r="A638" s="42">
        <v>633</v>
      </c>
      <c r="B638" s="42" t="s">
        <v>804</v>
      </c>
      <c r="C638" s="87" t="s">
        <v>735</v>
      </c>
      <c r="D638" s="476">
        <v>3000</v>
      </c>
      <c r="E638" s="42" t="s">
        <v>80</v>
      </c>
      <c r="F638" s="42">
        <v>33.450000000000003</v>
      </c>
      <c r="G638" s="42">
        <v>3000</v>
      </c>
      <c r="H638" s="42">
        <f t="shared" si="6"/>
        <v>0</v>
      </c>
      <c r="I638" s="89"/>
      <c r="M638" s="86"/>
    </row>
    <row r="639" spans="1:13" x14ac:dyDescent="0.25">
      <c r="A639" s="42">
        <v>634</v>
      </c>
      <c r="B639" s="42" t="s">
        <v>804</v>
      </c>
      <c r="C639" s="87">
        <v>9645</v>
      </c>
      <c r="D639" s="476">
        <v>5000</v>
      </c>
      <c r="E639" s="42" t="s">
        <v>80</v>
      </c>
      <c r="F639" s="42">
        <v>55.5</v>
      </c>
      <c r="G639" s="42">
        <v>5000</v>
      </c>
      <c r="H639" s="42">
        <f t="shared" si="6"/>
        <v>0</v>
      </c>
      <c r="I639" s="89"/>
      <c r="M639" s="86"/>
    </row>
    <row r="640" spans="1:13" x14ac:dyDescent="0.25">
      <c r="A640" s="42">
        <v>635</v>
      </c>
      <c r="B640" s="42" t="s">
        <v>804</v>
      </c>
      <c r="C640" s="87">
        <v>5931</v>
      </c>
      <c r="D640" s="476">
        <v>5000</v>
      </c>
      <c r="E640" s="42" t="s">
        <v>80</v>
      </c>
      <c r="F640" s="42">
        <v>55.5</v>
      </c>
      <c r="G640" s="42">
        <v>5000</v>
      </c>
      <c r="H640" s="42">
        <f t="shared" si="6"/>
        <v>0</v>
      </c>
      <c r="I640" s="89"/>
      <c r="M640" s="86"/>
    </row>
    <row r="641" spans="1:13" x14ac:dyDescent="0.25">
      <c r="A641" s="42">
        <v>636</v>
      </c>
      <c r="B641" s="42" t="s">
        <v>804</v>
      </c>
      <c r="C641" s="87">
        <v>6353</v>
      </c>
      <c r="D641" s="476">
        <v>7000</v>
      </c>
      <c r="E641" s="42" t="s">
        <v>80</v>
      </c>
      <c r="F641" s="42">
        <v>77.44</v>
      </c>
      <c r="G641" s="42">
        <v>7000</v>
      </c>
      <c r="H641" s="42">
        <f t="shared" si="6"/>
        <v>0</v>
      </c>
      <c r="I641" s="89"/>
      <c r="M641" s="86"/>
    </row>
    <row r="642" spans="1:13" x14ac:dyDescent="0.25">
      <c r="A642" s="42">
        <v>637</v>
      </c>
      <c r="B642" s="42" t="s">
        <v>804</v>
      </c>
      <c r="C642" s="87">
        <v>6451</v>
      </c>
      <c r="D642" s="476">
        <v>10000</v>
      </c>
      <c r="E642" s="42" t="s">
        <v>80</v>
      </c>
      <c r="F642" s="42">
        <v>111.41</v>
      </c>
      <c r="G642" s="42">
        <v>10000</v>
      </c>
      <c r="H642" s="42">
        <f t="shared" si="6"/>
        <v>0</v>
      </c>
      <c r="I642" s="89"/>
      <c r="M642" s="86"/>
    </row>
    <row r="643" spans="1:13" x14ac:dyDescent="0.25">
      <c r="A643" s="42">
        <v>638</v>
      </c>
      <c r="B643" s="42" t="s">
        <v>804</v>
      </c>
      <c r="C643" s="87">
        <v>4722</v>
      </c>
      <c r="D643" s="476">
        <v>15000</v>
      </c>
      <c r="E643" s="42" t="s">
        <v>80</v>
      </c>
      <c r="F643" s="42">
        <v>167.15</v>
      </c>
      <c r="G643" s="42">
        <v>15000</v>
      </c>
      <c r="H643" s="42">
        <f t="shared" si="6"/>
        <v>0</v>
      </c>
      <c r="I643" s="89"/>
      <c r="M643" s="86"/>
    </row>
    <row r="644" spans="1:13" x14ac:dyDescent="0.25">
      <c r="A644" s="42">
        <v>639</v>
      </c>
      <c r="B644" s="42" t="s">
        <v>804</v>
      </c>
      <c r="C644" s="87">
        <v>4431</v>
      </c>
      <c r="D644" s="476">
        <v>15000</v>
      </c>
      <c r="E644" s="42" t="s">
        <v>80</v>
      </c>
      <c r="F644" s="42">
        <v>167.15</v>
      </c>
      <c r="G644" s="42">
        <v>15000</v>
      </c>
      <c r="H644" s="42">
        <f t="shared" si="6"/>
        <v>0</v>
      </c>
      <c r="I644" s="89"/>
      <c r="M644" s="86"/>
    </row>
    <row r="645" spans="1:13" x14ac:dyDescent="0.25">
      <c r="A645" s="42">
        <v>640</v>
      </c>
      <c r="B645" s="42" t="s">
        <v>804</v>
      </c>
      <c r="C645" s="87">
        <v>5151</v>
      </c>
      <c r="D645" s="476">
        <v>16000</v>
      </c>
      <c r="E645" s="42" t="s">
        <v>80</v>
      </c>
      <c r="F645" s="42">
        <v>178.22</v>
      </c>
      <c r="G645" s="42">
        <v>16000</v>
      </c>
      <c r="H645" s="42">
        <f t="shared" si="6"/>
        <v>0</v>
      </c>
      <c r="I645" s="89"/>
      <c r="M645" s="86"/>
    </row>
    <row r="646" spans="1:13" x14ac:dyDescent="0.25">
      <c r="A646" s="42">
        <v>641</v>
      </c>
      <c r="B646" s="42" t="s">
        <v>804</v>
      </c>
      <c r="C646" s="87">
        <v>5.1000000000000004E-3</v>
      </c>
      <c r="D646" s="476">
        <v>16000</v>
      </c>
      <c r="E646" s="42" t="s">
        <v>80</v>
      </c>
      <c r="F646" s="42">
        <v>178.22</v>
      </c>
      <c r="G646" s="42">
        <v>16000</v>
      </c>
      <c r="H646" s="42">
        <f t="shared" si="6"/>
        <v>0</v>
      </c>
      <c r="I646" s="89"/>
      <c r="M646" s="86"/>
    </row>
    <row r="647" spans="1:13" x14ac:dyDescent="0.25">
      <c r="A647" s="42">
        <v>642</v>
      </c>
      <c r="B647" s="42" t="s">
        <v>804</v>
      </c>
      <c r="C647" s="87">
        <v>6929</v>
      </c>
      <c r="D647" s="476">
        <v>16000</v>
      </c>
      <c r="E647" s="42" t="s">
        <v>80</v>
      </c>
      <c r="F647" s="42">
        <v>178.22</v>
      </c>
      <c r="G647" s="42">
        <v>16000</v>
      </c>
      <c r="H647" s="42">
        <f t="shared" si="6"/>
        <v>0</v>
      </c>
      <c r="I647" s="89"/>
      <c r="M647" s="86"/>
    </row>
    <row r="648" spans="1:13" x14ac:dyDescent="0.25">
      <c r="A648" s="42">
        <v>643</v>
      </c>
      <c r="B648" s="42" t="s">
        <v>804</v>
      </c>
      <c r="C648" s="87">
        <v>5978</v>
      </c>
      <c r="D648" s="476">
        <v>16000</v>
      </c>
      <c r="E648" s="42" t="s">
        <v>80</v>
      </c>
      <c r="F648" s="42">
        <v>178.22</v>
      </c>
      <c r="G648" s="42">
        <v>16000</v>
      </c>
      <c r="H648" s="42">
        <f t="shared" si="6"/>
        <v>0</v>
      </c>
      <c r="I648" s="89"/>
      <c r="M648" s="86"/>
    </row>
    <row r="649" spans="1:13" x14ac:dyDescent="0.25">
      <c r="A649" s="42">
        <v>644</v>
      </c>
      <c r="B649" s="42" t="s">
        <v>804</v>
      </c>
      <c r="C649" s="87">
        <v>6133</v>
      </c>
      <c r="D649" s="476">
        <v>17000</v>
      </c>
      <c r="E649" s="42" t="s">
        <v>80</v>
      </c>
      <c r="F649" s="42">
        <v>189.37</v>
      </c>
      <c r="G649" s="42">
        <v>17000</v>
      </c>
      <c r="H649" s="42">
        <f t="shared" si="6"/>
        <v>0</v>
      </c>
      <c r="I649" s="89"/>
      <c r="M649" s="86"/>
    </row>
    <row r="650" spans="1:13" x14ac:dyDescent="0.25">
      <c r="A650" s="42">
        <v>645</v>
      </c>
      <c r="B650" s="42" t="s">
        <v>804</v>
      </c>
      <c r="C650" s="87">
        <v>8563</v>
      </c>
      <c r="D650" s="476">
        <v>17000</v>
      </c>
      <c r="E650" s="42" t="s">
        <v>80</v>
      </c>
      <c r="F650" s="42">
        <v>189.37</v>
      </c>
      <c r="G650" s="42">
        <v>17000</v>
      </c>
      <c r="H650" s="42">
        <f t="shared" si="6"/>
        <v>0</v>
      </c>
      <c r="I650" s="89"/>
      <c r="M650" s="86"/>
    </row>
    <row r="651" spans="1:13" x14ac:dyDescent="0.25">
      <c r="A651" s="42">
        <v>646</v>
      </c>
      <c r="B651" s="42" t="s">
        <v>804</v>
      </c>
      <c r="C651" s="87">
        <v>5869</v>
      </c>
      <c r="D651" s="476">
        <v>23000</v>
      </c>
      <c r="E651" s="42" t="s">
        <v>80</v>
      </c>
      <c r="F651" s="42">
        <v>256.86</v>
      </c>
      <c r="G651" s="42">
        <v>23000</v>
      </c>
      <c r="H651" s="42">
        <f t="shared" si="6"/>
        <v>0</v>
      </c>
      <c r="I651" s="89"/>
      <c r="M651" s="86"/>
    </row>
    <row r="652" spans="1:13" x14ac:dyDescent="0.25">
      <c r="A652" s="42">
        <v>647</v>
      </c>
      <c r="B652" s="42" t="s">
        <v>804</v>
      </c>
      <c r="C652" s="87">
        <v>6429</v>
      </c>
      <c r="D652" s="476">
        <v>25000</v>
      </c>
      <c r="E652" s="42" t="s">
        <v>80</v>
      </c>
      <c r="F652" s="42">
        <v>278.22000000000003</v>
      </c>
      <c r="G652" s="42">
        <v>25000</v>
      </c>
      <c r="H652" s="42">
        <f t="shared" si="6"/>
        <v>0</v>
      </c>
      <c r="I652" s="89"/>
      <c r="M652" s="86"/>
    </row>
    <row r="653" spans="1:13" x14ac:dyDescent="0.25">
      <c r="A653" s="42">
        <v>648</v>
      </c>
      <c r="B653" s="42" t="s">
        <v>804</v>
      </c>
      <c r="C653" s="87">
        <v>4291</v>
      </c>
      <c r="D653" s="476">
        <v>27000</v>
      </c>
      <c r="E653" s="42" t="s">
        <v>80</v>
      </c>
      <c r="F653" s="42">
        <v>300.74</v>
      </c>
      <c r="G653" s="42">
        <v>27000</v>
      </c>
      <c r="H653" s="42">
        <f t="shared" ref="H653:H716" si="7">D653-G653</f>
        <v>0</v>
      </c>
      <c r="I653" s="89"/>
      <c r="M653" s="86"/>
    </row>
    <row r="654" spans="1:13" x14ac:dyDescent="0.25">
      <c r="A654" s="42">
        <v>649</v>
      </c>
      <c r="B654" s="42" t="s">
        <v>804</v>
      </c>
      <c r="C654" s="87">
        <v>9653</v>
      </c>
      <c r="D654" s="476">
        <v>27000</v>
      </c>
      <c r="E654" s="42" t="s">
        <v>80</v>
      </c>
      <c r="F654" s="42">
        <v>300.74</v>
      </c>
      <c r="G654" s="42">
        <v>27000</v>
      </c>
      <c r="H654" s="42">
        <f t="shared" si="7"/>
        <v>0</v>
      </c>
      <c r="I654" s="89"/>
      <c r="M654" s="86"/>
    </row>
    <row r="655" spans="1:13" x14ac:dyDescent="0.25">
      <c r="A655" s="42">
        <v>650</v>
      </c>
      <c r="B655" s="42" t="s">
        <v>804</v>
      </c>
      <c r="C655" s="87">
        <v>6193</v>
      </c>
      <c r="D655" s="476">
        <v>30000</v>
      </c>
      <c r="E655" s="42" t="s">
        <v>80</v>
      </c>
      <c r="F655" s="42">
        <v>334.82</v>
      </c>
      <c r="G655" s="42">
        <v>30000</v>
      </c>
      <c r="H655" s="42">
        <f t="shared" si="7"/>
        <v>0</v>
      </c>
      <c r="I655" s="89"/>
      <c r="M655" s="86"/>
    </row>
    <row r="656" spans="1:13" x14ac:dyDescent="0.25">
      <c r="A656" s="42">
        <v>651</v>
      </c>
      <c r="B656" s="42" t="s">
        <v>804</v>
      </c>
      <c r="C656" s="87">
        <v>4727</v>
      </c>
      <c r="D656" s="476">
        <v>28000</v>
      </c>
      <c r="E656" s="42" t="s">
        <v>80</v>
      </c>
      <c r="F656" s="42">
        <v>300.93</v>
      </c>
      <c r="G656" s="42">
        <v>28000</v>
      </c>
      <c r="H656" s="42">
        <f t="shared" si="7"/>
        <v>0</v>
      </c>
      <c r="I656" s="89"/>
      <c r="M656" s="86"/>
    </row>
    <row r="657" spans="1:13" x14ac:dyDescent="0.25">
      <c r="A657" s="42">
        <v>652</v>
      </c>
      <c r="B657" s="42" t="s">
        <v>804</v>
      </c>
      <c r="C657" s="87">
        <v>8332</v>
      </c>
      <c r="D657" s="476">
        <v>31000</v>
      </c>
      <c r="E657" s="42" t="s">
        <v>80</v>
      </c>
      <c r="F657" s="42">
        <v>345.74</v>
      </c>
      <c r="G657" s="42">
        <v>31000</v>
      </c>
      <c r="H657" s="42">
        <f t="shared" si="7"/>
        <v>0</v>
      </c>
      <c r="I657" s="89"/>
      <c r="M657" s="86"/>
    </row>
    <row r="658" spans="1:13" x14ac:dyDescent="0.25">
      <c r="A658" s="42">
        <v>653</v>
      </c>
      <c r="B658" s="42" t="s">
        <v>804</v>
      </c>
      <c r="C658" s="87">
        <v>3686</v>
      </c>
      <c r="D658" s="476">
        <v>28000</v>
      </c>
      <c r="E658" s="42" t="s">
        <v>80</v>
      </c>
      <c r="F658" s="42">
        <v>311.54000000000002</v>
      </c>
      <c r="G658" s="42">
        <v>28000</v>
      </c>
      <c r="H658" s="42">
        <f t="shared" si="7"/>
        <v>0</v>
      </c>
      <c r="I658" s="89"/>
      <c r="M658" s="86"/>
    </row>
    <row r="659" spans="1:13" x14ac:dyDescent="0.25">
      <c r="A659" s="42">
        <v>654</v>
      </c>
      <c r="B659" s="42" t="s">
        <v>804</v>
      </c>
      <c r="C659" s="87">
        <v>3557</v>
      </c>
      <c r="D659" s="476">
        <v>28000</v>
      </c>
      <c r="E659" s="42" t="s">
        <v>80</v>
      </c>
      <c r="F659" s="42">
        <v>311.54000000000002</v>
      </c>
      <c r="G659" s="42">
        <v>28000</v>
      </c>
      <c r="H659" s="42">
        <f t="shared" si="7"/>
        <v>0</v>
      </c>
      <c r="I659" s="89"/>
      <c r="M659" s="86"/>
    </row>
    <row r="660" spans="1:13" x14ac:dyDescent="0.25">
      <c r="A660" s="42">
        <v>655</v>
      </c>
      <c r="B660" s="42" t="s">
        <v>804</v>
      </c>
      <c r="C660" s="87">
        <v>6287</v>
      </c>
      <c r="D660" s="476">
        <v>28000</v>
      </c>
      <c r="E660" s="42" t="s">
        <v>80</v>
      </c>
      <c r="F660" s="42">
        <v>311.54000000000002</v>
      </c>
      <c r="G660" s="42">
        <v>28000</v>
      </c>
      <c r="H660" s="42">
        <f t="shared" si="7"/>
        <v>0</v>
      </c>
      <c r="I660" s="89"/>
      <c r="M660" s="86"/>
    </row>
    <row r="661" spans="1:13" x14ac:dyDescent="0.25">
      <c r="A661" s="42">
        <v>656</v>
      </c>
      <c r="B661" s="42" t="s">
        <v>804</v>
      </c>
      <c r="C661" s="87">
        <v>8875</v>
      </c>
      <c r="D661" s="476">
        <v>28000</v>
      </c>
      <c r="E661" s="42" t="s">
        <v>80</v>
      </c>
      <c r="F661" s="42">
        <v>311.54000000000002</v>
      </c>
      <c r="G661" s="42">
        <v>28000</v>
      </c>
      <c r="H661" s="42">
        <f t="shared" si="7"/>
        <v>0</v>
      </c>
      <c r="I661" s="89"/>
      <c r="M661" s="86"/>
    </row>
    <row r="662" spans="1:13" x14ac:dyDescent="0.25">
      <c r="A662" s="42">
        <v>657</v>
      </c>
      <c r="B662" s="42" t="s">
        <v>804</v>
      </c>
      <c r="C662" s="87">
        <v>2651</v>
      </c>
      <c r="D662" s="476">
        <v>28000</v>
      </c>
      <c r="E662" s="42" t="s">
        <v>80</v>
      </c>
      <c r="F662" s="42">
        <v>311.54000000000002</v>
      </c>
      <c r="G662" s="42">
        <v>28000</v>
      </c>
      <c r="H662" s="42">
        <f t="shared" si="7"/>
        <v>0</v>
      </c>
      <c r="I662" s="89"/>
      <c r="M662" s="86"/>
    </row>
    <row r="663" spans="1:13" x14ac:dyDescent="0.25">
      <c r="A663" s="42">
        <v>658</v>
      </c>
      <c r="B663" s="42" t="s">
        <v>804</v>
      </c>
      <c r="C663" s="87">
        <v>7829</v>
      </c>
      <c r="D663" s="476">
        <v>21000</v>
      </c>
      <c r="E663" s="42" t="s">
        <v>80</v>
      </c>
      <c r="F663" s="42">
        <v>233.42</v>
      </c>
      <c r="G663" s="42">
        <v>21000</v>
      </c>
      <c r="H663" s="42">
        <f t="shared" si="7"/>
        <v>0</v>
      </c>
      <c r="I663" s="89"/>
      <c r="M663" s="86"/>
    </row>
    <row r="664" spans="1:13" x14ac:dyDescent="0.25">
      <c r="A664" s="42">
        <v>659</v>
      </c>
      <c r="B664" s="42" t="s">
        <v>804</v>
      </c>
      <c r="C664" s="87">
        <v>7890</v>
      </c>
      <c r="D664" s="476">
        <v>20000</v>
      </c>
      <c r="E664" s="42" t="s">
        <v>80</v>
      </c>
      <c r="F664" s="42">
        <v>222.82</v>
      </c>
      <c r="G664" s="42">
        <v>20000</v>
      </c>
      <c r="H664" s="42">
        <f t="shared" si="7"/>
        <v>0</v>
      </c>
      <c r="I664" s="89"/>
      <c r="M664" s="86"/>
    </row>
    <row r="665" spans="1:13" x14ac:dyDescent="0.25">
      <c r="A665" s="42">
        <v>660</v>
      </c>
      <c r="B665" s="42" t="s">
        <v>804</v>
      </c>
      <c r="C665" s="87">
        <v>1406</v>
      </c>
      <c r="D665" s="476">
        <v>22000</v>
      </c>
      <c r="E665" s="42" t="s">
        <v>80</v>
      </c>
      <c r="F665" s="42">
        <v>245.38</v>
      </c>
      <c r="G665" s="42">
        <v>22000</v>
      </c>
      <c r="H665" s="42">
        <f t="shared" si="7"/>
        <v>0</v>
      </c>
      <c r="I665" s="89"/>
      <c r="M665" s="86"/>
    </row>
    <row r="666" spans="1:13" x14ac:dyDescent="0.25">
      <c r="A666" s="42">
        <v>661</v>
      </c>
      <c r="B666" s="42" t="s">
        <v>804</v>
      </c>
      <c r="C666" s="87">
        <v>1803</v>
      </c>
      <c r="D666" s="476">
        <v>20000</v>
      </c>
      <c r="E666" s="42" t="s">
        <v>80</v>
      </c>
      <c r="F666" s="42">
        <v>222.82</v>
      </c>
      <c r="G666" s="42">
        <v>20000</v>
      </c>
      <c r="H666" s="42">
        <f t="shared" si="7"/>
        <v>0</v>
      </c>
      <c r="I666" s="89"/>
      <c r="M666" s="86"/>
    </row>
    <row r="667" spans="1:13" x14ac:dyDescent="0.25">
      <c r="A667" s="42">
        <v>662</v>
      </c>
      <c r="B667" s="42" t="s">
        <v>804</v>
      </c>
      <c r="C667" s="87">
        <v>4509</v>
      </c>
      <c r="D667" s="476">
        <v>21000</v>
      </c>
      <c r="E667" s="42" t="s">
        <v>80</v>
      </c>
      <c r="F667" s="42">
        <v>233.42</v>
      </c>
      <c r="G667" s="42">
        <v>21000</v>
      </c>
      <c r="H667" s="42">
        <f t="shared" si="7"/>
        <v>0</v>
      </c>
      <c r="I667" s="89"/>
      <c r="M667" s="86"/>
    </row>
    <row r="668" spans="1:13" x14ac:dyDescent="0.25">
      <c r="A668" s="42">
        <v>663</v>
      </c>
      <c r="B668" s="42" t="s">
        <v>804</v>
      </c>
      <c r="C668" s="87">
        <v>8318</v>
      </c>
      <c r="D668" s="476">
        <v>15000</v>
      </c>
      <c r="E668" s="42" t="s">
        <v>80</v>
      </c>
      <c r="F668" s="42">
        <v>167.15</v>
      </c>
      <c r="G668" s="42">
        <v>15000</v>
      </c>
      <c r="H668" s="42">
        <f t="shared" si="7"/>
        <v>0</v>
      </c>
      <c r="I668" s="89"/>
      <c r="M668" s="86"/>
    </row>
    <row r="669" spans="1:13" x14ac:dyDescent="0.25">
      <c r="A669" s="42">
        <v>664</v>
      </c>
      <c r="B669" s="42" t="s">
        <v>804</v>
      </c>
      <c r="C669" s="87">
        <v>4059</v>
      </c>
      <c r="D669" s="476">
        <v>16000</v>
      </c>
      <c r="E669" s="42" t="s">
        <v>80</v>
      </c>
      <c r="F669" s="42">
        <v>178.22</v>
      </c>
      <c r="G669" s="42">
        <v>16000</v>
      </c>
      <c r="H669" s="42">
        <f t="shared" si="7"/>
        <v>0</v>
      </c>
      <c r="I669" s="89"/>
      <c r="M669" s="86"/>
    </row>
    <row r="670" spans="1:13" x14ac:dyDescent="0.25">
      <c r="A670" s="42">
        <v>665</v>
      </c>
      <c r="B670" s="42" t="s">
        <v>804</v>
      </c>
      <c r="C670" s="87">
        <v>1738</v>
      </c>
      <c r="D670" s="476">
        <v>16000</v>
      </c>
      <c r="E670" s="42" t="s">
        <v>80</v>
      </c>
      <c r="F670" s="42">
        <v>178.22</v>
      </c>
      <c r="G670" s="42">
        <v>16000</v>
      </c>
      <c r="H670" s="42">
        <f t="shared" si="7"/>
        <v>0</v>
      </c>
      <c r="I670" s="89"/>
      <c r="M670" s="86"/>
    </row>
    <row r="671" spans="1:13" x14ac:dyDescent="0.25">
      <c r="A671" s="42">
        <v>666</v>
      </c>
      <c r="B671" s="42" t="s">
        <v>804</v>
      </c>
      <c r="C671" s="87">
        <v>3398</v>
      </c>
      <c r="D671" s="476">
        <v>13000</v>
      </c>
      <c r="E671" s="42" t="s">
        <v>80</v>
      </c>
      <c r="F671" s="42">
        <v>144.13</v>
      </c>
      <c r="G671" s="42">
        <v>13000</v>
      </c>
      <c r="H671" s="42">
        <f t="shared" si="7"/>
        <v>0</v>
      </c>
      <c r="I671" s="89"/>
      <c r="M671" s="86"/>
    </row>
    <row r="672" spans="1:13" x14ac:dyDescent="0.25">
      <c r="A672" s="42">
        <v>667</v>
      </c>
      <c r="B672" s="42" t="s">
        <v>804</v>
      </c>
      <c r="C672" s="87">
        <v>6795</v>
      </c>
      <c r="D672" s="476">
        <v>16000</v>
      </c>
      <c r="E672" s="42" t="s">
        <v>80</v>
      </c>
      <c r="F672" s="42">
        <v>178.22</v>
      </c>
      <c r="G672" s="42">
        <v>16000</v>
      </c>
      <c r="H672" s="42">
        <f t="shared" si="7"/>
        <v>0</v>
      </c>
      <c r="I672" s="89"/>
      <c r="M672" s="86"/>
    </row>
    <row r="673" spans="1:13" x14ac:dyDescent="0.25">
      <c r="A673" s="42">
        <v>668</v>
      </c>
      <c r="B673" s="42" t="s">
        <v>804</v>
      </c>
      <c r="C673" s="87">
        <v>5859</v>
      </c>
      <c r="D673" s="476">
        <v>23000</v>
      </c>
      <c r="E673" s="42" t="s">
        <v>80</v>
      </c>
      <c r="F673" s="42">
        <v>246.75</v>
      </c>
      <c r="G673" s="42">
        <v>23000</v>
      </c>
      <c r="H673" s="42">
        <f t="shared" si="7"/>
        <v>0</v>
      </c>
      <c r="I673" s="89"/>
      <c r="M673" s="86"/>
    </row>
    <row r="674" spans="1:13" x14ac:dyDescent="0.25">
      <c r="A674" s="42">
        <v>669</v>
      </c>
      <c r="B674" s="42" t="s">
        <v>804</v>
      </c>
      <c r="C674" s="87">
        <v>4058</v>
      </c>
      <c r="D674" s="476">
        <v>16000</v>
      </c>
      <c r="E674" s="42" t="s">
        <v>80</v>
      </c>
      <c r="F674" s="42">
        <v>178.22</v>
      </c>
      <c r="G674" s="42">
        <v>16000</v>
      </c>
      <c r="H674" s="42">
        <f t="shared" si="7"/>
        <v>0</v>
      </c>
      <c r="I674" s="89"/>
      <c r="M674" s="86"/>
    </row>
    <row r="675" spans="1:13" x14ac:dyDescent="0.25">
      <c r="A675" s="42">
        <v>670</v>
      </c>
      <c r="B675" s="42" t="s">
        <v>804</v>
      </c>
      <c r="C675" s="87">
        <v>3330</v>
      </c>
      <c r="D675" s="476">
        <v>20000</v>
      </c>
      <c r="E675" s="42" t="s">
        <v>80</v>
      </c>
      <c r="F675" s="42">
        <v>222.82</v>
      </c>
      <c r="G675" s="42">
        <v>20000</v>
      </c>
      <c r="H675" s="42">
        <f t="shared" si="7"/>
        <v>0</v>
      </c>
      <c r="I675" s="89"/>
      <c r="M675" s="86"/>
    </row>
    <row r="676" spans="1:13" x14ac:dyDescent="0.25">
      <c r="A676" s="42">
        <v>671</v>
      </c>
      <c r="B676" s="42" t="s">
        <v>804</v>
      </c>
      <c r="C676" s="87">
        <v>6447</v>
      </c>
      <c r="D676" s="476">
        <v>26000</v>
      </c>
      <c r="E676" s="42" t="s">
        <v>80</v>
      </c>
      <c r="F676" s="42">
        <v>289.57</v>
      </c>
      <c r="G676" s="42">
        <v>26000</v>
      </c>
      <c r="H676" s="42">
        <f t="shared" si="7"/>
        <v>0</v>
      </c>
      <c r="I676" s="89"/>
      <c r="M676" s="86"/>
    </row>
    <row r="677" spans="1:13" x14ac:dyDescent="0.25">
      <c r="A677" s="42">
        <v>672</v>
      </c>
      <c r="B677" s="42" t="s">
        <v>804</v>
      </c>
      <c r="C677" s="87">
        <v>4023</v>
      </c>
      <c r="D677" s="476">
        <v>16800</v>
      </c>
      <c r="E677" s="42" t="s">
        <v>80</v>
      </c>
      <c r="F677" s="42">
        <v>187.92</v>
      </c>
      <c r="G677" s="42">
        <v>16800</v>
      </c>
      <c r="H677" s="42">
        <f t="shared" si="7"/>
        <v>0</v>
      </c>
      <c r="I677" s="89"/>
      <c r="M677" s="86"/>
    </row>
    <row r="678" spans="1:13" x14ac:dyDescent="0.25">
      <c r="A678" s="42">
        <v>673</v>
      </c>
      <c r="B678" s="42" t="s">
        <v>804</v>
      </c>
      <c r="C678" s="87">
        <v>7817</v>
      </c>
      <c r="D678" s="476">
        <v>32000</v>
      </c>
      <c r="E678" s="42" t="s">
        <v>80</v>
      </c>
      <c r="F678" s="42">
        <v>356.71</v>
      </c>
      <c r="G678" s="42">
        <v>32000</v>
      </c>
      <c r="H678" s="42">
        <f t="shared" si="7"/>
        <v>0</v>
      </c>
      <c r="I678" s="89"/>
      <c r="M678" s="86"/>
    </row>
    <row r="679" spans="1:13" x14ac:dyDescent="0.25">
      <c r="A679" s="42">
        <v>674</v>
      </c>
      <c r="B679" s="42" t="s">
        <v>804</v>
      </c>
      <c r="C679" s="87">
        <v>1727</v>
      </c>
      <c r="D679" s="476">
        <v>28000</v>
      </c>
      <c r="E679" s="42" t="s">
        <v>80</v>
      </c>
      <c r="F679" s="42">
        <v>311.54000000000002</v>
      </c>
      <c r="G679" s="42">
        <v>28000</v>
      </c>
      <c r="H679" s="42">
        <f t="shared" si="7"/>
        <v>0</v>
      </c>
      <c r="I679" s="89"/>
      <c r="J679" s="398">
        <f>2876143-2852807</f>
        <v>23336</v>
      </c>
      <c r="K679" s="398" t="s">
        <v>803</v>
      </c>
      <c r="L679" s="398" t="s">
        <v>620</v>
      </c>
      <c r="M679" s="86">
        <f>23336-2040</f>
        <v>21296</v>
      </c>
    </row>
    <row r="680" spans="1:13" x14ac:dyDescent="0.25">
      <c r="A680" s="42">
        <v>675</v>
      </c>
      <c r="B680" s="42" t="s">
        <v>805</v>
      </c>
      <c r="C680" s="87">
        <v>5.7000000000000002E-3</v>
      </c>
      <c r="D680" s="476">
        <v>23000</v>
      </c>
      <c r="E680" s="42" t="s">
        <v>80</v>
      </c>
      <c r="F680" s="42">
        <v>256.42</v>
      </c>
      <c r="G680" s="42">
        <v>23000</v>
      </c>
      <c r="H680" s="42">
        <f t="shared" si="7"/>
        <v>0</v>
      </c>
      <c r="I680" s="89"/>
      <c r="M680" s="86"/>
    </row>
    <row r="681" spans="1:13" x14ac:dyDescent="0.25">
      <c r="A681" s="42">
        <v>676</v>
      </c>
      <c r="B681" s="42" t="s">
        <v>805</v>
      </c>
      <c r="C681" s="87">
        <v>9794</v>
      </c>
      <c r="D681" s="476">
        <v>25000</v>
      </c>
      <c r="E681" s="42" t="s">
        <v>80</v>
      </c>
      <c r="F681" s="42">
        <v>278.22000000000003</v>
      </c>
      <c r="G681" s="42">
        <v>25000</v>
      </c>
      <c r="H681" s="42">
        <f t="shared" si="7"/>
        <v>0</v>
      </c>
      <c r="I681" s="89"/>
      <c r="M681" s="86"/>
    </row>
    <row r="682" spans="1:13" x14ac:dyDescent="0.25">
      <c r="A682" s="42">
        <v>677</v>
      </c>
      <c r="B682" s="42" t="s">
        <v>805</v>
      </c>
      <c r="C682" s="87">
        <v>7450</v>
      </c>
      <c r="D682" s="476">
        <v>15000</v>
      </c>
      <c r="E682" s="42" t="s">
        <v>80</v>
      </c>
      <c r="F682" s="42">
        <v>167.15</v>
      </c>
      <c r="G682" s="42">
        <v>15000</v>
      </c>
      <c r="H682" s="42">
        <f t="shared" si="7"/>
        <v>0</v>
      </c>
      <c r="I682" s="89"/>
      <c r="M682" s="86"/>
    </row>
    <row r="683" spans="1:13" x14ac:dyDescent="0.25">
      <c r="A683" s="42">
        <v>678</v>
      </c>
      <c r="B683" s="42" t="s">
        <v>805</v>
      </c>
      <c r="C683" s="87">
        <v>1377</v>
      </c>
      <c r="D683" s="476">
        <v>30000</v>
      </c>
      <c r="E683" s="42" t="s">
        <v>80</v>
      </c>
      <c r="F683" s="42">
        <v>334.82</v>
      </c>
      <c r="G683" s="42">
        <v>30000</v>
      </c>
      <c r="H683" s="42">
        <f t="shared" si="7"/>
        <v>0</v>
      </c>
      <c r="I683" s="89"/>
      <c r="M683" s="86"/>
    </row>
    <row r="684" spans="1:13" x14ac:dyDescent="0.25">
      <c r="A684" s="42">
        <v>679</v>
      </c>
      <c r="B684" s="42" t="s">
        <v>805</v>
      </c>
      <c r="C684" s="87">
        <v>8751</v>
      </c>
      <c r="D684" s="476">
        <v>26000</v>
      </c>
      <c r="E684" s="42" t="s">
        <v>80</v>
      </c>
      <c r="F684" s="42">
        <v>281.42</v>
      </c>
      <c r="G684" s="42">
        <v>26000</v>
      </c>
      <c r="H684" s="42">
        <f t="shared" si="7"/>
        <v>0</v>
      </c>
      <c r="I684" s="89"/>
      <c r="M684" s="86"/>
    </row>
    <row r="685" spans="1:13" x14ac:dyDescent="0.25">
      <c r="A685" s="42">
        <v>680</v>
      </c>
      <c r="B685" s="42" t="s">
        <v>805</v>
      </c>
      <c r="C685" s="87">
        <v>2286</v>
      </c>
      <c r="D685" s="476">
        <v>30000</v>
      </c>
      <c r="E685" s="42" t="s">
        <v>80</v>
      </c>
      <c r="F685" s="42">
        <v>334.82</v>
      </c>
      <c r="G685" s="42">
        <v>30000</v>
      </c>
      <c r="H685" s="42">
        <f t="shared" si="7"/>
        <v>0</v>
      </c>
      <c r="I685" s="89"/>
      <c r="M685" s="86"/>
    </row>
    <row r="686" spans="1:13" x14ac:dyDescent="0.25">
      <c r="A686" s="42">
        <v>681</v>
      </c>
      <c r="B686" s="42" t="s">
        <v>805</v>
      </c>
      <c r="C686" s="87">
        <v>8347</v>
      </c>
      <c r="D686" s="476">
        <v>30000</v>
      </c>
      <c r="E686" s="42" t="s">
        <v>80</v>
      </c>
      <c r="F686" s="42">
        <v>334.82</v>
      </c>
      <c r="G686" s="42">
        <v>30000</v>
      </c>
      <c r="H686" s="42">
        <f t="shared" si="7"/>
        <v>0</v>
      </c>
      <c r="I686" s="89"/>
      <c r="M686" s="86"/>
    </row>
    <row r="687" spans="1:13" x14ac:dyDescent="0.25">
      <c r="A687" s="42">
        <v>682</v>
      </c>
      <c r="B687" s="42" t="s">
        <v>805</v>
      </c>
      <c r="C687" s="87" t="s">
        <v>30</v>
      </c>
      <c r="D687" s="476">
        <v>3500</v>
      </c>
      <c r="E687" s="42" t="s">
        <v>80</v>
      </c>
      <c r="F687" s="42">
        <v>38.64</v>
      </c>
      <c r="G687" s="42">
        <v>3500</v>
      </c>
      <c r="H687" s="42">
        <f t="shared" si="7"/>
        <v>0</v>
      </c>
      <c r="I687" s="89"/>
      <c r="M687" s="86"/>
    </row>
    <row r="688" spans="1:13" x14ac:dyDescent="0.25">
      <c r="A688" s="42">
        <v>683</v>
      </c>
      <c r="B688" s="42" t="s">
        <v>805</v>
      </c>
      <c r="C688" s="87">
        <v>3891</v>
      </c>
      <c r="D688" s="476">
        <v>30000</v>
      </c>
      <c r="E688" s="42" t="s">
        <v>80</v>
      </c>
      <c r="F688" s="42">
        <v>334.82</v>
      </c>
      <c r="G688" s="42">
        <v>30000</v>
      </c>
      <c r="H688" s="42">
        <f t="shared" si="7"/>
        <v>0</v>
      </c>
      <c r="I688" s="89"/>
      <c r="M688" s="86"/>
    </row>
    <row r="689" spans="1:13" x14ac:dyDescent="0.25">
      <c r="A689" s="42">
        <v>684</v>
      </c>
      <c r="B689" s="42" t="s">
        <v>805</v>
      </c>
      <c r="C689" s="87">
        <v>6563</v>
      </c>
      <c r="D689" s="476">
        <v>16000</v>
      </c>
      <c r="E689" s="42" t="s">
        <v>80</v>
      </c>
      <c r="F689" s="42">
        <v>178.22</v>
      </c>
      <c r="G689" s="42">
        <v>16000</v>
      </c>
      <c r="H689" s="42">
        <f t="shared" si="7"/>
        <v>0</v>
      </c>
      <c r="I689" s="89"/>
      <c r="M689" s="86"/>
    </row>
    <row r="690" spans="1:13" x14ac:dyDescent="0.25">
      <c r="A690" s="42">
        <v>685</v>
      </c>
      <c r="B690" s="42" t="s">
        <v>805</v>
      </c>
      <c r="C690" s="87">
        <v>4591</v>
      </c>
      <c r="D690" s="476">
        <v>27000</v>
      </c>
      <c r="E690" s="42" t="s">
        <v>80</v>
      </c>
      <c r="F690" s="42">
        <v>289.70999999999998</v>
      </c>
      <c r="G690" s="42">
        <v>27000</v>
      </c>
      <c r="H690" s="42">
        <f t="shared" si="7"/>
        <v>0</v>
      </c>
      <c r="I690" s="89"/>
      <c r="M690" s="86"/>
    </row>
    <row r="691" spans="1:13" x14ac:dyDescent="0.25">
      <c r="A691" s="42">
        <v>686</v>
      </c>
      <c r="B691" s="42" t="s">
        <v>805</v>
      </c>
      <c r="C691" s="87">
        <v>4231</v>
      </c>
      <c r="D691" s="476">
        <v>30000</v>
      </c>
      <c r="E691" s="42" t="s">
        <v>80</v>
      </c>
      <c r="F691" s="42">
        <v>334.82</v>
      </c>
      <c r="G691" s="42">
        <v>30000</v>
      </c>
      <c r="H691" s="42">
        <f t="shared" si="7"/>
        <v>0</v>
      </c>
      <c r="I691" s="89"/>
      <c r="M691" s="86"/>
    </row>
    <row r="692" spans="1:13" x14ac:dyDescent="0.25">
      <c r="A692" s="42">
        <v>687</v>
      </c>
      <c r="B692" s="42" t="s">
        <v>805</v>
      </c>
      <c r="C692" s="87">
        <v>4714</v>
      </c>
      <c r="D692" s="476">
        <v>15000</v>
      </c>
      <c r="E692" s="42" t="s">
        <v>80</v>
      </c>
      <c r="F692" s="42">
        <v>167.15</v>
      </c>
      <c r="G692" s="42">
        <v>15000</v>
      </c>
      <c r="H692" s="42">
        <f t="shared" si="7"/>
        <v>0</v>
      </c>
      <c r="I692" s="89"/>
      <c r="M692" s="86"/>
    </row>
    <row r="693" spans="1:13" x14ac:dyDescent="0.25">
      <c r="A693" s="42">
        <v>688</v>
      </c>
      <c r="B693" s="42" t="s">
        <v>805</v>
      </c>
      <c r="C693" s="87">
        <v>9.0899999999999995E-2</v>
      </c>
      <c r="D693" s="476">
        <v>5000</v>
      </c>
      <c r="E693" s="42" t="s">
        <v>80</v>
      </c>
      <c r="F693" s="42">
        <v>55.52</v>
      </c>
      <c r="G693" s="42">
        <v>5000</v>
      </c>
      <c r="H693" s="42">
        <f t="shared" si="7"/>
        <v>0</v>
      </c>
      <c r="I693" s="89"/>
      <c r="M693" s="86"/>
    </row>
    <row r="694" spans="1:13" x14ac:dyDescent="0.25">
      <c r="A694" s="42">
        <v>689</v>
      </c>
      <c r="B694" s="42" t="s">
        <v>805</v>
      </c>
      <c r="C694" s="87">
        <v>4464</v>
      </c>
      <c r="D694" s="476">
        <v>10000</v>
      </c>
      <c r="E694" s="42" t="s">
        <v>80</v>
      </c>
      <c r="F694" s="42">
        <v>111.42</v>
      </c>
      <c r="G694" s="42">
        <v>10000</v>
      </c>
      <c r="H694" s="42">
        <f t="shared" si="7"/>
        <v>0</v>
      </c>
      <c r="I694" s="89"/>
      <c r="M694" s="86"/>
    </row>
    <row r="695" spans="1:13" x14ac:dyDescent="0.25">
      <c r="A695" s="42">
        <v>690</v>
      </c>
      <c r="B695" s="42" t="s">
        <v>805</v>
      </c>
      <c r="C695" s="87">
        <v>7149</v>
      </c>
      <c r="D695" s="476">
        <v>12000</v>
      </c>
      <c r="E695" s="42" t="s">
        <v>80</v>
      </c>
      <c r="F695" s="42">
        <v>133.71</v>
      </c>
      <c r="G695" s="42">
        <v>12000</v>
      </c>
      <c r="H695" s="42">
        <f t="shared" si="7"/>
        <v>0</v>
      </c>
      <c r="I695" s="89"/>
      <c r="M695" s="86"/>
    </row>
    <row r="696" spans="1:13" x14ac:dyDescent="0.25">
      <c r="A696" s="42">
        <v>691</v>
      </c>
      <c r="B696" s="42" t="s">
        <v>805</v>
      </c>
      <c r="C696" s="87">
        <v>2665</v>
      </c>
      <c r="D696" s="476">
        <v>15000</v>
      </c>
      <c r="E696" s="42" t="s">
        <v>80</v>
      </c>
      <c r="F696" s="42">
        <v>167.15</v>
      </c>
      <c r="G696" s="42">
        <v>15000</v>
      </c>
      <c r="H696" s="42">
        <f t="shared" si="7"/>
        <v>0</v>
      </c>
      <c r="I696" s="89"/>
      <c r="M696" s="86"/>
    </row>
    <row r="697" spans="1:13" x14ac:dyDescent="0.25">
      <c r="A697" s="42">
        <v>692</v>
      </c>
      <c r="B697" s="42" t="s">
        <v>805</v>
      </c>
      <c r="C697" s="87" t="s">
        <v>30</v>
      </c>
      <c r="D697" s="476">
        <v>5000</v>
      </c>
      <c r="E697" s="42" t="s">
        <v>80</v>
      </c>
      <c r="F697" s="42">
        <v>55.52</v>
      </c>
      <c r="G697" s="42">
        <v>5000</v>
      </c>
      <c r="H697" s="42">
        <f t="shared" si="7"/>
        <v>0</v>
      </c>
      <c r="I697" s="89"/>
      <c r="M697" s="86"/>
    </row>
    <row r="698" spans="1:13" x14ac:dyDescent="0.25">
      <c r="A698" s="42">
        <v>693</v>
      </c>
      <c r="B698" s="42" t="s">
        <v>805</v>
      </c>
      <c r="C698" s="87">
        <v>6751</v>
      </c>
      <c r="D698" s="476">
        <v>20000</v>
      </c>
      <c r="E698" s="42" t="s">
        <v>80</v>
      </c>
      <c r="F698" s="42">
        <v>222.2</v>
      </c>
      <c r="G698" s="42">
        <v>20000</v>
      </c>
      <c r="H698" s="42">
        <f t="shared" si="7"/>
        <v>0</v>
      </c>
      <c r="I698" s="89"/>
      <c r="M698" s="86"/>
    </row>
    <row r="699" spans="1:13" x14ac:dyDescent="0.25">
      <c r="A699" s="42">
        <v>694</v>
      </c>
      <c r="B699" s="42" t="s">
        <v>805</v>
      </c>
      <c r="C699" s="87">
        <v>4225</v>
      </c>
      <c r="D699" s="476">
        <v>30000</v>
      </c>
      <c r="E699" s="42" t="s">
        <v>80</v>
      </c>
      <c r="F699" s="42">
        <v>334.82</v>
      </c>
      <c r="G699" s="42">
        <v>30000</v>
      </c>
      <c r="H699" s="42">
        <f t="shared" si="7"/>
        <v>0</v>
      </c>
      <c r="I699" s="89"/>
      <c r="M699" s="86"/>
    </row>
    <row r="700" spans="1:13" x14ac:dyDescent="0.25">
      <c r="A700" s="42">
        <v>695</v>
      </c>
      <c r="B700" s="42" t="s">
        <v>805</v>
      </c>
      <c r="C700" s="87">
        <v>4.1000000000000003E-3</v>
      </c>
      <c r="D700" s="476">
        <v>32000</v>
      </c>
      <c r="E700" s="42" t="s">
        <v>80</v>
      </c>
      <c r="F700" s="42">
        <v>356.71</v>
      </c>
      <c r="G700" s="42">
        <v>32000</v>
      </c>
      <c r="H700" s="42">
        <f t="shared" si="7"/>
        <v>0</v>
      </c>
      <c r="I700" s="89"/>
      <c r="M700" s="86"/>
    </row>
    <row r="701" spans="1:13" x14ac:dyDescent="0.25">
      <c r="A701" s="42">
        <v>696</v>
      </c>
      <c r="B701" s="42" t="s">
        <v>805</v>
      </c>
      <c r="C701" s="87" t="s">
        <v>633</v>
      </c>
      <c r="D701" s="476">
        <v>210</v>
      </c>
      <c r="E701" s="42" t="s">
        <v>80</v>
      </c>
      <c r="F701" s="42">
        <v>2.09</v>
      </c>
      <c r="G701" s="42">
        <v>210</v>
      </c>
      <c r="H701" s="42">
        <f t="shared" si="7"/>
        <v>0</v>
      </c>
      <c r="I701" s="89"/>
      <c r="M701" s="86"/>
    </row>
    <row r="702" spans="1:13" x14ac:dyDescent="0.25">
      <c r="A702" s="42">
        <v>697</v>
      </c>
      <c r="B702" s="42" t="s">
        <v>805</v>
      </c>
      <c r="C702" s="87">
        <v>5484</v>
      </c>
      <c r="D702" s="476">
        <v>25000</v>
      </c>
      <c r="E702" s="42" t="s">
        <v>80</v>
      </c>
      <c r="F702" s="42">
        <v>278.22000000000003</v>
      </c>
      <c r="G702" s="42">
        <v>25000</v>
      </c>
      <c r="H702" s="42">
        <f t="shared" si="7"/>
        <v>0</v>
      </c>
      <c r="I702" s="89"/>
      <c r="M702" s="86"/>
    </row>
    <row r="703" spans="1:13" x14ac:dyDescent="0.25">
      <c r="A703" s="42">
        <v>698</v>
      </c>
      <c r="B703" s="42" t="s">
        <v>805</v>
      </c>
      <c r="C703" s="87">
        <v>3234</v>
      </c>
      <c r="D703" s="476">
        <v>30000</v>
      </c>
      <c r="E703" s="42" t="s">
        <v>80</v>
      </c>
      <c r="F703" s="42">
        <v>334.82</v>
      </c>
      <c r="G703" s="42">
        <v>30000</v>
      </c>
      <c r="H703" s="42">
        <f t="shared" si="7"/>
        <v>0</v>
      </c>
      <c r="I703" s="89"/>
      <c r="M703" s="86"/>
    </row>
    <row r="704" spans="1:13" x14ac:dyDescent="0.25">
      <c r="A704" s="42">
        <v>699</v>
      </c>
      <c r="B704" s="42" t="s">
        <v>805</v>
      </c>
      <c r="C704" s="87">
        <v>4786</v>
      </c>
      <c r="D704" s="476">
        <v>18000</v>
      </c>
      <c r="E704" s="42" t="s">
        <v>80</v>
      </c>
      <c r="F704" s="42">
        <v>200.43</v>
      </c>
      <c r="G704" s="42">
        <v>18000</v>
      </c>
      <c r="H704" s="42">
        <f t="shared" si="7"/>
        <v>0</v>
      </c>
      <c r="I704" s="89"/>
      <c r="M704" s="86"/>
    </row>
    <row r="705" spans="1:13" x14ac:dyDescent="0.25">
      <c r="A705" s="42">
        <v>700</v>
      </c>
      <c r="B705" s="42" t="s">
        <v>805</v>
      </c>
      <c r="C705" s="87">
        <v>3643</v>
      </c>
      <c r="D705" s="476">
        <v>32000</v>
      </c>
      <c r="E705" s="42" t="s">
        <v>80</v>
      </c>
      <c r="F705" s="42">
        <v>356.71</v>
      </c>
      <c r="G705" s="42">
        <v>32000</v>
      </c>
      <c r="H705" s="42">
        <f t="shared" si="7"/>
        <v>0</v>
      </c>
      <c r="I705" s="89"/>
      <c r="M705" s="86"/>
    </row>
    <row r="706" spans="1:13" x14ac:dyDescent="0.25">
      <c r="A706" s="42">
        <v>701</v>
      </c>
      <c r="B706" s="42" t="s">
        <v>805</v>
      </c>
      <c r="C706" s="87">
        <v>8.5699999999999998E-2</v>
      </c>
      <c r="D706" s="476">
        <v>30000</v>
      </c>
      <c r="E706" s="42" t="s">
        <v>80</v>
      </c>
      <c r="F706" s="42">
        <v>334.82</v>
      </c>
      <c r="G706" s="42">
        <v>30000</v>
      </c>
      <c r="H706" s="42">
        <f t="shared" si="7"/>
        <v>0</v>
      </c>
      <c r="I706" s="89"/>
      <c r="M706" s="86"/>
    </row>
    <row r="707" spans="1:13" x14ac:dyDescent="0.25">
      <c r="A707" s="42">
        <v>702</v>
      </c>
      <c r="B707" s="42" t="s">
        <v>805</v>
      </c>
      <c r="C707" s="87">
        <v>2590</v>
      </c>
      <c r="D707" s="476">
        <v>9000</v>
      </c>
      <c r="E707" s="42" t="s">
        <v>80</v>
      </c>
      <c r="F707" s="42">
        <v>100.57</v>
      </c>
      <c r="G707" s="42">
        <v>9000</v>
      </c>
      <c r="H707" s="42">
        <f t="shared" si="7"/>
        <v>0</v>
      </c>
      <c r="I707" s="89"/>
      <c r="M707" s="86"/>
    </row>
    <row r="708" spans="1:13" x14ac:dyDescent="0.25">
      <c r="A708" s="42">
        <v>703</v>
      </c>
      <c r="B708" s="42" t="s">
        <v>805</v>
      </c>
      <c r="C708" s="87">
        <v>6037</v>
      </c>
      <c r="D708" s="476">
        <v>27000</v>
      </c>
      <c r="E708" s="42" t="s">
        <v>80</v>
      </c>
      <c r="F708" s="42">
        <v>300.87</v>
      </c>
      <c r="G708" s="42">
        <v>27000</v>
      </c>
      <c r="H708" s="42">
        <f t="shared" si="7"/>
        <v>0</v>
      </c>
      <c r="I708" s="89"/>
      <c r="M708" s="86"/>
    </row>
    <row r="709" spans="1:13" x14ac:dyDescent="0.25">
      <c r="A709" s="42">
        <v>704</v>
      </c>
      <c r="B709" s="42" t="s">
        <v>805</v>
      </c>
      <c r="C709" s="87">
        <v>4030</v>
      </c>
      <c r="D709" s="476">
        <v>30000</v>
      </c>
      <c r="E709" s="42" t="s">
        <v>80</v>
      </c>
      <c r="F709" s="42">
        <v>334.82</v>
      </c>
      <c r="G709" s="42">
        <v>30000</v>
      </c>
      <c r="H709" s="42">
        <f t="shared" si="7"/>
        <v>0</v>
      </c>
      <c r="I709" s="89"/>
      <c r="M709" s="86"/>
    </row>
    <row r="710" spans="1:13" x14ac:dyDescent="0.25">
      <c r="A710" s="42">
        <v>705</v>
      </c>
      <c r="B710" s="42" t="s">
        <v>805</v>
      </c>
      <c r="C710" s="87">
        <v>9718</v>
      </c>
      <c r="D710" s="476">
        <v>30000</v>
      </c>
      <c r="E710" s="42" t="s">
        <v>80</v>
      </c>
      <c r="F710" s="42">
        <v>334.82</v>
      </c>
      <c r="G710" s="42">
        <v>30000</v>
      </c>
      <c r="H710" s="42">
        <f t="shared" si="7"/>
        <v>0</v>
      </c>
      <c r="I710" s="89"/>
      <c r="J710" s="398">
        <f>2736853-2713517</f>
        <v>23336</v>
      </c>
      <c r="K710" s="398" t="s">
        <v>803</v>
      </c>
      <c r="L710" s="398" t="s">
        <v>620</v>
      </c>
      <c r="M710" s="86">
        <f>23336-2040</f>
        <v>21296</v>
      </c>
    </row>
    <row r="711" spans="1:13" x14ac:dyDescent="0.25">
      <c r="A711" s="42">
        <v>706</v>
      </c>
      <c r="B711" s="42" t="s">
        <v>806</v>
      </c>
      <c r="C711" s="87">
        <v>9012</v>
      </c>
      <c r="D711" s="476">
        <v>32000</v>
      </c>
      <c r="E711" s="42" t="s">
        <v>80</v>
      </c>
      <c r="F711" s="42">
        <v>345.27</v>
      </c>
      <c r="G711" s="42">
        <v>32000</v>
      </c>
      <c r="H711" s="42">
        <f t="shared" si="7"/>
        <v>0</v>
      </c>
      <c r="I711" s="89"/>
      <c r="M711" s="86"/>
    </row>
    <row r="712" spans="1:13" x14ac:dyDescent="0.25">
      <c r="A712" s="42">
        <v>707</v>
      </c>
      <c r="B712" s="42" t="s">
        <v>806</v>
      </c>
      <c r="C712" s="87" t="s">
        <v>30</v>
      </c>
      <c r="D712" s="476">
        <v>5000</v>
      </c>
      <c r="E712" s="42" t="s">
        <v>80</v>
      </c>
      <c r="F712" s="42">
        <v>55.62</v>
      </c>
      <c r="G712" s="42">
        <v>5000</v>
      </c>
      <c r="H712" s="42">
        <f t="shared" si="7"/>
        <v>0</v>
      </c>
      <c r="I712" s="89"/>
      <c r="M712" s="86"/>
    </row>
    <row r="713" spans="1:13" x14ac:dyDescent="0.25">
      <c r="A713" s="42">
        <v>708</v>
      </c>
      <c r="B713" s="42" t="s">
        <v>806</v>
      </c>
      <c r="C713" s="87">
        <v>3602</v>
      </c>
      <c r="D713" s="476">
        <v>10000</v>
      </c>
      <c r="E713" s="42" t="s">
        <v>80</v>
      </c>
      <c r="F713" s="42">
        <v>111.42</v>
      </c>
      <c r="G713" s="42">
        <v>10000</v>
      </c>
      <c r="H713" s="42">
        <f t="shared" si="7"/>
        <v>0</v>
      </c>
      <c r="I713" s="89"/>
      <c r="M713" s="86"/>
    </row>
    <row r="714" spans="1:13" x14ac:dyDescent="0.25">
      <c r="A714" s="42">
        <v>709</v>
      </c>
      <c r="B714" s="42" t="s">
        <v>806</v>
      </c>
      <c r="C714" s="87">
        <v>5887</v>
      </c>
      <c r="D714" s="476">
        <v>6000</v>
      </c>
      <c r="E714" s="42" t="s">
        <v>80</v>
      </c>
      <c r="F714" s="42">
        <v>66.819999999999993</v>
      </c>
      <c r="G714" s="42">
        <v>6000</v>
      </c>
      <c r="H714" s="42">
        <f t="shared" si="7"/>
        <v>0</v>
      </c>
      <c r="I714" s="89"/>
      <c r="M714" s="86"/>
    </row>
    <row r="715" spans="1:13" x14ac:dyDescent="0.25">
      <c r="A715" s="42">
        <v>710</v>
      </c>
      <c r="B715" s="42" t="s">
        <v>806</v>
      </c>
      <c r="C715" s="87">
        <v>1543</v>
      </c>
      <c r="D715" s="476">
        <v>15000</v>
      </c>
      <c r="E715" s="42" t="s">
        <v>80</v>
      </c>
      <c r="F715" s="42">
        <v>167.15</v>
      </c>
      <c r="G715" s="42">
        <v>15000</v>
      </c>
      <c r="H715" s="42">
        <f t="shared" si="7"/>
        <v>0</v>
      </c>
      <c r="I715" s="89"/>
      <c r="M715" s="86"/>
    </row>
    <row r="716" spans="1:13" x14ac:dyDescent="0.25">
      <c r="A716" s="42">
        <v>711</v>
      </c>
      <c r="B716" s="42" t="s">
        <v>806</v>
      </c>
      <c r="C716" s="87">
        <v>1702</v>
      </c>
      <c r="D716" s="476">
        <v>25000</v>
      </c>
      <c r="E716" s="42" t="s">
        <v>80</v>
      </c>
      <c r="F716" s="42">
        <v>278.22000000000003</v>
      </c>
      <c r="G716" s="42">
        <v>25000</v>
      </c>
      <c r="H716" s="42">
        <f t="shared" si="7"/>
        <v>0</v>
      </c>
      <c r="I716" s="89"/>
      <c r="M716" s="86"/>
    </row>
    <row r="717" spans="1:13" x14ac:dyDescent="0.25">
      <c r="A717" s="42">
        <v>712</v>
      </c>
      <c r="B717" s="42" t="s">
        <v>806</v>
      </c>
      <c r="C717" s="87">
        <v>8499</v>
      </c>
      <c r="D717" s="476">
        <v>15000</v>
      </c>
      <c r="E717" s="42" t="s">
        <v>80</v>
      </c>
      <c r="F717" s="42">
        <v>167.15</v>
      </c>
      <c r="G717" s="42">
        <v>15000</v>
      </c>
      <c r="H717" s="42">
        <f t="shared" ref="H717:H780" si="8">D717-G717</f>
        <v>0</v>
      </c>
      <c r="I717" s="89"/>
      <c r="M717" s="86"/>
    </row>
    <row r="718" spans="1:13" x14ac:dyDescent="0.25">
      <c r="A718" s="42">
        <v>713</v>
      </c>
      <c r="B718" s="42" t="s">
        <v>806</v>
      </c>
      <c r="C718" s="87">
        <v>9.7699999999999995E-2</v>
      </c>
      <c r="D718" s="476">
        <v>12000</v>
      </c>
      <c r="E718" s="42" t="s">
        <v>80</v>
      </c>
      <c r="F718" s="42">
        <v>133.41999999999999</v>
      </c>
      <c r="G718" s="42">
        <v>12000</v>
      </c>
      <c r="H718" s="42">
        <f t="shared" si="8"/>
        <v>0</v>
      </c>
      <c r="I718" s="89"/>
      <c r="M718" s="86"/>
    </row>
    <row r="719" spans="1:13" x14ac:dyDescent="0.25">
      <c r="A719" s="42">
        <v>714</v>
      </c>
      <c r="B719" s="42" t="s">
        <v>806</v>
      </c>
      <c r="C719" s="87">
        <v>1547</v>
      </c>
      <c r="D719" s="476">
        <v>20000</v>
      </c>
      <c r="E719" s="42" t="s">
        <v>80</v>
      </c>
      <c r="F719" s="42">
        <v>222.82</v>
      </c>
      <c r="G719" s="42">
        <v>20000</v>
      </c>
      <c r="H719" s="42">
        <f t="shared" si="8"/>
        <v>0</v>
      </c>
      <c r="I719" s="89"/>
      <c r="M719" s="86"/>
    </row>
    <row r="720" spans="1:13" x14ac:dyDescent="0.25">
      <c r="A720" s="42">
        <v>715</v>
      </c>
      <c r="B720" s="42" t="s">
        <v>806</v>
      </c>
      <c r="C720" s="87">
        <v>5961</v>
      </c>
      <c r="D720" s="476">
        <v>11000</v>
      </c>
      <c r="E720" s="42" t="s">
        <v>80</v>
      </c>
      <c r="F720" s="42">
        <v>122.51</v>
      </c>
      <c r="G720" s="42">
        <v>11000</v>
      </c>
      <c r="H720" s="42">
        <f t="shared" si="8"/>
        <v>0</v>
      </c>
      <c r="I720" s="89"/>
      <c r="M720" s="86"/>
    </row>
    <row r="721" spans="1:13" x14ac:dyDescent="0.25">
      <c r="A721" s="42">
        <v>716</v>
      </c>
      <c r="B721" s="42" t="s">
        <v>806</v>
      </c>
      <c r="C721" s="87">
        <v>5.5100000000000003E-2</v>
      </c>
      <c r="D721" s="476">
        <v>14000</v>
      </c>
      <c r="E721" s="42" t="s">
        <v>80</v>
      </c>
      <c r="F721" s="42">
        <v>155.13999999999999</v>
      </c>
      <c r="G721" s="42">
        <v>14000</v>
      </c>
      <c r="H721" s="42">
        <f t="shared" si="8"/>
        <v>0</v>
      </c>
      <c r="I721" s="89"/>
      <c r="M721" s="86"/>
    </row>
    <row r="722" spans="1:13" x14ac:dyDescent="0.25">
      <c r="A722" s="42">
        <v>717</v>
      </c>
      <c r="B722" s="42" t="s">
        <v>806</v>
      </c>
      <c r="C722" s="87">
        <v>7742</v>
      </c>
      <c r="D722" s="476">
        <v>11000</v>
      </c>
      <c r="E722" s="42" t="s">
        <v>80</v>
      </c>
      <c r="F722" s="42">
        <v>122.51</v>
      </c>
      <c r="G722" s="42">
        <v>11000</v>
      </c>
      <c r="H722" s="42">
        <f t="shared" si="8"/>
        <v>0</v>
      </c>
      <c r="I722" s="89"/>
      <c r="M722" s="86"/>
    </row>
    <row r="723" spans="1:13" x14ac:dyDescent="0.25">
      <c r="A723" s="42">
        <v>718</v>
      </c>
      <c r="B723" s="42" t="s">
        <v>806</v>
      </c>
      <c r="C723" s="87">
        <v>1889</v>
      </c>
      <c r="D723" s="476">
        <v>11000</v>
      </c>
      <c r="E723" s="42" t="s">
        <v>80</v>
      </c>
      <c r="F723" s="42">
        <v>122.51</v>
      </c>
      <c r="G723" s="42">
        <v>11000</v>
      </c>
      <c r="H723" s="42">
        <f t="shared" si="8"/>
        <v>0</v>
      </c>
      <c r="I723" s="89"/>
      <c r="M723" s="86"/>
    </row>
    <row r="724" spans="1:13" x14ac:dyDescent="0.25">
      <c r="A724" s="42">
        <v>719</v>
      </c>
      <c r="B724" s="42" t="s">
        <v>806</v>
      </c>
      <c r="C724" s="87">
        <v>3587</v>
      </c>
      <c r="D724" s="476">
        <v>13000</v>
      </c>
      <c r="E724" s="42" t="s">
        <v>80</v>
      </c>
      <c r="F724" s="42">
        <v>144.12</v>
      </c>
      <c r="G724" s="42">
        <v>13000</v>
      </c>
      <c r="H724" s="42">
        <f t="shared" si="8"/>
        <v>0</v>
      </c>
      <c r="I724" s="89"/>
      <c r="M724" s="86"/>
    </row>
    <row r="725" spans="1:13" x14ac:dyDescent="0.25">
      <c r="A725" s="42">
        <v>720</v>
      </c>
      <c r="B725" s="42" t="s">
        <v>806</v>
      </c>
      <c r="C725" s="87">
        <v>8827</v>
      </c>
      <c r="D725" s="476">
        <v>20000</v>
      </c>
      <c r="E725" s="42" t="s">
        <v>80</v>
      </c>
      <c r="F725" s="42">
        <v>222.82</v>
      </c>
      <c r="G725" s="42">
        <v>20000</v>
      </c>
      <c r="H725" s="42">
        <f t="shared" si="8"/>
        <v>0</v>
      </c>
      <c r="I725" s="89"/>
      <c r="M725" s="86"/>
    </row>
    <row r="726" spans="1:13" x14ac:dyDescent="0.25">
      <c r="A726" s="42">
        <v>721</v>
      </c>
      <c r="B726" s="42" t="s">
        <v>806</v>
      </c>
      <c r="C726" s="87">
        <v>7821</v>
      </c>
      <c r="D726" s="476">
        <v>25000</v>
      </c>
      <c r="E726" s="42" t="s">
        <v>80</v>
      </c>
      <c r="F726" s="42">
        <v>278.22000000000003</v>
      </c>
      <c r="G726" s="42">
        <v>25000</v>
      </c>
      <c r="H726" s="42">
        <f t="shared" si="8"/>
        <v>0</v>
      </c>
      <c r="I726" s="89"/>
      <c r="M726" s="86"/>
    </row>
    <row r="727" spans="1:13" x14ac:dyDescent="0.25">
      <c r="A727" s="42">
        <v>722</v>
      </c>
      <c r="B727" s="42" t="s">
        <v>806</v>
      </c>
      <c r="C727" s="87">
        <v>1509</v>
      </c>
      <c r="D727" s="476">
        <v>25000</v>
      </c>
      <c r="E727" s="42" t="s">
        <v>80</v>
      </c>
      <c r="F727" s="42">
        <v>278.22000000000003</v>
      </c>
      <c r="G727" s="42">
        <v>25000</v>
      </c>
      <c r="H727" s="42">
        <f t="shared" si="8"/>
        <v>0</v>
      </c>
      <c r="I727" s="89"/>
      <c r="M727" s="86"/>
    </row>
    <row r="728" spans="1:13" x14ac:dyDescent="0.25">
      <c r="A728" s="42">
        <v>723</v>
      </c>
      <c r="B728" s="42" t="s">
        <v>806</v>
      </c>
      <c r="C728" s="87">
        <v>3035</v>
      </c>
      <c r="D728" s="476">
        <v>21002</v>
      </c>
      <c r="E728" s="42" t="s">
        <v>80</v>
      </c>
      <c r="F728" s="42">
        <v>233.57</v>
      </c>
      <c r="G728" s="42">
        <v>21002</v>
      </c>
      <c r="H728" s="42">
        <f t="shared" si="8"/>
        <v>0</v>
      </c>
      <c r="I728" s="89"/>
      <c r="M728" s="86"/>
    </row>
    <row r="729" spans="1:13" x14ac:dyDescent="0.25">
      <c r="A729" s="42">
        <v>724</v>
      </c>
      <c r="B729" s="42" t="s">
        <v>806</v>
      </c>
      <c r="C729" s="87">
        <v>2.53E-2</v>
      </c>
      <c r="D729" s="476">
        <v>15000</v>
      </c>
      <c r="E729" s="42" t="s">
        <v>80</v>
      </c>
      <c r="F729" s="42">
        <v>167.15</v>
      </c>
      <c r="G729" s="42">
        <v>15000</v>
      </c>
      <c r="H729" s="42">
        <f t="shared" si="8"/>
        <v>0</v>
      </c>
      <c r="I729" s="89"/>
      <c r="M729" s="86"/>
    </row>
    <row r="730" spans="1:13" x14ac:dyDescent="0.25">
      <c r="A730" s="42">
        <v>725</v>
      </c>
      <c r="B730" s="42" t="s">
        <v>806</v>
      </c>
      <c r="C730" s="87">
        <v>4067</v>
      </c>
      <c r="D730" s="476">
        <v>12000</v>
      </c>
      <c r="E730" s="42" t="s">
        <v>80</v>
      </c>
      <c r="F730" s="42">
        <v>133.41999999999999</v>
      </c>
      <c r="G730" s="42">
        <v>12000</v>
      </c>
      <c r="H730" s="42">
        <f t="shared" si="8"/>
        <v>0</v>
      </c>
      <c r="I730" s="89"/>
      <c r="M730" s="86"/>
    </row>
    <row r="731" spans="1:13" x14ac:dyDescent="0.25">
      <c r="A731" s="42">
        <v>726</v>
      </c>
      <c r="B731" s="42" t="s">
        <v>806</v>
      </c>
      <c r="C731" s="87">
        <v>5416</v>
      </c>
      <c r="D731" s="476">
        <v>14000</v>
      </c>
      <c r="E731" s="42" t="s">
        <v>80</v>
      </c>
      <c r="F731" s="42">
        <v>155.13999999999999</v>
      </c>
      <c r="G731" s="42">
        <v>14000</v>
      </c>
      <c r="H731" s="42">
        <f t="shared" si="8"/>
        <v>0</v>
      </c>
      <c r="I731" s="89"/>
      <c r="M731" s="86"/>
    </row>
    <row r="732" spans="1:13" x14ac:dyDescent="0.25">
      <c r="A732" s="42">
        <v>727</v>
      </c>
      <c r="B732" s="42" t="s">
        <v>806</v>
      </c>
      <c r="C732" s="87">
        <v>8392</v>
      </c>
      <c r="D732" s="476">
        <v>15000</v>
      </c>
      <c r="E732" s="42" t="s">
        <v>80</v>
      </c>
      <c r="F732" s="42">
        <v>167.15</v>
      </c>
      <c r="G732" s="42">
        <v>15000</v>
      </c>
      <c r="H732" s="42">
        <f t="shared" si="8"/>
        <v>0</v>
      </c>
      <c r="I732" s="89"/>
      <c r="M732" s="86"/>
    </row>
    <row r="733" spans="1:13" x14ac:dyDescent="0.25">
      <c r="A733" s="42">
        <v>728</v>
      </c>
      <c r="B733" s="42" t="s">
        <v>806</v>
      </c>
      <c r="C733" s="87" t="s">
        <v>735</v>
      </c>
      <c r="D733" s="476">
        <v>3500</v>
      </c>
      <c r="E733" s="42" t="s">
        <v>80</v>
      </c>
      <c r="F733" s="42">
        <v>38.450000000000003</v>
      </c>
      <c r="G733" s="42">
        <v>3500</v>
      </c>
      <c r="H733" s="42">
        <f t="shared" si="8"/>
        <v>0</v>
      </c>
      <c r="I733" s="89"/>
      <c r="M733" s="86"/>
    </row>
    <row r="734" spans="1:13" x14ac:dyDescent="0.25">
      <c r="A734" s="42">
        <v>729</v>
      </c>
      <c r="B734" s="42" t="s">
        <v>806</v>
      </c>
      <c r="C734" s="87">
        <v>2425</v>
      </c>
      <c r="D734" s="476">
        <v>16000</v>
      </c>
      <c r="E734" s="42" t="s">
        <v>80</v>
      </c>
      <c r="F734" s="42">
        <v>178.22</v>
      </c>
      <c r="G734" s="42">
        <v>16000</v>
      </c>
      <c r="H734" s="42">
        <f t="shared" si="8"/>
        <v>0</v>
      </c>
      <c r="I734" s="89"/>
      <c r="M734" s="86"/>
    </row>
    <row r="735" spans="1:13" x14ac:dyDescent="0.25">
      <c r="A735" s="42">
        <v>730</v>
      </c>
      <c r="B735" s="42" t="s">
        <v>806</v>
      </c>
      <c r="C735" s="87">
        <v>1416</v>
      </c>
      <c r="D735" s="476">
        <v>8000</v>
      </c>
      <c r="E735" s="42" t="s">
        <v>80</v>
      </c>
      <c r="F735" s="42">
        <v>89.47</v>
      </c>
      <c r="G735" s="42">
        <v>8000</v>
      </c>
      <c r="H735" s="42">
        <f t="shared" si="8"/>
        <v>0</v>
      </c>
      <c r="I735" s="89"/>
      <c r="M735" s="86"/>
    </row>
    <row r="736" spans="1:13" x14ac:dyDescent="0.25">
      <c r="A736" s="42">
        <v>731</v>
      </c>
      <c r="B736" s="42" t="s">
        <v>806</v>
      </c>
      <c r="C736" s="87">
        <v>6.4699999999999994E-2</v>
      </c>
      <c r="D736" s="476">
        <v>13500</v>
      </c>
      <c r="E736" s="42" t="s">
        <v>80</v>
      </c>
      <c r="F736" s="42">
        <v>150.66999999999999</v>
      </c>
      <c r="G736" s="42">
        <v>13500</v>
      </c>
      <c r="H736" s="42">
        <f t="shared" si="8"/>
        <v>0</v>
      </c>
      <c r="I736" s="89"/>
      <c r="M736" s="86"/>
    </row>
    <row r="737" spans="1:13" x14ac:dyDescent="0.25">
      <c r="A737" s="42">
        <v>732</v>
      </c>
      <c r="B737" s="42" t="s">
        <v>806</v>
      </c>
      <c r="C737" s="87">
        <v>9767</v>
      </c>
      <c r="D737" s="476">
        <v>15000</v>
      </c>
      <c r="E737" s="42" t="s">
        <v>80</v>
      </c>
      <c r="F737" s="42">
        <v>167.15</v>
      </c>
      <c r="G737" s="42">
        <v>15000</v>
      </c>
      <c r="H737" s="42">
        <f t="shared" si="8"/>
        <v>0</v>
      </c>
      <c r="I737" s="89"/>
      <c r="M737" s="86"/>
    </row>
    <row r="738" spans="1:13" x14ac:dyDescent="0.25">
      <c r="A738" s="42">
        <v>733</v>
      </c>
      <c r="B738" s="42" t="s">
        <v>806</v>
      </c>
      <c r="C738" s="87">
        <v>4.9099999999999998E-2</v>
      </c>
      <c r="D738" s="476">
        <v>25000</v>
      </c>
      <c r="E738" s="42" t="s">
        <v>80</v>
      </c>
      <c r="F738" s="42">
        <v>278.22000000000003</v>
      </c>
      <c r="G738" s="42">
        <v>25000</v>
      </c>
      <c r="H738" s="42">
        <f t="shared" si="8"/>
        <v>0</v>
      </c>
      <c r="I738" s="89"/>
      <c r="M738" s="86"/>
    </row>
    <row r="739" spans="1:13" x14ac:dyDescent="0.25">
      <c r="A739" s="42">
        <v>734</v>
      </c>
      <c r="B739" s="42" t="s">
        <v>806</v>
      </c>
      <c r="C739" s="87" t="s">
        <v>30</v>
      </c>
      <c r="D739" s="476">
        <v>4500</v>
      </c>
      <c r="E739" s="42" t="s">
        <v>80</v>
      </c>
      <c r="F739" s="42">
        <v>50.47</v>
      </c>
      <c r="G739" s="42">
        <v>4500</v>
      </c>
      <c r="H739" s="42">
        <f t="shared" si="8"/>
        <v>0</v>
      </c>
      <c r="I739" s="89"/>
      <c r="M739" s="86"/>
    </row>
    <row r="740" spans="1:13" x14ac:dyDescent="0.25">
      <c r="A740" s="42">
        <v>735</v>
      </c>
      <c r="B740" s="42" t="s">
        <v>806</v>
      </c>
      <c r="C740" s="87">
        <v>1.8800000000000001E-2</v>
      </c>
      <c r="D740" s="476">
        <v>30000</v>
      </c>
      <c r="E740" s="42" t="s">
        <v>80</v>
      </c>
      <c r="F740" s="42">
        <v>327.84</v>
      </c>
      <c r="G740" s="42">
        <v>30000</v>
      </c>
      <c r="H740" s="42">
        <f t="shared" si="8"/>
        <v>0</v>
      </c>
      <c r="I740" s="89"/>
      <c r="M740" s="86"/>
    </row>
    <row r="741" spans="1:13" x14ac:dyDescent="0.25">
      <c r="A741" s="42">
        <v>736</v>
      </c>
      <c r="B741" s="42" t="s">
        <v>806</v>
      </c>
      <c r="C741" s="87">
        <v>9992</v>
      </c>
      <c r="D741" s="476">
        <v>32000</v>
      </c>
      <c r="E741" s="42" t="s">
        <v>80</v>
      </c>
      <c r="F741" s="42">
        <v>356.76</v>
      </c>
      <c r="G741" s="42">
        <v>32000</v>
      </c>
      <c r="H741" s="42">
        <f t="shared" si="8"/>
        <v>0</v>
      </c>
      <c r="I741" s="89"/>
      <c r="M741" s="86"/>
    </row>
    <row r="742" spans="1:13" x14ac:dyDescent="0.25">
      <c r="A742" s="42">
        <v>737</v>
      </c>
      <c r="B742" s="42" t="s">
        <v>806</v>
      </c>
      <c r="C742" s="87">
        <v>7411</v>
      </c>
      <c r="D742" s="476">
        <v>20000</v>
      </c>
      <c r="E742" s="42" t="s">
        <v>80</v>
      </c>
      <c r="F742" s="42">
        <v>222.82</v>
      </c>
      <c r="G742" s="42">
        <v>20000</v>
      </c>
      <c r="H742" s="42">
        <f t="shared" si="8"/>
        <v>0</v>
      </c>
      <c r="I742" s="89"/>
      <c r="M742" s="86"/>
    </row>
    <row r="743" spans="1:13" x14ac:dyDescent="0.25">
      <c r="A743" s="42">
        <v>738</v>
      </c>
      <c r="B743" s="42" t="s">
        <v>806</v>
      </c>
      <c r="C743" s="87">
        <v>7258</v>
      </c>
      <c r="D743" s="476">
        <v>28000</v>
      </c>
      <c r="E743" s="42" t="s">
        <v>80</v>
      </c>
      <c r="F743" s="42">
        <v>311.94</v>
      </c>
      <c r="G743" s="42">
        <v>28000</v>
      </c>
      <c r="H743" s="42">
        <f t="shared" si="8"/>
        <v>0</v>
      </c>
      <c r="I743" s="89"/>
      <c r="M743" s="86"/>
    </row>
    <row r="744" spans="1:13" x14ac:dyDescent="0.25">
      <c r="A744" s="42">
        <v>739</v>
      </c>
      <c r="B744" s="42" t="s">
        <v>806</v>
      </c>
      <c r="C744" s="87">
        <v>2320</v>
      </c>
      <c r="D744" s="476">
        <v>28000</v>
      </c>
      <c r="E744" s="42" t="s">
        <v>80</v>
      </c>
      <c r="F744" s="42">
        <v>311.94</v>
      </c>
      <c r="G744" s="42">
        <v>28000</v>
      </c>
      <c r="H744" s="42">
        <f t="shared" si="8"/>
        <v>0</v>
      </c>
      <c r="I744" s="89"/>
      <c r="M744" s="86"/>
    </row>
    <row r="745" spans="1:13" x14ac:dyDescent="0.25">
      <c r="A745" s="42">
        <v>740</v>
      </c>
      <c r="B745" s="42" t="s">
        <v>806</v>
      </c>
      <c r="C745" s="87">
        <v>9235</v>
      </c>
      <c r="D745" s="476">
        <v>32000</v>
      </c>
      <c r="E745" s="42" t="s">
        <v>80</v>
      </c>
      <c r="F745" s="42">
        <v>359.67</v>
      </c>
      <c r="G745" s="42">
        <v>32000</v>
      </c>
      <c r="H745" s="42">
        <f t="shared" si="8"/>
        <v>0</v>
      </c>
      <c r="I745" s="89"/>
      <c r="M745" s="86"/>
    </row>
    <row r="746" spans="1:13" x14ac:dyDescent="0.25">
      <c r="A746" s="42">
        <v>741</v>
      </c>
      <c r="B746" s="42" t="s">
        <v>806</v>
      </c>
      <c r="C746" s="87">
        <v>5152</v>
      </c>
      <c r="D746" s="476">
        <v>17000</v>
      </c>
      <c r="E746" s="42" t="s">
        <v>80</v>
      </c>
      <c r="F746" s="42">
        <v>189.38</v>
      </c>
      <c r="G746" s="42">
        <v>17000</v>
      </c>
      <c r="H746" s="42">
        <f t="shared" si="8"/>
        <v>0</v>
      </c>
      <c r="I746" s="89"/>
      <c r="M746" s="86"/>
    </row>
    <row r="747" spans="1:13" x14ac:dyDescent="0.25">
      <c r="A747" s="42">
        <v>742</v>
      </c>
      <c r="B747" s="42" t="s">
        <v>806</v>
      </c>
      <c r="C747" s="87">
        <v>1139</v>
      </c>
      <c r="D747" s="476">
        <v>29000</v>
      </c>
      <c r="E747" s="42" t="s">
        <v>80</v>
      </c>
      <c r="F747" s="42">
        <v>318.58</v>
      </c>
      <c r="G747" s="42">
        <v>29000</v>
      </c>
      <c r="H747" s="42">
        <f t="shared" si="8"/>
        <v>0</v>
      </c>
      <c r="I747" s="89"/>
      <c r="M747" s="86"/>
    </row>
    <row r="748" spans="1:13" x14ac:dyDescent="0.25">
      <c r="A748" s="42">
        <v>743</v>
      </c>
      <c r="B748" s="42" t="s">
        <v>806</v>
      </c>
      <c r="C748" s="87">
        <v>2029</v>
      </c>
      <c r="D748" s="476">
        <v>29000</v>
      </c>
      <c r="E748" s="42" t="s">
        <v>80</v>
      </c>
      <c r="F748" s="42">
        <v>318.58</v>
      </c>
      <c r="G748" s="42">
        <v>29000</v>
      </c>
      <c r="H748" s="42">
        <f t="shared" si="8"/>
        <v>0</v>
      </c>
      <c r="I748" s="89"/>
      <c r="M748" s="86"/>
    </row>
    <row r="749" spans="1:13" x14ac:dyDescent="0.25">
      <c r="A749" s="42">
        <v>744</v>
      </c>
      <c r="B749" s="42" t="s">
        <v>806</v>
      </c>
      <c r="C749" s="87">
        <v>3108</v>
      </c>
      <c r="D749" s="476">
        <v>15000</v>
      </c>
      <c r="E749" s="42" t="s">
        <v>80</v>
      </c>
      <c r="F749" s="42">
        <v>167.15</v>
      </c>
      <c r="G749" s="42">
        <v>15000</v>
      </c>
      <c r="H749" s="42">
        <f t="shared" si="8"/>
        <v>0</v>
      </c>
      <c r="I749" s="89"/>
      <c r="M749" s="86"/>
    </row>
    <row r="750" spans="1:13" x14ac:dyDescent="0.25">
      <c r="A750" s="42">
        <v>745</v>
      </c>
      <c r="B750" s="42" t="s">
        <v>806</v>
      </c>
      <c r="C750" s="87">
        <v>2677</v>
      </c>
      <c r="D750" s="476">
        <v>25000</v>
      </c>
      <c r="E750" s="42" t="s">
        <v>80</v>
      </c>
      <c r="F750" s="42">
        <v>278.22000000000003</v>
      </c>
      <c r="G750" s="42">
        <v>25000</v>
      </c>
      <c r="H750" s="42">
        <f t="shared" si="8"/>
        <v>0</v>
      </c>
      <c r="I750" s="89"/>
      <c r="M750" s="86"/>
    </row>
    <row r="751" spans="1:13" x14ac:dyDescent="0.25">
      <c r="A751" s="42">
        <v>746</v>
      </c>
      <c r="B751" s="42" t="s">
        <v>806</v>
      </c>
      <c r="C751" s="87">
        <v>4743</v>
      </c>
      <c r="D751" s="476">
        <v>21000</v>
      </c>
      <c r="E751" s="42" t="s">
        <v>80</v>
      </c>
      <c r="F751" s="42">
        <v>233.68</v>
      </c>
      <c r="G751" s="42">
        <v>21000</v>
      </c>
      <c r="H751" s="42">
        <f t="shared" si="8"/>
        <v>0</v>
      </c>
      <c r="I751" s="89"/>
      <c r="M751" s="86"/>
    </row>
    <row r="752" spans="1:13" x14ac:dyDescent="0.25">
      <c r="A752" s="42">
        <v>747</v>
      </c>
      <c r="B752" s="42" t="s">
        <v>806</v>
      </c>
      <c r="C752" s="87">
        <v>8483</v>
      </c>
      <c r="D752" s="476">
        <v>27000</v>
      </c>
      <c r="E752" s="42" t="s">
        <v>80</v>
      </c>
      <c r="F752" s="42">
        <v>300.76</v>
      </c>
      <c r="G752" s="42">
        <v>27000</v>
      </c>
      <c r="H752" s="42">
        <f t="shared" si="8"/>
        <v>0</v>
      </c>
      <c r="I752" s="89"/>
      <c r="M752" s="86"/>
    </row>
    <row r="753" spans="1:16" x14ac:dyDescent="0.25">
      <c r="A753" s="42">
        <v>748</v>
      </c>
      <c r="B753" s="42" t="s">
        <v>806</v>
      </c>
      <c r="C753" s="87">
        <v>1661</v>
      </c>
      <c r="D753" s="476">
        <v>21000</v>
      </c>
      <c r="E753" s="42" t="s">
        <v>80</v>
      </c>
      <c r="F753" s="42">
        <v>252.72</v>
      </c>
      <c r="G753" s="42">
        <v>21000</v>
      </c>
      <c r="H753" s="42">
        <f t="shared" si="8"/>
        <v>0</v>
      </c>
      <c r="I753" s="89"/>
      <c r="M753" s="86"/>
    </row>
    <row r="754" spans="1:16" x14ac:dyDescent="0.25">
      <c r="A754" s="42">
        <v>749</v>
      </c>
      <c r="B754" s="42" t="s">
        <v>806</v>
      </c>
      <c r="C754" s="87">
        <v>6311</v>
      </c>
      <c r="D754" s="476">
        <v>20000</v>
      </c>
      <c r="E754" s="42" t="s">
        <v>80</v>
      </c>
      <c r="F754" s="42">
        <v>222.82</v>
      </c>
      <c r="G754" s="42">
        <v>20000</v>
      </c>
      <c r="H754" s="42">
        <f t="shared" si="8"/>
        <v>0</v>
      </c>
      <c r="I754" s="89"/>
      <c r="M754" s="86"/>
    </row>
    <row r="755" spans="1:16" x14ac:dyDescent="0.25">
      <c r="A755" s="42">
        <v>750</v>
      </c>
      <c r="B755" s="42" t="s">
        <v>806</v>
      </c>
      <c r="C755" s="87">
        <v>1776</v>
      </c>
      <c r="D755" s="476">
        <v>18000</v>
      </c>
      <c r="E755" s="42" t="s">
        <v>80</v>
      </c>
      <c r="F755" s="42">
        <v>200.68</v>
      </c>
      <c r="G755" s="42">
        <v>18000</v>
      </c>
      <c r="H755" s="42">
        <f t="shared" si="8"/>
        <v>0</v>
      </c>
      <c r="I755" s="89"/>
      <c r="M755" s="86"/>
    </row>
    <row r="756" spans="1:16" x14ac:dyDescent="0.25">
      <c r="A756" s="42">
        <v>751</v>
      </c>
      <c r="B756" s="42" t="s">
        <v>806</v>
      </c>
      <c r="C756" s="87">
        <v>9951</v>
      </c>
      <c r="D756" s="476">
        <v>5000</v>
      </c>
      <c r="E756" s="42" t="s">
        <v>80</v>
      </c>
      <c r="F756" s="42">
        <v>55.54</v>
      </c>
      <c r="G756" s="42">
        <v>5000</v>
      </c>
      <c r="H756" s="42">
        <f t="shared" si="8"/>
        <v>0</v>
      </c>
      <c r="I756" s="89"/>
      <c r="J756" s="398">
        <f>2866356-2843019</f>
        <v>23337</v>
      </c>
      <c r="K756" s="398" t="s">
        <v>803</v>
      </c>
      <c r="L756" s="398" t="s">
        <v>620</v>
      </c>
      <c r="M756" s="86">
        <f>23337-2040</f>
        <v>21297</v>
      </c>
      <c r="P756" s="398">
        <v>3196191689</v>
      </c>
    </row>
    <row r="757" spans="1:16" x14ac:dyDescent="0.25">
      <c r="A757" s="42">
        <v>752</v>
      </c>
      <c r="B757" s="42" t="s">
        <v>807</v>
      </c>
      <c r="C757" s="87" t="s">
        <v>633</v>
      </c>
      <c r="D757" s="476">
        <v>210</v>
      </c>
      <c r="E757" s="42" t="s">
        <v>80</v>
      </c>
      <c r="F757" s="42">
        <v>2.09</v>
      </c>
      <c r="G757" s="42">
        <v>210</v>
      </c>
      <c r="H757" s="42">
        <f t="shared" si="8"/>
        <v>0</v>
      </c>
      <c r="I757" s="89"/>
      <c r="M757" s="86"/>
    </row>
    <row r="758" spans="1:16" x14ac:dyDescent="0.25">
      <c r="A758" s="42">
        <v>753</v>
      </c>
      <c r="B758" s="42" t="s">
        <v>807</v>
      </c>
      <c r="C758" s="87" t="s">
        <v>735</v>
      </c>
      <c r="D758" s="476">
        <v>3500</v>
      </c>
      <c r="E758" s="42" t="s">
        <v>80</v>
      </c>
      <c r="F758" s="42">
        <v>38.450000000000003</v>
      </c>
      <c r="G758" s="42">
        <v>3500</v>
      </c>
      <c r="H758" s="42">
        <f t="shared" si="8"/>
        <v>0</v>
      </c>
      <c r="I758" s="89"/>
      <c r="M758" s="86"/>
    </row>
    <row r="759" spans="1:16" x14ac:dyDescent="0.25">
      <c r="A759" s="42">
        <v>754</v>
      </c>
      <c r="B759" s="42" t="s">
        <v>807</v>
      </c>
      <c r="C759" s="87" t="s">
        <v>30</v>
      </c>
      <c r="D759" s="476">
        <v>5000</v>
      </c>
      <c r="E759" s="42" t="s">
        <v>80</v>
      </c>
      <c r="F759" s="42">
        <v>50.45</v>
      </c>
      <c r="G759" s="42">
        <v>5000</v>
      </c>
      <c r="H759" s="42">
        <f t="shared" si="8"/>
        <v>0</v>
      </c>
      <c r="I759" s="89"/>
      <c r="M759" s="86"/>
    </row>
    <row r="760" spans="1:16" x14ac:dyDescent="0.25">
      <c r="A760" s="42">
        <v>755</v>
      </c>
      <c r="B760" s="42" t="s">
        <v>807</v>
      </c>
      <c r="C760" s="87">
        <v>3.3599999999999998E-2</v>
      </c>
      <c r="D760" s="476">
        <v>10000</v>
      </c>
      <c r="E760" s="42" t="s">
        <v>80</v>
      </c>
      <c r="F760" s="42">
        <v>111.42</v>
      </c>
      <c r="G760" s="42">
        <v>10000</v>
      </c>
      <c r="H760" s="42">
        <f t="shared" si="8"/>
        <v>0</v>
      </c>
      <c r="I760" s="89"/>
      <c r="M760" s="86"/>
    </row>
    <row r="761" spans="1:16" x14ac:dyDescent="0.25">
      <c r="A761" s="42">
        <v>756</v>
      </c>
      <c r="B761" s="42" t="s">
        <v>807</v>
      </c>
      <c r="C761" s="87">
        <v>8431</v>
      </c>
      <c r="D761" s="476">
        <v>10000</v>
      </c>
      <c r="E761" s="42" t="s">
        <v>80</v>
      </c>
      <c r="F761" s="42">
        <v>111.42</v>
      </c>
      <c r="G761" s="42">
        <v>10000</v>
      </c>
      <c r="H761" s="42">
        <f t="shared" si="8"/>
        <v>0</v>
      </c>
      <c r="I761" s="89"/>
      <c r="M761" s="86"/>
    </row>
    <row r="762" spans="1:16" x14ac:dyDescent="0.25">
      <c r="A762" s="42">
        <v>757</v>
      </c>
      <c r="B762" s="42" t="s">
        <v>807</v>
      </c>
      <c r="C762" s="87">
        <v>9670</v>
      </c>
      <c r="D762" s="476">
        <v>10000</v>
      </c>
      <c r="E762" s="42" t="s">
        <v>80</v>
      </c>
      <c r="F762" s="42">
        <v>111.42</v>
      </c>
      <c r="G762" s="42">
        <v>10000</v>
      </c>
      <c r="H762" s="42">
        <f t="shared" si="8"/>
        <v>0</v>
      </c>
      <c r="I762" s="89"/>
      <c r="M762" s="86"/>
    </row>
    <row r="763" spans="1:16" x14ac:dyDescent="0.25">
      <c r="A763" s="42">
        <v>758</v>
      </c>
      <c r="B763" s="42" t="s">
        <v>807</v>
      </c>
      <c r="C763" s="87">
        <v>2223</v>
      </c>
      <c r="D763" s="476">
        <v>10000</v>
      </c>
      <c r="E763" s="42" t="s">
        <v>80</v>
      </c>
      <c r="F763" s="42">
        <v>111.42</v>
      </c>
      <c r="G763" s="42">
        <v>10000</v>
      </c>
      <c r="H763" s="42">
        <f t="shared" si="8"/>
        <v>0</v>
      </c>
      <c r="I763" s="89"/>
      <c r="M763" s="86"/>
    </row>
    <row r="764" spans="1:16" x14ac:dyDescent="0.25">
      <c r="A764" s="42">
        <v>759</v>
      </c>
      <c r="B764" s="42" t="s">
        <v>807</v>
      </c>
      <c r="C764" s="87">
        <v>4714</v>
      </c>
      <c r="D764" s="476">
        <v>13000</v>
      </c>
      <c r="E764" s="42" t="s">
        <v>80</v>
      </c>
      <c r="F764" s="42">
        <v>144.15</v>
      </c>
      <c r="G764" s="42">
        <v>13000</v>
      </c>
      <c r="H764" s="42">
        <f t="shared" si="8"/>
        <v>0</v>
      </c>
      <c r="I764" s="89"/>
      <c r="M764" s="86"/>
    </row>
    <row r="765" spans="1:16" x14ac:dyDescent="0.25">
      <c r="A765" s="42">
        <v>760</v>
      </c>
      <c r="B765" s="42" t="s">
        <v>807</v>
      </c>
      <c r="C765" s="87">
        <v>5859</v>
      </c>
      <c r="D765" s="476">
        <v>14000</v>
      </c>
      <c r="E765" s="42" t="s">
        <v>80</v>
      </c>
      <c r="F765" s="42">
        <v>155.44999999999999</v>
      </c>
      <c r="G765" s="42">
        <v>14000</v>
      </c>
      <c r="H765" s="42">
        <f t="shared" si="8"/>
        <v>0</v>
      </c>
      <c r="I765" s="89"/>
      <c r="M765" s="86"/>
    </row>
    <row r="766" spans="1:16" x14ac:dyDescent="0.25">
      <c r="A766" s="42">
        <v>761</v>
      </c>
      <c r="B766" s="42" t="s">
        <v>807</v>
      </c>
      <c r="C766" s="87">
        <v>8318</v>
      </c>
      <c r="D766" s="476">
        <v>15000</v>
      </c>
      <c r="E766" s="42" t="s">
        <v>80</v>
      </c>
      <c r="F766" s="42">
        <v>167.15</v>
      </c>
      <c r="G766" s="42">
        <v>15000</v>
      </c>
      <c r="H766" s="42">
        <f t="shared" si="8"/>
        <v>0</v>
      </c>
      <c r="I766" s="89"/>
      <c r="M766" s="86"/>
    </row>
    <row r="767" spans="1:16" x14ac:dyDescent="0.25">
      <c r="A767" s="42">
        <v>762</v>
      </c>
      <c r="B767" s="42" t="s">
        <v>807</v>
      </c>
      <c r="C767" s="87">
        <v>5210</v>
      </c>
      <c r="D767" s="476">
        <v>15000</v>
      </c>
      <c r="E767" s="42" t="s">
        <v>80</v>
      </c>
      <c r="F767" s="42">
        <v>167.15</v>
      </c>
      <c r="G767" s="42">
        <v>15000</v>
      </c>
      <c r="H767" s="42">
        <f t="shared" si="8"/>
        <v>0</v>
      </c>
      <c r="I767" s="89"/>
      <c r="M767" s="86"/>
    </row>
    <row r="768" spans="1:16" x14ac:dyDescent="0.25">
      <c r="A768" s="42">
        <v>763</v>
      </c>
      <c r="B768" s="42" t="s">
        <v>807</v>
      </c>
      <c r="C768" s="87">
        <v>2973</v>
      </c>
      <c r="D768" s="476">
        <v>15000</v>
      </c>
      <c r="E768" s="42" t="s">
        <v>80</v>
      </c>
      <c r="F768" s="42">
        <v>167.15</v>
      </c>
      <c r="G768" s="42">
        <v>15000</v>
      </c>
      <c r="H768" s="42">
        <f t="shared" si="8"/>
        <v>0</v>
      </c>
      <c r="I768" s="89"/>
      <c r="M768" s="86"/>
    </row>
    <row r="769" spans="1:13" x14ac:dyDescent="0.25">
      <c r="A769" s="42">
        <v>764</v>
      </c>
      <c r="B769" s="42" t="s">
        <v>807</v>
      </c>
      <c r="C769" s="87">
        <v>2972</v>
      </c>
      <c r="D769" s="476">
        <v>15000</v>
      </c>
      <c r="E769" s="42" t="s">
        <v>80</v>
      </c>
      <c r="F769" s="42">
        <v>167.15</v>
      </c>
      <c r="G769" s="42">
        <v>15000</v>
      </c>
      <c r="H769" s="42">
        <f t="shared" si="8"/>
        <v>0</v>
      </c>
      <c r="I769" s="89"/>
      <c r="M769" s="86"/>
    </row>
    <row r="770" spans="1:13" x14ac:dyDescent="0.25">
      <c r="A770" s="42">
        <v>765</v>
      </c>
      <c r="B770" s="42" t="s">
        <v>807</v>
      </c>
      <c r="C770" s="87">
        <v>6133</v>
      </c>
      <c r="D770" s="476">
        <v>16000</v>
      </c>
      <c r="E770" s="42" t="s">
        <v>80</v>
      </c>
      <c r="F770" s="42">
        <v>178.22</v>
      </c>
      <c r="G770" s="42">
        <v>16000</v>
      </c>
      <c r="H770" s="42">
        <f t="shared" si="8"/>
        <v>0</v>
      </c>
      <c r="I770" s="89"/>
      <c r="M770" s="86"/>
    </row>
    <row r="771" spans="1:13" x14ac:dyDescent="0.25">
      <c r="A771" s="42">
        <v>766</v>
      </c>
      <c r="B771" s="42" t="s">
        <v>807</v>
      </c>
      <c r="C771" s="87">
        <v>4059</v>
      </c>
      <c r="D771" s="476">
        <v>16000</v>
      </c>
      <c r="E771" s="42" t="s">
        <v>80</v>
      </c>
      <c r="F771" s="42">
        <v>178.22</v>
      </c>
      <c r="G771" s="42">
        <v>16000</v>
      </c>
      <c r="H771" s="42">
        <f t="shared" si="8"/>
        <v>0</v>
      </c>
      <c r="I771" s="89"/>
      <c r="M771" s="86"/>
    </row>
    <row r="772" spans="1:13" x14ac:dyDescent="0.25">
      <c r="A772" s="42">
        <v>767</v>
      </c>
      <c r="B772" s="42" t="s">
        <v>807</v>
      </c>
      <c r="C772" s="87">
        <v>6573</v>
      </c>
      <c r="D772" s="476">
        <v>16000</v>
      </c>
      <c r="E772" s="42" t="s">
        <v>80</v>
      </c>
      <c r="F772" s="42">
        <v>178.22</v>
      </c>
      <c r="G772" s="42">
        <v>16000</v>
      </c>
      <c r="H772" s="42">
        <f t="shared" si="8"/>
        <v>0</v>
      </c>
      <c r="I772" s="89"/>
      <c r="M772" s="86"/>
    </row>
    <row r="773" spans="1:13" x14ac:dyDescent="0.25">
      <c r="A773" s="42">
        <v>768</v>
      </c>
      <c r="B773" s="42" t="s">
        <v>807</v>
      </c>
      <c r="C773" s="87">
        <v>6795</v>
      </c>
      <c r="D773" s="476">
        <v>16000</v>
      </c>
      <c r="E773" s="42" t="s">
        <v>80</v>
      </c>
      <c r="F773" s="42">
        <v>178.22</v>
      </c>
      <c r="G773" s="42">
        <v>16000</v>
      </c>
      <c r="H773" s="42">
        <f t="shared" si="8"/>
        <v>0</v>
      </c>
      <c r="I773" s="89"/>
      <c r="M773" s="86"/>
    </row>
    <row r="774" spans="1:13" x14ac:dyDescent="0.25">
      <c r="A774" s="42">
        <v>769</v>
      </c>
      <c r="B774" s="42" t="s">
        <v>807</v>
      </c>
      <c r="C774" s="87">
        <v>5978</v>
      </c>
      <c r="D774" s="476">
        <v>16000</v>
      </c>
      <c r="E774" s="42" t="s">
        <v>80</v>
      </c>
      <c r="F774" s="42">
        <v>178.22</v>
      </c>
      <c r="G774" s="42">
        <v>16000</v>
      </c>
      <c r="H774" s="42">
        <f t="shared" si="8"/>
        <v>0</v>
      </c>
      <c r="I774" s="89"/>
      <c r="M774" s="86"/>
    </row>
    <row r="775" spans="1:13" x14ac:dyDescent="0.25">
      <c r="A775" s="42">
        <v>770</v>
      </c>
      <c r="B775" s="42" t="s">
        <v>807</v>
      </c>
      <c r="C775" s="87">
        <v>4058</v>
      </c>
      <c r="D775" s="476">
        <v>16000</v>
      </c>
      <c r="E775" s="42" t="s">
        <v>80</v>
      </c>
      <c r="F775" s="42">
        <v>178.22</v>
      </c>
      <c r="G775" s="42">
        <v>16000</v>
      </c>
      <c r="H775" s="42">
        <f t="shared" si="8"/>
        <v>0</v>
      </c>
      <c r="I775" s="89"/>
      <c r="M775" s="86"/>
    </row>
    <row r="776" spans="1:13" x14ac:dyDescent="0.25">
      <c r="A776" s="42">
        <v>771</v>
      </c>
      <c r="B776" s="42" t="s">
        <v>807</v>
      </c>
      <c r="C776" s="87">
        <v>6929</v>
      </c>
      <c r="D776" s="476">
        <v>16000</v>
      </c>
      <c r="E776" s="42" t="s">
        <v>80</v>
      </c>
      <c r="F776" s="42">
        <v>178.22</v>
      </c>
      <c r="G776" s="42">
        <v>16000</v>
      </c>
      <c r="H776" s="42">
        <f t="shared" si="8"/>
        <v>0</v>
      </c>
      <c r="I776" s="89"/>
      <c r="M776" s="86"/>
    </row>
    <row r="777" spans="1:13" x14ac:dyDescent="0.25">
      <c r="A777" s="42">
        <v>772</v>
      </c>
      <c r="B777" s="42" t="s">
        <v>807</v>
      </c>
      <c r="C777" s="87">
        <v>1738</v>
      </c>
      <c r="D777" s="476">
        <v>16000</v>
      </c>
      <c r="E777" s="42" t="s">
        <v>80</v>
      </c>
      <c r="F777" s="42">
        <v>178.22</v>
      </c>
      <c r="G777" s="42">
        <v>16000</v>
      </c>
      <c r="H777" s="42">
        <f t="shared" si="8"/>
        <v>0</v>
      </c>
      <c r="I777" s="89"/>
      <c r="M777" s="86"/>
    </row>
    <row r="778" spans="1:13" x14ac:dyDescent="0.25">
      <c r="A778" s="42">
        <v>773</v>
      </c>
      <c r="B778" s="42" t="s">
        <v>807</v>
      </c>
      <c r="C778" s="87">
        <v>2436</v>
      </c>
      <c r="D778" s="476">
        <v>18000</v>
      </c>
      <c r="E778" s="42" t="s">
        <v>80</v>
      </c>
      <c r="F778" s="42">
        <v>200.82</v>
      </c>
      <c r="G778" s="42">
        <v>18000</v>
      </c>
      <c r="H778" s="42">
        <f t="shared" si="8"/>
        <v>0</v>
      </c>
      <c r="I778" s="89"/>
      <c r="M778" s="86"/>
    </row>
    <row r="779" spans="1:13" x14ac:dyDescent="0.25">
      <c r="A779" s="42">
        <v>774</v>
      </c>
      <c r="B779" s="42" t="s">
        <v>807</v>
      </c>
      <c r="C779" s="87">
        <v>9996</v>
      </c>
      <c r="D779" s="476">
        <v>20000</v>
      </c>
      <c r="E779" s="42" t="s">
        <v>80</v>
      </c>
      <c r="F779" s="42">
        <v>222.82</v>
      </c>
      <c r="G779" s="42">
        <v>20000</v>
      </c>
      <c r="H779" s="42">
        <f t="shared" si="8"/>
        <v>0</v>
      </c>
      <c r="I779" s="89"/>
      <c r="M779" s="86"/>
    </row>
    <row r="780" spans="1:13" x14ac:dyDescent="0.25">
      <c r="A780" s="42">
        <v>775</v>
      </c>
      <c r="B780" s="42" t="s">
        <v>807</v>
      </c>
      <c r="C780" s="87">
        <v>4066</v>
      </c>
      <c r="D780" s="476">
        <v>20000</v>
      </c>
      <c r="E780" s="42" t="s">
        <v>80</v>
      </c>
      <c r="F780" s="42">
        <v>222.82</v>
      </c>
      <c r="G780" s="42">
        <v>20000</v>
      </c>
      <c r="H780" s="42">
        <f t="shared" si="8"/>
        <v>0</v>
      </c>
      <c r="I780" s="89"/>
      <c r="M780" s="86"/>
    </row>
    <row r="781" spans="1:13" x14ac:dyDescent="0.25">
      <c r="A781" s="42">
        <v>776</v>
      </c>
      <c r="B781" s="42" t="s">
        <v>807</v>
      </c>
      <c r="C781" s="87">
        <v>7017</v>
      </c>
      <c r="D781" s="476">
        <v>22000</v>
      </c>
      <c r="E781" s="42" t="s">
        <v>80</v>
      </c>
      <c r="F781" s="42">
        <v>245.71</v>
      </c>
      <c r="G781" s="42">
        <v>22000</v>
      </c>
      <c r="H781" s="42">
        <f t="shared" ref="H781:H844" si="9">D781-G781</f>
        <v>0</v>
      </c>
      <c r="I781" s="89"/>
      <c r="M781" s="86"/>
    </row>
    <row r="782" spans="1:13" x14ac:dyDescent="0.25">
      <c r="A782" s="42">
        <v>777</v>
      </c>
      <c r="B782" s="42" t="s">
        <v>807</v>
      </c>
      <c r="C782" s="87">
        <v>3367</v>
      </c>
      <c r="D782" s="476">
        <v>25000</v>
      </c>
      <c r="E782" s="42" t="s">
        <v>80</v>
      </c>
      <c r="F782" s="42">
        <v>278.22000000000003</v>
      </c>
      <c r="G782" s="42">
        <v>25000</v>
      </c>
      <c r="H782" s="42">
        <f t="shared" si="9"/>
        <v>0</v>
      </c>
      <c r="I782" s="89"/>
      <c r="M782" s="86"/>
    </row>
    <row r="783" spans="1:13" x14ac:dyDescent="0.25">
      <c r="A783" s="42">
        <v>778</v>
      </c>
      <c r="B783" s="42" t="s">
        <v>807</v>
      </c>
      <c r="C783" s="87">
        <v>7122</v>
      </c>
      <c r="D783" s="476">
        <v>27000</v>
      </c>
      <c r="E783" s="42" t="s">
        <v>80</v>
      </c>
      <c r="F783" s="42">
        <v>300.76</v>
      </c>
      <c r="G783" s="42">
        <v>27000</v>
      </c>
      <c r="H783" s="42">
        <f t="shared" si="9"/>
        <v>0</v>
      </c>
      <c r="I783" s="89"/>
      <c r="M783" s="86"/>
    </row>
    <row r="784" spans="1:13" x14ac:dyDescent="0.25">
      <c r="A784" s="42">
        <v>779</v>
      </c>
      <c r="B784" s="42" t="s">
        <v>807</v>
      </c>
      <c r="C784" s="87">
        <v>1127</v>
      </c>
      <c r="D784" s="476">
        <v>28000</v>
      </c>
      <c r="E784" s="42" t="s">
        <v>80</v>
      </c>
      <c r="F784" s="42">
        <v>311.48</v>
      </c>
      <c r="G784" s="42">
        <v>28000</v>
      </c>
      <c r="H784" s="42">
        <f t="shared" si="9"/>
        <v>0</v>
      </c>
      <c r="I784" s="89"/>
      <c r="M784" s="86"/>
    </row>
    <row r="785" spans="1:13" x14ac:dyDescent="0.25">
      <c r="A785" s="42">
        <v>780</v>
      </c>
      <c r="B785" s="42" t="s">
        <v>807</v>
      </c>
      <c r="C785" s="87">
        <v>2884</v>
      </c>
      <c r="D785" s="476">
        <v>29000</v>
      </c>
      <c r="E785" s="42" t="s">
        <v>80</v>
      </c>
      <c r="F785" s="42">
        <v>317.95999999999998</v>
      </c>
      <c r="G785" s="42">
        <v>29000</v>
      </c>
      <c r="H785" s="42">
        <f t="shared" si="9"/>
        <v>0</v>
      </c>
      <c r="I785" s="89"/>
      <c r="M785" s="86"/>
    </row>
    <row r="786" spans="1:13" x14ac:dyDescent="0.25">
      <c r="A786" s="42">
        <v>781</v>
      </c>
      <c r="B786" s="42" t="s">
        <v>807</v>
      </c>
      <c r="C786" s="87">
        <v>8894</v>
      </c>
      <c r="D786" s="476">
        <v>10000</v>
      </c>
      <c r="E786" s="42" t="s">
        <v>80</v>
      </c>
      <c r="F786" s="42">
        <v>111.41</v>
      </c>
      <c r="G786" s="42">
        <v>10000</v>
      </c>
      <c r="H786" s="42">
        <f t="shared" si="9"/>
        <v>0</v>
      </c>
      <c r="I786" s="89"/>
      <c r="M786" s="86"/>
    </row>
    <row r="787" spans="1:13" x14ac:dyDescent="0.25">
      <c r="A787" s="42">
        <v>782</v>
      </c>
      <c r="B787" s="42" t="s">
        <v>807</v>
      </c>
      <c r="C787" s="87">
        <v>8007</v>
      </c>
      <c r="D787" s="476">
        <v>25000</v>
      </c>
      <c r="E787" s="42" t="s">
        <v>80</v>
      </c>
      <c r="F787" s="42">
        <v>278.22000000000003</v>
      </c>
      <c r="G787" s="42">
        <v>25000</v>
      </c>
      <c r="H787" s="42">
        <f t="shared" si="9"/>
        <v>0</v>
      </c>
      <c r="I787" s="89"/>
      <c r="M787" s="86"/>
    </row>
    <row r="788" spans="1:13" x14ac:dyDescent="0.25">
      <c r="A788" s="42">
        <v>783</v>
      </c>
      <c r="B788" s="42" t="s">
        <v>807</v>
      </c>
      <c r="C788" s="87">
        <v>8274</v>
      </c>
      <c r="D788" s="476">
        <v>25000</v>
      </c>
      <c r="E788" s="42" t="s">
        <v>80</v>
      </c>
      <c r="F788" s="42">
        <v>278.22000000000003</v>
      </c>
      <c r="G788" s="42">
        <v>25000</v>
      </c>
      <c r="H788" s="42">
        <f t="shared" si="9"/>
        <v>0</v>
      </c>
      <c r="I788" s="89"/>
      <c r="M788" s="86"/>
    </row>
    <row r="789" spans="1:13" x14ac:dyDescent="0.25">
      <c r="A789" s="42">
        <v>784</v>
      </c>
      <c r="B789" s="42" t="s">
        <v>807</v>
      </c>
      <c r="C789" s="87">
        <v>9109</v>
      </c>
      <c r="D789" s="476">
        <v>30000</v>
      </c>
      <c r="E789" s="42" t="s">
        <v>80</v>
      </c>
      <c r="F789" s="42">
        <v>334.82</v>
      </c>
      <c r="G789" s="42">
        <v>30000</v>
      </c>
      <c r="H789" s="42">
        <f t="shared" si="9"/>
        <v>0</v>
      </c>
      <c r="I789" s="89"/>
      <c r="M789" s="86"/>
    </row>
    <row r="790" spans="1:13" x14ac:dyDescent="0.25">
      <c r="A790" s="42">
        <v>785</v>
      </c>
      <c r="B790" s="42" t="s">
        <v>807</v>
      </c>
      <c r="C790" s="87">
        <v>3382</v>
      </c>
      <c r="D790" s="476">
        <v>23870</v>
      </c>
      <c r="E790" s="42" t="s">
        <v>80</v>
      </c>
      <c r="F790" s="42">
        <v>265.74</v>
      </c>
      <c r="G790" s="42">
        <v>23870</v>
      </c>
      <c r="H790" s="42">
        <f t="shared" si="9"/>
        <v>0</v>
      </c>
      <c r="I790" s="89"/>
      <c r="M790" s="86"/>
    </row>
    <row r="791" spans="1:13" x14ac:dyDescent="0.25">
      <c r="A791" s="42">
        <v>786</v>
      </c>
      <c r="B791" s="42" t="s">
        <v>807</v>
      </c>
      <c r="C791" s="87">
        <v>1489</v>
      </c>
      <c r="D791" s="476">
        <v>19000</v>
      </c>
      <c r="E791" s="42" t="s">
        <v>80</v>
      </c>
      <c r="F791" s="42">
        <v>211.72</v>
      </c>
      <c r="G791" s="42">
        <v>19000</v>
      </c>
      <c r="H791" s="42">
        <f t="shared" si="9"/>
        <v>0</v>
      </c>
      <c r="I791" s="89"/>
      <c r="M791" s="86"/>
    </row>
    <row r="792" spans="1:13" x14ac:dyDescent="0.25">
      <c r="A792" s="42">
        <v>787</v>
      </c>
      <c r="B792" s="42" t="s">
        <v>807</v>
      </c>
      <c r="C792" s="87">
        <v>4.2599999999999999E-2</v>
      </c>
      <c r="D792" s="476">
        <v>19000</v>
      </c>
      <c r="E792" s="42" t="s">
        <v>80</v>
      </c>
      <c r="F792" s="42">
        <v>211.71</v>
      </c>
      <c r="G792" s="42">
        <v>19000</v>
      </c>
      <c r="H792" s="42">
        <f t="shared" si="9"/>
        <v>0</v>
      </c>
      <c r="I792" s="89"/>
      <c r="M792" s="86"/>
    </row>
    <row r="793" spans="1:13" x14ac:dyDescent="0.25">
      <c r="A793" s="42">
        <v>788</v>
      </c>
      <c r="B793" s="42" t="s">
        <v>807</v>
      </c>
      <c r="C793" s="87">
        <v>6104</v>
      </c>
      <c r="D793" s="476">
        <v>26000</v>
      </c>
      <c r="E793" s="42" t="s">
        <v>80</v>
      </c>
      <c r="F793" s="42">
        <v>289.83</v>
      </c>
      <c r="G793" s="42">
        <v>26000</v>
      </c>
      <c r="H793" s="42">
        <f t="shared" si="9"/>
        <v>0</v>
      </c>
      <c r="I793" s="89"/>
      <c r="M793" s="86"/>
    </row>
    <row r="794" spans="1:13" x14ac:dyDescent="0.25">
      <c r="A794" s="42">
        <v>789</v>
      </c>
      <c r="B794" s="42" t="s">
        <v>807</v>
      </c>
      <c r="C794" s="87">
        <v>2425</v>
      </c>
      <c r="D794" s="476">
        <v>23000</v>
      </c>
      <c r="E794" s="42" t="s">
        <v>80</v>
      </c>
      <c r="F794" s="42">
        <v>252.67</v>
      </c>
      <c r="G794" s="42">
        <v>23000</v>
      </c>
      <c r="H794" s="42">
        <f t="shared" si="9"/>
        <v>0</v>
      </c>
      <c r="I794" s="89"/>
      <c r="M794" s="86"/>
    </row>
    <row r="795" spans="1:13" x14ac:dyDescent="0.25">
      <c r="A795" s="42">
        <v>790</v>
      </c>
      <c r="B795" s="42" t="s">
        <v>807</v>
      </c>
      <c r="C795" s="87">
        <v>9458</v>
      </c>
      <c r="D795" s="476">
        <v>30000</v>
      </c>
      <c r="E795" s="42" t="s">
        <v>80</v>
      </c>
      <c r="F795" s="42">
        <v>334.82</v>
      </c>
      <c r="G795" s="42">
        <v>30000</v>
      </c>
      <c r="H795" s="42">
        <f t="shared" si="9"/>
        <v>0</v>
      </c>
      <c r="I795" s="89"/>
      <c r="M795" s="86"/>
    </row>
    <row r="796" spans="1:13" x14ac:dyDescent="0.25">
      <c r="A796" s="42">
        <v>791</v>
      </c>
      <c r="B796" s="42" t="s">
        <v>807</v>
      </c>
      <c r="C796" s="87">
        <v>5271</v>
      </c>
      <c r="D796" s="476">
        <v>22000</v>
      </c>
      <c r="E796" s="42" t="s">
        <v>80</v>
      </c>
      <c r="F796" s="42">
        <v>245.71</v>
      </c>
      <c r="G796" s="42">
        <v>22000</v>
      </c>
      <c r="H796" s="42">
        <f t="shared" si="9"/>
        <v>0</v>
      </c>
      <c r="I796" s="89"/>
      <c r="M796" s="86"/>
    </row>
    <row r="797" spans="1:13" x14ac:dyDescent="0.25">
      <c r="A797" s="42">
        <v>792</v>
      </c>
      <c r="B797" s="42" t="s">
        <v>807</v>
      </c>
      <c r="C797" s="87">
        <v>9457</v>
      </c>
      <c r="D797" s="476">
        <v>33000</v>
      </c>
      <c r="E797" s="42" t="s">
        <v>80</v>
      </c>
      <c r="F797" s="42">
        <v>367.58</v>
      </c>
      <c r="G797" s="42">
        <v>33000</v>
      </c>
      <c r="H797" s="42">
        <f t="shared" si="9"/>
        <v>0</v>
      </c>
      <c r="I797" s="89"/>
      <c r="M797" s="86"/>
    </row>
    <row r="798" spans="1:13" x14ac:dyDescent="0.25">
      <c r="A798" s="42">
        <v>793</v>
      </c>
      <c r="B798" s="42" t="s">
        <v>807</v>
      </c>
      <c r="C798" s="87">
        <v>4566</v>
      </c>
      <c r="D798" s="476">
        <v>10000</v>
      </c>
      <c r="E798" s="42" t="s">
        <v>80</v>
      </c>
      <c r="F798" s="42">
        <v>111.42</v>
      </c>
      <c r="G798" s="42">
        <v>10000</v>
      </c>
      <c r="H798" s="42">
        <f t="shared" si="9"/>
        <v>0</v>
      </c>
      <c r="I798" s="89"/>
      <c r="M798" s="86"/>
    </row>
    <row r="799" spans="1:13" x14ac:dyDescent="0.25">
      <c r="A799" s="42">
        <v>794</v>
      </c>
      <c r="B799" s="42" t="s">
        <v>810</v>
      </c>
      <c r="C799" s="87">
        <v>8371</v>
      </c>
      <c r="D799" s="476">
        <v>8000</v>
      </c>
      <c r="E799" s="42" t="s">
        <v>80</v>
      </c>
      <c r="F799" s="42">
        <v>89.75</v>
      </c>
      <c r="G799" s="42">
        <v>8000</v>
      </c>
      <c r="H799" s="42">
        <f t="shared" si="9"/>
        <v>0</v>
      </c>
      <c r="I799" s="89"/>
      <c r="M799" s="86"/>
    </row>
    <row r="800" spans="1:13" x14ac:dyDescent="0.25">
      <c r="A800" s="42">
        <v>795</v>
      </c>
      <c r="B800" s="42" t="s">
        <v>810</v>
      </c>
      <c r="C800" s="87">
        <v>5197</v>
      </c>
      <c r="D800" s="476">
        <v>8000</v>
      </c>
      <c r="E800" s="42" t="s">
        <v>80</v>
      </c>
      <c r="F800" s="42">
        <v>89.75</v>
      </c>
      <c r="G800" s="42">
        <v>8000</v>
      </c>
      <c r="H800" s="42">
        <f t="shared" si="9"/>
        <v>0</v>
      </c>
      <c r="I800" s="89"/>
      <c r="M800" s="86"/>
    </row>
    <row r="801" spans="1:13" x14ac:dyDescent="0.25">
      <c r="A801" s="42">
        <v>796</v>
      </c>
      <c r="B801" s="42" t="s">
        <v>810</v>
      </c>
      <c r="C801" s="87">
        <v>9344</v>
      </c>
      <c r="D801" s="476">
        <v>29000</v>
      </c>
      <c r="E801" s="42" t="s">
        <v>80</v>
      </c>
      <c r="F801" s="42">
        <v>323.82</v>
      </c>
      <c r="G801" s="42">
        <v>29000</v>
      </c>
      <c r="H801" s="42">
        <f t="shared" si="9"/>
        <v>0</v>
      </c>
      <c r="I801" s="89"/>
      <c r="M801" s="86"/>
    </row>
    <row r="802" spans="1:13" x14ac:dyDescent="0.25">
      <c r="A802" s="42">
        <v>797</v>
      </c>
      <c r="B802" s="42" t="s">
        <v>810</v>
      </c>
      <c r="C802" s="87">
        <v>9.2999999999999999E-2</v>
      </c>
      <c r="D802" s="476">
        <v>16000</v>
      </c>
      <c r="E802" s="42" t="s">
        <v>80</v>
      </c>
      <c r="F802" s="42">
        <v>178.22</v>
      </c>
      <c r="G802" s="42">
        <v>16000</v>
      </c>
      <c r="H802" s="42">
        <f t="shared" si="9"/>
        <v>0</v>
      </c>
      <c r="I802" s="89"/>
      <c r="M802" s="86"/>
    </row>
    <row r="803" spans="1:13" x14ac:dyDescent="0.25">
      <c r="A803" s="42">
        <v>798</v>
      </c>
      <c r="B803" s="42" t="s">
        <v>810</v>
      </c>
      <c r="C803" s="87">
        <v>8.7499999999999994E-2</v>
      </c>
      <c r="D803" s="476">
        <v>20000</v>
      </c>
      <c r="E803" s="42" t="s">
        <v>80</v>
      </c>
      <c r="F803" s="42">
        <v>222.82</v>
      </c>
      <c r="G803" s="42">
        <v>20000</v>
      </c>
      <c r="H803" s="42">
        <f t="shared" si="9"/>
        <v>0</v>
      </c>
      <c r="I803" s="89"/>
      <c r="M803" s="86"/>
    </row>
    <row r="804" spans="1:13" x14ac:dyDescent="0.25">
      <c r="A804" s="42">
        <v>799</v>
      </c>
      <c r="B804" s="42" t="s">
        <v>810</v>
      </c>
      <c r="C804" s="87">
        <v>3444</v>
      </c>
      <c r="D804" s="476">
        <v>6000</v>
      </c>
      <c r="E804" s="42" t="s">
        <v>80</v>
      </c>
      <c r="F804" s="42">
        <v>66.849999999999994</v>
      </c>
      <c r="G804" s="42">
        <v>6000</v>
      </c>
      <c r="H804" s="42">
        <f t="shared" si="9"/>
        <v>0</v>
      </c>
      <c r="I804" s="89"/>
      <c r="M804" s="86"/>
    </row>
    <row r="805" spans="1:13" x14ac:dyDescent="0.25">
      <c r="A805" s="42">
        <v>800</v>
      </c>
      <c r="B805" s="42" t="s">
        <v>810</v>
      </c>
      <c r="C805" s="87">
        <v>6734</v>
      </c>
      <c r="D805" s="476">
        <v>17000</v>
      </c>
      <c r="E805" s="42" t="s">
        <v>80</v>
      </c>
      <c r="F805" s="42">
        <v>189.85</v>
      </c>
      <c r="G805" s="42">
        <v>17000</v>
      </c>
      <c r="H805" s="42">
        <f t="shared" si="9"/>
        <v>0</v>
      </c>
      <c r="I805" s="89"/>
      <c r="M805" s="86"/>
    </row>
    <row r="806" spans="1:13" x14ac:dyDescent="0.25">
      <c r="A806" s="42">
        <v>801</v>
      </c>
      <c r="B806" s="42" t="s">
        <v>810</v>
      </c>
      <c r="C806" s="87">
        <v>5820</v>
      </c>
      <c r="D806" s="476">
        <v>17000</v>
      </c>
      <c r="E806" s="42" t="s">
        <v>80</v>
      </c>
      <c r="F806" s="42">
        <v>189.85</v>
      </c>
      <c r="G806" s="42">
        <v>17000</v>
      </c>
      <c r="H806" s="42">
        <f t="shared" si="9"/>
        <v>0</v>
      </c>
      <c r="I806" s="89"/>
      <c r="M806" s="86"/>
    </row>
    <row r="807" spans="1:13" x14ac:dyDescent="0.25">
      <c r="A807" s="42">
        <v>802</v>
      </c>
      <c r="B807" s="42" t="s">
        <v>810</v>
      </c>
      <c r="C807" s="87">
        <v>3569</v>
      </c>
      <c r="D807" s="476">
        <v>28000</v>
      </c>
      <c r="E807" s="42" t="s">
        <v>80</v>
      </c>
      <c r="F807" s="42">
        <v>311.70999999999998</v>
      </c>
      <c r="G807" s="42">
        <v>28000</v>
      </c>
      <c r="H807" s="42">
        <f t="shared" si="9"/>
        <v>0</v>
      </c>
      <c r="I807" s="89"/>
      <c r="M807" s="86"/>
    </row>
    <row r="808" spans="1:13" x14ac:dyDescent="0.25">
      <c r="A808" s="42">
        <v>803</v>
      </c>
      <c r="B808" s="42" t="s">
        <v>810</v>
      </c>
      <c r="C808" s="87">
        <v>6794</v>
      </c>
      <c r="D808" s="476">
        <v>16000</v>
      </c>
      <c r="E808" s="42" t="s">
        <v>80</v>
      </c>
      <c r="F808" s="42">
        <v>178.22</v>
      </c>
      <c r="G808" s="42">
        <v>16000</v>
      </c>
      <c r="H808" s="42">
        <f t="shared" si="9"/>
        <v>0</v>
      </c>
      <c r="I808" s="89"/>
      <c r="M808" s="86"/>
    </row>
    <row r="809" spans="1:13" x14ac:dyDescent="0.25">
      <c r="A809" s="42">
        <v>804</v>
      </c>
      <c r="B809" s="42" t="s">
        <v>810</v>
      </c>
      <c r="C809" s="87">
        <v>4722</v>
      </c>
      <c r="D809" s="476">
        <v>15000</v>
      </c>
      <c r="E809" s="42" t="s">
        <v>80</v>
      </c>
      <c r="F809" s="42">
        <v>167.15</v>
      </c>
      <c r="G809" s="42">
        <v>15000</v>
      </c>
      <c r="H809" s="42">
        <f t="shared" si="9"/>
        <v>0</v>
      </c>
      <c r="I809" s="89"/>
      <c r="M809" s="86"/>
    </row>
    <row r="810" spans="1:13" x14ac:dyDescent="0.25">
      <c r="A810" s="42">
        <v>805</v>
      </c>
      <c r="B810" s="42" t="s">
        <v>810</v>
      </c>
      <c r="C810" s="87">
        <v>8392</v>
      </c>
      <c r="D810" s="476">
        <v>17000</v>
      </c>
      <c r="E810" s="42" t="s">
        <v>80</v>
      </c>
      <c r="F810" s="42">
        <v>189.17</v>
      </c>
      <c r="G810" s="42">
        <v>17000</v>
      </c>
      <c r="H810" s="42">
        <f t="shared" si="9"/>
        <v>0</v>
      </c>
      <c r="I810" s="89"/>
      <c r="M810" s="86"/>
    </row>
    <row r="811" spans="1:13" x14ac:dyDescent="0.25">
      <c r="A811" s="42">
        <v>806</v>
      </c>
      <c r="B811" s="42" t="s">
        <v>810</v>
      </c>
      <c r="C811" s="87">
        <v>3342</v>
      </c>
      <c r="D811" s="476">
        <v>20000</v>
      </c>
      <c r="E811" s="42" t="s">
        <v>80</v>
      </c>
      <c r="F811" s="42">
        <v>222.82</v>
      </c>
      <c r="G811" s="42">
        <v>20000</v>
      </c>
      <c r="H811" s="42">
        <f t="shared" si="9"/>
        <v>0</v>
      </c>
      <c r="I811" s="89"/>
      <c r="M811" s="86"/>
    </row>
    <row r="812" spans="1:13" x14ac:dyDescent="0.25">
      <c r="A812" s="42">
        <v>807</v>
      </c>
      <c r="B812" s="42" t="s">
        <v>810</v>
      </c>
      <c r="C812" s="87">
        <v>8499</v>
      </c>
      <c r="D812" s="476">
        <v>15000</v>
      </c>
      <c r="E812" s="42" t="s">
        <v>80</v>
      </c>
      <c r="F812" s="42">
        <v>167.15</v>
      </c>
      <c r="G812" s="42">
        <v>15000</v>
      </c>
      <c r="H812" s="42">
        <f t="shared" si="9"/>
        <v>0</v>
      </c>
      <c r="I812" s="89"/>
      <c r="M812" s="86"/>
    </row>
    <row r="813" spans="1:13" x14ac:dyDescent="0.25">
      <c r="A813" s="42">
        <v>808</v>
      </c>
      <c r="B813" s="42" t="s">
        <v>810</v>
      </c>
      <c r="C813" s="87">
        <v>4.7000000000000002E-3</v>
      </c>
      <c r="D813" s="476">
        <v>14500</v>
      </c>
      <c r="E813" s="42" t="s">
        <v>80</v>
      </c>
      <c r="F813" s="42">
        <v>161.47</v>
      </c>
      <c r="G813" s="42">
        <v>14500</v>
      </c>
      <c r="H813" s="42">
        <f t="shared" si="9"/>
        <v>0</v>
      </c>
      <c r="I813" s="89"/>
      <c r="M813" s="86"/>
    </row>
    <row r="814" spans="1:13" x14ac:dyDescent="0.25">
      <c r="A814" s="42">
        <v>809</v>
      </c>
      <c r="B814" s="42" t="s">
        <v>810</v>
      </c>
      <c r="C814" s="87">
        <v>5152</v>
      </c>
      <c r="D814" s="476">
        <v>17000</v>
      </c>
      <c r="E814" s="42" t="s">
        <v>80</v>
      </c>
      <c r="F814" s="42">
        <v>189.42</v>
      </c>
      <c r="G814" s="42">
        <v>17000</v>
      </c>
      <c r="H814" s="42">
        <f t="shared" si="9"/>
        <v>0</v>
      </c>
      <c r="I814" s="89"/>
      <c r="M814" s="86"/>
    </row>
    <row r="815" spans="1:13" x14ac:dyDescent="0.25">
      <c r="A815" s="42">
        <v>810</v>
      </c>
      <c r="B815" s="42" t="s">
        <v>810</v>
      </c>
      <c r="C815" s="87" t="s">
        <v>30</v>
      </c>
      <c r="D815" s="476">
        <v>3500</v>
      </c>
      <c r="E815" s="42" t="s">
        <v>80</v>
      </c>
      <c r="F815" s="42">
        <v>38.450000000000003</v>
      </c>
      <c r="G815" s="42">
        <v>3500</v>
      </c>
      <c r="H815" s="42">
        <f t="shared" si="9"/>
        <v>0</v>
      </c>
      <c r="I815" s="89"/>
      <c r="M815" s="86"/>
    </row>
    <row r="816" spans="1:13" x14ac:dyDescent="0.25">
      <c r="A816" s="42">
        <v>811</v>
      </c>
      <c r="B816" s="42" t="s">
        <v>810</v>
      </c>
      <c r="C816" s="87">
        <v>9837</v>
      </c>
      <c r="D816" s="476">
        <v>30000</v>
      </c>
      <c r="E816" s="42" t="s">
        <v>80</v>
      </c>
      <c r="F816" s="42">
        <v>334.75</v>
      </c>
      <c r="G816" s="42">
        <v>30000</v>
      </c>
      <c r="H816" s="42">
        <f t="shared" si="9"/>
        <v>0</v>
      </c>
      <c r="I816" s="89"/>
      <c r="M816" s="86"/>
    </row>
    <row r="817" spans="1:13" x14ac:dyDescent="0.25">
      <c r="A817" s="42">
        <v>812</v>
      </c>
      <c r="B817" s="42" t="s">
        <v>810</v>
      </c>
      <c r="C817" s="87">
        <v>8786</v>
      </c>
      <c r="D817" s="476">
        <v>25000</v>
      </c>
      <c r="E817" s="42" t="s">
        <v>80</v>
      </c>
      <c r="F817" s="42">
        <v>278.22000000000003</v>
      </c>
      <c r="G817" s="42">
        <v>25000</v>
      </c>
      <c r="H817" s="42">
        <f t="shared" si="9"/>
        <v>0</v>
      </c>
      <c r="I817" s="89"/>
      <c r="M817" s="86"/>
    </row>
    <row r="818" spans="1:13" x14ac:dyDescent="0.25">
      <c r="A818" s="42">
        <v>813</v>
      </c>
      <c r="B818" s="42" t="s">
        <v>810</v>
      </c>
      <c r="C818" s="87">
        <v>3451</v>
      </c>
      <c r="D818" s="476">
        <v>16000</v>
      </c>
      <c r="E818" s="42" t="s">
        <v>80</v>
      </c>
      <c r="F818" s="42">
        <v>178.22</v>
      </c>
      <c r="G818" s="42">
        <v>16000</v>
      </c>
      <c r="H818" s="42">
        <f t="shared" si="9"/>
        <v>0</v>
      </c>
      <c r="I818" s="89"/>
      <c r="M818" s="86"/>
    </row>
    <row r="819" spans="1:13" x14ac:dyDescent="0.25">
      <c r="A819" s="42">
        <v>814</v>
      </c>
      <c r="B819" s="42" t="s">
        <v>810</v>
      </c>
      <c r="C819" s="87">
        <v>6721</v>
      </c>
      <c r="D819" s="476">
        <v>12000</v>
      </c>
      <c r="E819" s="42" t="s">
        <v>80</v>
      </c>
      <c r="F819" s="42">
        <v>133.41999999999999</v>
      </c>
      <c r="G819" s="42">
        <v>12000</v>
      </c>
      <c r="H819" s="42">
        <f t="shared" si="9"/>
        <v>0</v>
      </c>
      <c r="I819" s="89"/>
      <c r="M819" s="86"/>
    </row>
    <row r="820" spans="1:13" x14ac:dyDescent="0.25">
      <c r="A820" s="42">
        <v>815</v>
      </c>
      <c r="B820" s="42" t="s">
        <v>810</v>
      </c>
      <c r="C820" s="87" t="s">
        <v>30</v>
      </c>
      <c r="D820" s="476">
        <v>5000</v>
      </c>
      <c r="E820" s="42" t="s">
        <v>80</v>
      </c>
      <c r="F820" s="42">
        <v>38.450000000000003</v>
      </c>
      <c r="G820" s="42">
        <v>5000</v>
      </c>
      <c r="H820" s="42">
        <f t="shared" si="9"/>
        <v>0</v>
      </c>
      <c r="I820" s="89"/>
      <c r="M820" s="86"/>
    </row>
    <row r="821" spans="1:13" x14ac:dyDescent="0.25">
      <c r="A821" s="42">
        <v>816</v>
      </c>
      <c r="B821" s="42" t="s">
        <v>810</v>
      </c>
      <c r="C821" s="87">
        <v>4146</v>
      </c>
      <c r="D821" s="476">
        <v>11000</v>
      </c>
      <c r="E821" s="42" t="s">
        <v>80</v>
      </c>
      <c r="F821" s="42">
        <v>122.56</v>
      </c>
      <c r="G821" s="42">
        <v>11000</v>
      </c>
      <c r="H821" s="42">
        <f t="shared" si="9"/>
        <v>0</v>
      </c>
      <c r="I821" s="89"/>
      <c r="M821" s="86"/>
    </row>
    <row r="822" spans="1:13" x14ac:dyDescent="0.25">
      <c r="A822" s="42">
        <v>817</v>
      </c>
      <c r="B822" s="42" t="s">
        <v>810</v>
      </c>
      <c r="C822" s="87">
        <v>5668</v>
      </c>
      <c r="D822" s="476">
        <v>7000</v>
      </c>
      <c r="E822" s="42" t="s">
        <v>80</v>
      </c>
      <c r="F822" s="42">
        <v>77.319999999999993</v>
      </c>
      <c r="G822" s="42">
        <v>7000</v>
      </c>
      <c r="H822" s="42">
        <f t="shared" si="9"/>
        <v>0</v>
      </c>
      <c r="I822" s="89"/>
      <c r="M822" s="86"/>
    </row>
    <row r="823" spans="1:13" x14ac:dyDescent="0.25">
      <c r="A823" s="42">
        <v>818</v>
      </c>
      <c r="B823" s="42" t="s">
        <v>810</v>
      </c>
      <c r="C823" s="87">
        <v>2912</v>
      </c>
      <c r="D823" s="476">
        <v>14000</v>
      </c>
      <c r="E823" s="42" t="s">
        <v>80</v>
      </c>
      <c r="F823" s="42">
        <v>155.44999999999999</v>
      </c>
      <c r="G823" s="42">
        <v>14000</v>
      </c>
      <c r="H823" s="42">
        <f t="shared" si="9"/>
        <v>0</v>
      </c>
      <c r="I823" s="89"/>
      <c r="M823" s="86"/>
    </row>
    <row r="824" spans="1:13" x14ac:dyDescent="0.25">
      <c r="A824" s="42">
        <v>819</v>
      </c>
      <c r="B824" s="42" t="s">
        <v>810</v>
      </c>
      <c r="C824" s="87">
        <v>5838</v>
      </c>
      <c r="D824" s="476">
        <v>15000</v>
      </c>
      <c r="E824" s="42" t="s">
        <v>80</v>
      </c>
      <c r="F824" s="42">
        <v>167.15</v>
      </c>
      <c r="G824" s="42">
        <v>15000</v>
      </c>
      <c r="H824" s="42">
        <f t="shared" si="9"/>
        <v>0</v>
      </c>
      <c r="I824" s="89"/>
      <c r="M824" s="86"/>
    </row>
    <row r="825" spans="1:13" x14ac:dyDescent="0.25">
      <c r="A825" s="42">
        <v>820</v>
      </c>
      <c r="B825" s="42" t="s">
        <v>810</v>
      </c>
      <c r="C825" s="87">
        <v>9721</v>
      </c>
      <c r="D825" s="476">
        <v>7000</v>
      </c>
      <c r="E825" s="42" t="s">
        <v>80</v>
      </c>
      <c r="F825" s="42">
        <v>77.25</v>
      </c>
      <c r="G825" s="42">
        <v>7000</v>
      </c>
      <c r="H825" s="42">
        <f t="shared" si="9"/>
        <v>0</v>
      </c>
      <c r="I825" s="89"/>
      <c r="M825" s="86"/>
    </row>
    <row r="826" spans="1:13" x14ac:dyDescent="0.25">
      <c r="A826" s="42">
        <v>821</v>
      </c>
      <c r="B826" s="42" t="s">
        <v>810</v>
      </c>
      <c r="C826" s="87">
        <v>6787</v>
      </c>
      <c r="D826" s="476">
        <v>12500</v>
      </c>
      <c r="E826" s="42" t="s">
        <v>80</v>
      </c>
      <c r="F826" s="42">
        <v>139.41</v>
      </c>
      <c r="G826" s="42">
        <v>12500</v>
      </c>
      <c r="H826" s="42">
        <f t="shared" si="9"/>
        <v>0</v>
      </c>
      <c r="I826" s="89"/>
      <c r="M826" s="86"/>
    </row>
    <row r="827" spans="1:13" x14ac:dyDescent="0.25">
      <c r="A827" s="42">
        <v>822</v>
      </c>
      <c r="B827" s="42" t="s">
        <v>810</v>
      </c>
      <c r="C827" s="87">
        <v>9407</v>
      </c>
      <c r="D827" s="476">
        <v>13000</v>
      </c>
      <c r="E827" s="42" t="s">
        <v>80</v>
      </c>
      <c r="F827" s="42">
        <v>144.12</v>
      </c>
      <c r="G827" s="42">
        <v>13000</v>
      </c>
      <c r="H827" s="42">
        <f t="shared" si="9"/>
        <v>0</v>
      </c>
      <c r="I827" s="89"/>
      <c r="M827" s="86"/>
    </row>
    <row r="828" spans="1:13" x14ac:dyDescent="0.25">
      <c r="A828" s="42">
        <v>823</v>
      </c>
      <c r="B828" s="42" t="s">
        <v>810</v>
      </c>
      <c r="C828" s="87">
        <v>3068</v>
      </c>
      <c r="D828" s="476">
        <v>17000</v>
      </c>
      <c r="E828" s="42" t="s">
        <v>80</v>
      </c>
      <c r="F828" s="42">
        <v>189.42</v>
      </c>
      <c r="G828" s="42">
        <v>17000</v>
      </c>
      <c r="H828" s="42">
        <f t="shared" si="9"/>
        <v>0</v>
      </c>
      <c r="I828" s="89"/>
      <c r="M828" s="86"/>
    </row>
    <row r="829" spans="1:13" x14ac:dyDescent="0.25">
      <c r="A829" s="42">
        <v>824</v>
      </c>
      <c r="B829" s="42" t="s">
        <v>810</v>
      </c>
      <c r="C829" s="87">
        <v>5968</v>
      </c>
      <c r="D829" s="476">
        <v>14000</v>
      </c>
      <c r="E829" s="42" t="s">
        <v>80</v>
      </c>
      <c r="F829" s="42">
        <v>155.44999999999999</v>
      </c>
      <c r="G829" s="42">
        <v>14000</v>
      </c>
      <c r="H829" s="42">
        <f t="shared" si="9"/>
        <v>0</v>
      </c>
      <c r="I829" s="89"/>
      <c r="M829" s="86"/>
    </row>
    <row r="830" spans="1:13" x14ac:dyDescent="0.25">
      <c r="A830" s="42">
        <v>825</v>
      </c>
      <c r="B830" s="42" t="s">
        <v>810</v>
      </c>
      <c r="C830" s="87">
        <v>3944</v>
      </c>
      <c r="D830" s="476">
        <v>6000</v>
      </c>
      <c r="E830" s="42" t="s">
        <v>80</v>
      </c>
      <c r="F830" s="42">
        <v>66.819999999999993</v>
      </c>
      <c r="G830" s="42">
        <v>6000</v>
      </c>
      <c r="H830" s="42">
        <f t="shared" si="9"/>
        <v>0</v>
      </c>
      <c r="I830" s="89"/>
      <c r="M830" s="86"/>
    </row>
    <row r="831" spans="1:13" x14ac:dyDescent="0.25">
      <c r="A831" s="42">
        <v>826</v>
      </c>
      <c r="B831" s="42" t="s">
        <v>810</v>
      </c>
      <c r="C831" s="87">
        <v>5.8400000000000001E-2</v>
      </c>
      <c r="D831" s="476">
        <v>22500</v>
      </c>
      <c r="E831" s="42" t="s">
        <v>80</v>
      </c>
      <c r="F831" s="42">
        <v>250.71</v>
      </c>
      <c r="G831" s="42">
        <v>22500</v>
      </c>
      <c r="H831" s="42">
        <f t="shared" si="9"/>
        <v>0</v>
      </c>
      <c r="I831" s="89"/>
      <c r="M831" s="86"/>
    </row>
    <row r="832" spans="1:13" x14ac:dyDescent="0.25">
      <c r="A832" s="42">
        <v>827</v>
      </c>
      <c r="B832" s="42" t="s">
        <v>810</v>
      </c>
      <c r="C832" s="87">
        <v>5518</v>
      </c>
      <c r="D832" s="476">
        <v>19000</v>
      </c>
      <c r="E832" s="42" t="s">
        <v>80</v>
      </c>
      <c r="F832" s="42">
        <v>211.75</v>
      </c>
      <c r="G832" s="42">
        <v>19000</v>
      </c>
      <c r="H832" s="42">
        <f t="shared" si="9"/>
        <v>0</v>
      </c>
      <c r="I832" s="89"/>
      <c r="M832" s="86"/>
    </row>
    <row r="833" spans="1:13" x14ac:dyDescent="0.25">
      <c r="A833" s="42">
        <v>828</v>
      </c>
      <c r="B833" s="42" t="s">
        <v>810</v>
      </c>
      <c r="C833" s="87">
        <v>8963</v>
      </c>
      <c r="D833" s="476">
        <v>28000</v>
      </c>
      <c r="E833" s="42" t="s">
        <v>80</v>
      </c>
      <c r="F833" s="42">
        <v>300.57</v>
      </c>
      <c r="G833" s="42">
        <v>28000</v>
      </c>
      <c r="H833" s="42">
        <f t="shared" si="9"/>
        <v>0</v>
      </c>
      <c r="I833" s="89"/>
      <c r="M833" s="86"/>
    </row>
    <row r="834" spans="1:13" x14ac:dyDescent="0.25">
      <c r="A834" s="42">
        <v>829</v>
      </c>
      <c r="B834" s="42" t="s">
        <v>810</v>
      </c>
      <c r="C834" s="87">
        <v>8947</v>
      </c>
      <c r="D834" s="476">
        <v>23000</v>
      </c>
      <c r="E834" s="42" t="s">
        <v>80</v>
      </c>
      <c r="F834" s="42">
        <v>256.70999999999998</v>
      </c>
      <c r="G834" s="42">
        <v>23000</v>
      </c>
      <c r="H834" s="42">
        <f t="shared" si="9"/>
        <v>0</v>
      </c>
      <c r="I834" s="89"/>
      <c r="M834" s="86"/>
    </row>
    <row r="835" spans="1:13" x14ac:dyDescent="0.25">
      <c r="A835" s="42">
        <v>830</v>
      </c>
      <c r="B835" s="42" t="s">
        <v>810</v>
      </c>
      <c r="C835" s="87">
        <v>8686</v>
      </c>
      <c r="D835" s="476">
        <v>20000</v>
      </c>
      <c r="E835" s="42" t="s">
        <v>80</v>
      </c>
      <c r="F835" s="42">
        <v>222.82</v>
      </c>
      <c r="G835" s="42">
        <v>20000</v>
      </c>
      <c r="H835" s="42">
        <f t="shared" si="9"/>
        <v>0</v>
      </c>
      <c r="I835" s="89"/>
      <c r="M835" s="86"/>
    </row>
    <row r="836" spans="1:13" x14ac:dyDescent="0.25">
      <c r="A836" s="42">
        <v>831</v>
      </c>
      <c r="B836" s="42" t="s">
        <v>810</v>
      </c>
      <c r="C836" s="87">
        <v>7350</v>
      </c>
      <c r="D836" s="476">
        <v>10000</v>
      </c>
      <c r="E836" s="42" t="s">
        <v>80</v>
      </c>
      <c r="F836" s="42">
        <v>111.42</v>
      </c>
      <c r="G836" s="42">
        <v>10000</v>
      </c>
      <c r="H836" s="42">
        <f t="shared" si="9"/>
        <v>0</v>
      </c>
      <c r="I836" s="89"/>
      <c r="M836" s="86"/>
    </row>
    <row r="837" spans="1:13" x14ac:dyDescent="0.25">
      <c r="A837" s="42">
        <v>832</v>
      </c>
      <c r="B837" s="42" t="s">
        <v>810</v>
      </c>
      <c r="C837" s="87">
        <v>6857</v>
      </c>
      <c r="D837" s="476">
        <v>27600</v>
      </c>
      <c r="E837" s="42" t="s">
        <v>80</v>
      </c>
      <c r="F837" s="42">
        <v>307.54000000000002</v>
      </c>
      <c r="G837" s="42">
        <v>27600</v>
      </c>
      <c r="H837" s="42">
        <f t="shared" si="9"/>
        <v>0</v>
      </c>
      <c r="I837" s="89"/>
      <c r="J837" s="398">
        <f>2036537-2013199</f>
        <v>23338</v>
      </c>
      <c r="K837" s="398" t="s">
        <v>803</v>
      </c>
      <c r="L837" s="398" t="s">
        <v>620</v>
      </c>
      <c r="M837" s="86">
        <f>23338-2040</f>
        <v>21298</v>
      </c>
    </row>
    <row r="838" spans="1:13" x14ac:dyDescent="0.25">
      <c r="A838" s="42">
        <v>833</v>
      </c>
      <c r="B838" s="42" t="s">
        <v>808</v>
      </c>
      <c r="C838" s="87" t="s">
        <v>735</v>
      </c>
      <c r="D838" s="476">
        <v>3500</v>
      </c>
      <c r="E838" s="42" t="s">
        <v>80</v>
      </c>
      <c r="F838" s="42">
        <v>38.450000000000003</v>
      </c>
      <c r="G838" s="42">
        <v>3500</v>
      </c>
      <c r="H838" s="42">
        <f t="shared" si="9"/>
        <v>0</v>
      </c>
      <c r="I838" s="89"/>
      <c r="M838" s="86"/>
    </row>
    <row r="839" spans="1:13" x14ac:dyDescent="0.25">
      <c r="A839" s="42">
        <v>834</v>
      </c>
      <c r="B839" s="42" t="s">
        <v>808</v>
      </c>
      <c r="C839" s="87">
        <v>3577</v>
      </c>
      <c r="D839" s="476">
        <v>14000</v>
      </c>
      <c r="E839" s="42" t="s">
        <v>80</v>
      </c>
      <c r="F839" s="42">
        <v>155.44999999999999</v>
      </c>
      <c r="G839" s="42">
        <v>14000</v>
      </c>
      <c r="H839" s="42">
        <f t="shared" si="9"/>
        <v>0</v>
      </c>
      <c r="I839" s="89"/>
      <c r="M839" s="86"/>
    </row>
    <row r="840" spans="1:13" x14ac:dyDescent="0.25">
      <c r="A840" s="42">
        <v>835</v>
      </c>
      <c r="B840" s="42" t="s">
        <v>808</v>
      </c>
      <c r="C840" s="87">
        <v>3344</v>
      </c>
      <c r="D840" s="476">
        <v>14000</v>
      </c>
      <c r="E840" s="42" t="s">
        <v>80</v>
      </c>
      <c r="F840" s="42">
        <v>155.44999999999999</v>
      </c>
      <c r="G840" s="42">
        <v>14000</v>
      </c>
      <c r="H840" s="42">
        <f t="shared" si="9"/>
        <v>0</v>
      </c>
      <c r="I840" s="89"/>
      <c r="M840" s="86"/>
    </row>
    <row r="841" spans="1:13" x14ac:dyDescent="0.25">
      <c r="A841" s="42">
        <v>836</v>
      </c>
      <c r="B841" s="42" t="s">
        <v>808</v>
      </c>
      <c r="C841" s="87">
        <v>5686</v>
      </c>
      <c r="D841" s="476">
        <v>5500</v>
      </c>
      <c r="E841" s="42" t="s">
        <v>80</v>
      </c>
      <c r="F841" s="42">
        <v>55.78</v>
      </c>
      <c r="G841" s="42">
        <v>5500</v>
      </c>
      <c r="H841" s="42">
        <f t="shared" si="9"/>
        <v>0</v>
      </c>
      <c r="I841" s="89"/>
      <c r="M841" s="86"/>
    </row>
    <row r="842" spans="1:13" x14ac:dyDescent="0.25">
      <c r="A842" s="42">
        <v>837</v>
      </c>
      <c r="B842" s="42" t="s">
        <v>808</v>
      </c>
      <c r="C842" s="87">
        <v>9002</v>
      </c>
      <c r="D842" s="476">
        <v>14000</v>
      </c>
      <c r="E842" s="42" t="s">
        <v>80</v>
      </c>
      <c r="F842" s="42">
        <v>155.44999999999999</v>
      </c>
      <c r="G842" s="42">
        <v>14000</v>
      </c>
      <c r="H842" s="42">
        <f t="shared" si="9"/>
        <v>0</v>
      </c>
      <c r="I842" s="89"/>
      <c r="M842" s="86"/>
    </row>
    <row r="843" spans="1:13" x14ac:dyDescent="0.25">
      <c r="A843" s="42">
        <v>838</v>
      </c>
      <c r="B843" s="42" t="s">
        <v>808</v>
      </c>
      <c r="C843" s="87">
        <v>2464</v>
      </c>
      <c r="D843" s="476">
        <v>21000</v>
      </c>
      <c r="E843" s="42" t="s">
        <v>80</v>
      </c>
      <c r="F843" s="42">
        <v>233.42</v>
      </c>
      <c r="G843" s="42">
        <v>21000</v>
      </c>
      <c r="H843" s="42">
        <f t="shared" si="9"/>
        <v>0</v>
      </c>
      <c r="I843" s="89"/>
      <c r="M843" s="86"/>
    </row>
    <row r="844" spans="1:13" x14ac:dyDescent="0.25">
      <c r="A844" s="42">
        <v>839</v>
      </c>
      <c r="B844" s="42" t="s">
        <v>808</v>
      </c>
      <c r="C844" s="87">
        <v>1144</v>
      </c>
      <c r="D844" s="476">
        <v>13000</v>
      </c>
      <c r="E844" s="42" t="s">
        <v>80</v>
      </c>
      <c r="F844" s="42">
        <v>144.15</v>
      </c>
      <c r="G844" s="42">
        <v>13000</v>
      </c>
      <c r="H844" s="42">
        <f t="shared" si="9"/>
        <v>0</v>
      </c>
      <c r="I844" s="89"/>
      <c r="M844" s="86"/>
    </row>
    <row r="845" spans="1:13" x14ac:dyDescent="0.25">
      <c r="A845" s="42">
        <v>840</v>
      </c>
      <c r="B845" s="42" t="s">
        <v>808</v>
      </c>
      <c r="C845" s="87">
        <v>7748</v>
      </c>
      <c r="D845" s="476">
        <v>30000</v>
      </c>
      <c r="E845" s="42" t="s">
        <v>80</v>
      </c>
      <c r="F845" s="42">
        <v>334.76</v>
      </c>
      <c r="G845" s="42">
        <v>30000</v>
      </c>
      <c r="H845" s="42">
        <f t="shared" ref="H845:H908" si="10">D845-G845</f>
        <v>0</v>
      </c>
      <c r="I845" s="89"/>
      <c r="M845" s="86"/>
    </row>
    <row r="846" spans="1:13" x14ac:dyDescent="0.25">
      <c r="A846" s="42">
        <v>841</v>
      </c>
      <c r="B846" s="42" t="s">
        <v>808</v>
      </c>
      <c r="C846" s="87">
        <v>3744</v>
      </c>
      <c r="D846" s="476">
        <v>6000</v>
      </c>
      <c r="E846" s="42" t="s">
        <v>80</v>
      </c>
      <c r="F846" s="42">
        <v>66.709999999999994</v>
      </c>
      <c r="G846" s="42">
        <v>6000</v>
      </c>
      <c r="H846" s="42">
        <f t="shared" si="10"/>
        <v>0</v>
      </c>
      <c r="I846" s="89"/>
      <c r="M846" s="86"/>
    </row>
    <row r="847" spans="1:13" x14ac:dyDescent="0.25">
      <c r="A847" s="42">
        <v>842</v>
      </c>
      <c r="B847" s="42" t="s">
        <v>808</v>
      </c>
      <c r="C847" s="87">
        <v>3644</v>
      </c>
      <c r="D847" s="476">
        <v>6000</v>
      </c>
      <c r="E847" s="42" t="s">
        <v>80</v>
      </c>
      <c r="F847" s="42">
        <v>66.709999999999994</v>
      </c>
      <c r="G847" s="42">
        <v>6000</v>
      </c>
      <c r="H847" s="42">
        <f t="shared" si="10"/>
        <v>0</v>
      </c>
      <c r="I847" s="89"/>
      <c r="M847" s="86"/>
    </row>
    <row r="848" spans="1:13" x14ac:dyDescent="0.25">
      <c r="A848" s="42">
        <v>843</v>
      </c>
      <c r="B848" s="42" t="s">
        <v>808</v>
      </c>
      <c r="C848" s="87">
        <v>6088</v>
      </c>
      <c r="D848" s="476">
        <v>26000</v>
      </c>
      <c r="E848" s="42" t="s">
        <v>80</v>
      </c>
      <c r="F848" s="42">
        <v>289.82</v>
      </c>
      <c r="G848" s="42">
        <v>26000</v>
      </c>
      <c r="H848" s="42">
        <f t="shared" si="10"/>
        <v>0</v>
      </c>
      <c r="I848" s="89"/>
      <c r="M848" s="86"/>
    </row>
    <row r="849" spans="1:13" x14ac:dyDescent="0.25">
      <c r="A849" s="42">
        <v>844</v>
      </c>
      <c r="B849" s="42" t="s">
        <v>808</v>
      </c>
      <c r="C849" s="87">
        <v>1862</v>
      </c>
      <c r="D849" s="476">
        <v>15000</v>
      </c>
      <c r="E849" s="42" t="s">
        <v>80</v>
      </c>
      <c r="F849" s="42">
        <v>167.15</v>
      </c>
      <c r="G849" s="42">
        <v>15000</v>
      </c>
      <c r="H849" s="42">
        <f t="shared" si="10"/>
        <v>0</v>
      </c>
      <c r="I849" s="89"/>
      <c r="M849" s="86"/>
    </row>
    <row r="850" spans="1:13" x14ac:dyDescent="0.25">
      <c r="A850" s="42">
        <v>845</v>
      </c>
      <c r="B850" s="42" t="s">
        <v>808</v>
      </c>
      <c r="C850" s="87">
        <v>6644</v>
      </c>
      <c r="D850" s="476">
        <v>14500</v>
      </c>
      <c r="E850" s="42" t="s">
        <v>80</v>
      </c>
      <c r="F850" s="42">
        <v>161.43</v>
      </c>
      <c r="G850" s="42">
        <v>14500</v>
      </c>
      <c r="H850" s="42">
        <f t="shared" si="10"/>
        <v>0</v>
      </c>
      <c r="I850" s="89"/>
      <c r="M850" s="86"/>
    </row>
    <row r="851" spans="1:13" x14ac:dyDescent="0.25">
      <c r="A851" s="42">
        <v>846</v>
      </c>
      <c r="B851" s="42" t="s">
        <v>808</v>
      </c>
      <c r="C851" s="87">
        <v>6735</v>
      </c>
      <c r="D851" s="476">
        <v>17000</v>
      </c>
      <c r="E851" s="42" t="s">
        <v>80</v>
      </c>
      <c r="F851" s="42">
        <v>189.42</v>
      </c>
      <c r="G851" s="42">
        <v>17000</v>
      </c>
      <c r="H851" s="42">
        <f t="shared" si="10"/>
        <v>0</v>
      </c>
      <c r="I851" s="89"/>
      <c r="M851" s="86"/>
    </row>
    <row r="852" spans="1:13" x14ac:dyDescent="0.25">
      <c r="A852" s="42">
        <v>847</v>
      </c>
      <c r="B852" s="42" t="s">
        <v>808</v>
      </c>
      <c r="C852" s="87">
        <v>5549</v>
      </c>
      <c r="D852" s="476">
        <v>6000</v>
      </c>
      <c r="E852" s="42" t="s">
        <v>80</v>
      </c>
      <c r="F852" s="42">
        <v>66.709999999999994</v>
      </c>
      <c r="G852" s="42">
        <v>6000</v>
      </c>
      <c r="H852" s="42">
        <f t="shared" si="10"/>
        <v>0</v>
      </c>
      <c r="I852" s="89"/>
      <c r="M852" s="86"/>
    </row>
    <row r="853" spans="1:13" x14ac:dyDescent="0.25">
      <c r="A853" s="42">
        <v>848</v>
      </c>
      <c r="B853" s="42" t="s">
        <v>808</v>
      </c>
      <c r="C853" s="87">
        <v>4.4499999999999998E-2</v>
      </c>
      <c r="D853" s="476">
        <v>14000</v>
      </c>
      <c r="E853" s="42" t="s">
        <v>80</v>
      </c>
      <c r="F853" s="42">
        <v>155.44999999999999</v>
      </c>
      <c r="G853" s="42">
        <v>14000</v>
      </c>
      <c r="H853" s="42">
        <f t="shared" si="10"/>
        <v>0</v>
      </c>
      <c r="I853" s="89"/>
      <c r="M853" s="86"/>
    </row>
    <row r="854" spans="1:13" x14ac:dyDescent="0.25">
      <c r="A854" s="42">
        <v>849</v>
      </c>
      <c r="B854" s="42" t="s">
        <v>808</v>
      </c>
      <c r="C854" s="87">
        <v>5887</v>
      </c>
      <c r="D854" s="476">
        <v>6000</v>
      </c>
      <c r="E854" s="42" t="s">
        <v>80</v>
      </c>
      <c r="F854" s="42">
        <v>66.7</v>
      </c>
      <c r="G854" s="42">
        <v>6000</v>
      </c>
      <c r="H854" s="42">
        <f t="shared" si="10"/>
        <v>0</v>
      </c>
      <c r="I854" s="89"/>
      <c r="M854" s="86"/>
    </row>
    <row r="855" spans="1:13" x14ac:dyDescent="0.25">
      <c r="A855" s="42">
        <v>850</v>
      </c>
      <c r="B855" s="42" t="s">
        <v>808</v>
      </c>
      <c r="C855" s="87">
        <v>8066</v>
      </c>
      <c r="D855" s="476">
        <v>8000</v>
      </c>
      <c r="E855" s="42" t="s">
        <v>80</v>
      </c>
      <c r="F855" s="42">
        <v>89.45</v>
      </c>
      <c r="G855" s="42">
        <v>8000</v>
      </c>
      <c r="H855" s="42">
        <f t="shared" si="10"/>
        <v>0</v>
      </c>
      <c r="I855" s="89"/>
      <c r="M855" s="86"/>
    </row>
    <row r="856" spans="1:13" x14ac:dyDescent="0.25">
      <c r="A856" s="42">
        <v>851</v>
      </c>
      <c r="B856" s="42" t="s">
        <v>808</v>
      </c>
      <c r="C856" s="87">
        <v>3544</v>
      </c>
      <c r="D856" s="476">
        <v>6000</v>
      </c>
      <c r="E856" s="42" t="s">
        <v>80</v>
      </c>
      <c r="F856" s="42">
        <v>66.709999999999994</v>
      </c>
      <c r="G856" s="42">
        <v>6000</v>
      </c>
      <c r="H856" s="42">
        <f t="shared" si="10"/>
        <v>0</v>
      </c>
      <c r="I856" s="89"/>
      <c r="M856" s="86"/>
    </row>
    <row r="857" spans="1:13" x14ac:dyDescent="0.25">
      <c r="A857" s="42">
        <v>852</v>
      </c>
      <c r="B857" s="42" t="s">
        <v>808</v>
      </c>
      <c r="C857" s="87">
        <v>2.3300000000000001E-2</v>
      </c>
      <c r="D857" s="476">
        <v>15000</v>
      </c>
      <c r="E857" s="42" t="s">
        <v>80</v>
      </c>
      <c r="F857" s="42">
        <v>167.15</v>
      </c>
      <c r="G857" s="42">
        <v>15000</v>
      </c>
      <c r="H857" s="42">
        <f t="shared" si="10"/>
        <v>0</v>
      </c>
      <c r="I857" s="89"/>
      <c r="M857" s="86"/>
    </row>
    <row r="858" spans="1:13" x14ac:dyDescent="0.25">
      <c r="A858" s="42">
        <v>853</v>
      </c>
      <c r="B858" s="42" t="s">
        <v>808</v>
      </c>
      <c r="C858" s="87" t="s">
        <v>30</v>
      </c>
      <c r="D858" s="476">
        <v>5000</v>
      </c>
      <c r="E858" s="42" t="s">
        <v>80</v>
      </c>
      <c r="F858" s="42">
        <v>55.45</v>
      </c>
      <c r="G858" s="42">
        <v>5000</v>
      </c>
      <c r="H858" s="42">
        <f t="shared" si="10"/>
        <v>0</v>
      </c>
      <c r="I858" s="89"/>
      <c r="M858" s="86"/>
    </row>
    <row r="859" spans="1:13" x14ac:dyDescent="0.25">
      <c r="A859" s="42">
        <v>854</v>
      </c>
      <c r="B859" s="42" t="s">
        <v>808</v>
      </c>
      <c r="C859" s="87">
        <v>8405</v>
      </c>
      <c r="D859" s="476">
        <v>24000</v>
      </c>
      <c r="E859" s="42" t="s">
        <v>80</v>
      </c>
      <c r="F859" s="42">
        <v>267.95</v>
      </c>
      <c r="G859" s="42">
        <v>24000</v>
      </c>
      <c r="H859" s="42">
        <f t="shared" si="10"/>
        <v>0</v>
      </c>
      <c r="I859" s="89"/>
      <c r="M859" s="86"/>
    </row>
    <row r="860" spans="1:13" x14ac:dyDescent="0.25">
      <c r="A860" s="42">
        <v>855</v>
      </c>
      <c r="B860" s="42" t="s">
        <v>808</v>
      </c>
      <c r="C860" s="87">
        <v>8325</v>
      </c>
      <c r="D860" s="476">
        <v>10000</v>
      </c>
      <c r="E860" s="42" t="s">
        <v>80</v>
      </c>
      <c r="F860" s="42">
        <v>111.42</v>
      </c>
      <c r="G860" s="42">
        <v>10000</v>
      </c>
      <c r="H860" s="42">
        <f t="shared" si="10"/>
        <v>0</v>
      </c>
      <c r="I860" s="89"/>
      <c r="M860" s="86"/>
    </row>
    <row r="861" spans="1:13" x14ac:dyDescent="0.25">
      <c r="A861" s="42">
        <v>856</v>
      </c>
      <c r="B861" s="42" t="s">
        <v>808</v>
      </c>
      <c r="C861" s="87">
        <v>6214</v>
      </c>
      <c r="D861" s="476">
        <v>14000</v>
      </c>
      <c r="E861" s="42" t="s">
        <v>80</v>
      </c>
      <c r="F861" s="42">
        <v>155.44999999999999</v>
      </c>
      <c r="G861" s="42">
        <v>14000</v>
      </c>
      <c r="H861" s="42">
        <f t="shared" si="10"/>
        <v>0</v>
      </c>
      <c r="I861" s="89"/>
      <c r="M861" s="86"/>
    </row>
    <row r="862" spans="1:13" x14ac:dyDescent="0.25">
      <c r="A862" s="42">
        <v>857</v>
      </c>
      <c r="B862" s="42" t="s">
        <v>808</v>
      </c>
      <c r="C862" s="87">
        <v>2717</v>
      </c>
      <c r="D862" s="476">
        <v>10000</v>
      </c>
      <c r="E862" s="42" t="s">
        <v>80</v>
      </c>
      <c r="F862" s="42">
        <v>111.42</v>
      </c>
      <c r="G862" s="42">
        <v>10000</v>
      </c>
      <c r="H862" s="42">
        <f t="shared" si="10"/>
        <v>0</v>
      </c>
      <c r="I862" s="89"/>
      <c r="M862" s="86"/>
    </row>
    <row r="863" spans="1:13" x14ac:dyDescent="0.25">
      <c r="A863" s="42">
        <v>858</v>
      </c>
      <c r="B863" s="42" t="s">
        <v>808</v>
      </c>
      <c r="C863" s="87">
        <v>9944</v>
      </c>
      <c r="D863" s="476">
        <v>13000</v>
      </c>
      <c r="E863" s="42" t="s">
        <v>80</v>
      </c>
      <c r="F863" s="42">
        <v>144.12</v>
      </c>
      <c r="G863" s="42">
        <v>13000</v>
      </c>
      <c r="H863" s="42">
        <f t="shared" si="10"/>
        <v>0</v>
      </c>
      <c r="I863" s="89"/>
      <c r="M863" s="86"/>
    </row>
    <row r="864" spans="1:13" x14ac:dyDescent="0.25">
      <c r="A864" s="42">
        <v>859</v>
      </c>
      <c r="B864" s="42" t="s">
        <v>808</v>
      </c>
      <c r="C864" s="87">
        <v>7.5700000000000003E-2</v>
      </c>
      <c r="D864" s="476">
        <v>30000</v>
      </c>
      <c r="E864" s="42" t="s">
        <v>80</v>
      </c>
      <c r="F864" s="42">
        <v>334.82</v>
      </c>
      <c r="G864" s="42">
        <v>30000</v>
      </c>
      <c r="H864" s="42">
        <f t="shared" si="10"/>
        <v>0</v>
      </c>
      <c r="I864" s="89"/>
      <c r="M864" s="86"/>
    </row>
    <row r="865" spans="1:13" x14ac:dyDescent="0.25">
      <c r="A865" s="42">
        <v>860</v>
      </c>
      <c r="B865" s="42" t="s">
        <v>808</v>
      </c>
      <c r="C865" s="87">
        <v>4032</v>
      </c>
      <c r="D865" s="476">
        <v>19000</v>
      </c>
      <c r="E865" s="42" t="s">
        <v>80</v>
      </c>
      <c r="F865" s="42">
        <v>211.75</v>
      </c>
      <c r="G865" s="42">
        <v>19000</v>
      </c>
      <c r="H865" s="42">
        <f t="shared" si="10"/>
        <v>0</v>
      </c>
      <c r="I865" s="89"/>
      <c r="M865" s="86"/>
    </row>
    <row r="866" spans="1:13" x14ac:dyDescent="0.25">
      <c r="A866" s="42">
        <v>861</v>
      </c>
      <c r="B866" s="42" t="s">
        <v>808</v>
      </c>
      <c r="C866" s="87">
        <v>3295</v>
      </c>
      <c r="D866" s="476">
        <v>30000</v>
      </c>
      <c r="E866" s="42" t="s">
        <v>80</v>
      </c>
      <c r="F866" s="42">
        <v>334.82</v>
      </c>
      <c r="G866" s="42">
        <v>30000</v>
      </c>
      <c r="H866" s="42">
        <f t="shared" si="10"/>
        <v>0</v>
      </c>
      <c r="I866" s="89"/>
      <c r="M866" s="86"/>
    </row>
    <row r="867" spans="1:13" x14ac:dyDescent="0.25">
      <c r="A867" s="42">
        <v>862</v>
      </c>
      <c r="B867" s="42" t="s">
        <v>808</v>
      </c>
      <c r="C867" s="87">
        <v>7567</v>
      </c>
      <c r="D867" s="476">
        <v>20000</v>
      </c>
      <c r="E867" s="42" t="s">
        <v>80</v>
      </c>
      <c r="F867" s="42">
        <v>222.82</v>
      </c>
      <c r="G867" s="42">
        <v>20000</v>
      </c>
      <c r="H867" s="42">
        <f t="shared" si="10"/>
        <v>0</v>
      </c>
      <c r="I867" s="89"/>
      <c r="M867" s="86"/>
    </row>
    <row r="868" spans="1:13" x14ac:dyDescent="0.25">
      <c r="A868" s="42">
        <v>863</v>
      </c>
      <c r="B868" s="42" t="s">
        <v>808</v>
      </c>
      <c r="C868" s="87">
        <v>6089</v>
      </c>
      <c r="D868" s="476">
        <v>26000</v>
      </c>
      <c r="E868" s="42" t="s">
        <v>80</v>
      </c>
      <c r="F868" s="42">
        <v>289.81</v>
      </c>
      <c r="G868" s="42">
        <v>26000</v>
      </c>
      <c r="H868" s="42">
        <f t="shared" si="10"/>
        <v>0</v>
      </c>
      <c r="I868" s="89"/>
      <c r="M868" s="86"/>
    </row>
    <row r="869" spans="1:13" x14ac:dyDescent="0.25">
      <c r="A869" s="42">
        <v>864</v>
      </c>
      <c r="B869" s="42" t="s">
        <v>808</v>
      </c>
      <c r="C869" s="87">
        <v>5786</v>
      </c>
      <c r="D869" s="476">
        <v>23000</v>
      </c>
      <c r="E869" s="42" t="s">
        <v>80</v>
      </c>
      <c r="F869" s="42">
        <v>256.42</v>
      </c>
      <c r="G869" s="42">
        <v>23000</v>
      </c>
      <c r="H869" s="42">
        <f t="shared" si="10"/>
        <v>0</v>
      </c>
      <c r="I869" s="89"/>
      <c r="M869" s="86"/>
    </row>
    <row r="870" spans="1:13" x14ac:dyDescent="0.25">
      <c r="A870" s="42">
        <v>865</v>
      </c>
      <c r="B870" s="42" t="s">
        <v>808</v>
      </c>
      <c r="C870" s="87">
        <v>8318</v>
      </c>
      <c r="D870" s="476">
        <v>15000</v>
      </c>
      <c r="E870" s="42" t="s">
        <v>80</v>
      </c>
      <c r="F870" s="42">
        <v>167.15</v>
      </c>
      <c r="G870" s="42">
        <v>15000</v>
      </c>
      <c r="H870" s="42">
        <f t="shared" si="10"/>
        <v>0</v>
      </c>
      <c r="I870" s="89"/>
      <c r="M870" s="86"/>
    </row>
    <row r="871" spans="1:13" x14ac:dyDescent="0.25">
      <c r="A871" s="42">
        <v>866</v>
      </c>
      <c r="B871" s="42" t="s">
        <v>808</v>
      </c>
      <c r="C871" s="87">
        <v>1266</v>
      </c>
      <c r="D871" s="476">
        <v>13000</v>
      </c>
      <c r="E871" s="42" t="s">
        <v>80</v>
      </c>
      <c r="F871" s="42">
        <v>144.13</v>
      </c>
      <c r="G871" s="42">
        <v>13000</v>
      </c>
      <c r="H871" s="42">
        <f t="shared" si="10"/>
        <v>0</v>
      </c>
      <c r="I871" s="89"/>
      <c r="M871" s="86"/>
    </row>
    <row r="872" spans="1:13" x14ac:dyDescent="0.25">
      <c r="A872" s="42">
        <v>867</v>
      </c>
      <c r="B872" s="42" t="s">
        <v>808</v>
      </c>
      <c r="C872" s="87">
        <v>9192</v>
      </c>
      <c r="D872" s="476">
        <v>29000</v>
      </c>
      <c r="E872" s="42" t="s">
        <v>80</v>
      </c>
      <c r="F872" s="42">
        <v>323.68</v>
      </c>
      <c r="G872" s="42">
        <v>29000</v>
      </c>
      <c r="H872" s="42">
        <f t="shared" si="10"/>
        <v>0</v>
      </c>
      <c r="I872" s="89"/>
      <c r="M872" s="86"/>
    </row>
    <row r="873" spans="1:13" x14ac:dyDescent="0.25">
      <c r="A873" s="42">
        <v>868</v>
      </c>
      <c r="B873" s="42" t="s">
        <v>808</v>
      </c>
      <c r="C873" s="87">
        <v>4092</v>
      </c>
      <c r="D873" s="476">
        <v>19000</v>
      </c>
      <c r="E873" s="42" t="s">
        <v>80</v>
      </c>
      <c r="F873" s="42">
        <v>219.38</v>
      </c>
      <c r="G873" s="42">
        <v>19000</v>
      </c>
      <c r="H873" s="42">
        <f t="shared" si="10"/>
        <v>0</v>
      </c>
      <c r="I873" s="89"/>
      <c r="J873" s="398">
        <f>2591037-2567699</f>
        <v>23338</v>
      </c>
      <c r="K873" s="398" t="s">
        <v>803</v>
      </c>
      <c r="L873" s="398" t="s">
        <v>620</v>
      </c>
      <c r="M873" s="86">
        <f>23338-2040</f>
        <v>21298</v>
      </c>
    </row>
    <row r="874" spans="1:13" x14ac:dyDescent="0.25">
      <c r="A874" s="42">
        <v>869</v>
      </c>
      <c r="B874" s="42" t="s">
        <v>811</v>
      </c>
      <c r="C874" s="87" t="s">
        <v>633</v>
      </c>
      <c r="D874" s="476">
        <v>210</v>
      </c>
      <c r="E874" s="42" t="s">
        <v>80</v>
      </c>
      <c r="F874" s="42">
        <v>2.09</v>
      </c>
      <c r="G874" s="42">
        <v>210</v>
      </c>
      <c r="H874" s="42">
        <f t="shared" si="10"/>
        <v>0</v>
      </c>
      <c r="I874" s="89"/>
      <c r="M874" s="86"/>
    </row>
    <row r="875" spans="1:13" x14ac:dyDescent="0.25">
      <c r="A875" s="42">
        <v>870</v>
      </c>
      <c r="B875" s="42" t="s">
        <v>811</v>
      </c>
      <c r="C875" s="87">
        <v>9604</v>
      </c>
      <c r="D875" s="476">
        <v>15000</v>
      </c>
      <c r="E875" s="42" t="s">
        <v>80</v>
      </c>
      <c r="F875" s="42">
        <v>167.15</v>
      </c>
      <c r="G875" s="42">
        <v>15000</v>
      </c>
      <c r="H875" s="42">
        <f t="shared" si="10"/>
        <v>0</v>
      </c>
      <c r="I875" s="89"/>
      <c r="M875" s="86"/>
    </row>
    <row r="876" spans="1:13" x14ac:dyDescent="0.25">
      <c r="A876" s="42">
        <v>871</v>
      </c>
      <c r="B876" s="42" t="s">
        <v>811</v>
      </c>
      <c r="C876" s="87">
        <v>9997</v>
      </c>
      <c r="D876" s="476">
        <v>5000</v>
      </c>
      <c r="E876" s="42" t="s">
        <v>80</v>
      </c>
      <c r="F876" s="42">
        <v>55.45</v>
      </c>
      <c r="G876" s="42">
        <v>5000</v>
      </c>
      <c r="H876" s="42">
        <f t="shared" si="10"/>
        <v>0</v>
      </c>
      <c r="I876" s="89"/>
      <c r="M876" s="86"/>
    </row>
    <row r="877" spans="1:13" x14ac:dyDescent="0.25">
      <c r="A877" s="42">
        <v>872</v>
      </c>
      <c r="B877" s="42" t="s">
        <v>811</v>
      </c>
      <c r="C877" s="87">
        <v>4077</v>
      </c>
      <c r="D877" s="476">
        <v>12500</v>
      </c>
      <c r="E877" s="42" t="s">
        <v>80</v>
      </c>
      <c r="F877" s="42">
        <v>139.72</v>
      </c>
      <c r="G877" s="42">
        <v>12500</v>
      </c>
      <c r="H877" s="42">
        <f t="shared" si="10"/>
        <v>0</v>
      </c>
      <c r="I877" s="89"/>
      <c r="M877" s="86"/>
    </row>
    <row r="878" spans="1:13" x14ac:dyDescent="0.25">
      <c r="A878" s="42">
        <v>873</v>
      </c>
      <c r="B878" s="42" t="s">
        <v>811</v>
      </c>
      <c r="C878" s="87" t="s">
        <v>30</v>
      </c>
      <c r="D878" s="476">
        <v>4500</v>
      </c>
      <c r="E878" s="42" t="s">
        <v>80</v>
      </c>
      <c r="F878" s="42">
        <v>50.4</v>
      </c>
      <c r="G878" s="42">
        <v>4500</v>
      </c>
      <c r="H878" s="42">
        <f t="shared" si="10"/>
        <v>0</v>
      </c>
      <c r="I878" s="89"/>
      <c r="M878" s="86"/>
    </row>
    <row r="879" spans="1:13" x14ac:dyDescent="0.25">
      <c r="A879" s="42">
        <v>874</v>
      </c>
      <c r="B879" s="42" t="s">
        <v>811</v>
      </c>
      <c r="C879" s="87">
        <v>6133</v>
      </c>
      <c r="D879" s="476">
        <v>16000</v>
      </c>
      <c r="E879" s="42" t="s">
        <v>80</v>
      </c>
      <c r="F879" s="42">
        <v>178.22</v>
      </c>
      <c r="G879" s="42">
        <v>16000</v>
      </c>
      <c r="H879" s="42">
        <f t="shared" si="10"/>
        <v>0</v>
      </c>
      <c r="I879" s="89"/>
      <c r="M879" s="86"/>
    </row>
    <row r="880" spans="1:13" x14ac:dyDescent="0.25">
      <c r="A880" s="42">
        <v>875</v>
      </c>
      <c r="B880" s="42" t="s">
        <v>811</v>
      </c>
      <c r="C880" s="87">
        <v>1720</v>
      </c>
      <c r="D880" s="476">
        <v>16000</v>
      </c>
      <c r="E880" s="42" t="s">
        <v>80</v>
      </c>
      <c r="F880" s="42">
        <v>178.22</v>
      </c>
      <c r="G880" s="42">
        <v>16000</v>
      </c>
      <c r="H880" s="42">
        <f t="shared" si="10"/>
        <v>0</v>
      </c>
      <c r="I880" s="89"/>
      <c r="M880" s="86"/>
    </row>
    <row r="881" spans="1:13" x14ac:dyDescent="0.25">
      <c r="A881" s="42">
        <v>876</v>
      </c>
      <c r="B881" s="42" t="s">
        <v>811</v>
      </c>
      <c r="C881" s="87">
        <v>6.4699999999999994E-2</v>
      </c>
      <c r="D881" s="476">
        <v>14000</v>
      </c>
      <c r="E881" s="42" t="s">
        <v>80</v>
      </c>
      <c r="F881" s="42">
        <v>155.41999999999999</v>
      </c>
      <c r="G881" s="42">
        <v>14000</v>
      </c>
      <c r="H881" s="42">
        <f t="shared" si="10"/>
        <v>0</v>
      </c>
      <c r="I881" s="89"/>
      <c r="M881" s="86"/>
    </row>
    <row r="882" spans="1:13" x14ac:dyDescent="0.25">
      <c r="A882" s="42">
        <v>877</v>
      </c>
      <c r="B882" s="42" t="s">
        <v>811</v>
      </c>
      <c r="C882" s="87">
        <v>6758</v>
      </c>
      <c r="D882" s="476">
        <v>14000</v>
      </c>
      <c r="E882" s="42" t="s">
        <v>80</v>
      </c>
      <c r="F882" s="42">
        <v>155.41999999999999</v>
      </c>
      <c r="G882" s="42">
        <v>14000</v>
      </c>
      <c r="H882" s="42">
        <f t="shared" si="10"/>
        <v>0</v>
      </c>
      <c r="I882" s="89"/>
      <c r="M882" s="86"/>
    </row>
    <row r="883" spans="1:13" x14ac:dyDescent="0.25">
      <c r="A883" s="42">
        <v>878</v>
      </c>
      <c r="B883" s="42" t="s">
        <v>811</v>
      </c>
      <c r="C883" s="87">
        <v>9301</v>
      </c>
      <c r="D883" s="476">
        <v>14000</v>
      </c>
      <c r="E883" s="42" t="s">
        <v>80</v>
      </c>
      <c r="F883" s="42">
        <v>155.41999999999999</v>
      </c>
      <c r="G883" s="42">
        <v>14000</v>
      </c>
      <c r="H883" s="42">
        <f t="shared" si="10"/>
        <v>0</v>
      </c>
      <c r="I883" s="89"/>
      <c r="M883" s="86"/>
    </row>
    <row r="884" spans="1:13" x14ac:dyDescent="0.25">
      <c r="A884" s="42">
        <v>879</v>
      </c>
      <c r="B884" s="42" t="s">
        <v>811</v>
      </c>
      <c r="C884" s="87">
        <v>1547</v>
      </c>
      <c r="D884" s="476">
        <v>18000</v>
      </c>
      <c r="E884" s="42" t="s">
        <v>80</v>
      </c>
      <c r="F884" s="42">
        <v>200.82</v>
      </c>
      <c r="G884" s="42">
        <v>18000</v>
      </c>
      <c r="H884" s="42">
        <f t="shared" si="10"/>
        <v>0</v>
      </c>
      <c r="I884" s="89"/>
      <c r="M884" s="86"/>
    </row>
    <row r="885" spans="1:13" x14ac:dyDescent="0.25">
      <c r="A885" s="42">
        <v>880</v>
      </c>
      <c r="B885" s="42" t="s">
        <v>811</v>
      </c>
      <c r="C885" s="87">
        <v>3398</v>
      </c>
      <c r="D885" s="476">
        <v>13000</v>
      </c>
      <c r="E885" s="42" t="s">
        <v>80</v>
      </c>
      <c r="F885" s="42">
        <v>144.13</v>
      </c>
      <c r="G885" s="42">
        <v>13000</v>
      </c>
      <c r="H885" s="42">
        <f t="shared" si="10"/>
        <v>0</v>
      </c>
      <c r="I885" s="89"/>
      <c r="M885" s="86"/>
    </row>
    <row r="886" spans="1:13" x14ac:dyDescent="0.25">
      <c r="A886" s="42">
        <v>881</v>
      </c>
      <c r="B886" s="42" t="s">
        <v>811</v>
      </c>
      <c r="C886" s="87">
        <v>9.3200000000000005E-2</v>
      </c>
      <c r="D886" s="476">
        <v>16000</v>
      </c>
      <c r="E886" s="42" t="s">
        <v>80</v>
      </c>
      <c r="F886" s="42">
        <v>178.22</v>
      </c>
      <c r="G886" s="42">
        <v>16000</v>
      </c>
      <c r="H886" s="42">
        <f t="shared" si="10"/>
        <v>0</v>
      </c>
      <c r="I886" s="89"/>
      <c r="M886" s="86"/>
    </row>
    <row r="887" spans="1:13" x14ac:dyDescent="0.25">
      <c r="A887" s="42">
        <v>882</v>
      </c>
      <c r="B887" s="42" t="s">
        <v>811</v>
      </c>
      <c r="C887" s="87">
        <v>9397</v>
      </c>
      <c r="D887" s="476">
        <v>14000</v>
      </c>
      <c r="E887" s="42" t="s">
        <v>80</v>
      </c>
      <c r="F887" s="42">
        <v>155.41999999999999</v>
      </c>
      <c r="G887" s="42">
        <v>14000</v>
      </c>
      <c r="H887" s="42">
        <f t="shared" si="10"/>
        <v>0</v>
      </c>
      <c r="I887" s="89"/>
      <c r="M887" s="86"/>
    </row>
    <row r="888" spans="1:13" x14ac:dyDescent="0.25">
      <c r="A888" s="42">
        <v>883</v>
      </c>
      <c r="B888" s="42" t="s">
        <v>811</v>
      </c>
      <c r="C888" s="87">
        <v>5403</v>
      </c>
      <c r="D888" s="476">
        <v>20000</v>
      </c>
      <c r="E888" s="42" t="s">
        <v>80</v>
      </c>
      <c r="F888" s="42">
        <v>222.82</v>
      </c>
      <c r="G888" s="42">
        <v>20000</v>
      </c>
      <c r="H888" s="42">
        <f t="shared" si="10"/>
        <v>0</v>
      </c>
      <c r="I888" s="89"/>
      <c r="M888" s="86"/>
    </row>
    <row r="889" spans="1:13" x14ac:dyDescent="0.25">
      <c r="A889" s="42">
        <v>884</v>
      </c>
      <c r="B889" s="42" t="s">
        <v>811</v>
      </c>
      <c r="C889" s="87">
        <v>6957</v>
      </c>
      <c r="D889" s="476">
        <v>17000</v>
      </c>
      <c r="E889" s="42" t="s">
        <v>80</v>
      </c>
      <c r="F889" s="42">
        <v>189.37</v>
      </c>
      <c r="G889" s="42">
        <v>17000</v>
      </c>
      <c r="H889" s="42">
        <f t="shared" si="10"/>
        <v>0</v>
      </c>
      <c r="I889" s="89"/>
      <c r="M889" s="86"/>
    </row>
    <row r="890" spans="1:13" x14ac:dyDescent="0.25">
      <c r="A890" s="42">
        <v>885</v>
      </c>
      <c r="B890" s="42" t="s">
        <v>811</v>
      </c>
      <c r="C890" s="87">
        <v>1761</v>
      </c>
      <c r="D890" s="476">
        <v>15000</v>
      </c>
      <c r="E890" s="42" t="s">
        <v>80</v>
      </c>
      <c r="F890" s="42">
        <v>167.15</v>
      </c>
      <c r="G890" s="42">
        <v>15000</v>
      </c>
      <c r="H890" s="42">
        <f t="shared" si="10"/>
        <v>0</v>
      </c>
      <c r="I890" s="89"/>
      <c r="M890" s="86"/>
    </row>
    <row r="891" spans="1:13" x14ac:dyDescent="0.25">
      <c r="A891" s="42">
        <v>886</v>
      </c>
      <c r="B891" s="42" t="s">
        <v>811</v>
      </c>
      <c r="C891" s="87">
        <v>6946</v>
      </c>
      <c r="D891" s="476">
        <v>20000</v>
      </c>
      <c r="E891" s="42" t="s">
        <v>80</v>
      </c>
      <c r="F891" s="42">
        <v>222.82</v>
      </c>
      <c r="G891" s="42">
        <v>20000</v>
      </c>
      <c r="H891" s="42">
        <f t="shared" si="10"/>
        <v>0</v>
      </c>
      <c r="I891" s="89"/>
      <c r="M891" s="86"/>
    </row>
    <row r="892" spans="1:13" x14ac:dyDescent="0.25">
      <c r="A892" s="42">
        <v>887</v>
      </c>
      <c r="B892" s="42" t="s">
        <v>811</v>
      </c>
      <c r="C892" s="87">
        <v>9350</v>
      </c>
      <c r="D892" s="476">
        <v>15000</v>
      </c>
      <c r="E892" s="42" t="s">
        <v>80</v>
      </c>
      <c r="F892" s="42">
        <v>167.15</v>
      </c>
      <c r="G892" s="42">
        <v>15000</v>
      </c>
      <c r="H892" s="42">
        <f t="shared" si="10"/>
        <v>0</v>
      </c>
      <c r="I892" s="89"/>
      <c r="M892" s="86"/>
    </row>
    <row r="893" spans="1:13" x14ac:dyDescent="0.25">
      <c r="A893" s="42">
        <v>888</v>
      </c>
      <c r="B893" s="42" t="s">
        <v>811</v>
      </c>
      <c r="C893" s="87" t="s">
        <v>30</v>
      </c>
      <c r="D893" s="476">
        <v>5000</v>
      </c>
      <c r="E893" s="42" t="s">
        <v>80</v>
      </c>
      <c r="F893" s="42">
        <v>55.45</v>
      </c>
      <c r="G893" s="42">
        <v>5000</v>
      </c>
      <c r="H893" s="42">
        <f t="shared" si="10"/>
        <v>0</v>
      </c>
      <c r="I893" s="89"/>
      <c r="M893" s="86"/>
    </row>
    <row r="894" spans="1:13" x14ac:dyDescent="0.25">
      <c r="A894" s="42">
        <v>889</v>
      </c>
      <c r="B894" s="42" t="s">
        <v>811</v>
      </c>
      <c r="C894" s="87">
        <v>1864</v>
      </c>
      <c r="D894" s="476">
        <v>15000</v>
      </c>
      <c r="E894" s="42" t="s">
        <v>80</v>
      </c>
      <c r="F894" s="42">
        <v>167.15</v>
      </c>
      <c r="G894" s="42">
        <v>15000</v>
      </c>
      <c r="H894" s="42">
        <f t="shared" si="10"/>
        <v>0</v>
      </c>
      <c r="I894" s="89"/>
      <c r="M894" s="86"/>
    </row>
    <row r="895" spans="1:13" x14ac:dyDescent="0.25">
      <c r="A895" s="42">
        <v>890</v>
      </c>
      <c r="B895" s="42" t="s">
        <v>811</v>
      </c>
      <c r="C895" s="87">
        <v>4829</v>
      </c>
      <c r="D895" s="476">
        <v>25000</v>
      </c>
      <c r="E895" s="42" t="s">
        <v>80</v>
      </c>
      <c r="F895" s="42">
        <v>278.22000000000003</v>
      </c>
      <c r="G895" s="42">
        <v>25000</v>
      </c>
      <c r="H895" s="42">
        <f t="shared" si="10"/>
        <v>0</v>
      </c>
      <c r="I895" s="89"/>
      <c r="M895" s="86"/>
    </row>
    <row r="896" spans="1:13" x14ac:dyDescent="0.25">
      <c r="A896" s="42">
        <v>891</v>
      </c>
      <c r="B896" s="42" t="s">
        <v>811</v>
      </c>
      <c r="C896" s="87">
        <v>7475</v>
      </c>
      <c r="D896" s="476">
        <v>22000</v>
      </c>
      <c r="E896" s="42" t="s">
        <v>80</v>
      </c>
      <c r="F896" s="42">
        <v>225.68</v>
      </c>
      <c r="G896" s="42">
        <v>22000</v>
      </c>
      <c r="H896" s="42">
        <f t="shared" si="10"/>
        <v>0</v>
      </c>
      <c r="I896" s="89"/>
      <c r="M896" s="86"/>
    </row>
    <row r="897" spans="1:13" x14ac:dyDescent="0.25">
      <c r="A897" s="42">
        <v>892</v>
      </c>
      <c r="B897" s="42" t="s">
        <v>811</v>
      </c>
      <c r="C897" s="87">
        <v>8339</v>
      </c>
      <c r="D897" s="476">
        <v>22636</v>
      </c>
      <c r="E897" s="42" t="s">
        <v>80</v>
      </c>
      <c r="F897" s="42">
        <v>252.71</v>
      </c>
      <c r="G897" s="42">
        <v>22636</v>
      </c>
      <c r="H897" s="42">
        <f t="shared" si="10"/>
        <v>0</v>
      </c>
      <c r="I897" s="89"/>
      <c r="M897" s="86"/>
    </row>
    <row r="898" spans="1:13" x14ac:dyDescent="0.25">
      <c r="A898" s="42">
        <v>893</v>
      </c>
      <c r="B898" s="42" t="s">
        <v>811</v>
      </c>
      <c r="C898" s="87">
        <v>6.0999999999999999E-2</v>
      </c>
      <c r="D898" s="476">
        <v>22800</v>
      </c>
      <c r="E898" s="42" t="s">
        <v>80</v>
      </c>
      <c r="F898" s="42">
        <v>254.83</v>
      </c>
      <c r="G898" s="42">
        <v>22800</v>
      </c>
      <c r="H898" s="42">
        <f t="shared" si="10"/>
        <v>0</v>
      </c>
      <c r="I898" s="89"/>
      <c r="M898" s="86"/>
    </row>
    <row r="899" spans="1:13" x14ac:dyDescent="0.25">
      <c r="A899" s="42">
        <v>894</v>
      </c>
      <c r="B899" s="42" t="s">
        <v>811</v>
      </c>
      <c r="C899" s="87">
        <v>5.7000000000000002E-3</v>
      </c>
      <c r="D899" s="476">
        <v>25000</v>
      </c>
      <c r="E899" s="42" t="s">
        <v>80</v>
      </c>
      <c r="F899" s="42">
        <v>278.22000000000003</v>
      </c>
      <c r="G899" s="42">
        <v>25000</v>
      </c>
      <c r="H899" s="42">
        <f t="shared" si="10"/>
        <v>0</v>
      </c>
      <c r="I899" s="89"/>
      <c r="M899" s="86"/>
    </row>
    <row r="900" spans="1:13" x14ac:dyDescent="0.25">
      <c r="A900" s="42">
        <v>895</v>
      </c>
      <c r="B900" s="42" t="s">
        <v>811</v>
      </c>
      <c r="C900" s="87">
        <v>9422</v>
      </c>
      <c r="D900" s="476">
        <v>30000</v>
      </c>
      <c r="E900" s="42" t="s">
        <v>80</v>
      </c>
      <c r="F900" s="42">
        <v>334.22</v>
      </c>
      <c r="G900" s="42">
        <v>30000</v>
      </c>
      <c r="H900" s="42">
        <f t="shared" si="10"/>
        <v>0</v>
      </c>
      <c r="I900" s="89"/>
      <c r="M900" s="86"/>
    </row>
    <row r="901" spans="1:13" x14ac:dyDescent="0.25">
      <c r="A901" s="42">
        <v>896</v>
      </c>
      <c r="B901" s="42" t="s">
        <v>811</v>
      </c>
      <c r="C901" s="87">
        <v>3441</v>
      </c>
      <c r="D901" s="476">
        <v>22000</v>
      </c>
      <c r="E901" s="42" t="s">
        <v>80</v>
      </c>
      <c r="F901" s="42">
        <v>222.82</v>
      </c>
      <c r="G901" s="42">
        <v>22000</v>
      </c>
      <c r="H901" s="42">
        <f t="shared" si="10"/>
        <v>0</v>
      </c>
      <c r="I901" s="89"/>
      <c r="M901" s="86"/>
    </row>
    <row r="902" spans="1:13" x14ac:dyDescent="0.25">
      <c r="A902" s="42">
        <v>897</v>
      </c>
      <c r="B902" s="42" t="s">
        <v>811</v>
      </c>
      <c r="C902" s="87">
        <v>1427</v>
      </c>
      <c r="D902" s="476">
        <v>25000</v>
      </c>
      <c r="E902" s="42" t="s">
        <v>80</v>
      </c>
      <c r="F902" s="42">
        <v>278.22000000000003</v>
      </c>
      <c r="G902" s="42">
        <v>25000</v>
      </c>
      <c r="H902" s="42">
        <f t="shared" si="10"/>
        <v>0</v>
      </c>
      <c r="I902" s="89"/>
      <c r="M902" s="86"/>
    </row>
    <row r="903" spans="1:13" x14ac:dyDescent="0.25">
      <c r="A903" s="42">
        <v>898</v>
      </c>
      <c r="B903" s="42" t="s">
        <v>811</v>
      </c>
      <c r="C903" s="87">
        <v>6017</v>
      </c>
      <c r="D903" s="476">
        <v>20000</v>
      </c>
      <c r="E903" s="42" t="s">
        <v>80</v>
      </c>
      <c r="F903" s="42">
        <v>222.82</v>
      </c>
      <c r="G903" s="42">
        <v>20000</v>
      </c>
      <c r="H903" s="42">
        <f t="shared" si="10"/>
        <v>0</v>
      </c>
      <c r="I903" s="89"/>
      <c r="M903" s="86"/>
    </row>
    <row r="904" spans="1:13" x14ac:dyDescent="0.25">
      <c r="A904" s="42">
        <v>899</v>
      </c>
      <c r="B904" s="42" t="s">
        <v>811</v>
      </c>
      <c r="C904" s="87">
        <v>1428</v>
      </c>
      <c r="D904" s="476">
        <v>32000</v>
      </c>
      <c r="E904" s="42" t="s">
        <v>80</v>
      </c>
      <c r="F904" s="42">
        <v>259.38</v>
      </c>
      <c r="G904" s="42">
        <v>32000</v>
      </c>
      <c r="H904" s="42">
        <f t="shared" si="10"/>
        <v>0</v>
      </c>
      <c r="I904" s="89"/>
      <c r="M904" s="86"/>
    </row>
    <row r="905" spans="1:13" x14ac:dyDescent="0.25">
      <c r="A905" s="42">
        <v>900</v>
      </c>
      <c r="B905" s="42" t="s">
        <v>811</v>
      </c>
      <c r="C905" s="87">
        <v>1330</v>
      </c>
      <c r="D905" s="476">
        <v>10000</v>
      </c>
      <c r="E905" s="42" t="s">
        <v>80</v>
      </c>
      <c r="F905" s="42">
        <v>111.41</v>
      </c>
      <c r="G905" s="42">
        <v>10000</v>
      </c>
      <c r="H905" s="42">
        <f t="shared" si="10"/>
        <v>0</v>
      </c>
      <c r="I905" s="89"/>
      <c r="M905" s="86"/>
    </row>
    <row r="906" spans="1:13" x14ac:dyDescent="0.25">
      <c r="A906" s="42">
        <v>901</v>
      </c>
      <c r="B906" s="42" t="s">
        <v>811</v>
      </c>
      <c r="C906" s="87">
        <v>3651</v>
      </c>
      <c r="D906" s="476">
        <v>22000</v>
      </c>
      <c r="E906" s="42" t="s">
        <v>80</v>
      </c>
      <c r="F906" s="42">
        <v>222.82</v>
      </c>
      <c r="G906" s="42">
        <v>22000</v>
      </c>
      <c r="H906" s="42">
        <f t="shared" si="10"/>
        <v>0</v>
      </c>
      <c r="I906" s="89"/>
      <c r="M906" s="86"/>
    </row>
    <row r="907" spans="1:13" x14ac:dyDescent="0.25">
      <c r="A907" s="42">
        <v>902</v>
      </c>
      <c r="B907" s="42" t="s">
        <v>811</v>
      </c>
      <c r="C907" s="87">
        <v>9434</v>
      </c>
      <c r="D907" s="476">
        <v>10000</v>
      </c>
      <c r="E907" s="42" t="s">
        <v>80</v>
      </c>
      <c r="F907" s="42">
        <v>111.41</v>
      </c>
      <c r="G907" s="42">
        <v>10000</v>
      </c>
      <c r="H907" s="42">
        <f t="shared" si="10"/>
        <v>0</v>
      </c>
      <c r="I907" s="89"/>
      <c r="M907" s="86"/>
    </row>
    <row r="908" spans="1:13" x14ac:dyDescent="0.25">
      <c r="A908" s="42">
        <v>903</v>
      </c>
      <c r="B908" s="42" t="s">
        <v>811</v>
      </c>
      <c r="C908" s="87">
        <v>7365</v>
      </c>
      <c r="D908" s="476">
        <v>24000</v>
      </c>
      <c r="E908" s="42" t="s">
        <v>80</v>
      </c>
      <c r="F908" s="42">
        <v>277.55</v>
      </c>
      <c r="G908" s="42">
        <v>24000</v>
      </c>
      <c r="H908" s="42">
        <f t="shared" si="10"/>
        <v>0</v>
      </c>
      <c r="I908" s="89"/>
      <c r="M908" s="86"/>
    </row>
    <row r="909" spans="1:13" x14ac:dyDescent="0.25">
      <c r="A909" s="42">
        <v>904</v>
      </c>
      <c r="B909" s="42" t="s">
        <v>811</v>
      </c>
      <c r="C909" s="87">
        <v>6775</v>
      </c>
      <c r="D909" s="476">
        <v>35000</v>
      </c>
      <c r="E909" s="42" t="s">
        <v>80</v>
      </c>
      <c r="F909" s="42">
        <v>389.65</v>
      </c>
      <c r="G909" s="42">
        <v>35000</v>
      </c>
      <c r="H909" s="42">
        <f t="shared" ref="H909:H972" si="11">D909-G909</f>
        <v>0</v>
      </c>
      <c r="I909" s="89"/>
      <c r="J909" s="398">
        <f>2617674-2594345</f>
        <v>23329</v>
      </c>
      <c r="K909" s="398" t="s">
        <v>803</v>
      </c>
      <c r="L909" s="398" t="s">
        <v>620</v>
      </c>
      <c r="M909" s="86">
        <f>23338-2040</f>
        <v>21298</v>
      </c>
    </row>
    <row r="910" spans="1:13" x14ac:dyDescent="0.25">
      <c r="A910" s="42">
        <v>905</v>
      </c>
      <c r="B910" s="42" t="s">
        <v>812</v>
      </c>
      <c r="C910" s="87">
        <v>1.32E-2</v>
      </c>
      <c r="D910" s="476">
        <v>15000</v>
      </c>
      <c r="E910" s="42" t="s">
        <v>80</v>
      </c>
      <c r="F910" s="42">
        <v>167.15</v>
      </c>
      <c r="G910" s="42">
        <v>15000</v>
      </c>
      <c r="H910" s="42">
        <f t="shared" si="11"/>
        <v>0</v>
      </c>
      <c r="I910" s="89"/>
      <c r="M910" s="86"/>
    </row>
    <row r="911" spans="1:13" x14ac:dyDescent="0.25">
      <c r="A911" s="42">
        <v>906</v>
      </c>
      <c r="B911" s="42" t="s">
        <v>812</v>
      </c>
      <c r="C911" s="87">
        <v>6065</v>
      </c>
      <c r="D911" s="476">
        <v>25000</v>
      </c>
      <c r="E911" s="42" t="s">
        <v>80</v>
      </c>
      <c r="F911" s="42">
        <v>278.22000000000003</v>
      </c>
      <c r="G911" s="42">
        <v>25000</v>
      </c>
      <c r="H911" s="42">
        <f t="shared" si="11"/>
        <v>0</v>
      </c>
      <c r="I911" s="89"/>
      <c r="M911" s="86"/>
    </row>
    <row r="912" spans="1:13" x14ac:dyDescent="0.25">
      <c r="A912" s="42">
        <v>907</v>
      </c>
      <c r="B912" s="42" t="s">
        <v>812</v>
      </c>
      <c r="C912" s="87">
        <v>7450</v>
      </c>
      <c r="D912" s="476">
        <v>10000</v>
      </c>
      <c r="E912" s="42" t="s">
        <v>80</v>
      </c>
      <c r="F912" s="42">
        <v>111.42</v>
      </c>
      <c r="G912" s="42">
        <v>10000</v>
      </c>
      <c r="H912" s="42">
        <f t="shared" si="11"/>
        <v>0</v>
      </c>
      <c r="I912" s="89"/>
      <c r="M912" s="86"/>
    </row>
    <row r="913" spans="1:13" x14ac:dyDescent="0.25">
      <c r="A913" s="42">
        <v>908</v>
      </c>
      <c r="B913" s="42" t="s">
        <v>812</v>
      </c>
      <c r="C913" s="87">
        <v>8409</v>
      </c>
      <c r="D913" s="476">
        <v>15000</v>
      </c>
      <c r="E913" s="42" t="s">
        <v>80</v>
      </c>
      <c r="F913" s="42">
        <v>167.15</v>
      </c>
      <c r="G913" s="42">
        <v>15000</v>
      </c>
      <c r="H913" s="42">
        <f t="shared" si="11"/>
        <v>0</v>
      </c>
      <c r="I913" s="89"/>
      <c r="M913" s="86"/>
    </row>
    <row r="914" spans="1:13" x14ac:dyDescent="0.25">
      <c r="A914" s="42">
        <v>909</v>
      </c>
      <c r="B914" s="42" t="s">
        <v>812</v>
      </c>
      <c r="C914" s="87">
        <v>8319</v>
      </c>
      <c r="D914" s="476">
        <v>22000</v>
      </c>
      <c r="E914" s="42" t="s">
        <v>80</v>
      </c>
      <c r="F914" s="42">
        <v>222.82</v>
      </c>
      <c r="G914" s="42">
        <v>22000</v>
      </c>
      <c r="H914" s="42">
        <f t="shared" si="11"/>
        <v>0</v>
      </c>
      <c r="I914" s="89"/>
      <c r="M914" s="86"/>
    </row>
    <row r="915" spans="1:13" x14ac:dyDescent="0.25">
      <c r="A915" s="42">
        <v>910</v>
      </c>
      <c r="B915" s="42" t="s">
        <v>812</v>
      </c>
      <c r="C915" s="87">
        <v>2972</v>
      </c>
      <c r="D915" s="476">
        <v>21000</v>
      </c>
      <c r="E915" s="42" t="s">
        <v>80</v>
      </c>
      <c r="F915" s="42">
        <v>228.48</v>
      </c>
      <c r="G915" s="42">
        <v>21000</v>
      </c>
      <c r="H915" s="42">
        <f t="shared" si="11"/>
        <v>0</v>
      </c>
      <c r="I915" s="89"/>
      <c r="M915" s="86"/>
    </row>
    <row r="916" spans="1:13" x14ac:dyDescent="0.25">
      <c r="A916" s="42">
        <v>911</v>
      </c>
      <c r="B916" s="42" t="s">
        <v>812</v>
      </c>
      <c r="C916" s="87">
        <v>6808</v>
      </c>
      <c r="D916" s="476">
        <v>10000</v>
      </c>
      <c r="E916" s="42" t="s">
        <v>80</v>
      </c>
      <c r="F916" s="42">
        <v>111.41</v>
      </c>
      <c r="G916" s="42">
        <v>10000</v>
      </c>
      <c r="H916" s="42">
        <f t="shared" si="11"/>
        <v>0</v>
      </c>
      <c r="I916" s="89"/>
      <c r="M916" s="86"/>
    </row>
    <row r="917" spans="1:13" x14ac:dyDescent="0.25">
      <c r="A917" s="42">
        <v>912</v>
      </c>
      <c r="B917" s="42" t="s">
        <v>812</v>
      </c>
      <c r="C917" s="87">
        <v>5824</v>
      </c>
      <c r="D917" s="476">
        <v>27000</v>
      </c>
      <c r="E917" s="42" t="s">
        <v>80</v>
      </c>
      <c r="F917" s="42">
        <v>300.42</v>
      </c>
      <c r="G917" s="42">
        <v>27000</v>
      </c>
      <c r="H917" s="42">
        <f t="shared" si="11"/>
        <v>0</v>
      </c>
      <c r="I917" s="89"/>
      <c r="M917" s="86"/>
    </row>
    <row r="918" spans="1:13" x14ac:dyDescent="0.25">
      <c r="A918" s="42">
        <v>913</v>
      </c>
      <c r="B918" s="42" t="s">
        <v>812</v>
      </c>
      <c r="C918" s="87">
        <v>3662</v>
      </c>
      <c r="D918" s="476">
        <v>18000</v>
      </c>
      <c r="E918" s="42" t="s">
        <v>80</v>
      </c>
      <c r="F918" s="42">
        <v>200.82</v>
      </c>
      <c r="G918" s="42">
        <v>18000</v>
      </c>
      <c r="H918" s="42">
        <f t="shared" si="11"/>
        <v>0</v>
      </c>
      <c r="I918" s="89"/>
      <c r="M918" s="86"/>
    </row>
    <row r="919" spans="1:13" x14ac:dyDescent="0.25">
      <c r="A919" s="42">
        <v>914</v>
      </c>
      <c r="B919" s="42" t="s">
        <v>812</v>
      </c>
      <c r="C919" s="87">
        <v>5.1000000000000004E-3</v>
      </c>
      <c r="D919" s="476">
        <v>16000</v>
      </c>
      <c r="E919" s="42" t="s">
        <v>80</v>
      </c>
      <c r="F919" s="42">
        <v>178.22</v>
      </c>
      <c r="G919" s="42">
        <v>16000</v>
      </c>
      <c r="H919" s="42">
        <f t="shared" si="11"/>
        <v>0</v>
      </c>
      <c r="I919" s="89"/>
      <c r="M919" s="86"/>
    </row>
    <row r="920" spans="1:13" x14ac:dyDescent="0.25">
      <c r="A920" s="42">
        <v>915</v>
      </c>
      <c r="B920" s="42" t="s">
        <v>812</v>
      </c>
      <c r="C920" s="87">
        <v>5151</v>
      </c>
      <c r="D920" s="476">
        <v>16000</v>
      </c>
      <c r="E920" s="42" t="s">
        <v>80</v>
      </c>
      <c r="F920" s="42">
        <v>178.22</v>
      </c>
      <c r="G920" s="42">
        <v>16000</v>
      </c>
      <c r="H920" s="42">
        <f t="shared" si="11"/>
        <v>0</v>
      </c>
      <c r="I920" s="89"/>
      <c r="M920" s="86"/>
    </row>
    <row r="921" spans="1:13" x14ac:dyDescent="0.25">
      <c r="A921" s="42">
        <v>916</v>
      </c>
      <c r="B921" s="42" t="s">
        <v>812</v>
      </c>
      <c r="C921" s="87">
        <v>5.1999999999999998E-3</v>
      </c>
      <c r="D921" s="476">
        <v>16000</v>
      </c>
      <c r="E921" s="42" t="s">
        <v>80</v>
      </c>
      <c r="F921" s="42">
        <v>178.22</v>
      </c>
      <c r="G921" s="42">
        <v>16000</v>
      </c>
      <c r="H921" s="42">
        <f t="shared" si="11"/>
        <v>0</v>
      </c>
      <c r="I921" s="89"/>
      <c r="M921" s="86"/>
    </row>
    <row r="922" spans="1:13" x14ac:dyDescent="0.25">
      <c r="A922" s="42">
        <v>917</v>
      </c>
      <c r="B922" s="42" t="s">
        <v>812</v>
      </c>
      <c r="C922" s="87">
        <v>2022</v>
      </c>
      <c r="D922" s="476">
        <v>21000</v>
      </c>
      <c r="E922" s="42" t="s">
        <v>80</v>
      </c>
      <c r="F922" s="42">
        <v>233.58</v>
      </c>
      <c r="G922" s="42">
        <v>21000</v>
      </c>
      <c r="H922" s="42">
        <f t="shared" si="11"/>
        <v>0</v>
      </c>
      <c r="I922" s="89"/>
      <c r="M922" s="86"/>
    </row>
    <row r="923" spans="1:13" x14ac:dyDescent="0.25">
      <c r="A923" s="42">
        <v>918</v>
      </c>
      <c r="B923" s="42" t="s">
        <v>812</v>
      </c>
      <c r="C923" s="87">
        <v>2194</v>
      </c>
      <c r="D923" s="476">
        <v>10000</v>
      </c>
      <c r="E923" s="42" t="s">
        <v>80</v>
      </c>
      <c r="F923" s="42">
        <v>111.42</v>
      </c>
      <c r="G923" s="42">
        <v>10000</v>
      </c>
      <c r="H923" s="42">
        <f t="shared" si="11"/>
        <v>0</v>
      </c>
      <c r="I923" s="89"/>
      <c r="M923" s="86"/>
    </row>
    <row r="924" spans="1:13" x14ac:dyDescent="0.25">
      <c r="A924" s="42">
        <v>919</v>
      </c>
      <c r="B924" s="42" t="s">
        <v>812</v>
      </c>
      <c r="C924" s="87">
        <v>7623</v>
      </c>
      <c r="D924" s="476">
        <v>20000</v>
      </c>
      <c r="E924" s="42" t="s">
        <v>80</v>
      </c>
      <c r="F924" s="42">
        <v>222.82</v>
      </c>
      <c r="G924" s="42">
        <v>20000</v>
      </c>
      <c r="H924" s="42">
        <f t="shared" si="11"/>
        <v>0</v>
      </c>
      <c r="I924" s="89"/>
      <c r="M924" s="86"/>
    </row>
    <row r="925" spans="1:13" x14ac:dyDescent="0.25">
      <c r="A925" s="42">
        <v>920</v>
      </c>
      <c r="B925" s="42" t="s">
        <v>812</v>
      </c>
      <c r="C925" s="87">
        <v>7258</v>
      </c>
      <c r="D925" s="476">
        <v>30000</v>
      </c>
      <c r="E925" s="42" t="s">
        <v>80</v>
      </c>
      <c r="F925" s="42">
        <v>334.82</v>
      </c>
      <c r="G925" s="42">
        <v>30000</v>
      </c>
      <c r="H925" s="42">
        <f t="shared" si="11"/>
        <v>0</v>
      </c>
      <c r="I925" s="89"/>
      <c r="M925" s="86"/>
    </row>
    <row r="926" spans="1:13" x14ac:dyDescent="0.25">
      <c r="A926" s="42">
        <v>921</v>
      </c>
      <c r="B926" s="42" t="s">
        <v>812</v>
      </c>
      <c r="C926" s="87">
        <v>2320</v>
      </c>
      <c r="D926" s="476">
        <v>28000</v>
      </c>
      <c r="E926" s="42" t="s">
        <v>80</v>
      </c>
      <c r="F926" s="42">
        <v>300.70999999999998</v>
      </c>
      <c r="G926" s="42">
        <v>28000</v>
      </c>
      <c r="H926" s="42">
        <f t="shared" si="11"/>
        <v>0</v>
      </c>
      <c r="I926" s="89"/>
      <c r="M926" s="86"/>
    </row>
    <row r="927" spans="1:13" x14ac:dyDescent="0.25">
      <c r="A927" s="42">
        <v>922</v>
      </c>
      <c r="B927" s="42" t="s">
        <v>812</v>
      </c>
      <c r="C927" s="87">
        <v>1011</v>
      </c>
      <c r="D927" s="476">
        <v>22000</v>
      </c>
      <c r="E927" s="42" t="s">
        <v>80</v>
      </c>
      <c r="F927" s="42">
        <v>222.82</v>
      </c>
      <c r="G927" s="42">
        <v>22000</v>
      </c>
      <c r="H927" s="42">
        <f t="shared" si="11"/>
        <v>0</v>
      </c>
      <c r="I927" s="89"/>
      <c r="M927" s="86"/>
    </row>
    <row r="928" spans="1:13" x14ac:dyDescent="0.25">
      <c r="A928" s="42">
        <v>923</v>
      </c>
      <c r="B928" s="42" t="s">
        <v>812</v>
      </c>
      <c r="C928" s="87">
        <v>6066</v>
      </c>
      <c r="D928" s="476">
        <v>23000</v>
      </c>
      <c r="E928" s="42" t="s">
        <v>80</v>
      </c>
      <c r="F928" s="42">
        <v>217.69</v>
      </c>
      <c r="G928" s="42">
        <v>23000</v>
      </c>
      <c r="H928" s="42">
        <f t="shared" si="11"/>
        <v>0</v>
      </c>
      <c r="I928" s="89"/>
      <c r="M928" s="86"/>
    </row>
    <row r="929" spans="1:13" x14ac:dyDescent="0.25">
      <c r="A929" s="42">
        <v>924</v>
      </c>
      <c r="B929" s="42" t="s">
        <v>812</v>
      </c>
      <c r="C929" s="87">
        <v>3128</v>
      </c>
      <c r="D929" s="476">
        <v>15000</v>
      </c>
      <c r="E929" s="42" t="s">
        <v>80</v>
      </c>
      <c r="F929" s="42">
        <v>167.15</v>
      </c>
      <c r="G929" s="42">
        <v>15000</v>
      </c>
      <c r="H929" s="42">
        <f t="shared" si="11"/>
        <v>0</v>
      </c>
      <c r="I929" s="89"/>
      <c r="M929" s="86"/>
    </row>
    <row r="930" spans="1:13" x14ac:dyDescent="0.25">
      <c r="A930" s="42">
        <v>925</v>
      </c>
      <c r="B930" s="42" t="s">
        <v>812</v>
      </c>
      <c r="C930" s="87" t="s">
        <v>633</v>
      </c>
      <c r="D930" s="476">
        <v>100</v>
      </c>
      <c r="E930" s="42" t="s">
        <v>80</v>
      </c>
      <c r="F930" s="42">
        <v>1.0900000000000001</v>
      </c>
      <c r="G930" s="42">
        <v>100</v>
      </c>
      <c r="H930" s="42">
        <f t="shared" si="11"/>
        <v>0</v>
      </c>
      <c r="I930" s="89"/>
      <c r="M930" s="86"/>
    </row>
    <row r="931" spans="1:13" x14ac:dyDescent="0.25">
      <c r="A931" s="42">
        <v>926</v>
      </c>
      <c r="B931" s="42" t="s">
        <v>812</v>
      </c>
      <c r="C931" s="87">
        <v>2150</v>
      </c>
      <c r="D931" s="476">
        <v>24000</v>
      </c>
      <c r="E931" s="42" t="s">
        <v>80</v>
      </c>
      <c r="F931" s="42">
        <v>267.75</v>
      </c>
      <c r="G931" s="42">
        <v>24000</v>
      </c>
      <c r="H931" s="42">
        <f t="shared" si="11"/>
        <v>0</v>
      </c>
      <c r="I931" s="89"/>
      <c r="M931" s="86"/>
    </row>
    <row r="932" spans="1:13" x14ac:dyDescent="0.25">
      <c r="A932" s="42">
        <v>927</v>
      </c>
      <c r="B932" s="42" t="s">
        <v>812</v>
      </c>
      <c r="C932" s="87">
        <v>4365</v>
      </c>
      <c r="D932" s="476">
        <v>20000</v>
      </c>
      <c r="E932" s="42" t="s">
        <v>80</v>
      </c>
      <c r="F932" s="42">
        <v>222.82</v>
      </c>
      <c r="G932" s="42">
        <v>20000</v>
      </c>
      <c r="H932" s="42">
        <f t="shared" si="11"/>
        <v>0</v>
      </c>
      <c r="I932" s="89"/>
      <c r="M932" s="86"/>
    </row>
    <row r="933" spans="1:13" x14ac:dyDescent="0.25">
      <c r="A933" s="42">
        <v>928</v>
      </c>
      <c r="B933" s="42" t="s">
        <v>812</v>
      </c>
      <c r="C933" s="87">
        <v>4295</v>
      </c>
      <c r="D933" s="476">
        <v>23000</v>
      </c>
      <c r="E933" s="42" t="s">
        <v>80</v>
      </c>
      <c r="F933" s="42">
        <v>217.69</v>
      </c>
      <c r="G933" s="42">
        <v>23000</v>
      </c>
      <c r="H933" s="42">
        <f t="shared" si="11"/>
        <v>0</v>
      </c>
      <c r="I933" s="89"/>
      <c r="M933" s="86"/>
    </row>
    <row r="934" spans="1:13" x14ac:dyDescent="0.25">
      <c r="A934" s="42">
        <v>929</v>
      </c>
      <c r="B934" s="42" t="s">
        <v>812</v>
      </c>
      <c r="C934" s="87">
        <v>5152</v>
      </c>
      <c r="D934" s="476">
        <v>17000</v>
      </c>
      <c r="E934" s="42" t="s">
        <v>80</v>
      </c>
      <c r="F934" s="42">
        <v>189.25</v>
      </c>
      <c r="G934" s="42">
        <v>17000</v>
      </c>
      <c r="H934" s="42">
        <f t="shared" si="11"/>
        <v>0</v>
      </c>
      <c r="I934" s="89"/>
      <c r="M934" s="86"/>
    </row>
    <row r="935" spans="1:13" x14ac:dyDescent="0.25">
      <c r="A935" s="42">
        <v>930</v>
      </c>
      <c r="B935" s="42" t="s">
        <v>812</v>
      </c>
      <c r="C935" s="87">
        <v>4648</v>
      </c>
      <c r="D935" s="476">
        <v>21000</v>
      </c>
      <c r="E935" s="42" t="s">
        <v>80</v>
      </c>
      <c r="F935" s="42">
        <v>233.84</v>
      </c>
      <c r="G935" s="42">
        <v>21000</v>
      </c>
      <c r="H935" s="42">
        <f t="shared" si="11"/>
        <v>0</v>
      </c>
      <c r="I935" s="89"/>
      <c r="M935" s="86"/>
    </row>
    <row r="936" spans="1:13" x14ac:dyDescent="0.25">
      <c r="A936" s="42">
        <v>931</v>
      </c>
      <c r="B936" s="42" t="s">
        <v>812</v>
      </c>
      <c r="C936" s="87">
        <v>9630</v>
      </c>
      <c r="D936" s="476">
        <v>8000</v>
      </c>
      <c r="E936" s="42" t="s">
        <v>80</v>
      </c>
      <c r="F936" s="42">
        <v>89.75</v>
      </c>
      <c r="G936" s="42">
        <v>8000</v>
      </c>
      <c r="H936" s="42">
        <f t="shared" si="11"/>
        <v>0</v>
      </c>
      <c r="I936" s="89"/>
      <c r="M936" s="86"/>
    </row>
    <row r="937" spans="1:13" x14ac:dyDescent="0.25">
      <c r="A937" s="42">
        <v>932</v>
      </c>
      <c r="B937" s="42" t="s">
        <v>812</v>
      </c>
      <c r="C937" s="87">
        <v>4786</v>
      </c>
      <c r="D937" s="476">
        <v>18000</v>
      </c>
      <c r="E937" s="42" t="s">
        <v>80</v>
      </c>
      <c r="F937" s="42">
        <v>200.82</v>
      </c>
      <c r="G937" s="42">
        <v>18000</v>
      </c>
      <c r="H937" s="42">
        <f t="shared" si="11"/>
        <v>0</v>
      </c>
      <c r="I937" s="89"/>
      <c r="M937" s="86"/>
    </row>
    <row r="938" spans="1:13" x14ac:dyDescent="0.25">
      <c r="A938" s="42">
        <v>933</v>
      </c>
      <c r="B938" s="42" t="s">
        <v>812</v>
      </c>
      <c r="C938" s="87">
        <v>3380</v>
      </c>
      <c r="D938" s="476">
        <v>15000</v>
      </c>
      <c r="E938" s="42" t="s">
        <v>80</v>
      </c>
      <c r="F938" s="42">
        <v>167.15</v>
      </c>
      <c r="G938" s="42">
        <v>15000</v>
      </c>
      <c r="H938" s="42">
        <f t="shared" si="11"/>
        <v>0</v>
      </c>
      <c r="I938" s="89"/>
      <c r="M938" s="86"/>
    </row>
    <row r="939" spans="1:13" x14ac:dyDescent="0.25">
      <c r="A939" s="42">
        <v>934</v>
      </c>
      <c r="B939" s="42" t="s">
        <v>812</v>
      </c>
      <c r="C939" s="87">
        <v>5002</v>
      </c>
      <c r="D939" s="476">
        <v>25000</v>
      </c>
      <c r="E939" s="42" t="s">
        <v>80</v>
      </c>
      <c r="F939" s="42">
        <v>278.22000000000003</v>
      </c>
      <c r="G939" s="42">
        <v>25000</v>
      </c>
      <c r="H939" s="42">
        <f t="shared" si="11"/>
        <v>0</v>
      </c>
      <c r="I939" s="89"/>
      <c r="M939" s="86"/>
    </row>
    <row r="940" spans="1:13" x14ac:dyDescent="0.25">
      <c r="A940" s="42">
        <v>935</v>
      </c>
      <c r="B940" s="42" t="s">
        <v>812</v>
      </c>
      <c r="C940" s="87">
        <v>7311</v>
      </c>
      <c r="D940" s="476">
        <v>15000</v>
      </c>
      <c r="E940" s="42" t="s">
        <v>80</v>
      </c>
      <c r="F940" s="42">
        <v>167.15</v>
      </c>
      <c r="G940" s="42">
        <v>15000</v>
      </c>
      <c r="H940" s="42">
        <f t="shared" si="11"/>
        <v>0</v>
      </c>
      <c r="I940" s="89"/>
      <c r="M940" s="86"/>
    </row>
    <row r="941" spans="1:13" x14ac:dyDescent="0.25">
      <c r="A941" s="42">
        <v>936</v>
      </c>
      <c r="B941" s="42" t="s">
        <v>813</v>
      </c>
      <c r="C941" s="87" t="s">
        <v>633</v>
      </c>
      <c r="D941" s="476">
        <v>210</v>
      </c>
      <c r="E941" s="42" t="s">
        <v>80</v>
      </c>
      <c r="F941" s="42">
        <v>2.09</v>
      </c>
      <c r="G941" s="42">
        <v>210</v>
      </c>
      <c r="H941" s="42">
        <f t="shared" si="11"/>
        <v>0</v>
      </c>
      <c r="I941" s="89"/>
      <c r="M941" s="86"/>
    </row>
    <row r="942" spans="1:13" x14ac:dyDescent="0.25">
      <c r="A942" s="42">
        <v>937</v>
      </c>
      <c r="B942" s="42" t="s">
        <v>813</v>
      </c>
      <c r="C942" s="87">
        <v>6579</v>
      </c>
      <c r="D942" s="476">
        <v>28000</v>
      </c>
      <c r="E942" s="42" t="s">
        <v>80</v>
      </c>
      <c r="F942" s="42">
        <v>311.74</v>
      </c>
      <c r="G942" s="42">
        <v>28000</v>
      </c>
      <c r="H942" s="42">
        <f t="shared" si="11"/>
        <v>0</v>
      </c>
      <c r="I942" s="89"/>
      <c r="M942" s="86"/>
    </row>
    <row r="943" spans="1:13" x14ac:dyDescent="0.25">
      <c r="A943" s="42">
        <v>938</v>
      </c>
      <c r="B943" s="42" t="s">
        <v>813</v>
      </c>
      <c r="C943" s="87">
        <v>6591</v>
      </c>
      <c r="D943" s="476">
        <v>18000</v>
      </c>
      <c r="E943" s="42" t="s">
        <v>80</v>
      </c>
      <c r="F943" s="42">
        <v>200.82</v>
      </c>
      <c r="G943" s="42">
        <v>18000</v>
      </c>
      <c r="H943" s="42">
        <f t="shared" si="11"/>
        <v>0</v>
      </c>
      <c r="I943" s="89"/>
      <c r="M943" s="86"/>
    </row>
    <row r="944" spans="1:13" x14ac:dyDescent="0.25">
      <c r="A944" s="42">
        <v>939</v>
      </c>
      <c r="B944" s="42" t="s">
        <v>813</v>
      </c>
      <c r="C944" s="87">
        <v>1509</v>
      </c>
      <c r="D944" s="476">
        <v>22000</v>
      </c>
      <c r="E944" s="42" t="s">
        <v>80</v>
      </c>
      <c r="F944" s="42">
        <v>222.82</v>
      </c>
      <c r="G944" s="42">
        <v>22000</v>
      </c>
      <c r="H944" s="42">
        <f t="shared" si="11"/>
        <v>0</v>
      </c>
      <c r="I944" s="89"/>
      <c r="M944" s="86"/>
    </row>
    <row r="945" spans="1:13" x14ac:dyDescent="0.25">
      <c r="A945" s="42">
        <v>940</v>
      </c>
      <c r="B945" s="42" t="s">
        <v>813</v>
      </c>
      <c r="C945" s="87" t="s">
        <v>30</v>
      </c>
      <c r="D945" s="476">
        <v>5000</v>
      </c>
      <c r="E945" s="42" t="s">
        <v>80</v>
      </c>
      <c r="F945" s="42">
        <v>55.85</v>
      </c>
      <c r="G945" s="42">
        <v>5000</v>
      </c>
      <c r="H945" s="42">
        <f t="shared" si="11"/>
        <v>0</v>
      </c>
      <c r="I945" s="89"/>
      <c r="M945" s="86"/>
    </row>
    <row r="946" spans="1:13" x14ac:dyDescent="0.25">
      <c r="A946" s="42">
        <v>941</v>
      </c>
      <c r="B946" s="42" t="s">
        <v>813</v>
      </c>
      <c r="C946" s="87">
        <v>5151</v>
      </c>
      <c r="D946" s="476">
        <v>28000</v>
      </c>
      <c r="E946" s="42" t="s">
        <v>80</v>
      </c>
      <c r="F946" s="42">
        <v>301.74</v>
      </c>
      <c r="G946" s="42">
        <v>28000</v>
      </c>
      <c r="H946" s="42">
        <f t="shared" si="11"/>
        <v>0</v>
      </c>
      <c r="I946" s="89"/>
      <c r="M946" s="86"/>
    </row>
    <row r="947" spans="1:13" x14ac:dyDescent="0.25">
      <c r="A947" s="42">
        <v>942</v>
      </c>
      <c r="B947" s="42" t="s">
        <v>813</v>
      </c>
      <c r="C947" s="87" t="s">
        <v>30</v>
      </c>
      <c r="D947" s="476">
        <v>4500</v>
      </c>
      <c r="E947" s="42" t="s">
        <v>80</v>
      </c>
      <c r="F947" s="42">
        <v>45.4</v>
      </c>
      <c r="G947" s="42">
        <v>4500</v>
      </c>
      <c r="H947" s="42">
        <f t="shared" si="11"/>
        <v>0</v>
      </c>
      <c r="I947" s="89"/>
      <c r="M947" s="86"/>
    </row>
    <row r="948" spans="1:13" x14ac:dyDescent="0.25">
      <c r="A948" s="42">
        <v>943</v>
      </c>
      <c r="B948" s="42" t="s">
        <v>813</v>
      </c>
      <c r="C948" s="87">
        <v>6135</v>
      </c>
      <c r="D948" s="476">
        <v>22000</v>
      </c>
      <c r="E948" s="42" t="s">
        <v>80</v>
      </c>
      <c r="F948" s="42">
        <v>222.82</v>
      </c>
      <c r="G948" s="42">
        <v>22000</v>
      </c>
      <c r="H948" s="42">
        <f t="shared" si="11"/>
        <v>0</v>
      </c>
      <c r="I948" s="89"/>
      <c r="M948" s="86"/>
    </row>
    <row r="949" spans="1:13" x14ac:dyDescent="0.25">
      <c r="A949" s="42">
        <v>944</v>
      </c>
      <c r="B949" s="42" t="s">
        <v>813</v>
      </c>
      <c r="C949" s="87">
        <v>1702</v>
      </c>
      <c r="D949" s="476">
        <v>24000</v>
      </c>
      <c r="E949" s="42" t="s">
        <v>80</v>
      </c>
      <c r="F949" s="42">
        <v>267.75</v>
      </c>
      <c r="G949" s="42">
        <v>24000</v>
      </c>
      <c r="H949" s="42">
        <f t="shared" si="11"/>
        <v>0</v>
      </c>
      <c r="I949" s="89"/>
      <c r="M949" s="86"/>
    </row>
    <row r="950" spans="1:13" x14ac:dyDescent="0.25">
      <c r="A950" s="42">
        <v>945</v>
      </c>
      <c r="B950" s="42" t="s">
        <v>813</v>
      </c>
      <c r="C950" s="87">
        <v>6287</v>
      </c>
      <c r="D950" s="476">
        <v>28000</v>
      </c>
      <c r="E950" s="42" t="s">
        <v>80</v>
      </c>
      <c r="F950" s="42">
        <v>301.70999999999998</v>
      </c>
      <c r="G950" s="42">
        <v>28000</v>
      </c>
      <c r="H950" s="42">
        <f t="shared" si="11"/>
        <v>0</v>
      </c>
      <c r="I950" s="89"/>
      <c r="M950" s="86"/>
    </row>
    <row r="951" spans="1:13" x14ac:dyDescent="0.25">
      <c r="A951" s="42">
        <v>946</v>
      </c>
      <c r="B951" s="42" t="s">
        <v>813</v>
      </c>
      <c r="C951" s="87">
        <v>6453</v>
      </c>
      <c r="D951" s="476">
        <v>24000</v>
      </c>
      <c r="E951" s="42" t="s">
        <v>80</v>
      </c>
      <c r="F951" s="42">
        <v>267.75</v>
      </c>
      <c r="G951" s="42">
        <v>24000</v>
      </c>
      <c r="H951" s="42">
        <f t="shared" si="11"/>
        <v>0</v>
      </c>
      <c r="I951" s="89"/>
      <c r="M951" s="86"/>
    </row>
    <row r="952" spans="1:13" x14ac:dyDescent="0.25">
      <c r="A952" s="42">
        <v>947</v>
      </c>
      <c r="B952" s="42" t="s">
        <v>813</v>
      </c>
      <c r="C952" s="87">
        <v>4291</v>
      </c>
      <c r="D952" s="476">
        <v>20000</v>
      </c>
      <c r="E952" s="42" t="s">
        <v>80</v>
      </c>
      <c r="F952" s="42">
        <v>222.82</v>
      </c>
      <c r="G952" s="42">
        <v>20000</v>
      </c>
      <c r="H952" s="42">
        <f t="shared" si="11"/>
        <v>0</v>
      </c>
      <c r="I952" s="89"/>
      <c r="M952" s="86"/>
    </row>
    <row r="953" spans="1:13" x14ac:dyDescent="0.25">
      <c r="A953" s="42">
        <v>948</v>
      </c>
      <c r="B953" s="42" t="s">
        <v>813</v>
      </c>
      <c r="C953" s="87">
        <v>6193</v>
      </c>
      <c r="D953" s="476">
        <v>30000</v>
      </c>
      <c r="E953" s="42" t="s">
        <v>80</v>
      </c>
      <c r="F953" s="42">
        <v>334.82</v>
      </c>
      <c r="G953" s="42">
        <v>30000</v>
      </c>
      <c r="H953" s="42">
        <f t="shared" si="11"/>
        <v>0</v>
      </c>
      <c r="I953" s="89"/>
      <c r="M953" s="86"/>
    </row>
    <row r="954" spans="1:13" x14ac:dyDescent="0.25">
      <c r="A954" s="42">
        <v>949</v>
      </c>
      <c r="B954" s="42" t="s">
        <v>813</v>
      </c>
      <c r="C954" s="87">
        <v>8751</v>
      </c>
      <c r="D954" s="476">
        <v>27000</v>
      </c>
      <c r="E954" s="42" t="s">
        <v>80</v>
      </c>
      <c r="F954" s="42">
        <v>300.72000000000003</v>
      </c>
      <c r="G954" s="42">
        <v>27000</v>
      </c>
      <c r="H954" s="42">
        <f t="shared" si="11"/>
        <v>0</v>
      </c>
      <c r="I954" s="89"/>
      <c r="M954" s="86"/>
    </row>
    <row r="955" spans="1:13" x14ac:dyDescent="0.25">
      <c r="A955" s="42">
        <v>950</v>
      </c>
      <c r="B955" s="42" t="s">
        <v>813</v>
      </c>
      <c r="C955" s="87">
        <v>3686</v>
      </c>
      <c r="D955" s="476">
        <v>28000</v>
      </c>
      <c r="E955" s="42" t="s">
        <v>80</v>
      </c>
      <c r="F955" s="42">
        <v>301.70999999999998</v>
      </c>
      <c r="G955" s="42">
        <v>28000</v>
      </c>
      <c r="H955" s="42">
        <f t="shared" si="11"/>
        <v>0</v>
      </c>
      <c r="I955" s="89"/>
      <c r="M955" s="86"/>
    </row>
    <row r="956" spans="1:13" x14ac:dyDescent="0.25">
      <c r="A956" s="42">
        <v>951</v>
      </c>
      <c r="B956" s="42" t="s">
        <v>813</v>
      </c>
      <c r="C956" s="87" t="s">
        <v>735</v>
      </c>
      <c r="D956" s="476">
        <v>3500</v>
      </c>
      <c r="E956" s="42" t="s">
        <v>80</v>
      </c>
      <c r="F956" s="42">
        <v>38.450000000000003</v>
      </c>
      <c r="G956" s="42">
        <v>3500</v>
      </c>
      <c r="H956" s="42">
        <f t="shared" si="11"/>
        <v>0</v>
      </c>
      <c r="I956" s="89"/>
      <c r="M956" s="86"/>
    </row>
    <row r="957" spans="1:13" x14ac:dyDescent="0.25">
      <c r="A957" s="42">
        <v>952</v>
      </c>
      <c r="B957" s="42" t="s">
        <v>813</v>
      </c>
      <c r="C957" s="87">
        <v>3035</v>
      </c>
      <c r="D957" s="476">
        <v>23000</v>
      </c>
      <c r="E957" s="42" t="s">
        <v>80</v>
      </c>
      <c r="F957" s="42">
        <v>229.88</v>
      </c>
      <c r="G957" s="42">
        <v>23000</v>
      </c>
      <c r="H957" s="42">
        <f t="shared" si="11"/>
        <v>0</v>
      </c>
      <c r="I957" s="89"/>
      <c r="M957" s="86"/>
    </row>
    <row r="958" spans="1:13" x14ac:dyDescent="0.25">
      <c r="A958" s="42">
        <v>953</v>
      </c>
      <c r="B958" s="42" t="s">
        <v>813</v>
      </c>
      <c r="C958" s="87">
        <v>3086</v>
      </c>
      <c r="D958" s="476">
        <v>22000</v>
      </c>
      <c r="E958" s="42" t="s">
        <v>80</v>
      </c>
      <c r="F958" s="42">
        <v>222.82</v>
      </c>
      <c r="G958" s="42">
        <v>22000</v>
      </c>
      <c r="H958" s="42">
        <f t="shared" si="11"/>
        <v>0</v>
      </c>
      <c r="I958" s="89"/>
      <c r="M958" s="86"/>
    </row>
    <row r="959" spans="1:13" x14ac:dyDescent="0.25">
      <c r="A959" s="42">
        <v>954</v>
      </c>
      <c r="B959" s="42" t="s">
        <v>813</v>
      </c>
      <c r="C959" s="87">
        <v>2601</v>
      </c>
      <c r="D959" s="476">
        <v>15000</v>
      </c>
      <c r="E959" s="42" t="s">
        <v>80</v>
      </c>
      <c r="F959" s="42">
        <v>167.15</v>
      </c>
      <c r="G959" s="42">
        <v>15000</v>
      </c>
      <c r="H959" s="42">
        <f t="shared" si="11"/>
        <v>0</v>
      </c>
      <c r="I959" s="89"/>
      <c r="M959" s="86"/>
    </row>
    <row r="960" spans="1:13" x14ac:dyDescent="0.25">
      <c r="A960" s="42">
        <v>955</v>
      </c>
      <c r="B960" s="42" t="s">
        <v>813</v>
      </c>
      <c r="C960" s="87">
        <v>6124</v>
      </c>
      <c r="D960" s="476">
        <v>27000</v>
      </c>
      <c r="E960" s="42" t="s">
        <v>80</v>
      </c>
      <c r="F960" s="42">
        <v>300.72000000000003</v>
      </c>
      <c r="G960" s="42">
        <v>27000</v>
      </c>
      <c r="H960" s="42">
        <f t="shared" si="11"/>
        <v>0</v>
      </c>
      <c r="I960" s="89"/>
      <c r="M960" s="86"/>
    </row>
    <row r="961" spans="1:13" x14ac:dyDescent="0.25">
      <c r="A961" s="42">
        <v>956</v>
      </c>
      <c r="B961" s="42" t="s">
        <v>813</v>
      </c>
      <c r="C961" s="87">
        <v>2681</v>
      </c>
      <c r="D961" s="476">
        <v>5000</v>
      </c>
      <c r="E961" s="42" t="s">
        <v>80</v>
      </c>
      <c r="F961" s="42">
        <v>55.85</v>
      </c>
      <c r="G961" s="42">
        <v>5000</v>
      </c>
      <c r="H961" s="42">
        <f t="shared" si="11"/>
        <v>0</v>
      </c>
      <c r="I961" s="89"/>
      <c r="M961" s="86"/>
    </row>
    <row r="962" spans="1:13" x14ac:dyDescent="0.25">
      <c r="A962" s="42">
        <v>957</v>
      </c>
      <c r="B962" s="42" t="s">
        <v>813</v>
      </c>
      <c r="C962" s="87">
        <v>9311</v>
      </c>
      <c r="D962" s="476">
        <v>24000</v>
      </c>
      <c r="E962" s="42" t="s">
        <v>80</v>
      </c>
      <c r="F962" s="42">
        <v>267.75</v>
      </c>
      <c r="G962" s="42">
        <v>24000</v>
      </c>
      <c r="H962" s="42">
        <f t="shared" si="11"/>
        <v>0</v>
      </c>
      <c r="I962" s="89"/>
      <c r="M962" s="86"/>
    </row>
    <row r="963" spans="1:13" x14ac:dyDescent="0.25">
      <c r="A963" s="42">
        <v>958</v>
      </c>
      <c r="B963" s="42" t="s">
        <v>813</v>
      </c>
      <c r="C963" s="87">
        <v>5647</v>
      </c>
      <c r="D963" s="476">
        <v>24000</v>
      </c>
      <c r="E963" s="42" t="s">
        <v>80</v>
      </c>
      <c r="F963" s="42">
        <v>267.75</v>
      </c>
      <c r="G963" s="42">
        <v>24000</v>
      </c>
      <c r="H963" s="42">
        <f t="shared" si="11"/>
        <v>0</v>
      </c>
      <c r="I963" s="89"/>
      <c r="M963" s="86"/>
    </row>
    <row r="964" spans="1:13" x14ac:dyDescent="0.25">
      <c r="A964" s="42">
        <v>959</v>
      </c>
      <c r="B964" s="42" t="s">
        <v>813</v>
      </c>
      <c r="C964" s="87">
        <v>7562</v>
      </c>
      <c r="D964" s="476">
        <v>20000</v>
      </c>
      <c r="E964" s="42" t="s">
        <v>80</v>
      </c>
      <c r="F964" s="42">
        <v>222.82</v>
      </c>
      <c r="G964" s="42">
        <v>20000</v>
      </c>
      <c r="H964" s="42">
        <f t="shared" si="11"/>
        <v>0</v>
      </c>
      <c r="I964" s="89"/>
      <c r="M964" s="86"/>
    </row>
    <row r="965" spans="1:13" x14ac:dyDescent="0.25">
      <c r="A965" s="42">
        <v>960</v>
      </c>
      <c r="B965" s="42" t="s">
        <v>813</v>
      </c>
      <c r="C965" s="87">
        <v>1491</v>
      </c>
      <c r="D965" s="476">
        <v>14000</v>
      </c>
      <c r="E965" s="42" t="s">
        <v>80</v>
      </c>
      <c r="F965" s="42">
        <v>155.47</v>
      </c>
      <c r="G965" s="42">
        <v>14000</v>
      </c>
      <c r="H965" s="42">
        <f t="shared" si="11"/>
        <v>0</v>
      </c>
      <c r="I965" s="89"/>
      <c r="M965" s="86"/>
    </row>
    <row r="966" spans="1:13" x14ac:dyDescent="0.25">
      <c r="A966" s="42">
        <v>961</v>
      </c>
      <c r="B966" s="42" t="s">
        <v>813</v>
      </c>
      <c r="C966" s="87">
        <v>3468</v>
      </c>
      <c r="D966" s="476">
        <v>24000</v>
      </c>
      <c r="E966" s="42" t="s">
        <v>80</v>
      </c>
      <c r="F966" s="42">
        <v>267.45</v>
      </c>
      <c r="G966" s="42">
        <v>24000</v>
      </c>
      <c r="H966" s="42">
        <f t="shared" si="11"/>
        <v>0</v>
      </c>
      <c r="I966" s="89"/>
      <c r="M966" s="86"/>
    </row>
    <row r="967" spans="1:13" x14ac:dyDescent="0.25">
      <c r="A967" s="42">
        <v>962</v>
      </c>
      <c r="B967" s="42" t="s">
        <v>813</v>
      </c>
      <c r="C967" s="87">
        <v>7672</v>
      </c>
      <c r="D967" s="476">
        <v>22000</v>
      </c>
      <c r="E967" s="42" t="s">
        <v>80</v>
      </c>
      <c r="F967" s="42">
        <v>222.82</v>
      </c>
      <c r="G967" s="42">
        <v>22000</v>
      </c>
      <c r="H967" s="42">
        <f t="shared" si="11"/>
        <v>0</v>
      </c>
      <c r="I967" s="89"/>
      <c r="M967" s="86"/>
    </row>
    <row r="968" spans="1:13" x14ac:dyDescent="0.25">
      <c r="A968" s="42">
        <v>963</v>
      </c>
      <c r="B968" s="42" t="s">
        <v>813</v>
      </c>
      <c r="C968" s="87">
        <v>2961</v>
      </c>
      <c r="D968" s="476">
        <v>16000</v>
      </c>
      <c r="E968" s="42" t="s">
        <v>80</v>
      </c>
      <c r="F968" s="42">
        <v>178.22</v>
      </c>
      <c r="G968" s="42">
        <v>16000</v>
      </c>
      <c r="H968" s="42">
        <f t="shared" si="11"/>
        <v>0</v>
      </c>
      <c r="I968" s="89"/>
      <c r="M968" s="86"/>
    </row>
    <row r="969" spans="1:13" x14ac:dyDescent="0.25">
      <c r="A969" s="42">
        <v>964</v>
      </c>
      <c r="B969" s="42" t="s">
        <v>813</v>
      </c>
      <c r="C969" s="87">
        <v>7217</v>
      </c>
      <c r="D969" s="476">
        <v>30000</v>
      </c>
      <c r="E969" s="42" t="s">
        <v>80</v>
      </c>
      <c r="F969" s="42">
        <v>334.82</v>
      </c>
      <c r="G969" s="42">
        <v>30000</v>
      </c>
      <c r="H969" s="42">
        <f t="shared" si="11"/>
        <v>0</v>
      </c>
      <c r="I969" s="89"/>
      <c r="M969" s="86"/>
    </row>
    <row r="970" spans="1:13" x14ac:dyDescent="0.25">
      <c r="A970" s="42">
        <v>965</v>
      </c>
      <c r="B970" s="42" t="s">
        <v>813</v>
      </c>
      <c r="C970" s="87">
        <v>9235</v>
      </c>
      <c r="D970" s="476">
        <v>28000</v>
      </c>
      <c r="E970" s="42" t="s">
        <v>80</v>
      </c>
      <c r="F970" s="42">
        <v>311.74</v>
      </c>
      <c r="G970" s="42">
        <v>28000</v>
      </c>
      <c r="H970" s="42">
        <f t="shared" si="11"/>
        <v>0</v>
      </c>
      <c r="I970" s="89"/>
      <c r="M970" s="86"/>
    </row>
    <row r="971" spans="1:13" x14ac:dyDescent="0.25">
      <c r="A971" s="42">
        <v>966</v>
      </c>
      <c r="B971" s="42" t="s">
        <v>813</v>
      </c>
      <c r="C971" s="87">
        <v>9992</v>
      </c>
      <c r="D971" s="476">
        <v>28000</v>
      </c>
      <c r="E971" s="42" t="s">
        <v>80</v>
      </c>
      <c r="F971" s="42">
        <v>311.74</v>
      </c>
      <c r="G971" s="42">
        <v>28000</v>
      </c>
      <c r="H971" s="42">
        <f t="shared" si="11"/>
        <v>0</v>
      </c>
      <c r="I971" s="89"/>
      <c r="M971" s="86"/>
    </row>
    <row r="972" spans="1:13" x14ac:dyDescent="0.25">
      <c r="A972" s="42">
        <v>967</v>
      </c>
      <c r="B972" s="42" t="s">
        <v>813</v>
      </c>
      <c r="C972" s="87">
        <v>2726</v>
      </c>
      <c r="D972" s="476">
        <v>22000</v>
      </c>
      <c r="E972" s="42" t="s">
        <v>80</v>
      </c>
      <c r="F972" s="42">
        <v>222.82</v>
      </c>
      <c r="G972" s="42">
        <v>22000</v>
      </c>
      <c r="H972" s="42">
        <f t="shared" si="11"/>
        <v>0</v>
      </c>
      <c r="I972" s="89"/>
      <c r="M972" s="86"/>
    </row>
    <row r="973" spans="1:13" x14ac:dyDescent="0.25">
      <c r="A973" s="42">
        <v>968</v>
      </c>
      <c r="B973" s="42" t="s">
        <v>813</v>
      </c>
      <c r="C973" s="87">
        <v>4268</v>
      </c>
      <c r="D973" s="476">
        <v>22000</v>
      </c>
      <c r="E973" s="42" t="s">
        <v>80</v>
      </c>
      <c r="F973" s="42">
        <v>222.82</v>
      </c>
      <c r="G973" s="42">
        <v>22000</v>
      </c>
      <c r="H973" s="42">
        <f t="shared" ref="H973:H978" si="12">D973-G973</f>
        <v>0</v>
      </c>
      <c r="I973" s="89"/>
      <c r="M973" s="86"/>
    </row>
    <row r="974" spans="1:13" x14ac:dyDescent="0.25">
      <c r="A974" s="42">
        <v>969</v>
      </c>
      <c r="B974" s="42" t="s">
        <v>813</v>
      </c>
      <c r="C974" s="87">
        <v>4192</v>
      </c>
      <c r="D974" s="476">
        <v>12000</v>
      </c>
      <c r="E974" s="42" t="s">
        <v>80</v>
      </c>
      <c r="F974" s="42">
        <v>133.41999999999999</v>
      </c>
      <c r="G974" s="42">
        <v>12000</v>
      </c>
      <c r="H974" s="42">
        <f t="shared" si="12"/>
        <v>0</v>
      </c>
      <c r="I974" s="89"/>
      <c r="M974" s="86"/>
    </row>
    <row r="975" spans="1:13" x14ac:dyDescent="0.25">
      <c r="A975" s="42">
        <v>970</v>
      </c>
      <c r="B975" s="42" t="s">
        <v>813</v>
      </c>
      <c r="C975" s="87">
        <v>3963</v>
      </c>
      <c r="D975" s="476">
        <v>23000</v>
      </c>
      <c r="E975" s="42" t="s">
        <v>80</v>
      </c>
      <c r="F975" s="42">
        <v>255.68</v>
      </c>
      <c r="G975" s="42">
        <v>23000</v>
      </c>
      <c r="H975" s="42">
        <f t="shared" si="12"/>
        <v>0</v>
      </c>
      <c r="I975" s="89"/>
      <c r="M975" s="86"/>
    </row>
    <row r="976" spans="1:13" x14ac:dyDescent="0.25">
      <c r="A976" s="42">
        <v>971</v>
      </c>
      <c r="B976" s="42" t="s">
        <v>813</v>
      </c>
      <c r="C976" s="87">
        <v>2004</v>
      </c>
      <c r="D976" s="476">
        <v>22000</v>
      </c>
      <c r="E976" s="42" t="s">
        <v>80</v>
      </c>
      <c r="F976" s="42">
        <v>222.82</v>
      </c>
      <c r="G976" s="42">
        <v>22000</v>
      </c>
      <c r="H976" s="42">
        <f t="shared" si="12"/>
        <v>0</v>
      </c>
      <c r="I976" s="89"/>
      <c r="M976" s="86"/>
    </row>
    <row r="977" spans="1:16" x14ac:dyDescent="0.25">
      <c r="A977" s="42">
        <v>972</v>
      </c>
      <c r="B977" s="42" t="s">
        <v>813</v>
      </c>
      <c r="C977" s="87">
        <v>1723</v>
      </c>
      <c r="D977" s="476">
        <v>30000</v>
      </c>
      <c r="E977" s="42" t="s">
        <v>80</v>
      </c>
      <c r="F977" s="42">
        <v>334.82</v>
      </c>
      <c r="G977" s="42">
        <v>30000</v>
      </c>
      <c r="H977" s="42">
        <f t="shared" si="12"/>
        <v>0</v>
      </c>
      <c r="I977" s="89"/>
      <c r="M977" s="86"/>
    </row>
    <row r="978" spans="1:16" x14ac:dyDescent="0.25">
      <c r="A978" s="42">
        <v>973</v>
      </c>
      <c r="B978" s="42" t="s">
        <v>813</v>
      </c>
      <c r="C978" s="87">
        <v>6320</v>
      </c>
      <c r="D978" s="476">
        <v>27000</v>
      </c>
      <c r="E978" s="42" t="s">
        <v>80</v>
      </c>
      <c r="F978" s="42">
        <v>300.72000000000003</v>
      </c>
      <c r="G978" s="42">
        <v>27000</v>
      </c>
      <c r="H978" s="42">
        <f t="shared" si="12"/>
        <v>0</v>
      </c>
      <c r="I978" s="89"/>
      <c r="J978" s="398">
        <f>3277426-3272655</f>
        <v>4771</v>
      </c>
      <c r="K978" s="398" t="s">
        <v>803</v>
      </c>
      <c r="L978" s="398" t="s">
        <v>620</v>
      </c>
      <c r="M978" s="86">
        <f>4771-2040</f>
        <v>2731</v>
      </c>
    </row>
    <row r="979" spans="1:16" x14ac:dyDescent="0.25">
      <c r="A979" s="42"/>
      <c r="B979" s="42"/>
      <c r="C979" s="20" t="s">
        <v>9</v>
      </c>
      <c r="D979" s="21">
        <f>SUM(D5:D978)</f>
        <v>19772655</v>
      </c>
      <c r="E979" s="494"/>
      <c r="F979" s="23">
        <f>SUM(F6:F978)</f>
        <v>192174.83000000092</v>
      </c>
      <c r="G979" s="21">
        <f>SUM(G5:G978)</f>
        <v>19772655</v>
      </c>
      <c r="H979" s="494"/>
      <c r="I979" s="24">
        <f>SUM(I2:I55)</f>
        <v>16500000</v>
      </c>
      <c r="P979" s="398">
        <f>16500000-1300000-200000</f>
        <v>15000000</v>
      </c>
    </row>
    <row r="980" spans="1:16" x14ac:dyDescent="0.25">
      <c r="A980" s="42"/>
      <c r="B980" s="42"/>
      <c r="C980" s="20" t="s">
        <v>10</v>
      </c>
      <c r="D980" s="25">
        <f>SUM(D979-I979)</f>
        <v>3272655</v>
      </c>
      <c r="E980" s="494"/>
      <c r="F980" s="494"/>
      <c r="G980" s="26" t="s">
        <v>10</v>
      </c>
      <c r="H980" s="25">
        <f>SUM(G979-I979)</f>
        <v>3272655</v>
      </c>
      <c r="I980" s="25"/>
    </row>
    <row r="981" spans="1:16" ht="15.75" thickBot="1" x14ac:dyDescent="0.3"/>
    <row r="982" spans="1:16" x14ac:dyDescent="0.25">
      <c r="C982" s="199"/>
      <c r="D982" s="197" t="s">
        <v>823</v>
      </c>
      <c r="E982" s="179"/>
      <c r="F982" s="179"/>
      <c r="G982" s="179"/>
      <c r="H982" s="75"/>
      <c r="I982" s="76"/>
    </row>
    <row r="983" spans="1:16" ht="15.75" thickBot="1" x14ac:dyDescent="0.3">
      <c r="C983" s="200" t="s">
        <v>423</v>
      </c>
      <c r="D983" s="198"/>
      <c r="E983" s="181"/>
      <c r="F983" s="181" t="s">
        <v>186</v>
      </c>
      <c r="G983" s="181"/>
      <c r="H983" s="183"/>
      <c r="I983" s="184"/>
    </row>
    <row r="984" spans="1:16" x14ac:dyDescent="0.25">
      <c r="C984" s="91" t="s">
        <v>184</v>
      </c>
      <c r="D984" s="90">
        <v>19772655</v>
      </c>
      <c r="E984" s="90"/>
      <c r="F984" s="90" t="s">
        <v>187</v>
      </c>
      <c r="G984" s="90">
        <v>19775731</v>
      </c>
      <c r="H984" s="90" t="s">
        <v>364</v>
      </c>
      <c r="I984" s="187">
        <f>15053839-15004780</f>
        <v>49059</v>
      </c>
    </row>
    <row r="985" spans="1:16" x14ac:dyDescent="0.25">
      <c r="C985" s="93" t="s">
        <v>143</v>
      </c>
      <c r="D985" s="42">
        <v>16500000</v>
      </c>
      <c r="E985" s="42"/>
      <c r="F985" s="42" t="s">
        <v>191</v>
      </c>
      <c r="G985" s="42">
        <v>16498302</v>
      </c>
      <c r="H985" s="42" t="s">
        <v>365</v>
      </c>
      <c r="I985" s="188">
        <f>12632183-12606200</f>
        <v>25983</v>
      </c>
    </row>
    <row r="986" spans="1:16" ht="18.75" x14ac:dyDescent="0.3">
      <c r="C986" s="189" t="s">
        <v>95</v>
      </c>
      <c r="D986" s="89">
        <f>D984-D985</f>
        <v>3272655</v>
      </c>
      <c r="E986" s="89"/>
      <c r="F986" s="89" t="s">
        <v>95</v>
      </c>
      <c r="G986" s="89">
        <f>G984-G985</f>
        <v>3277429</v>
      </c>
      <c r="H986" s="89" t="s">
        <v>390</v>
      </c>
      <c r="I986" s="201">
        <f>D986-G986</f>
        <v>-4774</v>
      </c>
    </row>
    <row r="987" spans="1:16" ht="19.5" thickBot="1" x14ac:dyDescent="0.35">
      <c r="C987" s="202"/>
      <c r="D987" s="203"/>
      <c r="E987" s="203"/>
      <c r="F987" s="204"/>
      <c r="G987" s="204"/>
      <c r="H987" s="204" t="s">
        <v>421</v>
      </c>
      <c r="I987" s="205">
        <v>3484</v>
      </c>
    </row>
    <row r="988" spans="1:16" ht="18.75" thickBot="1" x14ac:dyDescent="0.3">
      <c r="C988" s="206"/>
      <c r="D988" s="207"/>
      <c r="E988" s="207"/>
      <c r="F988" s="208" t="s">
        <v>192</v>
      </c>
      <c r="G988" s="208"/>
      <c r="H988" s="208"/>
      <c r="I988" s="209">
        <f>4774-3484</f>
        <v>1290</v>
      </c>
    </row>
  </sheetData>
  <sortState ref="A2:M980">
    <sortCondition ref="C877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4"/>
  <sheetViews>
    <sheetView workbookViewId="0">
      <selection activeCell="L605" sqref="L605"/>
    </sheetView>
  </sheetViews>
  <sheetFormatPr defaultColWidth="12.375" defaultRowHeight="14.25" x14ac:dyDescent="0.2"/>
  <cols>
    <col min="1" max="1" width="5.75" customWidth="1"/>
    <col min="3" max="3" width="12.375" style="561"/>
    <col min="9" max="9" width="17.125" customWidth="1"/>
    <col min="12" max="12" width="19.875" customWidth="1"/>
  </cols>
  <sheetData>
    <row r="1" spans="1:18" ht="21" x14ac:dyDescent="0.35">
      <c r="A1" s="510"/>
      <c r="B1" s="510"/>
      <c r="C1" s="557"/>
      <c r="D1" s="419" t="s">
        <v>772</v>
      </c>
      <c r="E1" s="419"/>
      <c r="F1" s="419"/>
      <c r="G1" s="419"/>
      <c r="H1" s="510"/>
      <c r="I1" s="510"/>
      <c r="J1" s="510"/>
      <c r="K1" s="398"/>
      <c r="L1" s="398"/>
      <c r="M1" s="398"/>
    </row>
    <row r="2" spans="1:18" ht="18" x14ac:dyDescent="0.25">
      <c r="A2" s="510"/>
      <c r="B2" s="510"/>
      <c r="C2" s="557"/>
      <c r="D2" s="511"/>
      <c r="E2" s="421" t="s">
        <v>816</v>
      </c>
      <c r="F2" s="512"/>
      <c r="G2" s="512"/>
      <c r="H2" s="510"/>
      <c r="I2" s="510"/>
      <c r="J2" s="510"/>
      <c r="K2" s="398"/>
      <c r="L2" s="398"/>
      <c r="M2" s="398"/>
    </row>
    <row r="3" spans="1:18" ht="15.75" x14ac:dyDescent="0.25">
      <c r="A3" s="30" t="s">
        <v>1</v>
      </c>
      <c r="B3" s="30" t="s">
        <v>2</v>
      </c>
      <c r="C3" s="558" t="s">
        <v>97</v>
      </c>
      <c r="D3" s="30" t="s">
        <v>4</v>
      </c>
      <c r="E3" s="110" t="s">
        <v>770</v>
      </c>
      <c r="F3" s="30" t="s">
        <v>5</v>
      </c>
      <c r="G3" s="30" t="s">
        <v>4</v>
      </c>
      <c r="H3" s="30" t="s">
        <v>98</v>
      </c>
      <c r="I3" s="417" t="s">
        <v>8</v>
      </c>
      <c r="J3" s="417" t="s">
        <v>2</v>
      </c>
      <c r="K3" s="398"/>
      <c r="L3" s="398"/>
      <c r="M3" s="398"/>
    </row>
    <row r="4" spans="1:18" ht="15.75" x14ac:dyDescent="0.25">
      <c r="A4" s="42"/>
      <c r="B4" s="108" t="s">
        <v>813</v>
      </c>
      <c r="C4" s="559" t="s">
        <v>374</v>
      </c>
      <c r="D4" s="210">
        <v>3272655</v>
      </c>
      <c r="E4" s="162"/>
      <c r="F4" s="162"/>
      <c r="G4" s="210">
        <v>3272655</v>
      </c>
      <c r="H4" s="30"/>
      <c r="I4" s="107"/>
      <c r="J4" s="451"/>
      <c r="K4" s="398"/>
      <c r="L4" s="398"/>
      <c r="M4" s="398"/>
    </row>
    <row r="5" spans="1:18" s="537" customFormat="1" ht="15.75" x14ac:dyDescent="0.25">
      <c r="A5" s="42"/>
      <c r="B5" s="108" t="s">
        <v>832</v>
      </c>
      <c r="C5" s="559" t="s">
        <v>784</v>
      </c>
      <c r="D5" s="210">
        <v>12500</v>
      </c>
      <c r="E5" s="162"/>
      <c r="F5" s="162"/>
      <c r="G5" s="210">
        <v>12500</v>
      </c>
      <c r="H5" s="30"/>
      <c r="I5" s="107"/>
      <c r="J5" s="451"/>
      <c r="K5" s="398"/>
      <c r="L5" s="398"/>
      <c r="M5" s="398"/>
    </row>
    <row r="6" spans="1:18" s="537" customFormat="1" ht="15.75" x14ac:dyDescent="0.25">
      <c r="A6" s="42"/>
      <c r="B6" s="108" t="s">
        <v>687</v>
      </c>
      <c r="C6" s="559" t="s">
        <v>836</v>
      </c>
      <c r="D6" s="210">
        <v>17344</v>
      </c>
      <c r="E6" s="162"/>
      <c r="F6" s="162"/>
      <c r="G6" s="210">
        <v>17344</v>
      </c>
      <c r="H6" s="30"/>
      <c r="I6" s="107"/>
      <c r="J6" s="451"/>
      <c r="K6" s="398"/>
      <c r="L6" s="398"/>
      <c r="M6" s="398"/>
    </row>
    <row r="7" spans="1:18" ht="15.75" x14ac:dyDescent="0.25">
      <c r="A7" s="523">
        <v>1</v>
      </c>
      <c r="B7" s="523" t="s">
        <v>814</v>
      </c>
      <c r="C7" s="553">
        <v>9361</v>
      </c>
      <c r="D7" s="476">
        <v>30000</v>
      </c>
      <c r="E7" s="87"/>
      <c r="F7" s="87">
        <v>334.82</v>
      </c>
      <c r="G7" s="87">
        <v>30000</v>
      </c>
      <c r="H7" s="87">
        <f t="shared" ref="H7:H70" si="0">D7-G7</f>
        <v>0</v>
      </c>
      <c r="I7" s="509">
        <v>1200000</v>
      </c>
      <c r="J7" s="509" t="s">
        <v>814</v>
      </c>
      <c r="K7" s="521" t="s">
        <v>809</v>
      </c>
      <c r="L7" s="515"/>
      <c r="M7" s="515"/>
      <c r="N7" s="516"/>
      <c r="O7" s="517"/>
      <c r="P7" s="517"/>
      <c r="Q7" s="517"/>
      <c r="R7" s="398"/>
    </row>
    <row r="8" spans="1:18" ht="15.75" x14ac:dyDescent="0.25">
      <c r="A8" s="523">
        <v>2</v>
      </c>
      <c r="B8" s="523" t="s">
        <v>814</v>
      </c>
      <c r="C8" s="553">
        <v>9361</v>
      </c>
      <c r="D8" s="476">
        <v>30000</v>
      </c>
      <c r="E8" s="87"/>
      <c r="F8" s="87">
        <v>334.82</v>
      </c>
      <c r="G8" s="87">
        <v>30000</v>
      </c>
      <c r="H8" s="87">
        <f t="shared" si="0"/>
        <v>0</v>
      </c>
      <c r="I8" s="509">
        <v>600000</v>
      </c>
      <c r="J8" s="509" t="s">
        <v>818</v>
      </c>
      <c r="K8" s="522" t="s">
        <v>482</v>
      </c>
      <c r="L8" s="204"/>
      <c r="M8" s="204"/>
    </row>
    <row r="9" spans="1:18" ht="15.75" x14ac:dyDescent="0.25">
      <c r="A9" s="523">
        <v>3</v>
      </c>
      <c r="B9" s="523" t="s">
        <v>814</v>
      </c>
      <c r="C9" s="553">
        <v>6828</v>
      </c>
      <c r="D9" s="476">
        <v>10000</v>
      </c>
      <c r="E9" s="87"/>
      <c r="F9" s="87">
        <v>111.42</v>
      </c>
      <c r="G9" s="87">
        <v>10000</v>
      </c>
      <c r="H9" s="87">
        <f t="shared" si="0"/>
        <v>0</v>
      </c>
      <c r="I9" s="509">
        <v>600000</v>
      </c>
      <c r="J9" s="509" t="s">
        <v>821</v>
      </c>
      <c r="K9" s="522" t="s">
        <v>482</v>
      </c>
      <c r="L9" s="204"/>
      <c r="M9" s="204"/>
    </row>
    <row r="10" spans="1:18" ht="15.75" x14ac:dyDescent="0.25">
      <c r="A10" s="523">
        <v>4</v>
      </c>
      <c r="B10" s="523" t="s">
        <v>814</v>
      </c>
      <c r="C10" s="553">
        <v>6495</v>
      </c>
      <c r="D10" s="476">
        <v>28000</v>
      </c>
      <c r="E10" s="87"/>
      <c r="F10" s="87">
        <v>311.74</v>
      </c>
      <c r="G10" s="87">
        <v>28000</v>
      </c>
      <c r="H10" s="87">
        <f t="shared" si="0"/>
        <v>0</v>
      </c>
      <c r="I10" s="509">
        <v>500000</v>
      </c>
      <c r="J10" s="509" t="s">
        <v>822</v>
      </c>
      <c r="K10" s="522" t="s">
        <v>482</v>
      </c>
      <c r="L10" s="204"/>
      <c r="M10" s="204"/>
    </row>
    <row r="11" spans="1:18" ht="15.75" x14ac:dyDescent="0.25">
      <c r="A11" s="523">
        <v>5</v>
      </c>
      <c r="B11" s="523" t="s">
        <v>814</v>
      </c>
      <c r="C11" s="553">
        <v>6092</v>
      </c>
      <c r="D11" s="476">
        <v>17000</v>
      </c>
      <c r="E11" s="87"/>
      <c r="F11" s="87">
        <v>189.52</v>
      </c>
      <c r="G11" s="87">
        <v>17000</v>
      </c>
      <c r="H11" s="87">
        <f t="shared" si="0"/>
        <v>0</v>
      </c>
      <c r="I11" s="509">
        <v>500000</v>
      </c>
      <c r="J11" s="509" t="s">
        <v>824</v>
      </c>
      <c r="K11" s="522" t="s">
        <v>482</v>
      </c>
      <c r="L11" s="204"/>
      <c r="M11" s="204"/>
    </row>
    <row r="12" spans="1:18" ht="15.75" x14ac:dyDescent="0.25">
      <c r="A12" s="523">
        <v>6</v>
      </c>
      <c r="B12" s="523" t="s">
        <v>814</v>
      </c>
      <c r="C12" s="553">
        <v>2408</v>
      </c>
      <c r="D12" s="476">
        <v>38000</v>
      </c>
      <c r="E12" s="87"/>
      <c r="F12" s="87">
        <v>423.95</v>
      </c>
      <c r="G12" s="87">
        <v>38000</v>
      </c>
      <c r="H12" s="87">
        <f t="shared" si="0"/>
        <v>0</v>
      </c>
      <c r="I12" s="509">
        <v>300000</v>
      </c>
      <c r="J12" s="509" t="s">
        <v>825</v>
      </c>
      <c r="K12" s="522" t="s">
        <v>482</v>
      </c>
      <c r="L12" s="204"/>
      <c r="M12" s="204"/>
    </row>
    <row r="13" spans="1:18" ht="15.75" x14ac:dyDescent="0.25">
      <c r="A13" s="523">
        <v>7</v>
      </c>
      <c r="B13" s="523" t="s">
        <v>814</v>
      </c>
      <c r="C13" s="553" t="s">
        <v>30</v>
      </c>
      <c r="D13" s="476">
        <v>5000</v>
      </c>
      <c r="E13" s="87"/>
      <c r="F13" s="87">
        <v>55.45</v>
      </c>
      <c r="G13" s="87">
        <v>5000</v>
      </c>
      <c r="H13" s="87">
        <f t="shared" si="0"/>
        <v>0</v>
      </c>
      <c r="I13" s="509">
        <v>500000</v>
      </c>
      <c r="J13" s="509" t="s">
        <v>827</v>
      </c>
      <c r="K13" s="522" t="s">
        <v>482</v>
      </c>
      <c r="L13" s="204"/>
      <c r="M13" s="204"/>
    </row>
    <row r="14" spans="1:18" ht="15.75" x14ac:dyDescent="0.25">
      <c r="A14" s="523">
        <v>8</v>
      </c>
      <c r="B14" s="523" t="s">
        <v>814</v>
      </c>
      <c r="C14" s="553" t="s">
        <v>30</v>
      </c>
      <c r="D14" s="476">
        <v>4500</v>
      </c>
      <c r="E14" s="87"/>
      <c r="F14" s="87">
        <v>45.5</v>
      </c>
      <c r="G14" s="87">
        <v>4500</v>
      </c>
      <c r="H14" s="87">
        <f t="shared" si="0"/>
        <v>0</v>
      </c>
      <c r="I14" s="518">
        <v>1300000</v>
      </c>
      <c r="J14" s="518" t="s">
        <v>830</v>
      </c>
      <c r="K14" s="515" t="s">
        <v>809</v>
      </c>
      <c r="L14" s="515"/>
      <c r="M14" s="515"/>
      <c r="N14" s="516"/>
      <c r="O14" s="517"/>
      <c r="P14" s="517"/>
      <c r="Q14" s="517"/>
      <c r="R14" s="517"/>
    </row>
    <row r="15" spans="1:18" ht="15.75" x14ac:dyDescent="0.25">
      <c r="A15" s="523">
        <v>9</v>
      </c>
      <c r="B15" s="523" t="s">
        <v>814</v>
      </c>
      <c r="C15" s="553">
        <v>5152</v>
      </c>
      <c r="D15" s="476">
        <v>15000</v>
      </c>
      <c r="E15" s="87"/>
      <c r="F15" s="87">
        <v>167.15</v>
      </c>
      <c r="G15" s="87">
        <v>15000</v>
      </c>
      <c r="H15" s="87">
        <f t="shared" si="0"/>
        <v>0</v>
      </c>
      <c r="I15" s="509">
        <v>600000</v>
      </c>
      <c r="J15" s="509" t="s">
        <v>831</v>
      </c>
      <c r="K15" s="522" t="s">
        <v>482</v>
      </c>
      <c r="L15" s="204"/>
      <c r="M15" s="204"/>
      <c r="N15" s="520"/>
      <c r="O15" s="520"/>
    </row>
    <row r="16" spans="1:18" ht="15.75" x14ac:dyDescent="0.25">
      <c r="A16" s="523">
        <v>10</v>
      </c>
      <c r="B16" s="523" t="s">
        <v>814</v>
      </c>
      <c r="C16" s="553">
        <v>6910</v>
      </c>
      <c r="D16" s="476">
        <v>10000</v>
      </c>
      <c r="E16" s="87"/>
      <c r="F16" s="87">
        <v>111.42</v>
      </c>
      <c r="G16" s="87">
        <v>10000</v>
      </c>
      <c r="H16" s="87">
        <f t="shared" si="0"/>
        <v>0</v>
      </c>
      <c r="I16" s="509">
        <v>300000</v>
      </c>
      <c r="J16" s="509" t="s">
        <v>832</v>
      </c>
      <c r="K16" s="454" t="s">
        <v>482</v>
      </c>
      <c r="L16" s="454"/>
      <c r="M16" s="454"/>
    </row>
    <row r="17" spans="1:17" ht="15.75" x14ac:dyDescent="0.25">
      <c r="A17" s="523">
        <v>11</v>
      </c>
      <c r="B17" s="523" t="s">
        <v>814</v>
      </c>
      <c r="C17" s="555">
        <v>2151</v>
      </c>
      <c r="D17" s="476">
        <v>7500</v>
      </c>
      <c r="E17" s="87"/>
      <c r="F17" s="87">
        <v>83.74</v>
      </c>
      <c r="G17" s="87">
        <v>7500</v>
      </c>
      <c r="H17" s="87">
        <f t="shared" si="0"/>
        <v>0</v>
      </c>
      <c r="I17" s="539">
        <v>124590</v>
      </c>
      <c r="J17" s="539" t="s">
        <v>833</v>
      </c>
      <c r="K17" s="407" t="s">
        <v>834</v>
      </c>
      <c r="L17" s="408"/>
      <c r="M17" s="408"/>
      <c r="N17" s="408"/>
      <c r="O17" s="408"/>
    </row>
    <row r="18" spans="1:17" ht="15.75" x14ac:dyDescent="0.25">
      <c r="A18" s="523">
        <v>12</v>
      </c>
      <c r="B18" s="523" t="s">
        <v>814</v>
      </c>
      <c r="C18" s="553">
        <v>9350</v>
      </c>
      <c r="D18" s="476">
        <v>20000</v>
      </c>
      <c r="E18" s="87"/>
      <c r="F18" s="87">
        <v>222.82</v>
      </c>
      <c r="G18" s="87">
        <v>20000</v>
      </c>
      <c r="H18" s="87">
        <f t="shared" si="0"/>
        <v>0</v>
      </c>
      <c r="I18" s="539">
        <v>172006</v>
      </c>
      <c r="J18" s="539" t="s">
        <v>658</v>
      </c>
      <c r="K18" s="407" t="s">
        <v>835</v>
      </c>
      <c r="L18" s="408"/>
      <c r="M18" s="408"/>
      <c r="N18" s="408"/>
      <c r="O18" s="408"/>
    </row>
    <row r="19" spans="1:17" ht="15.75" x14ac:dyDescent="0.25">
      <c r="A19" s="523">
        <v>13</v>
      </c>
      <c r="B19" s="523" t="s">
        <v>814</v>
      </c>
      <c r="C19" s="553">
        <v>9.11E-2</v>
      </c>
      <c r="D19" s="476">
        <v>10000</v>
      </c>
      <c r="E19" s="87"/>
      <c r="F19" s="87">
        <v>111.42</v>
      </c>
      <c r="G19" s="87">
        <v>10000</v>
      </c>
      <c r="H19" s="87">
        <f t="shared" si="0"/>
        <v>0</v>
      </c>
      <c r="I19" s="509">
        <v>200000</v>
      </c>
      <c r="J19" s="509" t="s">
        <v>833</v>
      </c>
      <c r="K19" s="522" t="s">
        <v>482</v>
      </c>
      <c r="L19" s="204"/>
      <c r="M19" s="204"/>
    </row>
    <row r="20" spans="1:17" ht="15.75" x14ac:dyDescent="0.25">
      <c r="A20" s="523">
        <v>14</v>
      </c>
      <c r="B20" s="523" t="s">
        <v>814</v>
      </c>
      <c r="C20" s="553">
        <v>4765</v>
      </c>
      <c r="D20" s="476">
        <v>10000</v>
      </c>
      <c r="E20" s="87"/>
      <c r="F20" s="87">
        <v>111.42</v>
      </c>
      <c r="G20" s="87">
        <v>10000</v>
      </c>
      <c r="H20" s="87">
        <f t="shared" si="0"/>
        <v>0</v>
      </c>
      <c r="I20" s="509">
        <v>200000</v>
      </c>
      <c r="J20" s="509" t="s">
        <v>837</v>
      </c>
      <c r="K20" s="522" t="s">
        <v>482</v>
      </c>
      <c r="L20" s="204"/>
      <c r="M20" s="204"/>
      <c r="N20" s="542"/>
    </row>
    <row r="21" spans="1:17" ht="15.75" x14ac:dyDescent="0.25">
      <c r="A21" s="523">
        <v>15</v>
      </c>
      <c r="B21" s="523" t="s">
        <v>814</v>
      </c>
      <c r="C21" s="553">
        <v>2643</v>
      </c>
      <c r="D21" s="476">
        <v>20000</v>
      </c>
      <c r="E21" s="87"/>
      <c r="F21" s="87">
        <v>222.82</v>
      </c>
      <c r="G21" s="87">
        <v>20000</v>
      </c>
      <c r="H21" s="87">
        <f t="shared" si="0"/>
        <v>0</v>
      </c>
      <c r="I21" s="509">
        <v>300000</v>
      </c>
      <c r="J21" s="509" t="s">
        <v>838</v>
      </c>
      <c r="K21" s="204" t="s">
        <v>482</v>
      </c>
      <c r="L21" s="204"/>
      <c r="M21" s="204"/>
    </row>
    <row r="22" spans="1:17" ht="15.75" x14ac:dyDescent="0.25">
      <c r="A22" s="523">
        <v>16</v>
      </c>
      <c r="B22" s="523" t="s">
        <v>814</v>
      </c>
      <c r="C22" s="553">
        <v>6.9000000000000006E-2</v>
      </c>
      <c r="D22" s="476">
        <v>20000</v>
      </c>
      <c r="E22" s="87"/>
      <c r="F22" s="87">
        <v>222.82</v>
      </c>
      <c r="G22" s="87">
        <v>20000</v>
      </c>
      <c r="H22" s="87">
        <f t="shared" si="0"/>
        <v>0</v>
      </c>
      <c r="I22" s="509">
        <v>500000</v>
      </c>
      <c r="J22" s="509" t="s">
        <v>840</v>
      </c>
      <c r="K22" s="204" t="s">
        <v>482</v>
      </c>
      <c r="L22" s="204"/>
      <c r="M22" s="204"/>
    </row>
    <row r="23" spans="1:17" ht="15.75" x14ac:dyDescent="0.25">
      <c r="A23" s="523">
        <v>17</v>
      </c>
      <c r="B23" s="523" t="s">
        <v>814</v>
      </c>
      <c r="C23" s="553">
        <v>4387</v>
      </c>
      <c r="D23" s="476">
        <v>20000</v>
      </c>
      <c r="E23" s="87"/>
      <c r="F23" s="87">
        <v>222.82</v>
      </c>
      <c r="G23" s="87">
        <v>20000</v>
      </c>
      <c r="H23" s="87">
        <f t="shared" si="0"/>
        <v>0</v>
      </c>
      <c r="I23" s="509">
        <v>500000</v>
      </c>
      <c r="J23" s="509" t="s">
        <v>841</v>
      </c>
      <c r="K23" s="204" t="s">
        <v>482</v>
      </c>
      <c r="L23" s="204"/>
      <c r="M23" s="204"/>
    </row>
    <row r="24" spans="1:17" ht="15.75" x14ac:dyDescent="0.25">
      <c r="A24" s="523">
        <v>18</v>
      </c>
      <c r="B24" s="523" t="s">
        <v>814</v>
      </c>
      <c r="C24" s="553">
        <v>5149</v>
      </c>
      <c r="D24" s="476">
        <v>20000</v>
      </c>
      <c r="E24" s="87"/>
      <c r="F24" s="87">
        <v>222.82</v>
      </c>
      <c r="G24" s="87">
        <v>20000</v>
      </c>
      <c r="H24" s="87">
        <f t="shared" si="0"/>
        <v>0</v>
      </c>
      <c r="I24" s="509">
        <v>300000</v>
      </c>
      <c r="J24" s="509" t="s">
        <v>842</v>
      </c>
      <c r="K24" s="89" t="s">
        <v>765</v>
      </c>
      <c r="L24" s="89"/>
      <c r="M24" s="89"/>
    </row>
    <row r="25" spans="1:17" ht="15.75" x14ac:dyDescent="0.25">
      <c r="A25" s="523">
        <v>19</v>
      </c>
      <c r="B25" s="523" t="s">
        <v>814</v>
      </c>
      <c r="C25" s="553">
        <v>3.2199999999999999E-2</v>
      </c>
      <c r="D25" s="476">
        <v>26000</v>
      </c>
      <c r="E25" s="87"/>
      <c r="F25" s="87">
        <v>289.68</v>
      </c>
      <c r="G25" s="87">
        <v>26000</v>
      </c>
      <c r="H25" s="87">
        <f t="shared" si="0"/>
        <v>0</v>
      </c>
      <c r="I25" s="509">
        <v>400000</v>
      </c>
      <c r="J25" s="509" t="s">
        <v>843</v>
      </c>
      <c r="K25" s="204" t="s">
        <v>482</v>
      </c>
      <c r="L25" s="204"/>
      <c r="M25" s="204"/>
    </row>
    <row r="26" spans="1:17" ht="15.75" x14ac:dyDescent="0.25">
      <c r="A26" s="523">
        <v>20</v>
      </c>
      <c r="B26" s="523" t="s">
        <v>814</v>
      </c>
      <c r="C26" s="553">
        <v>7792</v>
      </c>
      <c r="D26" s="476">
        <v>8000</v>
      </c>
      <c r="E26" s="87"/>
      <c r="F26" s="87">
        <v>89.82</v>
      </c>
      <c r="G26" s="87">
        <v>8000</v>
      </c>
      <c r="H26" s="87">
        <f t="shared" si="0"/>
        <v>0</v>
      </c>
      <c r="I26" s="509">
        <v>300000</v>
      </c>
      <c r="J26" s="509" t="s">
        <v>844</v>
      </c>
      <c r="K26" s="204" t="s">
        <v>482</v>
      </c>
      <c r="L26" s="204"/>
      <c r="M26" s="204"/>
    </row>
    <row r="27" spans="1:17" ht="15.75" x14ac:dyDescent="0.25">
      <c r="A27" s="523">
        <v>21</v>
      </c>
      <c r="B27" s="523" t="s">
        <v>814</v>
      </c>
      <c r="C27" s="553">
        <v>3916</v>
      </c>
      <c r="D27" s="476">
        <v>8000</v>
      </c>
      <c r="E27" s="87"/>
      <c r="F27" s="87">
        <v>89.82</v>
      </c>
      <c r="G27" s="87">
        <v>8000</v>
      </c>
      <c r="H27" s="87">
        <f t="shared" si="0"/>
        <v>0</v>
      </c>
      <c r="I27" s="509">
        <v>400000</v>
      </c>
      <c r="J27" s="509" t="s">
        <v>845</v>
      </c>
      <c r="K27" s="204" t="s">
        <v>482</v>
      </c>
      <c r="L27" s="204"/>
      <c r="M27" s="204"/>
    </row>
    <row r="28" spans="1:17" ht="15.75" x14ac:dyDescent="0.25">
      <c r="A28" s="523">
        <v>22</v>
      </c>
      <c r="B28" s="523" t="s">
        <v>814</v>
      </c>
      <c r="C28" s="553">
        <v>8278</v>
      </c>
      <c r="D28" s="476">
        <v>8000</v>
      </c>
      <c r="E28" s="87"/>
      <c r="F28" s="87">
        <v>89.82</v>
      </c>
      <c r="G28" s="87">
        <v>8000</v>
      </c>
      <c r="H28" s="87">
        <f t="shared" si="0"/>
        <v>0</v>
      </c>
      <c r="I28" s="509">
        <v>600000</v>
      </c>
      <c r="J28" s="509" t="s">
        <v>846</v>
      </c>
      <c r="K28" s="204" t="s">
        <v>482</v>
      </c>
      <c r="L28" s="204"/>
      <c r="M28" s="204"/>
    </row>
    <row r="29" spans="1:17" ht="15.75" x14ac:dyDescent="0.25">
      <c r="A29" s="523">
        <v>23</v>
      </c>
      <c r="B29" s="523" t="s">
        <v>814</v>
      </c>
      <c r="C29" s="553">
        <v>6533</v>
      </c>
      <c r="D29" s="476">
        <v>6000</v>
      </c>
      <c r="E29" s="87"/>
      <c r="F29" s="87">
        <v>66.349999999999994</v>
      </c>
      <c r="G29" s="87">
        <v>6000</v>
      </c>
      <c r="H29" s="87">
        <f t="shared" si="0"/>
        <v>0</v>
      </c>
      <c r="I29" s="509">
        <v>400000</v>
      </c>
      <c r="J29" s="509" t="s">
        <v>847</v>
      </c>
      <c r="K29" s="204" t="s">
        <v>482</v>
      </c>
      <c r="L29" s="204"/>
      <c r="M29" s="204"/>
      <c r="N29" s="547"/>
      <c r="O29" s="517"/>
      <c r="P29" s="517"/>
      <c r="Q29" s="517"/>
    </row>
    <row r="30" spans="1:17" ht="15.75" x14ac:dyDescent="0.25">
      <c r="A30" s="523">
        <v>24</v>
      </c>
      <c r="B30" s="523" t="s">
        <v>814</v>
      </c>
      <c r="C30" s="553">
        <v>1796</v>
      </c>
      <c r="D30" s="476">
        <v>15000</v>
      </c>
      <c r="E30" s="87"/>
      <c r="F30" s="87">
        <v>167.15</v>
      </c>
      <c r="G30" s="87">
        <v>15000</v>
      </c>
      <c r="H30" s="87">
        <f t="shared" si="0"/>
        <v>0</v>
      </c>
      <c r="I30" s="509">
        <v>700000</v>
      </c>
      <c r="J30" s="509" t="s">
        <v>848</v>
      </c>
      <c r="K30" s="204" t="s">
        <v>482</v>
      </c>
      <c r="L30" s="204"/>
      <c r="M30" s="204"/>
    </row>
    <row r="31" spans="1:17" ht="15.75" x14ac:dyDescent="0.25">
      <c r="A31" s="523">
        <v>25</v>
      </c>
      <c r="B31" s="523" t="s">
        <v>814</v>
      </c>
      <c r="C31" s="553">
        <v>1259</v>
      </c>
      <c r="D31" s="476">
        <v>15000</v>
      </c>
      <c r="E31" s="87"/>
      <c r="F31" s="87">
        <v>167.15</v>
      </c>
      <c r="G31" s="87">
        <v>15000</v>
      </c>
      <c r="H31" s="87">
        <f t="shared" si="0"/>
        <v>0</v>
      </c>
      <c r="I31" s="509">
        <v>300000</v>
      </c>
      <c r="J31" s="509" t="s">
        <v>849</v>
      </c>
      <c r="K31" s="204" t="s">
        <v>482</v>
      </c>
      <c r="L31" s="204"/>
      <c r="M31" s="204"/>
      <c r="N31" s="520"/>
      <c r="O31" s="520"/>
    </row>
    <row r="32" spans="1:17" ht="15.75" x14ac:dyDescent="0.25">
      <c r="A32" s="523">
        <v>26</v>
      </c>
      <c r="B32" s="523" t="s">
        <v>814</v>
      </c>
      <c r="C32" s="553">
        <v>7196</v>
      </c>
      <c r="D32" s="476">
        <v>18000</v>
      </c>
      <c r="E32" s="87"/>
      <c r="F32" s="87">
        <v>200.71</v>
      </c>
      <c r="G32" s="87">
        <v>18000</v>
      </c>
      <c r="H32" s="87">
        <f t="shared" si="0"/>
        <v>0</v>
      </c>
      <c r="I32" s="509">
        <v>600000</v>
      </c>
      <c r="J32" s="509" t="s">
        <v>850</v>
      </c>
      <c r="K32" s="204" t="s">
        <v>482</v>
      </c>
      <c r="L32" s="204"/>
      <c r="M32" s="204"/>
      <c r="Q32" s="509">
        <v>800000</v>
      </c>
    </row>
    <row r="33" spans="1:17" ht="15.75" x14ac:dyDescent="0.25">
      <c r="A33" s="523">
        <v>27</v>
      </c>
      <c r="B33" s="523" t="s">
        <v>814</v>
      </c>
      <c r="C33" s="553">
        <v>7068</v>
      </c>
      <c r="D33" s="476">
        <v>25000</v>
      </c>
      <c r="E33" s="87"/>
      <c r="F33" s="87">
        <v>278.22000000000003</v>
      </c>
      <c r="G33" s="87">
        <v>25000</v>
      </c>
      <c r="H33" s="87">
        <f t="shared" si="0"/>
        <v>0</v>
      </c>
      <c r="I33" s="509">
        <v>900000</v>
      </c>
      <c r="J33" s="509" t="s">
        <v>851</v>
      </c>
      <c r="K33" s="89" t="s">
        <v>765</v>
      </c>
      <c r="L33" s="89"/>
      <c r="M33" s="89"/>
      <c r="N33" s="545"/>
      <c r="Q33" s="509">
        <v>200000</v>
      </c>
    </row>
    <row r="34" spans="1:17" s="524" customFormat="1" ht="15.75" x14ac:dyDescent="0.25">
      <c r="A34" s="523">
        <v>28</v>
      </c>
      <c r="B34" s="523" t="s">
        <v>818</v>
      </c>
      <c r="C34" s="553">
        <v>6311</v>
      </c>
      <c r="D34" s="476">
        <v>27000</v>
      </c>
      <c r="E34" s="87"/>
      <c r="F34" s="87">
        <v>300.82</v>
      </c>
      <c r="G34" s="87">
        <v>27000</v>
      </c>
      <c r="H34" s="87">
        <f t="shared" si="0"/>
        <v>0</v>
      </c>
      <c r="I34" s="509"/>
      <c r="J34" s="579"/>
      <c r="K34" s="579"/>
      <c r="L34" s="579"/>
      <c r="M34" s="579"/>
      <c r="N34" s="579"/>
      <c r="O34" s="579"/>
      <c r="Q34" s="509">
        <v>400000</v>
      </c>
    </row>
    <row r="35" spans="1:17" s="524" customFormat="1" ht="15.75" x14ac:dyDescent="0.25">
      <c r="A35" s="523">
        <v>29</v>
      </c>
      <c r="B35" s="523" t="s">
        <v>818</v>
      </c>
      <c r="C35" s="553">
        <v>6012</v>
      </c>
      <c r="D35" s="476">
        <v>15000</v>
      </c>
      <c r="E35" s="87"/>
      <c r="F35" s="87">
        <v>167.15</v>
      </c>
      <c r="G35" s="87">
        <v>15000</v>
      </c>
      <c r="H35" s="87">
        <f t="shared" si="0"/>
        <v>0</v>
      </c>
      <c r="I35" s="509"/>
      <c r="J35" s="579"/>
      <c r="K35" s="579"/>
      <c r="L35" s="579"/>
      <c r="M35" s="579"/>
      <c r="N35" s="579"/>
      <c r="O35" s="579"/>
      <c r="Q35" s="509">
        <v>500000</v>
      </c>
    </row>
    <row r="36" spans="1:17" s="524" customFormat="1" ht="15.75" x14ac:dyDescent="0.25">
      <c r="A36" s="523">
        <v>30</v>
      </c>
      <c r="B36" s="523" t="s">
        <v>818</v>
      </c>
      <c r="C36" s="553">
        <v>5075</v>
      </c>
      <c r="D36" s="476">
        <v>13500</v>
      </c>
      <c r="E36" s="87"/>
      <c r="F36" s="87">
        <v>150.74</v>
      </c>
      <c r="G36" s="87">
        <v>13500</v>
      </c>
      <c r="H36" s="87">
        <f t="shared" si="0"/>
        <v>0</v>
      </c>
      <c r="I36" s="509"/>
      <c r="J36" s="579"/>
      <c r="K36" s="579"/>
      <c r="L36" s="579"/>
      <c r="M36" s="579"/>
      <c r="N36" s="579"/>
      <c r="O36" s="579"/>
      <c r="Q36" s="509">
        <v>1000000</v>
      </c>
    </row>
    <row r="37" spans="1:17" s="524" customFormat="1" ht="15.75" x14ac:dyDescent="0.25">
      <c r="A37" s="523">
        <v>31</v>
      </c>
      <c r="B37" s="523" t="s">
        <v>818</v>
      </c>
      <c r="C37" s="553">
        <v>6389</v>
      </c>
      <c r="D37" s="476">
        <v>12000</v>
      </c>
      <c r="E37" s="87"/>
      <c r="F37" s="87">
        <v>133.41</v>
      </c>
      <c r="G37" s="87">
        <v>12000</v>
      </c>
      <c r="H37" s="87">
        <f t="shared" si="0"/>
        <v>0</v>
      </c>
      <c r="I37" s="509"/>
      <c r="J37" s="579"/>
      <c r="K37" s="579"/>
      <c r="L37" s="579"/>
      <c r="M37" s="579"/>
      <c r="N37" s="579"/>
      <c r="O37" s="579"/>
      <c r="Q37" s="509">
        <v>800000</v>
      </c>
    </row>
    <row r="38" spans="1:17" s="524" customFormat="1" ht="15.75" x14ac:dyDescent="0.25">
      <c r="A38" s="523">
        <v>32</v>
      </c>
      <c r="B38" s="523" t="s">
        <v>818</v>
      </c>
      <c r="C38" s="553">
        <v>9767</v>
      </c>
      <c r="D38" s="476">
        <v>14000</v>
      </c>
      <c r="E38" s="87"/>
      <c r="F38" s="87">
        <v>155.41</v>
      </c>
      <c r="G38" s="87">
        <v>14000</v>
      </c>
      <c r="H38" s="87">
        <f t="shared" si="0"/>
        <v>0</v>
      </c>
      <c r="I38" s="509"/>
      <c r="J38" s="579"/>
      <c r="K38" s="579"/>
      <c r="L38" s="579"/>
      <c r="M38" s="579"/>
      <c r="N38" s="579"/>
      <c r="O38" s="579"/>
      <c r="Q38" s="509">
        <v>600000</v>
      </c>
    </row>
    <row r="39" spans="1:17" s="524" customFormat="1" ht="18.75" x14ac:dyDescent="0.3">
      <c r="A39" s="523">
        <v>33</v>
      </c>
      <c r="B39" s="523" t="s">
        <v>818</v>
      </c>
      <c r="C39" s="553">
        <v>3430</v>
      </c>
      <c r="D39" s="476">
        <v>29000</v>
      </c>
      <c r="E39" s="87"/>
      <c r="F39" s="87">
        <v>323.45</v>
      </c>
      <c r="G39" s="87">
        <v>29000</v>
      </c>
      <c r="H39" s="87">
        <f t="shared" si="0"/>
        <v>0</v>
      </c>
      <c r="I39" s="509"/>
      <c r="J39" s="579"/>
      <c r="K39" s="579"/>
      <c r="L39" s="579"/>
      <c r="M39" s="579"/>
      <c r="N39" s="579"/>
      <c r="O39" s="579"/>
      <c r="Q39" s="550">
        <v>100000</v>
      </c>
    </row>
    <row r="40" spans="1:17" s="524" customFormat="1" ht="15.75" x14ac:dyDescent="0.25">
      <c r="A40" s="523">
        <v>34</v>
      </c>
      <c r="B40" s="523" t="s">
        <v>818</v>
      </c>
      <c r="C40" s="553">
        <v>2435</v>
      </c>
      <c r="D40" s="476">
        <v>25000</v>
      </c>
      <c r="E40" s="87"/>
      <c r="F40" s="87">
        <v>278.22000000000003</v>
      </c>
      <c r="G40" s="87">
        <v>25000</v>
      </c>
      <c r="H40" s="87">
        <f t="shared" si="0"/>
        <v>0</v>
      </c>
      <c r="I40" s="509"/>
      <c r="J40" s="579"/>
      <c r="K40" s="579"/>
      <c r="L40" s="579"/>
      <c r="M40" s="579"/>
      <c r="N40" s="579"/>
      <c r="O40" s="579"/>
      <c r="Q40" s="509">
        <v>500000</v>
      </c>
    </row>
    <row r="41" spans="1:17" s="524" customFormat="1" ht="18.75" x14ac:dyDescent="0.3">
      <c r="A41" s="523">
        <v>35</v>
      </c>
      <c r="B41" s="523" t="s">
        <v>818</v>
      </c>
      <c r="C41" s="553">
        <v>5.6399999999999999E-2</v>
      </c>
      <c r="D41" s="476">
        <v>14000</v>
      </c>
      <c r="E41" s="87"/>
      <c r="F41" s="87">
        <v>155.41</v>
      </c>
      <c r="G41" s="87">
        <v>14000</v>
      </c>
      <c r="H41" s="87">
        <f t="shared" si="0"/>
        <v>0</v>
      </c>
      <c r="I41" s="550"/>
      <c r="J41" s="579"/>
      <c r="K41" s="579"/>
      <c r="L41" s="579"/>
      <c r="M41" s="579"/>
      <c r="N41" s="579"/>
      <c r="O41" s="579"/>
      <c r="Q41" s="509">
        <v>400000</v>
      </c>
    </row>
    <row r="42" spans="1:17" s="524" customFormat="1" ht="15.75" x14ac:dyDescent="0.25">
      <c r="A42" s="523">
        <v>36</v>
      </c>
      <c r="B42" s="523" t="s">
        <v>818</v>
      </c>
      <c r="C42" s="553">
        <v>3839</v>
      </c>
      <c r="D42" s="476">
        <v>16000</v>
      </c>
      <c r="E42" s="87"/>
      <c r="F42" s="87">
        <v>178.22</v>
      </c>
      <c r="G42" s="87">
        <v>16000</v>
      </c>
      <c r="H42" s="87">
        <f t="shared" si="0"/>
        <v>0</v>
      </c>
      <c r="I42" s="509"/>
      <c r="J42" s="579"/>
      <c r="K42" s="579"/>
      <c r="L42" s="579"/>
      <c r="M42" s="579"/>
      <c r="N42" s="579"/>
      <c r="O42" s="579"/>
    </row>
    <row r="43" spans="1:17" s="524" customFormat="1" ht="15.75" x14ac:dyDescent="0.25">
      <c r="A43" s="523">
        <v>37</v>
      </c>
      <c r="B43" s="523" t="s">
        <v>818</v>
      </c>
      <c r="C43" s="553" t="s">
        <v>30</v>
      </c>
      <c r="D43" s="476">
        <v>5000</v>
      </c>
      <c r="E43" s="87"/>
      <c r="F43" s="87">
        <v>55.45</v>
      </c>
      <c r="G43" s="87">
        <v>5000</v>
      </c>
      <c r="H43" s="87">
        <f t="shared" si="0"/>
        <v>0</v>
      </c>
      <c r="I43" s="509"/>
      <c r="J43" s="579"/>
      <c r="K43" s="579"/>
      <c r="L43" s="579"/>
      <c r="M43" s="579"/>
      <c r="N43" s="579"/>
      <c r="O43" s="579"/>
    </row>
    <row r="44" spans="1:17" s="524" customFormat="1" ht="15.75" x14ac:dyDescent="0.25">
      <c r="A44" s="523">
        <v>38</v>
      </c>
      <c r="B44" s="523" t="s">
        <v>818</v>
      </c>
      <c r="C44" s="553" t="s">
        <v>819</v>
      </c>
      <c r="D44" s="476">
        <v>3500</v>
      </c>
      <c r="E44" s="87"/>
      <c r="F44" s="87">
        <v>38.450000000000003</v>
      </c>
      <c r="G44" s="87">
        <v>3500</v>
      </c>
      <c r="H44" s="87">
        <f t="shared" si="0"/>
        <v>0</v>
      </c>
      <c r="I44" s="509"/>
      <c r="J44" s="525"/>
      <c r="K44" s="398"/>
      <c r="L44" s="398"/>
      <c r="M44" s="398"/>
      <c r="N44" s="86"/>
    </row>
    <row r="45" spans="1:17" s="524" customFormat="1" ht="15.75" x14ac:dyDescent="0.25">
      <c r="A45" s="523">
        <v>39</v>
      </c>
      <c r="B45" s="523" t="s">
        <v>818</v>
      </c>
      <c r="C45" s="553">
        <v>9903</v>
      </c>
      <c r="D45" s="476">
        <v>23000</v>
      </c>
      <c r="E45" s="87"/>
      <c r="F45" s="87">
        <v>256.27999999999997</v>
      </c>
      <c r="G45" s="87">
        <v>23000</v>
      </c>
      <c r="H45" s="87">
        <f t="shared" si="0"/>
        <v>0</v>
      </c>
      <c r="I45" s="509"/>
      <c r="J45" s="525"/>
      <c r="K45" s="398"/>
      <c r="L45" s="398"/>
      <c r="M45" s="398"/>
      <c r="N45" s="86"/>
    </row>
    <row r="46" spans="1:17" s="524" customFormat="1" ht="15.75" x14ac:dyDescent="0.25">
      <c r="A46" s="523">
        <v>40</v>
      </c>
      <c r="B46" s="523" t="s">
        <v>818</v>
      </c>
      <c r="C46" s="553">
        <v>4352</v>
      </c>
      <c r="D46" s="476">
        <v>25000</v>
      </c>
      <c r="E46" s="87"/>
      <c r="F46" s="87">
        <v>278.22000000000003</v>
      </c>
      <c r="G46" s="87">
        <v>25000</v>
      </c>
      <c r="H46" s="87">
        <f t="shared" si="0"/>
        <v>0</v>
      </c>
      <c r="I46" s="509"/>
      <c r="J46" s="525"/>
      <c r="K46" s="398"/>
      <c r="L46" s="398"/>
      <c r="M46" s="398"/>
      <c r="N46" s="86"/>
    </row>
    <row r="47" spans="1:17" s="524" customFormat="1" ht="15.75" x14ac:dyDescent="0.25">
      <c r="A47" s="523">
        <v>41</v>
      </c>
      <c r="B47" s="523" t="s">
        <v>818</v>
      </c>
      <c r="C47" s="553">
        <v>9458</v>
      </c>
      <c r="D47" s="476">
        <v>30000</v>
      </c>
      <c r="E47" s="87"/>
      <c r="F47" s="87">
        <v>334.82</v>
      </c>
      <c r="G47" s="87">
        <v>30000</v>
      </c>
      <c r="H47" s="87">
        <f t="shared" si="0"/>
        <v>0</v>
      </c>
      <c r="I47" s="509"/>
      <c r="J47" s="525"/>
      <c r="K47" s="398"/>
      <c r="L47" s="398"/>
      <c r="M47" s="398"/>
      <c r="N47" s="86"/>
    </row>
    <row r="48" spans="1:17" s="524" customFormat="1" ht="15.75" x14ac:dyDescent="0.25">
      <c r="A48" s="523">
        <v>42</v>
      </c>
      <c r="B48" s="523" t="s">
        <v>818</v>
      </c>
      <c r="C48" s="553">
        <v>9457</v>
      </c>
      <c r="D48" s="476">
        <v>30000</v>
      </c>
      <c r="E48" s="87"/>
      <c r="F48" s="87">
        <v>334.82</v>
      </c>
      <c r="G48" s="87">
        <v>30000</v>
      </c>
      <c r="H48" s="87">
        <f t="shared" si="0"/>
        <v>0</v>
      </c>
      <c r="I48" s="509"/>
      <c r="J48" s="525"/>
      <c r="K48" s="398"/>
      <c r="L48" s="398"/>
      <c r="M48" s="398"/>
      <c r="N48" s="86"/>
    </row>
    <row r="49" spans="1:14" s="524" customFormat="1" ht="15.75" x14ac:dyDescent="0.25">
      <c r="A49" s="523">
        <v>43</v>
      </c>
      <c r="B49" s="523" t="s">
        <v>818</v>
      </c>
      <c r="C49" s="553">
        <v>6459</v>
      </c>
      <c r="D49" s="476">
        <v>30000</v>
      </c>
      <c r="E49" s="87"/>
      <c r="F49" s="87">
        <v>334.82</v>
      </c>
      <c r="G49" s="87">
        <v>30000</v>
      </c>
      <c r="H49" s="87">
        <f t="shared" si="0"/>
        <v>0</v>
      </c>
      <c r="I49" s="509"/>
      <c r="J49" s="525"/>
      <c r="K49" s="398"/>
      <c r="L49" s="398"/>
      <c r="M49" s="398"/>
      <c r="N49" s="86"/>
    </row>
    <row r="50" spans="1:14" s="524" customFormat="1" ht="15.75" x14ac:dyDescent="0.25">
      <c r="A50" s="523">
        <v>44</v>
      </c>
      <c r="B50" s="523" t="s">
        <v>818</v>
      </c>
      <c r="C50" s="553">
        <v>3808</v>
      </c>
      <c r="D50" s="476">
        <v>20000</v>
      </c>
      <c r="E50" s="87"/>
      <c r="F50" s="87">
        <v>222.22</v>
      </c>
      <c r="G50" s="87">
        <v>20000</v>
      </c>
      <c r="H50" s="87">
        <f t="shared" si="0"/>
        <v>0</v>
      </c>
      <c r="I50" s="509"/>
      <c r="J50" s="525"/>
      <c r="K50" s="398"/>
      <c r="L50" s="398"/>
      <c r="M50" s="398"/>
      <c r="N50" s="86"/>
    </row>
    <row r="51" spans="1:14" s="524" customFormat="1" ht="15.75" x14ac:dyDescent="0.25">
      <c r="A51" s="523">
        <v>45</v>
      </c>
      <c r="B51" s="523" t="s">
        <v>818</v>
      </c>
      <c r="C51" s="553">
        <v>2815</v>
      </c>
      <c r="D51" s="476">
        <v>10000</v>
      </c>
      <c r="E51" s="87"/>
      <c r="F51" s="87">
        <v>111.42</v>
      </c>
      <c r="G51" s="87">
        <v>10000</v>
      </c>
      <c r="H51" s="87">
        <f t="shared" si="0"/>
        <v>0</v>
      </c>
      <c r="I51" s="509"/>
      <c r="J51" s="525"/>
      <c r="K51" s="398"/>
      <c r="L51" s="398"/>
      <c r="M51" s="398"/>
      <c r="N51" s="86"/>
    </row>
    <row r="52" spans="1:14" s="524" customFormat="1" ht="15.75" x14ac:dyDescent="0.25">
      <c r="A52" s="523">
        <v>46</v>
      </c>
      <c r="B52" s="523" t="s">
        <v>818</v>
      </c>
      <c r="C52" s="553">
        <v>6018</v>
      </c>
      <c r="D52" s="476">
        <v>8000</v>
      </c>
      <c r="E52" s="87"/>
      <c r="F52" s="87">
        <v>89.42</v>
      </c>
      <c r="G52" s="87">
        <v>8000</v>
      </c>
      <c r="H52" s="87">
        <f t="shared" si="0"/>
        <v>0</v>
      </c>
      <c r="I52" s="509"/>
      <c r="J52" s="525"/>
      <c r="K52" s="398"/>
      <c r="L52" s="398"/>
      <c r="M52" s="398"/>
      <c r="N52" s="86"/>
    </row>
    <row r="53" spans="1:14" s="524" customFormat="1" ht="15.75" x14ac:dyDescent="0.25">
      <c r="A53" s="523">
        <v>47</v>
      </c>
      <c r="B53" s="523" t="s">
        <v>818</v>
      </c>
      <c r="C53" s="553">
        <v>9386</v>
      </c>
      <c r="D53" s="476">
        <v>26000</v>
      </c>
      <c r="E53" s="87"/>
      <c r="F53" s="87">
        <v>267.48</v>
      </c>
      <c r="G53" s="87">
        <v>26000</v>
      </c>
      <c r="H53" s="87">
        <f t="shared" si="0"/>
        <v>0</v>
      </c>
      <c r="I53" s="509"/>
      <c r="J53" s="525"/>
      <c r="K53" s="398"/>
      <c r="L53" s="398"/>
      <c r="M53" s="398"/>
      <c r="N53" s="86"/>
    </row>
    <row r="54" spans="1:14" s="524" customFormat="1" ht="15.75" x14ac:dyDescent="0.25">
      <c r="A54" s="523">
        <v>48</v>
      </c>
      <c r="B54" s="523" t="s">
        <v>818</v>
      </c>
      <c r="C54" s="553">
        <v>8486</v>
      </c>
      <c r="D54" s="476">
        <v>26000</v>
      </c>
      <c r="E54" s="87"/>
      <c r="F54" s="87">
        <v>267.48</v>
      </c>
      <c r="G54" s="87">
        <v>26000</v>
      </c>
      <c r="H54" s="87">
        <f t="shared" si="0"/>
        <v>0</v>
      </c>
      <c r="I54" s="509"/>
      <c r="J54" s="525"/>
      <c r="K54" s="398"/>
      <c r="L54" s="398"/>
      <c r="M54" s="398"/>
      <c r="N54" s="86"/>
    </row>
    <row r="55" spans="1:14" s="524" customFormat="1" ht="15.75" x14ac:dyDescent="0.25">
      <c r="A55" s="523">
        <v>49</v>
      </c>
      <c r="B55" s="523" t="s">
        <v>818</v>
      </c>
      <c r="C55" s="553" t="s">
        <v>66</v>
      </c>
      <c r="D55" s="476">
        <v>100</v>
      </c>
      <c r="E55" s="87"/>
      <c r="F55" s="87">
        <v>1.0900000000000001</v>
      </c>
      <c r="G55" s="87">
        <v>100</v>
      </c>
      <c r="H55" s="87">
        <f t="shared" si="0"/>
        <v>0</v>
      </c>
      <c r="I55" s="509"/>
      <c r="J55" s="525"/>
      <c r="K55" s="398"/>
      <c r="L55" s="398"/>
      <c r="M55" s="398"/>
      <c r="N55" s="86"/>
    </row>
    <row r="56" spans="1:14" s="524" customFormat="1" ht="15.75" x14ac:dyDescent="0.25">
      <c r="A56" s="523">
        <v>50</v>
      </c>
      <c r="B56" s="523" t="s">
        <v>820</v>
      </c>
      <c r="C56" s="553">
        <v>8105</v>
      </c>
      <c r="D56" s="476">
        <v>19000</v>
      </c>
      <c r="E56" s="87"/>
      <c r="F56" s="87">
        <v>211.87</v>
      </c>
      <c r="G56" s="87">
        <v>19000</v>
      </c>
      <c r="H56" s="87">
        <f t="shared" si="0"/>
        <v>0</v>
      </c>
      <c r="I56" s="509"/>
      <c r="J56" s="525"/>
      <c r="K56" s="398"/>
      <c r="L56" s="398"/>
      <c r="M56" s="398"/>
      <c r="N56" s="86"/>
    </row>
    <row r="57" spans="1:14" s="524" customFormat="1" ht="15.75" x14ac:dyDescent="0.25">
      <c r="A57" s="523">
        <v>51</v>
      </c>
      <c r="B57" s="523" t="s">
        <v>820</v>
      </c>
      <c r="C57" s="553">
        <v>3886</v>
      </c>
      <c r="D57" s="476">
        <v>15000</v>
      </c>
      <c r="E57" s="87"/>
      <c r="F57" s="87">
        <v>167.15</v>
      </c>
      <c r="G57" s="87">
        <v>15000</v>
      </c>
      <c r="H57" s="87">
        <f t="shared" si="0"/>
        <v>0</v>
      </c>
      <c r="I57" s="509"/>
      <c r="J57" s="525"/>
      <c r="K57" s="398"/>
      <c r="L57" s="398"/>
      <c r="M57" s="398"/>
      <c r="N57" s="86"/>
    </row>
    <row r="58" spans="1:14" s="524" customFormat="1" ht="15.75" x14ac:dyDescent="0.25">
      <c r="A58" s="523">
        <v>52</v>
      </c>
      <c r="B58" s="523" t="s">
        <v>820</v>
      </c>
      <c r="C58" s="553">
        <v>4.1500000000000002E-2</v>
      </c>
      <c r="D58" s="476">
        <v>13500</v>
      </c>
      <c r="E58" s="87"/>
      <c r="F58" s="87">
        <v>150.47999999999999</v>
      </c>
      <c r="G58" s="87">
        <v>13500</v>
      </c>
      <c r="H58" s="87">
        <f t="shared" si="0"/>
        <v>0</v>
      </c>
      <c r="I58" s="509"/>
      <c r="J58" s="525"/>
      <c r="K58" s="398"/>
      <c r="L58" s="398"/>
      <c r="M58" s="398"/>
      <c r="N58" s="86"/>
    </row>
    <row r="59" spans="1:14" s="524" customFormat="1" ht="15.75" x14ac:dyDescent="0.25">
      <c r="A59" s="523">
        <v>53</v>
      </c>
      <c r="B59" s="523" t="s">
        <v>820</v>
      </c>
      <c r="C59" s="553">
        <v>7042</v>
      </c>
      <c r="D59" s="476">
        <v>9000</v>
      </c>
      <c r="E59" s="87"/>
      <c r="F59" s="87">
        <v>100.96</v>
      </c>
      <c r="G59" s="87">
        <v>9000</v>
      </c>
      <c r="H59" s="87">
        <f t="shared" si="0"/>
        <v>0</v>
      </c>
      <c r="I59" s="509"/>
      <c r="J59" s="525"/>
      <c r="K59" s="398"/>
      <c r="L59" s="398"/>
      <c r="M59" s="398"/>
      <c r="N59" s="86"/>
    </row>
    <row r="60" spans="1:14" s="524" customFormat="1" ht="15.75" x14ac:dyDescent="0.25">
      <c r="A60" s="523">
        <v>54</v>
      </c>
      <c r="B60" s="523" t="s">
        <v>820</v>
      </c>
      <c r="C60" s="553">
        <v>8.8900000000000007E-2</v>
      </c>
      <c r="D60" s="476">
        <v>13500</v>
      </c>
      <c r="E60" s="87"/>
      <c r="F60" s="87">
        <v>150.57</v>
      </c>
      <c r="G60" s="87">
        <v>13500</v>
      </c>
      <c r="H60" s="87">
        <f t="shared" si="0"/>
        <v>0</v>
      </c>
      <c r="I60" s="509"/>
      <c r="J60" s="525"/>
      <c r="K60" s="398"/>
      <c r="L60" s="398"/>
      <c r="M60" s="398"/>
      <c r="N60" s="86"/>
    </row>
    <row r="61" spans="1:14" s="524" customFormat="1" ht="15.75" x14ac:dyDescent="0.25">
      <c r="A61" s="523">
        <v>55</v>
      </c>
      <c r="B61" s="523" t="s">
        <v>820</v>
      </c>
      <c r="C61" s="553" t="s">
        <v>30</v>
      </c>
      <c r="D61" s="476">
        <v>4500</v>
      </c>
      <c r="E61" s="87"/>
      <c r="F61" s="87">
        <v>50.35</v>
      </c>
      <c r="G61" s="87">
        <v>4500</v>
      </c>
      <c r="H61" s="87">
        <f t="shared" si="0"/>
        <v>0</v>
      </c>
      <c r="I61" s="509"/>
      <c r="J61" s="525"/>
      <c r="K61" s="398"/>
      <c r="L61" s="398"/>
      <c r="M61" s="398"/>
      <c r="N61" s="86"/>
    </row>
    <row r="62" spans="1:14" s="524" customFormat="1" ht="15.75" x14ac:dyDescent="0.25">
      <c r="A62" s="523">
        <v>56</v>
      </c>
      <c r="B62" s="523" t="s">
        <v>820</v>
      </c>
      <c r="C62" s="553" t="s">
        <v>30</v>
      </c>
      <c r="D62" s="476">
        <v>5000</v>
      </c>
      <c r="E62" s="87"/>
      <c r="F62" s="87">
        <v>55.45</v>
      </c>
      <c r="G62" s="87">
        <v>5000</v>
      </c>
      <c r="H62" s="87">
        <f t="shared" si="0"/>
        <v>0</v>
      </c>
      <c r="I62" s="509"/>
      <c r="J62" s="525"/>
      <c r="K62" s="398"/>
      <c r="L62" s="398"/>
      <c r="M62" s="398"/>
      <c r="N62" s="86"/>
    </row>
    <row r="63" spans="1:14" s="524" customFormat="1" ht="15.75" x14ac:dyDescent="0.25">
      <c r="A63" s="523">
        <v>57</v>
      </c>
      <c r="B63" s="523" t="s">
        <v>820</v>
      </c>
      <c r="C63" s="553">
        <v>9569</v>
      </c>
      <c r="D63" s="476">
        <v>7000</v>
      </c>
      <c r="E63" s="87"/>
      <c r="F63" s="87">
        <v>77.569999999999993</v>
      </c>
      <c r="G63" s="87">
        <v>7000</v>
      </c>
      <c r="H63" s="87">
        <f t="shared" si="0"/>
        <v>0</v>
      </c>
      <c r="I63" s="509"/>
      <c r="J63" s="525"/>
      <c r="K63" s="398"/>
      <c r="L63" s="398"/>
      <c r="M63" s="398"/>
      <c r="N63" s="86"/>
    </row>
    <row r="64" spans="1:14" s="524" customFormat="1" ht="15.75" x14ac:dyDescent="0.25">
      <c r="A64" s="523">
        <v>58</v>
      </c>
      <c r="B64" s="523" t="s">
        <v>820</v>
      </c>
      <c r="C64" s="553">
        <v>3127</v>
      </c>
      <c r="D64" s="476">
        <v>25000</v>
      </c>
      <c r="E64" s="87"/>
      <c r="F64" s="87">
        <v>278.22000000000003</v>
      </c>
      <c r="G64" s="87">
        <v>25000</v>
      </c>
      <c r="H64" s="87">
        <f t="shared" si="0"/>
        <v>0</v>
      </c>
      <c r="I64" s="509"/>
      <c r="J64" s="525"/>
      <c r="K64" s="398"/>
      <c r="L64" s="398"/>
      <c r="M64" s="398"/>
      <c r="N64" s="86"/>
    </row>
    <row r="65" spans="1:14" s="524" customFormat="1" ht="15.75" x14ac:dyDescent="0.25">
      <c r="A65" s="523">
        <v>59</v>
      </c>
      <c r="B65" s="523" t="s">
        <v>820</v>
      </c>
      <c r="C65" s="553">
        <v>1950</v>
      </c>
      <c r="D65" s="476">
        <v>33000</v>
      </c>
      <c r="E65" s="87"/>
      <c r="F65" s="87">
        <v>367.38</v>
      </c>
      <c r="G65" s="87">
        <v>33000</v>
      </c>
      <c r="H65" s="87">
        <f t="shared" si="0"/>
        <v>0</v>
      </c>
      <c r="I65" s="509"/>
      <c r="J65" s="525"/>
      <c r="K65" s="398"/>
      <c r="L65" s="398"/>
      <c r="M65" s="398"/>
      <c r="N65" s="86"/>
    </row>
    <row r="66" spans="1:14" s="524" customFormat="1" ht="15.75" x14ac:dyDescent="0.25">
      <c r="A66" s="523">
        <v>60</v>
      </c>
      <c r="B66" s="523" t="s">
        <v>820</v>
      </c>
      <c r="C66" s="553">
        <v>9722</v>
      </c>
      <c r="D66" s="476">
        <v>25000</v>
      </c>
      <c r="E66" s="87"/>
      <c r="F66" s="87">
        <v>278.22000000000003</v>
      </c>
      <c r="G66" s="87">
        <v>25000</v>
      </c>
      <c r="H66" s="87">
        <f t="shared" si="0"/>
        <v>0</v>
      </c>
      <c r="I66" s="509"/>
      <c r="J66" s="525"/>
      <c r="K66" s="398"/>
      <c r="L66" s="398"/>
      <c r="M66" s="398"/>
      <c r="N66" s="86"/>
    </row>
    <row r="67" spans="1:14" s="524" customFormat="1" ht="15.75" x14ac:dyDescent="0.25">
      <c r="A67" s="523">
        <v>61</v>
      </c>
      <c r="B67" s="523" t="s">
        <v>820</v>
      </c>
      <c r="C67" s="553">
        <v>1491</v>
      </c>
      <c r="D67" s="476">
        <v>14000</v>
      </c>
      <c r="E67" s="87"/>
      <c r="F67" s="87">
        <v>155.44999999999999</v>
      </c>
      <c r="G67" s="87">
        <v>14000</v>
      </c>
      <c r="H67" s="87">
        <f t="shared" si="0"/>
        <v>0</v>
      </c>
      <c r="I67" s="509"/>
      <c r="J67" s="525"/>
      <c r="K67" s="398"/>
      <c r="L67" s="398"/>
      <c r="M67" s="398"/>
      <c r="N67" s="86"/>
    </row>
    <row r="68" spans="1:14" s="524" customFormat="1" ht="15.75" x14ac:dyDescent="0.25">
      <c r="A68" s="523">
        <v>62</v>
      </c>
      <c r="B68" s="523" t="s">
        <v>820</v>
      </c>
      <c r="C68" s="553">
        <v>5152</v>
      </c>
      <c r="D68" s="476">
        <v>16000</v>
      </c>
      <c r="E68" s="87"/>
      <c r="F68" s="87">
        <v>178.22</v>
      </c>
      <c r="G68" s="87">
        <v>16000</v>
      </c>
      <c r="H68" s="87">
        <f t="shared" si="0"/>
        <v>0</v>
      </c>
      <c r="I68" s="509"/>
      <c r="J68" s="525"/>
      <c r="K68" s="398"/>
      <c r="L68" s="398"/>
      <c r="M68" s="398"/>
      <c r="N68" s="86"/>
    </row>
    <row r="69" spans="1:14" s="524" customFormat="1" ht="15.75" x14ac:dyDescent="0.25">
      <c r="A69" s="523">
        <v>63</v>
      </c>
      <c r="B69" s="523" t="s">
        <v>820</v>
      </c>
      <c r="C69" s="553">
        <v>9403</v>
      </c>
      <c r="D69" s="476">
        <v>15000</v>
      </c>
      <c r="E69" s="87"/>
      <c r="F69" s="87">
        <v>167.15</v>
      </c>
      <c r="G69" s="87">
        <v>15000</v>
      </c>
      <c r="H69" s="87">
        <f t="shared" si="0"/>
        <v>0</v>
      </c>
      <c r="I69" s="509"/>
      <c r="J69" s="525"/>
      <c r="K69" s="398"/>
      <c r="L69" s="398"/>
      <c r="M69" s="398"/>
      <c r="N69" s="86"/>
    </row>
    <row r="70" spans="1:14" s="524" customFormat="1" ht="15.75" x14ac:dyDescent="0.25">
      <c r="A70" s="523">
        <v>64</v>
      </c>
      <c r="B70" s="523" t="s">
        <v>820</v>
      </c>
      <c r="C70" s="553">
        <v>5264</v>
      </c>
      <c r="D70" s="476">
        <v>15000</v>
      </c>
      <c r="E70" s="87"/>
      <c r="F70" s="87">
        <v>167.15</v>
      </c>
      <c r="G70" s="87">
        <v>15000</v>
      </c>
      <c r="H70" s="87">
        <f t="shared" si="0"/>
        <v>0</v>
      </c>
      <c r="I70" s="509"/>
      <c r="J70" s="525"/>
      <c r="K70" s="398"/>
      <c r="L70" s="398"/>
      <c r="M70" s="398"/>
      <c r="N70" s="86"/>
    </row>
    <row r="71" spans="1:14" s="524" customFormat="1" ht="15.75" x14ac:dyDescent="0.25">
      <c r="A71" s="523">
        <v>65</v>
      </c>
      <c r="B71" s="523" t="s">
        <v>820</v>
      </c>
      <c r="C71" s="553">
        <v>6092</v>
      </c>
      <c r="D71" s="476">
        <v>16000</v>
      </c>
      <c r="E71" s="87"/>
      <c r="F71" s="87">
        <v>178.22</v>
      </c>
      <c r="G71" s="87">
        <v>16000</v>
      </c>
      <c r="H71" s="87">
        <f t="shared" ref="H71:H134" si="1">D71-G71</f>
        <v>0</v>
      </c>
      <c r="I71" s="509"/>
      <c r="J71" s="525"/>
      <c r="K71" s="398"/>
      <c r="L71" s="398"/>
      <c r="M71" s="398"/>
      <c r="N71" s="86"/>
    </row>
    <row r="72" spans="1:14" s="524" customFormat="1" ht="15.75" x14ac:dyDescent="0.25">
      <c r="A72" s="523">
        <v>66</v>
      </c>
      <c r="B72" s="523" t="s">
        <v>820</v>
      </c>
      <c r="C72" s="553">
        <v>2961</v>
      </c>
      <c r="D72" s="476">
        <v>16000</v>
      </c>
      <c r="E72" s="87"/>
      <c r="F72" s="87">
        <v>178.22</v>
      </c>
      <c r="G72" s="87">
        <v>16000</v>
      </c>
      <c r="H72" s="87">
        <f t="shared" si="1"/>
        <v>0</v>
      </c>
      <c r="I72" s="509"/>
      <c r="J72" s="525"/>
      <c r="K72" s="398"/>
      <c r="L72" s="398"/>
      <c r="M72" s="398"/>
      <c r="N72" s="86"/>
    </row>
    <row r="73" spans="1:14" s="524" customFormat="1" ht="15.75" x14ac:dyDescent="0.25">
      <c r="A73" s="523">
        <v>67</v>
      </c>
      <c r="B73" s="523" t="s">
        <v>820</v>
      </c>
      <c r="C73" s="553">
        <v>3021</v>
      </c>
      <c r="D73" s="476">
        <v>18000</v>
      </c>
      <c r="E73" s="87"/>
      <c r="F73" s="87">
        <v>200.42</v>
      </c>
      <c r="G73" s="87">
        <v>18000</v>
      </c>
      <c r="H73" s="87">
        <f t="shared" si="1"/>
        <v>0</v>
      </c>
      <c r="I73" s="509"/>
      <c r="J73" s="525"/>
      <c r="K73" s="398">
        <f>2603026-2598255</f>
        <v>4771</v>
      </c>
      <c r="L73" s="398" t="s">
        <v>817</v>
      </c>
      <c r="M73" s="398" t="s">
        <v>620</v>
      </c>
      <c r="N73" s="86">
        <f>4771-3482</f>
        <v>1289</v>
      </c>
    </row>
    <row r="74" spans="1:14" s="527" customFormat="1" ht="15.75" x14ac:dyDescent="0.25">
      <c r="A74" s="523">
        <v>68</v>
      </c>
      <c r="B74" s="523" t="s">
        <v>821</v>
      </c>
      <c r="C74" s="553">
        <v>1.95E-2</v>
      </c>
      <c r="D74" s="476">
        <v>20000</v>
      </c>
      <c r="E74" s="87"/>
      <c r="F74" s="87">
        <v>222.82</v>
      </c>
      <c r="G74" s="87">
        <v>20000</v>
      </c>
      <c r="H74" s="87">
        <f t="shared" si="1"/>
        <v>0</v>
      </c>
      <c r="I74" s="509"/>
      <c r="J74" s="525"/>
      <c r="K74" s="398"/>
      <c r="L74" s="398"/>
      <c r="M74" s="398"/>
      <c r="N74" s="86"/>
    </row>
    <row r="75" spans="1:14" s="527" customFormat="1" ht="15.75" x14ac:dyDescent="0.25">
      <c r="A75" s="523">
        <v>69</v>
      </c>
      <c r="B75" s="523" t="s">
        <v>821</v>
      </c>
      <c r="C75" s="553">
        <v>3234</v>
      </c>
      <c r="D75" s="476">
        <v>30000</v>
      </c>
      <c r="E75" s="87"/>
      <c r="F75" s="87">
        <v>334.82</v>
      </c>
      <c r="G75" s="87">
        <v>30000</v>
      </c>
      <c r="H75" s="87">
        <f t="shared" si="1"/>
        <v>0</v>
      </c>
      <c r="I75" s="509"/>
      <c r="J75" s="525"/>
      <c r="K75" s="398"/>
      <c r="L75" s="398"/>
      <c r="M75" s="398"/>
      <c r="N75" s="86"/>
    </row>
    <row r="76" spans="1:14" s="527" customFormat="1" ht="15.75" x14ac:dyDescent="0.25">
      <c r="A76" s="523">
        <v>70</v>
      </c>
      <c r="B76" s="523" t="s">
        <v>821</v>
      </c>
      <c r="C76" s="553">
        <v>2.9899999999999999E-2</v>
      </c>
      <c r="D76" s="476">
        <v>24000</v>
      </c>
      <c r="E76" s="87"/>
      <c r="F76" s="87">
        <v>245.45</v>
      </c>
      <c r="G76" s="87">
        <v>24000</v>
      </c>
      <c r="H76" s="87">
        <f t="shared" si="1"/>
        <v>0</v>
      </c>
      <c r="I76" s="509"/>
      <c r="J76" s="525"/>
      <c r="K76" s="398"/>
      <c r="L76" s="398"/>
      <c r="M76" s="398"/>
      <c r="N76" s="86"/>
    </row>
    <row r="77" spans="1:14" s="527" customFormat="1" ht="15.75" x14ac:dyDescent="0.25">
      <c r="A77" s="523">
        <v>71</v>
      </c>
      <c r="B77" s="523" t="s">
        <v>821</v>
      </c>
      <c r="C77" s="553">
        <v>1833</v>
      </c>
      <c r="D77" s="476">
        <v>20000</v>
      </c>
      <c r="E77" s="87"/>
      <c r="F77" s="87">
        <v>222.82</v>
      </c>
      <c r="G77" s="87">
        <v>20000</v>
      </c>
      <c r="H77" s="87">
        <f t="shared" si="1"/>
        <v>0</v>
      </c>
      <c r="I77" s="509"/>
      <c r="J77" s="525"/>
      <c r="K77" s="398"/>
      <c r="L77" s="398"/>
      <c r="M77" s="398"/>
      <c r="N77" s="86"/>
    </row>
    <row r="78" spans="1:14" s="527" customFormat="1" ht="15.75" x14ac:dyDescent="0.25">
      <c r="A78" s="523">
        <v>72</v>
      </c>
      <c r="B78" s="523" t="s">
        <v>821</v>
      </c>
      <c r="C78" s="553">
        <v>3472</v>
      </c>
      <c r="D78" s="476">
        <v>14000</v>
      </c>
      <c r="E78" s="87"/>
      <c r="F78" s="87">
        <v>155.41999999999999</v>
      </c>
      <c r="G78" s="87">
        <v>14000</v>
      </c>
      <c r="H78" s="87">
        <f t="shared" si="1"/>
        <v>0</v>
      </c>
      <c r="I78" s="509"/>
      <c r="J78" s="525"/>
      <c r="K78" s="398"/>
      <c r="L78" s="398"/>
      <c r="M78" s="398"/>
      <c r="N78" s="86"/>
    </row>
    <row r="79" spans="1:14" s="527" customFormat="1" ht="15.75" x14ac:dyDescent="0.25">
      <c r="A79" s="523">
        <v>73</v>
      </c>
      <c r="B79" s="523" t="s">
        <v>821</v>
      </c>
      <c r="C79" s="553">
        <v>7121</v>
      </c>
      <c r="D79" s="476">
        <v>22100</v>
      </c>
      <c r="E79" s="87"/>
      <c r="F79" s="87">
        <v>246.58</v>
      </c>
      <c r="G79" s="87">
        <v>22100</v>
      </c>
      <c r="H79" s="87">
        <f t="shared" si="1"/>
        <v>0</v>
      </c>
      <c r="I79" s="509"/>
      <c r="J79" s="525"/>
      <c r="K79" s="398"/>
      <c r="L79" s="398"/>
      <c r="M79" s="398"/>
      <c r="N79" s="86"/>
    </row>
    <row r="80" spans="1:14" s="527" customFormat="1" ht="15.75" x14ac:dyDescent="0.25">
      <c r="A80" s="523">
        <v>74</v>
      </c>
      <c r="B80" s="523" t="s">
        <v>821</v>
      </c>
      <c r="C80" s="553">
        <v>6582</v>
      </c>
      <c r="D80" s="476">
        <v>30000</v>
      </c>
      <c r="E80" s="87"/>
      <c r="F80" s="87">
        <v>334.82</v>
      </c>
      <c r="G80" s="87">
        <v>30000</v>
      </c>
      <c r="H80" s="87">
        <f t="shared" si="1"/>
        <v>0</v>
      </c>
      <c r="I80" s="509"/>
      <c r="J80" s="525"/>
      <c r="K80" s="398"/>
      <c r="L80" s="398"/>
      <c r="M80" s="398"/>
      <c r="N80" s="86"/>
    </row>
    <row r="81" spans="1:14" s="527" customFormat="1" ht="15.75" x14ac:dyDescent="0.25">
      <c r="A81" s="523">
        <v>75</v>
      </c>
      <c r="B81" s="523" t="s">
        <v>821</v>
      </c>
      <c r="C81" s="553">
        <v>2045</v>
      </c>
      <c r="D81" s="476">
        <v>15000</v>
      </c>
      <c r="E81" s="87"/>
      <c r="F81" s="87">
        <v>167.15</v>
      </c>
      <c r="G81" s="87">
        <v>15000</v>
      </c>
      <c r="H81" s="87">
        <f t="shared" si="1"/>
        <v>0</v>
      </c>
      <c r="I81" s="509"/>
      <c r="J81" s="525"/>
      <c r="K81" s="398"/>
      <c r="L81" s="398"/>
      <c r="M81" s="398"/>
      <c r="N81" s="86"/>
    </row>
    <row r="82" spans="1:14" s="527" customFormat="1" ht="15.75" x14ac:dyDescent="0.25">
      <c r="A82" s="523">
        <v>76</v>
      </c>
      <c r="B82" s="523" t="s">
        <v>821</v>
      </c>
      <c r="C82" s="553">
        <v>5682</v>
      </c>
      <c r="D82" s="476">
        <v>29500</v>
      </c>
      <c r="E82" s="87"/>
      <c r="F82" s="87">
        <v>328.74</v>
      </c>
      <c r="G82" s="87">
        <v>29500</v>
      </c>
      <c r="H82" s="87">
        <f t="shared" si="1"/>
        <v>0</v>
      </c>
      <c r="I82" s="509"/>
      <c r="J82" s="525"/>
      <c r="K82" s="398"/>
      <c r="L82" s="398"/>
      <c r="M82" s="398"/>
      <c r="N82" s="86"/>
    </row>
    <row r="83" spans="1:14" s="527" customFormat="1" ht="15.75" x14ac:dyDescent="0.25">
      <c r="A83" s="523">
        <v>77</v>
      </c>
      <c r="B83" s="523" t="s">
        <v>821</v>
      </c>
      <c r="C83" s="553">
        <v>1451</v>
      </c>
      <c r="D83" s="476">
        <v>7000</v>
      </c>
      <c r="E83" s="87"/>
      <c r="F83" s="87">
        <v>77.42</v>
      </c>
      <c r="G83" s="87">
        <v>7000</v>
      </c>
      <c r="H83" s="87">
        <f t="shared" si="1"/>
        <v>0</v>
      </c>
      <c r="I83" s="509"/>
      <c r="J83" s="525"/>
      <c r="K83" s="398"/>
      <c r="L83" s="398"/>
      <c r="M83" s="398"/>
      <c r="N83" s="86"/>
    </row>
    <row r="84" spans="1:14" s="527" customFormat="1" ht="15.75" x14ac:dyDescent="0.25">
      <c r="A84" s="523">
        <v>78</v>
      </c>
      <c r="B84" s="523" t="s">
        <v>821</v>
      </c>
      <c r="C84" s="553">
        <v>8.7499999999999994E-2</v>
      </c>
      <c r="D84" s="476">
        <v>20000</v>
      </c>
      <c r="E84" s="87"/>
      <c r="F84" s="87">
        <v>222.82</v>
      </c>
      <c r="G84" s="87">
        <v>20000</v>
      </c>
      <c r="H84" s="87">
        <f t="shared" si="1"/>
        <v>0</v>
      </c>
      <c r="I84" s="509"/>
      <c r="J84" s="525"/>
      <c r="K84" s="398"/>
      <c r="L84" s="398"/>
      <c r="M84" s="398"/>
      <c r="N84" s="86"/>
    </row>
    <row r="85" spans="1:14" s="527" customFormat="1" ht="15.75" x14ac:dyDescent="0.25">
      <c r="A85" s="523">
        <v>79</v>
      </c>
      <c r="B85" s="523" t="s">
        <v>821</v>
      </c>
      <c r="C85" s="553">
        <v>2963</v>
      </c>
      <c r="D85" s="476">
        <v>21000</v>
      </c>
      <c r="E85" s="87"/>
      <c r="F85" s="87">
        <v>228.78</v>
      </c>
      <c r="G85" s="87">
        <v>21000</v>
      </c>
      <c r="H85" s="87">
        <f t="shared" si="1"/>
        <v>0</v>
      </c>
      <c r="I85" s="509"/>
      <c r="J85" s="525"/>
      <c r="K85" s="398"/>
      <c r="L85" s="398"/>
      <c r="M85" s="398"/>
      <c r="N85" s="86"/>
    </row>
    <row r="86" spans="1:14" s="527" customFormat="1" ht="15.75" x14ac:dyDescent="0.25">
      <c r="A86" s="523">
        <v>80</v>
      </c>
      <c r="B86" s="523" t="s">
        <v>821</v>
      </c>
      <c r="C86" s="553">
        <v>8726</v>
      </c>
      <c r="D86" s="476">
        <v>15000</v>
      </c>
      <c r="E86" s="87"/>
      <c r="F86" s="87">
        <v>167.15</v>
      </c>
      <c r="G86" s="87">
        <v>15000</v>
      </c>
      <c r="H86" s="87">
        <f t="shared" si="1"/>
        <v>0</v>
      </c>
      <c r="I86" s="509"/>
      <c r="J86" s="525"/>
      <c r="K86" s="398"/>
      <c r="L86" s="398"/>
      <c r="M86" s="398"/>
      <c r="N86" s="86"/>
    </row>
    <row r="87" spans="1:14" s="527" customFormat="1" ht="15.75" x14ac:dyDescent="0.25">
      <c r="A87" s="523">
        <v>81</v>
      </c>
      <c r="B87" s="523" t="s">
        <v>821</v>
      </c>
      <c r="C87" s="553">
        <v>2962</v>
      </c>
      <c r="D87" s="476">
        <v>20000</v>
      </c>
      <c r="E87" s="87"/>
      <c r="F87" s="87">
        <v>222.82</v>
      </c>
      <c r="G87" s="87">
        <v>20000</v>
      </c>
      <c r="H87" s="87">
        <f t="shared" si="1"/>
        <v>0</v>
      </c>
      <c r="I87" s="509"/>
      <c r="J87" s="525"/>
      <c r="K87" s="398"/>
      <c r="L87" s="398"/>
      <c r="M87" s="398"/>
      <c r="N87" s="86"/>
    </row>
    <row r="88" spans="1:14" s="527" customFormat="1" ht="15.75" x14ac:dyDescent="0.25">
      <c r="A88" s="523">
        <v>82</v>
      </c>
      <c r="B88" s="523" t="s">
        <v>821</v>
      </c>
      <c r="C88" s="553">
        <v>5319</v>
      </c>
      <c r="D88" s="476">
        <v>6000</v>
      </c>
      <c r="E88" s="87"/>
      <c r="F88" s="87">
        <v>66.67</v>
      </c>
      <c r="G88" s="87">
        <v>6000</v>
      </c>
      <c r="H88" s="87">
        <f t="shared" si="1"/>
        <v>0</v>
      </c>
      <c r="I88" s="509"/>
      <c r="J88" s="525"/>
      <c r="K88" s="398"/>
      <c r="L88" s="398"/>
      <c r="M88" s="398"/>
      <c r="N88" s="86"/>
    </row>
    <row r="89" spans="1:14" s="527" customFormat="1" ht="15.75" x14ac:dyDescent="0.25">
      <c r="A89" s="523">
        <v>83</v>
      </c>
      <c r="B89" s="523" t="s">
        <v>821</v>
      </c>
      <c r="C89" s="553">
        <v>6979</v>
      </c>
      <c r="D89" s="476">
        <v>21000</v>
      </c>
      <c r="E89" s="87"/>
      <c r="F89" s="87">
        <v>228.78</v>
      </c>
      <c r="G89" s="87">
        <v>21000</v>
      </c>
      <c r="H89" s="87">
        <f t="shared" si="1"/>
        <v>0</v>
      </c>
      <c r="I89" s="509"/>
      <c r="J89" s="525"/>
      <c r="K89" s="398"/>
      <c r="L89" s="398"/>
      <c r="M89" s="398"/>
      <c r="N89" s="86"/>
    </row>
    <row r="90" spans="1:14" s="527" customFormat="1" ht="15.75" x14ac:dyDescent="0.25">
      <c r="A90" s="523">
        <v>84</v>
      </c>
      <c r="B90" s="523" t="s">
        <v>821</v>
      </c>
      <c r="C90" s="553">
        <v>8169</v>
      </c>
      <c r="D90" s="476">
        <v>24000</v>
      </c>
      <c r="E90" s="87"/>
      <c r="F90" s="87">
        <v>245.45</v>
      </c>
      <c r="G90" s="87">
        <v>24000</v>
      </c>
      <c r="H90" s="87">
        <f t="shared" si="1"/>
        <v>0</v>
      </c>
      <c r="I90" s="509"/>
      <c r="J90" s="525"/>
      <c r="K90" s="398"/>
      <c r="L90" s="398"/>
      <c r="M90" s="398"/>
      <c r="N90" s="86"/>
    </row>
    <row r="91" spans="1:14" s="527" customFormat="1" ht="15.75" x14ac:dyDescent="0.25">
      <c r="A91" s="523">
        <v>85</v>
      </c>
      <c r="B91" s="523" t="s">
        <v>821</v>
      </c>
      <c r="C91" s="553">
        <v>6908</v>
      </c>
      <c r="D91" s="476">
        <v>15000</v>
      </c>
      <c r="E91" s="87"/>
      <c r="F91" s="87">
        <v>167.15</v>
      </c>
      <c r="G91" s="87">
        <v>15000</v>
      </c>
      <c r="H91" s="87">
        <f t="shared" si="1"/>
        <v>0</v>
      </c>
      <c r="I91" s="509"/>
      <c r="J91" s="525"/>
      <c r="K91" s="398"/>
      <c r="L91" s="398"/>
      <c r="M91" s="398"/>
      <c r="N91" s="86"/>
    </row>
    <row r="92" spans="1:14" s="527" customFormat="1" ht="15.75" x14ac:dyDescent="0.25">
      <c r="A92" s="523">
        <v>86</v>
      </c>
      <c r="B92" s="523" t="s">
        <v>821</v>
      </c>
      <c r="C92" s="553">
        <v>7908</v>
      </c>
      <c r="D92" s="476">
        <v>35000</v>
      </c>
      <c r="E92" s="87"/>
      <c r="F92" s="87">
        <v>389.38</v>
      </c>
      <c r="G92" s="87">
        <v>35000</v>
      </c>
      <c r="H92" s="87">
        <f t="shared" si="1"/>
        <v>0</v>
      </c>
      <c r="I92" s="509"/>
      <c r="J92" s="525"/>
      <c r="K92" s="398"/>
      <c r="L92" s="398"/>
      <c r="M92" s="398"/>
      <c r="N92" s="86"/>
    </row>
    <row r="93" spans="1:14" s="527" customFormat="1" ht="15.75" x14ac:dyDescent="0.25">
      <c r="A93" s="523">
        <v>87</v>
      </c>
      <c r="B93" s="523" t="s">
        <v>821</v>
      </c>
      <c r="C93" s="553">
        <v>9239</v>
      </c>
      <c r="D93" s="476">
        <v>25000</v>
      </c>
      <c r="E93" s="87"/>
      <c r="F93" s="87">
        <v>278.22000000000003</v>
      </c>
      <c r="G93" s="87">
        <v>25000</v>
      </c>
      <c r="H93" s="87">
        <f t="shared" si="1"/>
        <v>0</v>
      </c>
      <c r="I93" s="509"/>
      <c r="J93" s="525"/>
      <c r="K93" s="398"/>
      <c r="L93" s="398"/>
      <c r="M93" s="398"/>
      <c r="N93" s="86"/>
    </row>
    <row r="94" spans="1:14" s="527" customFormat="1" ht="15.75" x14ac:dyDescent="0.25">
      <c r="A94" s="523">
        <v>88</v>
      </c>
      <c r="B94" s="523" t="s">
        <v>821</v>
      </c>
      <c r="C94" s="553">
        <v>5185</v>
      </c>
      <c r="D94" s="476">
        <v>20000</v>
      </c>
      <c r="E94" s="87"/>
      <c r="F94" s="87">
        <v>222.82</v>
      </c>
      <c r="G94" s="87">
        <v>20000</v>
      </c>
      <c r="H94" s="87">
        <f t="shared" si="1"/>
        <v>0</v>
      </c>
      <c r="I94" s="509"/>
      <c r="J94" s="525"/>
      <c r="K94" s="398"/>
      <c r="L94" s="398"/>
      <c r="M94" s="398"/>
      <c r="N94" s="86"/>
    </row>
    <row r="95" spans="1:14" s="527" customFormat="1" ht="15.75" x14ac:dyDescent="0.25">
      <c r="A95" s="523">
        <v>89</v>
      </c>
      <c r="B95" s="523" t="s">
        <v>821</v>
      </c>
      <c r="C95" s="553">
        <v>7345</v>
      </c>
      <c r="D95" s="476">
        <v>14000</v>
      </c>
      <c r="E95" s="87"/>
      <c r="F95" s="87">
        <v>155.41999999999999</v>
      </c>
      <c r="G95" s="87">
        <v>14000</v>
      </c>
      <c r="H95" s="87">
        <f t="shared" si="1"/>
        <v>0</v>
      </c>
      <c r="I95" s="509"/>
      <c r="J95" s="525"/>
      <c r="K95" s="398"/>
      <c r="L95" s="398"/>
      <c r="M95" s="398"/>
      <c r="N95" s="86"/>
    </row>
    <row r="96" spans="1:14" s="527" customFormat="1" ht="15.75" x14ac:dyDescent="0.25">
      <c r="A96" s="523">
        <v>90</v>
      </c>
      <c r="B96" s="523" t="s">
        <v>821</v>
      </c>
      <c r="C96" s="553">
        <v>9412</v>
      </c>
      <c r="D96" s="476">
        <v>26100</v>
      </c>
      <c r="E96" s="87"/>
      <c r="F96" s="87">
        <v>290.68</v>
      </c>
      <c r="G96" s="87">
        <v>26100</v>
      </c>
      <c r="H96" s="87">
        <f t="shared" si="1"/>
        <v>0</v>
      </c>
      <c r="I96" s="509"/>
      <c r="J96" s="525"/>
      <c r="K96" s="398"/>
      <c r="L96" s="398"/>
      <c r="M96" s="398"/>
      <c r="N96" s="86"/>
    </row>
    <row r="97" spans="1:14" s="527" customFormat="1" ht="15.75" x14ac:dyDescent="0.25">
      <c r="A97" s="523">
        <v>91</v>
      </c>
      <c r="B97" s="523" t="s">
        <v>821</v>
      </c>
      <c r="C97" s="553" t="s">
        <v>66</v>
      </c>
      <c r="D97" s="476">
        <v>210</v>
      </c>
      <c r="E97" s="87"/>
      <c r="F97" s="87">
        <v>2.09</v>
      </c>
      <c r="G97" s="87">
        <v>210</v>
      </c>
      <c r="H97" s="87">
        <f t="shared" si="1"/>
        <v>0</v>
      </c>
      <c r="I97" s="509"/>
      <c r="J97" s="525"/>
      <c r="K97" s="398">
        <f>2476936-2472165</f>
        <v>4771</v>
      </c>
      <c r="L97" s="398" t="s">
        <v>817</v>
      </c>
      <c r="M97" s="398" t="s">
        <v>620</v>
      </c>
      <c r="N97" s="86">
        <f>4771-3482</f>
        <v>1289</v>
      </c>
    </row>
    <row r="98" spans="1:14" s="528" customFormat="1" ht="15.75" x14ac:dyDescent="0.25">
      <c r="A98" s="523">
        <v>92</v>
      </c>
      <c r="B98" s="523" t="s">
        <v>822</v>
      </c>
      <c r="C98" s="553">
        <v>8386</v>
      </c>
      <c r="D98" s="476">
        <v>18000</v>
      </c>
      <c r="E98" s="87"/>
      <c r="F98" s="87">
        <v>200.82</v>
      </c>
      <c r="G98" s="87">
        <v>18000</v>
      </c>
      <c r="H98" s="87">
        <f t="shared" si="1"/>
        <v>0</v>
      </c>
      <c r="I98" s="509"/>
      <c r="J98" s="525"/>
      <c r="K98" s="398"/>
      <c r="L98" s="398"/>
      <c r="M98" s="398"/>
      <c r="N98" s="86"/>
    </row>
    <row r="99" spans="1:14" s="528" customFormat="1" ht="15.75" x14ac:dyDescent="0.25">
      <c r="A99" s="523">
        <v>93</v>
      </c>
      <c r="B99" s="523" t="s">
        <v>822</v>
      </c>
      <c r="C99" s="553" t="s">
        <v>819</v>
      </c>
      <c r="D99" s="476">
        <v>3500</v>
      </c>
      <c r="E99" s="87"/>
      <c r="F99" s="87">
        <v>38.450000000000003</v>
      </c>
      <c r="G99" s="87">
        <v>3500</v>
      </c>
      <c r="H99" s="87">
        <f t="shared" si="1"/>
        <v>0</v>
      </c>
      <c r="I99" s="509"/>
      <c r="J99" s="525"/>
      <c r="K99" s="398"/>
      <c r="L99" s="398"/>
      <c r="M99" s="398"/>
      <c r="N99" s="86"/>
    </row>
    <row r="100" spans="1:14" s="528" customFormat="1" ht="15.75" x14ac:dyDescent="0.25">
      <c r="A100" s="523">
        <v>94</v>
      </c>
      <c r="B100" s="523" t="s">
        <v>822</v>
      </c>
      <c r="C100" s="553" t="s">
        <v>30</v>
      </c>
      <c r="D100" s="476">
        <v>4000</v>
      </c>
      <c r="E100" s="87"/>
      <c r="F100" s="87">
        <v>44.85</v>
      </c>
      <c r="G100" s="87">
        <v>4000</v>
      </c>
      <c r="H100" s="87">
        <f t="shared" si="1"/>
        <v>0</v>
      </c>
      <c r="I100" s="509"/>
      <c r="J100" s="525"/>
      <c r="K100" s="398"/>
      <c r="L100" s="398"/>
      <c r="M100" s="398"/>
      <c r="N100" s="86"/>
    </row>
    <row r="101" spans="1:14" s="528" customFormat="1" ht="15.75" x14ac:dyDescent="0.25">
      <c r="A101" s="523">
        <v>95</v>
      </c>
      <c r="B101" s="523" t="s">
        <v>822</v>
      </c>
      <c r="C101" s="553">
        <v>3839</v>
      </c>
      <c r="D101" s="476">
        <v>16000</v>
      </c>
      <c r="E101" s="87"/>
      <c r="F101" s="87">
        <v>178.22</v>
      </c>
      <c r="G101" s="87">
        <v>16000</v>
      </c>
      <c r="H101" s="87">
        <f t="shared" si="1"/>
        <v>0</v>
      </c>
      <c r="I101" s="509"/>
      <c r="J101" s="525"/>
      <c r="K101" s="398"/>
      <c r="L101" s="398"/>
      <c r="M101" s="398"/>
      <c r="N101" s="86"/>
    </row>
    <row r="102" spans="1:14" s="528" customFormat="1" ht="15.75" x14ac:dyDescent="0.25">
      <c r="A102" s="523">
        <v>96</v>
      </c>
      <c r="B102" s="523" t="s">
        <v>822</v>
      </c>
      <c r="C102" s="553">
        <v>8318</v>
      </c>
      <c r="D102" s="476">
        <v>15000</v>
      </c>
      <c r="E102" s="87"/>
      <c r="F102" s="87">
        <v>167.15</v>
      </c>
      <c r="G102" s="87">
        <v>15000</v>
      </c>
      <c r="H102" s="87">
        <f t="shared" si="1"/>
        <v>0</v>
      </c>
      <c r="I102" s="509"/>
      <c r="J102" s="525"/>
      <c r="K102" s="398"/>
      <c r="L102" s="398"/>
      <c r="M102" s="398"/>
      <c r="N102" s="86"/>
    </row>
    <row r="103" spans="1:14" s="528" customFormat="1" ht="15.75" x14ac:dyDescent="0.25">
      <c r="A103" s="523">
        <v>97</v>
      </c>
      <c r="B103" s="523" t="s">
        <v>822</v>
      </c>
      <c r="C103" s="553">
        <v>5075</v>
      </c>
      <c r="D103" s="476">
        <v>14000</v>
      </c>
      <c r="E103" s="87"/>
      <c r="F103" s="87">
        <v>155.44999999999999</v>
      </c>
      <c r="G103" s="87">
        <v>14000</v>
      </c>
      <c r="H103" s="87">
        <f t="shared" si="1"/>
        <v>0</v>
      </c>
      <c r="I103" s="509"/>
      <c r="J103" s="525"/>
      <c r="K103" s="398"/>
      <c r="L103" s="398"/>
      <c r="M103" s="398"/>
      <c r="N103" s="86"/>
    </row>
    <row r="104" spans="1:14" s="528" customFormat="1" ht="15.75" x14ac:dyDescent="0.25">
      <c r="A104" s="523">
        <v>98</v>
      </c>
      <c r="B104" s="523" t="s">
        <v>822</v>
      </c>
      <c r="C104" s="553">
        <v>5152</v>
      </c>
      <c r="D104" s="476">
        <v>16000</v>
      </c>
      <c r="E104" s="87"/>
      <c r="F104" s="87">
        <v>178.22</v>
      </c>
      <c r="G104" s="87">
        <v>16000</v>
      </c>
      <c r="H104" s="87">
        <f t="shared" si="1"/>
        <v>0</v>
      </c>
      <c r="I104" s="509"/>
      <c r="J104" s="525"/>
      <c r="K104" s="398"/>
      <c r="L104" s="398"/>
      <c r="M104" s="398"/>
      <c r="N104" s="86"/>
    </row>
    <row r="105" spans="1:14" s="528" customFormat="1" ht="15.75" x14ac:dyDescent="0.25">
      <c r="A105" s="523">
        <v>99</v>
      </c>
      <c r="B105" s="523" t="s">
        <v>822</v>
      </c>
      <c r="C105" s="553">
        <v>6012</v>
      </c>
      <c r="D105" s="476">
        <v>15000</v>
      </c>
      <c r="E105" s="87"/>
      <c r="F105" s="87">
        <v>167.15</v>
      </c>
      <c r="G105" s="87">
        <v>15000</v>
      </c>
      <c r="H105" s="87">
        <f t="shared" si="1"/>
        <v>0</v>
      </c>
      <c r="I105" s="509"/>
      <c r="J105" s="525"/>
      <c r="K105" s="398"/>
      <c r="L105" s="398"/>
      <c r="M105" s="398"/>
      <c r="N105" s="86"/>
    </row>
    <row r="106" spans="1:14" s="528" customFormat="1" ht="15.75" x14ac:dyDescent="0.25">
      <c r="A106" s="523">
        <v>100</v>
      </c>
      <c r="B106" s="523" t="s">
        <v>822</v>
      </c>
      <c r="C106" s="553">
        <v>9515</v>
      </c>
      <c r="D106" s="476">
        <v>18000</v>
      </c>
      <c r="E106" s="87"/>
      <c r="F106" s="87">
        <v>200.82</v>
      </c>
      <c r="G106" s="87">
        <v>18000</v>
      </c>
      <c r="H106" s="87">
        <f t="shared" si="1"/>
        <v>0</v>
      </c>
      <c r="I106" s="509"/>
      <c r="J106" s="525"/>
      <c r="K106" s="398"/>
      <c r="L106" s="398"/>
      <c r="M106" s="398"/>
      <c r="N106" s="86"/>
    </row>
    <row r="107" spans="1:14" s="528" customFormat="1" ht="15.75" x14ac:dyDescent="0.25">
      <c r="A107" s="523">
        <v>101</v>
      </c>
      <c r="B107" s="523" t="s">
        <v>822</v>
      </c>
      <c r="C107" s="553">
        <v>6618</v>
      </c>
      <c r="D107" s="476">
        <v>18000</v>
      </c>
      <c r="E107" s="87"/>
      <c r="F107" s="87">
        <v>200.82</v>
      </c>
      <c r="G107" s="87">
        <v>18000</v>
      </c>
      <c r="H107" s="87">
        <f t="shared" si="1"/>
        <v>0</v>
      </c>
      <c r="I107" s="509"/>
      <c r="J107" s="525"/>
      <c r="K107" s="398"/>
      <c r="L107" s="398"/>
      <c r="M107" s="398"/>
      <c r="N107" s="86"/>
    </row>
    <row r="108" spans="1:14" s="528" customFormat="1" ht="15.75" x14ac:dyDescent="0.25">
      <c r="A108" s="523">
        <v>102</v>
      </c>
      <c r="B108" s="523" t="s">
        <v>822</v>
      </c>
      <c r="C108" s="553">
        <v>3015</v>
      </c>
      <c r="D108" s="476">
        <v>15000</v>
      </c>
      <c r="E108" s="87"/>
      <c r="F108" s="87">
        <v>167.15</v>
      </c>
      <c r="G108" s="87">
        <v>15000</v>
      </c>
      <c r="H108" s="87">
        <f t="shared" si="1"/>
        <v>0</v>
      </c>
      <c r="I108" s="509"/>
      <c r="J108" s="525"/>
      <c r="K108" s="398"/>
      <c r="L108" s="398"/>
      <c r="M108" s="398"/>
      <c r="N108" s="86"/>
    </row>
    <row r="109" spans="1:14" s="528" customFormat="1" ht="15.75" x14ac:dyDescent="0.25">
      <c r="A109" s="523">
        <v>103</v>
      </c>
      <c r="B109" s="523" t="s">
        <v>822</v>
      </c>
      <c r="C109" s="553">
        <v>7450</v>
      </c>
      <c r="D109" s="476">
        <v>15000</v>
      </c>
      <c r="E109" s="87"/>
      <c r="F109" s="87">
        <v>167.15</v>
      </c>
      <c r="G109" s="87">
        <v>15000</v>
      </c>
      <c r="H109" s="87">
        <f t="shared" si="1"/>
        <v>0</v>
      </c>
      <c r="I109" s="509"/>
      <c r="J109" s="525"/>
      <c r="K109" s="398"/>
      <c r="L109" s="398"/>
      <c r="M109" s="398"/>
      <c r="N109" s="86"/>
    </row>
    <row r="110" spans="1:14" s="528" customFormat="1" ht="15.75" x14ac:dyDescent="0.25">
      <c r="A110" s="523">
        <v>104</v>
      </c>
      <c r="B110" s="523" t="s">
        <v>822</v>
      </c>
      <c r="C110" s="553" t="s">
        <v>30</v>
      </c>
      <c r="D110" s="476">
        <v>5000</v>
      </c>
      <c r="E110" s="87"/>
      <c r="F110" s="87">
        <v>55.85</v>
      </c>
      <c r="G110" s="87">
        <v>5000</v>
      </c>
      <c r="H110" s="87">
        <f t="shared" si="1"/>
        <v>0</v>
      </c>
      <c r="I110" s="509"/>
      <c r="J110" s="525"/>
      <c r="K110" s="398"/>
      <c r="L110" s="398"/>
      <c r="M110" s="398"/>
      <c r="N110" s="86"/>
    </row>
    <row r="111" spans="1:14" s="528" customFormat="1" ht="15.75" x14ac:dyDescent="0.25">
      <c r="A111" s="523">
        <v>105</v>
      </c>
      <c r="B111" s="523" t="s">
        <v>822</v>
      </c>
      <c r="C111" s="553">
        <v>1091</v>
      </c>
      <c r="D111" s="476">
        <v>20000</v>
      </c>
      <c r="E111" s="87"/>
      <c r="F111" s="87">
        <v>222.82</v>
      </c>
      <c r="G111" s="87">
        <v>20000</v>
      </c>
      <c r="H111" s="87">
        <f t="shared" si="1"/>
        <v>0</v>
      </c>
      <c r="I111" s="509"/>
      <c r="J111" s="525"/>
      <c r="K111" s="398"/>
      <c r="L111" s="398"/>
      <c r="M111" s="398"/>
      <c r="N111" s="86"/>
    </row>
    <row r="112" spans="1:14" s="528" customFormat="1" ht="15.75" x14ac:dyDescent="0.25">
      <c r="A112" s="523">
        <v>106</v>
      </c>
      <c r="B112" s="523" t="s">
        <v>822</v>
      </c>
      <c r="C112" s="553">
        <v>2961</v>
      </c>
      <c r="D112" s="476">
        <v>15000</v>
      </c>
      <c r="E112" s="87"/>
      <c r="F112" s="87">
        <v>167.15</v>
      </c>
      <c r="G112" s="87">
        <v>15000</v>
      </c>
      <c r="H112" s="87">
        <f t="shared" si="1"/>
        <v>0</v>
      </c>
      <c r="I112" s="509"/>
      <c r="J112" s="525"/>
      <c r="K112" s="398"/>
      <c r="L112" s="398"/>
      <c r="M112" s="398"/>
      <c r="N112" s="86"/>
    </row>
    <row r="113" spans="1:14" s="528" customFormat="1" ht="15.75" x14ac:dyDescent="0.25">
      <c r="A113" s="523">
        <v>107</v>
      </c>
      <c r="B113" s="523" t="s">
        <v>822</v>
      </c>
      <c r="C113" s="553">
        <v>7258</v>
      </c>
      <c r="D113" s="476">
        <v>30000</v>
      </c>
      <c r="E113" s="87"/>
      <c r="F113" s="87">
        <v>334.82</v>
      </c>
      <c r="G113" s="87">
        <v>30000</v>
      </c>
      <c r="H113" s="87">
        <f t="shared" si="1"/>
        <v>0</v>
      </c>
      <c r="I113" s="509"/>
      <c r="J113" s="525"/>
      <c r="K113" s="398"/>
      <c r="L113" s="398"/>
      <c r="M113" s="398"/>
      <c r="N113" s="86"/>
    </row>
    <row r="114" spans="1:14" s="528" customFormat="1" ht="15.75" x14ac:dyDescent="0.25">
      <c r="A114" s="523">
        <v>108</v>
      </c>
      <c r="B114" s="523" t="s">
        <v>822</v>
      </c>
      <c r="C114" s="553">
        <v>8963</v>
      </c>
      <c r="D114" s="476">
        <v>28000</v>
      </c>
      <c r="E114" s="87"/>
      <c r="F114" s="87">
        <v>311.74</v>
      </c>
      <c r="G114" s="87">
        <v>28000</v>
      </c>
      <c r="H114" s="87">
        <f t="shared" si="1"/>
        <v>0</v>
      </c>
      <c r="I114" s="509"/>
      <c r="J114" s="525"/>
      <c r="K114" s="398"/>
      <c r="L114" s="398"/>
      <c r="M114" s="398"/>
      <c r="N114" s="86"/>
    </row>
    <row r="115" spans="1:14" s="528" customFormat="1" ht="15.75" x14ac:dyDescent="0.25">
      <c r="A115" s="523">
        <v>109</v>
      </c>
      <c r="B115" s="523" t="s">
        <v>822</v>
      </c>
      <c r="C115" s="553">
        <v>5892</v>
      </c>
      <c r="D115" s="476">
        <v>8000</v>
      </c>
      <c r="E115" s="87"/>
      <c r="F115" s="87">
        <v>89.55</v>
      </c>
      <c r="G115" s="87">
        <v>8000</v>
      </c>
      <c r="H115" s="87">
        <f t="shared" si="1"/>
        <v>0</v>
      </c>
      <c r="I115" s="509"/>
      <c r="J115" s="525"/>
      <c r="K115" s="398"/>
      <c r="L115" s="398"/>
      <c r="M115" s="398"/>
      <c r="N115" s="86"/>
    </row>
    <row r="116" spans="1:14" s="528" customFormat="1" ht="15.75" x14ac:dyDescent="0.25">
      <c r="A116" s="523">
        <v>110</v>
      </c>
      <c r="B116" s="523" t="s">
        <v>822</v>
      </c>
      <c r="C116" s="553">
        <v>7501</v>
      </c>
      <c r="D116" s="476">
        <v>10000</v>
      </c>
      <c r="E116" s="87"/>
      <c r="F116" s="87">
        <v>111.42</v>
      </c>
      <c r="G116" s="87">
        <v>10000</v>
      </c>
      <c r="H116" s="87">
        <f t="shared" si="1"/>
        <v>0</v>
      </c>
      <c r="I116" s="509"/>
      <c r="J116" s="525"/>
      <c r="K116" s="398"/>
      <c r="L116" s="398"/>
      <c r="M116" s="398"/>
      <c r="N116" s="86"/>
    </row>
    <row r="117" spans="1:14" s="528" customFormat="1" ht="15.75" x14ac:dyDescent="0.25">
      <c r="A117" s="523">
        <v>111</v>
      </c>
      <c r="B117" s="523" t="s">
        <v>822</v>
      </c>
      <c r="C117" s="553">
        <v>6092</v>
      </c>
      <c r="D117" s="476">
        <v>17000</v>
      </c>
      <c r="E117" s="87"/>
      <c r="F117" s="87">
        <v>189.68</v>
      </c>
      <c r="G117" s="87">
        <v>17000</v>
      </c>
      <c r="H117" s="87">
        <f t="shared" si="1"/>
        <v>0</v>
      </c>
      <c r="I117" s="509"/>
      <c r="J117" s="525"/>
      <c r="K117" s="398"/>
      <c r="L117" s="398"/>
      <c r="M117" s="398"/>
      <c r="N117" s="86"/>
    </row>
    <row r="118" spans="1:14" s="528" customFormat="1" ht="15.75" x14ac:dyDescent="0.25">
      <c r="A118" s="523">
        <v>112</v>
      </c>
      <c r="B118" s="523" t="s">
        <v>822</v>
      </c>
      <c r="C118" s="553">
        <v>6054</v>
      </c>
      <c r="D118" s="476">
        <v>29000</v>
      </c>
      <c r="E118" s="87"/>
      <c r="F118" s="87">
        <v>321.85000000000002</v>
      </c>
      <c r="G118" s="87">
        <v>29000</v>
      </c>
      <c r="H118" s="87">
        <f t="shared" si="1"/>
        <v>0</v>
      </c>
      <c r="I118" s="509"/>
      <c r="J118" s="525"/>
      <c r="K118" s="398"/>
      <c r="L118" s="398"/>
      <c r="M118" s="398"/>
      <c r="N118" s="86"/>
    </row>
    <row r="119" spans="1:14" s="528" customFormat="1" ht="15.75" x14ac:dyDescent="0.25">
      <c r="A119" s="523">
        <v>113</v>
      </c>
      <c r="B119" s="523" t="s">
        <v>822</v>
      </c>
      <c r="C119" s="553">
        <v>8.5699999999999998E-2</v>
      </c>
      <c r="D119" s="476">
        <v>33000</v>
      </c>
      <c r="E119" s="87"/>
      <c r="F119" s="87">
        <v>367.38</v>
      </c>
      <c r="G119" s="87">
        <v>33000</v>
      </c>
      <c r="H119" s="87">
        <f t="shared" si="1"/>
        <v>0</v>
      </c>
      <c r="I119" s="509"/>
      <c r="J119" s="525"/>
      <c r="K119" s="398"/>
      <c r="L119" s="398"/>
      <c r="M119" s="398"/>
      <c r="N119" s="86"/>
    </row>
    <row r="120" spans="1:14" s="528" customFormat="1" ht="15.75" x14ac:dyDescent="0.25">
      <c r="A120" s="523">
        <v>114</v>
      </c>
      <c r="B120" s="523" t="s">
        <v>822</v>
      </c>
      <c r="C120" s="553">
        <v>2320</v>
      </c>
      <c r="D120" s="476">
        <v>28000</v>
      </c>
      <c r="E120" s="87"/>
      <c r="F120" s="87">
        <v>309.27</v>
      </c>
      <c r="G120" s="87">
        <v>28000</v>
      </c>
      <c r="H120" s="87">
        <f t="shared" si="1"/>
        <v>0</v>
      </c>
      <c r="I120" s="509"/>
      <c r="J120" s="525"/>
      <c r="K120" s="398"/>
      <c r="L120" s="398"/>
      <c r="M120" s="398"/>
      <c r="N120" s="86"/>
    </row>
    <row r="121" spans="1:14" s="528" customFormat="1" ht="15.75" x14ac:dyDescent="0.25">
      <c r="A121" s="523">
        <v>115</v>
      </c>
      <c r="B121" s="523" t="s">
        <v>822</v>
      </c>
      <c r="C121" s="553">
        <v>2.41E-2</v>
      </c>
      <c r="D121" s="476">
        <v>28000</v>
      </c>
      <c r="E121" s="87"/>
      <c r="F121" s="87">
        <v>309.27</v>
      </c>
      <c r="G121" s="87">
        <v>28000</v>
      </c>
      <c r="H121" s="87">
        <f t="shared" si="1"/>
        <v>0</v>
      </c>
      <c r="I121" s="509"/>
      <c r="J121" s="525"/>
      <c r="K121" s="398"/>
      <c r="L121" s="398"/>
      <c r="M121" s="398"/>
      <c r="N121" s="86"/>
    </row>
    <row r="122" spans="1:14" s="528" customFormat="1" ht="15.75" x14ac:dyDescent="0.25">
      <c r="A122" s="523">
        <v>116</v>
      </c>
      <c r="B122" s="523" t="s">
        <v>822</v>
      </c>
      <c r="C122" s="553">
        <v>1802</v>
      </c>
      <c r="D122" s="476">
        <v>24000</v>
      </c>
      <c r="E122" s="87"/>
      <c r="F122" s="87">
        <v>267.68</v>
      </c>
      <c r="G122" s="87">
        <v>24000</v>
      </c>
      <c r="H122" s="87">
        <f t="shared" si="1"/>
        <v>0</v>
      </c>
      <c r="I122" s="509"/>
      <c r="J122" s="525"/>
      <c r="K122" s="398"/>
      <c r="L122" s="398"/>
      <c r="M122" s="398"/>
      <c r="N122" s="86"/>
    </row>
    <row r="123" spans="1:14" s="528" customFormat="1" ht="15.75" x14ac:dyDescent="0.25">
      <c r="A123" s="523">
        <v>117</v>
      </c>
      <c r="B123" s="523" t="s">
        <v>822</v>
      </c>
      <c r="C123" s="553">
        <v>2394</v>
      </c>
      <c r="D123" s="476">
        <v>12000</v>
      </c>
      <c r="E123" s="87"/>
      <c r="F123" s="87">
        <v>133.41999999999999</v>
      </c>
      <c r="G123" s="87">
        <v>12000</v>
      </c>
      <c r="H123" s="87">
        <f t="shared" si="1"/>
        <v>0</v>
      </c>
      <c r="I123" s="509"/>
      <c r="J123" s="525"/>
      <c r="K123" s="398"/>
      <c r="L123" s="398"/>
      <c r="M123" s="398"/>
      <c r="N123" s="86"/>
    </row>
    <row r="124" spans="1:14" s="528" customFormat="1" ht="15.75" x14ac:dyDescent="0.25">
      <c r="A124" s="523">
        <v>118</v>
      </c>
      <c r="B124" s="523" t="s">
        <v>822</v>
      </c>
      <c r="C124" s="553">
        <v>2.0500000000000001E-2</v>
      </c>
      <c r="D124" s="476">
        <v>6000</v>
      </c>
      <c r="E124" s="87"/>
      <c r="F124" s="87">
        <v>66.5</v>
      </c>
      <c r="G124" s="87">
        <v>6000</v>
      </c>
      <c r="H124" s="87">
        <f t="shared" si="1"/>
        <v>0</v>
      </c>
      <c r="I124" s="509"/>
      <c r="J124" s="525"/>
      <c r="K124" s="398"/>
      <c r="L124" s="398"/>
      <c r="M124" s="398"/>
      <c r="N124" s="86"/>
    </row>
    <row r="125" spans="1:14" s="528" customFormat="1" ht="15.75" x14ac:dyDescent="0.25">
      <c r="A125" s="523">
        <v>119</v>
      </c>
      <c r="B125" s="523" t="s">
        <v>822</v>
      </c>
      <c r="C125" s="553">
        <v>9543</v>
      </c>
      <c r="D125" s="476">
        <v>6000</v>
      </c>
      <c r="E125" s="87"/>
      <c r="F125" s="87">
        <v>66.5</v>
      </c>
      <c r="G125" s="87">
        <v>6000</v>
      </c>
      <c r="H125" s="87">
        <f t="shared" si="1"/>
        <v>0</v>
      </c>
      <c r="I125" s="509"/>
      <c r="J125" s="525"/>
      <c r="K125" s="398">
        <f>2443436-2438665</f>
        <v>4771</v>
      </c>
      <c r="L125" s="398" t="s">
        <v>817</v>
      </c>
      <c r="M125" s="398" t="s">
        <v>620</v>
      </c>
      <c r="N125" s="86">
        <f>4771-3482</f>
        <v>1289</v>
      </c>
    </row>
    <row r="126" spans="1:14" s="529" customFormat="1" ht="15.75" x14ac:dyDescent="0.25">
      <c r="A126" s="523">
        <v>120</v>
      </c>
      <c r="B126" s="523" t="s">
        <v>824</v>
      </c>
      <c r="C126" s="553">
        <v>9992</v>
      </c>
      <c r="D126" s="476">
        <v>32000</v>
      </c>
      <c r="E126" s="87"/>
      <c r="F126" s="87">
        <v>356.85</v>
      </c>
      <c r="G126" s="87">
        <v>32000</v>
      </c>
      <c r="H126" s="87">
        <f t="shared" si="1"/>
        <v>0</v>
      </c>
      <c r="I126" s="509"/>
      <c r="J126" s="525"/>
      <c r="K126" s="398"/>
      <c r="L126" s="398"/>
      <c r="M126" s="398"/>
      <c r="N126" s="86"/>
    </row>
    <row r="127" spans="1:14" s="529" customFormat="1" ht="15.75" x14ac:dyDescent="0.25">
      <c r="A127" s="523">
        <v>121</v>
      </c>
      <c r="B127" s="523" t="s">
        <v>824</v>
      </c>
      <c r="C127" s="555">
        <v>4.1500000000000002E-2</v>
      </c>
      <c r="D127" s="476">
        <v>13500</v>
      </c>
      <c r="E127" s="87"/>
      <c r="F127" s="87">
        <v>150.47</v>
      </c>
      <c r="G127" s="87">
        <v>13500</v>
      </c>
      <c r="H127" s="87">
        <f t="shared" si="1"/>
        <v>0</v>
      </c>
      <c r="I127" s="509"/>
      <c r="J127" s="525"/>
      <c r="K127" s="398"/>
      <c r="L127" s="398"/>
      <c r="M127" s="398"/>
      <c r="N127" s="86"/>
    </row>
    <row r="128" spans="1:14" s="529" customFormat="1" ht="15.75" x14ac:dyDescent="0.25">
      <c r="A128" s="523">
        <v>122</v>
      </c>
      <c r="B128" s="523" t="s">
        <v>824</v>
      </c>
      <c r="C128" s="553">
        <v>1491</v>
      </c>
      <c r="D128" s="476">
        <v>14000</v>
      </c>
      <c r="E128" s="87"/>
      <c r="F128" s="87">
        <v>155.41</v>
      </c>
      <c r="G128" s="87">
        <v>14000</v>
      </c>
      <c r="H128" s="87">
        <f t="shared" si="1"/>
        <v>0</v>
      </c>
      <c r="I128" s="509"/>
      <c r="J128" s="525"/>
      <c r="K128" s="398"/>
      <c r="L128" s="398"/>
      <c r="M128" s="398"/>
      <c r="N128" s="86"/>
    </row>
    <row r="129" spans="1:14" s="529" customFormat="1" ht="15.75" x14ac:dyDescent="0.25">
      <c r="A129" s="523">
        <v>123</v>
      </c>
      <c r="B129" s="523" t="s">
        <v>824</v>
      </c>
      <c r="C129" s="553">
        <v>9397</v>
      </c>
      <c r="D129" s="476">
        <v>13000</v>
      </c>
      <c r="E129" s="87"/>
      <c r="F129" s="87">
        <v>144.15</v>
      </c>
      <c r="G129" s="87">
        <v>13000</v>
      </c>
      <c r="H129" s="87">
        <f t="shared" si="1"/>
        <v>0</v>
      </c>
      <c r="I129" s="509"/>
      <c r="J129" s="525"/>
      <c r="K129" s="398"/>
      <c r="L129" s="398"/>
      <c r="M129" s="398"/>
      <c r="N129" s="86"/>
    </row>
    <row r="130" spans="1:14" s="529" customFormat="1" ht="15.75" x14ac:dyDescent="0.25">
      <c r="A130" s="523">
        <v>124</v>
      </c>
      <c r="B130" s="523" t="s">
        <v>824</v>
      </c>
      <c r="C130" s="553">
        <v>2506</v>
      </c>
      <c r="D130" s="476">
        <v>17000</v>
      </c>
      <c r="E130" s="87"/>
      <c r="F130" s="87">
        <v>189.86</v>
      </c>
      <c r="G130" s="87">
        <v>17000</v>
      </c>
      <c r="H130" s="87">
        <f t="shared" si="1"/>
        <v>0</v>
      </c>
      <c r="I130" s="509"/>
      <c r="J130" s="525"/>
      <c r="K130" s="398"/>
      <c r="L130" s="398"/>
      <c r="M130" s="398"/>
      <c r="N130" s="86"/>
    </row>
    <row r="131" spans="1:14" s="529" customFormat="1" ht="15.75" x14ac:dyDescent="0.25">
      <c r="A131" s="523">
        <v>125</v>
      </c>
      <c r="B131" s="523" t="s">
        <v>824</v>
      </c>
      <c r="C131" s="553">
        <v>5.1999999999999998E-3</v>
      </c>
      <c r="D131" s="476">
        <v>16000</v>
      </c>
      <c r="E131" s="87"/>
      <c r="F131" s="87">
        <v>178.22</v>
      </c>
      <c r="G131" s="87">
        <v>16000</v>
      </c>
      <c r="H131" s="87">
        <f t="shared" si="1"/>
        <v>0</v>
      </c>
      <c r="I131" s="509"/>
      <c r="J131" s="525"/>
      <c r="K131" s="398"/>
      <c r="L131" s="398"/>
      <c r="M131" s="398"/>
      <c r="N131" s="86"/>
    </row>
    <row r="132" spans="1:14" s="529" customFormat="1" ht="15.75" x14ac:dyDescent="0.25">
      <c r="A132" s="523">
        <v>126</v>
      </c>
      <c r="B132" s="523" t="s">
        <v>824</v>
      </c>
      <c r="C132" s="553">
        <v>3448</v>
      </c>
      <c r="D132" s="476">
        <v>5000</v>
      </c>
      <c r="E132" s="87"/>
      <c r="F132" s="87">
        <v>55.42</v>
      </c>
      <c r="G132" s="87">
        <v>5000</v>
      </c>
      <c r="H132" s="87">
        <f t="shared" si="1"/>
        <v>0</v>
      </c>
      <c r="I132" s="509"/>
      <c r="J132" s="525"/>
      <c r="K132" s="398"/>
      <c r="L132" s="398"/>
      <c r="M132" s="398"/>
      <c r="N132" s="86"/>
    </row>
    <row r="133" spans="1:14" s="529" customFormat="1" ht="15.75" x14ac:dyDescent="0.25">
      <c r="A133" s="523">
        <v>127</v>
      </c>
      <c r="B133" s="523" t="s">
        <v>824</v>
      </c>
      <c r="C133" s="553">
        <v>5.6399999999999999E-2</v>
      </c>
      <c r="D133" s="476">
        <v>14000</v>
      </c>
      <c r="E133" s="87"/>
      <c r="F133" s="87">
        <v>155.44999999999999</v>
      </c>
      <c r="G133" s="87">
        <v>14000</v>
      </c>
      <c r="H133" s="87">
        <f t="shared" si="1"/>
        <v>0</v>
      </c>
      <c r="I133" s="509"/>
      <c r="J133" s="525"/>
      <c r="K133" s="398"/>
      <c r="L133" s="398"/>
      <c r="M133" s="398"/>
      <c r="N133" s="86"/>
    </row>
    <row r="134" spans="1:14" s="529" customFormat="1" ht="15.75" x14ac:dyDescent="0.25">
      <c r="A134" s="523">
        <v>128</v>
      </c>
      <c r="B134" s="523" t="s">
        <v>824</v>
      </c>
      <c r="C134" s="553">
        <v>1295</v>
      </c>
      <c r="D134" s="476">
        <v>16000</v>
      </c>
      <c r="E134" s="87"/>
      <c r="F134" s="87">
        <v>178.22</v>
      </c>
      <c r="G134" s="87">
        <v>16000</v>
      </c>
      <c r="H134" s="87">
        <f t="shared" si="1"/>
        <v>0</v>
      </c>
      <c r="I134" s="509"/>
      <c r="J134" s="525"/>
      <c r="K134" s="398"/>
      <c r="L134" s="398"/>
      <c r="M134" s="398"/>
      <c r="N134" s="86"/>
    </row>
    <row r="135" spans="1:14" s="529" customFormat="1" ht="15.75" x14ac:dyDescent="0.25">
      <c r="A135" s="523">
        <v>129</v>
      </c>
      <c r="B135" s="523" t="s">
        <v>824</v>
      </c>
      <c r="C135" s="553">
        <v>2.0999999999999999E-3</v>
      </c>
      <c r="D135" s="476">
        <v>16000</v>
      </c>
      <c r="E135" s="87"/>
      <c r="F135" s="87">
        <v>178.22</v>
      </c>
      <c r="G135" s="87">
        <v>16000</v>
      </c>
      <c r="H135" s="87">
        <f t="shared" ref="H135:H198" si="2">D135-G135</f>
        <v>0</v>
      </c>
      <c r="I135" s="509"/>
      <c r="J135" s="525"/>
      <c r="K135" s="398"/>
      <c r="L135" s="398"/>
      <c r="M135" s="398"/>
      <c r="N135" s="86"/>
    </row>
    <row r="136" spans="1:14" s="529" customFormat="1" ht="15.75" x14ac:dyDescent="0.25">
      <c r="A136" s="523">
        <v>130</v>
      </c>
      <c r="B136" s="523" t="s">
        <v>824</v>
      </c>
      <c r="C136" s="553" t="s">
        <v>30</v>
      </c>
      <c r="D136" s="476">
        <v>5630</v>
      </c>
      <c r="E136" s="87"/>
      <c r="F136" s="87">
        <v>65.72</v>
      </c>
      <c r="G136" s="87">
        <v>5630</v>
      </c>
      <c r="H136" s="87">
        <f t="shared" si="2"/>
        <v>0</v>
      </c>
      <c r="I136" s="509"/>
      <c r="J136" s="525"/>
      <c r="K136" s="398"/>
      <c r="L136" s="398"/>
      <c r="M136" s="398"/>
      <c r="N136" s="86"/>
    </row>
    <row r="137" spans="1:14" s="529" customFormat="1" ht="15.75" x14ac:dyDescent="0.25">
      <c r="A137" s="523">
        <v>131</v>
      </c>
      <c r="B137" s="523" t="s">
        <v>824</v>
      </c>
      <c r="C137" s="553" t="s">
        <v>30</v>
      </c>
      <c r="D137" s="476">
        <v>4500</v>
      </c>
      <c r="E137" s="87"/>
      <c r="F137" s="87">
        <v>50.74</v>
      </c>
      <c r="G137" s="87">
        <v>4500</v>
      </c>
      <c r="H137" s="87">
        <f t="shared" si="2"/>
        <v>0</v>
      </c>
      <c r="I137" s="509"/>
      <c r="J137" s="525"/>
      <c r="K137" s="398"/>
      <c r="L137" s="398"/>
      <c r="M137" s="398"/>
      <c r="N137" s="86"/>
    </row>
    <row r="138" spans="1:14" s="529" customFormat="1" ht="15.75" x14ac:dyDescent="0.25">
      <c r="A138" s="523">
        <v>132</v>
      </c>
      <c r="B138" s="523" t="s">
        <v>824</v>
      </c>
      <c r="C138" s="553">
        <v>9235</v>
      </c>
      <c r="D138" s="476">
        <v>31000</v>
      </c>
      <c r="E138" s="87"/>
      <c r="F138" s="87">
        <v>334.68</v>
      </c>
      <c r="G138" s="87">
        <v>31000</v>
      </c>
      <c r="H138" s="87">
        <f t="shared" si="2"/>
        <v>0</v>
      </c>
      <c r="I138" s="509"/>
      <c r="J138" s="525"/>
      <c r="K138" s="398"/>
      <c r="L138" s="398"/>
      <c r="M138" s="398"/>
      <c r="N138" s="86"/>
    </row>
    <row r="139" spans="1:14" s="529" customFormat="1" ht="15.75" x14ac:dyDescent="0.25">
      <c r="A139" s="523">
        <v>133</v>
      </c>
      <c r="B139" s="523" t="s">
        <v>824</v>
      </c>
      <c r="C139" s="553" t="s">
        <v>30</v>
      </c>
      <c r="D139" s="476">
        <v>5000</v>
      </c>
      <c r="E139" s="87"/>
      <c r="F139" s="87">
        <v>50.45</v>
      </c>
      <c r="G139" s="87">
        <v>5000</v>
      </c>
      <c r="H139" s="87">
        <f t="shared" si="2"/>
        <v>0</v>
      </c>
      <c r="I139" s="509"/>
      <c r="J139" s="525"/>
      <c r="K139" s="398"/>
      <c r="L139" s="398"/>
      <c r="M139" s="398"/>
      <c r="N139" s="86"/>
    </row>
    <row r="140" spans="1:14" s="529" customFormat="1" ht="15.75" x14ac:dyDescent="0.25">
      <c r="A140" s="523">
        <v>134</v>
      </c>
      <c r="B140" s="523" t="s">
        <v>824</v>
      </c>
      <c r="C140" s="553">
        <v>9870</v>
      </c>
      <c r="D140" s="476">
        <v>40000</v>
      </c>
      <c r="E140" s="87"/>
      <c r="F140" s="87">
        <v>445.95</v>
      </c>
      <c r="G140" s="87">
        <v>40000</v>
      </c>
      <c r="H140" s="87">
        <f t="shared" si="2"/>
        <v>0</v>
      </c>
      <c r="I140" s="509"/>
      <c r="J140" s="525"/>
      <c r="K140" s="398"/>
      <c r="L140" s="398"/>
      <c r="M140" s="398"/>
      <c r="N140" s="86"/>
    </row>
    <row r="141" spans="1:14" s="529" customFormat="1" ht="15.75" x14ac:dyDescent="0.25">
      <c r="A141" s="523">
        <v>135</v>
      </c>
      <c r="B141" s="523" t="s">
        <v>824</v>
      </c>
      <c r="C141" s="553">
        <v>2980</v>
      </c>
      <c r="D141" s="476">
        <v>30000</v>
      </c>
      <c r="E141" s="87"/>
      <c r="F141" s="87">
        <v>334.82</v>
      </c>
      <c r="G141" s="87">
        <v>30000</v>
      </c>
      <c r="H141" s="87">
        <f t="shared" si="2"/>
        <v>0</v>
      </c>
      <c r="I141" s="509"/>
      <c r="J141" s="525"/>
      <c r="K141" s="398"/>
      <c r="L141" s="398"/>
      <c r="M141" s="398"/>
      <c r="N141" s="86"/>
    </row>
    <row r="142" spans="1:14" s="529" customFormat="1" ht="15.75" x14ac:dyDescent="0.25">
      <c r="A142" s="523">
        <v>136</v>
      </c>
      <c r="B142" s="523" t="s">
        <v>824</v>
      </c>
      <c r="C142" s="553">
        <v>3478</v>
      </c>
      <c r="D142" s="476">
        <v>10000</v>
      </c>
      <c r="E142" s="87"/>
      <c r="F142" s="87">
        <v>111.42</v>
      </c>
      <c r="G142" s="87">
        <v>10000</v>
      </c>
      <c r="H142" s="87">
        <f t="shared" si="2"/>
        <v>0</v>
      </c>
      <c r="I142" s="509"/>
      <c r="J142" s="525"/>
      <c r="K142" s="398"/>
      <c r="L142" s="398"/>
      <c r="M142" s="398"/>
      <c r="N142" s="86"/>
    </row>
    <row r="143" spans="1:14" s="529" customFormat="1" ht="15.75" x14ac:dyDescent="0.25">
      <c r="A143" s="523">
        <v>137</v>
      </c>
      <c r="B143" s="523" t="s">
        <v>824</v>
      </c>
      <c r="C143" s="553">
        <v>5271</v>
      </c>
      <c r="D143" s="476">
        <v>23000</v>
      </c>
      <c r="E143" s="87"/>
      <c r="F143" s="87">
        <v>240.72</v>
      </c>
      <c r="G143" s="87">
        <v>23000</v>
      </c>
      <c r="H143" s="87">
        <f t="shared" si="2"/>
        <v>0</v>
      </c>
      <c r="I143" s="509"/>
      <c r="J143" s="525"/>
      <c r="K143" s="398"/>
      <c r="L143" s="398"/>
      <c r="M143" s="398"/>
      <c r="N143" s="86"/>
    </row>
    <row r="144" spans="1:14" s="529" customFormat="1" ht="15.75" x14ac:dyDescent="0.25">
      <c r="A144" s="523">
        <v>138</v>
      </c>
      <c r="B144" s="523" t="s">
        <v>824</v>
      </c>
      <c r="C144" s="553">
        <v>7.7499999999999999E-2</v>
      </c>
      <c r="D144" s="476">
        <v>22000</v>
      </c>
      <c r="E144" s="87"/>
      <c r="F144" s="87">
        <v>245.79</v>
      </c>
      <c r="G144" s="87">
        <v>22000</v>
      </c>
      <c r="H144" s="87">
        <f t="shared" si="2"/>
        <v>0</v>
      </c>
      <c r="I144" s="509"/>
      <c r="J144" s="525"/>
      <c r="K144" s="398"/>
      <c r="L144" s="398"/>
      <c r="M144" s="398"/>
      <c r="N144" s="86"/>
    </row>
    <row r="145" spans="1:14" s="529" customFormat="1" ht="15.75" x14ac:dyDescent="0.25">
      <c r="A145" s="523">
        <v>139</v>
      </c>
      <c r="B145" s="523" t="s">
        <v>824</v>
      </c>
      <c r="C145" s="553">
        <v>8615</v>
      </c>
      <c r="D145" s="476">
        <v>25000</v>
      </c>
      <c r="E145" s="87"/>
      <c r="F145" s="87">
        <v>278.22000000000003</v>
      </c>
      <c r="G145" s="87">
        <v>25000</v>
      </c>
      <c r="H145" s="87">
        <f t="shared" si="2"/>
        <v>0</v>
      </c>
      <c r="I145" s="509"/>
      <c r="J145" s="525"/>
      <c r="K145" s="398"/>
      <c r="L145" s="398"/>
      <c r="M145" s="398"/>
      <c r="N145" s="86"/>
    </row>
    <row r="146" spans="1:14" s="529" customFormat="1" ht="15.75" x14ac:dyDescent="0.25">
      <c r="A146" s="523">
        <v>140</v>
      </c>
      <c r="B146" s="523" t="s">
        <v>824</v>
      </c>
      <c r="C146" s="553">
        <v>2062</v>
      </c>
      <c r="D146" s="476">
        <v>23000</v>
      </c>
      <c r="E146" s="87"/>
      <c r="F146" s="87">
        <v>256.48</v>
      </c>
      <c r="G146" s="87">
        <v>23000</v>
      </c>
      <c r="H146" s="87">
        <f t="shared" si="2"/>
        <v>0</v>
      </c>
      <c r="I146" s="509"/>
      <c r="J146" s="525"/>
      <c r="K146" s="398"/>
      <c r="L146" s="398"/>
      <c r="M146" s="398"/>
      <c r="N146" s="86"/>
    </row>
    <row r="147" spans="1:14" s="529" customFormat="1" ht="15.75" x14ac:dyDescent="0.25">
      <c r="A147" s="523">
        <v>141</v>
      </c>
      <c r="B147" s="523" t="s">
        <v>824</v>
      </c>
      <c r="C147" s="553">
        <v>2481</v>
      </c>
      <c r="D147" s="476">
        <v>23000</v>
      </c>
      <c r="E147" s="87"/>
      <c r="F147" s="87">
        <v>256.48</v>
      </c>
      <c r="G147" s="87">
        <v>23000</v>
      </c>
      <c r="H147" s="87">
        <f t="shared" si="2"/>
        <v>0</v>
      </c>
      <c r="I147" s="509"/>
      <c r="J147" s="525"/>
      <c r="K147" s="398"/>
      <c r="L147" s="398"/>
      <c r="M147" s="398"/>
      <c r="N147" s="86"/>
    </row>
    <row r="148" spans="1:14" s="529" customFormat="1" ht="15.75" x14ac:dyDescent="0.25">
      <c r="A148" s="523">
        <v>142</v>
      </c>
      <c r="B148" s="523" t="s">
        <v>824</v>
      </c>
      <c r="C148" s="553">
        <v>8525</v>
      </c>
      <c r="D148" s="476">
        <v>15000</v>
      </c>
      <c r="E148" s="87"/>
      <c r="F148" s="87">
        <v>167.15</v>
      </c>
      <c r="G148" s="87">
        <v>15000</v>
      </c>
      <c r="H148" s="87">
        <f t="shared" si="2"/>
        <v>0</v>
      </c>
      <c r="I148" s="509"/>
      <c r="J148" s="525"/>
      <c r="K148" s="398"/>
      <c r="L148" s="398"/>
      <c r="M148" s="398"/>
      <c r="N148" s="86"/>
    </row>
    <row r="149" spans="1:14" s="529" customFormat="1" ht="15.75" x14ac:dyDescent="0.25">
      <c r="A149" s="523">
        <v>143</v>
      </c>
      <c r="B149" s="523" t="s">
        <v>825</v>
      </c>
      <c r="C149" s="553">
        <v>5152</v>
      </c>
      <c r="D149" s="476">
        <v>16000</v>
      </c>
      <c r="E149" s="87"/>
      <c r="F149" s="87">
        <v>178.22</v>
      </c>
      <c r="G149" s="87">
        <v>16000</v>
      </c>
      <c r="H149" s="87">
        <f t="shared" si="2"/>
        <v>0</v>
      </c>
      <c r="I149" s="509"/>
      <c r="J149" s="525"/>
      <c r="K149" s="398"/>
      <c r="L149" s="398"/>
      <c r="M149" s="398"/>
      <c r="N149" s="86"/>
    </row>
    <row r="150" spans="1:14" s="529" customFormat="1" ht="15.75" x14ac:dyDescent="0.25">
      <c r="A150" s="523">
        <v>144</v>
      </c>
      <c r="B150" s="523" t="s">
        <v>825</v>
      </c>
      <c r="C150" s="553">
        <v>6150</v>
      </c>
      <c r="D150" s="476">
        <v>15000</v>
      </c>
      <c r="E150" s="87"/>
      <c r="F150" s="87">
        <v>167.15</v>
      </c>
      <c r="G150" s="87">
        <v>15000</v>
      </c>
      <c r="H150" s="87">
        <f t="shared" si="2"/>
        <v>0</v>
      </c>
      <c r="I150" s="509"/>
      <c r="J150" s="525"/>
      <c r="K150" s="398"/>
      <c r="L150" s="398"/>
      <c r="M150" s="398"/>
      <c r="N150" s="86"/>
    </row>
    <row r="151" spans="1:14" s="529" customFormat="1" ht="15.75" x14ac:dyDescent="0.25">
      <c r="A151" s="523">
        <v>145</v>
      </c>
      <c r="B151" s="523" t="s">
        <v>825</v>
      </c>
      <c r="C151" s="553">
        <v>3541</v>
      </c>
      <c r="D151" s="476">
        <v>15000</v>
      </c>
      <c r="E151" s="87"/>
      <c r="F151" s="87">
        <v>167.15</v>
      </c>
      <c r="G151" s="87">
        <v>15000</v>
      </c>
      <c r="H151" s="87">
        <f t="shared" si="2"/>
        <v>0</v>
      </c>
      <c r="I151" s="509"/>
      <c r="J151" s="525"/>
      <c r="K151" s="398"/>
      <c r="L151" s="398"/>
      <c r="M151" s="398"/>
      <c r="N151" s="86"/>
    </row>
    <row r="152" spans="1:14" s="529" customFormat="1" ht="15.75" x14ac:dyDescent="0.25">
      <c r="A152" s="523">
        <v>146</v>
      </c>
      <c r="B152" s="523" t="s">
        <v>825</v>
      </c>
      <c r="C152" s="553">
        <v>4067</v>
      </c>
      <c r="D152" s="476">
        <v>12000</v>
      </c>
      <c r="E152" s="87"/>
      <c r="F152" s="87">
        <v>133.41999999999999</v>
      </c>
      <c r="G152" s="87">
        <v>12000</v>
      </c>
      <c r="H152" s="87">
        <f t="shared" si="2"/>
        <v>0</v>
      </c>
      <c r="I152" s="509"/>
      <c r="J152" s="525"/>
      <c r="K152" s="398"/>
      <c r="L152" s="398"/>
      <c r="M152" s="398"/>
      <c r="N152" s="86"/>
    </row>
    <row r="153" spans="1:14" s="529" customFormat="1" ht="15.75" x14ac:dyDescent="0.25">
      <c r="A153" s="523">
        <v>147</v>
      </c>
      <c r="B153" s="523" t="s">
        <v>825</v>
      </c>
      <c r="C153" s="553">
        <v>8325</v>
      </c>
      <c r="D153" s="476">
        <v>10000</v>
      </c>
      <c r="E153" s="87"/>
      <c r="F153" s="87">
        <v>111.42</v>
      </c>
      <c r="G153" s="87">
        <v>10000</v>
      </c>
      <c r="H153" s="87">
        <f t="shared" si="2"/>
        <v>0</v>
      </c>
      <c r="I153" s="509"/>
      <c r="J153" s="525"/>
      <c r="K153" s="398"/>
      <c r="L153" s="398"/>
      <c r="M153" s="398"/>
      <c r="N153" s="86"/>
    </row>
    <row r="154" spans="1:14" s="529" customFormat="1" ht="15.75" x14ac:dyDescent="0.25">
      <c r="A154" s="523">
        <v>148</v>
      </c>
      <c r="B154" s="523" t="s">
        <v>825</v>
      </c>
      <c r="C154" s="553">
        <v>3577</v>
      </c>
      <c r="D154" s="476">
        <v>13000</v>
      </c>
      <c r="E154" s="87"/>
      <c r="F154" s="87">
        <v>144.13</v>
      </c>
      <c r="G154" s="87">
        <v>13000</v>
      </c>
      <c r="H154" s="87">
        <f t="shared" si="2"/>
        <v>0</v>
      </c>
      <c r="I154" s="509"/>
      <c r="J154" s="525"/>
      <c r="K154" s="398"/>
      <c r="L154" s="398"/>
      <c r="M154" s="398"/>
      <c r="N154" s="86"/>
    </row>
    <row r="155" spans="1:14" s="529" customFormat="1" ht="15.75" x14ac:dyDescent="0.25">
      <c r="A155" s="523">
        <v>149</v>
      </c>
      <c r="B155" s="523" t="s">
        <v>825</v>
      </c>
      <c r="C155" s="553">
        <v>7345</v>
      </c>
      <c r="D155" s="476">
        <v>14000</v>
      </c>
      <c r="E155" s="87"/>
      <c r="F155" s="87">
        <v>155.44999999999999</v>
      </c>
      <c r="G155" s="87">
        <v>14000</v>
      </c>
      <c r="H155" s="87">
        <f t="shared" si="2"/>
        <v>0</v>
      </c>
      <c r="I155" s="509"/>
      <c r="J155" s="525"/>
      <c r="K155" s="398"/>
      <c r="L155" s="398"/>
      <c r="M155" s="398"/>
      <c r="N155" s="86"/>
    </row>
    <row r="156" spans="1:14" s="529" customFormat="1" ht="15.75" x14ac:dyDescent="0.25">
      <c r="A156" s="523">
        <v>150</v>
      </c>
      <c r="B156" s="523" t="s">
        <v>825</v>
      </c>
      <c r="C156" s="553" t="s">
        <v>30</v>
      </c>
      <c r="D156" s="476">
        <v>3500</v>
      </c>
      <c r="E156" s="87"/>
      <c r="F156" s="87">
        <v>39.74</v>
      </c>
      <c r="G156" s="87">
        <v>3500</v>
      </c>
      <c r="H156" s="87">
        <f t="shared" si="2"/>
        <v>0</v>
      </c>
      <c r="I156" s="509"/>
      <c r="J156" s="525"/>
      <c r="K156" s="398"/>
      <c r="L156" s="398"/>
      <c r="M156" s="398"/>
      <c r="N156" s="86"/>
    </row>
    <row r="157" spans="1:14" s="529" customFormat="1" ht="15.75" x14ac:dyDescent="0.25">
      <c r="A157" s="523">
        <v>151</v>
      </c>
      <c r="B157" s="523" t="s">
        <v>825</v>
      </c>
      <c r="C157" s="553" t="s">
        <v>66</v>
      </c>
      <c r="D157" s="476">
        <v>210</v>
      </c>
      <c r="E157" s="87"/>
      <c r="F157" s="87">
        <v>2.09</v>
      </c>
      <c r="G157" s="87">
        <v>210</v>
      </c>
      <c r="H157" s="87">
        <f t="shared" si="2"/>
        <v>0</v>
      </c>
      <c r="I157" s="509"/>
      <c r="J157" s="525"/>
      <c r="K157" s="398"/>
      <c r="L157" s="398"/>
      <c r="M157" s="398"/>
      <c r="N157" s="86"/>
    </row>
    <row r="158" spans="1:14" s="529" customFormat="1" ht="15.75" x14ac:dyDescent="0.25">
      <c r="A158" s="523">
        <v>152</v>
      </c>
      <c r="B158" s="523" t="s">
        <v>825</v>
      </c>
      <c r="C158" s="553">
        <v>3068</v>
      </c>
      <c r="D158" s="476">
        <v>17000</v>
      </c>
      <c r="E158" s="87"/>
      <c r="F158" s="87">
        <v>189.68</v>
      </c>
      <c r="G158" s="87">
        <v>17000</v>
      </c>
      <c r="H158" s="87">
        <f t="shared" si="2"/>
        <v>0</v>
      </c>
      <c r="I158" s="509"/>
      <c r="J158" s="525"/>
      <c r="K158" s="398"/>
      <c r="L158" s="398"/>
      <c r="M158" s="398"/>
      <c r="N158" s="86"/>
    </row>
    <row r="159" spans="1:14" s="529" customFormat="1" ht="15.75" x14ac:dyDescent="0.25">
      <c r="A159" s="523">
        <v>153</v>
      </c>
      <c r="B159" s="523" t="s">
        <v>825</v>
      </c>
      <c r="C159" s="553">
        <v>6214</v>
      </c>
      <c r="D159" s="476">
        <v>14000</v>
      </c>
      <c r="E159" s="87"/>
      <c r="F159" s="87">
        <v>155.44999999999999</v>
      </c>
      <c r="G159" s="87">
        <v>14000</v>
      </c>
      <c r="H159" s="87">
        <f t="shared" si="2"/>
        <v>0</v>
      </c>
      <c r="I159" s="509"/>
      <c r="J159" s="525"/>
      <c r="K159" s="398"/>
      <c r="L159" s="398"/>
      <c r="M159" s="398"/>
      <c r="N159" s="86"/>
    </row>
    <row r="160" spans="1:14" s="529" customFormat="1" ht="15.75" x14ac:dyDescent="0.25">
      <c r="A160" s="523">
        <v>154</v>
      </c>
      <c r="B160" s="523" t="s">
        <v>825</v>
      </c>
      <c r="C160" s="553">
        <v>2393</v>
      </c>
      <c r="D160" s="476">
        <v>23000</v>
      </c>
      <c r="E160" s="87"/>
      <c r="F160" s="87">
        <v>256.74</v>
      </c>
      <c r="G160" s="87">
        <v>23000</v>
      </c>
      <c r="H160" s="87">
        <f t="shared" si="2"/>
        <v>0</v>
      </c>
      <c r="I160" s="509"/>
      <c r="J160" s="525"/>
      <c r="K160" s="398"/>
      <c r="L160" s="398"/>
      <c r="M160" s="398"/>
      <c r="N160" s="86"/>
    </row>
    <row r="161" spans="1:14" s="529" customFormat="1" ht="15.75" x14ac:dyDescent="0.25">
      <c r="A161" s="523">
        <v>155</v>
      </c>
      <c r="B161" s="523" t="s">
        <v>825</v>
      </c>
      <c r="C161" s="553">
        <v>6.88E-2</v>
      </c>
      <c r="D161" s="476">
        <v>20000</v>
      </c>
      <c r="E161" s="87"/>
      <c r="F161" s="87">
        <v>222.82</v>
      </c>
      <c r="G161" s="87">
        <v>20000</v>
      </c>
      <c r="H161" s="87">
        <f t="shared" si="2"/>
        <v>0</v>
      </c>
      <c r="I161" s="509"/>
      <c r="J161" s="525"/>
      <c r="K161" s="398"/>
      <c r="L161" s="398"/>
      <c r="M161" s="398"/>
      <c r="N161" s="86"/>
    </row>
    <row r="162" spans="1:14" s="530" customFormat="1" ht="15.75" x14ac:dyDescent="0.25">
      <c r="A162" s="523">
        <v>156</v>
      </c>
      <c r="B162" s="523" t="s">
        <v>825</v>
      </c>
      <c r="C162" s="553">
        <v>7.0400000000000004E-2</v>
      </c>
      <c r="D162" s="476">
        <v>20000</v>
      </c>
      <c r="E162" s="87"/>
      <c r="F162" s="87">
        <v>222.82</v>
      </c>
      <c r="G162" s="87">
        <v>20000</v>
      </c>
      <c r="H162" s="87">
        <f t="shared" si="2"/>
        <v>0</v>
      </c>
      <c r="I162" s="509"/>
      <c r="J162" s="525"/>
      <c r="K162" s="398"/>
      <c r="L162" s="398"/>
      <c r="M162" s="398"/>
      <c r="N162" s="86"/>
    </row>
    <row r="163" spans="1:14" s="530" customFormat="1" ht="15.75" x14ac:dyDescent="0.25">
      <c r="A163" s="523">
        <v>157</v>
      </c>
      <c r="B163" s="523" t="s">
        <v>825</v>
      </c>
      <c r="C163" s="553">
        <v>2192</v>
      </c>
      <c r="D163" s="476">
        <v>10000</v>
      </c>
      <c r="E163" s="87"/>
      <c r="F163" s="87">
        <v>111.42</v>
      </c>
      <c r="G163" s="87">
        <v>10000</v>
      </c>
      <c r="H163" s="87">
        <f t="shared" si="2"/>
        <v>0</v>
      </c>
      <c r="I163" s="509"/>
      <c r="J163" s="525"/>
      <c r="K163" s="398"/>
      <c r="L163" s="398"/>
      <c r="M163" s="398"/>
      <c r="N163" s="86"/>
    </row>
    <row r="164" spans="1:14" s="530" customFormat="1" ht="15.75" x14ac:dyDescent="0.25">
      <c r="A164" s="523">
        <v>158</v>
      </c>
      <c r="B164" s="523" t="s">
        <v>825</v>
      </c>
      <c r="C164" s="553">
        <v>1940</v>
      </c>
      <c r="D164" s="476">
        <v>30000</v>
      </c>
      <c r="E164" s="87"/>
      <c r="F164" s="87">
        <v>334.38</v>
      </c>
      <c r="G164" s="87">
        <v>30000</v>
      </c>
      <c r="H164" s="87">
        <f t="shared" si="2"/>
        <v>0</v>
      </c>
      <c r="I164" s="509"/>
      <c r="J164" s="525"/>
      <c r="K164" s="398"/>
      <c r="L164" s="398"/>
      <c r="M164" s="398"/>
      <c r="N164" s="86"/>
    </row>
    <row r="165" spans="1:14" s="530" customFormat="1" ht="15.75" x14ac:dyDescent="0.25">
      <c r="A165" s="523">
        <v>159</v>
      </c>
      <c r="B165" s="523" t="s">
        <v>825</v>
      </c>
      <c r="C165" s="553">
        <v>1457</v>
      </c>
      <c r="D165" s="476">
        <v>30000</v>
      </c>
      <c r="E165" s="87"/>
      <c r="F165" s="87">
        <v>334.38</v>
      </c>
      <c r="G165" s="87">
        <v>30000</v>
      </c>
      <c r="H165" s="87">
        <f t="shared" si="2"/>
        <v>0</v>
      </c>
      <c r="I165" s="509"/>
      <c r="J165" s="525"/>
      <c r="K165" s="398"/>
      <c r="L165" s="398"/>
      <c r="M165" s="398"/>
      <c r="N165" s="86"/>
    </row>
    <row r="166" spans="1:14" s="530" customFormat="1" ht="15.75" x14ac:dyDescent="0.25">
      <c r="A166" s="523">
        <v>160</v>
      </c>
      <c r="B166" s="523" t="s">
        <v>825</v>
      </c>
      <c r="C166" s="553">
        <v>3.7499999999999999E-2</v>
      </c>
      <c r="D166" s="476">
        <v>13000</v>
      </c>
      <c r="E166" s="87"/>
      <c r="F166" s="87">
        <v>144.13</v>
      </c>
      <c r="G166" s="87">
        <v>13000</v>
      </c>
      <c r="H166" s="87">
        <f t="shared" si="2"/>
        <v>0</v>
      </c>
      <c r="I166" s="509"/>
      <c r="J166" s="525"/>
      <c r="K166" s="398"/>
      <c r="L166" s="398"/>
      <c r="M166" s="398"/>
      <c r="N166" s="86"/>
    </row>
    <row r="167" spans="1:14" s="530" customFormat="1" ht="15.75" x14ac:dyDescent="0.25">
      <c r="A167" s="523">
        <v>161</v>
      </c>
      <c r="B167" s="523" t="s">
        <v>825</v>
      </c>
      <c r="C167" s="553">
        <v>9251</v>
      </c>
      <c r="D167" s="476">
        <v>23000</v>
      </c>
      <c r="E167" s="87"/>
      <c r="F167" s="87">
        <v>256.27</v>
      </c>
      <c r="G167" s="87">
        <v>23000</v>
      </c>
      <c r="H167" s="87">
        <f t="shared" si="2"/>
        <v>0</v>
      </c>
      <c r="I167" s="509"/>
      <c r="J167" s="525"/>
      <c r="K167" s="398"/>
      <c r="L167" s="398"/>
      <c r="M167" s="398"/>
      <c r="N167" s="86"/>
    </row>
    <row r="168" spans="1:14" s="530" customFormat="1" ht="15.75" x14ac:dyDescent="0.25">
      <c r="A168" s="523">
        <v>162</v>
      </c>
      <c r="B168" s="523" t="s">
        <v>825</v>
      </c>
      <c r="C168" s="553">
        <v>5354</v>
      </c>
      <c r="D168" s="476">
        <v>30000</v>
      </c>
      <c r="E168" s="87"/>
      <c r="F168" s="87">
        <v>334.82</v>
      </c>
      <c r="G168" s="87">
        <v>30000</v>
      </c>
      <c r="H168" s="87">
        <f t="shared" si="2"/>
        <v>0</v>
      </c>
      <c r="I168" s="509"/>
      <c r="J168" s="525"/>
      <c r="K168" s="398"/>
      <c r="L168" s="398"/>
      <c r="M168" s="398"/>
      <c r="N168" s="86"/>
    </row>
    <row r="169" spans="1:14" s="530" customFormat="1" ht="15.75" x14ac:dyDescent="0.25">
      <c r="A169" s="523">
        <v>163</v>
      </c>
      <c r="B169" s="523" t="s">
        <v>825</v>
      </c>
      <c r="C169" s="553">
        <v>9.5399999999999999E-2</v>
      </c>
      <c r="D169" s="476">
        <v>30000</v>
      </c>
      <c r="E169" s="87"/>
      <c r="F169" s="87">
        <v>334.82</v>
      </c>
      <c r="G169" s="87">
        <v>30000</v>
      </c>
      <c r="H169" s="87">
        <f t="shared" si="2"/>
        <v>0</v>
      </c>
      <c r="I169" s="509"/>
      <c r="J169" s="525"/>
      <c r="K169" s="398"/>
      <c r="L169" s="398"/>
      <c r="M169" s="398"/>
      <c r="N169" s="86"/>
    </row>
    <row r="170" spans="1:14" s="530" customFormat="1" ht="15.75" x14ac:dyDescent="0.25">
      <c r="A170" s="523">
        <v>164</v>
      </c>
      <c r="B170" s="523" t="s">
        <v>825</v>
      </c>
      <c r="C170" s="553">
        <v>2.6100000000000002E-2</v>
      </c>
      <c r="D170" s="476">
        <v>25000</v>
      </c>
      <c r="E170" s="87"/>
      <c r="F170" s="87">
        <v>278.22000000000003</v>
      </c>
      <c r="G170" s="87">
        <v>25000</v>
      </c>
      <c r="H170" s="87">
        <f t="shared" si="2"/>
        <v>0</v>
      </c>
      <c r="I170" s="509"/>
      <c r="J170" s="525"/>
      <c r="K170" s="398"/>
      <c r="L170" s="398"/>
      <c r="M170" s="398"/>
      <c r="N170" s="86"/>
    </row>
    <row r="171" spans="1:14" s="530" customFormat="1" ht="15.75" x14ac:dyDescent="0.25">
      <c r="A171" s="523">
        <v>165</v>
      </c>
      <c r="B171" s="523" t="s">
        <v>825</v>
      </c>
      <c r="C171" s="553">
        <v>3527</v>
      </c>
      <c r="D171" s="476">
        <v>22000</v>
      </c>
      <c r="E171" s="87"/>
      <c r="F171" s="87">
        <v>256.70999999999998</v>
      </c>
      <c r="G171" s="87">
        <v>22000</v>
      </c>
      <c r="H171" s="87">
        <f t="shared" si="2"/>
        <v>0</v>
      </c>
      <c r="I171" s="509"/>
      <c r="J171" s="525"/>
      <c r="K171" s="398"/>
      <c r="L171" s="398"/>
      <c r="M171" s="398"/>
      <c r="N171" s="86"/>
    </row>
    <row r="172" spans="1:14" s="530" customFormat="1" ht="15.75" x14ac:dyDescent="0.25">
      <c r="A172" s="523">
        <v>166</v>
      </c>
      <c r="B172" s="523" t="s">
        <v>825</v>
      </c>
      <c r="C172" s="553">
        <v>8382</v>
      </c>
      <c r="D172" s="476">
        <v>20000</v>
      </c>
      <c r="E172" s="87"/>
      <c r="F172" s="87">
        <v>222.82</v>
      </c>
      <c r="G172" s="87">
        <v>20000</v>
      </c>
      <c r="H172" s="87">
        <f t="shared" si="2"/>
        <v>0</v>
      </c>
      <c r="I172" s="509"/>
      <c r="J172" s="525"/>
      <c r="K172" s="398">
        <f>2484333-2478005</f>
        <v>6328</v>
      </c>
      <c r="L172" s="398" t="s">
        <v>826</v>
      </c>
      <c r="M172" s="398" t="s">
        <v>620</v>
      </c>
      <c r="N172" s="86">
        <f>6328-5035</f>
        <v>1293</v>
      </c>
    </row>
    <row r="173" spans="1:14" s="531" customFormat="1" ht="15.75" x14ac:dyDescent="0.25">
      <c r="A173" s="523">
        <v>167</v>
      </c>
      <c r="B173" s="523" t="s">
        <v>827</v>
      </c>
      <c r="C173" s="553">
        <v>2425</v>
      </c>
      <c r="D173" s="476">
        <v>18000</v>
      </c>
      <c r="E173" s="87"/>
      <c r="F173" s="87">
        <v>200.82</v>
      </c>
      <c r="G173" s="87">
        <v>18000</v>
      </c>
      <c r="H173" s="87">
        <f t="shared" si="2"/>
        <v>0</v>
      </c>
      <c r="I173" s="509"/>
      <c r="J173" s="525"/>
      <c r="K173" s="398"/>
      <c r="L173" s="398"/>
      <c r="M173" s="398"/>
      <c r="N173" s="86"/>
    </row>
    <row r="174" spans="1:14" s="531" customFormat="1" ht="15.75" x14ac:dyDescent="0.25">
      <c r="A174" s="523">
        <v>168</v>
      </c>
      <c r="B174" s="523" t="s">
        <v>827</v>
      </c>
      <c r="C174" s="553">
        <v>9210</v>
      </c>
      <c r="D174" s="476">
        <v>15000</v>
      </c>
      <c r="E174" s="87"/>
      <c r="F174" s="87">
        <v>167.15</v>
      </c>
      <c r="G174" s="87">
        <v>15000</v>
      </c>
      <c r="H174" s="87">
        <f t="shared" si="2"/>
        <v>0</v>
      </c>
      <c r="I174" s="509"/>
      <c r="J174" s="525"/>
      <c r="K174" s="398"/>
      <c r="L174" s="398"/>
      <c r="M174" s="398"/>
      <c r="N174" s="86"/>
    </row>
    <row r="175" spans="1:14" s="531" customFormat="1" ht="15.75" x14ac:dyDescent="0.25">
      <c r="A175" s="523">
        <v>169</v>
      </c>
      <c r="B175" s="523" t="s">
        <v>827</v>
      </c>
      <c r="C175" s="553" t="s">
        <v>30</v>
      </c>
      <c r="D175" s="476">
        <v>5000</v>
      </c>
      <c r="E175" s="87"/>
      <c r="F175" s="87">
        <v>50.45</v>
      </c>
      <c r="G175" s="87">
        <v>5000</v>
      </c>
      <c r="H175" s="87">
        <f t="shared" si="2"/>
        <v>0</v>
      </c>
      <c r="I175" s="509"/>
      <c r="J175" s="525"/>
      <c r="K175" s="398"/>
      <c r="L175" s="398"/>
      <c r="M175" s="398"/>
      <c r="N175" s="86"/>
    </row>
    <row r="176" spans="1:14" s="531" customFormat="1" ht="15.75" x14ac:dyDescent="0.25">
      <c r="A176" s="523">
        <v>170</v>
      </c>
      <c r="B176" s="523" t="s">
        <v>827</v>
      </c>
      <c r="C176" s="553" t="s">
        <v>30</v>
      </c>
      <c r="D176" s="476">
        <v>4000</v>
      </c>
      <c r="E176" s="87"/>
      <c r="F176" s="87">
        <v>45.42</v>
      </c>
      <c r="G176" s="87">
        <v>4000</v>
      </c>
      <c r="H176" s="87">
        <f t="shared" si="2"/>
        <v>0</v>
      </c>
      <c r="I176" s="509"/>
      <c r="J176" s="525"/>
      <c r="K176" s="398"/>
      <c r="L176" s="398"/>
      <c r="M176" s="398"/>
      <c r="N176" s="86"/>
    </row>
    <row r="177" spans="1:14" s="531" customFormat="1" ht="15.75" x14ac:dyDescent="0.25">
      <c r="A177" s="523">
        <v>171</v>
      </c>
      <c r="B177" s="523" t="s">
        <v>827</v>
      </c>
      <c r="C177" s="553" t="s">
        <v>819</v>
      </c>
      <c r="D177" s="476">
        <v>2500</v>
      </c>
      <c r="E177" s="87"/>
      <c r="F177" s="87">
        <v>27.35</v>
      </c>
      <c r="G177" s="87">
        <v>2500</v>
      </c>
      <c r="H177" s="87">
        <f t="shared" si="2"/>
        <v>0</v>
      </c>
      <c r="I177" s="509"/>
      <c r="J177" s="525"/>
      <c r="K177" s="398"/>
      <c r="L177" s="398"/>
      <c r="M177" s="398"/>
      <c r="N177" s="86"/>
    </row>
    <row r="178" spans="1:14" s="531" customFormat="1" ht="15.75" x14ac:dyDescent="0.25">
      <c r="A178" s="523">
        <v>172</v>
      </c>
      <c r="B178" s="523" t="s">
        <v>827</v>
      </c>
      <c r="C178" s="553">
        <v>5200</v>
      </c>
      <c r="D178" s="476">
        <v>15000</v>
      </c>
      <c r="E178" s="87"/>
      <c r="F178" s="87">
        <v>167.15</v>
      </c>
      <c r="G178" s="87">
        <v>15000</v>
      </c>
      <c r="H178" s="87">
        <f t="shared" si="2"/>
        <v>0</v>
      </c>
      <c r="I178" s="509"/>
      <c r="J178" s="525"/>
      <c r="K178" s="398"/>
      <c r="L178" s="398"/>
      <c r="M178" s="398"/>
      <c r="N178" s="86"/>
    </row>
    <row r="179" spans="1:14" s="531" customFormat="1" ht="15.75" x14ac:dyDescent="0.25">
      <c r="A179" s="523">
        <v>173</v>
      </c>
      <c r="B179" s="523" t="s">
        <v>827</v>
      </c>
      <c r="C179" s="553">
        <v>8110</v>
      </c>
      <c r="D179" s="476">
        <v>30000</v>
      </c>
      <c r="E179" s="87"/>
      <c r="F179" s="87">
        <v>334.25</v>
      </c>
      <c r="G179" s="87">
        <v>30000</v>
      </c>
      <c r="H179" s="87">
        <f t="shared" si="2"/>
        <v>0</v>
      </c>
      <c r="I179" s="509"/>
      <c r="J179" s="525"/>
      <c r="K179" s="398"/>
      <c r="L179" s="398"/>
      <c r="M179" s="398"/>
      <c r="N179" s="86"/>
    </row>
    <row r="180" spans="1:14" s="531" customFormat="1" ht="15.75" x14ac:dyDescent="0.25">
      <c r="A180" s="523">
        <v>174</v>
      </c>
      <c r="B180" s="523" t="s">
        <v>827</v>
      </c>
      <c r="C180" s="553">
        <v>9639</v>
      </c>
      <c r="D180" s="476">
        <v>18000</v>
      </c>
      <c r="E180" s="87"/>
      <c r="F180" s="87">
        <v>200.82</v>
      </c>
      <c r="G180" s="87">
        <v>18000</v>
      </c>
      <c r="H180" s="87">
        <f t="shared" si="2"/>
        <v>0</v>
      </c>
      <c r="I180" s="509"/>
      <c r="J180" s="525"/>
      <c r="K180" s="398"/>
      <c r="L180" s="398"/>
      <c r="M180" s="398"/>
      <c r="N180" s="86"/>
    </row>
    <row r="181" spans="1:14" s="531" customFormat="1" ht="15.75" x14ac:dyDescent="0.25">
      <c r="A181" s="523">
        <v>175</v>
      </c>
      <c r="B181" s="523" t="s">
        <v>827</v>
      </c>
      <c r="C181" s="553">
        <v>6092</v>
      </c>
      <c r="D181" s="476">
        <v>17000</v>
      </c>
      <c r="E181" s="87"/>
      <c r="F181" s="87">
        <v>189.68</v>
      </c>
      <c r="G181" s="87">
        <v>17000</v>
      </c>
      <c r="H181" s="87">
        <f t="shared" si="2"/>
        <v>0</v>
      </c>
      <c r="I181" s="509"/>
      <c r="J181" s="525"/>
      <c r="K181" s="398"/>
      <c r="L181" s="398"/>
      <c r="M181" s="398"/>
      <c r="N181" s="86"/>
    </row>
    <row r="182" spans="1:14" s="531" customFormat="1" ht="15.75" x14ac:dyDescent="0.25">
      <c r="A182" s="523">
        <v>176</v>
      </c>
      <c r="B182" s="523" t="s">
        <v>827</v>
      </c>
      <c r="C182" s="553">
        <v>5002</v>
      </c>
      <c r="D182" s="476">
        <v>25000</v>
      </c>
      <c r="E182" s="87"/>
      <c r="F182" s="87">
        <v>278.22000000000003</v>
      </c>
      <c r="G182" s="87">
        <v>25000</v>
      </c>
      <c r="H182" s="87">
        <f t="shared" si="2"/>
        <v>0</v>
      </c>
      <c r="I182" s="509"/>
      <c r="J182" s="525"/>
      <c r="K182" s="398"/>
      <c r="L182" s="398"/>
      <c r="M182" s="398"/>
      <c r="N182" s="86"/>
    </row>
    <row r="183" spans="1:14" s="531" customFormat="1" ht="15.75" x14ac:dyDescent="0.25">
      <c r="A183" s="523">
        <v>177</v>
      </c>
      <c r="B183" s="523" t="s">
        <v>827</v>
      </c>
      <c r="C183" s="553">
        <v>2330</v>
      </c>
      <c r="D183" s="476">
        <v>23000</v>
      </c>
      <c r="E183" s="87"/>
      <c r="F183" s="87">
        <v>256.29000000000002</v>
      </c>
      <c r="G183" s="87">
        <v>23000</v>
      </c>
      <c r="H183" s="87">
        <f t="shared" si="2"/>
        <v>0</v>
      </c>
      <c r="I183" s="509"/>
      <c r="J183" s="525"/>
      <c r="K183" s="398"/>
      <c r="L183" s="398"/>
      <c r="M183" s="398"/>
      <c r="N183" s="86"/>
    </row>
    <row r="184" spans="1:14" s="531" customFormat="1" ht="15.75" x14ac:dyDescent="0.25">
      <c r="A184" s="523">
        <v>178</v>
      </c>
      <c r="B184" s="523" t="s">
        <v>827</v>
      </c>
      <c r="C184" s="553">
        <v>3777</v>
      </c>
      <c r="D184" s="476">
        <v>30000</v>
      </c>
      <c r="E184" s="87"/>
      <c r="F184" s="87">
        <v>334.82</v>
      </c>
      <c r="G184" s="87">
        <v>30000</v>
      </c>
      <c r="H184" s="87">
        <f t="shared" si="2"/>
        <v>0</v>
      </c>
      <c r="I184" s="509"/>
      <c r="J184" s="525"/>
      <c r="K184" s="398"/>
      <c r="L184" s="398"/>
      <c r="M184" s="398"/>
      <c r="N184" s="86"/>
    </row>
    <row r="185" spans="1:14" s="531" customFormat="1" ht="15.75" x14ac:dyDescent="0.25">
      <c r="A185" s="523">
        <v>179</v>
      </c>
      <c r="B185" s="523" t="s">
        <v>828</v>
      </c>
      <c r="C185" s="553" t="s">
        <v>66</v>
      </c>
      <c r="D185" s="476">
        <v>210</v>
      </c>
      <c r="E185" s="87"/>
      <c r="F185" s="87">
        <v>2.09</v>
      </c>
      <c r="G185" s="87">
        <v>210</v>
      </c>
      <c r="H185" s="87">
        <f t="shared" si="2"/>
        <v>0</v>
      </c>
      <c r="I185" s="509"/>
      <c r="J185" s="525"/>
      <c r="K185" s="398"/>
      <c r="L185" s="398"/>
      <c r="M185" s="398"/>
      <c r="N185" s="86"/>
    </row>
    <row r="186" spans="1:14" s="531" customFormat="1" ht="15.75" x14ac:dyDescent="0.25">
      <c r="A186" s="523">
        <v>180</v>
      </c>
      <c r="B186" s="523" t="s">
        <v>828</v>
      </c>
      <c r="C186" s="553">
        <v>4.1500000000000002E-2</v>
      </c>
      <c r="D186" s="476">
        <v>13500</v>
      </c>
      <c r="E186" s="87"/>
      <c r="F186" s="87">
        <v>150.74</v>
      </c>
      <c r="G186" s="87">
        <v>13500</v>
      </c>
      <c r="H186" s="87">
        <f t="shared" si="2"/>
        <v>0</v>
      </c>
      <c r="I186" s="509"/>
      <c r="J186" s="525"/>
      <c r="K186" s="398"/>
      <c r="L186" s="398"/>
      <c r="M186" s="398"/>
      <c r="N186" s="86"/>
    </row>
    <row r="187" spans="1:14" s="531" customFormat="1" ht="15.75" x14ac:dyDescent="0.25">
      <c r="A187" s="523">
        <v>181</v>
      </c>
      <c r="B187" s="523" t="s">
        <v>828</v>
      </c>
      <c r="C187" s="553">
        <v>2004</v>
      </c>
      <c r="D187" s="476">
        <v>23000</v>
      </c>
      <c r="E187" s="87"/>
      <c r="F187" s="87">
        <v>258.70999999999998</v>
      </c>
      <c r="G187" s="87">
        <v>23000</v>
      </c>
      <c r="H187" s="87">
        <f t="shared" si="2"/>
        <v>0</v>
      </c>
      <c r="I187" s="509"/>
      <c r="J187" s="525"/>
      <c r="K187" s="398"/>
      <c r="L187" s="398"/>
      <c r="M187" s="398"/>
      <c r="N187" s="86"/>
    </row>
    <row r="188" spans="1:14" s="531" customFormat="1" ht="15.75" x14ac:dyDescent="0.25">
      <c r="A188" s="523">
        <v>182</v>
      </c>
      <c r="B188" s="523" t="s">
        <v>828</v>
      </c>
      <c r="C188" s="553">
        <v>5403</v>
      </c>
      <c r="D188" s="476">
        <v>20000</v>
      </c>
      <c r="E188" s="87"/>
      <c r="F188" s="87">
        <v>222.82</v>
      </c>
      <c r="G188" s="87">
        <v>20000</v>
      </c>
      <c r="H188" s="87">
        <f t="shared" si="2"/>
        <v>0</v>
      </c>
      <c r="I188" s="509"/>
      <c r="J188" s="525"/>
      <c r="K188" s="398"/>
      <c r="L188" s="398"/>
      <c r="M188" s="398"/>
      <c r="N188" s="86"/>
    </row>
    <row r="189" spans="1:14" s="531" customFormat="1" ht="15.75" x14ac:dyDescent="0.25">
      <c r="A189" s="523">
        <v>183</v>
      </c>
      <c r="B189" s="523" t="s">
        <v>828</v>
      </c>
      <c r="C189" s="553">
        <v>5539</v>
      </c>
      <c r="D189" s="476">
        <v>31000</v>
      </c>
      <c r="E189" s="87"/>
      <c r="F189" s="87">
        <v>345.87</v>
      </c>
      <c r="G189" s="87">
        <v>31000</v>
      </c>
      <c r="H189" s="87">
        <f t="shared" si="2"/>
        <v>0</v>
      </c>
      <c r="I189" s="509"/>
      <c r="J189" s="525"/>
      <c r="K189" s="398"/>
      <c r="L189" s="398"/>
      <c r="M189" s="398"/>
      <c r="N189" s="86"/>
    </row>
    <row r="190" spans="1:14" s="531" customFormat="1" ht="15.75" x14ac:dyDescent="0.25">
      <c r="A190" s="523">
        <v>184</v>
      </c>
      <c r="B190" s="523" t="s">
        <v>828</v>
      </c>
      <c r="C190" s="553">
        <v>4146</v>
      </c>
      <c r="D190" s="476">
        <v>12000</v>
      </c>
      <c r="E190" s="87"/>
      <c r="F190" s="87">
        <v>133.41999999999999</v>
      </c>
      <c r="G190" s="87">
        <v>12000</v>
      </c>
      <c r="H190" s="87">
        <f t="shared" si="2"/>
        <v>0</v>
      </c>
      <c r="I190" s="509"/>
      <c r="J190" s="525"/>
      <c r="K190" s="398"/>
      <c r="L190" s="398"/>
      <c r="M190" s="398"/>
      <c r="N190" s="86"/>
    </row>
    <row r="191" spans="1:14" s="531" customFormat="1" ht="15.75" x14ac:dyDescent="0.25">
      <c r="A191" s="523">
        <v>185</v>
      </c>
      <c r="B191" s="523" t="s">
        <v>828</v>
      </c>
      <c r="C191" s="553">
        <v>6012</v>
      </c>
      <c r="D191" s="476">
        <v>15000</v>
      </c>
      <c r="E191" s="87"/>
      <c r="F191" s="87">
        <v>167.15</v>
      </c>
      <c r="G191" s="87">
        <v>15000</v>
      </c>
      <c r="H191" s="87">
        <f t="shared" si="2"/>
        <v>0</v>
      </c>
      <c r="I191" s="509"/>
      <c r="J191" s="525"/>
      <c r="K191" s="398"/>
      <c r="L191" s="398"/>
      <c r="M191" s="398"/>
      <c r="N191" s="86"/>
    </row>
    <row r="192" spans="1:14" s="531" customFormat="1" ht="15.75" x14ac:dyDescent="0.25">
      <c r="A192" s="523">
        <v>186</v>
      </c>
      <c r="B192" s="523" t="s">
        <v>828</v>
      </c>
      <c r="C192" s="553">
        <v>7217</v>
      </c>
      <c r="D192" s="476">
        <v>30000</v>
      </c>
      <c r="E192" s="87"/>
      <c r="F192" s="87">
        <v>334.82</v>
      </c>
      <c r="G192" s="87">
        <v>30000</v>
      </c>
      <c r="H192" s="87">
        <f t="shared" si="2"/>
        <v>0</v>
      </c>
      <c r="I192" s="509"/>
      <c r="J192" s="525"/>
      <c r="K192" s="398"/>
      <c r="L192" s="398"/>
      <c r="M192" s="398"/>
      <c r="N192" s="86"/>
    </row>
    <row r="193" spans="1:14" s="531" customFormat="1" ht="15.75" x14ac:dyDescent="0.25">
      <c r="A193" s="523">
        <v>187</v>
      </c>
      <c r="B193" s="523" t="s">
        <v>828</v>
      </c>
      <c r="C193" s="553" t="s">
        <v>30</v>
      </c>
      <c r="D193" s="476">
        <v>5000</v>
      </c>
      <c r="E193" s="87"/>
      <c r="F193" s="87">
        <v>55.45</v>
      </c>
      <c r="G193" s="87">
        <v>5000</v>
      </c>
      <c r="H193" s="87">
        <f t="shared" si="2"/>
        <v>0</v>
      </c>
      <c r="I193" s="509"/>
      <c r="J193" s="525"/>
      <c r="K193" s="398"/>
      <c r="L193" s="398"/>
      <c r="M193" s="398"/>
      <c r="N193" s="86"/>
    </row>
    <row r="194" spans="1:14" s="531" customFormat="1" ht="15.75" x14ac:dyDescent="0.25">
      <c r="A194" s="523">
        <v>188</v>
      </c>
      <c r="B194" s="523" t="s">
        <v>828</v>
      </c>
      <c r="C194" s="553">
        <v>1860</v>
      </c>
      <c r="D194" s="476">
        <v>20000</v>
      </c>
      <c r="E194" s="87"/>
      <c r="F194" s="87">
        <v>222.82</v>
      </c>
      <c r="G194" s="87">
        <v>20000</v>
      </c>
      <c r="H194" s="87">
        <f t="shared" si="2"/>
        <v>0</v>
      </c>
      <c r="I194" s="509"/>
      <c r="J194" s="525"/>
      <c r="K194" s="398"/>
      <c r="L194" s="398"/>
      <c r="M194" s="398"/>
      <c r="N194" s="86"/>
    </row>
    <row r="195" spans="1:14" s="531" customFormat="1" ht="15.75" x14ac:dyDescent="0.25">
      <c r="A195" s="523">
        <v>189</v>
      </c>
      <c r="B195" s="523" t="s">
        <v>828</v>
      </c>
      <c r="C195" s="553">
        <v>3266</v>
      </c>
      <c r="D195" s="476">
        <v>20000</v>
      </c>
      <c r="E195" s="87"/>
      <c r="F195" s="87">
        <v>222.82</v>
      </c>
      <c r="G195" s="87">
        <v>20000</v>
      </c>
      <c r="H195" s="87">
        <f t="shared" si="2"/>
        <v>0</v>
      </c>
      <c r="I195" s="509"/>
      <c r="J195" s="525"/>
      <c r="K195" s="398"/>
      <c r="L195" s="398"/>
      <c r="M195" s="398"/>
      <c r="N195" s="86"/>
    </row>
    <row r="196" spans="1:14" s="532" customFormat="1" ht="15.75" x14ac:dyDescent="0.25">
      <c r="A196" s="523">
        <v>190</v>
      </c>
      <c r="B196" s="523" t="s">
        <v>828</v>
      </c>
      <c r="C196" s="553">
        <v>4251</v>
      </c>
      <c r="D196" s="476">
        <v>23000</v>
      </c>
      <c r="E196" s="87"/>
      <c r="F196" s="87">
        <v>256.70999999999998</v>
      </c>
      <c r="G196" s="87">
        <v>23000</v>
      </c>
      <c r="H196" s="87">
        <f t="shared" si="2"/>
        <v>0</v>
      </c>
      <c r="I196" s="509"/>
      <c r="J196" s="525"/>
      <c r="K196" s="398"/>
      <c r="L196" s="398"/>
      <c r="M196" s="398"/>
      <c r="N196" s="86"/>
    </row>
    <row r="197" spans="1:14" s="532" customFormat="1" ht="15.75" x14ac:dyDescent="0.25">
      <c r="A197" s="523">
        <v>191</v>
      </c>
      <c r="B197" s="523" t="s">
        <v>828</v>
      </c>
      <c r="C197" s="553" t="s">
        <v>30</v>
      </c>
      <c r="D197" s="476">
        <v>4500</v>
      </c>
      <c r="E197" s="87"/>
      <c r="F197" s="87">
        <v>50.47</v>
      </c>
      <c r="G197" s="87">
        <v>4500</v>
      </c>
      <c r="H197" s="87">
        <f t="shared" si="2"/>
        <v>0</v>
      </c>
      <c r="I197" s="509"/>
      <c r="J197" s="525"/>
      <c r="K197" s="398"/>
      <c r="L197" s="398"/>
      <c r="M197" s="398"/>
      <c r="N197" s="86"/>
    </row>
    <row r="198" spans="1:14" s="532" customFormat="1" ht="15.75" x14ac:dyDescent="0.25">
      <c r="A198" s="523">
        <v>192</v>
      </c>
      <c r="B198" s="523" t="s">
        <v>828</v>
      </c>
      <c r="C198" s="553">
        <v>7247</v>
      </c>
      <c r="D198" s="533">
        <v>24000</v>
      </c>
      <c r="E198" s="87"/>
      <c r="F198" s="87">
        <v>267.97000000000003</v>
      </c>
      <c r="G198" s="87">
        <v>24000</v>
      </c>
      <c r="H198" s="87">
        <f t="shared" si="2"/>
        <v>0</v>
      </c>
      <c r="I198" s="509"/>
      <c r="J198" s="525"/>
      <c r="K198" s="398"/>
      <c r="L198" s="398"/>
      <c r="M198" s="398"/>
      <c r="N198" s="86"/>
    </row>
    <row r="199" spans="1:14" s="532" customFormat="1" ht="15.75" x14ac:dyDescent="0.25">
      <c r="A199" s="523">
        <v>193</v>
      </c>
      <c r="B199" s="523" t="s">
        <v>828</v>
      </c>
      <c r="C199" s="553">
        <v>5075</v>
      </c>
      <c r="D199" s="476">
        <v>14000</v>
      </c>
      <c r="E199" s="87"/>
      <c r="F199" s="87">
        <v>155.44999999999999</v>
      </c>
      <c r="G199" s="87">
        <v>14000</v>
      </c>
      <c r="H199" s="87">
        <f t="shared" ref="H199:H262" si="3">D199-G199</f>
        <v>0</v>
      </c>
      <c r="I199" s="509"/>
      <c r="J199" s="525"/>
      <c r="K199" s="398"/>
      <c r="L199" s="398"/>
      <c r="M199" s="398"/>
      <c r="N199" s="86"/>
    </row>
    <row r="200" spans="1:14" s="532" customFormat="1" ht="15.75" x14ac:dyDescent="0.25">
      <c r="A200" s="523">
        <v>194</v>
      </c>
      <c r="B200" s="523" t="s">
        <v>828</v>
      </c>
      <c r="C200" s="553">
        <v>7686</v>
      </c>
      <c r="D200" s="476">
        <v>22000</v>
      </c>
      <c r="E200" s="87"/>
      <c r="F200" s="87">
        <v>245.58</v>
      </c>
      <c r="G200" s="87">
        <v>22000</v>
      </c>
      <c r="H200" s="87">
        <f t="shared" si="3"/>
        <v>0</v>
      </c>
      <c r="I200" s="509"/>
      <c r="J200" s="525"/>
      <c r="K200" s="398"/>
      <c r="L200" s="398"/>
      <c r="M200" s="398"/>
      <c r="N200" s="86"/>
    </row>
    <row r="201" spans="1:14" s="532" customFormat="1" ht="15.75" x14ac:dyDescent="0.25">
      <c r="A201" s="523">
        <v>195</v>
      </c>
      <c r="B201" s="523" t="s">
        <v>828</v>
      </c>
      <c r="C201" s="553">
        <v>6751</v>
      </c>
      <c r="D201" s="476">
        <v>25000</v>
      </c>
      <c r="E201" s="87"/>
      <c r="F201" s="87">
        <v>278.22000000000003</v>
      </c>
      <c r="G201" s="87">
        <v>25000</v>
      </c>
      <c r="H201" s="87">
        <f t="shared" si="3"/>
        <v>0</v>
      </c>
      <c r="I201" s="509"/>
      <c r="J201" s="525"/>
      <c r="K201" s="398"/>
      <c r="L201" s="398"/>
      <c r="M201" s="398"/>
      <c r="N201" s="86"/>
    </row>
    <row r="202" spans="1:14" s="532" customFormat="1" ht="15.75" x14ac:dyDescent="0.25">
      <c r="A202" s="523">
        <v>196</v>
      </c>
      <c r="B202" s="523" t="s">
        <v>828</v>
      </c>
      <c r="C202" s="553">
        <v>6.4199999999999993E-2</v>
      </c>
      <c r="D202" s="476">
        <v>23000</v>
      </c>
      <c r="E202" s="87"/>
      <c r="F202" s="87">
        <v>256.70999999999998</v>
      </c>
      <c r="G202" s="87">
        <v>23000</v>
      </c>
      <c r="H202" s="87">
        <f t="shared" si="3"/>
        <v>0</v>
      </c>
      <c r="I202" s="509"/>
      <c r="J202" s="525"/>
      <c r="K202" s="398"/>
      <c r="L202" s="398"/>
      <c r="M202" s="398"/>
      <c r="N202" s="86"/>
    </row>
    <row r="203" spans="1:14" s="532" customFormat="1" ht="15.75" x14ac:dyDescent="0.25">
      <c r="A203" s="523">
        <v>197</v>
      </c>
      <c r="B203" s="523" t="s">
        <v>828</v>
      </c>
      <c r="C203" s="553">
        <v>2.2700000000000001E-2</v>
      </c>
      <c r="D203" s="476">
        <v>6000</v>
      </c>
      <c r="E203" s="87"/>
      <c r="F203" s="87">
        <v>66.849999999999994</v>
      </c>
      <c r="G203" s="87">
        <v>6000</v>
      </c>
      <c r="H203" s="87">
        <f t="shared" si="3"/>
        <v>0</v>
      </c>
      <c r="I203" s="509"/>
      <c r="J203" s="525"/>
      <c r="K203" s="398"/>
      <c r="L203" s="398"/>
      <c r="M203" s="398"/>
      <c r="N203" s="86"/>
    </row>
    <row r="204" spans="1:14" s="532" customFormat="1" ht="15.75" x14ac:dyDescent="0.25">
      <c r="A204" s="523">
        <v>198</v>
      </c>
      <c r="B204" s="523" t="s">
        <v>828</v>
      </c>
      <c r="C204" s="553">
        <v>4208</v>
      </c>
      <c r="D204" s="476">
        <v>22000</v>
      </c>
      <c r="E204" s="87"/>
      <c r="F204" s="87">
        <v>245.47</v>
      </c>
      <c r="G204" s="87">
        <v>22000</v>
      </c>
      <c r="H204" s="87">
        <f t="shared" si="3"/>
        <v>0</v>
      </c>
      <c r="I204" s="509"/>
      <c r="J204" s="525"/>
      <c r="K204" s="398"/>
      <c r="L204" s="398"/>
      <c r="M204" s="398"/>
      <c r="N204" s="86"/>
    </row>
    <row r="205" spans="1:14" s="532" customFormat="1" ht="15.75" x14ac:dyDescent="0.25">
      <c r="A205" s="523">
        <v>199</v>
      </c>
      <c r="B205" s="523" t="s">
        <v>828</v>
      </c>
      <c r="C205" s="553">
        <v>2894</v>
      </c>
      <c r="D205" s="476">
        <v>20000</v>
      </c>
      <c r="E205" s="87"/>
      <c r="F205" s="87">
        <v>222.82</v>
      </c>
      <c r="G205" s="87">
        <v>20000</v>
      </c>
      <c r="H205" s="87">
        <f t="shared" si="3"/>
        <v>0</v>
      </c>
      <c r="I205" s="509"/>
      <c r="J205" s="525"/>
      <c r="K205" s="398"/>
      <c r="L205" s="398"/>
      <c r="M205" s="398"/>
      <c r="N205" s="86"/>
    </row>
    <row r="206" spans="1:14" s="532" customFormat="1" ht="15.75" x14ac:dyDescent="0.25">
      <c r="A206" s="523">
        <v>200</v>
      </c>
      <c r="B206" s="523" t="s">
        <v>828</v>
      </c>
      <c r="C206" s="553">
        <v>9894</v>
      </c>
      <c r="D206" s="476">
        <v>12000</v>
      </c>
      <c r="E206" s="87"/>
      <c r="F206" s="87">
        <v>133.41999999999999</v>
      </c>
      <c r="G206" s="87">
        <v>12000</v>
      </c>
      <c r="H206" s="87">
        <f t="shared" si="3"/>
        <v>0</v>
      </c>
      <c r="I206" s="509"/>
      <c r="J206" s="525"/>
      <c r="K206" s="398"/>
      <c r="L206" s="398"/>
      <c r="M206" s="398"/>
      <c r="N206" s="86"/>
    </row>
    <row r="207" spans="1:14" s="532" customFormat="1" ht="15.75" x14ac:dyDescent="0.25">
      <c r="A207" s="523">
        <v>201</v>
      </c>
      <c r="B207" s="523" t="s">
        <v>828</v>
      </c>
      <c r="C207" s="553">
        <v>6311</v>
      </c>
      <c r="D207" s="476">
        <v>30000</v>
      </c>
      <c r="E207" s="87"/>
      <c r="F207" s="87">
        <v>334.82</v>
      </c>
      <c r="G207" s="87">
        <v>30000</v>
      </c>
      <c r="H207" s="87">
        <f t="shared" si="3"/>
        <v>0</v>
      </c>
      <c r="I207" s="509"/>
      <c r="J207" s="525"/>
      <c r="K207" s="398"/>
      <c r="L207" s="398"/>
      <c r="M207" s="398"/>
      <c r="N207" s="86"/>
    </row>
    <row r="208" spans="1:14" s="532" customFormat="1" ht="15.75" x14ac:dyDescent="0.25">
      <c r="A208" s="523">
        <v>202</v>
      </c>
      <c r="B208" s="523" t="s">
        <v>828</v>
      </c>
      <c r="C208" s="553">
        <v>5462</v>
      </c>
      <c r="D208" s="476">
        <v>5000</v>
      </c>
      <c r="E208" s="87"/>
      <c r="F208" s="87">
        <v>55.45</v>
      </c>
      <c r="G208" s="87">
        <v>5000</v>
      </c>
      <c r="H208" s="87">
        <f t="shared" si="3"/>
        <v>0</v>
      </c>
      <c r="I208" s="509"/>
      <c r="J208" s="525"/>
      <c r="K208" s="398"/>
      <c r="L208" s="398"/>
      <c r="M208" s="398"/>
      <c r="N208" s="86"/>
    </row>
    <row r="209" spans="1:14" s="532" customFormat="1" ht="15.75" x14ac:dyDescent="0.25">
      <c r="A209" s="523">
        <v>203</v>
      </c>
      <c r="B209" s="523" t="s">
        <v>828</v>
      </c>
      <c r="C209" s="553">
        <v>7642</v>
      </c>
      <c r="D209" s="476">
        <v>5000</v>
      </c>
      <c r="E209" s="87"/>
      <c r="F209" s="87">
        <v>55.45</v>
      </c>
      <c r="G209" s="87">
        <v>5000</v>
      </c>
      <c r="H209" s="87">
        <f t="shared" si="3"/>
        <v>0</v>
      </c>
      <c r="I209" s="509"/>
      <c r="J209" s="525"/>
      <c r="K209" s="398"/>
      <c r="L209" s="398"/>
      <c r="M209" s="398"/>
      <c r="N209" s="86"/>
    </row>
    <row r="210" spans="1:14" s="532" customFormat="1" ht="15.75" x14ac:dyDescent="0.25">
      <c r="A210" s="523">
        <v>204</v>
      </c>
      <c r="B210" s="523" t="s">
        <v>828</v>
      </c>
      <c r="C210" s="553">
        <v>2370</v>
      </c>
      <c r="D210" s="476">
        <v>8000</v>
      </c>
      <c r="E210" s="87"/>
      <c r="F210" s="87">
        <v>89.74</v>
      </c>
      <c r="G210" s="87">
        <v>8000</v>
      </c>
      <c r="H210" s="87">
        <f t="shared" si="3"/>
        <v>0</v>
      </c>
      <c r="I210" s="509"/>
      <c r="J210" s="525"/>
      <c r="K210" s="398"/>
      <c r="L210" s="398"/>
      <c r="M210" s="398"/>
      <c r="N210" s="86"/>
    </row>
    <row r="211" spans="1:14" s="532" customFormat="1" ht="15.75" x14ac:dyDescent="0.25">
      <c r="A211" s="523">
        <v>205</v>
      </c>
      <c r="B211" s="523" t="s">
        <v>828</v>
      </c>
      <c r="C211" s="553">
        <v>7365</v>
      </c>
      <c r="D211" s="476">
        <v>23000</v>
      </c>
      <c r="E211" s="87"/>
      <c r="F211" s="87">
        <v>256.74</v>
      </c>
      <c r="G211" s="87">
        <v>23000</v>
      </c>
      <c r="H211" s="87">
        <f t="shared" si="3"/>
        <v>0</v>
      </c>
      <c r="I211" s="509"/>
      <c r="J211" s="525"/>
      <c r="K211" s="398"/>
      <c r="L211" s="398"/>
      <c r="M211" s="398"/>
      <c r="N211" s="86"/>
    </row>
    <row r="212" spans="1:14" s="532" customFormat="1" ht="15.75" x14ac:dyDescent="0.25">
      <c r="A212" s="523">
        <v>206</v>
      </c>
      <c r="B212" s="523" t="s">
        <v>828</v>
      </c>
      <c r="C212" s="553">
        <v>8686</v>
      </c>
      <c r="D212" s="476">
        <v>20000</v>
      </c>
      <c r="E212" s="87"/>
      <c r="F212" s="87">
        <v>222.82</v>
      </c>
      <c r="G212" s="87">
        <v>20000</v>
      </c>
      <c r="H212" s="87">
        <f t="shared" si="3"/>
        <v>0</v>
      </c>
      <c r="I212" s="509"/>
      <c r="J212" s="525"/>
      <c r="K212" s="398"/>
      <c r="L212" s="398"/>
      <c r="M212" s="398"/>
      <c r="N212" s="86"/>
    </row>
    <row r="213" spans="1:14" s="532" customFormat="1" ht="15.75" x14ac:dyDescent="0.25">
      <c r="A213" s="523">
        <v>207</v>
      </c>
      <c r="B213" s="523" t="s">
        <v>828</v>
      </c>
      <c r="C213" s="553">
        <v>2994</v>
      </c>
      <c r="D213" s="476">
        <v>17000</v>
      </c>
      <c r="E213" s="87"/>
      <c r="F213" s="87">
        <v>189.38</v>
      </c>
      <c r="G213" s="87">
        <v>17000</v>
      </c>
      <c r="H213" s="87">
        <f t="shared" si="3"/>
        <v>0</v>
      </c>
      <c r="I213" s="509"/>
      <c r="J213" s="525"/>
      <c r="K213" s="398"/>
      <c r="L213" s="398"/>
      <c r="M213" s="398"/>
      <c r="N213" s="86"/>
    </row>
    <row r="214" spans="1:14" s="532" customFormat="1" ht="15.75" x14ac:dyDescent="0.25">
      <c r="A214" s="523">
        <v>208</v>
      </c>
      <c r="B214" s="523" t="s">
        <v>828</v>
      </c>
      <c r="C214" s="553">
        <v>6868</v>
      </c>
      <c r="D214" s="476">
        <v>24350</v>
      </c>
      <c r="E214" s="87"/>
      <c r="F214" s="87">
        <v>271.45</v>
      </c>
      <c r="G214" s="87">
        <v>24350</v>
      </c>
      <c r="H214" s="87">
        <f t="shared" si="3"/>
        <v>0</v>
      </c>
      <c r="I214" s="509"/>
      <c r="J214" s="525"/>
      <c r="K214" s="398"/>
      <c r="L214" s="398"/>
      <c r="M214" s="398"/>
      <c r="N214" s="86"/>
    </row>
    <row r="215" spans="1:14" s="532" customFormat="1" ht="15.75" x14ac:dyDescent="0.25">
      <c r="A215" s="523">
        <v>209</v>
      </c>
      <c r="B215" s="523" t="s">
        <v>828</v>
      </c>
      <c r="C215" s="553">
        <v>9839</v>
      </c>
      <c r="D215" s="476">
        <v>32300</v>
      </c>
      <c r="E215" s="87"/>
      <c r="F215" s="87">
        <v>359.74</v>
      </c>
      <c r="G215" s="87">
        <v>32300</v>
      </c>
      <c r="H215" s="87">
        <f t="shared" si="3"/>
        <v>0</v>
      </c>
      <c r="I215" s="509"/>
      <c r="J215" s="525"/>
      <c r="K215" s="398"/>
      <c r="L215" s="398"/>
      <c r="M215" s="398"/>
      <c r="N215" s="86"/>
    </row>
    <row r="216" spans="1:14" s="532" customFormat="1" ht="15.75" x14ac:dyDescent="0.25">
      <c r="A216" s="523">
        <v>210</v>
      </c>
      <c r="B216" s="523" t="s">
        <v>828</v>
      </c>
      <c r="C216" s="553">
        <v>9639</v>
      </c>
      <c r="D216" s="476">
        <v>35000</v>
      </c>
      <c r="E216" s="87"/>
      <c r="F216" s="87">
        <v>373.29</v>
      </c>
      <c r="G216" s="87">
        <v>35000</v>
      </c>
      <c r="H216" s="87">
        <f t="shared" si="3"/>
        <v>0</v>
      </c>
      <c r="I216" s="509"/>
      <c r="J216" s="525"/>
      <c r="K216" s="398"/>
      <c r="L216" s="398"/>
      <c r="M216" s="398"/>
      <c r="N216" s="86"/>
    </row>
    <row r="217" spans="1:14" s="532" customFormat="1" ht="15.75" x14ac:dyDescent="0.25">
      <c r="A217" s="523">
        <v>211</v>
      </c>
      <c r="B217" s="523" t="s">
        <v>828</v>
      </c>
      <c r="C217" s="553">
        <v>9251</v>
      </c>
      <c r="D217" s="476">
        <v>15000</v>
      </c>
      <c r="E217" s="87"/>
      <c r="F217" s="87">
        <v>167.15</v>
      </c>
      <c r="G217" s="87">
        <v>15000</v>
      </c>
      <c r="H217" s="87">
        <f t="shared" si="3"/>
        <v>0</v>
      </c>
      <c r="I217" s="509"/>
      <c r="J217" s="525"/>
      <c r="K217" s="398"/>
      <c r="L217" s="398"/>
      <c r="M217" s="398"/>
      <c r="N217" s="86"/>
    </row>
    <row r="218" spans="1:14" s="532" customFormat="1" ht="15.75" x14ac:dyDescent="0.25">
      <c r="A218" s="523">
        <v>212</v>
      </c>
      <c r="B218" s="523" t="s">
        <v>828</v>
      </c>
      <c r="C218" s="553">
        <v>8139</v>
      </c>
      <c r="D218" s="476">
        <v>33000</v>
      </c>
      <c r="E218" s="87"/>
      <c r="F218" s="87">
        <v>367.58</v>
      </c>
      <c r="G218" s="87">
        <v>33000</v>
      </c>
      <c r="H218" s="87">
        <f t="shared" si="3"/>
        <v>0</v>
      </c>
      <c r="I218" s="509"/>
      <c r="J218" s="525"/>
      <c r="K218" s="398"/>
      <c r="L218" s="398"/>
      <c r="M218" s="398"/>
      <c r="N218" s="86"/>
    </row>
    <row r="219" spans="1:14" s="532" customFormat="1" ht="15.75" x14ac:dyDescent="0.25">
      <c r="A219" s="523">
        <v>213</v>
      </c>
      <c r="B219" s="523" t="s">
        <v>828</v>
      </c>
      <c r="C219" s="553">
        <v>9494</v>
      </c>
      <c r="D219" s="476">
        <v>31000</v>
      </c>
      <c r="E219" s="87"/>
      <c r="F219" s="87">
        <v>345.82</v>
      </c>
      <c r="G219" s="87">
        <v>31000</v>
      </c>
      <c r="H219" s="87">
        <f t="shared" si="3"/>
        <v>0</v>
      </c>
      <c r="I219" s="509"/>
      <c r="J219" s="525"/>
      <c r="K219" s="398"/>
      <c r="L219" s="398"/>
      <c r="M219" s="398"/>
      <c r="N219" s="86"/>
    </row>
    <row r="220" spans="1:14" s="532" customFormat="1" ht="15.75" x14ac:dyDescent="0.25">
      <c r="A220" s="523">
        <v>214</v>
      </c>
      <c r="B220" s="523" t="s">
        <v>829</v>
      </c>
      <c r="C220" s="553">
        <v>2425</v>
      </c>
      <c r="D220" s="476">
        <v>17000</v>
      </c>
      <c r="E220" s="87"/>
      <c r="F220" s="87">
        <v>189.74</v>
      </c>
      <c r="G220" s="87">
        <v>17000</v>
      </c>
      <c r="H220" s="87">
        <f t="shared" si="3"/>
        <v>0</v>
      </c>
      <c r="I220" s="509"/>
      <c r="J220" s="525"/>
      <c r="K220" s="398"/>
      <c r="L220" s="398"/>
      <c r="M220" s="398"/>
      <c r="N220" s="86"/>
    </row>
    <row r="221" spans="1:14" s="532" customFormat="1" ht="15.75" x14ac:dyDescent="0.25">
      <c r="A221" s="523">
        <v>215</v>
      </c>
      <c r="B221" s="523" t="s">
        <v>829</v>
      </c>
      <c r="C221" s="553">
        <v>7450</v>
      </c>
      <c r="D221" s="476">
        <v>17000</v>
      </c>
      <c r="E221" s="87"/>
      <c r="F221" s="87">
        <v>189.74</v>
      </c>
      <c r="G221" s="87">
        <v>17000</v>
      </c>
      <c r="H221" s="87">
        <f t="shared" si="3"/>
        <v>0</v>
      </c>
      <c r="I221" s="509"/>
      <c r="J221" s="525"/>
      <c r="K221" s="398"/>
      <c r="L221" s="398"/>
      <c r="M221" s="398"/>
      <c r="N221" s="86"/>
    </row>
    <row r="222" spans="1:14" s="532" customFormat="1" ht="15.75" x14ac:dyDescent="0.25">
      <c r="A222" s="523">
        <v>216</v>
      </c>
      <c r="B222" s="523" t="s">
        <v>829</v>
      </c>
      <c r="C222" s="553">
        <v>5424</v>
      </c>
      <c r="D222" s="476">
        <v>17000</v>
      </c>
      <c r="E222" s="87"/>
      <c r="F222" s="87">
        <v>189.74</v>
      </c>
      <c r="G222" s="87">
        <v>17000</v>
      </c>
      <c r="H222" s="87">
        <f t="shared" si="3"/>
        <v>0</v>
      </c>
      <c r="I222" s="509"/>
      <c r="J222" s="525"/>
      <c r="K222" s="398"/>
      <c r="L222" s="398"/>
      <c r="M222" s="398"/>
      <c r="N222" s="86"/>
    </row>
    <row r="223" spans="1:14" s="532" customFormat="1" ht="15.75" x14ac:dyDescent="0.25">
      <c r="A223" s="523">
        <v>217</v>
      </c>
      <c r="B223" s="523" t="s">
        <v>829</v>
      </c>
      <c r="C223" s="553">
        <v>4678</v>
      </c>
      <c r="D223" s="476">
        <v>5000</v>
      </c>
      <c r="E223" s="87"/>
      <c r="F223" s="87">
        <v>55.45</v>
      </c>
      <c r="G223" s="87">
        <v>5000</v>
      </c>
      <c r="H223" s="87">
        <f t="shared" si="3"/>
        <v>0</v>
      </c>
      <c r="I223" s="509"/>
      <c r="J223" s="525"/>
      <c r="K223" s="398"/>
      <c r="L223" s="398"/>
      <c r="M223" s="398"/>
      <c r="N223" s="86"/>
    </row>
    <row r="224" spans="1:14" s="532" customFormat="1" ht="15.75" x14ac:dyDescent="0.25">
      <c r="A224" s="523">
        <v>218</v>
      </c>
      <c r="B224" s="523" t="s">
        <v>829</v>
      </c>
      <c r="C224" s="553" t="s">
        <v>819</v>
      </c>
      <c r="D224" s="476">
        <v>3000</v>
      </c>
      <c r="E224" s="87"/>
      <c r="F224" s="87">
        <v>33.42</v>
      </c>
      <c r="G224" s="87">
        <v>3000</v>
      </c>
      <c r="H224" s="87">
        <f t="shared" si="3"/>
        <v>0</v>
      </c>
      <c r="I224" s="509"/>
      <c r="J224" s="525"/>
      <c r="K224" s="398"/>
      <c r="L224" s="398"/>
      <c r="M224" s="398"/>
      <c r="N224" s="86"/>
    </row>
    <row r="225" spans="1:14" s="532" customFormat="1" ht="15.75" x14ac:dyDescent="0.25">
      <c r="A225" s="523">
        <v>219</v>
      </c>
      <c r="B225" s="523" t="s">
        <v>829</v>
      </c>
      <c r="C225" s="553">
        <v>1886</v>
      </c>
      <c r="D225" s="476">
        <v>19000</v>
      </c>
      <c r="E225" s="87"/>
      <c r="F225" s="87">
        <v>211.52</v>
      </c>
      <c r="G225" s="87">
        <v>19000</v>
      </c>
      <c r="H225" s="87">
        <f t="shared" si="3"/>
        <v>0</v>
      </c>
      <c r="I225" s="509"/>
      <c r="J225" s="525"/>
      <c r="K225" s="398"/>
      <c r="L225" s="398"/>
      <c r="M225" s="398"/>
      <c r="N225" s="86"/>
    </row>
    <row r="226" spans="1:14" s="532" customFormat="1" ht="15.75" x14ac:dyDescent="0.25">
      <c r="A226" s="523">
        <v>220</v>
      </c>
      <c r="B226" s="523" t="s">
        <v>829</v>
      </c>
      <c r="C226" s="553">
        <v>4.7E-2</v>
      </c>
      <c r="D226" s="476">
        <v>20000</v>
      </c>
      <c r="E226" s="87"/>
      <c r="F226" s="87">
        <v>222.82</v>
      </c>
      <c r="G226" s="87">
        <v>20000</v>
      </c>
      <c r="H226" s="87">
        <f t="shared" si="3"/>
        <v>0</v>
      </c>
      <c r="I226" s="509"/>
      <c r="J226" s="525"/>
      <c r="K226" s="398"/>
      <c r="L226" s="398"/>
      <c r="M226" s="398"/>
      <c r="N226" s="86"/>
    </row>
    <row r="227" spans="1:14" s="532" customFormat="1" ht="15.75" x14ac:dyDescent="0.25">
      <c r="A227" s="523">
        <v>221</v>
      </c>
      <c r="B227" s="523" t="s">
        <v>829</v>
      </c>
      <c r="C227" s="553">
        <v>7042</v>
      </c>
      <c r="D227" s="476">
        <v>18000</v>
      </c>
      <c r="E227" s="87"/>
      <c r="F227" s="87">
        <v>200.82</v>
      </c>
      <c r="G227" s="87">
        <v>18000</v>
      </c>
      <c r="H227" s="87">
        <f t="shared" si="3"/>
        <v>0</v>
      </c>
      <c r="I227" s="509"/>
      <c r="J227" s="525"/>
      <c r="K227" s="398"/>
      <c r="L227" s="398"/>
      <c r="M227" s="398"/>
      <c r="N227" s="86"/>
    </row>
    <row r="228" spans="1:14" s="532" customFormat="1" ht="15.75" x14ac:dyDescent="0.25">
      <c r="A228" s="523">
        <v>222</v>
      </c>
      <c r="B228" s="523" t="s">
        <v>829</v>
      </c>
      <c r="C228" s="553">
        <v>9349</v>
      </c>
      <c r="D228" s="476">
        <v>10000</v>
      </c>
      <c r="E228" s="87"/>
      <c r="F228" s="87">
        <v>111.41</v>
      </c>
      <c r="G228" s="87">
        <v>10000</v>
      </c>
      <c r="H228" s="87">
        <f t="shared" si="3"/>
        <v>0</v>
      </c>
      <c r="I228" s="509"/>
      <c r="J228" s="525"/>
      <c r="K228" s="398"/>
      <c r="L228" s="398"/>
      <c r="M228" s="398"/>
      <c r="N228" s="86"/>
    </row>
    <row r="229" spans="1:14" s="532" customFormat="1" ht="15.75" x14ac:dyDescent="0.25">
      <c r="A229" s="523">
        <v>223</v>
      </c>
      <c r="B229" s="523" t="s">
        <v>829</v>
      </c>
      <c r="C229" s="553">
        <v>7631</v>
      </c>
      <c r="D229" s="476">
        <v>15000</v>
      </c>
      <c r="E229" s="87"/>
      <c r="F229" s="87">
        <v>167.15</v>
      </c>
      <c r="G229" s="87">
        <v>15000</v>
      </c>
      <c r="H229" s="87">
        <f t="shared" si="3"/>
        <v>0</v>
      </c>
      <c r="I229" s="509"/>
      <c r="J229" s="525"/>
      <c r="K229" s="398"/>
      <c r="L229" s="398"/>
      <c r="M229" s="398"/>
      <c r="N229" s="86"/>
    </row>
    <row r="230" spans="1:14" s="532" customFormat="1" ht="15.75" x14ac:dyDescent="0.25">
      <c r="A230" s="523">
        <v>224</v>
      </c>
      <c r="B230" s="523" t="s">
        <v>829</v>
      </c>
      <c r="C230" s="553">
        <v>9412</v>
      </c>
      <c r="D230" s="476">
        <v>30000</v>
      </c>
      <c r="E230" s="87"/>
      <c r="F230" s="87">
        <v>332.52</v>
      </c>
      <c r="G230" s="87">
        <v>30000</v>
      </c>
      <c r="H230" s="87">
        <f t="shared" si="3"/>
        <v>0</v>
      </c>
      <c r="I230" s="509"/>
      <c r="J230" s="525"/>
      <c r="K230" s="398"/>
      <c r="L230" s="398"/>
      <c r="M230" s="398"/>
      <c r="N230" s="86"/>
    </row>
    <row r="231" spans="1:14" s="532" customFormat="1" ht="15.75" x14ac:dyDescent="0.25">
      <c r="A231" s="523">
        <v>225</v>
      </c>
      <c r="B231" s="523" t="s">
        <v>829</v>
      </c>
      <c r="C231" s="553">
        <v>6326</v>
      </c>
      <c r="D231" s="476">
        <v>20000</v>
      </c>
      <c r="E231" s="87"/>
      <c r="F231" s="87">
        <v>222.82</v>
      </c>
      <c r="G231" s="87">
        <v>20000</v>
      </c>
      <c r="H231" s="87">
        <f t="shared" si="3"/>
        <v>0</v>
      </c>
      <c r="I231" s="509"/>
      <c r="J231" s="525"/>
      <c r="K231" s="398"/>
      <c r="L231" s="398"/>
      <c r="M231" s="398"/>
      <c r="N231" s="86"/>
    </row>
    <row r="232" spans="1:14" s="532" customFormat="1" ht="15.75" x14ac:dyDescent="0.25">
      <c r="A232" s="523">
        <v>226</v>
      </c>
      <c r="B232" s="523" t="s">
        <v>829</v>
      </c>
      <c r="C232" s="553" t="s">
        <v>30</v>
      </c>
      <c r="D232" s="476">
        <v>5000</v>
      </c>
      <c r="E232" s="87"/>
      <c r="F232" s="87">
        <v>55.45</v>
      </c>
      <c r="G232" s="87">
        <v>5000</v>
      </c>
      <c r="H232" s="87">
        <f t="shared" si="3"/>
        <v>0</v>
      </c>
      <c r="I232" s="509"/>
      <c r="J232" s="525"/>
      <c r="K232" s="398"/>
      <c r="L232" s="398"/>
      <c r="M232" s="398"/>
      <c r="N232" s="86"/>
    </row>
    <row r="233" spans="1:14" s="532" customFormat="1" ht="15.75" x14ac:dyDescent="0.25">
      <c r="A233" s="523">
        <v>227</v>
      </c>
      <c r="B233" s="523" t="s">
        <v>829</v>
      </c>
      <c r="C233" s="553">
        <v>9.5699999999999993E-2</v>
      </c>
      <c r="D233" s="476">
        <v>33000</v>
      </c>
      <c r="E233" s="87"/>
      <c r="F233" s="87">
        <v>367.28</v>
      </c>
      <c r="G233" s="87">
        <v>33000</v>
      </c>
      <c r="H233" s="87">
        <f t="shared" si="3"/>
        <v>0</v>
      </c>
      <c r="I233" s="509"/>
      <c r="J233" s="525"/>
      <c r="K233" s="398"/>
      <c r="L233" s="398"/>
      <c r="M233" s="398"/>
      <c r="N233" s="86"/>
    </row>
    <row r="234" spans="1:14" s="532" customFormat="1" ht="15.75" x14ac:dyDescent="0.25">
      <c r="A234" s="523">
        <v>228</v>
      </c>
      <c r="B234" s="523" t="s">
        <v>829</v>
      </c>
      <c r="C234" s="553">
        <v>6137</v>
      </c>
      <c r="D234" s="476">
        <v>20000</v>
      </c>
      <c r="E234" s="87"/>
      <c r="F234" s="87">
        <v>222.82</v>
      </c>
      <c r="G234" s="87">
        <v>20000</v>
      </c>
      <c r="H234" s="87">
        <f t="shared" si="3"/>
        <v>0</v>
      </c>
      <c r="I234" s="509"/>
      <c r="J234" s="525"/>
      <c r="K234" s="398"/>
      <c r="L234" s="398"/>
      <c r="M234" s="398"/>
      <c r="N234" s="86"/>
    </row>
    <row r="235" spans="1:14" s="532" customFormat="1" ht="15.75" x14ac:dyDescent="0.25">
      <c r="A235" s="523">
        <v>229</v>
      </c>
      <c r="B235" s="523" t="s">
        <v>829</v>
      </c>
      <c r="C235" s="553">
        <v>8986</v>
      </c>
      <c r="D235" s="476">
        <v>24000</v>
      </c>
      <c r="E235" s="87"/>
      <c r="F235" s="87">
        <v>267.48</v>
      </c>
      <c r="G235" s="87">
        <v>24000</v>
      </c>
      <c r="H235" s="87">
        <f t="shared" si="3"/>
        <v>0</v>
      </c>
      <c r="I235" s="509"/>
      <c r="J235" s="525"/>
      <c r="K235" s="398"/>
      <c r="L235" s="398"/>
      <c r="M235" s="398"/>
      <c r="N235" s="86"/>
    </row>
    <row r="236" spans="1:14" s="532" customFormat="1" ht="15.75" x14ac:dyDescent="0.25">
      <c r="A236" s="523">
        <v>230</v>
      </c>
      <c r="B236" s="523" t="s">
        <v>829</v>
      </c>
      <c r="C236" s="553" t="s">
        <v>30</v>
      </c>
      <c r="D236" s="476">
        <v>4500</v>
      </c>
      <c r="E236" s="87"/>
      <c r="F236" s="87">
        <v>50.47</v>
      </c>
      <c r="G236" s="87">
        <v>4500</v>
      </c>
      <c r="H236" s="87">
        <f t="shared" si="3"/>
        <v>0</v>
      </c>
      <c r="I236" s="509"/>
      <c r="J236" s="525"/>
      <c r="K236" s="398"/>
      <c r="L236" s="398"/>
      <c r="M236" s="398"/>
      <c r="N236" s="86"/>
    </row>
    <row r="237" spans="1:14" s="532" customFormat="1" ht="15.75" x14ac:dyDescent="0.25">
      <c r="A237" s="523">
        <v>231</v>
      </c>
      <c r="B237" s="523" t="s">
        <v>829</v>
      </c>
      <c r="C237" s="553">
        <v>2794</v>
      </c>
      <c r="D237" s="476">
        <v>20000</v>
      </c>
      <c r="E237" s="87"/>
      <c r="F237" s="87">
        <v>222.82</v>
      </c>
      <c r="G237" s="87">
        <v>20000</v>
      </c>
      <c r="H237" s="87">
        <f t="shared" si="3"/>
        <v>0</v>
      </c>
      <c r="I237" s="509"/>
      <c r="J237" s="525"/>
      <c r="K237" s="398"/>
      <c r="L237" s="398"/>
      <c r="M237" s="398"/>
      <c r="N237" s="86"/>
    </row>
    <row r="238" spans="1:14" s="532" customFormat="1" ht="15.75" x14ac:dyDescent="0.25">
      <c r="A238" s="523">
        <v>232</v>
      </c>
      <c r="B238" s="523" t="s">
        <v>829</v>
      </c>
      <c r="C238" s="553">
        <v>8118</v>
      </c>
      <c r="D238" s="476">
        <v>35000</v>
      </c>
      <c r="E238" s="87"/>
      <c r="F238" s="87">
        <v>367.68</v>
      </c>
      <c r="G238" s="87">
        <v>35000</v>
      </c>
      <c r="H238" s="87">
        <f t="shared" si="3"/>
        <v>0</v>
      </c>
      <c r="I238" s="509"/>
      <c r="J238" s="525"/>
      <c r="K238" s="398"/>
      <c r="L238" s="398"/>
      <c r="M238" s="398"/>
      <c r="N238" s="86"/>
    </row>
    <row r="239" spans="1:14" s="532" customFormat="1" ht="15.75" x14ac:dyDescent="0.25">
      <c r="A239" s="523">
        <v>233</v>
      </c>
      <c r="B239" s="523" t="s">
        <v>829</v>
      </c>
      <c r="C239" s="553">
        <v>5675</v>
      </c>
      <c r="D239" s="476">
        <v>15000</v>
      </c>
      <c r="E239" s="87"/>
      <c r="F239" s="87">
        <v>167.15</v>
      </c>
      <c r="G239" s="87">
        <v>15000</v>
      </c>
      <c r="H239" s="87">
        <f t="shared" si="3"/>
        <v>0</v>
      </c>
      <c r="I239" s="509"/>
      <c r="J239" s="525"/>
      <c r="K239" s="398"/>
      <c r="L239" s="398"/>
      <c r="M239" s="398"/>
      <c r="N239" s="86"/>
    </row>
    <row r="240" spans="1:14" s="532" customFormat="1" ht="15.75" x14ac:dyDescent="0.25">
      <c r="A240" s="523">
        <v>234</v>
      </c>
      <c r="B240" s="523" t="s">
        <v>829</v>
      </c>
      <c r="C240" s="553">
        <v>6803</v>
      </c>
      <c r="D240" s="476">
        <v>22000</v>
      </c>
      <c r="E240" s="87"/>
      <c r="F240" s="87">
        <v>245.58</v>
      </c>
      <c r="G240" s="87">
        <v>22000</v>
      </c>
      <c r="H240" s="87">
        <f t="shared" si="3"/>
        <v>0</v>
      </c>
      <c r="I240" s="509"/>
      <c r="J240" s="525"/>
      <c r="K240" s="398"/>
      <c r="L240" s="398"/>
      <c r="M240" s="398"/>
      <c r="N240" s="86"/>
    </row>
    <row r="241" spans="1:14" s="532" customFormat="1" ht="15.75" x14ac:dyDescent="0.25">
      <c r="A241" s="523">
        <v>235</v>
      </c>
      <c r="B241" s="523" t="s">
        <v>829</v>
      </c>
      <c r="C241" s="553">
        <v>4083</v>
      </c>
      <c r="D241" s="476">
        <v>28000</v>
      </c>
      <c r="E241" s="87"/>
      <c r="F241" s="87">
        <v>311.74</v>
      </c>
      <c r="G241" s="87">
        <v>28000</v>
      </c>
      <c r="H241" s="87">
        <f t="shared" si="3"/>
        <v>0</v>
      </c>
      <c r="I241" s="509"/>
      <c r="J241" s="525"/>
      <c r="K241" s="398"/>
      <c r="L241" s="398"/>
      <c r="M241" s="398"/>
      <c r="N241" s="86"/>
    </row>
    <row r="242" spans="1:14" s="532" customFormat="1" ht="15.75" x14ac:dyDescent="0.25">
      <c r="A242" s="523">
        <v>236</v>
      </c>
      <c r="B242" s="523" t="s">
        <v>829</v>
      </c>
      <c r="C242" s="553">
        <v>4900</v>
      </c>
      <c r="D242" s="476">
        <v>11350</v>
      </c>
      <c r="E242" s="87"/>
      <c r="F242" s="87">
        <v>126.85</v>
      </c>
      <c r="G242" s="87">
        <v>11350</v>
      </c>
      <c r="H242" s="87">
        <f t="shared" si="3"/>
        <v>0</v>
      </c>
      <c r="I242" s="509"/>
      <c r="J242" s="525"/>
      <c r="K242" s="398"/>
      <c r="L242" s="398"/>
      <c r="M242" s="398"/>
      <c r="N242" s="86"/>
    </row>
    <row r="243" spans="1:14" s="532" customFormat="1" ht="15.75" x14ac:dyDescent="0.25">
      <c r="A243" s="523">
        <v>237</v>
      </c>
      <c r="B243" s="523" t="s">
        <v>829</v>
      </c>
      <c r="C243" s="553">
        <v>1346</v>
      </c>
      <c r="D243" s="476">
        <v>30000</v>
      </c>
      <c r="E243" s="87"/>
      <c r="F243" s="87">
        <v>334.71</v>
      </c>
      <c r="G243" s="87">
        <v>30000</v>
      </c>
      <c r="H243" s="87">
        <f t="shared" si="3"/>
        <v>0</v>
      </c>
      <c r="I243" s="509"/>
      <c r="J243" s="525"/>
      <c r="K243" s="398"/>
      <c r="L243" s="398"/>
      <c r="M243" s="398"/>
      <c r="N243" s="86"/>
    </row>
    <row r="244" spans="1:14" s="532" customFormat="1" ht="15.75" x14ac:dyDescent="0.25">
      <c r="A244" s="523">
        <v>238</v>
      </c>
      <c r="B244" s="523" t="s">
        <v>829</v>
      </c>
      <c r="C244" s="553">
        <v>1166</v>
      </c>
      <c r="D244" s="476">
        <v>25000</v>
      </c>
      <c r="E244" s="87"/>
      <c r="F244" s="87">
        <v>278.22000000000003</v>
      </c>
      <c r="G244" s="87">
        <v>25000</v>
      </c>
      <c r="H244" s="87">
        <f t="shared" si="3"/>
        <v>0</v>
      </c>
      <c r="I244" s="509"/>
      <c r="J244" s="525"/>
      <c r="K244" s="398"/>
      <c r="L244" s="398"/>
      <c r="M244" s="398"/>
      <c r="N244" s="86"/>
    </row>
    <row r="245" spans="1:14" s="532" customFormat="1" ht="15.75" x14ac:dyDescent="0.25">
      <c r="A245" s="523">
        <v>239</v>
      </c>
      <c r="B245" s="523" t="s">
        <v>829</v>
      </c>
      <c r="C245" s="553">
        <v>8112</v>
      </c>
      <c r="D245" s="476">
        <v>25000</v>
      </c>
      <c r="E245" s="87"/>
      <c r="F245" s="87">
        <v>278.22000000000003</v>
      </c>
      <c r="G245" s="87">
        <v>25000</v>
      </c>
      <c r="H245" s="87">
        <f t="shared" si="3"/>
        <v>0</v>
      </c>
      <c r="I245" s="509"/>
      <c r="J245" s="525"/>
      <c r="K245" s="398">
        <f>3339544-3333215</f>
        <v>6329</v>
      </c>
      <c r="L245" s="398" t="s">
        <v>826</v>
      </c>
      <c r="M245" s="398" t="s">
        <v>620</v>
      </c>
      <c r="N245" s="86">
        <f>6328-5035</f>
        <v>1293</v>
      </c>
    </row>
    <row r="246" spans="1:14" s="534" customFormat="1" ht="15.75" x14ac:dyDescent="0.25">
      <c r="A246" s="523">
        <v>240</v>
      </c>
      <c r="B246" s="523" t="s">
        <v>830</v>
      </c>
      <c r="C246" s="553">
        <v>6092</v>
      </c>
      <c r="D246" s="476">
        <v>16000</v>
      </c>
      <c r="E246" s="87"/>
      <c r="F246" s="87">
        <v>178.22</v>
      </c>
      <c r="G246" s="87">
        <v>16000</v>
      </c>
      <c r="H246" s="87">
        <f t="shared" si="3"/>
        <v>0</v>
      </c>
      <c r="I246" s="509"/>
      <c r="J246" s="525"/>
      <c r="K246" s="398"/>
      <c r="L246" s="398"/>
      <c r="M246" s="398"/>
      <c r="N246" s="86"/>
    </row>
    <row r="247" spans="1:14" s="534" customFormat="1" ht="15.75" x14ac:dyDescent="0.25">
      <c r="A247" s="523">
        <v>241</v>
      </c>
      <c r="B247" s="523" t="s">
        <v>830</v>
      </c>
      <c r="C247" s="553">
        <v>9457</v>
      </c>
      <c r="D247" s="476">
        <v>32000</v>
      </c>
      <c r="E247" s="87"/>
      <c r="F247" s="87">
        <v>339.74</v>
      </c>
      <c r="G247" s="87">
        <v>32000</v>
      </c>
      <c r="H247" s="87">
        <f t="shared" si="3"/>
        <v>0</v>
      </c>
      <c r="I247" s="509"/>
      <c r="J247" s="525"/>
      <c r="K247" s="398"/>
      <c r="L247" s="398"/>
      <c r="M247" s="398"/>
      <c r="N247" s="86"/>
    </row>
    <row r="248" spans="1:14" s="534" customFormat="1" ht="15.75" x14ac:dyDescent="0.25">
      <c r="A248" s="523">
        <v>242</v>
      </c>
      <c r="B248" s="523" t="s">
        <v>830</v>
      </c>
      <c r="C248" s="553">
        <v>4295</v>
      </c>
      <c r="D248" s="476">
        <v>24000</v>
      </c>
      <c r="E248" s="87"/>
      <c r="F248" s="87">
        <v>267.85000000000002</v>
      </c>
      <c r="G248" s="87">
        <v>24000</v>
      </c>
      <c r="H248" s="87">
        <f t="shared" si="3"/>
        <v>0</v>
      </c>
      <c r="I248" s="509"/>
      <c r="J248" s="525"/>
      <c r="K248" s="398"/>
      <c r="L248" s="398"/>
      <c r="M248" s="398"/>
      <c r="N248" s="86"/>
    </row>
    <row r="249" spans="1:14" s="534" customFormat="1" ht="15.75" x14ac:dyDescent="0.25">
      <c r="A249" s="523">
        <v>243</v>
      </c>
      <c r="B249" s="523" t="s">
        <v>830</v>
      </c>
      <c r="C249" s="553">
        <v>3541</v>
      </c>
      <c r="D249" s="476">
        <v>15000</v>
      </c>
      <c r="E249" s="87"/>
      <c r="F249" s="87">
        <v>167.15</v>
      </c>
      <c r="G249" s="87">
        <v>15000</v>
      </c>
      <c r="H249" s="87">
        <f t="shared" si="3"/>
        <v>0</v>
      </c>
      <c r="I249" s="509"/>
      <c r="J249" s="525"/>
      <c r="K249" s="398"/>
      <c r="L249" s="398"/>
      <c r="M249" s="398"/>
      <c r="N249" s="86"/>
    </row>
    <row r="250" spans="1:14" s="534" customFormat="1" ht="15.75" x14ac:dyDescent="0.25">
      <c r="A250" s="523">
        <v>244</v>
      </c>
      <c r="B250" s="523" t="s">
        <v>830</v>
      </c>
      <c r="C250" s="553">
        <v>5200</v>
      </c>
      <c r="D250" s="476">
        <v>15000</v>
      </c>
      <c r="E250" s="87"/>
      <c r="F250" s="87">
        <v>167.15</v>
      </c>
      <c r="G250" s="87">
        <v>15000</v>
      </c>
      <c r="H250" s="87">
        <f t="shared" si="3"/>
        <v>0</v>
      </c>
      <c r="I250" s="509"/>
      <c r="J250" s="525"/>
      <c r="K250" s="398"/>
      <c r="L250" s="398"/>
      <c r="M250" s="398"/>
      <c r="N250" s="86"/>
    </row>
    <row r="251" spans="1:14" s="534" customFormat="1" ht="15.75" x14ac:dyDescent="0.25">
      <c r="A251" s="523">
        <v>245</v>
      </c>
      <c r="B251" s="523" t="s">
        <v>830</v>
      </c>
      <c r="C251" s="553">
        <v>8.7499999999999994E-2</v>
      </c>
      <c r="D251" s="476">
        <v>20000</v>
      </c>
      <c r="E251" s="87"/>
      <c r="F251" s="87">
        <v>222.82</v>
      </c>
      <c r="G251" s="87">
        <v>20000</v>
      </c>
      <c r="H251" s="87">
        <f t="shared" si="3"/>
        <v>0</v>
      </c>
      <c r="I251" s="509"/>
      <c r="J251" s="525"/>
      <c r="K251" s="398"/>
      <c r="L251" s="398"/>
      <c r="M251" s="398"/>
      <c r="N251" s="86"/>
    </row>
    <row r="252" spans="1:14" s="534" customFormat="1" ht="15.75" x14ac:dyDescent="0.25">
      <c r="A252" s="523">
        <v>246</v>
      </c>
      <c r="B252" s="523" t="s">
        <v>830</v>
      </c>
      <c r="C252" s="553">
        <v>0.88900000000000001</v>
      </c>
      <c r="D252" s="476">
        <v>13500</v>
      </c>
      <c r="E252" s="87"/>
      <c r="F252" s="87">
        <v>150.82</v>
      </c>
      <c r="G252" s="87">
        <v>13500</v>
      </c>
      <c r="H252" s="87">
        <f t="shared" si="3"/>
        <v>0</v>
      </c>
      <c r="I252" s="509"/>
      <c r="J252" s="525"/>
      <c r="K252" s="398"/>
      <c r="L252" s="398"/>
      <c r="M252" s="398"/>
      <c r="N252" s="86"/>
    </row>
    <row r="253" spans="1:14" s="534" customFormat="1" ht="15.75" x14ac:dyDescent="0.25">
      <c r="A253" s="523">
        <v>247</v>
      </c>
      <c r="B253" s="523" t="s">
        <v>830</v>
      </c>
      <c r="C253" s="553">
        <v>6721</v>
      </c>
      <c r="D253" s="476">
        <v>12000</v>
      </c>
      <c r="E253" s="87"/>
      <c r="F253" s="87">
        <v>133.41999999999999</v>
      </c>
      <c r="G253" s="87">
        <v>12000</v>
      </c>
      <c r="H253" s="87">
        <f t="shared" si="3"/>
        <v>0</v>
      </c>
      <c r="I253" s="509"/>
      <c r="J253" s="525"/>
      <c r="K253" s="398"/>
      <c r="L253" s="398"/>
      <c r="M253" s="398"/>
      <c r="N253" s="86"/>
    </row>
    <row r="254" spans="1:14" s="534" customFormat="1" ht="15.75" x14ac:dyDescent="0.25">
      <c r="A254" s="523">
        <v>248</v>
      </c>
      <c r="B254" s="523" t="s">
        <v>830</v>
      </c>
      <c r="C254" s="553" t="s">
        <v>819</v>
      </c>
      <c r="D254" s="476">
        <v>1500</v>
      </c>
      <c r="E254" s="87"/>
      <c r="F254" s="87">
        <v>16.850000000000001</v>
      </c>
      <c r="G254" s="87">
        <v>1500</v>
      </c>
      <c r="H254" s="87">
        <f t="shared" si="3"/>
        <v>0</v>
      </c>
      <c r="I254" s="509"/>
      <c r="J254" s="525"/>
      <c r="K254" s="398"/>
      <c r="L254" s="398"/>
      <c r="M254" s="398"/>
      <c r="N254" s="86"/>
    </row>
    <row r="255" spans="1:14" s="534" customFormat="1" ht="15.75" x14ac:dyDescent="0.25">
      <c r="A255" s="523">
        <v>249</v>
      </c>
      <c r="B255" s="523" t="s">
        <v>830</v>
      </c>
      <c r="C255" s="553" t="s">
        <v>66</v>
      </c>
      <c r="D255" s="476">
        <v>210</v>
      </c>
      <c r="E255" s="87"/>
      <c r="F255" s="87">
        <v>2.09</v>
      </c>
      <c r="G255" s="87">
        <v>210</v>
      </c>
      <c r="H255" s="87">
        <f t="shared" si="3"/>
        <v>0</v>
      </c>
      <c r="I255" s="509"/>
      <c r="J255" s="525"/>
      <c r="K255" s="398"/>
      <c r="L255" s="398"/>
      <c r="M255" s="398"/>
      <c r="N255" s="86"/>
    </row>
    <row r="256" spans="1:14" s="534" customFormat="1" ht="15.75" x14ac:dyDescent="0.25">
      <c r="A256" s="523">
        <v>250</v>
      </c>
      <c r="B256" s="523" t="s">
        <v>830</v>
      </c>
      <c r="C256" s="553">
        <v>9458</v>
      </c>
      <c r="D256" s="476">
        <v>32000</v>
      </c>
      <c r="E256" s="87"/>
      <c r="F256" s="87">
        <v>349.74</v>
      </c>
      <c r="G256" s="87">
        <v>32000</v>
      </c>
      <c r="H256" s="87">
        <f t="shared" si="3"/>
        <v>0</v>
      </c>
      <c r="I256" s="509"/>
      <c r="J256" s="525"/>
      <c r="K256" s="398"/>
      <c r="L256" s="398"/>
      <c r="M256" s="398"/>
      <c r="N256" s="86"/>
    </row>
    <row r="257" spans="1:14" s="534" customFormat="1" ht="15.75" x14ac:dyDescent="0.25">
      <c r="A257" s="523">
        <v>251</v>
      </c>
      <c r="B257" s="523" t="s">
        <v>830</v>
      </c>
      <c r="C257" s="553">
        <v>9107</v>
      </c>
      <c r="D257" s="476">
        <v>30000</v>
      </c>
      <c r="E257" s="87"/>
      <c r="F257" s="87">
        <v>334.72</v>
      </c>
      <c r="G257" s="87">
        <v>30000</v>
      </c>
      <c r="H257" s="87">
        <f t="shared" si="3"/>
        <v>0</v>
      </c>
      <c r="I257" s="509"/>
      <c r="J257" s="525"/>
      <c r="K257" s="398"/>
      <c r="L257" s="398"/>
      <c r="M257" s="398"/>
      <c r="N257" s="86"/>
    </row>
    <row r="258" spans="1:14" s="534" customFormat="1" ht="15.75" x14ac:dyDescent="0.25">
      <c r="A258" s="523">
        <v>252</v>
      </c>
      <c r="B258" s="523" t="s">
        <v>830</v>
      </c>
      <c r="C258" s="553">
        <v>5924</v>
      </c>
      <c r="D258" s="476">
        <v>25000</v>
      </c>
      <c r="E258" s="87"/>
      <c r="F258" s="87">
        <v>278.22000000000003</v>
      </c>
      <c r="G258" s="87">
        <v>25000</v>
      </c>
      <c r="H258" s="87">
        <f t="shared" si="3"/>
        <v>0</v>
      </c>
      <c r="I258" s="509"/>
      <c r="J258" s="525"/>
      <c r="K258" s="398"/>
      <c r="L258" s="398"/>
      <c r="M258" s="398"/>
      <c r="N258" s="86"/>
    </row>
    <row r="259" spans="1:14" s="534" customFormat="1" ht="15.75" x14ac:dyDescent="0.25">
      <c r="A259" s="523">
        <v>253</v>
      </c>
      <c r="B259" s="523" t="s">
        <v>830</v>
      </c>
      <c r="C259" s="553">
        <v>7258</v>
      </c>
      <c r="D259" s="476">
        <v>32000</v>
      </c>
      <c r="E259" s="87"/>
      <c r="F259" s="87">
        <v>349.74</v>
      </c>
      <c r="G259" s="87">
        <v>32000</v>
      </c>
      <c r="H259" s="87">
        <f t="shared" si="3"/>
        <v>0</v>
      </c>
      <c r="I259" s="509"/>
      <c r="J259" s="525"/>
      <c r="K259" s="398"/>
      <c r="L259" s="398"/>
      <c r="M259" s="398"/>
      <c r="N259" s="86"/>
    </row>
    <row r="260" spans="1:14" s="534" customFormat="1" ht="15.75" x14ac:dyDescent="0.25">
      <c r="A260" s="523">
        <v>254</v>
      </c>
      <c r="B260" s="523" t="s">
        <v>830</v>
      </c>
      <c r="C260" s="553">
        <v>2.18E-2</v>
      </c>
      <c r="D260" s="476">
        <v>22000</v>
      </c>
      <c r="E260" s="87"/>
      <c r="F260" s="87">
        <v>245.69</v>
      </c>
      <c r="G260" s="87">
        <v>22000</v>
      </c>
      <c r="H260" s="87">
        <f t="shared" si="3"/>
        <v>0</v>
      </c>
      <c r="I260" s="509"/>
      <c r="J260" s="525"/>
      <c r="K260" s="398"/>
      <c r="L260" s="398"/>
      <c r="M260" s="398"/>
      <c r="N260" s="86"/>
    </row>
    <row r="261" spans="1:14" s="534" customFormat="1" ht="15.75" x14ac:dyDescent="0.25">
      <c r="A261" s="523">
        <v>255</v>
      </c>
      <c r="B261" s="523" t="s">
        <v>830</v>
      </c>
      <c r="C261" s="553">
        <v>5.7000000000000002E-3</v>
      </c>
      <c r="D261" s="476">
        <v>24000</v>
      </c>
      <c r="E261" s="87"/>
      <c r="F261" s="87">
        <v>267.85000000000002</v>
      </c>
      <c r="G261" s="87">
        <v>24000</v>
      </c>
      <c r="H261" s="87">
        <f t="shared" si="3"/>
        <v>0</v>
      </c>
      <c r="I261" s="509"/>
      <c r="J261" s="525"/>
      <c r="K261" s="398"/>
      <c r="L261" s="398"/>
      <c r="M261" s="398"/>
      <c r="N261" s="86"/>
    </row>
    <row r="262" spans="1:14" s="534" customFormat="1" ht="15.75" x14ac:dyDescent="0.25">
      <c r="A262" s="523">
        <v>256</v>
      </c>
      <c r="B262" s="523" t="s">
        <v>830</v>
      </c>
      <c r="C262" s="553">
        <v>2320</v>
      </c>
      <c r="D262" s="476">
        <v>32000</v>
      </c>
      <c r="E262" s="87"/>
      <c r="F262" s="87">
        <v>340.67</v>
      </c>
      <c r="G262" s="87">
        <v>32000</v>
      </c>
      <c r="H262" s="87">
        <f t="shared" si="3"/>
        <v>0</v>
      </c>
      <c r="I262" s="509"/>
      <c r="J262" s="525"/>
      <c r="K262" s="398"/>
      <c r="L262" s="398"/>
      <c r="M262" s="398"/>
      <c r="N262" s="86"/>
    </row>
    <row r="263" spans="1:14" s="534" customFormat="1" ht="15.75" x14ac:dyDescent="0.25">
      <c r="A263" s="523">
        <v>257</v>
      </c>
      <c r="B263" s="523" t="s">
        <v>830</v>
      </c>
      <c r="C263" s="553">
        <v>4995</v>
      </c>
      <c r="D263" s="476">
        <v>20000</v>
      </c>
      <c r="E263" s="87"/>
      <c r="F263" s="87">
        <v>222.82</v>
      </c>
      <c r="G263" s="87">
        <v>20000</v>
      </c>
      <c r="H263" s="87">
        <f t="shared" ref="H263:H326" si="4">D263-G263</f>
        <v>0</v>
      </c>
      <c r="I263" s="509"/>
      <c r="J263" s="525"/>
      <c r="K263" s="398"/>
      <c r="L263" s="398"/>
      <c r="M263" s="398"/>
      <c r="N263" s="86"/>
    </row>
    <row r="264" spans="1:14" s="534" customFormat="1" ht="15.75" x14ac:dyDescent="0.25">
      <c r="A264" s="523">
        <v>258</v>
      </c>
      <c r="B264" s="523" t="s">
        <v>830</v>
      </c>
      <c r="C264" s="553">
        <v>1.8800000000000001E-2</v>
      </c>
      <c r="D264" s="476">
        <v>20000</v>
      </c>
      <c r="E264" s="87"/>
      <c r="F264" s="87">
        <v>222.82</v>
      </c>
      <c r="G264" s="87">
        <v>20000</v>
      </c>
      <c r="H264" s="87">
        <f t="shared" si="4"/>
        <v>0</v>
      </c>
      <c r="I264" s="509"/>
      <c r="J264" s="525"/>
      <c r="K264" s="398"/>
      <c r="L264" s="398"/>
      <c r="M264" s="398"/>
      <c r="N264" s="86"/>
    </row>
    <row r="265" spans="1:14" s="534" customFormat="1" ht="15.75" x14ac:dyDescent="0.25">
      <c r="A265" s="523">
        <v>259</v>
      </c>
      <c r="B265" s="523" t="s">
        <v>830</v>
      </c>
      <c r="C265" s="553">
        <v>2618</v>
      </c>
      <c r="D265" s="476">
        <v>25000</v>
      </c>
      <c r="E265" s="87"/>
      <c r="F265" s="87">
        <v>278.22000000000003</v>
      </c>
      <c r="G265" s="87">
        <v>25000</v>
      </c>
      <c r="H265" s="87">
        <f t="shared" si="4"/>
        <v>0</v>
      </c>
      <c r="I265" s="509"/>
      <c r="J265" s="525"/>
      <c r="K265" s="398"/>
      <c r="L265" s="398"/>
      <c r="M265" s="398"/>
      <c r="N265" s="86"/>
    </row>
    <row r="266" spans="1:14" s="534" customFormat="1" ht="15.75" x14ac:dyDescent="0.25">
      <c r="A266" s="523">
        <v>260</v>
      </c>
      <c r="B266" s="523" t="s">
        <v>830</v>
      </c>
      <c r="C266" s="553">
        <v>9724</v>
      </c>
      <c r="D266" s="476">
        <v>20000</v>
      </c>
      <c r="E266" s="87"/>
      <c r="F266" s="87">
        <v>222.82</v>
      </c>
      <c r="G266" s="87">
        <v>20000</v>
      </c>
      <c r="H266" s="87">
        <f t="shared" si="4"/>
        <v>0</v>
      </c>
      <c r="I266" s="509"/>
      <c r="J266" s="525"/>
      <c r="K266" s="398"/>
      <c r="L266" s="398"/>
      <c r="M266" s="398"/>
      <c r="N266" s="86"/>
    </row>
    <row r="267" spans="1:14" s="534" customFormat="1" ht="15.75" x14ac:dyDescent="0.25">
      <c r="A267" s="523">
        <v>261</v>
      </c>
      <c r="B267" s="523" t="s">
        <v>830</v>
      </c>
      <c r="C267" s="553">
        <v>1.2999999999999999E-3</v>
      </c>
      <c r="D267" s="476">
        <v>15000</v>
      </c>
      <c r="E267" s="87"/>
      <c r="F267" s="87">
        <v>167.15</v>
      </c>
      <c r="G267" s="87">
        <v>15000</v>
      </c>
      <c r="H267" s="87">
        <f t="shared" si="4"/>
        <v>0</v>
      </c>
      <c r="I267" s="509"/>
      <c r="J267" s="525"/>
      <c r="K267" s="398"/>
      <c r="L267" s="398"/>
      <c r="M267" s="398"/>
      <c r="N267" s="86"/>
    </row>
    <row r="268" spans="1:14" s="534" customFormat="1" ht="15.75" x14ac:dyDescent="0.25">
      <c r="A268" s="523">
        <v>262</v>
      </c>
      <c r="B268" s="523" t="s">
        <v>830</v>
      </c>
      <c r="C268" s="553">
        <v>5056</v>
      </c>
      <c r="D268" s="476">
        <v>23000</v>
      </c>
      <c r="E268" s="87"/>
      <c r="F268" s="87">
        <v>256.68</v>
      </c>
      <c r="G268" s="87">
        <v>23000</v>
      </c>
      <c r="H268" s="87">
        <f t="shared" si="4"/>
        <v>0</v>
      </c>
      <c r="I268" s="509"/>
      <c r="J268" s="525"/>
      <c r="K268" s="398"/>
      <c r="L268" s="398"/>
      <c r="M268" s="398"/>
      <c r="N268" s="86"/>
    </row>
    <row r="269" spans="1:14" s="534" customFormat="1" ht="15.75" x14ac:dyDescent="0.25">
      <c r="A269" s="523">
        <v>263</v>
      </c>
      <c r="B269" s="523" t="s">
        <v>830</v>
      </c>
      <c r="C269" s="553">
        <v>5035</v>
      </c>
      <c r="D269" s="476">
        <v>30000</v>
      </c>
      <c r="E269" s="87"/>
      <c r="F269" s="87">
        <v>334.72</v>
      </c>
      <c r="G269" s="87">
        <v>30000</v>
      </c>
      <c r="H269" s="87">
        <f t="shared" si="4"/>
        <v>0</v>
      </c>
      <c r="I269" s="509"/>
      <c r="J269" s="525"/>
      <c r="K269" s="398"/>
      <c r="L269" s="398"/>
      <c r="M269" s="398"/>
      <c r="N269" s="86"/>
    </row>
    <row r="270" spans="1:14" s="534" customFormat="1" ht="15.75" x14ac:dyDescent="0.25">
      <c r="A270" s="523">
        <v>264</v>
      </c>
      <c r="B270" s="523" t="s">
        <v>830</v>
      </c>
      <c r="C270" s="553">
        <v>9928</v>
      </c>
      <c r="D270" s="476">
        <v>16000</v>
      </c>
      <c r="E270" s="87"/>
      <c r="F270" s="87">
        <v>178.22</v>
      </c>
      <c r="G270" s="87">
        <v>16000</v>
      </c>
      <c r="H270" s="87">
        <f t="shared" si="4"/>
        <v>0</v>
      </c>
      <c r="I270" s="509"/>
      <c r="J270" s="525"/>
      <c r="K270" s="398"/>
      <c r="L270" s="398"/>
      <c r="M270" s="398"/>
      <c r="N270" s="86"/>
    </row>
    <row r="271" spans="1:14" s="534" customFormat="1" ht="15.75" x14ac:dyDescent="0.25">
      <c r="A271" s="523">
        <v>265</v>
      </c>
      <c r="B271" s="523" t="s">
        <v>830</v>
      </c>
      <c r="C271" s="553">
        <v>1516</v>
      </c>
      <c r="D271" s="476">
        <v>20000</v>
      </c>
      <c r="E271" s="87"/>
      <c r="F271" s="87">
        <v>222.82</v>
      </c>
      <c r="G271" s="87">
        <v>20000</v>
      </c>
      <c r="H271" s="87">
        <f t="shared" si="4"/>
        <v>0</v>
      </c>
      <c r="I271" s="509"/>
      <c r="J271" s="525"/>
      <c r="K271" s="398"/>
      <c r="L271" s="398"/>
      <c r="M271" s="398"/>
      <c r="N271" s="86"/>
    </row>
    <row r="272" spans="1:14" s="534" customFormat="1" ht="15.75" x14ac:dyDescent="0.25">
      <c r="A272" s="523">
        <v>266</v>
      </c>
      <c r="B272" s="523" t="s">
        <v>830</v>
      </c>
      <c r="C272" s="553">
        <v>6251</v>
      </c>
      <c r="D272" s="476">
        <v>18000</v>
      </c>
      <c r="E272" s="87"/>
      <c r="F272" s="87">
        <v>200.37</v>
      </c>
      <c r="G272" s="87">
        <v>18000</v>
      </c>
      <c r="H272" s="87">
        <f t="shared" si="4"/>
        <v>0</v>
      </c>
      <c r="I272" s="509"/>
      <c r="J272" s="525"/>
      <c r="K272" s="398"/>
      <c r="L272" s="398"/>
      <c r="M272" s="398"/>
      <c r="N272" s="86"/>
    </row>
    <row r="273" spans="1:14" s="534" customFormat="1" ht="15.75" x14ac:dyDescent="0.25">
      <c r="A273" s="523">
        <v>267</v>
      </c>
      <c r="B273" s="523" t="s">
        <v>830</v>
      </c>
      <c r="C273" s="553">
        <v>8963</v>
      </c>
      <c r="D273" s="476">
        <v>30000</v>
      </c>
      <c r="E273" s="87"/>
      <c r="F273" s="87">
        <v>334.72</v>
      </c>
      <c r="G273" s="87">
        <v>30000</v>
      </c>
      <c r="H273" s="87">
        <f t="shared" si="4"/>
        <v>0</v>
      </c>
      <c r="I273" s="509"/>
      <c r="J273" s="525"/>
      <c r="K273" s="398"/>
      <c r="L273" s="398"/>
      <c r="M273" s="398"/>
      <c r="N273" s="86"/>
    </row>
    <row r="274" spans="1:14" s="534" customFormat="1" ht="15.75" x14ac:dyDescent="0.25">
      <c r="A274" s="523">
        <v>268</v>
      </c>
      <c r="B274" s="523" t="s">
        <v>830</v>
      </c>
      <c r="C274" s="553" t="s">
        <v>66</v>
      </c>
      <c r="D274" s="476">
        <v>110</v>
      </c>
      <c r="E274" s="87"/>
      <c r="F274" s="87">
        <v>1.0900000000000001</v>
      </c>
      <c r="G274" s="87">
        <v>110</v>
      </c>
      <c r="H274" s="87">
        <f t="shared" si="4"/>
        <v>0</v>
      </c>
      <c r="I274" s="509"/>
      <c r="J274" s="525"/>
      <c r="K274" s="398"/>
      <c r="L274" s="398"/>
      <c r="M274" s="398"/>
      <c r="N274" s="86"/>
    </row>
    <row r="275" spans="1:14" s="534" customFormat="1" ht="15.75" x14ac:dyDescent="0.25">
      <c r="A275" s="523">
        <v>269</v>
      </c>
      <c r="B275" s="523" t="s">
        <v>830</v>
      </c>
      <c r="C275" s="553" t="s">
        <v>66</v>
      </c>
      <c r="D275" s="476">
        <v>100</v>
      </c>
      <c r="E275" s="87"/>
      <c r="F275" s="87">
        <v>1.0900000000000001</v>
      </c>
      <c r="G275" s="87">
        <v>100</v>
      </c>
      <c r="H275" s="87">
        <f t="shared" si="4"/>
        <v>0</v>
      </c>
      <c r="I275" s="509"/>
      <c r="J275" s="525"/>
      <c r="K275" s="398">
        <f>2622964-2616635</f>
        <v>6329</v>
      </c>
      <c r="L275" s="398" t="s">
        <v>826</v>
      </c>
      <c r="M275" s="398" t="s">
        <v>620</v>
      </c>
      <c r="N275" s="86">
        <f>6328-5035</f>
        <v>1293</v>
      </c>
    </row>
    <row r="276" spans="1:14" s="536" customFormat="1" ht="15.75" x14ac:dyDescent="0.25">
      <c r="A276" s="523">
        <v>270</v>
      </c>
      <c r="B276" s="523" t="s">
        <v>831</v>
      </c>
      <c r="C276" s="553">
        <v>2243</v>
      </c>
      <c r="D276" s="476">
        <v>15000</v>
      </c>
      <c r="E276" s="87"/>
      <c r="F276" s="87">
        <v>167.15</v>
      </c>
      <c r="G276" s="87">
        <v>15000</v>
      </c>
      <c r="H276" s="87">
        <f t="shared" si="4"/>
        <v>0</v>
      </c>
      <c r="I276" s="509"/>
      <c r="J276" s="525"/>
      <c r="K276" s="398"/>
      <c r="L276" s="398"/>
      <c r="M276" s="398"/>
      <c r="N276" s="86"/>
    </row>
    <row r="277" spans="1:14" s="536" customFormat="1" ht="15.75" x14ac:dyDescent="0.25">
      <c r="A277" s="523">
        <v>271</v>
      </c>
      <c r="B277" s="523" t="s">
        <v>831</v>
      </c>
      <c r="C277" s="553" t="s">
        <v>30</v>
      </c>
      <c r="D277" s="476">
        <v>5000</v>
      </c>
      <c r="E277" s="87"/>
      <c r="F277" s="87">
        <v>55.45</v>
      </c>
      <c r="G277" s="87">
        <v>5000</v>
      </c>
      <c r="H277" s="87">
        <f t="shared" si="4"/>
        <v>0</v>
      </c>
      <c r="I277" s="509"/>
      <c r="J277" s="525"/>
      <c r="K277" s="398"/>
      <c r="L277" s="398"/>
      <c r="M277" s="398"/>
      <c r="N277" s="86"/>
    </row>
    <row r="278" spans="1:14" s="536" customFormat="1" ht="15.75" x14ac:dyDescent="0.25">
      <c r="A278" s="523">
        <v>272</v>
      </c>
      <c r="B278" s="523" t="s">
        <v>831</v>
      </c>
      <c r="C278" s="553" t="s">
        <v>30</v>
      </c>
      <c r="D278" s="476">
        <v>4500</v>
      </c>
      <c r="E278" s="87"/>
      <c r="F278" s="87">
        <v>40.74</v>
      </c>
      <c r="G278" s="87">
        <v>4500</v>
      </c>
      <c r="H278" s="87">
        <f t="shared" si="4"/>
        <v>0</v>
      </c>
      <c r="I278" s="509"/>
      <c r="J278" s="525"/>
      <c r="K278" s="398"/>
      <c r="L278" s="398"/>
      <c r="M278" s="398"/>
      <c r="N278" s="86"/>
    </row>
    <row r="279" spans="1:14" s="536" customFormat="1" ht="15.75" x14ac:dyDescent="0.25">
      <c r="A279" s="523">
        <v>273</v>
      </c>
      <c r="B279" s="523" t="s">
        <v>831</v>
      </c>
      <c r="C279" s="553">
        <v>9649</v>
      </c>
      <c r="D279" s="476">
        <v>15000</v>
      </c>
      <c r="E279" s="87"/>
      <c r="F279" s="87">
        <v>167.15</v>
      </c>
      <c r="G279" s="87">
        <v>15000</v>
      </c>
      <c r="H279" s="87">
        <f t="shared" si="4"/>
        <v>0</v>
      </c>
      <c r="I279" s="509"/>
      <c r="J279" s="525"/>
      <c r="K279" s="398"/>
      <c r="L279" s="398"/>
      <c r="M279" s="398"/>
      <c r="N279" s="86"/>
    </row>
    <row r="280" spans="1:14" s="536" customFormat="1" ht="15.75" x14ac:dyDescent="0.25">
      <c r="A280" s="523">
        <v>274</v>
      </c>
      <c r="B280" s="523" t="s">
        <v>831</v>
      </c>
      <c r="C280" s="553">
        <v>4238</v>
      </c>
      <c r="D280" s="476">
        <v>10000</v>
      </c>
      <c r="E280" s="87"/>
      <c r="F280" s="87">
        <v>111.42</v>
      </c>
      <c r="G280" s="87">
        <v>10000</v>
      </c>
      <c r="H280" s="87">
        <f t="shared" si="4"/>
        <v>0</v>
      </c>
      <c r="I280" s="509"/>
      <c r="J280" s="525"/>
      <c r="K280" s="398"/>
      <c r="L280" s="398"/>
      <c r="M280" s="398"/>
      <c r="N280" s="86"/>
    </row>
    <row r="281" spans="1:14" s="536" customFormat="1" ht="15.75" x14ac:dyDescent="0.25">
      <c r="A281" s="523">
        <v>275</v>
      </c>
      <c r="B281" s="523" t="s">
        <v>831</v>
      </c>
      <c r="C281" s="553">
        <v>5786</v>
      </c>
      <c r="D281" s="476">
        <v>15000</v>
      </c>
      <c r="E281" s="87"/>
      <c r="F281" s="87">
        <v>167.15</v>
      </c>
      <c r="G281" s="87">
        <v>15000</v>
      </c>
      <c r="H281" s="87">
        <f t="shared" si="4"/>
        <v>0</v>
      </c>
      <c r="I281" s="509"/>
      <c r="J281" s="525"/>
      <c r="K281" s="398"/>
      <c r="L281" s="398"/>
      <c r="M281" s="398"/>
      <c r="N281" s="86"/>
    </row>
    <row r="282" spans="1:14" s="536" customFormat="1" ht="15.75" x14ac:dyDescent="0.25">
      <c r="A282" s="523">
        <v>276</v>
      </c>
      <c r="B282" s="523" t="s">
        <v>831</v>
      </c>
      <c r="C282" s="553">
        <v>2110</v>
      </c>
      <c r="D282" s="476">
        <v>25000</v>
      </c>
      <c r="E282" s="87"/>
      <c r="F282" s="87">
        <v>278.22000000000003</v>
      </c>
      <c r="G282" s="87">
        <v>25000</v>
      </c>
      <c r="H282" s="87">
        <f t="shared" si="4"/>
        <v>0</v>
      </c>
      <c r="I282" s="509"/>
      <c r="J282" s="525"/>
      <c r="K282" s="398"/>
      <c r="L282" s="398"/>
      <c r="M282" s="398"/>
      <c r="N282" s="86"/>
    </row>
    <row r="283" spans="1:14" s="536" customFormat="1" ht="15.75" x14ac:dyDescent="0.25">
      <c r="A283" s="523">
        <v>277</v>
      </c>
      <c r="B283" s="523" t="s">
        <v>831</v>
      </c>
      <c r="C283" s="553">
        <v>8077</v>
      </c>
      <c r="D283" s="476">
        <v>9000</v>
      </c>
      <c r="E283" s="87"/>
      <c r="F283" s="87">
        <v>86.75</v>
      </c>
      <c r="G283" s="87">
        <v>9000</v>
      </c>
      <c r="H283" s="87">
        <f t="shared" si="4"/>
        <v>0</v>
      </c>
      <c r="I283" s="509"/>
      <c r="J283" s="525"/>
      <c r="K283" s="398"/>
      <c r="L283" s="398"/>
      <c r="M283" s="398"/>
      <c r="N283" s="86"/>
    </row>
    <row r="284" spans="1:14" s="536" customFormat="1" ht="15.75" x14ac:dyDescent="0.25">
      <c r="A284" s="523">
        <v>278</v>
      </c>
      <c r="B284" s="523" t="s">
        <v>831</v>
      </c>
      <c r="C284" s="553">
        <v>9021</v>
      </c>
      <c r="D284" s="476">
        <v>31000</v>
      </c>
      <c r="E284" s="87"/>
      <c r="F284" s="87">
        <v>339.38</v>
      </c>
      <c r="G284" s="87">
        <v>31000</v>
      </c>
      <c r="H284" s="87">
        <f t="shared" si="4"/>
        <v>0</v>
      </c>
      <c r="I284" s="509"/>
      <c r="J284" s="525"/>
      <c r="K284" s="398"/>
      <c r="L284" s="398"/>
      <c r="M284" s="398"/>
      <c r="N284" s="86"/>
    </row>
    <row r="285" spans="1:14" s="536" customFormat="1" ht="15.75" x14ac:dyDescent="0.25">
      <c r="A285" s="523">
        <v>279</v>
      </c>
      <c r="B285" s="523" t="s">
        <v>831</v>
      </c>
      <c r="C285" s="553">
        <v>4786</v>
      </c>
      <c r="D285" s="476">
        <v>17000</v>
      </c>
      <c r="E285" s="87"/>
      <c r="F285" s="87">
        <v>189.47</v>
      </c>
      <c r="G285" s="87">
        <v>17000</v>
      </c>
      <c r="H285" s="87">
        <f t="shared" si="4"/>
        <v>0</v>
      </c>
      <c r="I285" s="509"/>
      <c r="J285" s="525"/>
      <c r="K285" s="398"/>
      <c r="L285" s="398"/>
      <c r="M285" s="398"/>
      <c r="N285" s="86"/>
    </row>
    <row r="286" spans="1:14" s="536" customFormat="1" ht="15.75" x14ac:dyDescent="0.25">
      <c r="A286" s="523">
        <v>280</v>
      </c>
      <c r="B286" s="523" t="s">
        <v>831</v>
      </c>
      <c r="C286" s="553">
        <v>9102</v>
      </c>
      <c r="D286" s="476">
        <v>20000</v>
      </c>
      <c r="E286" s="87"/>
      <c r="F286" s="87">
        <v>222.82</v>
      </c>
      <c r="G286" s="87">
        <v>20000</v>
      </c>
      <c r="H286" s="87">
        <f t="shared" si="4"/>
        <v>0</v>
      </c>
      <c r="I286" s="509"/>
      <c r="J286" s="525"/>
      <c r="K286" s="398"/>
      <c r="L286" s="398"/>
      <c r="M286" s="398"/>
      <c r="N286" s="86"/>
    </row>
    <row r="287" spans="1:14" s="536" customFormat="1" ht="15.75" x14ac:dyDescent="0.25">
      <c r="A287" s="523">
        <v>281</v>
      </c>
      <c r="B287" s="523" t="s">
        <v>831</v>
      </c>
      <c r="C287" s="553">
        <v>9860</v>
      </c>
      <c r="D287" s="476">
        <v>27000</v>
      </c>
      <c r="E287" s="87"/>
      <c r="F287" s="87">
        <v>300.69</v>
      </c>
      <c r="G287" s="87">
        <v>27000</v>
      </c>
      <c r="H287" s="87">
        <f t="shared" si="4"/>
        <v>0</v>
      </c>
      <c r="I287" s="509"/>
      <c r="J287" s="525"/>
      <c r="K287" s="398"/>
      <c r="L287" s="398"/>
      <c r="M287" s="398"/>
      <c r="N287" s="86"/>
    </row>
    <row r="288" spans="1:14" s="536" customFormat="1" ht="15.75" x14ac:dyDescent="0.25">
      <c r="A288" s="523">
        <v>282</v>
      </c>
      <c r="B288" s="523" t="s">
        <v>831</v>
      </c>
      <c r="C288" s="553">
        <v>5.3800000000000001E-2</v>
      </c>
      <c r="D288" s="476">
        <v>32000</v>
      </c>
      <c r="E288" s="87"/>
      <c r="F288" s="87">
        <v>356.28</v>
      </c>
      <c r="G288" s="87">
        <v>32000</v>
      </c>
      <c r="H288" s="87">
        <f t="shared" si="4"/>
        <v>0</v>
      </c>
      <c r="I288" s="509"/>
      <c r="J288" s="525"/>
      <c r="K288" s="398"/>
      <c r="L288" s="398"/>
      <c r="M288" s="398"/>
      <c r="N288" s="86"/>
    </row>
    <row r="289" spans="1:14" s="536" customFormat="1" ht="15.75" x14ac:dyDescent="0.25">
      <c r="A289" s="523">
        <v>283</v>
      </c>
      <c r="B289" s="523" t="s">
        <v>831</v>
      </c>
      <c r="C289" s="553">
        <v>4365</v>
      </c>
      <c r="D289" s="476">
        <v>15000</v>
      </c>
      <c r="E289" s="87"/>
      <c r="F289" s="87">
        <v>167.15</v>
      </c>
      <c r="G289" s="87">
        <v>15000</v>
      </c>
      <c r="H289" s="87">
        <f t="shared" si="4"/>
        <v>0</v>
      </c>
      <c r="I289" s="509"/>
      <c r="J289" s="525"/>
      <c r="K289" s="398"/>
      <c r="L289" s="398"/>
      <c r="M289" s="398"/>
      <c r="N289" s="86"/>
    </row>
    <row r="290" spans="1:14" s="536" customFormat="1" ht="15.75" x14ac:dyDescent="0.25">
      <c r="A290" s="523">
        <v>284</v>
      </c>
      <c r="B290" s="523" t="s">
        <v>832</v>
      </c>
      <c r="C290" s="553">
        <v>6.4199999999999993E-2</v>
      </c>
      <c r="D290" s="476">
        <v>10000</v>
      </c>
      <c r="E290" s="87"/>
      <c r="F290" s="87">
        <v>111.41</v>
      </c>
      <c r="G290" s="87">
        <v>10000</v>
      </c>
      <c r="H290" s="87">
        <f t="shared" si="4"/>
        <v>0</v>
      </c>
      <c r="I290" s="509"/>
      <c r="J290" s="525"/>
      <c r="K290" s="398"/>
      <c r="L290" s="398"/>
      <c r="M290" s="398"/>
      <c r="N290" s="86"/>
    </row>
    <row r="291" spans="1:14" s="536" customFormat="1" ht="15.75" x14ac:dyDescent="0.25">
      <c r="A291" s="523">
        <v>285</v>
      </c>
      <c r="B291" s="523" t="s">
        <v>832</v>
      </c>
      <c r="C291" s="553">
        <v>3437</v>
      </c>
      <c r="D291" s="476">
        <v>20000</v>
      </c>
      <c r="E291" s="87"/>
      <c r="F291" s="87">
        <v>222.82</v>
      </c>
      <c r="G291" s="87">
        <v>20000</v>
      </c>
      <c r="H291" s="87">
        <f t="shared" si="4"/>
        <v>0</v>
      </c>
      <c r="I291" s="509"/>
      <c r="J291" s="525"/>
      <c r="K291" s="398"/>
      <c r="L291" s="398"/>
      <c r="M291" s="398"/>
      <c r="N291" s="86"/>
    </row>
    <row r="292" spans="1:14" s="536" customFormat="1" ht="15.75" x14ac:dyDescent="0.25">
      <c r="A292" s="523">
        <v>286</v>
      </c>
      <c r="B292" s="523" t="s">
        <v>832</v>
      </c>
      <c r="C292" s="553" t="s">
        <v>30</v>
      </c>
      <c r="D292" s="476">
        <v>5000</v>
      </c>
      <c r="E292" s="87"/>
      <c r="F292" s="87">
        <v>55.45</v>
      </c>
      <c r="G292" s="87">
        <v>5000</v>
      </c>
      <c r="H292" s="87">
        <f t="shared" si="4"/>
        <v>0</v>
      </c>
      <c r="I292" s="509"/>
      <c r="J292" s="525"/>
      <c r="K292" s="398"/>
      <c r="L292" s="398"/>
      <c r="M292" s="398"/>
      <c r="N292" s="86"/>
    </row>
    <row r="293" spans="1:14" s="536" customFormat="1" ht="15.75" x14ac:dyDescent="0.25">
      <c r="A293" s="523">
        <v>287</v>
      </c>
      <c r="B293" s="523" t="s">
        <v>832</v>
      </c>
      <c r="C293" s="553">
        <v>7339</v>
      </c>
      <c r="D293" s="476">
        <v>18000</v>
      </c>
      <c r="E293" s="87"/>
      <c r="F293" s="87">
        <v>200.82</v>
      </c>
      <c r="G293" s="87">
        <v>18000</v>
      </c>
      <c r="H293" s="87">
        <f t="shared" si="4"/>
        <v>0</v>
      </c>
      <c r="I293" s="509"/>
      <c r="J293" s="525"/>
      <c r="K293" s="398"/>
      <c r="L293" s="398"/>
      <c r="M293" s="398"/>
      <c r="N293" s="86"/>
    </row>
    <row r="294" spans="1:14" s="536" customFormat="1" ht="15.75" x14ac:dyDescent="0.25">
      <c r="A294" s="523">
        <v>288</v>
      </c>
      <c r="B294" s="523" t="s">
        <v>832</v>
      </c>
      <c r="C294" s="553">
        <v>5286</v>
      </c>
      <c r="D294" s="476">
        <v>10000</v>
      </c>
      <c r="E294" s="87"/>
      <c r="F294" s="87">
        <v>111.41</v>
      </c>
      <c r="G294" s="87">
        <v>10000</v>
      </c>
      <c r="H294" s="87">
        <f t="shared" si="4"/>
        <v>0</v>
      </c>
      <c r="I294" s="509"/>
      <c r="J294" s="525"/>
      <c r="K294" s="398"/>
      <c r="L294" s="398"/>
      <c r="M294" s="398"/>
      <c r="N294" s="86"/>
    </row>
    <row r="295" spans="1:14" s="536" customFormat="1" ht="15.75" x14ac:dyDescent="0.25">
      <c r="A295" s="523">
        <v>289</v>
      </c>
      <c r="B295" s="523" t="s">
        <v>832</v>
      </c>
      <c r="C295" s="553">
        <v>2.2200000000000001E-2</v>
      </c>
      <c r="D295" s="476">
        <v>30000</v>
      </c>
      <c r="E295" s="87"/>
      <c r="F295" s="87">
        <v>334.52</v>
      </c>
      <c r="G295" s="87">
        <v>30000</v>
      </c>
      <c r="H295" s="87">
        <f t="shared" si="4"/>
        <v>0</v>
      </c>
      <c r="I295" s="509"/>
      <c r="J295" s="525"/>
      <c r="K295" s="398"/>
      <c r="L295" s="398"/>
      <c r="M295" s="398"/>
      <c r="N295" s="86"/>
    </row>
    <row r="296" spans="1:14" s="537" customFormat="1" ht="15.75" x14ac:dyDescent="0.25">
      <c r="A296" s="523">
        <v>290</v>
      </c>
      <c r="B296" s="523" t="s">
        <v>832</v>
      </c>
      <c r="C296" s="553">
        <v>4648</v>
      </c>
      <c r="D296" s="476">
        <v>20000</v>
      </c>
      <c r="E296" s="87"/>
      <c r="F296" s="87">
        <v>222.82</v>
      </c>
      <c r="G296" s="87">
        <v>20000</v>
      </c>
      <c r="H296" s="87">
        <f t="shared" si="4"/>
        <v>0</v>
      </c>
      <c r="I296" s="509"/>
      <c r="J296" s="525"/>
      <c r="K296" s="398"/>
      <c r="L296" s="398"/>
      <c r="M296" s="398"/>
      <c r="N296" s="86"/>
    </row>
    <row r="297" spans="1:14" s="537" customFormat="1" ht="15.75" x14ac:dyDescent="0.25">
      <c r="A297" s="523">
        <v>291</v>
      </c>
      <c r="B297" s="523" t="s">
        <v>832</v>
      </c>
      <c r="C297" s="553">
        <v>7460</v>
      </c>
      <c r="D297" s="476">
        <v>33000</v>
      </c>
      <c r="E297" s="87"/>
      <c r="F297" s="87">
        <v>360.78</v>
      </c>
      <c r="G297" s="87">
        <v>33000</v>
      </c>
      <c r="H297" s="87">
        <f t="shared" si="4"/>
        <v>0</v>
      </c>
      <c r="I297" s="509"/>
      <c r="J297" s="525"/>
      <c r="K297" s="398"/>
      <c r="L297" s="398"/>
      <c r="M297" s="398"/>
      <c r="N297" s="86"/>
    </row>
    <row r="298" spans="1:14" s="537" customFormat="1" ht="15.75" x14ac:dyDescent="0.25">
      <c r="A298" s="523">
        <v>292</v>
      </c>
      <c r="B298" s="523" t="s">
        <v>832</v>
      </c>
      <c r="C298" s="553">
        <v>6.7000000000000002E-3</v>
      </c>
      <c r="D298" s="476">
        <v>24000</v>
      </c>
      <c r="E298" s="87"/>
      <c r="F298" s="87">
        <v>265.85000000000002</v>
      </c>
      <c r="G298" s="87">
        <v>24000</v>
      </c>
      <c r="H298" s="87">
        <f t="shared" si="4"/>
        <v>0</v>
      </c>
      <c r="I298" s="509"/>
      <c r="J298" s="525"/>
      <c r="K298" s="398"/>
      <c r="L298" s="398"/>
      <c r="M298" s="398"/>
      <c r="N298" s="86"/>
    </row>
    <row r="299" spans="1:14" s="537" customFormat="1" ht="15.75" x14ac:dyDescent="0.25">
      <c r="A299" s="523">
        <v>293</v>
      </c>
      <c r="B299" s="523" t="s">
        <v>832</v>
      </c>
      <c r="C299" s="553">
        <v>7896</v>
      </c>
      <c r="D299" s="476">
        <v>23000</v>
      </c>
      <c r="E299" s="87"/>
      <c r="F299" s="87">
        <v>256.38</v>
      </c>
      <c r="G299" s="87">
        <v>23000</v>
      </c>
      <c r="H299" s="87">
        <f t="shared" si="4"/>
        <v>0</v>
      </c>
      <c r="I299" s="509"/>
      <c r="J299" s="525"/>
      <c r="K299" s="398"/>
      <c r="L299" s="398"/>
      <c r="M299" s="398"/>
      <c r="N299" s="86"/>
    </row>
    <row r="300" spans="1:14" s="537" customFormat="1" ht="15.75" x14ac:dyDescent="0.25">
      <c r="A300" s="523">
        <v>294</v>
      </c>
      <c r="B300" s="523" t="s">
        <v>832</v>
      </c>
      <c r="C300" s="553">
        <v>3.0200000000000001E-2</v>
      </c>
      <c r="D300" s="476">
        <v>18000</v>
      </c>
      <c r="E300" s="87"/>
      <c r="F300" s="87">
        <v>200.82</v>
      </c>
      <c r="G300" s="87">
        <v>18000</v>
      </c>
      <c r="H300" s="87">
        <f t="shared" si="4"/>
        <v>0</v>
      </c>
      <c r="I300" s="509"/>
      <c r="J300" s="525"/>
      <c r="K300" s="398"/>
      <c r="L300" s="398"/>
      <c r="M300" s="398"/>
      <c r="N300" s="86"/>
    </row>
    <row r="301" spans="1:14" s="537" customFormat="1" ht="15.75" x14ac:dyDescent="0.25">
      <c r="A301" s="523">
        <v>295</v>
      </c>
      <c r="B301" s="523" t="s">
        <v>832</v>
      </c>
      <c r="C301" s="553">
        <v>9235</v>
      </c>
      <c r="D301" s="476">
        <v>32000</v>
      </c>
      <c r="E301" s="87"/>
      <c r="F301" s="87">
        <v>356.28</v>
      </c>
      <c r="G301" s="87">
        <v>32000</v>
      </c>
      <c r="H301" s="87">
        <f t="shared" si="4"/>
        <v>0</v>
      </c>
      <c r="I301" s="509"/>
      <c r="J301" s="525"/>
      <c r="K301" s="398"/>
      <c r="L301" s="398"/>
      <c r="M301" s="398"/>
      <c r="N301" s="86"/>
    </row>
    <row r="302" spans="1:14" s="537" customFormat="1" ht="15.75" x14ac:dyDescent="0.25">
      <c r="A302" s="523">
        <v>296</v>
      </c>
      <c r="B302" s="523" t="s">
        <v>832</v>
      </c>
      <c r="C302" s="553">
        <v>8705</v>
      </c>
      <c r="D302" s="476">
        <v>28000</v>
      </c>
      <c r="E302" s="87"/>
      <c r="F302" s="87">
        <v>311.74</v>
      </c>
      <c r="G302" s="87">
        <v>28000</v>
      </c>
      <c r="H302" s="87">
        <f t="shared" si="4"/>
        <v>0</v>
      </c>
      <c r="I302" s="509"/>
      <c r="J302" s="525"/>
      <c r="K302" s="398"/>
      <c r="L302" s="398"/>
      <c r="M302" s="398"/>
      <c r="N302" s="86"/>
    </row>
    <row r="303" spans="1:14" s="537" customFormat="1" ht="15.75" x14ac:dyDescent="0.25">
      <c r="A303" s="523">
        <v>297</v>
      </c>
      <c r="B303" s="523" t="s">
        <v>832</v>
      </c>
      <c r="C303" s="553">
        <v>9992</v>
      </c>
      <c r="D303" s="476">
        <v>32000</v>
      </c>
      <c r="E303" s="87"/>
      <c r="F303" s="87">
        <v>356.28</v>
      </c>
      <c r="G303" s="87">
        <v>32000</v>
      </c>
      <c r="H303" s="87">
        <f t="shared" si="4"/>
        <v>0</v>
      </c>
      <c r="I303" s="509"/>
      <c r="J303" s="525"/>
      <c r="K303" s="398"/>
      <c r="L303" s="398"/>
      <c r="M303" s="398"/>
      <c r="N303" s="86"/>
    </row>
    <row r="304" spans="1:14" s="537" customFormat="1" ht="15.75" x14ac:dyDescent="0.25">
      <c r="A304" s="523">
        <v>298</v>
      </c>
      <c r="B304" s="523" t="s">
        <v>832</v>
      </c>
      <c r="C304" s="553">
        <v>5271</v>
      </c>
      <c r="D304" s="476">
        <v>23000</v>
      </c>
      <c r="E304" s="87"/>
      <c r="F304" s="87">
        <v>256.38</v>
      </c>
      <c r="G304" s="87">
        <v>23000</v>
      </c>
      <c r="H304" s="87">
        <f t="shared" si="4"/>
        <v>0</v>
      </c>
      <c r="I304" s="509"/>
      <c r="J304" s="525"/>
      <c r="K304" s="398"/>
      <c r="L304" s="398"/>
      <c r="M304" s="398"/>
      <c r="N304" s="86"/>
    </row>
    <row r="305" spans="1:14" s="537" customFormat="1" ht="15.75" x14ac:dyDescent="0.25">
      <c r="A305" s="523">
        <v>299</v>
      </c>
      <c r="B305" s="523" t="s">
        <v>832</v>
      </c>
      <c r="C305" s="553">
        <v>2576</v>
      </c>
      <c r="D305" s="476">
        <v>30000</v>
      </c>
      <c r="E305" s="87"/>
      <c r="F305" s="87">
        <v>334.82</v>
      </c>
      <c r="G305" s="87">
        <v>30000</v>
      </c>
      <c r="H305" s="87">
        <f t="shared" si="4"/>
        <v>0</v>
      </c>
      <c r="I305" s="509"/>
      <c r="J305" s="525"/>
      <c r="K305" s="398"/>
      <c r="L305" s="398"/>
      <c r="M305" s="398"/>
      <c r="N305" s="86"/>
    </row>
    <row r="306" spans="1:14" s="537" customFormat="1" ht="15.75" x14ac:dyDescent="0.25">
      <c r="A306" s="523">
        <v>300</v>
      </c>
      <c r="B306" s="523" t="s">
        <v>832</v>
      </c>
      <c r="C306" s="553">
        <v>7672</v>
      </c>
      <c r="D306" s="476">
        <v>22000</v>
      </c>
      <c r="E306" s="87"/>
      <c r="F306" s="87">
        <v>245.58</v>
      </c>
      <c r="G306" s="87">
        <v>22000</v>
      </c>
      <c r="H306" s="87">
        <f t="shared" si="4"/>
        <v>0</v>
      </c>
      <c r="I306" s="509"/>
      <c r="J306" s="525"/>
      <c r="K306" s="398"/>
      <c r="L306" s="398"/>
      <c r="M306" s="398"/>
      <c r="N306" s="86"/>
    </row>
    <row r="307" spans="1:14" s="537" customFormat="1" ht="15.75" x14ac:dyDescent="0.25">
      <c r="A307" s="523">
        <v>301</v>
      </c>
      <c r="B307" s="523" t="s">
        <v>832</v>
      </c>
      <c r="C307" s="553">
        <v>4740</v>
      </c>
      <c r="D307" s="476">
        <v>18000</v>
      </c>
      <c r="E307" s="87"/>
      <c r="F307" s="87">
        <v>200.82</v>
      </c>
      <c r="G307" s="87">
        <v>18000</v>
      </c>
      <c r="H307" s="87">
        <f t="shared" si="4"/>
        <v>0</v>
      </c>
      <c r="I307" s="509"/>
      <c r="J307" s="525"/>
      <c r="K307" s="398"/>
      <c r="L307" s="398"/>
      <c r="M307" s="398"/>
      <c r="N307" s="86"/>
    </row>
    <row r="308" spans="1:14" s="537" customFormat="1" ht="15.75" x14ac:dyDescent="0.25">
      <c r="A308" s="523">
        <v>302</v>
      </c>
      <c r="B308" s="523" t="s">
        <v>832</v>
      </c>
      <c r="C308" s="553">
        <v>9.4899999999999998E-2</v>
      </c>
      <c r="D308" s="476">
        <v>18000</v>
      </c>
      <c r="E308" s="87"/>
      <c r="F308" s="87">
        <v>200.82</v>
      </c>
      <c r="G308" s="87">
        <v>18000</v>
      </c>
      <c r="H308" s="87">
        <f t="shared" si="4"/>
        <v>0</v>
      </c>
      <c r="I308" s="509"/>
      <c r="J308" s="525"/>
      <c r="K308" s="398"/>
      <c r="L308" s="398"/>
      <c r="M308" s="398"/>
      <c r="N308" s="86"/>
    </row>
    <row r="309" spans="1:14" s="537" customFormat="1" ht="15.75" x14ac:dyDescent="0.25">
      <c r="A309" s="523">
        <v>303</v>
      </c>
      <c r="B309" s="523" t="s">
        <v>832</v>
      </c>
      <c r="C309" s="553">
        <v>4751</v>
      </c>
      <c r="D309" s="476">
        <v>22731</v>
      </c>
      <c r="E309" s="87"/>
      <c r="F309" s="87">
        <v>253.84</v>
      </c>
      <c r="G309" s="87">
        <v>22731</v>
      </c>
      <c r="H309" s="87">
        <f t="shared" si="4"/>
        <v>0</v>
      </c>
      <c r="I309" s="509"/>
      <c r="J309" s="525"/>
      <c r="K309" s="398">
        <f>2133443-2127114</f>
        <v>6329</v>
      </c>
      <c r="L309" s="398" t="s">
        <v>826</v>
      </c>
      <c r="M309" s="398" t="s">
        <v>620</v>
      </c>
      <c r="N309" s="86">
        <f>6328-5035</f>
        <v>1293</v>
      </c>
    </row>
    <row r="310" spans="1:14" s="538" customFormat="1" ht="15.75" x14ac:dyDescent="0.25">
      <c r="A310" s="523">
        <v>304</v>
      </c>
      <c r="B310" s="523" t="s">
        <v>833</v>
      </c>
      <c r="C310" s="553" t="s">
        <v>819</v>
      </c>
      <c r="D310" s="476">
        <v>2000</v>
      </c>
      <c r="E310" s="87"/>
      <c r="F310" s="87">
        <v>22.45</v>
      </c>
      <c r="G310" s="87">
        <v>2000</v>
      </c>
      <c r="H310" s="87">
        <f t="shared" si="4"/>
        <v>0</v>
      </c>
      <c r="I310" s="509"/>
      <c r="J310" s="525"/>
      <c r="K310" s="398"/>
      <c r="L310" s="398"/>
      <c r="M310" s="398"/>
      <c r="N310" s="86"/>
    </row>
    <row r="311" spans="1:14" s="538" customFormat="1" ht="15.75" x14ac:dyDescent="0.25">
      <c r="A311" s="523">
        <v>305</v>
      </c>
      <c r="B311" s="523" t="s">
        <v>833</v>
      </c>
      <c r="C311" s="553" t="s">
        <v>30</v>
      </c>
      <c r="D311" s="476">
        <v>800</v>
      </c>
      <c r="E311" s="87"/>
      <c r="F311" s="87">
        <v>8.08</v>
      </c>
      <c r="G311" s="87">
        <v>800</v>
      </c>
      <c r="H311" s="87">
        <f t="shared" si="4"/>
        <v>0</v>
      </c>
      <c r="I311" s="509"/>
      <c r="J311" s="525"/>
      <c r="K311" s="398"/>
      <c r="L311" s="398"/>
      <c r="M311" s="398"/>
      <c r="N311" s="86"/>
    </row>
    <row r="312" spans="1:14" s="538" customFormat="1" ht="15.75" x14ac:dyDescent="0.25">
      <c r="A312" s="523">
        <v>306</v>
      </c>
      <c r="B312" s="523" t="s">
        <v>833</v>
      </c>
      <c r="C312" s="553">
        <v>7411</v>
      </c>
      <c r="D312" s="476">
        <v>24000</v>
      </c>
      <c r="E312" s="87"/>
      <c r="F312" s="87">
        <v>267.74</v>
      </c>
      <c r="G312" s="87">
        <v>24000</v>
      </c>
      <c r="H312" s="87">
        <f t="shared" si="4"/>
        <v>0</v>
      </c>
      <c r="I312" s="509"/>
      <c r="J312" s="525"/>
      <c r="K312" s="398"/>
      <c r="L312" s="398"/>
      <c r="M312" s="398"/>
      <c r="N312" s="86"/>
    </row>
    <row r="313" spans="1:14" s="538" customFormat="1" ht="15.75" x14ac:dyDescent="0.25">
      <c r="A313" s="523">
        <v>307</v>
      </c>
      <c r="B313" s="523" t="s">
        <v>833</v>
      </c>
      <c r="C313" s="553" t="s">
        <v>30</v>
      </c>
      <c r="D313" s="476">
        <v>4500</v>
      </c>
      <c r="E313" s="87"/>
      <c r="F313" s="87">
        <v>50.45</v>
      </c>
      <c r="G313" s="87">
        <v>4500</v>
      </c>
      <c r="H313" s="87">
        <f t="shared" si="4"/>
        <v>0</v>
      </c>
      <c r="I313" s="509"/>
      <c r="J313" s="525"/>
      <c r="K313" s="398"/>
      <c r="L313" s="398"/>
      <c r="M313" s="398"/>
      <c r="N313" s="86"/>
    </row>
    <row r="314" spans="1:14" s="538" customFormat="1" ht="15.75" x14ac:dyDescent="0.25">
      <c r="A314" s="523">
        <v>308</v>
      </c>
      <c r="B314" s="523" t="s">
        <v>833</v>
      </c>
      <c r="C314" s="553">
        <v>1091</v>
      </c>
      <c r="D314" s="476">
        <v>20000</v>
      </c>
      <c r="E314" s="87"/>
      <c r="F314" s="87">
        <v>222.82</v>
      </c>
      <c r="G314" s="87">
        <v>20000</v>
      </c>
      <c r="H314" s="87">
        <f t="shared" si="4"/>
        <v>0</v>
      </c>
      <c r="I314" s="509"/>
      <c r="J314" s="525"/>
      <c r="K314" s="398"/>
      <c r="L314" s="398"/>
      <c r="M314" s="398"/>
      <c r="N314" s="86"/>
    </row>
    <row r="315" spans="1:14" s="538" customFormat="1" ht="15.75" x14ac:dyDescent="0.25">
      <c r="A315" s="523">
        <v>309</v>
      </c>
      <c r="B315" s="523" t="s">
        <v>833</v>
      </c>
      <c r="C315" s="553">
        <v>5403</v>
      </c>
      <c r="D315" s="476">
        <v>20000</v>
      </c>
      <c r="E315" s="87"/>
      <c r="F315" s="87">
        <v>222.82</v>
      </c>
      <c r="G315" s="87">
        <v>20000</v>
      </c>
      <c r="H315" s="87">
        <f t="shared" si="4"/>
        <v>0</v>
      </c>
      <c r="I315" s="509"/>
      <c r="J315" s="525"/>
      <c r="K315" s="398"/>
      <c r="L315" s="398"/>
      <c r="M315" s="398"/>
      <c r="N315" s="86"/>
    </row>
    <row r="316" spans="1:14" s="538" customFormat="1" ht="15.75" x14ac:dyDescent="0.25">
      <c r="A316" s="523">
        <v>310</v>
      </c>
      <c r="B316" s="523" t="s">
        <v>833</v>
      </c>
      <c r="C316" s="553" t="s">
        <v>30</v>
      </c>
      <c r="D316" s="476">
        <v>5000</v>
      </c>
      <c r="E316" s="87"/>
      <c r="F316" s="87">
        <v>50.55</v>
      </c>
      <c r="G316" s="87">
        <v>5000</v>
      </c>
      <c r="H316" s="87">
        <f t="shared" si="4"/>
        <v>0</v>
      </c>
      <c r="I316" s="509"/>
      <c r="J316" s="525"/>
      <c r="K316" s="398"/>
      <c r="L316" s="398"/>
      <c r="M316" s="398"/>
      <c r="N316" s="86"/>
    </row>
    <row r="317" spans="1:14" s="538" customFormat="1" ht="15.75" x14ac:dyDescent="0.25">
      <c r="A317" s="523">
        <v>311</v>
      </c>
      <c r="B317" s="523" t="s">
        <v>833</v>
      </c>
      <c r="C317" s="553">
        <v>2644</v>
      </c>
      <c r="D317" s="476">
        <v>12000</v>
      </c>
      <c r="E317" s="87"/>
      <c r="F317" s="87">
        <v>133.41999999999999</v>
      </c>
      <c r="G317" s="87">
        <v>12000</v>
      </c>
      <c r="H317" s="87">
        <f t="shared" si="4"/>
        <v>0</v>
      </c>
      <c r="I317" s="509"/>
      <c r="J317" s="525"/>
      <c r="K317" s="398"/>
      <c r="L317" s="398"/>
      <c r="M317" s="398"/>
      <c r="N317" s="86"/>
    </row>
    <row r="318" spans="1:14" s="538" customFormat="1" ht="15.75" x14ac:dyDescent="0.25">
      <c r="A318" s="523">
        <v>312</v>
      </c>
      <c r="B318" s="523" t="s">
        <v>833</v>
      </c>
      <c r="C318" s="553" t="s">
        <v>30</v>
      </c>
      <c r="D318" s="476">
        <v>4500</v>
      </c>
      <c r="E318" s="87"/>
      <c r="F318" s="87">
        <v>50.45</v>
      </c>
      <c r="G318" s="87">
        <v>4500</v>
      </c>
      <c r="H318" s="87">
        <f t="shared" si="4"/>
        <v>0</v>
      </c>
      <c r="I318" s="509"/>
      <c r="J318" s="525"/>
      <c r="K318" s="398"/>
      <c r="L318" s="398"/>
      <c r="M318" s="398"/>
      <c r="N318" s="86"/>
    </row>
    <row r="319" spans="1:14" s="538" customFormat="1" ht="15.75" x14ac:dyDescent="0.25">
      <c r="A319" s="523">
        <v>313</v>
      </c>
      <c r="B319" s="523" t="s">
        <v>833</v>
      </c>
      <c r="C319" s="553">
        <v>4700</v>
      </c>
      <c r="D319" s="476">
        <v>28000</v>
      </c>
      <c r="E319" s="87"/>
      <c r="F319" s="87">
        <v>311.75</v>
      </c>
      <c r="G319" s="87">
        <v>28000</v>
      </c>
      <c r="H319" s="87">
        <f t="shared" si="4"/>
        <v>0</v>
      </c>
      <c r="I319" s="509"/>
      <c r="J319" s="525"/>
      <c r="K319" s="398"/>
      <c r="L319" s="398"/>
      <c r="M319" s="398"/>
      <c r="N319" s="86"/>
    </row>
    <row r="320" spans="1:14" s="538" customFormat="1" ht="15.75" x14ac:dyDescent="0.25">
      <c r="A320" s="523">
        <v>314</v>
      </c>
      <c r="B320" s="523" t="s">
        <v>833</v>
      </c>
      <c r="C320" s="553">
        <v>4253</v>
      </c>
      <c r="D320" s="476">
        <v>33800</v>
      </c>
      <c r="E320" s="87"/>
      <c r="F320" s="87">
        <v>376.82</v>
      </c>
      <c r="G320" s="87">
        <v>33800</v>
      </c>
      <c r="H320" s="87">
        <f t="shared" si="4"/>
        <v>0</v>
      </c>
      <c r="I320" s="509"/>
      <c r="J320" s="525"/>
      <c r="K320" s="398"/>
      <c r="L320" s="398"/>
      <c r="M320" s="398"/>
      <c r="N320" s="86"/>
    </row>
    <row r="321" spans="1:14" s="538" customFormat="1" ht="15.75" x14ac:dyDescent="0.25">
      <c r="A321" s="523">
        <v>315</v>
      </c>
      <c r="B321" s="523" t="s">
        <v>833</v>
      </c>
      <c r="C321" s="553">
        <v>9166</v>
      </c>
      <c r="D321" s="476">
        <v>26000</v>
      </c>
      <c r="E321" s="87"/>
      <c r="F321" s="87">
        <v>275.49</v>
      </c>
      <c r="G321" s="87">
        <v>26000</v>
      </c>
      <c r="H321" s="87">
        <f t="shared" si="4"/>
        <v>0</v>
      </c>
      <c r="I321" s="509"/>
      <c r="J321" s="525"/>
      <c r="K321" s="398"/>
      <c r="L321" s="398"/>
      <c r="M321" s="398"/>
      <c r="N321" s="86"/>
    </row>
    <row r="322" spans="1:14" s="538" customFormat="1" ht="15.75" x14ac:dyDescent="0.25">
      <c r="A322" s="523">
        <v>316</v>
      </c>
      <c r="B322" s="523" t="s">
        <v>833</v>
      </c>
      <c r="C322" s="553">
        <v>5645</v>
      </c>
      <c r="D322" s="476">
        <v>32000</v>
      </c>
      <c r="E322" s="87"/>
      <c r="F322" s="87">
        <v>339.47</v>
      </c>
      <c r="G322" s="87">
        <v>32000</v>
      </c>
      <c r="H322" s="87">
        <f t="shared" si="4"/>
        <v>0</v>
      </c>
      <c r="I322" s="509"/>
      <c r="J322" s="525"/>
      <c r="K322" s="398"/>
      <c r="L322" s="398"/>
      <c r="M322" s="398"/>
      <c r="N322" s="86"/>
    </row>
    <row r="323" spans="1:14" s="538" customFormat="1" ht="15.75" x14ac:dyDescent="0.25">
      <c r="A323" s="523">
        <v>317</v>
      </c>
      <c r="B323" s="523" t="s">
        <v>833</v>
      </c>
      <c r="C323" s="553">
        <v>9647</v>
      </c>
      <c r="D323" s="476">
        <v>30000</v>
      </c>
      <c r="E323" s="87"/>
      <c r="F323" s="87">
        <v>334.82</v>
      </c>
      <c r="G323" s="87">
        <v>30000</v>
      </c>
      <c r="H323" s="87">
        <f t="shared" si="4"/>
        <v>0</v>
      </c>
      <c r="I323" s="509"/>
      <c r="J323" s="525"/>
      <c r="K323" s="398"/>
      <c r="L323" s="398"/>
      <c r="M323" s="398"/>
      <c r="N323" s="86"/>
    </row>
    <row r="324" spans="1:14" s="538" customFormat="1" ht="15.75" x14ac:dyDescent="0.25">
      <c r="A324" s="523">
        <v>318</v>
      </c>
      <c r="B324" s="523" t="s">
        <v>833</v>
      </c>
      <c r="C324" s="553">
        <v>5120</v>
      </c>
      <c r="D324" s="476">
        <v>22000</v>
      </c>
      <c r="E324" s="87"/>
      <c r="F324" s="87">
        <v>245.74</v>
      </c>
      <c r="G324" s="87">
        <v>22000</v>
      </c>
      <c r="H324" s="87">
        <f t="shared" si="4"/>
        <v>0</v>
      </c>
      <c r="I324" s="509"/>
      <c r="J324" s="525"/>
      <c r="K324" s="398"/>
      <c r="L324" s="398"/>
      <c r="M324" s="398"/>
      <c r="N324" s="86"/>
    </row>
    <row r="325" spans="1:14" s="538" customFormat="1" ht="15.75" x14ac:dyDescent="0.25">
      <c r="A325" s="523">
        <v>319</v>
      </c>
      <c r="B325" s="523" t="s">
        <v>833</v>
      </c>
      <c r="C325" s="553">
        <v>3094</v>
      </c>
      <c r="D325" s="476">
        <v>18000</v>
      </c>
      <c r="E325" s="87"/>
      <c r="F325" s="87">
        <v>200.48</v>
      </c>
      <c r="G325" s="87">
        <v>18000</v>
      </c>
      <c r="H325" s="87">
        <f t="shared" si="4"/>
        <v>0</v>
      </c>
      <c r="I325" s="509"/>
      <c r="J325" s="525"/>
      <c r="K325" s="398">
        <f>2216043-2209714</f>
        <v>6329</v>
      </c>
      <c r="L325" s="398" t="s">
        <v>826</v>
      </c>
      <c r="M325" s="398" t="s">
        <v>620</v>
      </c>
      <c r="N325" s="86">
        <f>6328-5035</f>
        <v>1293</v>
      </c>
    </row>
    <row r="326" spans="1:14" s="543" customFormat="1" ht="15.75" x14ac:dyDescent="0.25">
      <c r="A326" s="523"/>
      <c r="B326" s="523" t="s">
        <v>837</v>
      </c>
      <c r="C326" s="553" t="s">
        <v>66</v>
      </c>
      <c r="D326" s="476">
        <v>210</v>
      </c>
      <c r="E326" s="87"/>
      <c r="F326" s="87">
        <v>2.09</v>
      </c>
      <c r="G326" s="87">
        <v>210</v>
      </c>
      <c r="H326" s="87">
        <f t="shared" si="4"/>
        <v>0</v>
      </c>
      <c r="I326" s="509"/>
      <c r="J326" s="525"/>
      <c r="K326" s="398"/>
      <c r="L326" s="398"/>
      <c r="M326" s="398"/>
      <c r="N326" s="86"/>
    </row>
    <row r="327" spans="1:14" s="543" customFormat="1" ht="15.75" x14ac:dyDescent="0.25">
      <c r="A327" s="523"/>
      <c r="B327" s="523" t="s">
        <v>837</v>
      </c>
      <c r="C327" s="553">
        <v>5151</v>
      </c>
      <c r="D327" s="476">
        <v>17000</v>
      </c>
      <c r="E327" s="87"/>
      <c r="F327" s="87">
        <v>189.75</v>
      </c>
      <c r="G327" s="87">
        <v>17000</v>
      </c>
      <c r="H327" s="87">
        <f t="shared" ref="H327:H390" si="5">D327-G327</f>
        <v>0</v>
      </c>
      <c r="I327" s="509"/>
      <c r="J327" s="525"/>
      <c r="K327" s="398"/>
      <c r="L327" s="398"/>
      <c r="M327" s="398"/>
      <c r="N327" s="86"/>
    </row>
    <row r="328" spans="1:14" s="543" customFormat="1" ht="15.75" x14ac:dyDescent="0.25">
      <c r="A328" s="523"/>
      <c r="B328" s="523" t="s">
        <v>837</v>
      </c>
      <c r="C328" s="553" t="s">
        <v>819</v>
      </c>
      <c r="D328" s="476">
        <v>2000</v>
      </c>
      <c r="E328" s="87"/>
      <c r="F328" s="87">
        <v>22.47</v>
      </c>
      <c r="G328" s="87">
        <v>2000</v>
      </c>
      <c r="H328" s="87">
        <f t="shared" si="5"/>
        <v>0</v>
      </c>
      <c r="I328" s="509"/>
      <c r="J328" s="525"/>
      <c r="K328" s="398"/>
      <c r="L328" s="398"/>
      <c r="M328" s="398"/>
      <c r="N328" s="86"/>
    </row>
    <row r="329" spans="1:14" s="543" customFormat="1" ht="15.75" x14ac:dyDescent="0.25">
      <c r="A329" s="523"/>
      <c r="B329" s="523" t="s">
        <v>837</v>
      </c>
      <c r="C329" s="553">
        <v>3548</v>
      </c>
      <c r="D329" s="476">
        <v>12000</v>
      </c>
      <c r="E329" s="87"/>
      <c r="F329" s="87">
        <v>133.41999999999999</v>
      </c>
      <c r="G329" s="87">
        <v>12000</v>
      </c>
      <c r="H329" s="87">
        <f t="shared" si="5"/>
        <v>0</v>
      </c>
      <c r="I329" s="509"/>
      <c r="J329" s="525"/>
      <c r="K329" s="398"/>
      <c r="L329" s="398"/>
      <c r="M329" s="398"/>
      <c r="N329" s="86"/>
    </row>
    <row r="330" spans="1:14" s="543" customFormat="1" ht="15.75" x14ac:dyDescent="0.25">
      <c r="A330" s="523"/>
      <c r="B330" s="523" t="s">
        <v>837</v>
      </c>
      <c r="C330" s="553">
        <v>6946</v>
      </c>
      <c r="D330" s="476">
        <v>20000</v>
      </c>
      <c r="E330" s="87"/>
      <c r="F330" s="87">
        <v>222.82</v>
      </c>
      <c r="G330" s="87">
        <v>20000</v>
      </c>
      <c r="H330" s="87">
        <f t="shared" si="5"/>
        <v>0</v>
      </c>
      <c r="I330" s="509"/>
      <c r="J330" s="525"/>
      <c r="K330" s="398"/>
      <c r="L330" s="398"/>
      <c r="M330" s="398"/>
      <c r="N330" s="86"/>
    </row>
    <row r="331" spans="1:14" s="543" customFormat="1" ht="15.75" x14ac:dyDescent="0.25">
      <c r="A331" s="523"/>
      <c r="B331" s="523" t="s">
        <v>837</v>
      </c>
      <c r="C331" s="553">
        <v>7070</v>
      </c>
      <c r="D331" s="476">
        <v>18987</v>
      </c>
      <c r="E331" s="87"/>
      <c r="F331" s="87">
        <v>211.74</v>
      </c>
      <c r="G331" s="87">
        <v>18987</v>
      </c>
      <c r="H331" s="87">
        <f t="shared" si="5"/>
        <v>0</v>
      </c>
      <c r="I331" s="509"/>
      <c r="J331" s="525"/>
      <c r="K331" s="398"/>
      <c r="L331" s="398"/>
      <c r="M331" s="398"/>
      <c r="N331" s="86"/>
    </row>
    <row r="332" spans="1:14" s="543" customFormat="1" ht="15.75" x14ac:dyDescent="0.25">
      <c r="A332" s="523"/>
      <c r="B332" s="523" t="s">
        <v>837</v>
      </c>
      <c r="C332" s="553">
        <v>9033</v>
      </c>
      <c r="D332" s="476">
        <v>13553</v>
      </c>
      <c r="E332" s="87"/>
      <c r="F332" s="87">
        <v>151.47</v>
      </c>
      <c r="G332" s="87">
        <v>13553</v>
      </c>
      <c r="H332" s="87">
        <f t="shared" si="5"/>
        <v>0</v>
      </c>
      <c r="I332" s="509"/>
      <c r="J332" s="525"/>
      <c r="K332" s="398"/>
      <c r="L332" s="398"/>
      <c r="M332" s="398"/>
      <c r="N332" s="86"/>
    </row>
    <row r="333" spans="1:14" s="543" customFormat="1" ht="15.75" x14ac:dyDescent="0.25">
      <c r="A333" s="523"/>
      <c r="B333" s="523" t="s">
        <v>837</v>
      </c>
      <c r="C333" s="553">
        <v>4.6699999999999998E-2</v>
      </c>
      <c r="D333" s="476">
        <v>11500</v>
      </c>
      <c r="E333" s="87"/>
      <c r="F333" s="87">
        <v>128.68</v>
      </c>
      <c r="G333" s="87">
        <v>11500</v>
      </c>
      <c r="H333" s="87">
        <f t="shared" si="5"/>
        <v>0</v>
      </c>
      <c r="I333" s="509"/>
      <c r="J333" s="525"/>
      <c r="K333" s="398"/>
      <c r="L333" s="398"/>
      <c r="M333" s="398"/>
      <c r="N333" s="86"/>
    </row>
    <row r="334" spans="1:14" s="543" customFormat="1" ht="15.75" x14ac:dyDescent="0.25">
      <c r="A334" s="523"/>
      <c r="B334" s="523" t="s">
        <v>837</v>
      </c>
      <c r="C334" s="553">
        <v>9345</v>
      </c>
      <c r="D334" s="476">
        <v>18000</v>
      </c>
      <c r="E334" s="87"/>
      <c r="F334" s="87">
        <v>200.82</v>
      </c>
      <c r="G334" s="87">
        <v>18000</v>
      </c>
      <c r="H334" s="87">
        <f t="shared" si="5"/>
        <v>0</v>
      </c>
      <c r="I334" s="509"/>
      <c r="J334" s="525"/>
      <c r="K334" s="398"/>
      <c r="L334" s="398"/>
      <c r="M334" s="398"/>
      <c r="N334" s="86"/>
    </row>
    <row r="335" spans="1:14" s="543" customFormat="1" ht="15.75" x14ac:dyDescent="0.25">
      <c r="A335" s="523"/>
      <c r="B335" s="523" t="s">
        <v>837</v>
      </c>
      <c r="C335" s="553">
        <v>6246</v>
      </c>
      <c r="D335" s="476">
        <v>20000</v>
      </c>
      <c r="E335" s="87"/>
      <c r="F335" s="87">
        <v>222.82</v>
      </c>
      <c r="G335" s="87">
        <v>20000</v>
      </c>
      <c r="H335" s="87">
        <f t="shared" si="5"/>
        <v>0</v>
      </c>
      <c r="I335" s="509"/>
      <c r="J335" s="525"/>
      <c r="K335" s="398"/>
      <c r="L335" s="398"/>
      <c r="M335" s="398"/>
      <c r="N335" s="86"/>
    </row>
    <row r="336" spans="1:14" s="543" customFormat="1" ht="15.75" x14ac:dyDescent="0.25">
      <c r="A336" s="523"/>
      <c r="B336" s="523" t="s">
        <v>837</v>
      </c>
      <c r="C336" s="553">
        <v>4822</v>
      </c>
      <c r="D336" s="476">
        <v>20000</v>
      </c>
      <c r="E336" s="87"/>
      <c r="F336" s="87">
        <v>222.82</v>
      </c>
      <c r="G336" s="87">
        <v>20000</v>
      </c>
      <c r="H336" s="87">
        <f t="shared" si="5"/>
        <v>0</v>
      </c>
      <c r="I336" s="509"/>
      <c r="J336" s="525"/>
      <c r="K336" s="398"/>
      <c r="L336" s="398"/>
      <c r="M336" s="398"/>
      <c r="N336" s="86"/>
    </row>
    <row r="337" spans="1:14" s="543" customFormat="1" ht="15.75" x14ac:dyDescent="0.25">
      <c r="A337" s="523"/>
      <c r="B337" s="523" t="s">
        <v>837</v>
      </c>
      <c r="C337" s="553">
        <v>3002</v>
      </c>
      <c r="D337" s="476">
        <v>19000</v>
      </c>
      <c r="E337" s="87"/>
      <c r="F337" s="87">
        <v>215.96</v>
      </c>
      <c r="G337" s="87">
        <v>19000</v>
      </c>
      <c r="H337" s="87">
        <f t="shared" si="5"/>
        <v>0</v>
      </c>
      <c r="I337" s="509"/>
      <c r="J337" s="525"/>
      <c r="K337" s="398"/>
      <c r="L337" s="398"/>
      <c r="M337" s="398"/>
      <c r="N337" s="86"/>
    </row>
    <row r="338" spans="1:14" s="543" customFormat="1" ht="15.75" x14ac:dyDescent="0.25">
      <c r="A338" s="523"/>
      <c r="B338" s="523" t="s">
        <v>837</v>
      </c>
      <c r="C338" s="553">
        <v>8232</v>
      </c>
      <c r="D338" s="476">
        <v>33000</v>
      </c>
      <c r="E338" s="87"/>
      <c r="F338" s="87">
        <v>362.74</v>
      </c>
      <c r="G338" s="87">
        <v>33000</v>
      </c>
      <c r="H338" s="87">
        <f t="shared" si="5"/>
        <v>0</v>
      </c>
      <c r="I338" s="509"/>
      <c r="J338" s="525"/>
      <c r="K338" s="398"/>
      <c r="L338" s="398"/>
      <c r="M338" s="398"/>
      <c r="N338" s="86"/>
    </row>
    <row r="339" spans="1:14" s="543" customFormat="1" ht="15.75" x14ac:dyDescent="0.25">
      <c r="A339" s="523"/>
      <c r="B339" s="523" t="s">
        <v>837</v>
      </c>
      <c r="C339" s="553">
        <v>2151</v>
      </c>
      <c r="D339" s="476">
        <v>10000</v>
      </c>
      <c r="E339" s="87"/>
      <c r="F339" s="87">
        <v>111.41</v>
      </c>
      <c r="G339" s="87">
        <v>10000</v>
      </c>
      <c r="H339" s="87">
        <f t="shared" si="5"/>
        <v>0</v>
      </c>
      <c r="I339" s="509"/>
      <c r="J339" s="525"/>
      <c r="K339" s="398"/>
      <c r="L339" s="398"/>
      <c r="M339" s="398"/>
      <c r="N339" s="86"/>
    </row>
    <row r="340" spans="1:14" s="543" customFormat="1" ht="15.75" x14ac:dyDescent="0.25">
      <c r="A340" s="523"/>
      <c r="B340" s="523" t="s">
        <v>837</v>
      </c>
      <c r="C340" s="553">
        <v>1960</v>
      </c>
      <c r="D340" s="476">
        <v>25000</v>
      </c>
      <c r="E340" s="87"/>
      <c r="F340" s="87">
        <v>278.22000000000003</v>
      </c>
      <c r="G340" s="87">
        <v>25000</v>
      </c>
      <c r="H340" s="87">
        <f t="shared" si="5"/>
        <v>0</v>
      </c>
      <c r="I340" s="509"/>
      <c r="J340" s="525"/>
      <c r="K340" s="398"/>
      <c r="L340" s="398"/>
      <c r="M340" s="398"/>
      <c r="N340" s="86"/>
    </row>
    <row r="341" spans="1:14" s="543" customFormat="1" ht="15.75" x14ac:dyDescent="0.25">
      <c r="A341" s="523"/>
      <c r="B341" s="523" t="s">
        <v>837</v>
      </c>
      <c r="C341" s="553">
        <v>6042</v>
      </c>
      <c r="D341" s="476">
        <v>25000</v>
      </c>
      <c r="E341" s="87"/>
      <c r="F341" s="87">
        <v>278.22000000000003</v>
      </c>
      <c r="G341" s="87">
        <v>25000</v>
      </c>
      <c r="H341" s="87">
        <f t="shared" si="5"/>
        <v>0</v>
      </c>
      <c r="I341" s="509"/>
      <c r="J341" s="525"/>
      <c r="K341" s="398"/>
      <c r="L341" s="398"/>
      <c r="M341" s="398"/>
      <c r="N341" s="86"/>
    </row>
    <row r="342" spans="1:14" s="543" customFormat="1" ht="15.75" x14ac:dyDescent="0.25">
      <c r="A342" s="523"/>
      <c r="B342" s="523" t="s">
        <v>837</v>
      </c>
      <c r="C342" s="553">
        <v>1520</v>
      </c>
      <c r="D342" s="476">
        <v>25000</v>
      </c>
      <c r="E342" s="87"/>
      <c r="F342" s="87">
        <v>278.22000000000003</v>
      </c>
      <c r="G342" s="87">
        <v>25000</v>
      </c>
      <c r="H342" s="87">
        <f t="shared" si="5"/>
        <v>0</v>
      </c>
      <c r="I342" s="509"/>
      <c r="J342" s="525"/>
      <c r="K342" s="398"/>
      <c r="L342" s="398"/>
      <c r="M342" s="398"/>
      <c r="N342" s="86"/>
    </row>
    <row r="343" spans="1:14" s="543" customFormat="1" ht="15.75" x14ac:dyDescent="0.25">
      <c r="A343" s="523"/>
      <c r="B343" s="523" t="s">
        <v>837</v>
      </c>
      <c r="C343" s="553">
        <v>8238</v>
      </c>
      <c r="D343" s="476">
        <v>23000</v>
      </c>
      <c r="E343" s="87"/>
      <c r="F343" s="87">
        <v>256.38</v>
      </c>
      <c r="G343" s="87">
        <v>23000</v>
      </c>
      <c r="H343" s="87">
        <f t="shared" si="5"/>
        <v>0</v>
      </c>
      <c r="I343" s="509"/>
      <c r="J343" s="525"/>
      <c r="K343" s="398"/>
      <c r="L343" s="398"/>
      <c r="M343" s="398"/>
      <c r="N343" s="86"/>
    </row>
    <row r="344" spans="1:14" s="543" customFormat="1" ht="15.75" x14ac:dyDescent="0.25">
      <c r="A344" s="523"/>
      <c r="B344" s="523" t="s">
        <v>837</v>
      </c>
      <c r="C344" s="553" t="s">
        <v>66</v>
      </c>
      <c r="D344" s="476">
        <v>150</v>
      </c>
      <c r="E344" s="87"/>
      <c r="F344" s="87">
        <v>1.52</v>
      </c>
      <c r="G344" s="87">
        <v>150</v>
      </c>
      <c r="H344" s="87">
        <f t="shared" si="5"/>
        <v>0</v>
      </c>
      <c r="I344" s="509"/>
      <c r="J344" s="525"/>
      <c r="K344" s="398"/>
      <c r="L344" s="398"/>
      <c r="M344" s="398"/>
      <c r="N344" s="86"/>
    </row>
    <row r="345" spans="1:14" s="543" customFormat="1" ht="15.75" x14ac:dyDescent="0.25">
      <c r="A345" s="523"/>
      <c r="B345" s="523" t="s">
        <v>838</v>
      </c>
      <c r="C345" s="553">
        <v>6857</v>
      </c>
      <c r="D345" s="476">
        <v>30000</v>
      </c>
      <c r="E345" s="87"/>
      <c r="F345" s="87">
        <v>334.42</v>
      </c>
      <c r="G345" s="87">
        <v>30000</v>
      </c>
      <c r="H345" s="87">
        <f t="shared" si="5"/>
        <v>0</v>
      </c>
      <c r="I345" s="509"/>
      <c r="J345" s="525"/>
      <c r="K345" s="398"/>
      <c r="L345" s="398"/>
      <c r="M345" s="398"/>
      <c r="N345" s="86"/>
    </row>
    <row r="346" spans="1:14" s="543" customFormat="1" ht="15.75" x14ac:dyDescent="0.25">
      <c r="A346" s="523"/>
      <c r="B346" s="523" t="s">
        <v>838</v>
      </c>
      <c r="C346" s="553">
        <v>3711</v>
      </c>
      <c r="D346" s="476">
        <v>15000</v>
      </c>
      <c r="E346" s="87"/>
      <c r="F346" s="87">
        <v>167.15</v>
      </c>
      <c r="G346" s="87">
        <v>15000</v>
      </c>
      <c r="H346" s="87">
        <f t="shared" si="5"/>
        <v>0</v>
      </c>
      <c r="I346" s="509"/>
      <c r="J346" s="525"/>
      <c r="K346" s="398"/>
      <c r="L346" s="398"/>
      <c r="M346" s="398"/>
      <c r="N346" s="86"/>
    </row>
    <row r="347" spans="1:14" s="543" customFormat="1" ht="15.75" x14ac:dyDescent="0.25">
      <c r="A347" s="523"/>
      <c r="B347" s="523" t="s">
        <v>838</v>
      </c>
      <c r="C347" s="553" t="s">
        <v>30</v>
      </c>
      <c r="D347" s="476">
        <v>4500</v>
      </c>
      <c r="E347" s="87"/>
      <c r="F347" s="87">
        <v>50.45</v>
      </c>
      <c r="G347" s="87">
        <v>4500</v>
      </c>
      <c r="H347" s="87">
        <f t="shared" si="5"/>
        <v>0</v>
      </c>
      <c r="I347" s="509"/>
      <c r="J347" s="525"/>
      <c r="K347" s="398"/>
      <c r="L347" s="398"/>
      <c r="M347" s="398"/>
      <c r="N347" s="86"/>
    </row>
    <row r="348" spans="1:14" s="543" customFormat="1" ht="15.75" x14ac:dyDescent="0.25">
      <c r="A348" s="523"/>
      <c r="B348" s="523" t="s">
        <v>838</v>
      </c>
      <c r="C348" s="553">
        <v>5.1999999999999998E-3</v>
      </c>
      <c r="D348" s="476">
        <v>16000</v>
      </c>
      <c r="E348" s="87"/>
      <c r="F348" s="87">
        <v>178.22</v>
      </c>
      <c r="G348" s="87">
        <v>16000</v>
      </c>
      <c r="H348" s="87">
        <f t="shared" si="5"/>
        <v>0</v>
      </c>
      <c r="I348" s="509"/>
      <c r="J348" s="525"/>
      <c r="K348" s="398"/>
      <c r="L348" s="398"/>
      <c r="M348" s="398"/>
      <c r="N348" s="86"/>
    </row>
    <row r="349" spans="1:14" s="543" customFormat="1" ht="15.75" x14ac:dyDescent="0.25">
      <c r="A349" s="523"/>
      <c r="B349" s="523" t="s">
        <v>838</v>
      </c>
      <c r="C349" s="553">
        <v>5252</v>
      </c>
      <c r="D349" s="476">
        <v>17000</v>
      </c>
      <c r="E349" s="87"/>
      <c r="F349" s="87">
        <v>189.42</v>
      </c>
      <c r="G349" s="87">
        <v>17000</v>
      </c>
      <c r="H349" s="87">
        <f t="shared" si="5"/>
        <v>0</v>
      </c>
      <c r="I349" s="509"/>
      <c r="J349" s="525"/>
      <c r="K349" s="398"/>
      <c r="L349" s="398"/>
      <c r="M349" s="398"/>
      <c r="N349" s="86"/>
    </row>
    <row r="350" spans="1:14" s="543" customFormat="1" ht="15.75" x14ac:dyDescent="0.25">
      <c r="A350" s="523"/>
      <c r="B350" s="523" t="s">
        <v>838</v>
      </c>
      <c r="C350" s="553">
        <v>3405</v>
      </c>
      <c r="D350" s="476">
        <v>23000</v>
      </c>
      <c r="E350" s="87"/>
      <c r="F350" s="87">
        <v>256.87</v>
      </c>
      <c r="G350" s="87">
        <v>23000</v>
      </c>
      <c r="H350" s="87">
        <f t="shared" si="5"/>
        <v>0</v>
      </c>
      <c r="I350" s="509"/>
      <c r="J350" s="525"/>
      <c r="K350" s="398"/>
      <c r="L350" s="398"/>
      <c r="M350" s="398"/>
      <c r="N350" s="86"/>
    </row>
    <row r="351" spans="1:14" s="543" customFormat="1" ht="15.75" x14ac:dyDescent="0.25">
      <c r="A351" s="523"/>
      <c r="B351" s="523" t="s">
        <v>838</v>
      </c>
      <c r="C351" s="553">
        <v>9880</v>
      </c>
      <c r="D351" s="476">
        <v>25000</v>
      </c>
      <c r="E351" s="87"/>
      <c r="F351" s="87">
        <v>278.22000000000003</v>
      </c>
      <c r="G351" s="87">
        <v>25000</v>
      </c>
      <c r="H351" s="87">
        <f t="shared" si="5"/>
        <v>0</v>
      </c>
      <c r="I351" s="509"/>
      <c r="J351" s="525"/>
      <c r="K351" s="398"/>
      <c r="L351" s="398"/>
      <c r="M351" s="398"/>
      <c r="N351" s="86"/>
    </row>
    <row r="352" spans="1:14" s="543" customFormat="1" ht="15.75" x14ac:dyDescent="0.25">
      <c r="A352" s="523"/>
      <c r="B352" s="523" t="s">
        <v>838</v>
      </c>
      <c r="C352" s="553">
        <v>4829</v>
      </c>
      <c r="D352" s="476">
        <v>28000</v>
      </c>
      <c r="E352" s="87"/>
      <c r="F352" s="87">
        <v>311.47000000000003</v>
      </c>
      <c r="G352" s="87">
        <v>28000</v>
      </c>
      <c r="H352" s="87">
        <f t="shared" si="5"/>
        <v>0</v>
      </c>
      <c r="I352" s="509"/>
      <c r="J352" s="525"/>
      <c r="K352" s="398"/>
      <c r="L352" s="398"/>
      <c r="M352" s="398"/>
      <c r="N352" s="86"/>
    </row>
    <row r="353" spans="1:14" s="543" customFormat="1" ht="15.75" x14ac:dyDescent="0.25">
      <c r="A353" s="523"/>
      <c r="B353" s="523" t="s">
        <v>838</v>
      </c>
      <c r="C353" s="553">
        <v>7983</v>
      </c>
      <c r="D353" s="476">
        <v>20000</v>
      </c>
      <c r="E353" s="87"/>
      <c r="F353" s="87">
        <v>222.82</v>
      </c>
      <c r="G353" s="87">
        <v>20000</v>
      </c>
      <c r="H353" s="87">
        <f t="shared" si="5"/>
        <v>0</v>
      </c>
      <c r="I353" s="509"/>
      <c r="J353" s="525"/>
      <c r="K353" s="398"/>
      <c r="L353" s="398"/>
      <c r="M353" s="398"/>
      <c r="N353" s="86"/>
    </row>
    <row r="354" spans="1:14" s="543" customFormat="1" ht="15.75" x14ac:dyDescent="0.25">
      <c r="A354" s="523"/>
      <c r="B354" s="523" t="s">
        <v>838</v>
      </c>
      <c r="C354" s="553">
        <v>6813</v>
      </c>
      <c r="D354" s="476">
        <v>16000</v>
      </c>
      <c r="E354" s="87"/>
      <c r="F354" s="87">
        <v>178.22</v>
      </c>
      <c r="G354" s="87">
        <v>16000</v>
      </c>
      <c r="H354" s="87">
        <f t="shared" si="5"/>
        <v>0</v>
      </c>
      <c r="I354" s="509"/>
      <c r="J354" s="525"/>
      <c r="K354" s="398"/>
      <c r="L354" s="398"/>
      <c r="M354" s="398"/>
      <c r="N354" s="86"/>
    </row>
    <row r="355" spans="1:14" s="543" customFormat="1" ht="15.75" x14ac:dyDescent="0.25">
      <c r="A355" s="523"/>
      <c r="B355" s="523" t="s">
        <v>838</v>
      </c>
      <c r="C355" s="553">
        <v>1947</v>
      </c>
      <c r="D355" s="476">
        <v>35000</v>
      </c>
      <c r="E355" s="87"/>
      <c r="F355" s="87">
        <v>389.85</v>
      </c>
      <c r="G355" s="87">
        <v>35000</v>
      </c>
      <c r="H355" s="87">
        <f t="shared" si="5"/>
        <v>0</v>
      </c>
      <c r="I355" s="509"/>
      <c r="J355" s="525"/>
      <c r="K355" s="398"/>
      <c r="L355" s="398"/>
      <c r="M355" s="398"/>
      <c r="N355" s="86"/>
    </row>
    <row r="356" spans="1:14" s="543" customFormat="1" ht="15.75" x14ac:dyDescent="0.25">
      <c r="A356" s="523"/>
      <c r="B356" s="523" t="s">
        <v>838</v>
      </c>
      <c r="C356" s="553">
        <v>3606</v>
      </c>
      <c r="D356" s="476">
        <v>15000</v>
      </c>
      <c r="E356" s="87"/>
      <c r="F356" s="87">
        <v>167.15</v>
      </c>
      <c r="G356" s="87">
        <v>15000</v>
      </c>
      <c r="H356" s="87">
        <f t="shared" si="5"/>
        <v>0</v>
      </c>
      <c r="I356" s="509"/>
      <c r="J356" s="525"/>
      <c r="K356" s="398"/>
      <c r="L356" s="398"/>
      <c r="M356" s="398"/>
      <c r="N356" s="86"/>
    </row>
    <row r="357" spans="1:14" s="543" customFormat="1" ht="15.75" x14ac:dyDescent="0.25">
      <c r="A357" s="523"/>
      <c r="B357" s="523" t="s">
        <v>838</v>
      </c>
      <c r="C357" s="553">
        <v>2305</v>
      </c>
      <c r="D357" s="476">
        <v>23000</v>
      </c>
      <c r="E357" s="87"/>
      <c r="F357" s="87">
        <v>256.70999999999998</v>
      </c>
      <c r="G357" s="87">
        <v>23000</v>
      </c>
      <c r="H357" s="87">
        <f t="shared" si="5"/>
        <v>0</v>
      </c>
      <c r="I357" s="509"/>
      <c r="J357" s="525"/>
      <c r="K357" s="398"/>
      <c r="L357" s="398"/>
      <c r="M357" s="398"/>
      <c r="N357" s="86"/>
    </row>
    <row r="358" spans="1:14" s="543" customFormat="1" ht="15.75" x14ac:dyDescent="0.25">
      <c r="A358" s="523"/>
      <c r="B358" s="523" t="s">
        <v>838</v>
      </c>
      <c r="C358" s="553">
        <v>9789</v>
      </c>
      <c r="D358" s="476">
        <v>30000</v>
      </c>
      <c r="E358" s="87"/>
      <c r="F358" s="87">
        <v>334.82</v>
      </c>
      <c r="G358" s="87">
        <v>30000</v>
      </c>
      <c r="H358" s="87">
        <f t="shared" si="5"/>
        <v>0</v>
      </c>
      <c r="I358" s="509"/>
      <c r="J358" s="525"/>
      <c r="K358" s="398"/>
      <c r="L358" s="398"/>
      <c r="M358" s="398"/>
      <c r="N358" s="86"/>
    </row>
    <row r="359" spans="1:14" s="543" customFormat="1" ht="15.75" x14ac:dyDescent="0.25">
      <c r="A359" s="523"/>
      <c r="B359" s="523" t="s">
        <v>838</v>
      </c>
      <c r="C359" s="553">
        <v>8513</v>
      </c>
      <c r="D359" s="476">
        <v>30000</v>
      </c>
      <c r="E359" s="87"/>
      <c r="F359" s="87">
        <v>334.82</v>
      </c>
      <c r="G359" s="87">
        <v>30000</v>
      </c>
      <c r="H359" s="87">
        <f t="shared" si="5"/>
        <v>0</v>
      </c>
      <c r="I359" s="509"/>
      <c r="J359" s="525"/>
      <c r="K359" s="398"/>
      <c r="L359" s="398"/>
      <c r="M359" s="398"/>
      <c r="N359" s="86"/>
    </row>
    <row r="360" spans="1:14" s="543" customFormat="1" ht="15.75" x14ac:dyDescent="0.25">
      <c r="A360" s="523"/>
      <c r="B360" s="523" t="s">
        <v>839</v>
      </c>
      <c r="C360" s="553">
        <v>5212</v>
      </c>
      <c r="D360" s="476">
        <v>25000</v>
      </c>
      <c r="E360" s="87"/>
      <c r="F360" s="87">
        <v>278.22000000000003</v>
      </c>
      <c r="G360" s="87">
        <v>25000</v>
      </c>
      <c r="H360" s="87">
        <f t="shared" si="5"/>
        <v>0</v>
      </c>
      <c r="I360" s="509"/>
      <c r="J360" s="525"/>
      <c r="K360" s="398"/>
      <c r="L360" s="398"/>
      <c r="M360" s="398"/>
      <c r="N360" s="86"/>
    </row>
    <row r="361" spans="1:14" s="543" customFormat="1" ht="15.75" x14ac:dyDescent="0.25">
      <c r="A361" s="523"/>
      <c r="B361" s="523" t="s">
        <v>839</v>
      </c>
      <c r="C361" s="553" t="s">
        <v>30</v>
      </c>
      <c r="D361" s="476">
        <v>5000</v>
      </c>
      <c r="E361" s="87"/>
      <c r="F361" s="87">
        <v>55.45</v>
      </c>
      <c r="G361" s="87">
        <v>5000</v>
      </c>
      <c r="H361" s="87">
        <f t="shared" si="5"/>
        <v>0</v>
      </c>
      <c r="I361" s="509"/>
      <c r="J361" s="525"/>
      <c r="K361" s="398"/>
      <c r="L361" s="398"/>
      <c r="M361" s="398"/>
      <c r="N361" s="86"/>
    </row>
    <row r="362" spans="1:14" s="543" customFormat="1" ht="15.75" x14ac:dyDescent="0.25">
      <c r="A362" s="523"/>
      <c r="B362" s="523" t="s">
        <v>839</v>
      </c>
      <c r="C362" s="553">
        <v>9305</v>
      </c>
      <c r="D362" s="476">
        <v>15000</v>
      </c>
      <c r="E362" s="87"/>
      <c r="F362" s="87">
        <v>167.15</v>
      </c>
      <c r="G362" s="87">
        <v>15000</v>
      </c>
      <c r="H362" s="87">
        <f t="shared" si="5"/>
        <v>0</v>
      </c>
      <c r="I362" s="509"/>
      <c r="J362" s="525"/>
      <c r="K362" s="398"/>
      <c r="L362" s="398"/>
      <c r="M362" s="398"/>
      <c r="N362" s="86"/>
    </row>
    <row r="363" spans="1:14" s="543" customFormat="1" ht="15.75" x14ac:dyDescent="0.25">
      <c r="A363" s="523"/>
      <c r="B363" s="523" t="s">
        <v>839</v>
      </c>
      <c r="C363" s="553">
        <v>1211</v>
      </c>
      <c r="D363" s="476">
        <v>15000</v>
      </c>
      <c r="E363" s="87"/>
      <c r="F363" s="87">
        <v>167.15</v>
      </c>
      <c r="G363" s="87">
        <v>15000</v>
      </c>
      <c r="H363" s="87">
        <f t="shared" si="5"/>
        <v>0</v>
      </c>
      <c r="I363" s="509"/>
      <c r="J363" s="525"/>
      <c r="K363" s="398"/>
      <c r="L363" s="398"/>
      <c r="M363" s="398"/>
      <c r="N363" s="86"/>
    </row>
    <row r="364" spans="1:14" s="543" customFormat="1" ht="15.75" x14ac:dyDescent="0.25">
      <c r="A364" s="523"/>
      <c r="B364" s="523" t="s">
        <v>839</v>
      </c>
      <c r="C364" s="553">
        <v>9907</v>
      </c>
      <c r="D364" s="476">
        <v>25000</v>
      </c>
      <c r="E364" s="87"/>
      <c r="F364" s="87">
        <v>278.22000000000003</v>
      </c>
      <c r="G364" s="87">
        <v>25000</v>
      </c>
      <c r="H364" s="87">
        <f t="shared" si="5"/>
        <v>0</v>
      </c>
      <c r="I364" s="509"/>
      <c r="J364" s="525"/>
      <c r="K364" s="398"/>
      <c r="L364" s="398"/>
      <c r="M364" s="398"/>
      <c r="N364" s="86"/>
    </row>
    <row r="365" spans="1:14" s="543" customFormat="1" ht="15.75" x14ac:dyDescent="0.25">
      <c r="A365" s="523"/>
      <c r="B365" s="523" t="s">
        <v>839</v>
      </c>
      <c r="C365" s="553">
        <v>7217</v>
      </c>
      <c r="D365" s="476">
        <v>30000</v>
      </c>
      <c r="E365" s="87"/>
      <c r="F365" s="87">
        <v>334.22</v>
      </c>
      <c r="G365" s="87">
        <v>30000</v>
      </c>
      <c r="H365" s="87">
        <f t="shared" si="5"/>
        <v>0</v>
      </c>
      <c r="I365" s="509"/>
      <c r="J365" s="525"/>
      <c r="K365" s="398"/>
      <c r="L365" s="398"/>
      <c r="M365" s="398"/>
      <c r="N365" s="86"/>
    </row>
    <row r="366" spans="1:14" s="543" customFormat="1" ht="15.75" x14ac:dyDescent="0.25">
      <c r="A366" s="523"/>
      <c r="B366" s="523" t="s">
        <v>839</v>
      </c>
      <c r="C366" s="553">
        <v>2004</v>
      </c>
      <c r="D366" s="476">
        <v>20000</v>
      </c>
      <c r="E366" s="87"/>
      <c r="F366" s="87">
        <v>222.82</v>
      </c>
      <c r="G366" s="87">
        <v>20000</v>
      </c>
      <c r="H366" s="87">
        <f t="shared" si="5"/>
        <v>0</v>
      </c>
      <c r="I366" s="509"/>
      <c r="J366" s="525"/>
      <c r="K366" s="398"/>
      <c r="L366" s="398"/>
      <c r="M366" s="398"/>
      <c r="N366" s="86"/>
    </row>
    <row r="367" spans="1:14" s="543" customFormat="1" ht="15.75" x14ac:dyDescent="0.25">
      <c r="A367" s="523"/>
      <c r="B367" s="523" t="s">
        <v>839</v>
      </c>
      <c r="C367" s="553">
        <v>1941</v>
      </c>
      <c r="D367" s="476">
        <v>25000</v>
      </c>
      <c r="E367" s="87"/>
      <c r="F367" s="87">
        <v>278.22000000000003</v>
      </c>
      <c r="G367" s="87">
        <v>25000</v>
      </c>
      <c r="H367" s="87">
        <f t="shared" si="5"/>
        <v>0</v>
      </c>
      <c r="I367" s="509"/>
      <c r="J367" s="525"/>
      <c r="K367" s="398"/>
      <c r="L367" s="398"/>
      <c r="M367" s="398"/>
      <c r="N367" s="86"/>
    </row>
    <row r="368" spans="1:14" s="543" customFormat="1" ht="15.75" x14ac:dyDescent="0.25">
      <c r="A368" s="523"/>
      <c r="B368" s="523" t="s">
        <v>839</v>
      </c>
      <c r="C368" s="553">
        <v>5.4899999999999997E-2</v>
      </c>
      <c r="D368" s="476">
        <v>22000</v>
      </c>
      <c r="E368" s="87"/>
      <c r="F368" s="87">
        <v>227.47</v>
      </c>
      <c r="G368" s="87">
        <v>22000</v>
      </c>
      <c r="H368" s="87">
        <f t="shared" si="5"/>
        <v>0</v>
      </c>
      <c r="I368" s="509"/>
      <c r="J368" s="525"/>
      <c r="K368" s="398">
        <f>2538943-2532614</f>
        <v>6329</v>
      </c>
      <c r="L368" s="398" t="s">
        <v>826</v>
      </c>
      <c r="M368" s="398" t="s">
        <v>620</v>
      </c>
      <c r="N368" s="86">
        <f>6328-5035</f>
        <v>1293</v>
      </c>
    </row>
    <row r="369" spans="1:14" s="544" customFormat="1" ht="15.75" x14ac:dyDescent="0.25">
      <c r="A369" s="523"/>
      <c r="B369" s="523" t="s">
        <v>840</v>
      </c>
      <c r="C369" s="553" t="s">
        <v>30</v>
      </c>
      <c r="D369" s="476">
        <v>3000</v>
      </c>
      <c r="E369" s="87"/>
      <c r="F369" s="87">
        <v>33.450000000000003</v>
      </c>
      <c r="G369" s="87">
        <v>3000</v>
      </c>
      <c r="H369" s="87">
        <f t="shared" si="5"/>
        <v>0</v>
      </c>
      <c r="I369" s="509"/>
      <c r="J369" s="525"/>
      <c r="K369" s="398"/>
      <c r="L369" s="398"/>
      <c r="M369" s="398"/>
      <c r="N369" s="86"/>
    </row>
    <row r="370" spans="1:14" s="544" customFormat="1" ht="15.75" x14ac:dyDescent="0.25">
      <c r="A370" s="523"/>
      <c r="B370" s="523" t="s">
        <v>840</v>
      </c>
      <c r="C370" s="553">
        <v>5588</v>
      </c>
      <c r="D370" s="476">
        <v>20000</v>
      </c>
      <c r="E370" s="87"/>
      <c r="F370" s="87">
        <v>222.82</v>
      </c>
      <c r="G370" s="87">
        <v>20000</v>
      </c>
      <c r="H370" s="87">
        <f t="shared" si="5"/>
        <v>0</v>
      </c>
      <c r="I370" s="509"/>
      <c r="J370" s="525"/>
      <c r="K370" s="398"/>
      <c r="L370" s="398"/>
      <c r="M370" s="398"/>
      <c r="N370" s="86"/>
    </row>
    <row r="371" spans="1:14" s="544" customFormat="1" ht="15.75" x14ac:dyDescent="0.25">
      <c r="A371" s="523"/>
      <c r="B371" s="523" t="s">
        <v>840</v>
      </c>
      <c r="C371" s="553">
        <v>7196</v>
      </c>
      <c r="D371" s="476">
        <v>20000</v>
      </c>
      <c r="E371" s="87"/>
      <c r="F371" s="87">
        <v>222.82</v>
      </c>
      <c r="G371" s="87">
        <v>20000</v>
      </c>
      <c r="H371" s="87">
        <f t="shared" si="5"/>
        <v>0</v>
      </c>
      <c r="I371" s="509"/>
      <c r="J371" s="525"/>
      <c r="K371" s="398"/>
      <c r="L371" s="398"/>
      <c r="M371" s="398"/>
      <c r="N371" s="86"/>
    </row>
    <row r="372" spans="1:14" s="544" customFormat="1" ht="15.75" x14ac:dyDescent="0.25">
      <c r="A372" s="523"/>
      <c r="B372" s="523" t="s">
        <v>840</v>
      </c>
      <c r="C372" s="553" t="s">
        <v>30</v>
      </c>
      <c r="D372" s="476">
        <v>5000</v>
      </c>
      <c r="E372" s="87"/>
      <c r="F372" s="87">
        <v>55.5</v>
      </c>
      <c r="G372" s="87">
        <v>5000</v>
      </c>
      <c r="H372" s="87">
        <f t="shared" si="5"/>
        <v>0</v>
      </c>
      <c r="I372" s="509"/>
      <c r="J372" s="525"/>
      <c r="K372" s="398"/>
      <c r="L372" s="398"/>
      <c r="M372" s="398"/>
      <c r="N372" s="86"/>
    </row>
    <row r="373" spans="1:14" s="544" customFormat="1" ht="15.75" x14ac:dyDescent="0.25">
      <c r="A373" s="523"/>
      <c r="B373" s="523" t="s">
        <v>840</v>
      </c>
      <c r="C373" s="553">
        <v>9361</v>
      </c>
      <c r="D373" s="476">
        <v>30000</v>
      </c>
      <c r="E373" s="87"/>
      <c r="F373" s="87">
        <v>334.82</v>
      </c>
      <c r="G373" s="87">
        <v>30000</v>
      </c>
      <c r="H373" s="87">
        <f t="shared" si="5"/>
        <v>0</v>
      </c>
      <c r="I373" s="509"/>
      <c r="J373" s="525"/>
      <c r="K373" s="398"/>
      <c r="L373" s="398"/>
      <c r="M373" s="398"/>
      <c r="N373" s="86"/>
    </row>
    <row r="374" spans="1:14" s="544" customFormat="1" ht="15.75" x14ac:dyDescent="0.25">
      <c r="A374" s="523"/>
      <c r="B374" s="523" t="s">
        <v>840</v>
      </c>
      <c r="C374" s="553">
        <v>8604</v>
      </c>
      <c r="D374" s="476">
        <v>30000</v>
      </c>
      <c r="E374" s="87"/>
      <c r="F374" s="87">
        <v>334.82</v>
      </c>
      <c r="G374" s="87">
        <v>30000</v>
      </c>
      <c r="H374" s="87">
        <f t="shared" si="5"/>
        <v>0</v>
      </c>
      <c r="I374" s="509"/>
      <c r="J374" s="525"/>
      <c r="K374" s="398"/>
      <c r="L374" s="398"/>
      <c r="M374" s="398"/>
      <c r="N374" s="86"/>
    </row>
    <row r="375" spans="1:14" s="544" customFormat="1" ht="15.75" x14ac:dyDescent="0.25">
      <c r="A375" s="523"/>
      <c r="B375" s="523" t="s">
        <v>840</v>
      </c>
      <c r="C375" s="553" t="s">
        <v>66</v>
      </c>
      <c r="D375" s="476">
        <v>210</v>
      </c>
      <c r="E375" s="87"/>
      <c r="F375" s="87">
        <v>2.08</v>
      </c>
      <c r="G375" s="87">
        <v>210</v>
      </c>
      <c r="H375" s="87">
        <f t="shared" si="5"/>
        <v>0</v>
      </c>
      <c r="I375" s="509"/>
      <c r="J375" s="525"/>
      <c r="K375" s="398"/>
      <c r="L375" s="398"/>
      <c r="M375" s="398"/>
      <c r="N375" s="86"/>
    </row>
    <row r="376" spans="1:14" s="544" customFormat="1" ht="15.75" x14ac:dyDescent="0.25">
      <c r="A376" s="523"/>
      <c r="B376" s="523" t="s">
        <v>840</v>
      </c>
      <c r="C376" s="553">
        <v>7651</v>
      </c>
      <c r="D376" s="476">
        <v>23500</v>
      </c>
      <c r="E376" s="87"/>
      <c r="F376" s="87">
        <v>261.85000000000002</v>
      </c>
      <c r="G376" s="87">
        <v>23500</v>
      </c>
      <c r="H376" s="87">
        <f t="shared" si="5"/>
        <v>0</v>
      </c>
      <c r="I376" s="509"/>
      <c r="J376" s="525"/>
      <c r="K376" s="398"/>
      <c r="L376" s="398"/>
      <c r="M376" s="398"/>
      <c r="N376" s="86"/>
    </row>
    <row r="377" spans="1:14" s="544" customFormat="1" ht="15.75" x14ac:dyDescent="0.25">
      <c r="A377" s="523"/>
      <c r="B377" s="523" t="s">
        <v>840</v>
      </c>
      <c r="C377" s="553">
        <v>9021</v>
      </c>
      <c r="D377" s="476">
        <v>25500</v>
      </c>
      <c r="E377" s="87"/>
      <c r="F377" s="87">
        <v>284.68</v>
      </c>
      <c r="G377" s="87">
        <v>25500</v>
      </c>
      <c r="H377" s="87">
        <f t="shared" si="5"/>
        <v>0</v>
      </c>
      <c r="I377" s="509"/>
      <c r="J377" s="525"/>
      <c r="K377" s="398"/>
      <c r="L377" s="398"/>
      <c r="M377" s="398"/>
      <c r="N377" s="86"/>
    </row>
    <row r="378" spans="1:14" s="544" customFormat="1" ht="15.75" x14ac:dyDescent="0.25">
      <c r="A378" s="523"/>
      <c r="B378" s="523" t="s">
        <v>840</v>
      </c>
      <c r="C378" s="553">
        <v>7258</v>
      </c>
      <c r="D378" s="476">
        <v>30000</v>
      </c>
      <c r="E378" s="87"/>
      <c r="F378" s="87">
        <v>334.82</v>
      </c>
      <c r="G378" s="87">
        <v>30000</v>
      </c>
      <c r="H378" s="87">
        <f t="shared" si="5"/>
        <v>0</v>
      </c>
      <c r="I378" s="509"/>
      <c r="J378" s="525"/>
      <c r="K378" s="398"/>
      <c r="L378" s="398"/>
      <c r="M378" s="398"/>
      <c r="N378" s="86"/>
    </row>
    <row r="379" spans="1:14" s="544" customFormat="1" ht="15.75" x14ac:dyDescent="0.25">
      <c r="A379" s="523"/>
      <c r="B379" s="523" t="s">
        <v>840</v>
      </c>
      <c r="C379" s="553">
        <v>9903</v>
      </c>
      <c r="D379" s="476">
        <v>22000</v>
      </c>
      <c r="E379" s="87"/>
      <c r="F379" s="87">
        <v>245.74</v>
      </c>
      <c r="G379" s="87">
        <v>22000</v>
      </c>
      <c r="H379" s="87">
        <f t="shared" si="5"/>
        <v>0</v>
      </c>
      <c r="I379" s="509"/>
      <c r="J379" s="525"/>
      <c r="K379" s="398"/>
      <c r="L379" s="398"/>
      <c r="M379" s="398"/>
      <c r="N379" s="86"/>
    </row>
    <row r="380" spans="1:14" s="544" customFormat="1" ht="15.75" x14ac:dyDescent="0.25">
      <c r="A380" s="523"/>
      <c r="B380" s="523" t="s">
        <v>840</v>
      </c>
      <c r="C380" s="553">
        <v>2261</v>
      </c>
      <c r="D380" s="476">
        <v>19937</v>
      </c>
      <c r="E380" s="87"/>
      <c r="F380" s="87">
        <v>218.74</v>
      </c>
      <c r="G380" s="87">
        <v>19937</v>
      </c>
      <c r="H380" s="87">
        <f t="shared" si="5"/>
        <v>0</v>
      </c>
      <c r="I380" s="509"/>
      <c r="J380" s="525"/>
      <c r="K380" s="398"/>
      <c r="L380" s="398"/>
      <c r="M380" s="398"/>
      <c r="N380" s="86"/>
    </row>
    <row r="381" spans="1:14" s="544" customFormat="1" ht="15.75" x14ac:dyDescent="0.25">
      <c r="A381" s="523"/>
      <c r="B381" s="523" t="s">
        <v>840</v>
      </c>
      <c r="C381" s="553">
        <v>3438</v>
      </c>
      <c r="D381" s="476">
        <v>17000</v>
      </c>
      <c r="E381" s="87"/>
      <c r="F381" s="87">
        <v>189.28</v>
      </c>
      <c r="G381" s="87">
        <v>17000</v>
      </c>
      <c r="H381" s="87">
        <f t="shared" si="5"/>
        <v>0</v>
      </c>
      <c r="I381" s="509"/>
      <c r="J381" s="525"/>
      <c r="K381" s="398"/>
      <c r="L381" s="398"/>
      <c r="M381" s="398"/>
      <c r="N381" s="86"/>
    </row>
    <row r="382" spans="1:14" s="544" customFormat="1" ht="15.75" x14ac:dyDescent="0.25">
      <c r="A382" s="523"/>
      <c r="B382" s="523" t="s">
        <v>840</v>
      </c>
      <c r="C382" s="553">
        <v>3538</v>
      </c>
      <c r="D382" s="476">
        <v>17000</v>
      </c>
      <c r="E382" s="87"/>
      <c r="F382" s="87">
        <v>189.28</v>
      </c>
      <c r="G382" s="87">
        <v>17000</v>
      </c>
      <c r="H382" s="87">
        <f t="shared" si="5"/>
        <v>0</v>
      </c>
      <c r="I382" s="509"/>
      <c r="J382" s="525"/>
      <c r="K382" s="398"/>
      <c r="L382" s="398"/>
      <c r="M382" s="398"/>
      <c r="N382" s="86"/>
    </row>
    <row r="383" spans="1:14" s="544" customFormat="1" ht="15.75" x14ac:dyDescent="0.25">
      <c r="A383" s="523"/>
      <c r="B383" s="523" t="s">
        <v>840</v>
      </c>
      <c r="C383" s="553">
        <v>1929</v>
      </c>
      <c r="D383" s="476">
        <v>10000</v>
      </c>
      <c r="E383" s="87"/>
      <c r="F383" s="87">
        <v>111.41</v>
      </c>
      <c r="G383" s="87">
        <v>10000</v>
      </c>
      <c r="H383" s="87">
        <f t="shared" si="5"/>
        <v>0</v>
      </c>
      <c r="I383" s="509"/>
      <c r="J383" s="525"/>
      <c r="K383" s="398"/>
      <c r="L383" s="398"/>
      <c r="M383" s="398"/>
      <c r="N383" s="86"/>
    </row>
    <row r="384" spans="1:14" s="544" customFormat="1" ht="15.75" x14ac:dyDescent="0.25">
      <c r="A384" s="523"/>
      <c r="B384" s="523" t="s">
        <v>840</v>
      </c>
      <c r="C384" s="553">
        <v>4661</v>
      </c>
      <c r="D384" s="476">
        <v>10000</v>
      </c>
      <c r="E384" s="87"/>
      <c r="F384" s="87">
        <v>111.41</v>
      </c>
      <c r="G384" s="87">
        <v>10000</v>
      </c>
      <c r="H384" s="87">
        <f t="shared" si="5"/>
        <v>0</v>
      </c>
      <c r="I384" s="509"/>
      <c r="J384" s="525"/>
      <c r="K384" s="398"/>
      <c r="L384" s="398"/>
      <c r="M384" s="398"/>
      <c r="N384" s="86"/>
    </row>
    <row r="385" spans="1:14" s="544" customFormat="1" ht="15.75" x14ac:dyDescent="0.25">
      <c r="A385" s="523"/>
      <c r="B385" s="523" t="s">
        <v>840</v>
      </c>
      <c r="C385" s="553">
        <v>7987</v>
      </c>
      <c r="D385" s="476">
        <v>27000</v>
      </c>
      <c r="E385" s="87"/>
      <c r="F385" s="87">
        <v>300.82</v>
      </c>
      <c r="G385" s="87">
        <v>27000</v>
      </c>
      <c r="H385" s="87">
        <f t="shared" si="5"/>
        <v>0</v>
      </c>
      <c r="I385" s="509"/>
      <c r="J385" s="525"/>
      <c r="K385" s="398"/>
      <c r="L385" s="398"/>
      <c r="M385" s="398"/>
      <c r="N385" s="86"/>
    </row>
    <row r="386" spans="1:14" s="544" customFormat="1" ht="15.75" x14ac:dyDescent="0.25">
      <c r="A386" s="523"/>
      <c r="B386" s="523" t="s">
        <v>840</v>
      </c>
      <c r="C386" s="553">
        <v>9055</v>
      </c>
      <c r="D386" s="476">
        <v>8000</v>
      </c>
      <c r="E386" s="87"/>
      <c r="F386" s="87">
        <v>89.68</v>
      </c>
      <c r="G386" s="87">
        <v>8000</v>
      </c>
      <c r="H386" s="87">
        <f t="shared" si="5"/>
        <v>0</v>
      </c>
      <c r="I386" s="509"/>
      <c r="J386" s="525"/>
      <c r="K386" s="398"/>
      <c r="L386" s="398"/>
      <c r="M386" s="398"/>
      <c r="N386" s="86"/>
    </row>
    <row r="387" spans="1:14" s="544" customFormat="1" ht="15.75" x14ac:dyDescent="0.25">
      <c r="A387" s="523"/>
      <c r="B387" s="523" t="s">
        <v>840</v>
      </c>
      <c r="C387" s="553">
        <v>8359</v>
      </c>
      <c r="D387" s="476">
        <v>10000</v>
      </c>
      <c r="E387" s="87"/>
      <c r="F387" s="87">
        <v>111.41</v>
      </c>
      <c r="G387" s="87">
        <v>10000</v>
      </c>
      <c r="H387" s="87">
        <f t="shared" si="5"/>
        <v>0</v>
      </c>
      <c r="I387" s="509"/>
      <c r="J387" s="525"/>
      <c r="K387" s="398"/>
      <c r="L387" s="398"/>
      <c r="M387" s="398"/>
      <c r="N387" s="86"/>
    </row>
    <row r="388" spans="1:14" s="544" customFormat="1" ht="15.75" x14ac:dyDescent="0.25">
      <c r="A388" s="523"/>
      <c r="B388" s="523" t="s">
        <v>840</v>
      </c>
      <c r="C388" s="553">
        <v>1029</v>
      </c>
      <c r="D388" s="476">
        <v>7000</v>
      </c>
      <c r="E388" s="87"/>
      <c r="F388" s="87">
        <v>77.75</v>
      </c>
      <c r="G388" s="87">
        <v>7000</v>
      </c>
      <c r="H388" s="87">
        <f t="shared" si="5"/>
        <v>0</v>
      </c>
      <c r="I388" s="509"/>
      <c r="J388" s="525"/>
      <c r="K388" s="398"/>
      <c r="L388" s="398"/>
      <c r="M388" s="398"/>
      <c r="N388" s="86"/>
    </row>
    <row r="389" spans="1:14" s="544" customFormat="1" ht="15.75" x14ac:dyDescent="0.25">
      <c r="A389" s="523"/>
      <c r="B389" s="523" t="s">
        <v>840</v>
      </c>
      <c r="C389" s="553">
        <v>7527</v>
      </c>
      <c r="D389" s="476">
        <v>12000</v>
      </c>
      <c r="E389" s="87"/>
      <c r="F389" s="87">
        <v>133.41999999999999</v>
      </c>
      <c r="G389" s="87">
        <v>12000</v>
      </c>
      <c r="H389" s="87">
        <f t="shared" si="5"/>
        <v>0</v>
      </c>
      <c r="I389" s="509"/>
      <c r="J389" s="525"/>
      <c r="K389" s="398"/>
      <c r="L389" s="398"/>
      <c r="M389" s="398"/>
      <c r="N389" s="86"/>
    </row>
    <row r="390" spans="1:14" s="544" customFormat="1" ht="15.75" x14ac:dyDescent="0.25">
      <c r="A390" s="523"/>
      <c r="B390" s="523" t="s">
        <v>840</v>
      </c>
      <c r="C390" s="553">
        <v>1.54E-2</v>
      </c>
      <c r="D390" s="476">
        <v>20000</v>
      </c>
      <c r="E390" s="87"/>
      <c r="F390" s="87">
        <v>222.82</v>
      </c>
      <c r="G390" s="87">
        <v>20000</v>
      </c>
      <c r="H390" s="87">
        <f t="shared" si="5"/>
        <v>0</v>
      </c>
      <c r="I390" s="509"/>
      <c r="J390" s="525"/>
      <c r="K390" s="398"/>
      <c r="L390" s="398"/>
      <c r="M390" s="398"/>
      <c r="N390" s="86"/>
    </row>
    <row r="391" spans="1:14" s="544" customFormat="1" ht="15.75" x14ac:dyDescent="0.25">
      <c r="A391" s="523"/>
      <c r="B391" s="523" t="s">
        <v>840</v>
      </c>
      <c r="C391" s="553">
        <v>3054</v>
      </c>
      <c r="D391" s="476">
        <v>21000</v>
      </c>
      <c r="E391" s="87"/>
      <c r="F391" s="87">
        <v>233.47</v>
      </c>
      <c r="G391" s="87">
        <v>21000</v>
      </c>
      <c r="H391" s="87">
        <f t="shared" ref="H391:H646" si="6">D391-G391</f>
        <v>0</v>
      </c>
      <c r="I391" s="509"/>
      <c r="J391" s="525"/>
      <c r="K391" s="398"/>
      <c r="L391" s="398"/>
      <c r="M391" s="398"/>
      <c r="N391" s="86"/>
    </row>
    <row r="392" spans="1:14" s="544" customFormat="1" ht="15.75" x14ac:dyDescent="0.25">
      <c r="A392" s="523"/>
      <c r="B392" s="523" t="s">
        <v>840</v>
      </c>
      <c r="C392" s="553">
        <v>8274</v>
      </c>
      <c r="D392" s="476">
        <v>25000</v>
      </c>
      <c r="E392" s="87"/>
      <c r="F392" s="87">
        <v>278.22000000000003</v>
      </c>
      <c r="G392" s="87">
        <v>25000</v>
      </c>
      <c r="H392" s="87">
        <f t="shared" si="6"/>
        <v>0</v>
      </c>
      <c r="I392" s="509"/>
      <c r="J392" s="525"/>
      <c r="K392" s="398"/>
      <c r="L392" s="398"/>
      <c r="M392" s="398"/>
      <c r="N392" s="86"/>
    </row>
    <row r="393" spans="1:14" s="544" customFormat="1" ht="15.75" x14ac:dyDescent="0.25">
      <c r="A393" s="523"/>
      <c r="B393" s="523" t="s">
        <v>840</v>
      </c>
      <c r="C393" s="553">
        <v>5.8400000000000001E-2</v>
      </c>
      <c r="D393" s="476">
        <v>25000</v>
      </c>
      <c r="E393" s="87"/>
      <c r="F393" s="87">
        <v>278.22000000000003</v>
      </c>
      <c r="G393" s="87">
        <v>25000</v>
      </c>
      <c r="H393" s="87">
        <f t="shared" si="6"/>
        <v>0</v>
      </c>
      <c r="I393" s="509"/>
      <c r="J393" s="525"/>
      <c r="K393" s="398"/>
      <c r="L393" s="398"/>
      <c r="M393" s="398"/>
      <c r="N393" s="86"/>
    </row>
    <row r="394" spans="1:14" s="544" customFormat="1" ht="15.75" x14ac:dyDescent="0.25">
      <c r="A394" s="523"/>
      <c r="B394" s="523" t="s">
        <v>840</v>
      </c>
      <c r="C394" s="553">
        <v>8007</v>
      </c>
      <c r="D394" s="476">
        <v>25000</v>
      </c>
      <c r="E394" s="87"/>
      <c r="F394" s="87">
        <v>278.22000000000003</v>
      </c>
      <c r="G394" s="87">
        <v>25000</v>
      </c>
      <c r="H394" s="87">
        <f t="shared" si="6"/>
        <v>0</v>
      </c>
      <c r="I394" s="509"/>
      <c r="J394" s="525"/>
      <c r="K394" s="398"/>
      <c r="L394" s="398"/>
      <c r="M394" s="398"/>
      <c r="N394" s="86"/>
    </row>
    <row r="395" spans="1:14" s="544" customFormat="1" ht="15.75" x14ac:dyDescent="0.25">
      <c r="A395" s="523"/>
      <c r="B395" s="523" t="s">
        <v>840</v>
      </c>
      <c r="C395" s="553">
        <v>4954</v>
      </c>
      <c r="D395" s="476">
        <v>25000</v>
      </c>
      <c r="E395" s="87"/>
      <c r="F395" s="87">
        <v>278.22000000000003</v>
      </c>
      <c r="G395" s="87">
        <v>25000</v>
      </c>
      <c r="H395" s="87">
        <f t="shared" si="6"/>
        <v>0</v>
      </c>
      <c r="I395" s="509"/>
      <c r="J395" s="525"/>
      <c r="K395" s="398"/>
      <c r="L395" s="398"/>
      <c r="M395" s="398"/>
      <c r="N395" s="86"/>
    </row>
    <row r="396" spans="1:14" s="544" customFormat="1" ht="15.75" x14ac:dyDescent="0.25">
      <c r="A396" s="523"/>
      <c r="B396" s="523" t="s">
        <v>841</v>
      </c>
      <c r="C396" s="553">
        <v>4089</v>
      </c>
      <c r="D396" s="476">
        <v>29000</v>
      </c>
      <c r="E396" s="87"/>
      <c r="F396" s="87">
        <v>323.38</v>
      </c>
      <c r="G396" s="87">
        <v>29000</v>
      </c>
      <c r="H396" s="87">
        <f t="shared" si="6"/>
        <v>0</v>
      </c>
      <c r="I396" s="509"/>
      <c r="J396" s="525"/>
      <c r="K396" s="398"/>
      <c r="L396" s="398"/>
      <c r="M396" s="398"/>
      <c r="N396" s="86"/>
    </row>
    <row r="397" spans="1:14" s="544" customFormat="1" ht="15.75" x14ac:dyDescent="0.25">
      <c r="A397" s="523"/>
      <c r="B397" s="523" t="s">
        <v>841</v>
      </c>
      <c r="C397" s="553" t="s">
        <v>30</v>
      </c>
      <c r="D397" s="476">
        <v>2500</v>
      </c>
      <c r="E397" s="87"/>
      <c r="F397" s="87">
        <v>27.54</v>
      </c>
      <c r="G397" s="87">
        <v>2500</v>
      </c>
      <c r="H397" s="87">
        <f t="shared" si="6"/>
        <v>0</v>
      </c>
      <c r="I397" s="509"/>
      <c r="J397" s="525"/>
      <c r="K397" s="398"/>
      <c r="L397" s="398"/>
      <c r="M397" s="398"/>
      <c r="N397" s="86"/>
    </row>
    <row r="398" spans="1:14" s="544" customFormat="1" ht="15.75" x14ac:dyDescent="0.25">
      <c r="A398" s="523"/>
      <c r="B398" s="523" t="s">
        <v>841</v>
      </c>
      <c r="C398" s="553">
        <v>7263</v>
      </c>
      <c r="D398" s="476">
        <v>6000</v>
      </c>
      <c r="E398" s="87"/>
      <c r="F398" s="87">
        <v>66.849999999999994</v>
      </c>
      <c r="G398" s="87">
        <v>6000</v>
      </c>
      <c r="H398" s="87">
        <f t="shared" si="6"/>
        <v>0</v>
      </c>
      <c r="I398" s="509"/>
      <c r="J398" s="525"/>
      <c r="K398" s="398"/>
      <c r="L398" s="398"/>
      <c r="M398" s="398"/>
      <c r="N398" s="86"/>
    </row>
    <row r="399" spans="1:14" s="544" customFormat="1" ht="15.75" x14ac:dyDescent="0.25">
      <c r="A399" s="523"/>
      <c r="B399" s="523" t="s">
        <v>841</v>
      </c>
      <c r="C399" s="553" t="s">
        <v>30</v>
      </c>
      <c r="D399" s="476">
        <v>4500</v>
      </c>
      <c r="E399" s="87"/>
      <c r="F399" s="87">
        <v>50.47</v>
      </c>
      <c r="G399" s="87">
        <v>4500</v>
      </c>
      <c r="H399" s="87">
        <f t="shared" si="6"/>
        <v>0</v>
      </c>
      <c r="I399" s="509"/>
      <c r="J399" s="525"/>
      <c r="K399" s="398"/>
      <c r="L399" s="398"/>
      <c r="M399" s="398"/>
      <c r="N399" s="86"/>
    </row>
    <row r="400" spans="1:14" s="544" customFormat="1" ht="15.75" x14ac:dyDescent="0.25">
      <c r="A400" s="523"/>
      <c r="B400" s="523" t="s">
        <v>841</v>
      </c>
      <c r="C400" s="553">
        <v>9333</v>
      </c>
      <c r="D400" s="476">
        <v>10000</v>
      </c>
      <c r="E400" s="87"/>
      <c r="F400" s="87">
        <v>111.42</v>
      </c>
      <c r="G400" s="87">
        <v>10000</v>
      </c>
      <c r="H400" s="87">
        <f t="shared" si="6"/>
        <v>0</v>
      </c>
      <c r="I400" s="509"/>
      <c r="J400" s="525"/>
      <c r="K400" s="398"/>
      <c r="L400" s="398"/>
      <c r="M400" s="398"/>
      <c r="N400" s="86"/>
    </row>
    <row r="401" spans="1:14" s="544" customFormat="1" ht="15.75" x14ac:dyDescent="0.25">
      <c r="A401" s="523"/>
      <c r="B401" s="523" t="s">
        <v>841</v>
      </c>
      <c r="C401" s="553" t="s">
        <v>819</v>
      </c>
      <c r="D401" s="476">
        <v>3000</v>
      </c>
      <c r="E401" s="87"/>
      <c r="F401" s="87">
        <v>33.35</v>
      </c>
      <c r="G401" s="87">
        <v>3000</v>
      </c>
      <c r="H401" s="87">
        <f t="shared" si="6"/>
        <v>0</v>
      </c>
      <c r="I401" s="509"/>
      <c r="J401" s="525"/>
      <c r="K401" s="398"/>
      <c r="L401" s="398"/>
      <c r="M401" s="398"/>
      <c r="N401" s="86"/>
    </row>
    <row r="402" spans="1:14" s="544" customFormat="1" ht="15.75" x14ac:dyDescent="0.25">
      <c r="A402" s="523"/>
      <c r="B402" s="523" t="s">
        <v>841</v>
      </c>
      <c r="C402" s="553">
        <v>5047</v>
      </c>
      <c r="D402" s="476">
        <v>20000</v>
      </c>
      <c r="E402" s="87"/>
      <c r="F402" s="87">
        <v>222.82</v>
      </c>
      <c r="G402" s="87">
        <v>20000</v>
      </c>
      <c r="H402" s="87">
        <f t="shared" si="6"/>
        <v>0</v>
      </c>
      <c r="I402" s="509"/>
      <c r="J402" s="525"/>
      <c r="K402" s="398"/>
      <c r="L402" s="398"/>
      <c r="M402" s="398"/>
      <c r="N402" s="86"/>
    </row>
    <row r="403" spans="1:14" s="544" customFormat="1" ht="15.75" x14ac:dyDescent="0.25">
      <c r="A403" s="523"/>
      <c r="B403" s="523" t="s">
        <v>841</v>
      </c>
      <c r="C403" s="553">
        <v>6757</v>
      </c>
      <c r="D403" s="476">
        <v>23483</v>
      </c>
      <c r="E403" s="87"/>
      <c r="F403" s="87">
        <v>261.58</v>
      </c>
      <c r="G403" s="87">
        <v>23483</v>
      </c>
      <c r="H403" s="87">
        <f t="shared" si="6"/>
        <v>0</v>
      </c>
      <c r="I403" s="509"/>
      <c r="J403" s="525"/>
      <c r="K403" s="398"/>
      <c r="L403" s="398"/>
      <c r="M403" s="398"/>
      <c r="N403" s="86"/>
    </row>
    <row r="404" spans="1:14" s="544" customFormat="1" ht="15.75" x14ac:dyDescent="0.25">
      <c r="A404" s="523"/>
      <c r="B404" s="523" t="s">
        <v>841</v>
      </c>
      <c r="C404" s="553">
        <v>3468</v>
      </c>
      <c r="D404" s="476">
        <v>23000</v>
      </c>
      <c r="E404" s="87"/>
      <c r="F404" s="87">
        <v>256.82</v>
      </c>
      <c r="G404" s="87">
        <v>23000</v>
      </c>
      <c r="H404" s="87">
        <f t="shared" si="6"/>
        <v>0</v>
      </c>
      <c r="I404" s="509"/>
      <c r="J404" s="525"/>
      <c r="K404" s="398"/>
      <c r="L404" s="398"/>
      <c r="M404" s="398"/>
      <c r="N404" s="86"/>
    </row>
    <row r="405" spans="1:14" s="544" customFormat="1" ht="15.75" x14ac:dyDescent="0.25">
      <c r="A405" s="523"/>
      <c r="B405" s="523" t="s">
        <v>841</v>
      </c>
      <c r="C405" s="553">
        <v>2029</v>
      </c>
      <c r="D405" s="476">
        <v>28000</v>
      </c>
      <c r="E405" s="87"/>
      <c r="F405" s="87">
        <v>311.38</v>
      </c>
      <c r="G405" s="87">
        <v>28000</v>
      </c>
      <c r="H405" s="87">
        <f t="shared" si="6"/>
        <v>0</v>
      </c>
      <c r="I405" s="509"/>
      <c r="J405" s="525"/>
      <c r="K405" s="398"/>
      <c r="L405" s="398"/>
      <c r="M405" s="398"/>
      <c r="N405" s="86"/>
    </row>
    <row r="406" spans="1:14" s="544" customFormat="1" ht="15.75" x14ac:dyDescent="0.25">
      <c r="A406" s="523"/>
      <c r="B406" s="523" t="s">
        <v>841</v>
      </c>
      <c r="C406" s="553">
        <v>1776</v>
      </c>
      <c r="D406" s="476">
        <v>22000</v>
      </c>
      <c r="E406" s="87"/>
      <c r="F406" s="87">
        <v>233.58</v>
      </c>
      <c r="G406" s="87">
        <v>22000</v>
      </c>
      <c r="H406" s="87">
        <f t="shared" si="6"/>
        <v>0</v>
      </c>
      <c r="I406" s="509"/>
      <c r="J406" s="525"/>
      <c r="K406" s="398"/>
      <c r="L406" s="398"/>
      <c r="M406" s="398"/>
      <c r="N406" s="86"/>
    </row>
    <row r="407" spans="1:14" s="544" customFormat="1" ht="15.75" x14ac:dyDescent="0.25">
      <c r="A407" s="523"/>
      <c r="B407" s="523" t="s">
        <v>841</v>
      </c>
      <c r="C407" s="553">
        <v>9454</v>
      </c>
      <c r="D407" s="476">
        <v>15000</v>
      </c>
      <c r="E407" s="87"/>
      <c r="F407" s="87">
        <v>167.15</v>
      </c>
      <c r="G407" s="87">
        <v>15000</v>
      </c>
      <c r="H407" s="87">
        <f t="shared" si="6"/>
        <v>0</v>
      </c>
      <c r="I407" s="509"/>
      <c r="J407" s="525"/>
      <c r="K407" s="398"/>
      <c r="L407" s="398"/>
      <c r="M407" s="398"/>
      <c r="N407" s="86"/>
    </row>
    <row r="408" spans="1:14" s="544" customFormat="1" ht="15.75" x14ac:dyDescent="0.25">
      <c r="A408" s="523"/>
      <c r="B408" s="523" t="s">
        <v>841</v>
      </c>
      <c r="C408" s="553">
        <v>1796</v>
      </c>
      <c r="D408" s="476">
        <v>15000</v>
      </c>
      <c r="E408" s="87"/>
      <c r="F408" s="87">
        <v>167.15</v>
      </c>
      <c r="G408" s="87">
        <v>15000</v>
      </c>
      <c r="H408" s="87">
        <f t="shared" si="6"/>
        <v>0</v>
      </c>
      <c r="I408" s="509"/>
      <c r="J408" s="525"/>
      <c r="K408" s="398"/>
      <c r="L408" s="398"/>
      <c r="M408" s="398"/>
      <c r="N408" s="86"/>
    </row>
    <row r="409" spans="1:14" s="544" customFormat="1" ht="15.75" x14ac:dyDescent="0.25">
      <c r="A409" s="523"/>
      <c r="B409" s="523" t="s">
        <v>841</v>
      </c>
      <c r="C409" s="553">
        <v>9291</v>
      </c>
      <c r="D409" s="476">
        <v>7000</v>
      </c>
      <c r="E409" s="87"/>
      <c r="F409" s="87">
        <v>77.819999999999993</v>
      </c>
      <c r="G409" s="87">
        <v>7000</v>
      </c>
      <c r="H409" s="87">
        <f t="shared" si="6"/>
        <v>0</v>
      </c>
      <c r="I409" s="509"/>
      <c r="J409" s="525"/>
      <c r="K409" s="398"/>
      <c r="L409" s="398"/>
      <c r="M409" s="398"/>
      <c r="N409" s="86"/>
    </row>
    <row r="410" spans="1:14" s="544" customFormat="1" ht="15.75" x14ac:dyDescent="0.25">
      <c r="A410" s="523"/>
      <c r="B410" s="523" t="s">
        <v>841</v>
      </c>
      <c r="C410" s="553">
        <v>5.3999999999999999E-2</v>
      </c>
      <c r="D410" s="476">
        <v>22000</v>
      </c>
      <c r="E410" s="87"/>
      <c r="F410" s="87">
        <v>222.82</v>
      </c>
      <c r="G410" s="87">
        <v>22000</v>
      </c>
      <c r="H410" s="87">
        <f t="shared" si="6"/>
        <v>0</v>
      </c>
      <c r="I410" s="509"/>
      <c r="J410" s="525"/>
      <c r="K410" s="398"/>
      <c r="L410" s="398"/>
      <c r="M410" s="398"/>
      <c r="N410" s="86"/>
    </row>
    <row r="411" spans="1:14" s="544" customFormat="1" ht="15.75" x14ac:dyDescent="0.25">
      <c r="A411" s="523"/>
      <c r="B411" s="523" t="s">
        <v>841</v>
      </c>
      <c r="C411" s="553">
        <v>1505</v>
      </c>
      <c r="D411" s="476">
        <v>15000</v>
      </c>
      <c r="E411" s="87"/>
      <c r="F411" s="87">
        <v>167.15</v>
      </c>
      <c r="G411" s="87">
        <v>15000</v>
      </c>
      <c r="H411" s="87">
        <f t="shared" si="6"/>
        <v>0</v>
      </c>
      <c r="I411" s="509"/>
      <c r="J411" s="525"/>
      <c r="K411" s="398"/>
      <c r="L411" s="398"/>
      <c r="M411" s="398"/>
      <c r="N411" s="86"/>
    </row>
    <row r="412" spans="1:14" s="544" customFormat="1" ht="15.75" x14ac:dyDescent="0.25">
      <c r="A412" s="523"/>
      <c r="B412" s="523" t="s">
        <v>841</v>
      </c>
      <c r="C412" s="553">
        <v>1004</v>
      </c>
      <c r="D412" s="476">
        <v>27000</v>
      </c>
      <c r="E412" s="87"/>
      <c r="F412" s="87">
        <v>300.82</v>
      </c>
      <c r="G412" s="87">
        <v>27000</v>
      </c>
      <c r="H412" s="87">
        <f t="shared" si="6"/>
        <v>0</v>
      </c>
      <c r="I412" s="509"/>
      <c r="J412" s="525"/>
      <c r="K412" s="398"/>
      <c r="L412" s="398"/>
      <c r="M412" s="398"/>
      <c r="N412" s="86"/>
    </row>
    <row r="413" spans="1:14" s="544" customFormat="1" ht="15.75" x14ac:dyDescent="0.25">
      <c r="A413" s="523"/>
      <c r="B413" s="523" t="s">
        <v>841</v>
      </c>
      <c r="C413" s="553">
        <v>9661</v>
      </c>
      <c r="D413" s="476">
        <v>22000</v>
      </c>
      <c r="E413" s="87"/>
      <c r="F413" s="87">
        <v>222.82</v>
      </c>
      <c r="G413" s="87">
        <v>22000</v>
      </c>
      <c r="H413" s="87">
        <f t="shared" si="6"/>
        <v>0</v>
      </c>
      <c r="I413" s="509"/>
      <c r="J413" s="525"/>
      <c r="K413" s="398"/>
      <c r="L413" s="398"/>
      <c r="M413" s="398"/>
      <c r="N413" s="86"/>
    </row>
    <row r="414" spans="1:14" s="544" customFormat="1" ht="15.75" x14ac:dyDescent="0.25">
      <c r="A414" s="523"/>
      <c r="B414" s="523" t="s">
        <v>841</v>
      </c>
      <c r="C414" s="553">
        <v>7.0000000000000001E-3</v>
      </c>
      <c r="D414" s="476">
        <v>7000</v>
      </c>
      <c r="E414" s="87"/>
      <c r="F414" s="87">
        <v>77.819999999999993</v>
      </c>
      <c r="G414" s="87">
        <v>7000</v>
      </c>
      <c r="H414" s="87">
        <f t="shared" si="6"/>
        <v>0</v>
      </c>
      <c r="I414" s="509"/>
      <c r="J414" s="525"/>
      <c r="K414" s="398">
        <f>2028573-2022244</f>
        <v>6329</v>
      </c>
      <c r="L414" s="398" t="s">
        <v>826</v>
      </c>
      <c r="M414" s="398" t="s">
        <v>620</v>
      </c>
      <c r="N414" s="86">
        <f>6328-5035</f>
        <v>1293</v>
      </c>
    </row>
    <row r="415" spans="1:14" s="546" customFormat="1" ht="15.75" x14ac:dyDescent="0.25">
      <c r="A415" s="523"/>
      <c r="B415" s="523" t="s">
        <v>842</v>
      </c>
      <c r="C415" s="553">
        <v>9457</v>
      </c>
      <c r="D415" s="476">
        <v>30000</v>
      </c>
      <c r="E415" s="87"/>
      <c r="F415" s="87">
        <v>334.82</v>
      </c>
      <c r="G415" s="87">
        <v>30000</v>
      </c>
      <c r="H415" s="87">
        <f t="shared" si="6"/>
        <v>0</v>
      </c>
      <c r="I415" s="509"/>
      <c r="J415" s="525"/>
      <c r="K415" s="398"/>
      <c r="L415" s="398"/>
      <c r="M415" s="398"/>
      <c r="N415" s="86"/>
    </row>
    <row r="416" spans="1:14" s="546" customFormat="1" ht="15.75" x14ac:dyDescent="0.25">
      <c r="A416" s="523"/>
      <c r="B416" s="523" t="s">
        <v>842</v>
      </c>
      <c r="C416" s="553" t="s">
        <v>30</v>
      </c>
      <c r="D416" s="476">
        <v>5000</v>
      </c>
      <c r="E416" s="87"/>
      <c r="F416" s="87">
        <v>55.45</v>
      </c>
      <c r="G416" s="87">
        <v>5000</v>
      </c>
      <c r="H416" s="87">
        <f t="shared" si="6"/>
        <v>0</v>
      </c>
      <c r="I416" s="509"/>
      <c r="J416" s="525"/>
      <c r="K416" s="398"/>
      <c r="L416" s="398"/>
      <c r="M416" s="398"/>
      <c r="N416" s="86"/>
    </row>
    <row r="417" spans="1:14" s="546" customFormat="1" ht="15.75" x14ac:dyDescent="0.25">
      <c r="A417" s="523"/>
      <c r="B417" s="523" t="s">
        <v>842</v>
      </c>
      <c r="C417" s="553">
        <v>4995</v>
      </c>
      <c r="D417" s="476">
        <v>20000</v>
      </c>
      <c r="E417" s="87"/>
      <c r="F417" s="87">
        <v>222.82</v>
      </c>
      <c r="G417" s="87">
        <v>20000</v>
      </c>
      <c r="H417" s="87">
        <f t="shared" si="6"/>
        <v>0</v>
      </c>
      <c r="I417" s="509"/>
      <c r="J417" s="525"/>
      <c r="K417" s="398"/>
      <c r="L417" s="398"/>
      <c r="M417" s="398"/>
      <c r="N417" s="86"/>
    </row>
    <row r="418" spans="1:14" s="546" customFormat="1" ht="15.75" x14ac:dyDescent="0.25">
      <c r="A418" s="523"/>
      <c r="B418" s="523" t="s">
        <v>842</v>
      </c>
      <c r="C418" s="553">
        <v>9585</v>
      </c>
      <c r="D418" s="476">
        <v>20000</v>
      </c>
      <c r="E418" s="87"/>
      <c r="F418" s="87">
        <v>222.82</v>
      </c>
      <c r="G418" s="87">
        <v>20000</v>
      </c>
      <c r="H418" s="87">
        <f t="shared" si="6"/>
        <v>0</v>
      </c>
      <c r="I418" s="509"/>
      <c r="J418" s="525"/>
      <c r="K418" s="398"/>
      <c r="L418" s="398"/>
      <c r="M418" s="398"/>
      <c r="N418" s="86"/>
    </row>
    <row r="419" spans="1:14" s="546" customFormat="1" ht="15.75" x14ac:dyDescent="0.25">
      <c r="A419" s="523"/>
      <c r="B419" s="523" t="s">
        <v>842</v>
      </c>
      <c r="C419" s="553">
        <v>9458</v>
      </c>
      <c r="D419" s="476">
        <v>30000</v>
      </c>
      <c r="E419" s="87"/>
      <c r="F419" s="87">
        <v>334.82</v>
      </c>
      <c r="G419" s="87">
        <v>30000</v>
      </c>
      <c r="H419" s="87">
        <f t="shared" si="6"/>
        <v>0</v>
      </c>
      <c r="I419" s="509"/>
      <c r="J419" s="525"/>
      <c r="K419" s="398"/>
      <c r="L419" s="398"/>
      <c r="M419" s="398"/>
      <c r="N419" s="86"/>
    </row>
    <row r="420" spans="1:14" s="546" customFormat="1" ht="15.75" x14ac:dyDescent="0.25">
      <c r="A420" s="523"/>
      <c r="B420" s="523" t="s">
        <v>842</v>
      </c>
      <c r="C420" s="553" t="s">
        <v>30</v>
      </c>
      <c r="D420" s="476">
        <v>3000</v>
      </c>
      <c r="E420" s="87"/>
      <c r="F420" s="87">
        <v>33.450000000000003</v>
      </c>
      <c r="G420" s="87">
        <v>3000</v>
      </c>
      <c r="H420" s="87">
        <f t="shared" si="6"/>
        <v>0</v>
      </c>
      <c r="I420" s="509"/>
      <c r="J420" s="525"/>
      <c r="K420" s="398"/>
      <c r="L420" s="398"/>
      <c r="M420" s="398"/>
      <c r="N420" s="86"/>
    </row>
    <row r="421" spans="1:14" s="546" customFormat="1" ht="15.75" x14ac:dyDescent="0.25">
      <c r="A421" s="523"/>
      <c r="B421" s="523" t="s">
        <v>842</v>
      </c>
      <c r="C421" s="553" t="s">
        <v>66</v>
      </c>
      <c r="D421" s="476">
        <v>210</v>
      </c>
      <c r="E421" s="87"/>
      <c r="F421" s="87">
        <v>2.09</v>
      </c>
      <c r="G421" s="87">
        <v>210</v>
      </c>
      <c r="H421" s="87">
        <f t="shared" si="6"/>
        <v>0</v>
      </c>
      <c r="I421" s="509"/>
      <c r="J421" s="525"/>
      <c r="K421" s="398"/>
      <c r="L421" s="398"/>
      <c r="M421" s="398"/>
      <c r="N421" s="86"/>
    </row>
    <row r="422" spans="1:14" s="546" customFormat="1" ht="15.75" x14ac:dyDescent="0.25">
      <c r="A422" s="523"/>
      <c r="B422" s="523" t="s">
        <v>842</v>
      </c>
      <c r="C422" s="553">
        <v>7596</v>
      </c>
      <c r="D422" s="476">
        <v>15000</v>
      </c>
      <c r="E422" s="87"/>
      <c r="F422" s="87">
        <v>167.15</v>
      </c>
      <c r="G422" s="87">
        <v>15000</v>
      </c>
      <c r="H422" s="87">
        <f t="shared" si="6"/>
        <v>0</v>
      </c>
      <c r="I422" s="509"/>
      <c r="J422" s="525"/>
      <c r="K422" s="398"/>
      <c r="L422" s="398"/>
      <c r="M422" s="398"/>
      <c r="N422" s="86"/>
    </row>
    <row r="423" spans="1:14" s="546" customFormat="1" ht="15.75" x14ac:dyDescent="0.25">
      <c r="A423" s="523"/>
      <c r="B423" s="523" t="s">
        <v>842</v>
      </c>
      <c r="C423" s="553">
        <v>2320</v>
      </c>
      <c r="D423" s="476">
        <v>26000</v>
      </c>
      <c r="E423" s="87"/>
      <c r="F423" s="87">
        <v>289.74</v>
      </c>
      <c r="G423" s="87">
        <v>26000</v>
      </c>
      <c r="H423" s="87">
        <f t="shared" si="6"/>
        <v>0</v>
      </c>
      <c r="I423" s="509"/>
      <c r="J423" s="525"/>
      <c r="K423" s="398"/>
      <c r="L423" s="398"/>
      <c r="M423" s="398"/>
      <c r="N423" s="86"/>
    </row>
    <row r="424" spans="1:14" s="546" customFormat="1" ht="15.75" x14ac:dyDescent="0.25">
      <c r="A424" s="523"/>
      <c r="B424" s="523" t="s">
        <v>842</v>
      </c>
      <c r="C424" s="553">
        <v>3022</v>
      </c>
      <c r="D424" s="476">
        <v>17000</v>
      </c>
      <c r="E424" s="87"/>
      <c r="F424" s="87">
        <v>189.52</v>
      </c>
      <c r="G424" s="87">
        <v>17000</v>
      </c>
      <c r="H424" s="87">
        <f t="shared" si="6"/>
        <v>0</v>
      </c>
      <c r="I424" s="509"/>
      <c r="J424" s="525"/>
      <c r="K424" s="398"/>
      <c r="L424" s="398"/>
      <c r="M424" s="398"/>
      <c r="N424" s="86"/>
    </row>
    <row r="425" spans="1:14" s="546" customFormat="1" ht="15.75" x14ac:dyDescent="0.25">
      <c r="A425" s="523"/>
      <c r="B425" s="523" t="s">
        <v>842</v>
      </c>
      <c r="C425" s="553">
        <v>6080</v>
      </c>
      <c r="D425" s="476">
        <v>14000</v>
      </c>
      <c r="E425" s="87"/>
      <c r="F425" s="87">
        <v>155.41999999999999</v>
      </c>
      <c r="G425" s="87">
        <v>14000</v>
      </c>
      <c r="H425" s="87">
        <f t="shared" si="6"/>
        <v>0</v>
      </c>
      <c r="I425" s="509"/>
      <c r="J425" s="525"/>
      <c r="K425" s="398"/>
      <c r="L425" s="398"/>
      <c r="M425" s="398"/>
      <c r="N425" s="86"/>
    </row>
    <row r="426" spans="1:14" s="546" customFormat="1" ht="15.75" x14ac:dyDescent="0.25">
      <c r="A426" s="523"/>
      <c r="B426" s="523" t="s">
        <v>842</v>
      </c>
      <c r="C426" s="553">
        <v>1960</v>
      </c>
      <c r="D426" s="476">
        <v>26000</v>
      </c>
      <c r="E426" s="87"/>
      <c r="F426" s="87">
        <v>246.57</v>
      </c>
      <c r="G426" s="87">
        <v>26000</v>
      </c>
      <c r="H426" s="87">
        <f t="shared" si="6"/>
        <v>0</v>
      </c>
      <c r="I426" s="509"/>
      <c r="J426" s="525"/>
      <c r="K426" s="398"/>
      <c r="L426" s="398"/>
      <c r="M426" s="398"/>
      <c r="N426" s="86"/>
    </row>
    <row r="427" spans="1:14" s="546" customFormat="1" ht="15.75" x14ac:dyDescent="0.25">
      <c r="A427" s="523"/>
      <c r="B427" s="523" t="s">
        <v>842</v>
      </c>
      <c r="C427" s="553">
        <v>7121</v>
      </c>
      <c r="D427" s="476">
        <v>28000</v>
      </c>
      <c r="E427" s="87"/>
      <c r="F427" s="87">
        <v>311.47000000000003</v>
      </c>
      <c r="G427" s="87">
        <v>28000</v>
      </c>
      <c r="H427" s="87">
        <f t="shared" si="6"/>
        <v>0</v>
      </c>
      <c r="I427" s="509"/>
      <c r="J427" s="525"/>
      <c r="K427" s="398"/>
      <c r="L427" s="398"/>
      <c r="M427" s="398"/>
      <c r="N427" s="86"/>
    </row>
    <row r="428" spans="1:14" s="546" customFormat="1" ht="15.75" x14ac:dyDescent="0.25">
      <c r="A428" s="523"/>
      <c r="B428" s="523" t="s">
        <v>842</v>
      </c>
      <c r="C428" s="553">
        <v>1139</v>
      </c>
      <c r="D428" s="476">
        <v>30000</v>
      </c>
      <c r="E428" s="87"/>
      <c r="F428" s="87">
        <v>334.82</v>
      </c>
      <c r="G428" s="87">
        <v>30000</v>
      </c>
      <c r="H428" s="87">
        <f t="shared" si="6"/>
        <v>0</v>
      </c>
      <c r="I428" s="509"/>
      <c r="J428" s="525"/>
      <c r="K428" s="398"/>
      <c r="L428" s="398"/>
      <c r="M428" s="398"/>
      <c r="N428" s="86"/>
    </row>
    <row r="429" spans="1:14" s="546" customFormat="1" ht="15.75" x14ac:dyDescent="0.25">
      <c r="A429" s="523"/>
      <c r="B429" s="523" t="s">
        <v>842</v>
      </c>
      <c r="C429" s="553">
        <v>1975</v>
      </c>
      <c r="D429" s="476">
        <v>25000</v>
      </c>
      <c r="E429" s="87"/>
      <c r="F429" s="87">
        <v>278.22000000000003</v>
      </c>
      <c r="G429" s="87">
        <v>25000</v>
      </c>
      <c r="H429" s="87">
        <f t="shared" si="6"/>
        <v>0</v>
      </c>
      <c r="I429" s="509"/>
      <c r="J429" s="525"/>
      <c r="K429" s="398"/>
      <c r="L429" s="398"/>
      <c r="M429" s="398"/>
      <c r="N429" s="86"/>
    </row>
    <row r="430" spans="1:14" s="546" customFormat="1" ht="15.75" x14ac:dyDescent="0.25">
      <c r="A430" s="523"/>
      <c r="B430" s="523" t="s">
        <v>842</v>
      </c>
      <c r="C430" s="553">
        <v>2819</v>
      </c>
      <c r="D430" s="476">
        <v>32000</v>
      </c>
      <c r="E430" s="87"/>
      <c r="F430" s="87">
        <v>335.86</v>
      </c>
      <c r="G430" s="87">
        <v>32000</v>
      </c>
      <c r="H430" s="87">
        <f t="shared" si="6"/>
        <v>0</v>
      </c>
      <c r="I430" s="509"/>
      <c r="J430" s="525"/>
      <c r="K430" s="398"/>
      <c r="L430" s="398"/>
      <c r="M430" s="398"/>
      <c r="N430" s="86"/>
    </row>
    <row r="431" spans="1:14" s="546" customFormat="1" ht="15.75" x14ac:dyDescent="0.25">
      <c r="A431" s="523"/>
      <c r="B431" s="523" t="s">
        <v>842</v>
      </c>
      <c r="C431" s="553">
        <v>7962</v>
      </c>
      <c r="D431" s="476">
        <v>5700</v>
      </c>
      <c r="E431" s="87"/>
      <c r="F431" s="87">
        <v>63.74</v>
      </c>
      <c r="G431" s="87">
        <v>5700</v>
      </c>
      <c r="H431" s="87">
        <f t="shared" si="6"/>
        <v>0</v>
      </c>
      <c r="I431" s="509"/>
      <c r="J431" s="525"/>
      <c r="K431" s="398"/>
      <c r="L431" s="398"/>
      <c r="M431" s="398"/>
      <c r="N431" s="86"/>
    </row>
    <row r="432" spans="1:14" s="546" customFormat="1" ht="15.75" x14ac:dyDescent="0.25">
      <c r="A432" s="523"/>
      <c r="B432" s="523" t="s">
        <v>842</v>
      </c>
      <c r="C432" s="553">
        <v>5607</v>
      </c>
      <c r="D432" s="476">
        <v>10000</v>
      </c>
      <c r="E432" s="87"/>
      <c r="F432" s="87">
        <v>111.41</v>
      </c>
      <c r="G432" s="87">
        <v>10000</v>
      </c>
      <c r="H432" s="87">
        <f t="shared" si="6"/>
        <v>0</v>
      </c>
      <c r="I432" s="509"/>
      <c r="J432" s="525"/>
      <c r="K432" s="398"/>
      <c r="L432" s="398"/>
      <c r="M432" s="398"/>
      <c r="N432" s="86"/>
    </row>
    <row r="433" spans="1:14" s="546" customFormat="1" ht="15.75" x14ac:dyDescent="0.25">
      <c r="A433" s="523"/>
      <c r="B433" s="523" t="s">
        <v>843</v>
      </c>
      <c r="C433" s="553" t="s">
        <v>819</v>
      </c>
      <c r="D433" s="476">
        <v>3000</v>
      </c>
      <c r="E433" s="87"/>
      <c r="F433" s="87">
        <v>33.42</v>
      </c>
      <c r="G433" s="87">
        <v>3000</v>
      </c>
      <c r="H433" s="87">
        <f t="shared" si="6"/>
        <v>0</v>
      </c>
      <c r="I433" s="509"/>
      <c r="J433" s="525"/>
      <c r="K433" s="398"/>
      <c r="L433" s="398"/>
      <c r="M433" s="398"/>
      <c r="N433" s="86"/>
    </row>
    <row r="434" spans="1:14" s="546" customFormat="1" ht="15.75" x14ac:dyDescent="0.25">
      <c r="A434" s="523"/>
      <c r="B434" s="523" t="s">
        <v>843</v>
      </c>
      <c r="C434" s="553" t="s">
        <v>30</v>
      </c>
      <c r="D434" s="476">
        <v>4500</v>
      </c>
      <c r="E434" s="87"/>
      <c r="F434" s="87">
        <v>50.47</v>
      </c>
      <c r="G434" s="87">
        <v>4500</v>
      </c>
      <c r="H434" s="87">
        <f t="shared" si="6"/>
        <v>0</v>
      </c>
      <c r="I434" s="509"/>
      <c r="J434" s="525"/>
      <c r="K434" s="398"/>
      <c r="L434" s="398"/>
      <c r="M434" s="398"/>
      <c r="N434" s="86"/>
    </row>
    <row r="435" spans="1:14" s="546" customFormat="1" ht="15.75" x14ac:dyDescent="0.25">
      <c r="A435" s="523"/>
      <c r="B435" s="523" t="s">
        <v>843</v>
      </c>
      <c r="C435" s="553">
        <v>7223</v>
      </c>
      <c r="D435" s="476">
        <v>20000</v>
      </c>
      <c r="E435" s="87"/>
      <c r="F435" s="87">
        <v>222.82</v>
      </c>
      <c r="G435" s="87">
        <v>20000</v>
      </c>
      <c r="H435" s="87">
        <f t="shared" si="6"/>
        <v>0</v>
      </c>
      <c r="I435" s="509"/>
      <c r="J435" s="525"/>
      <c r="K435" s="398"/>
      <c r="L435" s="398"/>
      <c r="M435" s="398"/>
      <c r="N435" s="86"/>
    </row>
    <row r="436" spans="1:14" s="546" customFormat="1" ht="15.75" x14ac:dyDescent="0.25">
      <c r="A436" s="523"/>
      <c r="B436" s="523" t="s">
        <v>843</v>
      </c>
      <c r="C436" s="553">
        <v>1114</v>
      </c>
      <c r="D436" s="476">
        <v>25000</v>
      </c>
      <c r="E436" s="87"/>
      <c r="F436" s="87">
        <v>278.22000000000003</v>
      </c>
      <c r="G436" s="87">
        <v>25000</v>
      </c>
      <c r="H436" s="87">
        <f t="shared" si="6"/>
        <v>0</v>
      </c>
      <c r="I436" s="509"/>
      <c r="J436" s="525"/>
      <c r="K436" s="398"/>
      <c r="L436" s="398"/>
      <c r="M436" s="398"/>
      <c r="N436" s="86"/>
    </row>
    <row r="437" spans="1:14" s="546" customFormat="1" ht="15.75" x14ac:dyDescent="0.25">
      <c r="A437" s="523"/>
      <c r="B437" s="523" t="s">
        <v>843</v>
      </c>
      <c r="C437" s="553" t="s">
        <v>30</v>
      </c>
      <c r="D437" s="476">
        <v>5000</v>
      </c>
      <c r="E437" s="87"/>
      <c r="F437" s="87">
        <v>55.45</v>
      </c>
      <c r="G437" s="87">
        <v>5000</v>
      </c>
      <c r="H437" s="87">
        <f t="shared" si="6"/>
        <v>0</v>
      </c>
      <c r="I437" s="509"/>
      <c r="J437" s="525"/>
      <c r="K437" s="398"/>
      <c r="L437" s="398"/>
      <c r="M437" s="398"/>
      <c r="N437" s="86"/>
    </row>
    <row r="438" spans="1:14" s="546" customFormat="1" ht="15.75" x14ac:dyDescent="0.25">
      <c r="A438" s="523"/>
      <c r="B438" s="523" t="s">
        <v>843</v>
      </c>
      <c r="C438" s="553">
        <v>8547</v>
      </c>
      <c r="D438" s="476">
        <v>40000</v>
      </c>
      <c r="E438" s="87"/>
      <c r="F438" s="87">
        <v>445.68</v>
      </c>
      <c r="G438" s="87">
        <v>40000</v>
      </c>
      <c r="H438" s="87">
        <f t="shared" si="6"/>
        <v>0</v>
      </c>
      <c r="I438" s="509"/>
      <c r="J438" s="525"/>
      <c r="K438" s="398"/>
      <c r="L438" s="398"/>
      <c r="M438" s="398"/>
      <c r="N438" s="86"/>
    </row>
    <row r="439" spans="1:14" s="546" customFormat="1" ht="15.75" x14ac:dyDescent="0.25">
      <c r="A439" s="523"/>
      <c r="B439" s="523" t="s">
        <v>843</v>
      </c>
      <c r="C439" s="553">
        <v>8567</v>
      </c>
      <c r="D439" s="476">
        <v>20000</v>
      </c>
      <c r="E439" s="87"/>
      <c r="F439" s="87">
        <v>222.82</v>
      </c>
      <c r="G439" s="87">
        <v>20000</v>
      </c>
      <c r="H439" s="87">
        <f t="shared" si="6"/>
        <v>0</v>
      </c>
      <c r="I439" s="509"/>
      <c r="J439" s="525"/>
      <c r="K439" s="398"/>
      <c r="L439" s="398"/>
      <c r="M439" s="398"/>
      <c r="N439" s="86"/>
    </row>
    <row r="440" spans="1:14" s="546" customFormat="1" ht="15.75" x14ac:dyDescent="0.25">
      <c r="A440" s="523"/>
      <c r="B440" s="523" t="s">
        <v>843</v>
      </c>
      <c r="C440" s="553">
        <v>2482</v>
      </c>
      <c r="D440" s="476">
        <v>24000</v>
      </c>
      <c r="E440" s="87"/>
      <c r="F440" s="87">
        <v>268.74</v>
      </c>
      <c r="G440" s="87">
        <v>24000</v>
      </c>
      <c r="H440" s="87">
        <f t="shared" si="6"/>
        <v>0</v>
      </c>
      <c r="I440" s="509"/>
      <c r="J440" s="525"/>
      <c r="K440" s="398"/>
      <c r="L440" s="398"/>
      <c r="M440" s="398"/>
      <c r="N440" s="86"/>
    </row>
    <row r="441" spans="1:14" s="546" customFormat="1" ht="15.75" x14ac:dyDescent="0.25">
      <c r="A441" s="523"/>
      <c r="B441" s="523" t="s">
        <v>843</v>
      </c>
      <c r="C441" s="553">
        <v>5943</v>
      </c>
      <c r="D441" s="476">
        <v>25000</v>
      </c>
      <c r="E441" s="87"/>
      <c r="F441" s="87">
        <v>278.22000000000003</v>
      </c>
      <c r="G441" s="87">
        <v>25000</v>
      </c>
      <c r="H441" s="87">
        <f t="shared" si="6"/>
        <v>0</v>
      </c>
      <c r="I441" s="509"/>
      <c r="J441" s="525"/>
      <c r="K441" s="398"/>
      <c r="L441" s="398"/>
      <c r="M441" s="398"/>
      <c r="N441" s="86"/>
    </row>
    <row r="442" spans="1:14" s="546" customFormat="1" ht="15.75" x14ac:dyDescent="0.25">
      <c r="A442" s="523"/>
      <c r="B442" s="523" t="s">
        <v>843</v>
      </c>
      <c r="C442" s="553">
        <v>9993</v>
      </c>
      <c r="D442" s="476">
        <v>12000</v>
      </c>
      <c r="E442" s="87"/>
      <c r="F442" s="87">
        <v>112.47</v>
      </c>
      <c r="G442" s="87">
        <v>12000</v>
      </c>
      <c r="H442" s="87">
        <f t="shared" si="6"/>
        <v>0</v>
      </c>
      <c r="I442" s="509"/>
      <c r="J442" s="525"/>
      <c r="K442" s="398"/>
      <c r="L442" s="398"/>
      <c r="M442" s="398"/>
      <c r="N442" s="86"/>
    </row>
    <row r="443" spans="1:14" s="546" customFormat="1" ht="15.75" x14ac:dyDescent="0.25">
      <c r="A443" s="523"/>
      <c r="B443" s="523" t="s">
        <v>843</v>
      </c>
      <c r="C443" s="553">
        <v>8818</v>
      </c>
      <c r="D443" s="476">
        <v>3000</v>
      </c>
      <c r="E443" s="87"/>
      <c r="F443" s="87">
        <v>31.52</v>
      </c>
      <c r="G443" s="87">
        <v>3000</v>
      </c>
      <c r="H443" s="87">
        <f t="shared" si="6"/>
        <v>0</v>
      </c>
      <c r="I443" s="509"/>
      <c r="J443" s="525"/>
      <c r="K443" s="398"/>
      <c r="L443" s="398"/>
      <c r="M443" s="398"/>
      <c r="N443" s="86"/>
    </row>
    <row r="444" spans="1:14" s="546" customFormat="1" ht="15.75" x14ac:dyDescent="0.25">
      <c r="A444" s="523"/>
      <c r="B444" s="523" t="s">
        <v>843</v>
      </c>
      <c r="C444" s="553">
        <v>2618</v>
      </c>
      <c r="D444" s="476">
        <v>21000</v>
      </c>
      <c r="E444" s="87"/>
      <c r="F444" s="87">
        <v>223.47</v>
      </c>
      <c r="G444" s="87">
        <v>21000</v>
      </c>
      <c r="H444" s="87">
        <f t="shared" si="6"/>
        <v>0</v>
      </c>
      <c r="I444" s="509"/>
      <c r="J444" s="525"/>
      <c r="K444" s="398"/>
      <c r="L444" s="398"/>
      <c r="M444" s="398"/>
      <c r="N444" s="86"/>
    </row>
    <row r="445" spans="1:14" s="552" customFormat="1" ht="15.75" x14ac:dyDescent="0.25">
      <c r="A445" s="523"/>
      <c r="B445" s="523" t="s">
        <v>844</v>
      </c>
      <c r="C445" s="553" t="s">
        <v>66</v>
      </c>
      <c r="D445" s="476">
        <v>210</v>
      </c>
      <c r="E445" s="87"/>
      <c r="F445" s="87" t="s">
        <v>587</v>
      </c>
      <c r="G445" s="87">
        <v>210</v>
      </c>
      <c r="H445" s="87">
        <f t="shared" si="6"/>
        <v>0</v>
      </c>
      <c r="I445" s="509"/>
      <c r="J445" s="525"/>
      <c r="K445" s="398"/>
      <c r="L445" s="398"/>
      <c r="M445" s="398"/>
      <c r="N445" s="86"/>
    </row>
    <row r="446" spans="1:14" s="552" customFormat="1" ht="15.75" x14ac:dyDescent="0.25">
      <c r="A446" s="523"/>
      <c r="B446" s="523" t="s">
        <v>844</v>
      </c>
      <c r="C446" s="553">
        <v>8426</v>
      </c>
      <c r="D446" s="476">
        <v>29000</v>
      </c>
      <c r="E446" s="87"/>
      <c r="F446" s="87">
        <v>323</v>
      </c>
      <c r="G446" s="87">
        <v>29000</v>
      </c>
      <c r="H446" s="87">
        <f t="shared" si="6"/>
        <v>0</v>
      </c>
      <c r="I446" s="509"/>
      <c r="J446" s="525"/>
      <c r="K446" s="398"/>
      <c r="L446" s="398"/>
      <c r="M446" s="398"/>
      <c r="N446" s="86"/>
    </row>
    <row r="447" spans="1:14" s="552" customFormat="1" ht="15.75" x14ac:dyDescent="0.25">
      <c r="A447" s="523"/>
      <c r="B447" s="523" t="s">
        <v>844</v>
      </c>
      <c r="C447" s="553">
        <v>2416</v>
      </c>
      <c r="D447" s="476">
        <v>15000</v>
      </c>
      <c r="E447" s="87"/>
      <c r="F447" s="87">
        <v>167</v>
      </c>
      <c r="G447" s="87">
        <v>15000</v>
      </c>
      <c r="H447" s="87">
        <f t="shared" si="6"/>
        <v>0</v>
      </c>
      <c r="I447" s="509"/>
      <c r="J447" s="525"/>
      <c r="K447" s="398"/>
      <c r="L447" s="398"/>
      <c r="M447" s="398"/>
      <c r="N447" s="86"/>
    </row>
    <row r="448" spans="1:14" s="552" customFormat="1" ht="15.75" x14ac:dyDescent="0.25">
      <c r="A448" s="523"/>
      <c r="B448" s="523" t="s">
        <v>844</v>
      </c>
      <c r="C448" s="553">
        <v>7851</v>
      </c>
      <c r="D448" s="476">
        <v>15000</v>
      </c>
      <c r="E448" s="87"/>
      <c r="F448" s="556">
        <v>167</v>
      </c>
      <c r="G448" s="87">
        <v>15000</v>
      </c>
      <c r="H448" s="87">
        <f t="shared" si="6"/>
        <v>0</v>
      </c>
      <c r="I448" s="509"/>
      <c r="J448" s="525"/>
      <c r="K448" s="398"/>
      <c r="L448" s="398"/>
      <c r="M448" s="398"/>
      <c r="N448" s="86"/>
    </row>
    <row r="449" spans="1:14" s="552" customFormat="1" ht="15.75" x14ac:dyDescent="0.25">
      <c r="A449" s="523"/>
      <c r="B449" s="523" t="s">
        <v>844</v>
      </c>
      <c r="C449" s="555" t="s">
        <v>861</v>
      </c>
      <c r="D449" s="476">
        <v>15000</v>
      </c>
      <c r="E449" s="87"/>
      <c r="F449" s="87">
        <v>159</v>
      </c>
      <c r="G449" s="87">
        <v>15000</v>
      </c>
      <c r="H449" s="87">
        <f t="shared" si="6"/>
        <v>0</v>
      </c>
      <c r="I449" s="509"/>
      <c r="J449" s="525"/>
      <c r="K449" s="398"/>
      <c r="L449" s="398"/>
      <c r="M449" s="398"/>
      <c r="N449" s="86"/>
    </row>
    <row r="450" spans="1:14" s="552" customFormat="1" ht="15.75" x14ac:dyDescent="0.25">
      <c r="A450" s="523"/>
      <c r="B450" s="523" t="s">
        <v>844</v>
      </c>
      <c r="C450" s="553">
        <v>1905</v>
      </c>
      <c r="D450" s="476">
        <v>15000</v>
      </c>
      <c r="E450" s="87"/>
      <c r="F450" s="556">
        <v>159</v>
      </c>
      <c r="G450" s="87">
        <v>15000</v>
      </c>
      <c r="H450" s="87">
        <f t="shared" si="6"/>
        <v>0</v>
      </c>
      <c r="I450" s="509"/>
      <c r="J450" s="525"/>
      <c r="K450" s="398"/>
      <c r="L450" s="398"/>
      <c r="M450" s="398"/>
      <c r="N450" s="86"/>
    </row>
    <row r="451" spans="1:14" s="552" customFormat="1" ht="15.75" x14ac:dyDescent="0.25">
      <c r="A451" s="523"/>
      <c r="B451" s="523" t="s">
        <v>844</v>
      </c>
      <c r="C451" s="553">
        <v>7217</v>
      </c>
      <c r="D451" s="476">
        <v>30000</v>
      </c>
      <c r="E451" s="87"/>
      <c r="F451" s="87">
        <v>323</v>
      </c>
      <c r="G451" s="87">
        <v>30000</v>
      </c>
      <c r="H451" s="87">
        <f t="shared" si="6"/>
        <v>0</v>
      </c>
      <c r="I451" s="509"/>
      <c r="J451" s="525"/>
      <c r="K451" s="398"/>
      <c r="L451" s="398"/>
      <c r="M451" s="398"/>
      <c r="N451" s="86"/>
    </row>
    <row r="452" spans="1:14" s="552" customFormat="1" ht="15.75" x14ac:dyDescent="0.25">
      <c r="A452" s="523"/>
      <c r="B452" s="523" t="s">
        <v>844</v>
      </c>
      <c r="C452" s="553">
        <v>2004</v>
      </c>
      <c r="D452" s="476">
        <v>23000</v>
      </c>
      <c r="E452" s="87"/>
      <c r="F452" s="87">
        <v>236</v>
      </c>
      <c r="G452" s="87">
        <v>23000</v>
      </c>
      <c r="H452" s="87">
        <f t="shared" si="6"/>
        <v>0</v>
      </c>
      <c r="I452" s="509"/>
      <c r="J452" s="525"/>
      <c r="K452" s="398"/>
      <c r="L452" s="398"/>
      <c r="M452" s="398"/>
      <c r="N452" s="86"/>
    </row>
    <row r="453" spans="1:14" s="552" customFormat="1" ht="15.75" x14ac:dyDescent="0.25">
      <c r="A453" s="523"/>
      <c r="B453" s="523" t="s">
        <v>844</v>
      </c>
      <c r="C453" s="553">
        <v>5271</v>
      </c>
      <c r="D453" s="476">
        <v>23000</v>
      </c>
      <c r="E453" s="87"/>
      <c r="F453" s="87">
        <v>256</v>
      </c>
      <c r="G453" s="87">
        <v>23000</v>
      </c>
      <c r="H453" s="87">
        <f t="shared" si="6"/>
        <v>0</v>
      </c>
      <c r="I453" s="509"/>
      <c r="J453" s="525"/>
      <c r="K453" s="398"/>
      <c r="L453" s="398"/>
      <c r="M453" s="398"/>
      <c r="N453" s="86"/>
    </row>
    <row r="454" spans="1:14" s="552" customFormat="1" ht="15.75" x14ac:dyDescent="0.25">
      <c r="A454" s="523"/>
      <c r="B454" s="523" t="s">
        <v>844</v>
      </c>
      <c r="C454" s="553">
        <v>4316</v>
      </c>
      <c r="D454" s="476">
        <v>24000</v>
      </c>
      <c r="E454" s="87"/>
      <c r="F454" s="87">
        <v>267</v>
      </c>
      <c r="G454" s="87">
        <v>24000</v>
      </c>
      <c r="H454" s="87">
        <f t="shared" si="6"/>
        <v>0</v>
      </c>
      <c r="I454" s="509"/>
      <c r="J454" s="525"/>
      <c r="K454" s="398"/>
      <c r="L454" s="398"/>
      <c r="M454" s="398"/>
      <c r="N454" s="86"/>
    </row>
    <row r="455" spans="1:14" s="552" customFormat="1" ht="15.75" x14ac:dyDescent="0.25">
      <c r="A455" s="523"/>
      <c r="B455" s="523" t="s">
        <v>844</v>
      </c>
      <c r="C455" s="553">
        <v>3527</v>
      </c>
      <c r="D455" s="476">
        <v>13000</v>
      </c>
      <c r="E455" s="87"/>
      <c r="F455" s="87">
        <v>144</v>
      </c>
      <c r="G455" s="87">
        <v>13000</v>
      </c>
      <c r="H455" s="87">
        <f t="shared" si="6"/>
        <v>0</v>
      </c>
      <c r="I455" s="509"/>
      <c r="J455" s="525"/>
      <c r="K455" s="398"/>
      <c r="L455" s="398"/>
      <c r="M455" s="398"/>
      <c r="N455" s="86"/>
    </row>
    <row r="456" spans="1:14" s="552" customFormat="1" ht="15.75" x14ac:dyDescent="0.25">
      <c r="A456" s="523"/>
      <c r="B456" s="523" t="s">
        <v>844</v>
      </c>
      <c r="C456" s="553">
        <v>9543</v>
      </c>
      <c r="D456" s="476">
        <v>28229</v>
      </c>
      <c r="E456" s="87"/>
      <c r="F456" s="87">
        <v>314</v>
      </c>
      <c r="G456" s="87">
        <v>28229</v>
      </c>
      <c r="H456" s="87">
        <f t="shared" si="6"/>
        <v>0</v>
      </c>
      <c r="I456" s="509"/>
      <c r="J456" s="525"/>
      <c r="K456" s="398"/>
      <c r="L456" s="398"/>
      <c r="M456" s="398"/>
      <c r="N456" s="86"/>
    </row>
    <row r="457" spans="1:14" s="552" customFormat="1" ht="15.75" x14ac:dyDescent="0.25">
      <c r="A457" s="523"/>
      <c r="B457" s="523" t="s">
        <v>844</v>
      </c>
      <c r="C457" s="553">
        <v>8675</v>
      </c>
      <c r="D457" s="476">
        <v>20000</v>
      </c>
      <c r="E457" s="87"/>
      <c r="F457" s="87">
        <v>222</v>
      </c>
      <c r="G457" s="87">
        <v>20000</v>
      </c>
      <c r="H457" s="87">
        <f t="shared" si="6"/>
        <v>0</v>
      </c>
      <c r="I457" s="509"/>
      <c r="J457" s="525"/>
      <c r="K457" s="398"/>
      <c r="L457" s="398"/>
      <c r="M457" s="398"/>
      <c r="N457" s="86"/>
    </row>
    <row r="458" spans="1:14" s="552" customFormat="1" ht="15.75" x14ac:dyDescent="0.25">
      <c r="A458" s="523"/>
      <c r="B458" s="523" t="s">
        <v>844</v>
      </c>
      <c r="C458" s="553">
        <v>7709</v>
      </c>
      <c r="D458" s="476">
        <v>18000</v>
      </c>
      <c r="E458" s="87"/>
      <c r="F458" s="87">
        <v>200</v>
      </c>
      <c r="G458" s="87">
        <v>18000</v>
      </c>
      <c r="H458" s="87">
        <f t="shared" si="6"/>
        <v>0</v>
      </c>
      <c r="I458" s="509"/>
      <c r="J458" s="525"/>
      <c r="K458" s="398"/>
      <c r="L458" s="398"/>
      <c r="M458" s="398"/>
      <c r="N458" s="86"/>
    </row>
    <row r="459" spans="1:14" s="552" customFormat="1" ht="15.75" x14ac:dyDescent="0.25">
      <c r="A459" s="523"/>
      <c r="B459" s="523" t="s">
        <v>844</v>
      </c>
      <c r="C459" s="553" t="s">
        <v>30</v>
      </c>
      <c r="D459" s="476">
        <v>4500</v>
      </c>
      <c r="E459" s="87"/>
      <c r="F459" s="87">
        <v>50</v>
      </c>
      <c r="G459" s="87">
        <v>4500</v>
      </c>
      <c r="H459" s="87">
        <f t="shared" si="6"/>
        <v>0</v>
      </c>
      <c r="I459" s="509"/>
      <c r="J459" s="525"/>
      <c r="K459" s="398"/>
      <c r="L459" s="398"/>
      <c r="M459" s="398"/>
      <c r="N459" s="86"/>
    </row>
    <row r="460" spans="1:14" s="552" customFormat="1" ht="15.75" x14ac:dyDescent="0.25">
      <c r="A460" s="523"/>
      <c r="B460" s="523" t="s">
        <v>844</v>
      </c>
      <c r="C460" s="553">
        <v>3761</v>
      </c>
      <c r="D460" s="476">
        <v>23000</v>
      </c>
      <c r="E460" s="87"/>
      <c r="F460" s="87">
        <v>233</v>
      </c>
      <c r="G460" s="87">
        <v>23000</v>
      </c>
      <c r="H460" s="87">
        <f t="shared" si="6"/>
        <v>0</v>
      </c>
      <c r="I460" s="509"/>
      <c r="J460" s="525"/>
      <c r="K460" s="398"/>
      <c r="L460" s="398"/>
      <c r="M460" s="398"/>
      <c r="N460" s="86"/>
    </row>
    <row r="461" spans="1:14" s="552" customFormat="1" ht="15.75" x14ac:dyDescent="0.25">
      <c r="A461" s="523"/>
      <c r="B461" s="523" t="s">
        <v>844</v>
      </c>
      <c r="C461" s="553">
        <v>7872</v>
      </c>
      <c r="D461" s="476">
        <v>26000</v>
      </c>
      <c r="E461" s="87"/>
      <c r="F461" s="87">
        <v>289</v>
      </c>
      <c r="G461" s="87">
        <v>26000</v>
      </c>
      <c r="H461" s="87">
        <f t="shared" si="6"/>
        <v>0</v>
      </c>
      <c r="I461" s="509"/>
      <c r="J461" s="525"/>
      <c r="K461" s="398"/>
      <c r="L461" s="398"/>
      <c r="M461" s="398"/>
      <c r="N461" s="86"/>
    </row>
    <row r="462" spans="1:14" s="552" customFormat="1" ht="15.75" x14ac:dyDescent="0.25">
      <c r="A462" s="523"/>
      <c r="B462" s="523" t="s">
        <v>844</v>
      </c>
      <c r="C462" s="553">
        <v>4289</v>
      </c>
      <c r="D462" s="476">
        <v>10000</v>
      </c>
      <c r="E462" s="87"/>
      <c r="F462" s="87">
        <v>111</v>
      </c>
      <c r="G462" s="87">
        <v>10000</v>
      </c>
      <c r="H462" s="87">
        <f t="shared" si="6"/>
        <v>0</v>
      </c>
      <c r="I462" s="509"/>
      <c r="J462" s="525"/>
      <c r="K462" s="398"/>
      <c r="L462" s="398"/>
      <c r="M462" s="398"/>
      <c r="N462" s="86"/>
    </row>
    <row r="463" spans="1:14" s="552" customFormat="1" ht="15.75" x14ac:dyDescent="0.25">
      <c r="A463" s="523"/>
      <c r="B463" s="523" t="s">
        <v>844</v>
      </c>
      <c r="C463" s="553">
        <v>2588</v>
      </c>
      <c r="D463" s="476">
        <v>10000</v>
      </c>
      <c r="E463" s="87"/>
      <c r="F463" s="87">
        <v>111</v>
      </c>
      <c r="G463" s="87">
        <v>10000</v>
      </c>
      <c r="H463" s="87">
        <f t="shared" si="6"/>
        <v>0</v>
      </c>
      <c r="I463" s="509"/>
      <c r="J463" s="525"/>
      <c r="K463" s="398"/>
      <c r="L463" s="398"/>
      <c r="M463" s="398"/>
      <c r="N463" s="86"/>
    </row>
    <row r="464" spans="1:14" s="552" customFormat="1" ht="15.75" x14ac:dyDescent="0.25">
      <c r="A464" s="523"/>
      <c r="B464" s="523" t="s">
        <v>844</v>
      </c>
      <c r="C464" s="553">
        <v>4868</v>
      </c>
      <c r="D464" s="476">
        <v>32000</v>
      </c>
      <c r="E464" s="87"/>
      <c r="F464" s="87">
        <v>356</v>
      </c>
      <c r="G464" s="87">
        <v>32000</v>
      </c>
      <c r="H464" s="87">
        <f t="shared" si="6"/>
        <v>0</v>
      </c>
      <c r="I464" s="509"/>
      <c r="J464" s="525"/>
      <c r="K464" s="398"/>
      <c r="L464" s="398"/>
      <c r="M464" s="398"/>
      <c r="N464" s="86"/>
    </row>
    <row r="465" spans="1:14" s="552" customFormat="1" ht="15.75" x14ac:dyDescent="0.25">
      <c r="A465" s="523"/>
      <c r="B465" s="523" t="s">
        <v>844</v>
      </c>
      <c r="C465" s="553">
        <v>9909</v>
      </c>
      <c r="D465" s="476">
        <v>31000</v>
      </c>
      <c r="E465" s="87"/>
      <c r="F465" s="87">
        <v>345</v>
      </c>
      <c r="G465" s="87">
        <v>31000</v>
      </c>
      <c r="H465" s="87">
        <f t="shared" si="6"/>
        <v>0</v>
      </c>
      <c r="I465" s="509"/>
      <c r="J465" s="525"/>
      <c r="K465" s="398"/>
      <c r="L465" s="398"/>
      <c r="M465" s="398"/>
      <c r="N465" s="86"/>
    </row>
    <row r="466" spans="1:14" s="552" customFormat="1" ht="15.75" x14ac:dyDescent="0.25">
      <c r="A466" s="523"/>
      <c r="B466" s="523" t="s">
        <v>844</v>
      </c>
      <c r="C466" s="553">
        <v>1706</v>
      </c>
      <c r="D466" s="476">
        <v>20000</v>
      </c>
      <c r="E466" s="87"/>
      <c r="F466" s="87">
        <v>211</v>
      </c>
      <c r="G466" s="87">
        <v>20000</v>
      </c>
      <c r="H466" s="87">
        <f t="shared" si="6"/>
        <v>0</v>
      </c>
      <c r="I466" s="509"/>
      <c r="J466" s="525"/>
      <c r="K466" s="398"/>
      <c r="L466" s="398"/>
      <c r="M466" s="398"/>
      <c r="N466" s="86"/>
    </row>
    <row r="467" spans="1:14" s="552" customFormat="1" ht="15.75" x14ac:dyDescent="0.25">
      <c r="A467" s="523"/>
      <c r="B467" s="523" t="s">
        <v>844</v>
      </c>
      <c r="C467" s="553">
        <v>6777</v>
      </c>
      <c r="D467" s="476">
        <v>26000</v>
      </c>
      <c r="E467" s="87"/>
      <c r="F467" s="87">
        <v>278</v>
      </c>
      <c r="G467" s="87">
        <v>26000</v>
      </c>
      <c r="H467" s="87">
        <f t="shared" si="6"/>
        <v>0</v>
      </c>
      <c r="I467" s="509"/>
      <c r="J467" s="525"/>
      <c r="K467" s="398"/>
      <c r="L467" s="398"/>
      <c r="M467" s="398"/>
      <c r="N467" s="86"/>
    </row>
    <row r="468" spans="1:14" s="552" customFormat="1" ht="15.75" x14ac:dyDescent="0.25">
      <c r="A468" s="523"/>
      <c r="B468" s="523" t="s">
        <v>844</v>
      </c>
      <c r="C468" s="553">
        <v>2563</v>
      </c>
      <c r="D468" s="476">
        <v>15000</v>
      </c>
      <c r="E468" s="87"/>
      <c r="F468" s="87">
        <v>164</v>
      </c>
      <c r="G468" s="87">
        <v>15000</v>
      </c>
      <c r="H468" s="87">
        <f t="shared" si="6"/>
        <v>0</v>
      </c>
      <c r="I468" s="509"/>
      <c r="J468" s="525"/>
      <c r="K468" s="398"/>
      <c r="L468" s="398"/>
      <c r="M468" s="398"/>
      <c r="N468" s="86"/>
    </row>
    <row r="469" spans="1:14" s="552" customFormat="1" ht="15.75" x14ac:dyDescent="0.25">
      <c r="A469" s="523"/>
      <c r="B469" s="523" t="s">
        <v>844</v>
      </c>
      <c r="C469" s="553">
        <v>3567</v>
      </c>
      <c r="D469" s="476">
        <v>22000</v>
      </c>
      <c r="E469" s="87"/>
      <c r="F469" s="87">
        <v>225</v>
      </c>
      <c r="G469" s="87">
        <v>22000</v>
      </c>
      <c r="H469" s="87">
        <f t="shared" si="6"/>
        <v>0</v>
      </c>
      <c r="I469" s="509"/>
      <c r="J469" s="525"/>
      <c r="K469" s="398"/>
      <c r="L469" s="398"/>
      <c r="M469" s="398"/>
      <c r="N469" s="86"/>
    </row>
    <row r="470" spans="1:14" s="552" customFormat="1" ht="15.75" x14ac:dyDescent="0.25">
      <c r="A470" s="523"/>
      <c r="B470" s="523" t="s">
        <v>845</v>
      </c>
      <c r="C470" s="553" t="s">
        <v>30</v>
      </c>
      <c r="D470" s="476">
        <v>5000</v>
      </c>
      <c r="E470" s="87"/>
      <c r="F470" s="87">
        <v>55</v>
      </c>
      <c r="G470" s="87">
        <v>5000</v>
      </c>
      <c r="H470" s="87">
        <f t="shared" si="6"/>
        <v>0</v>
      </c>
      <c r="I470" s="509"/>
      <c r="J470" s="525"/>
      <c r="K470" s="398"/>
      <c r="L470" s="398"/>
      <c r="M470" s="398"/>
      <c r="N470" s="86"/>
    </row>
    <row r="471" spans="1:14" s="552" customFormat="1" ht="15.75" x14ac:dyDescent="0.25">
      <c r="A471" s="523"/>
      <c r="B471" s="523" t="s">
        <v>845</v>
      </c>
      <c r="C471" s="553" t="s">
        <v>819</v>
      </c>
      <c r="D471" s="476">
        <v>3000</v>
      </c>
      <c r="E471" s="87"/>
      <c r="F471" s="87">
        <v>33</v>
      </c>
      <c r="G471" s="87">
        <v>3000</v>
      </c>
      <c r="H471" s="87">
        <f t="shared" si="6"/>
        <v>0</v>
      </c>
      <c r="I471" s="509"/>
      <c r="J471" s="525"/>
      <c r="K471" s="398"/>
      <c r="L471" s="398"/>
      <c r="M471" s="398"/>
      <c r="N471" s="86"/>
    </row>
    <row r="472" spans="1:14" s="552" customFormat="1" ht="15.75" x14ac:dyDescent="0.25">
      <c r="A472" s="523"/>
      <c r="B472" s="523" t="s">
        <v>845</v>
      </c>
      <c r="C472" s="553" t="s">
        <v>819</v>
      </c>
      <c r="D472" s="476">
        <v>3000</v>
      </c>
      <c r="E472" s="87"/>
      <c r="F472" s="87">
        <v>33</v>
      </c>
      <c r="G472" s="87">
        <v>3000</v>
      </c>
      <c r="H472" s="87">
        <f t="shared" si="6"/>
        <v>0</v>
      </c>
      <c r="I472" s="509"/>
      <c r="J472" s="525"/>
      <c r="K472" s="398"/>
      <c r="L472" s="398"/>
      <c r="M472" s="398"/>
      <c r="N472" s="86"/>
    </row>
    <row r="473" spans="1:14" s="552" customFormat="1" ht="15.75" x14ac:dyDescent="0.25">
      <c r="A473" s="523"/>
      <c r="B473" s="523" t="s">
        <v>845</v>
      </c>
      <c r="C473" s="553">
        <v>9289</v>
      </c>
      <c r="D473" s="476">
        <v>30000</v>
      </c>
      <c r="E473" s="87"/>
      <c r="F473" s="87">
        <v>313</v>
      </c>
      <c r="G473" s="87">
        <v>30000</v>
      </c>
      <c r="H473" s="87">
        <f t="shared" si="6"/>
        <v>0</v>
      </c>
      <c r="I473" s="509"/>
      <c r="J473" s="525"/>
      <c r="K473" s="398"/>
      <c r="L473" s="398"/>
      <c r="M473" s="398"/>
      <c r="N473" s="86"/>
    </row>
    <row r="474" spans="1:14" s="552" customFormat="1" ht="15.75" x14ac:dyDescent="0.25">
      <c r="A474" s="523"/>
      <c r="B474" s="523" t="s">
        <v>845</v>
      </c>
      <c r="C474" s="553">
        <v>7258</v>
      </c>
      <c r="D474" s="476">
        <v>30000</v>
      </c>
      <c r="E474" s="87"/>
      <c r="F474" s="87">
        <v>334</v>
      </c>
      <c r="G474" s="87">
        <v>30000</v>
      </c>
      <c r="H474" s="87">
        <f t="shared" si="6"/>
        <v>0</v>
      </c>
      <c r="I474" s="509"/>
      <c r="J474" s="525"/>
      <c r="K474" s="398"/>
      <c r="L474" s="398"/>
      <c r="M474" s="398"/>
      <c r="N474" s="86"/>
    </row>
    <row r="475" spans="1:14" s="552" customFormat="1" ht="15.75" x14ac:dyDescent="0.25">
      <c r="A475" s="523"/>
      <c r="B475" s="523" t="s">
        <v>845</v>
      </c>
      <c r="C475" s="553">
        <v>9021</v>
      </c>
      <c r="D475" s="476">
        <v>30000</v>
      </c>
      <c r="E475" s="87"/>
      <c r="F475" s="87">
        <v>319</v>
      </c>
      <c r="G475" s="87">
        <v>30000</v>
      </c>
      <c r="H475" s="87">
        <f t="shared" si="6"/>
        <v>0</v>
      </c>
      <c r="I475" s="509"/>
      <c r="J475" s="525"/>
      <c r="K475" s="398"/>
      <c r="L475" s="398"/>
      <c r="M475" s="398"/>
      <c r="N475" s="86"/>
    </row>
    <row r="476" spans="1:14" s="552" customFormat="1" ht="15.75" x14ac:dyDescent="0.25">
      <c r="A476" s="523"/>
      <c r="B476" s="523" t="s">
        <v>845</v>
      </c>
      <c r="C476" s="553">
        <v>9235</v>
      </c>
      <c r="D476" s="476">
        <v>29000</v>
      </c>
      <c r="E476" s="87"/>
      <c r="F476" s="87">
        <v>323</v>
      </c>
      <c r="G476" s="87">
        <v>29000</v>
      </c>
      <c r="H476" s="87">
        <f t="shared" si="6"/>
        <v>0</v>
      </c>
      <c r="I476" s="509"/>
      <c r="J476" s="525"/>
      <c r="K476" s="398"/>
      <c r="L476" s="398"/>
      <c r="M476" s="398"/>
      <c r="N476" s="86"/>
    </row>
    <row r="477" spans="1:14" s="552" customFormat="1" ht="15.75" x14ac:dyDescent="0.25">
      <c r="A477" s="523"/>
      <c r="B477" s="523" t="s">
        <v>845</v>
      </c>
      <c r="C477" s="553">
        <v>8963</v>
      </c>
      <c r="D477" s="476">
        <v>28000</v>
      </c>
      <c r="E477" s="87"/>
      <c r="F477" s="87">
        <v>287</v>
      </c>
      <c r="G477" s="87">
        <v>28000</v>
      </c>
      <c r="H477" s="87">
        <f t="shared" si="6"/>
        <v>0</v>
      </c>
      <c r="I477" s="509"/>
      <c r="J477" s="525"/>
      <c r="K477" s="398"/>
      <c r="L477" s="398"/>
      <c r="M477" s="398"/>
      <c r="N477" s="86"/>
    </row>
    <row r="478" spans="1:14" s="552" customFormat="1" ht="15.75" x14ac:dyDescent="0.25">
      <c r="A478" s="523"/>
      <c r="B478" s="523" t="s">
        <v>845</v>
      </c>
      <c r="C478" s="553">
        <v>3234</v>
      </c>
      <c r="D478" s="476">
        <v>30000</v>
      </c>
      <c r="E478" s="87"/>
      <c r="F478" s="87">
        <v>313</v>
      </c>
      <c r="G478" s="87">
        <v>30000</v>
      </c>
      <c r="H478" s="87">
        <f t="shared" si="6"/>
        <v>0</v>
      </c>
      <c r="I478" s="509"/>
      <c r="J478" s="525"/>
      <c r="K478" s="398"/>
      <c r="L478" s="398"/>
      <c r="M478" s="398"/>
      <c r="N478" s="86"/>
    </row>
    <row r="479" spans="1:14" s="552" customFormat="1" ht="15.75" x14ac:dyDescent="0.25">
      <c r="A479" s="523"/>
      <c r="B479" s="523" t="s">
        <v>845</v>
      </c>
      <c r="C479" s="553">
        <v>1329</v>
      </c>
      <c r="D479" s="476">
        <v>21850</v>
      </c>
      <c r="E479" s="87"/>
      <c r="F479" s="87">
        <v>243</v>
      </c>
      <c r="G479" s="87">
        <v>21850</v>
      </c>
      <c r="H479" s="87">
        <f t="shared" si="6"/>
        <v>0</v>
      </c>
      <c r="I479" s="509"/>
      <c r="J479" s="525"/>
      <c r="K479" s="398"/>
      <c r="L479" s="398"/>
      <c r="M479" s="398"/>
      <c r="N479" s="86"/>
    </row>
    <row r="480" spans="1:14" s="552" customFormat="1" ht="15.75" x14ac:dyDescent="0.25">
      <c r="A480" s="523"/>
      <c r="B480" s="523" t="s">
        <v>845</v>
      </c>
      <c r="C480" s="553">
        <v>1495</v>
      </c>
      <c r="D480" s="476">
        <v>19401</v>
      </c>
      <c r="E480" s="87"/>
      <c r="F480" s="87">
        <v>216</v>
      </c>
      <c r="G480" s="87">
        <v>19401</v>
      </c>
      <c r="H480" s="87">
        <f t="shared" si="6"/>
        <v>0</v>
      </c>
      <c r="I480" s="509"/>
      <c r="J480" s="525"/>
      <c r="K480" s="398"/>
      <c r="L480" s="398"/>
      <c r="M480" s="398"/>
      <c r="N480" s="86"/>
    </row>
    <row r="481" spans="1:14" s="552" customFormat="1" ht="15.75" x14ac:dyDescent="0.25">
      <c r="A481" s="523"/>
      <c r="B481" s="523" t="s">
        <v>845</v>
      </c>
      <c r="C481" s="553">
        <v>8169</v>
      </c>
      <c r="D481" s="476">
        <v>20000</v>
      </c>
      <c r="E481" s="87"/>
      <c r="F481" s="87">
        <v>222</v>
      </c>
      <c r="G481" s="87">
        <v>20000</v>
      </c>
      <c r="H481" s="87">
        <f t="shared" si="6"/>
        <v>0</v>
      </c>
      <c r="I481" s="509"/>
      <c r="J481" s="525"/>
      <c r="K481" s="398"/>
      <c r="L481" s="398"/>
      <c r="M481" s="398"/>
      <c r="N481" s="86"/>
    </row>
    <row r="482" spans="1:14" s="552" customFormat="1" ht="15.75" x14ac:dyDescent="0.25">
      <c r="A482" s="523"/>
      <c r="B482" s="523" t="s">
        <v>845</v>
      </c>
      <c r="C482" s="553">
        <v>4058</v>
      </c>
      <c r="D482" s="476">
        <v>20000</v>
      </c>
      <c r="E482" s="87"/>
      <c r="F482" s="87">
        <v>222</v>
      </c>
      <c r="G482" s="87">
        <v>20000</v>
      </c>
      <c r="H482" s="87">
        <f t="shared" si="6"/>
        <v>0</v>
      </c>
      <c r="I482" s="509"/>
      <c r="J482" s="525"/>
      <c r="K482" s="398"/>
      <c r="L482" s="398"/>
      <c r="M482" s="398"/>
      <c r="N482" s="86"/>
    </row>
    <row r="483" spans="1:14" s="552" customFormat="1" ht="15.75" x14ac:dyDescent="0.25">
      <c r="A483" s="523"/>
      <c r="B483" s="523" t="s">
        <v>845</v>
      </c>
      <c r="C483" s="553">
        <v>5149</v>
      </c>
      <c r="D483" s="476">
        <v>15000</v>
      </c>
      <c r="E483" s="87"/>
      <c r="F483" s="87">
        <v>167</v>
      </c>
      <c r="G483" s="87">
        <v>15000</v>
      </c>
      <c r="H483" s="87">
        <f t="shared" si="6"/>
        <v>0</v>
      </c>
      <c r="I483" s="509"/>
      <c r="J483" s="525"/>
      <c r="K483" s="398"/>
      <c r="L483" s="398"/>
      <c r="M483" s="398"/>
      <c r="N483" s="86"/>
    </row>
    <row r="484" spans="1:14" s="552" customFormat="1" ht="15.75" x14ac:dyDescent="0.25">
      <c r="A484" s="523"/>
      <c r="B484" s="523" t="s">
        <v>845</v>
      </c>
      <c r="C484" s="553">
        <v>1764</v>
      </c>
      <c r="D484" s="476">
        <v>10000</v>
      </c>
      <c r="E484" s="87"/>
      <c r="F484" s="87">
        <v>111</v>
      </c>
      <c r="G484" s="87">
        <v>10000</v>
      </c>
      <c r="H484" s="87">
        <f t="shared" si="6"/>
        <v>0</v>
      </c>
      <c r="I484" s="509"/>
      <c r="J484" s="525"/>
      <c r="K484" s="398"/>
      <c r="L484" s="398"/>
      <c r="M484" s="398"/>
      <c r="N484" s="86"/>
    </row>
    <row r="485" spans="1:14" s="552" customFormat="1" ht="15.75" x14ac:dyDescent="0.25">
      <c r="A485" s="523"/>
      <c r="B485" s="523" t="s">
        <v>845</v>
      </c>
      <c r="C485" s="553" t="s">
        <v>866</v>
      </c>
      <c r="D485" s="476">
        <v>22000</v>
      </c>
      <c r="E485" s="87"/>
      <c r="F485" s="87">
        <v>237</v>
      </c>
      <c r="G485" s="87">
        <v>22000</v>
      </c>
      <c r="H485" s="87">
        <f t="shared" si="6"/>
        <v>0</v>
      </c>
      <c r="I485" s="509"/>
      <c r="J485" s="525"/>
      <c r="K485" s="398"/>
      <c r="L485" s="398"/>
      <c r="M485" s="398"/>
      <c r="N485" s="86"/>
    </row>
    <row r="486" spans="1:14" s="552" customFormat="1" ht="15.75" x14ac:dyDescent="0.25">
      <c r="A486" s="523"/>
      <c r="B486" s="523" t="s">
        <v>845</v>
      </c>
      <c r="C486" s="553" t="s">
        <v>864</v>
      </c>
      <c r="D486" s="476">
        <v>15000</v>
      </c>
      <c r="E486" s="87"/>
      <c r="F486" s="87">
        <v>167</v>
      </c>
      <c r="G486" s="87">
        <v>15000</v>
      </c>
      <c r="H486" s="87">
        <f t="shared" si="6"/>
        <v>0</v>
      </c>
      <c r="I486" s="509"/>
      <c r="J486" s="525"/>
      <c r="K486" s="398"/>
      <c r="L486" s="398"/>
      <c r="M486" s="398"/>
      <c r="N486" s="86"/>
    </row>
    <row r="487" spans="1:14" s="552" customFormat="1" ht="15.75" x14ac:dyDescent="0.25">
      <c r="A487" s="523"/>
      <c r="B487" s="523" t="s">
        <v>862</v>
      </c>
      <c r="C487" s="553" t="s">
        <v>865</v>
      </c>
      <c r="D487" s="476">
        <v>15000</v>
      </c>
      <c r="E487" s="87"/>
      <c r="F487" s="87">
        <v>167</v>
      </c>
      <c r="G487" s="87">
        <v>15000</v>
      </c>
      <c r="H487" s="87">
        <f t="shared" si="6"/>
        <v>0</v>
      </c>
      <c r="I487" s="509"/>
      <c r="J487" s="525"/>
      <c r="K487" s="398"/>
      <c r="L487" s="398"/>
      <c r="M487" s="398"/>
      <c r="N487" s="86"/>
    </row>
    <row r="488" spans="1:14" s="552" customFormat="1" ht="15.75" x14ac:dyDescent="0.25">
      <c r="A488" s="523"/>
      <c r="B488" s="523" t="s">
        <v>862</v>
      </c>
      <c r="C488" s="553">
        <v>8050</v>
      </c>
      <c r="D488" s="476">
        <v>14000</v>
      </c>
      <c r="E488" s="87"/>
      <c r="F488" s="87">
        <v>155</v>
      </c>
      <c r="G488" s="87">
        <v>14000</v>
      </c>
      <c r="H488" s="87">
        <f t="shared" si="6"/>
        <v>0</v>
      </c>
      <c r="I488" s="509"/>
      <c r="J488" s="525"/>
      <c r="K488" s="398"/>
      <c r="L488" s="398"/>
      <c r="M488" s="398"/>
      <c r="N488" s="86"/>
    </row>
    <row r="489" spans="1:14" s="552" customFormat="1" ht="15.75" x14ac:dyDescent="0.25">
      <c r="A489" s="523"/>
      <c r="B489" s="523" t="s">
        <v>862</v>
      </c>
      <c r="C489" s="553">
        <v>7365</v>
      </c>
      <c r="D489" s="476">
        <v>26000</v>
      </c>
      <c r="E489" s="87"/>
      <c r="F489" s="87">
        <v>289</v>
      </c>
      <c r="G489" s="87">
        <v>26000</v>
      </c>
      <c r="H489" s="87">
        <f t="shared" si="6"/>
        <v>0</v>
      </c>
      <c r="I489" s="509"/>
      <c r="J489" s="525"/>
      <c r="K489" s="398"/>
      <c r="L489" s="398"/>
      <c r="M489" s="398"/>
      <c r="N489" s="86"/>
    </row>
    <row r="490" spans="1:14" s="552" customFormat="1" ht="15.75" x14ac:dyDescent="0.25">
      <c r="A490" s="523"/>
      <c r="B490" s="523" t="s">
        <v>862</v>
      </c>
      <c r="C490" s="553">
        <v>2029</v>
      </c>
      <c r="D490" s="476">
        <v>30000</v>
      </c>
      <c r="E490" s="87"/>
      <c r="F490" s="87">
        <v>334</v>
      </c>
      <c r="G490" s="87">
        <v>30000</v>
      </c>
      <c r="H490" s="87">
        <f t="shared" si="6"/>
        <v>0</v>
      </c>
      <c r="I490" s="509"/>
      <c r="J490" s="525"/>
      <c r="K490" s="398"/>
      <c r="L490" s="398"/>
      <c r="M490" s="398"/>
      <c r="N490" s="86"/>
    </row>
    <row r="491" spans="1:14" s="552" customFormat="1" ht="15.75" x14ac:dyDescent="0.25">
      <c r="A491" s="523"/>
      <c r="B491" s="523" t="s">
        <v>862</v>
      </c>
      <c r="C491" s="553" t="s">
        <v>30</v>
      </c>
      <c r="D491" s="476">
        <v>4500</v>
      </c>
      <c r="E491" s="87"/>
      <c r="F491" s="87">
        <v>50.45</v>
      </c>
      <c r="G491" s="87">
        <v>4500</v>
      </c>
      <c r="H491" s="87">
        <f t="shared" si="6"/>
        <v>0</v>
      </c>
      <c r="I491" s="509"/>
      <c r="J491" s="525"/>
      <c r="K491" s="398"/>
      <c r="L491" s="398"/>
      <c r="M491" s="398"/>
      <c r="N491" s="86"/>
    </row>
    <row r="492" spans="1:14" s="552" customFormat="1" ht="15.75" x14ac:dyDescent="0.25">
      <c r="A492" s="523"/>
      <c r="B492" s="523" t="s">
        <v>862</v>
      </c>
      <c r="C492" s="553">
        <v>3453</v>
      </c>
      <c r="D492" s="476">
        <v>14000</v>
      </c>
      <c r="E492" s="87"/>
      <c r="F492" s="87">
        <v>153</v>
      </c>
      <c r="G492" s="87">
        <v>14000</v>
      </c>
      <c r="H492" s="87">
        <f t="shared" si="6"/>
        <v>0</v>
      </c>
      <c r="I492" s="509"/>
      <c r="J492" s="525"/>
      <c r="K492" s="398"/>
      <c r="L492" s="398"/>
      <c r="M492" s="398"/>
      <c r="N492" s="86"/>
    </row>
    <row r="493" spans="1:14" s="552" customFormat="1" ht="15.75" x14ac:dyDescent="0.25">
      <c r="A493" s="523"/>
      <c r="B493" s="523" t="s">
        <v>862</v>
      </c>
      <c r="C493" s="553">
        <v>6868</v>
      </c>
      <c r="D493" s="476">
        <v>22000</v>
      </c>
      <c r="E493" s="87"/>
      <c r="F493" s="87">
        <v>245</v>
      </c>
      <c r="G493" s="87">
        <v>22000</v>
      </c>
      <c r="H493" s="87">
        <f t="shared" si="6"/>
        <v>0</v>
      </c>
      <c r="I493" s="509"/>
      <c r="J493" s="525"/>
      <c r="K493" s="398"/>
      <c r="L493" s="398"/>
      <c r="M493" s="398"/>
      <c r="N493" s="86"/>
    </row>
    <row r="494" spans="1:14" s="552" customFormat="1" ht="15.75" x14ac:dyDescent="0.25">
      <c r="A494" s="523"/>
      <c r="B494" s="523" t="s">
        <v>862</v>
      </c>
      <c r="C494" s="553">
        <v>1412</v>
      </c>
      <c r="D494" s="476">
        <v>28000</v>
      </c>
      <c r="E494" s="87"/>
      <c r="F494" s="87">
        <v>311</v>
      </c>
      <c r="G494" s="87">
        <v>28000</v>
      </c>
      <c r="H494" s="87">
        <f t="shared" si="6"/>
        <v>0</v>
      </c>
      <c r="I494" s="509"/>
      <c r="J494" s="525"/>
      <c r="K494" s="398"/>
      <c r="L494" s="398"/>
      <c r="M494" s="398"/>
      <c r="N494" s="86"/>
    </row>
    <row r="495" spans="1:14" s="552" customFormat="1" ht="15.75" x14ac:dyDescent="0.25">
      <c r="A495" s="523"/>
      <c r="B495" s="523" t="s">
        <v>862</v>
      </c>
      <c r="C495" s="553">
        <v>9957</v>
      </c>
      <c r="D495" s="476">
        <v>20000</v>
      </c>
      <c r="E495" s="87"/>
      <c r="F495" s="87">
        <v>222.81</v>
      </c>
      <c r="G495" s="87">
        <v>20000</v>
      </c>
      <c r="H495" s="87">
        <f t="shared" si="6"/>
        <v>0</v>
      </c>
      <c r="I495" s="509"/>
      <c r="J495" s="525"/>
      <c r="K495" s="398"/>
      <c r="L495" s="398"/>
      <c r="M495" s="398"/>
      <c r="N495" s="86"/>
    </row>
    <row r="496" spans="1:14" s="552" customFormat="1" ht="15.75" x14ac:dyDescent="0.25">
      <c r="A496" s="523"/>
      <c r="B496" s="523" t="s">
        <v>862</v>
      </c>
      <c r="C496" s="553">
        <v>9880</v>
      </c>
      <c r="D496" s="476">
        <v>20000</v>
      </c>
      <c r="E496" s="87"/>
      <c r="F496" s="87">
        <v>222</v>
      </c>
      <c r="G496" s="87">
        <v>20000</v>
      </c>
      <c r="H496" s="87">
        <f t="shared" si="6"/>
        <v>0</v>
      </c>
      <c r="I496" s="509"/>
      <c r="J496" s="525"/>
      <c r="K496" s="398"/>
      <c r="L496" s="398"/>
      <c r="M496" s="398"/>
      <c r="N496" s="86"/>
    </row>
    <row r="497" spans="1:14" s="552" customFormat="1" ht="15.75" x14ac:dyDescent="0.25">
      <c r="A497" s="523"/>
      <c r="B497" s="523" t="s">
        <v>862</v>
      </c>
      <c r="C497" s="553" t="s">
        <v>867</v>
      </c>
      <c r="D497" s="476">
        <v>16000</v>
      </c>
      <c r="E497" s="87"/>
      <c r="F497" s="87">
        <v>128</v>
      </c>
      <c r="G497" s="87">
        <v>16000</v>
      </c>
      <c r="H497" s="87">
        <f t="shared" si="6"/>
        <v>0</v>
      </c>
      <c r="I497" s="509"/>
      <c r="J497" s="525"/>
      <c r="K497" s="398"/>
      <c r="L497" s="398"/>
      <c r="M497" s="398"/>
      <c r="N497" s="86"/>
    </row>
    <row r="498" spans="1:14" s="552" customFormat="1" ht="15.75" x14ac:dyDescent="0.25">
      <c r="A498" s="523"/>
      <c r="B498" s="523" t="s">
        <v>862</v>
      </c>
      <c r="C498" s="553">
        <v>1669</v>
      </c>
      <c r="D498" s="476">
        <v>16000</v>
      </c>
      <c r="E498" s="87"/>
      <c r="F498" s="87">
        <v>178</v>
      </c>
      <c r="G498" s="87">
        <v>16000</v>
      </c>
      <c r="H498" s="87">
        <f t="shared" si="6"/>
        <v>0</v>
      </c>
      <c r="I498" s="509"/>
      <c r="J498" s="525"/>
      <c r="K498" s="398"/>
      <c r="L498" s="398"/>
      <c r="M498" s="398"/>
      <c r="N498" s="86"/>
    </row>
    <row r="499" spans="1:14" s="552" customFormat="1" ht="15.75" x14ac:dyDescent="0.25">
      <c r="A499" s="523"/>
      <c r="B499" s="523" t="s">
        <v>862</v>
      </c>
      <c r="C499" s="553">
        <v>4186</v>
      </c>
      <c r="D499" s="476">
        <v>30000</v>
      </c>
      <c r="E499" s="87"/>
      <c r="F499" s="87">
        <v>334</v>
      </c>
      <c r="G499" s="87">
        <v>30000</v>
      </c>
      <c r="H499" s="87">
        <f t="shared" si="6"/>
        <v>0</v>
      </c>
      <c r="I499" s="509"/>
      <c r="J499" s="525"/>
      <c r="K499" s="398"/>
      <c r="L499" s="398"/>
      <c r="M499" s="398"/>
      <c r="N499" s="86"/>
    </row>
    <row r="500" spans="1:14" s="552" customFormat="1" ht="15.75" x14ac:dyDescent="0.25">
      <c r="A500" s="523"/>
      <c r="B500" s="523" t="s">
        <v>862</v>
      </c>
      <c r="C500" s="553">
        <v>4470</v>
      </c>
      <c r="D500" s="476">
        <v>25000</v>
      </c>
      <c r="E500" s="87"/>
      <c r="F500" s="87">
        <v>278</v>
      </c>
      <c r="G500" s="87">
        <v>25000</v>
      </c>
      <c r="H500" s="87">
        <f t="shared" si="6"/>
        <v>0</v>
      </c>
      <c r="I500" s="509"/>
      <c r="J500" s="525"/>
      <c r="K500" s="398"/>
      <c r="L500" s="398"/>
      <c r="M500" s="398"/>
      <c r="N500" s="86"/>
    </row>
    <row r="501" spans="1:14" s="552" customFormat="1" ht="15.75" x14ac:dyDescent="0.25">
      <c r="A501" s="523"/>
      <c r="B501" s="523" t="s">
        <v>862</v>
      </c>
      <c r="C501" s="553">
        <v>6659</v>
      </c>
      <c r="D501" s="476">
        <v>20000</v>
      </c>
      <c r="E501" s="87"/>
      <c r="F501" s="87">
        <v>222</v>
      </c>
      <c r="G501" s="87">
        <v>20000</v>
      </c>
      <c r="H501" s="87">
        <f t="shared" si="6"/>
        <v>0</v>
      </c>
      <c r="I501" s="509"/>
      <c r="J501" s="525"/>
      <c r="K501" s="398"/>
      <c r="L501" s="398"/>
      <c r="M501" s="398"/>
      <c r="N501" s="86"/>
    </row>
    <row r="502" spans="1:14" s="552" customFormat="1" ht="15.75" x14ac:dyDescent="0.25">
      <c r="A502" s="523"/>
      <c r="B502" s="523" t="s">
        <v>862</v>
      </c>
      <c r="C502" s="553">
        <v>6245</v>
      </c>
      <c r="D502" s="476">
        <v>20000</v>
      </c>
      <c r="E502" s="87"/>
      <c r="F502" s="87">
        <v>222</v>
      </c>
      <c r="G502" s="87">
        <v>20000</v>
      </c>
      <c r="H502" s="87">
        <f t="shared" si="6"/>
        <v>0</v>
      </c>
      <c r="I502" s="509"/>
      <c r="J502" s="525"/>
      <c r="K502" s="398"/>
      <c r="L502" s="398"/>
      <c r="M502" s="398"/>
      <c r="N502" s="86"/>
    </row>
    <row r="503" spans="1:14" s="552" customFormat="1" ht="15.75" x14ac:dyDescent="0.25">
      <c r="A503" s="523"/>
      <c r="B503" s="523" t="s">
        <v>862</v>
      </c>
      <c r="C503" s="553">
        <v>6133</v>
      </c>
      <c r="D503" s="476">
        <v>13000</v>
      </c>
      <c r="E503" s="87"/>
      <c r="F503" s="87">
        <v>144</v>
      </c>
      <c r="G503" s="87">
        <v>13000</v>
      </c>
      <c r="H503" s="87">
        <f t="shared" si="6"/>
        <v>0</v>
      </c>
      <c r="I503" s="509"/>
      <c r="J503" s="525"/>
      <c r="K503" s="398"/>
      <c r="L503" s="398"/>
      <c r="M503" s="398"/>
      <c r="N503" s="86"/>
    </row>
    <row r="504" spans="1:14" s="552" customFormat="1" ht="15.75" x14ac:dyDescent="0.25">
      <c r="A504" s="523"/>
      <c r="B504" s="523" t="s">
        <v>862</v>
      </c>
      <c r="C504" s="553">
        <v>6946</v>
      </c>
      <c r="D504" s="476">
        <v>20000</v>
      </c>
      <c r="E504" s="87"/>
      <c r="F504" s="87">
        <v>222</v>
      </c>
      <c r="G504" s="87">
        <v>20000</v>
      </c>
      <c r="H504" s="87">
        <f t="shared" si="6"/>
        <v>0</v>
      </c>
      <c r="I504" s="509"/>
      <c r="J504" s="525"/>
      <c r="K504" s="398"/>
      <c r="L504" s="398"/>
      <c r="M504" s="398"/>
      <c r="N504" s="86"/>
    </row>
    <row r="505" spans="1:14" s="552" customFormat="1" ht="15.75" x14ac:dyDescent="0.25">
      <c r="A505" s="523"/>
      <c r="B505" s="523" t="s">
        <v>862</v>
      </c>
      <c r="C505" s="553">
        <v>4726</v>
      </c>
      <c r="D505" s="476">
        <v>20000</v>
      </c>
      <c r="E505" s="87"/>
      <c r="F505" s="87">
        <v>222</v>
      </c>
      <c r="G505" s="87">
        <v>20000</v>
      </c>
      <c r="H505" s="87">
        <f t="shared" si="6"/>
        <v>0</v>
      </c>
      <c r="I505" s="509"/>
      <c r="J505" s="525"/>
      <c r="K505" s="398"/>
      <c r="L505" s="398"/>
      <c r="M505" s="398"/>
      <c r="N505" s="86"/>
    </row>
    <row r="506" spans="1:14" s="552" customFormat="1" ht="15.75" x14ac:dyDescent="0.25">
      <c r="A506" s="523"/>
      <c r="B506" s="523" t="s">
        <v>862</v>
      </c>
      <c r="C506" s="553" t="s">
        <v>30</v>
      </c>
      <c r="D506" s="476">
        <v>5000</v>
      </c>
      <c r="E506" s="87"/>
      <c r="F506" s="87"/>
      <c r="G506" s="87">
        <v>5000</v>
      </c>
      <c r="H506" s="87">
        <f t="shared" si="6"/>
        <v>0</v>
      </c>
      <c r="I506" s="509"/>
      <c r="J506" s="525"/>
      <c r="K506" s="398"/>
      <c r="L506" s="398"/>
      <c r="M506" s="398"/>
      <c r="N506" s="86"/>
    </row>
    <row r="507" spans="1:14" s="552" customFormat="1" ht="15.75" x14ac:dyDescent="0.25">
      <c r="A507" s="523"/>
      <c r="B507" s="523" t="s">
        <v>846</v>
      </c>
      <c r="C507" s="553" t="s">
        <v>819</v>
      </c>
      <c r="D507" s="476">
        <v>3500</v>
      </c>
      <c r="E507" s="87"/>
      <c r="F507" s="87">
        <v>38</v>
      </c>
      <c r="G507" s="87">
        <v>3500</v>
      </c>
      <c r="H507" s="87">
        <f t="shared" si="6"/>
        <v>0</v>
      </c>
      <c r="I507" s="509"/>
      <c r="J507" s="525"/>
      <c r="K507" s="398"/>
      <c r="L507" s="398"/>
      <c r="M507" s="398"/>
      <c r="N507" s="86"/>
    </row>
    <row r="508" spans="1:14" s="552" customFormat="1" ht="15.75" x14ac:dyDescent="0.25">
      <c r="A508" s="523"/>
      <c r="B508" s="523" t="s">
        <v>846</v>
      </c>
      <c r="C508" s="553" t="s">
        <v>66</v>
      </c>
      <c r="D508" s="476">
        <v>210</v>
      </c>
      <c r="E508" s="87"/>
      <c r="F508" s="87" t="s">
        <v>587</v>
      </c>
      <c r="G508" s="87">
        <v>210</v>
      </c>
      <c r="H508" s="87">
        <f t="shared" si="6"/>
        <v>0</v>
      </c>
      <c r="I508" s="509"/>
      <c r="J508" s="525"/>
      <c r="K508" s="398"/>
      <c r="L508" s="398"/>
      <c r="M508" s="398"/>
      <c r="N508" s="86"/>
    </row>
    <row r="509" spans="1:14" s="552" customFormat="1" ht="15.75" x14ac:dyDescent="0.25">
      <c r="A509" s="523"/>
      <c r="B509" s="523" t="s">
        <v>846</v>
      </c>
      <c r="C509" s="553">
        <v>1547</v>
      </c>
      <c r="D509" s="476">
        <v>18000</v>
      </c>
      <c r="E509" s="87"/>
      <c r="F509" s="87">
        <v>200</v>
      </c>
      <c r="G509" s="87">
        <v>18000</v>
      </c>
      <c r="H509" s="87">
        <f t="shared" si="6"/>
        <v>0</v>
      </c>
      <c r="I509" s="509"/>
      <c r="J509" s="525"/>
      <c r="K509" s="398"/>
      <c r="L509" s="398"/>
      <c r="M509" s="398"/>
      <c r="N509" s="86"/>
    </row>
    <row r="510" spans="1:14" s="552" customFormat="1" ht="15.75" x14ac:dyDescent="0.25">
      <c r="A510" s="523"/>
      <c r="B510" s="523" t="s">
        <v>846</v>
      </c>
      <c r="C510" s="553">
        <v>9458</v>
      </c>
      <c r="D510" s="476">
        <v>27000</v>
      </c>
      <c r="E510" s="87"/>
      <c r="F510" s="87">
        <v>302</v>
      </c>
      <c r="G510" s="87">
        <v>27000</v>
      </c>
      <c r="H510" s="87">
        <f t="shared" si="6"/>
        <v>0</v>
      </c>
      <c r="I510" s="509"/>
      <c r="J510" s="525"/>
      <c r="K510" s="398"/>
      <c r="L510" s="398"/>
      <c r="M510" s="398"/>
      <c r="N510" s="86"/>
    </row>
    <row r="511" spans="1:14" s="552" customFormat="1" ht="15.75" x14ac:dyDescent="0.25">
      <c r="A511" s="523"/>
      <c r="B511" s="523" t="s">
        <v>846</v>
      </c>
      <c r="C511" s="553">
        <v>3451</v>
      </c>
      <c r="D511" s="476">
        <v>10000</v>
      </c>
      <c r="E511" s="87"/>
      <c r="F511" s="87">
        <v>111</v>
      </c>
      <c r="G511" s="87">
        <v>10000</v>
      </c>
      <c r="H511" s="87">
        <f t="shared" si="6"/>
        <v>0</v>
      </c>
      <c r="I511" s="509"/>
      <c r="J511" s="525"/>
      <c r="K511" s="398"/>
      <c r="L511" s="398"/>
      <c r="M511" s="398"/>
      <c r="N511" s="86"/>
    </row>
    <row r="512" spans="1:14" s="552" customFormat="1" ht="15.75" x14ac:dyDescent="0.25">
      <c r="A512" s="523"/>
      <c r="B512" s="523" t="s">
        <v>846</v>
      </c>
      <c r="C512" s="553">
        <v>6443</v>
      </c>
      <c r="D512" s="476">
        <v>10000</v>
      </c>
      <c r="E512" s="87"/>
      <c r="F512" s="87">
        <v>111</v>
      </c>
      <c r="G512" s="87">
        <v>10000</v>
      </c>
      <c r="H512" s="87">
        <f t="shared" si="6"/>
        <v>0</v>
      </c>
      <c r="I512" s="509"/>
      <c r="J512" s="525"/>
      <c r="K512" s="398"/>
      <c r="L512" s="398"/>
      <c r="M512" s="398"/>
      <c r="N512" s="86"/>
    </row>
    <row r="513" spans="1:14" s="552" customFormat="1" ht="15.75" x14ac:dyDescent="0.25">
      <c r="A513" s="523"/>
      <c r="B513" s="523" t="s">
        <v>846</v>
      </c>
      <c r="C513" s="553">
        <v>3468</v>
      </c>
      <c r="D513" s="476">
        <v>26000</v>
      </c>
      <c r="E513" s="87"/>
      <c r="F513" s="87">
        <v>289</v>
      </c>
      <c r="G513" s="87">
        <v>26000</v>
      </c>
      <c r="H513" s="87">
        <f t="shared" si="6"/>
        <v>0</v>
      </c>
      <c r="I513" s="509"/>
      <c r="J513" s="525"/>
      <c r="K513" s="398"/>
      <c r="L513" s="398"/>
      <c r="M513" s="398"/>
      <c r="N513" s="86"/>
    </row>
    <row r="514" spans="1:14" s="552" customFormat="1" ht="15.75" x14ac:dyDescent="0.25">
      <c r="A514" s="523"/>
      <c r="B514" s="523" t="s">
        <v>846</v>
      </c>
      <c r="C514" s="553">
        <v>6327</v>
      </c>
      <c r="D514" s="476">
        <v>26000</v>
      </c>
      <c r="E514" s="87"/>
      <c r="F514" s="87">
        <v>272</v>
      </c>
      <c r="G514" s="87">
        <v>26000</v>
      </c>
      <c r="H514" s="87">
        <f t="shared" si="6"/>
        <v>0</v>
      </c>
      <c r="I514" s="509"/>
      <c r="J514" s="525"/>
      <c r="K514" s="398"/>
      <c r="L514" s="398"/>
      <c r="M514" s="398"/>
      <c r="N514" s="86"/>
    </row>
    <row r="515" spans="1:14" s="552" customFormat="1" ht="15.75" x14ac:dyDescent="0.25">
      <c r="A515" s="523"/>
      <c r="B515" s="523" t="s">
        <v>846</v>
      </c>
      <c r="C515" s="553">
        <v>2727</v>
      </c>
      <c r="D515" s="476">
        <v>26000</v>
      </c>
      <c r="E515" s="87"/>
      <c r="F515" s="87">
        <v>272</v>
      </c>
      <c r="G515" s="87">
        <v>26000</v>
      </c>
      <c r="H515" s="87">
        <f t="shared" si="6"/>
        <v>0</v>
      </c>
      <c r="I515" s="509"/>
      <c r="J515" s="525"/>
      <c r="K515" s="398"/>
      <c r="L515" s="398"/>
      <c r="M515" s="398"/>
      <c r="N515" s="86"/>
    </row>
    <row r="516" spans="1:14" s="552" customFormat="1" ht="15.75" x14ac:dyDescent="0.25">
      <c r="A516" s="523"/>
      <c r="B516" s="523" t="s">
        <v>846</v>
      </c>
      <c r="C516" s="553" t="s">
        <v>868</v>
      </c>
      <c r="D516" s="476">
        <v>26000</v>
      </c>
      <c r="E516" s="87"/>
      <c r="F516" s="87">
        <v>272</v>
      </c>
      <c r="G516" s="87">
        <v>26000</v>
      </c>
      <c r="H516" s="87">
        <f t="shared" si="6"/>
        <v>0</v>
      </c>
      <c r="I516" s="509"/>
      <c r="J516" s="525"/>
      <c r="K516" s="398"/>
      <c r="L516" s="398"/>
      <c r="M516" s="398"/>
      <c r="N516" s="86"/>
    </row>
    <row r="517" spans="1:14" s="552" customFormat="1" ht="15.75" x14ac:dyDescent="0.25">
      <c r="A517" s="523"/>
      <c r="B517" s="523" t="s">
        <v>846</v>
      </c>
      <c r="C517" s="553">
        <v>2134</v>
      </c>
      <c r="D517" s="476">
        <v>30000</v>
      </c>
      <c r="E517" s="87"/>
      <c r="F517" s="87">
        <v>308</v>
      </c>
      <c r="G517" s="87">
        <v>30000</v>
      </c>
      <c r="H517" s="87">
        <f t="shared" si="6"/>
        <v>0</v>
      </c>
      <c r="I517" s="509"/>
      <c r="J517" s="525"/>
      <c r="K517" s="398"/>
      <c r="L517" s="398"/>
      <c r="M517" s="398"/>
      <c r="N517" s="86"/>
    </row>
    <row r="518" spans="1:14" s="552" customFormat="1" ht="15.75" x14ac:dyDescent="0.25">
      <c r="A518" s="523"/>
      <c r="B518" s="523" t="s">
        <v>846</v>
      </c>
      <c r="C518" s="553">
        <v>3235</v>
      </c>
      <c r="D518" s="476">
        <v>30000</v>
      </c>
      <c r="E518" s="87"/>
      <c r="F518" s="87">
        <v>308</v>
      </c>
      <c r="G518" s="87">
        <v>30000</v>
      </c>
      <c r="H518" s="87">
        <f t="shared" si="6"/>
        <v>0</v>
      </c>
      <c r="I518" s="509"/>
      <c r="J518" s="525"/>
      <c r="K518" s="398"/>
      <c r="L518" s="398"/>
      <c r="M518" s="398"/>
      <c r="N518" s="86"/>
    </row>
    <row r="519" spans="1:14" s="552" customFormat="1" ht="15.75" x14ac:dyDescent="0.25">
      <c r="A519" s="523"/>
      <c r="B519" s="523" t="s">
        <v>846</v>
      </c>
      <c r="C519" s="553">
        <v>2677</v>
      </c>
      <c r="D519" s="476">
        <v>25000</v>
      </c>
      <c r="E519" s="87"/>
      <c r="F519" s="87">
        <v>278</v>
      </c>
      <c r="G519" s="87">
        <v>25000</v>
      </c>
      <c r="H519" s="87">
        <f t="shared" si="6"/>
        <v>0</v>
      </c>
      <c r="I519" s="509"/>
      <c r="J519" s="525"/>
      <c r="K519" s="398"/>
      <c r="L519" s="398"/>
      <c r="M519" s="398"/>
      <c r="N519" s="86"/>
    </row>
    <row r="520" spans="1:14" s="552" customFormat="1" ht="15.75" x14ac:dyDescent="0.25">
      <c r="A520" s="523"/>
      <c r="B520" s="523" t="s">
        <v>846</v>
      </c>
      <c r="C520" s="553">
        <v>1731</v>
      </c>
      <c r="D520" s="476">
        <v>32000</v>
      </c>
      <c r="E520" s="87"/>
      <c r="F520" s="87">
        <v>356</v>
      </c>
      <c r="G520" s="87">
        <v>32000</v>
      </c>
      <c r="H520" s="87">
        <f t="shared" si="6"/>
        <v>0</v>
      </c>
      <c r="I520" s="509"/>
      <c r="J520" s="525"/>
      <c r="K520" s="398"/>
      <c r="L520" s="398"/>
      <c r="M520" s="398"/>
      <c r="N520" s="86"/>
    </row>
    <row r="521" spans="1:14" s="552" customFormat="1" ht="15.75" x14ac:dyDescent="0.25">
      <c r="A521" s="523"/>
      <c r="B521" s="523" t="s">
        <v>846</v>
      </c>
      <c r="C521" s="553">
        <v>7110</v>
      </c>
      <c r="D521" s="476">
        <v>27300</v>
      </c>
      <c r="E521" s="87"/>
      <c r="F521" s="87">
        <v>304</v>
      </c>
      <c r="G521" s="87">
        <v>27300</v>
      </c>
      <c r="H521" s="87">
        <f t="shared" si="6"/>
        <v>0</v>
      </c>
      <c r="I521" s="509"/>
      <c r="J521" s="525"/>
      <c r="K521" s="398"/>
      <c r="L521" s="398"/>
      <c r="M521" s="398"/>
      <c r="N521" s="86"/>
    </row>
    <row r="522" spans="1:14" s="552" customFormat="1" ht="15.75" x14ac:dyDescent="0.25">
      <c r="A522" s="523"/>
      <c r="B522" s="523" t="s">
        <v>847</v>
      </c>
      <c r="C522" s="553" t="s">
        <v>819</v>
      </c>
      <c r="D522" s="476">
        <v>3500</v>
      </c>
      <c r="E522" s="87"/>
      <c r="F522" s="87">
        <v>38</v>
      </c>
      <c r="G522" s="87">
        <v>3500</v>
      </c>
      <c r="H522" s="87">
        <f t="shared" si="6"/>
        <v>0</v>
      </c>
      <c r="I522" s="509"/>
      <c r="J522" s="525"/>
      <c r="K522" s="398"/>
      <c r="L522" s="398"/>
      <c r="M522" s="398"/>
      <c r="N522" s="86"/>
    </row>
    <row r="523" spans="1:14" s="552" customFormat="1" ht="15.75" x14ac:dyDescent="0.25">
      <c r="A523" s="523"/>
      <c r="B523" s="523" t="s">
        <v>847</v>
      </c>
      <c r="C523" s="553" t="s">
        <v>863</v>
      </c>
      <c r="D523" s="476">
        <v>27000</v>
      </c>
      <c r="E523" s="87"/>
      <c r="F523" s="87">
        <v>380</v>
      </c>
      <c r="G523" s="87">
        <v>27000</v>
      </c>
      <c r="H523" s="87">
        <f t="shared" si="6"/>
        <v>0</v>
      </c>
      <c r="I523" s="509"/>
      <c r="J523" s="525"/>
      <c r="K523" s="398"/>
      <c r="L523" s="398"/>
      <c r="M523" s="398"/>
      <c r="N523" s="86"/>
    </row>
    <row r="524" spans="1:14" s="552" customFormat="1" ht="15.75" x14ac:dyDescent="0.25">
      <c r="A524" s="523"/>
      <c r="B524" s="523" t="s">
        <v>847</v>
      </c>
      <c r="C524" s="553" t="s">
        <v>869</v>
      </c>
      <c r="D524" s="476">
        <v>26500</v>
      </c>
      <c r="E524" s="87"/>
      <c r="F524" s="87">
        <v>295</v>
      </c>
      <c r="G524" s="87">
        <v>26500</v>
      </c>
      <c r="H524" s="87">
        <f t="shared" si="6"/>
        <v>0</v>
      </c>
      <c r="I524" s="509"/>
      <c r="J524" s="525"/>
      <c r="K524" s="398"/>
      <c r="L524" s="398"/>
      <c r="M524" s="398"/>
      <c r="N524" s="86"/>
    </row>
    <row r="525" spans="1:14" s="552" customFormat="1" ht="15.75" x14ac:dyDescent="0.25">
      <c r="A525" s="523"/>
      <c r="B525" s="523" t="s">
        <v>847</v>
      </c>
      <c r="C525" s="553">
        <v>9457</v>
      </c>
      <c r="D525" s="476">
        <v>31000</v>
      </c>
      <c r="E525" s="87"/>
      <c r="F525" s="87">
        <v>333</v>
      </c>
      <c r="G525" s="87">
        <v>31000</v>
      </c>
      <c r="H525" s="87">
        <f t="shared" si="6"/>
        <v>0</v>
      </c>
      <c r="I525" s="509"/>
      <c r="J525" s="525"/>
      <c r="K525" s="398"/>
      <c r="L525" s="398"/>
      <c r="M525" s="398"/>
      <c r="N525" s="86"/>
    </row>
    <row r="526" spans="1:14" s="552" customFormat="1" ht="15.75" x14ac:dyDescent="0.25">
      <c r="A526" s="523"/>
      <c r="B526" s="523" t="s">
        <v>847</v>
      </c>
      <c r="C526" s="553" t="s">
        <v>870</v>
      </c>
      <c r="D526" s="476">
        <v>20954</v>
      </c>
      <c r="E526" s="87"/>
      <c r="F526" s="87">
        <v>233</v>
      </c>
      <c r="G526" s="87">
        <v>20954</v>
      </c>
      <c r="H526" s="87">
        <f t="shared" si="6"/>
        <v>0</v>
      </c>
      <c r="I526" s="509"/>
      <c r="J526" s="525"/>
      <c r="K526" s="398"/>
      <c r="L526" s="398"/>
      <c r="M526" s="398"/>
      <c r="N526" s="86"/>
    </row>
    <row r="527" spans="1:14" s="552" customFormat="1" ht="15.75" x14ac:dyDescent="0.25">
      <c r="A527" s="523"/>
      <c r="B527" s="523" t="s">
        <v>847</v>
      </c>
      <c r="C527" s="553">
        <v>9109</v>
      </c>
      <c r="D527" s="476">
        <v>20000</v>
      </c>
      <c r="E527" s="87"/>
      <c r="F527" s="87">
        <v>183</v>
      </c>
      <c r="G527" s="87">
        <v>20000</v>
      </c>
      <c r="H527" s="87">
        <f t="shared" si="6"/>
        <v>0</v>
      </c>
      <c r="I527" s="509"/>
      <c r="J527" s="525"/>
      <c r="K527" s="398"/>
      <c r="L527" s="398"/>
      <c r="M527" s="398"/>
      <c r="N527" s="86"/>
    </row>
    <row r="528" spans="1:14" s="552" customFormat="1" ht="15.75" x14ac:dyDescent="0.25">
      <c r="A528" s="523"/>
      <c r="B528" s="523" t="s">
        <v>847</v>
      </c>
      <c r="C528" s="553">
        <v>4541</v>
      </c>
      <c r="D528" s="476">
        <v>25000</v>
      </c>
      <c r="E528" s="87"/>
      <c r="F528" s="87">
        <v>262</v>
      </c>
      <c r="G528" s="87">
        <v>25000</v>
      </c>
      <c r="H528" s="87">
        <f t="shared" si="6"/>
        <v>0</v>
      </c>
      <c r="I528" s="509"/>
      <c r="J528" s="525"/>
      <c r="K528" s="398"/>
      <c r="L528" s="398"/>
      <c r="M528" s="398"/>
      <c r="N528" s="86"/>
    </row>
    <row r="529" spans="1:14" s="552" customFormat="1" ht="15.75" x14ac:dyDescent="0.25">
      <c r="A529" s="523"/>
      <c r="B529" s="523" t="s">
        <v>847</v>
      </c>
      <c r="C529" s="553">
        <v>8793</v>
      </c>
      <c r="D529" s="476">
        <v>10000</v>
      </c>
      <c r="E529" s="87"/>
      <c r="F529" s="87">
        <v>111</v>
      </c>
      <c r="G529" s="87">
        <v>10000</v>
      </c>
      <c r="H529" s="87">
        <f t="shared" si="6"/>
        <v>0</v>
      </c>
      <c r="I529" s="509"/>
      <c r="J529" s="525"/>
      <c r="K529" s="398"/>
      <c r="L529" s="398"/>
      <c r="M529" s="398"/>
      <c r="N529" s="86"/>
    </row>
    <row r="530" spans="1:14" s="552" customFormat="1" ht="15.75" x14ac:dyDescent="0.25">
      <c r="A530" s="523"/>
      <c r="B530" s="523" t="s">
        <v>847</v>
      </c>
      <c r="C530" s="553">
        <v>5424</v>
      </c>
      <c r="D530" s="476">
        <v>10000</v>
      </c>
      <c r="E530" s="87"/>
      <c r="F530" s="476">
        <v>111</v>
      </c>
      <c r="G530" s="87">
        <v>10000</v>
      </c>
      <c r="H530" s="87">
        <f t="shared" si="6"/>
        <v>0</v>
      </c>
      <c r="I530" s="509"/>
      <c r="J530" s="525"/>
      <c r="K530" s="398"/>
      <c r="L530" s="398"/>
      <c r="M530" s="398"/>
      <c r="N530" s="86"/>
    </row>
    <row r="531" spans="1:14" s="552" customFormat="1" ht="15.75" x14ac:dyDescent="0.25">
      <c r="A531" s="523"/>
      <c r="B531" s="523" t="s">
        <v>847</v>
      </c>
      <c r="C531" s="553" t="s">
        <v>871</v>
      </c>
      <c r="D531" s="476">
        <v>10000</v>
      </c>
      <c r="E531" s="87"/>
      <c r="F531" s="476">
        <v>111</v>
      </c>
      <c r="G531" s="87">
        <v>10000</v>
      </c>
      <c r="H531" s="87">
        <f t="shared" si="6"/>
        <v>0</v>
      </c>
      <c r="I531" s="509"/>
      <c r="J531" s="525"/>
      <c r="K531" s="398"/>
      <c r="L531" s="398"/>
      <c r="M531" s="398"/>
      <c r="N531" s="86"/>
    </row>
    <row r="532" spans="1:14" s="552" customFormat="1" ht="15.75" x14ac:dyDescent="0.25">
      <c r="A532" s="523"/>
      <c r="B532" s="523" t="s">
        <v>847</v>
      </c>
      <c r="C532" s="553">
        <v>8499</v>
      </c>
      <c r="D532" s="476">
        <v>15000</v>
      </c>
      <c r="E532" s="87"/>
      <c r="F532" s="476">
        <v>167</v>
      </c>
      <c r="G532" s="87">
        <v>15000</v>
      </c>
      <c r="H532" s="87">
        <f t="shared" si="6"/>
        <v>0</v>
      </c>
      <c r="I532" s="509"/>
      <c r="J532" s="525"/>
      <c r="K532" s="398"/>
      <c r="L532" s="398"/>
      <c r="M532" s="398"/>
      <c r="N532" s="86"/>
    </row>
    <row r="533" spans="1:14" s="552" customFormat="1" ht="15.75" x14ac:dyDescent="0.25">
      <c r="A533" s="523"/>
      <c r="B533" s="523" t="s">
        <v>847</v>
      </c>
      <c r="C533" s="553">
        <v>5152</v>
      </c>
      <c r="D533" s="476">
        <v>10000</v>
      </c>
      <c r="E533" s="87"/>
      <c r="F533" s="476">
        <v>111</v>
      </c>
      <c r="G533" s="87">
        <v>10000</v>
      </c>
      <c r="H533" s="87">
        <f t="shared" si="6"/>
        <v>0</v>
      </c>
      <c r="I533" s="509"/>
      <c r="J533" s="525"/>
      <c r="K533" s="398"/>
      <c r="L533" s="398"/>
      <c r="M533" s="398"/>
      <c r="N533" s="86"/>
    </row>
    <row r="534" spans="1:14" s="552" customFormat="1" ht="15.75" x14ac:dyDescent="0.25">
      <c r="A534" s="523"/>
      <c r="B534" s="523" t="s">
        <v>847</v>
      </c>
      <c r="C534" s="553">
        <v>8392</v>
      </c>
      <c r="D534" s="476">
        <v>15000</v>
      </c>
      <c r="E534" s="87"/>
      <c r="F534" s="476">
        <v>167</v>
      </c>
      <c r="G534" s="87">
        <v>15000</v>
      </c>
      <c r="H534" s="87">
        <f t="shared" si="6"/>
        <v>0</v>
      </c>
      <c r="I534" s="509"/>
      <c r="J534" s="525"/>
      <c r="K534" s="398"/>
      <c r="L534" s="398"/>
      <c r="M534" s="398"/>
      <c r="N534" s="86"/>
    </row>
    <row r="535" spans="1:14" s="552" customFormat="1" ht="15.75" x14ac:dyDescent="0.25">
      <c r="A535" s="523"/>
      <c r="B535" s="523" t="s">
        <v>847</v>
      </c>
      <c r="C535" s="553">
        <v>6133</v>
      </c>
      <c r="D535" s="476">
        <v>15000</v>
      </c>
      <c r="E535" s="87"/>
      <c r="F535" s="476">
        <v>167</v>
      </c>
      <c r="G535" s="87">
        <v>15000</v>
      </c>
      <c r="H535" s="87">
        <f t="shared" si="6"/>
        <v>0</v>
      </c>
      <c r="I535" s="509"/>
      <c r="J535" s="525"/>
      <c r="K535" s="398"/>
      <c r="L535" s="398"/>
      <c r="M535" s="398"/>
      <c r="N535" s="86"/>
    </row>
    <row r="536" spans="1:14" s="552" customFormat="1" ht="15.75" x14ac:dyDescent="0.25">
      <c r="A536" s="523"/>
      <c r="B536" s="523" t="s">
        <v>847</v>
      </c>
      <c r="C536" s="553" t="s">
        <v>30</v>
      </c>
      <c r="D536" s="476">
        <v>5000</v>
      </c>
      <c r="E536" s="87"/>
      <c r="F536" s="87">
        <v>55</v>
      </c>
      <c r="G536" s="87">
        <v>5000</v>
      </c>
      <c r="H536" s="87">
        <f t="shared" si="6"/>
        <v>0</v>
      </c>
      <c r="I536" s="509"/>
      <c r="J536" s="525"/>
      <c r="K536" s="398"/>
      <c r="L536" s="398"/>
      <c r="M536" s="398"/>
      <c r="N536" s="86"/>
    </row>
    <row r="537" spans="1:14" s="552" customFormat="1" ht="15.75" x14ac:dyDescent="0.25">
      <c r="A537" s="523"/>
      <c r="B537" s="523" t="s">
        <v>847</v>
      </c>
      <c r="C537" s="553" t="s">
        <v>30</v>
      </c>
      <c r="D537" s="476">
        <v>4500</v>
      </c>
      <c r="E537" s="87"/>
      <c r="F537" s="87">
        <v>50</v>
      </c>
      <c r="G537" s="87">
        <v>4500</v>
      </c>
      <c r="H537" s="87">
        <f t="shared" si="6"/>
        <v>0</v>
      </c>
      <c r="I537" s="509"/>
      <c r="J537" s="525"/>
      <c r="K537" s="398"/>
      <c r="L537" s="398"/>
      <c r="M537" s="398"/>
      <c r="N537" s="86"/>
    </row>
    <row r="538" spans="1:14" s="552" customFormat="1" ht="15.75" x14ac:dyDescent="0.25">
      <c r="A538" s="523"/>
      <c r="B538" s="523" t="s">
        <v>847</v>
      </c>
      <c r="C538" s="553">
        <v>8762</v>
      </c>
      <c r="D538" s="476">
        <v>22000</v>
      </c>
      <c r="E538" s="87"/>
      <c r="F538" s="87">
        <v>245</v>
      </c>
      <c r="G538" s="87">
        <v>22000</v>
      </c>
      <c r="H538" s="87">
        <f t="shared" si="6"/>
        <v>0</v>
      </c>
      <c r="I538" s="509"/>
      <c r="J538" s="525"/>
      <c r="K538" s="398"/>
      <c r="L538" s="398"/>
      <c r="M538" s="398"/>
      <c r="N538" s="86"/>
    </row>
    <row r="539" spans="1:14" s="552" customFormat="1" ht="15.75" x14ac:dyDescent="0.25">
      <c r="A539" s="523"/>
      <c r="B539" s="523" t="s">
        <v>847</v>
      </c>
      <c r="C539" s="553" t="s">
        <v>30</v>
      </c>
      <c r="D539" s="476">
        <v>5000</v>
      </c>
      <c r="E539" s="87"/>
      <c r="F539" s="87">
        <v>55</v>
      </c>
      <c r="G539" s="87">
        <v>5000</v>
      </c>
      <c r="H539" s="87">
        <f t="shared" si="6"/>
        <v>0</v>
      </c>
      <c r="I539" s="509"/>
      <c r="J539" s="525"/>
      <c r="K539" s="398"/>
      <c r="L539" s="398"/>
      <c r="M539" s="398"/>
      <c r="N539" s="86"/>
    </row>
    <row r="540" spans="1:14" s="552" customFormat="1" ht="15.75" x14ac:dyDescent="0.25">
      <c r="A540" s="523"/>
      <c r="B540" s="523" t="s">
        <v>847</v>
      </c>
      <c r="C540" s="553">
        <v>8274</v>
      </c>
      <c r="D540" s="476">
        <v>23302</v>
      </c>
      <c r="E540" s="87"/>
      <c r="F540" s="87">
        <v>259</v>
      </c>
      <c r="G540" s="87">
        <v>23302</v>
      </c>
      <c r="H540" s="87">
        <f t="shared" si="6"/>
        <v>0</v>
      </c>
      <c r="I540" s="509"/>
      <c r="J540" s="525"/>
      <c r="K540" s="398"/>
      <c r="L540" s="398"/>
      <c r="M540" s="398"/>
      <c r="N540" s="86"/>
    </row>
    <row r="541" spans="1:14" s="552" customFormat="1" ht="15.75" x14ac:dyDescent="0.25">
      <c r="A541" s="523"/>
      <c r="B541" s="523" t="s">
        <v>847</v>
      </c>
      <c r="C541" s="553">
        <v>8007</v>
      </c>
      <c r="D541" s="476">
        <v>21500</v>
      </c>
      <c r="E541" s="87"/>
      <c r="F541" s="87">
        <v>239</v>
      </c>
      <c r="G541" s="87">
        <v>21500</v>
      </c>
      <c r="H541" s="87">
        <f t="shared" si="6"/>
        <v>0</v>
      </c>
      <c r="I541" s="509"/>
      <c r="J541" s="525"/>
      <c r="K541" s="398"/>
      <c r="L541" s="398"/>
      <c r="M541" s="398"/>
      <c r="N541" s="86"/>
    </row>
    <row r="542" spans="1:14" s="552" customFormat="1" ht="15.75" x14ac:dyDescent="0.25">
      <c r="A542" s="523"/>
      <c r="B542" s="523" t="s">
        <v>847</v>
      </c>
      <c r="C542" s="553">
        <v>5210</v>
      </c>
      <c r="D542" s="476">
        <v>15000</v>
      </c>
      <c r="E542" s="87"/>
      <c r="F542" s="87">
        <v>167</v>
      </c>
      <c r="G542" s="87">
        <v>15000</v>
      </c>
      <c r="H542" s="87">
        <f t="shared" si="6"/>
        <v>0</v>
      </c>
      <c r="I542" s="509"/>
      <c r="J542" s="525"/>
      <c r="K542" s="398"/>
      <c r="L542" s="398"/>
      <c r="M542" s="398"/>
      <c r="N542" s="86"/>
    </row>
    <row r="543" spans="1:14" s="552" customFormat="1" ht="15.75" x14ac:dyDescent="0.25">
      <c r="A543" s="523"/>
      <c r="B543" s="523" t="s">
        <v>847</v>
      </c>
      <c r="C543" s="553">
        <v>2320</v>
      </c>
      <c r="D543" s="476">
        <v>24000</v>
      </c>
      <c r="E543" s="87"/>
      <c r="F543" s="87">
        <v>267</v>
      </c>
      <c r="G543" s="87">
        <v>24000</v>
      </c>
      <c r="H543" s="87">
        <f t="shared" si="6"/>
        <v>0</v>
      </c>
      <c r="I543" s="509"/>
      <c r="J543" s="525"/>
      <c r="K543" s="398"/>
      <c r="L543" s="398"/>
      <c r="M543" s="398"/>
      <c r="N543" s="86"/>
    </row>
    <row r="544" spans="1:14" s="552" customFormat="1" ht="15.75" x14ac:dyDescent="0.25">
      <c r="A544" s="523"/>
      <c r="B544" s="523" t="s">
        <v>847</v>
      </c>
      <c r="C544" s="553">
        <v>8644</v>
      </c>
      <c r="D544" s="476">
        <v>30000</v>
      </c>
      <c r="E544" s="87"/>
      <c r="F544" s="87">
        <v>334</v>
      </c>
      <c r="G544" s="87">
        <v>30000</v>
      </c>
      <c r="H544" s="87">
        <f t="shared" si="6"/>
        <v>0</v>
      </c>
      <c r="I544" s="509"/>
      <c r="J544" s="525"/>
      <c r="K544" s="398"/>
      <c r="L544" s="398"/>
      <c r="M544" s="398"/>
      <c r="N544" s="86"/>
    </row>
    <row r="545" spans="1:14" s="552" customFormat="1" ht="15.75" x14ac:dyDescent="0.25">
      <c r="A545" s="523"/>
      <c r="B545" s="523" t="s">
        <v>847</v>
      </c>
      <c r="C545" s="553">
        <v>1949</v>
      </c>
      <c r="D545" s="476">
        <v>30000</v>
      </c>
      <c r="E545" s="87"/>
      <c r="F545" s="87">
        <v>334</v>
      </c>
      <c r="G545" s="87">
        <v>30000</v>
      </c>
      <c r="H545" s="87">
        <f t="shared" si="6"/>
        <v>0</v>
      </c>
      <c r="I545" s="509"/>
      <c r="J545" s="525"/>
      <c r="K545" s="398"/>
      <c r="L545" s="398"/>
      <c r="M545" s="398"/>
      <c r="N545" s="86"/>
    </row>
    <row r="546" spans="1:14" s="552" customFormat="1" ht="15.75" x14ac:dyDescent="0.25">
      <c r="A546" s="523"/>
      <c r="B546" s="523" t="s">
        <v>847</v>
      </c>
      <c r="C546" s="553">
        <v>9817</v>
      </c>
      <c r="D546" s="476">
        <v>27000</v>
      </c>
      <c r="E546" s="87"/>
      <c r="F546" s="87">
        <v>300</v>
      </c>
      <c r="G546" s="87">
        <v>27000</v>
      </c>
      <c r="H546" s="87">
        <f t="shared" ref="H546" si="7">D546-G546</f>
        <v>0</v>
      </c>
      <c r="I546" s="509"/>
      <c r="J546" s="525"/>
      <c r="K546" s="398"/>
      <c r="L546" s="398"/>
      <c r="M546" s="398"/>
      <c r="N546" s="86"/>
    </row>
    <row r="547" spans="1:14" s="552" customFormat="1" ht="15.75" x14ac:dyDescent="0.25">
      <c r="A547" s="523"/>
      <c r="B547" s="523" t="s">
        <v>847</v>
      </c>
      <c r="C547" s="553">
        <v>3798</v>
      </c>
      <c r="D547" s="476">
        <v>27000</v>
      </c>
      <c r="E547" s="87"/>
      <c r="F547" s="87">
        <v>300</v>
      </c>
      <c r="G547" s="87">
        <v>27000</v>
      </c>
      <c r="H547" s="87">
        <f t="shared" si="6"/>
        <v>0</v>
      </c>
      <c r="I547" s="509"/>
      <c r="J547" s="525"/>
      <c r="K547" s="398"/>
      <c r="L547" s="398"/>
      <c r="M547" s="398"/>
      <c r="N547" s="86"/>
    </row>
    <row r="548" spans="1:14" s="552" customFormat="1" ht="15.75" x14ac:dyDescent="0.25">
      <c r="A548" s="523"/>
      <c r="B548" s="523" t="s">
        <v>847</v>
      </c>
      <c r="C548" s="553">
        <v>3799</v>
      </c>
      <c r="D548" s="476">
        <v>27000</v>
      </c>
      <c r="E548" s="87"/>
      <c r="F548" s="87">
        <v>300</v>
      </c>
      <c r="G548" s="87">
        <v>27000</v>
      </c>
      <c r="H548" s="87">
        <f t="shared" si="6"/>
        <v>0</v>
      </c>
      <c r="I548" s="509"/>
      <c r="J548" s="525"/>
      <c r="K548" s="398"/>
      <c r="L548" s="398"/>
      <c r="M548" s="398"/>
      <c r="N548" s="86"/>
    </row>
    <row r="549" spans="1:14" s="552" customFormat="1" ht="15.75" x14ac:dyDescent="0.25">
      <c r="A549" s="523"/>
      <c r="B549" s="523" t="s">
        <v>847</v>
      </c>
      <c r="C549" s="553">
        <v>4953</v>
      </c>
      <c r="D549" s="476">
        <v>20000</v>
      </c>
      <c r="E549" s="87"/>
      <c r="F549" s="87">
        <v>211</v>
      </c>
      <c r="G549" s="87">
        <v>20000</v>
      </c>
      <c r="H549" s="87">
        <f t="shared" si="6"/>
        <v>0</v>
      </c>
      <c r="I549" s="509"/>
      <c r="J549" s="525"/>
      <c r="K549" s="398"/>
      <c r="L549" s="398"/>
      <c r="M549" s="398"/>
      <c r="N549" s="86"/>
    </row>
    <row r="550" spans="1:14" s="552" customFormat="1" ht="15.75" x14ac:dyDescent="0.25">
      <c r="A550" s="523"/>
      <c r="B550" s="523" t="s">
        <v>847</v>
      </c>
      <c r="C550" s="553">
        <v>1494</v>
      </c>
      <c r="D550" s="476">
        <v>25000</v>
      </c>
      <c r="E550" s="87"/>
      <c r="F550" s="87">
        <v>278</v>
      </c>
      <c r="G550" s="87">
        <v>25000</v>
      </c>
      <c r="H550" s="87">
        <f t="shared" si="6"/>
        <v>0</v>
      </c>
      <c r="I550" s="509"/>
      <c r="J550" s="525"/>
      <c r="K550" s="398"/>
      <c r="L550" s="398"/>
      <c r="M550" s="398"/>
      <c r="N550" s="86"/>
    </row>
    <row r="551" spans="1:14" s="552" customFormat="1" ht="15.75" x14ac:dyDescent="0.25">
      <c r="A551" s="523"/>
      <c r="B551" s="523" t="s">
        <v>847</v>
      </c>
      <c r="C551" s="553">
        <v>4542</v>
      </c>
      <c r="D551" s="476">
        <v>5000</v>
      </c>
      <c r="E551" s="87"/>
      <c r="F551" s="87">
        <v>55</v>
      </c>
      <c r="G551" s="87">
        <v>5000</v>
      </c>
      <c r="H551" s="87">
        <f t="shared" si="6"/>
        <v>0</v>
      </c>
      <c r="I551" s="509"/>
      <c r="J551" s="525"/>
      <c r="K551" s="398"/>
      <c r="L551" s="398"/>
      <c r="M551" s="398"/>
      <c r="N551" s="86"/>
    </row>
    <row r="552" spans="1:14" s="552" customFormat="1" ht="15.75" x14ac:dyDescent="0.25">
      <c r="A552" s="523"/>
      <c r="B552" s="523" t="s">
        <v>847</v>
      </c>
      <c r="C552" s="553">
        <v>7186</v>
      </c>
      <c r="D552" s="476">
        <v>28000</v>
      </c>
      <c r="E552" s="87"/>
      <c r="F552" s="87">
        <v>311</v>
      </c>
      <c r="G552" s="87">
        <v>28000</v>
      </c>
      <c r="H552" s="87">
        <f t="shared" si="6"/>
        <v>0</v>
      </c>
      <c r="I552" s="509"/>
      <c r="J552" s="525"/>
      <c r="K552" s="398"/>
      <c r="L552" s="398"/>
      <c r="M552" s="398"/>
      <c r="N552" s="86"/>
    </row>
    <row r="553" spans="1:14" s="552" customFormat="1" ht="15.75" x14ac:dyDescent="0.25">
      <c r="A553" s="523"/>
      <c r="B553" s="523" t="s">
        <v>847</v>
      </c>
      <c r="C553" s="553">
        <v>1108</v>
      </c>
      <c r="D553" s="476">
        <v>22000</v>
      </c>
      <c r="E553" s="87"/>
      <c r="F553" s="87">
        <v>245</v>
      </c>
      <c r="G553" s="87">
        <v>22000</v>
      </c>
      <c r="H553" s="87">
        <f t="shared" si="6"/>
        <v>0</v>
      </c>
      <c r="I553" s="509"/>
      <c r="J553" s="525"/>
      <c r="K553" s="398"/>
      <c r="L553" s="398"/>
      <c r="M553" s="398"/>
      <c r="N553" s="86"/>
    </row>
    <row r="554" spans="1:14" s="552" customFormat="1" ht="15.75" x14ac:dyDescent="0.25">
      <c r="A554" s="523"/>
      <c r="B554" s="523" t="s">
        <v>847</v>
      </c>
      <c r="C554" s="553">
        <v>1898</v>
      </c>
      <c r="D554" s="476">
        <v>16400</v>
      </c>
      <c r="E554" s="87"/>
      <c r="F554" s="87">
        <v>182</v>
      </c>
      <c r="G554" s="87">
        <v>16400</v>
      </c>
      <c r="H554" s="87">
        <f t="shared" si="6"/>
        <v>0</v>
      </c>
      <c r="I554" s="509"/>
      <c r="J554" s="525"/>
      <c r="K554" s="398"/>
      <c r="L554" s="398"/>
      <c r="M554" s="398"/>
      <c r="N554" s="86"/>
    </row>
    <row r="555" spans="1:14" s="552" customFormat="1" ht="15.75" x14ac:dyDescent="0.25">
      <c r="A555" s="523"/>
      <c r="B555" s="523" t="s">
        <v>847</v>
      </c>
      <c r="C555" s="553">
        <v>7160</v>
      </c>
      <c r="D555" s="476">
        <v>27378</v>
      </c>
      <c r="E555" s="87"/>
      <c r="F555" s="87">
        <v>305</v>
      </c>
      <c r="G555" s="87">
        <v>27378</v>
      </c>
      <c r="H555" s="87">
        <f t="shared" si="6"/>
        <v>0</v>
      </c>
      <c r="I555" s="509"/>
      <c r="J555" s="525"/>
      <c r="K555" s="398"/>
      <c r="L555" s="398"/>
      <c r="M555" s="398"/>
      <c r="N555" s="86"/>
    </row>
    <row r="556" spans="1:14" s="552" customFormat="1" ht="15.75" x14ac:dyDescent="0.25">
      <c r="A556" s="523"/>
      <c r="B556" s="523" t="s">
        <v>847</v>
      </c>
      <c r="C556" s="553" t="s">
        <v>872</v>
      </c>
      <c r="D556" s="476">
        <v>15000</v>
      </c>
      <c r="E556" s="87"/>
      <c r="F556" s="87">
        <v>167</v>
      </c>
      <c r="G556" s="87">
        <v>15000</v>
      </c>
      <c r="H556" s="87">
        <f t="shared" si="6"/>
        <v>0</v>
      </c>
      <c r="I556" s="509"/>
      <c r="J556" s="525"/>
      <c r="K556" s="398"/>
      <c r="L556" s="398"/>
      <c r="M556" s="398"/>
      <c r="N556" s="86"/>
    </row>
    <row r="557" spans="1:14" s="552" customFormat="1" ht="15.75" x14ac:dyDescent="0.25">
      <c r="A557" s="523"/>
      <c r="B557" s="523" t="s">
        <v>847</v>
      </c>
      <c r="C557" s="553" t="s">
        <v>873</v>
      </c>
      <c r="D557" s="476">
        <v>35000</v>
      </c>
      <c r="E557" s="87"/>
      <c r="F557" s="87">
        <v>382</v>
      </c>
      <c r="G557" s="87">
        <v>35000</v>
      </c>
      <c r="H557" s="87">
        <f t="shared" si="6"/>
        <v>0</v>
      </c>
      <c r="I557" s="509"/>
      <c r="J557" s="525"/>
      <c r="K557" s="398"/>
      <c r="L557" s="398"/>
      <c r="M557" s="398"/>
      <c r="N557" s="86"/>
    </row>
    <row r="558" spans="1:14" s="552" customFormat="1" ht="15.75" x14ac:dyDescent="0.25">
      <c r="A558" s="523"/>
      <c r="B558" s="523" t="s">
        <v>847</v>
      </c>
      <c r="C558" s="553" t="s">
        <v>874</v>
      </c>
      <c r="D558" s="476">
        <v>22000</v>
      </c>
      <c r="E558" s="87"/>
      <c r="F558" s="87">
        <v>245</v>
      </c>
      <c r="G558" s="87">
        <v>22000</v>
      </c>
      <c r="H558" s="87">
        <f t="shared" si="6"/>
        <v>0</v>
      </c>
      <c r="I558" s="509"/>
      <c r="J558" s="525"/>
      <c r="K558" s="398"/>
      <c r="L558" s="398"/>
      <c r="M558" s="398"/>
      <c r="N558" s="86"/>
    </row>
    <row r="559" spans="1:14" s="552" customFormat="1" ht="15.75" x14ac:dyDescent="0.25">
      <c r="A559" s="523"/>
      <c r="B559" s="523" t="s">
        <v>848</v>
      </c>
      <c r="C559" s="553" t="s">
        <v>873</v>
      </c>
      <c r="D559" s="476">
        <v>17000</v>
      </c>
      <c r="E559" s="87"/>
      <c r="F559" s="87">
        <v>189</v>
      </c>
      <c r="G559" s="87">
        <v>17000</v>
      </c>
      <c r="H559" s="87">
        <f t="shared" si="6"/>
        <v>0</v>
      </c>
      <c r="I559" s="509"/>
      <c r="J559" s="525"/>
      <c r="K559" s="398"/>
      <c r="L559" s="398"/>
      <c r="M559" s="398"/>
      <c r="N559" s="86"/>
    </row>
    <row r="560" spans="1:14" s="552" customFormat="1" ht="15.75" x14ac:dyDescent="0.25">
      <c r="A560" s="523"/>
      <c r="B560" s="523" t="s">
        <v>848</v>
      </c>
      <c r="C560" s="553">
        <v>6364</v>
      </c>
      <c r="D560" s="476">
        <v>19000</v>
      </c>
      <c r="E560" s="87"/>
      <c r="F560" s="87">
        <v>211</v>
      </c>
      <c r="G560" s="87">
        <v>19000</v>
      </c>
      <c r="H560" s="87">
        <f t="shared" si="6"/>
        <v>0</v>
      </c>
      <c r="I560" s="509"/>
      <c r="J560" s="525"/>
      <c r="K560" s="398"/>
      <c r="L560" s="398"/>
      <c r="M560" s="398"/>
      <c r="N560" s="86"/>
    </row>
    <row r="561" spans="1:14" s="552" customFormat="1" ht="15.75" x14ac:dyDescent="0.25">
      <c r="A561" s="523"/>
      <c r="B561" s="523" t="s">
        <v>848</v>
      </c>
      <c r="C561" s="553">
        <v>9183</v>
      </c>
      <c r="D561" s="476">
        <v>13000</v>
      </c>
      <c r="E561" s="87"/>
      <c r="F561" s="87">
        <v>144</v>
      </c>
      <c r="G561" s="87">
        <v>13000</v>
      </c>
      <c r="H561" s="87">
        <f t="shared" si="6"/>
        <v>0</v>
      </c>
      <c r="I561" s="509"/>
      <c r="J561" s="525"/>
      <c r="K561" s="398"/>
      <c r="L561" s="398"/>
      <c r="M561" s="398"/>
      <c r="N561" s="86"/>
    </row>
    <row r="562" spans="1:14" s="552" customFormat="1" ht="15.75" x14ac:dyDescent="0.25">
      <c r="A562" s="523"/>
      <c r="B562" s="523" t="s">
        <v>848</v>
      </c>
      <c r="C562" s="553">
        <v>3568</v>
      </c>
      <c r="D562" s="476">
        <v>16000</v>
      </c>
      <c r="E562" s="87"/>
      <c r="F562" s="87">
        <v>178</v>
      </c>
      <c r="G562" s="87">
        <v>16000</v>
      </c>
      <c r="H562" s="87">
        <f t="shared" si="6"/>
        <v>0</v>
      </c>
      <c r="I562" s="509"/>
      <c r="J562" s="525"/>
      <c r="K562" s="398"/>
      <c r="L562" s="398"/>
      <c r="M562" s="398"/>
      <c r="N562" s="86"/>
    </row>
    <row r="563" spans="1:14" s="552" customFormat="1" ht="15.75" x14ac:dyDescent="0.25">
      <c r="A563" s="523"/>
      <c r="B563" s="523" t="s">
        <v>848</v>
      </c>
      <c r="C563" s="554" t="s">
        <v>875</v>
      </c>
      <c r="D563" s="476">
        <v>10000</v>
      </c>
      <c r="E563" s="87"/>
      <c r="F563" s="87">
        <v>111</v>
      </c>
      <c r="G563" s="87">
        <v>10000</v>
      </c>
      <c r="H563" s="87">
        <f t="shared" si="6"/>
        <v>0</v>
      </c>
      <c r="I563" s="509"/>
      <c r="J563" s="525"/>
      <c r="K563" s="398"/>
      <c r="L563" s="398"/>
      <c r="M563" s="398"/>
      <c r="N563" s="86"/>
    </row>
    <row r="564" spans="1:14" s="552" customFormat="1" ht="15.75" x14ac:dyDescent="0.25">
      <c r="A564" s="523"/>
      <c r="B564" s="523" t="s">
        <v>848</v>
      </c>
      <c r="C564" s="553">
        <v>7258</v>
      </c>
      <c r="D564" s="476">
        <v>26000</v>
      </c>
      <c r="E564" s="87"/>
      <c r="F564" s="87">
        <v>289</v>
      </c>
      <c r="G564" s="87">
        <v>26000</v>
      </c>
      <c r="H564" s="87">
        <f t="shared" si="6"/>
        <v>0</v>
      </c>
      <c r="I564" s="509"/>
      <c r="J564" s="525"/>
      <c r="K564" s="398"/>
      <c r="L564" s="398"/>
      <c r="M564" s="398"/>
      <c r="N564" s="86"/>
    </row>
    <row r="565" spans="1:14" s="552" customFormat="1" ht="15.75" x14ac:dyDescent="0.25">
      <c r="A565" s="523"/>
      <c r="B565" s="523" t="s">
        <v>848</v>
      </c>
      <c r="C565" s="553">
        <v>2951</v>
      </c>
      <c r="D565" s="476">
        <v>10000</v>
      </c>
      <c r="E565" s="87"/>
      <c r="F565" s="87">
        <v>111</v>
      </c>
      <c r="G565" s="87">
        <v>10000</v>
      </c>
      <c r="H565" s="87">
        <f t="shared" si="6"/>
        <v>0</v>
      </c>
      <c r="I565" s="509"/>
      <c r="J565" s="525"/>
      <c r="K565" s="398"/>
      <c r="L565" s="398"/>
      <c r="M565" s="398"/>
      <c r="N565" s="86"/>
    </row>
    <row r="566" spans="1:14" s="552" customFormat="1" ht="15.75" x14ac:dyDescent="0.25">
      <c r="A566" s="523"/>
      <c r="B566" s="523" t="s">
        <v>848</v>
      </c>
      <c r="C566" s="554" t="s">
        <v>876</v>
      </c>
      <c r="D566" s="476">
        <v>18000</v>
      </c>
      <c r="E566" s="87"/>
      <c r="F566" s="87">
        <v>179</v>
      </c>
      <c r="G566" s="87">
        <v>18000</v>
      </c>
      <c r="H566" s="87">
        <f t="shared" si="6"/>
        <v>0</v>
      </c>
      <c r="I566" s="509"/>
      <c r="J566" s="525"/>
      <c r="K566" s="398"/>
      <c r="L566" s="398"/>
      <c r="M566" s="398"/>
      <c r="N566" s="86"/>
    </row>
    <row r="567" spans="1:14" s="552" customFormat="1" ht="15.75" x14ac:dyDescent="0.25">
      <c r="A567" s="523"/>
      <c r="B567" s="523" t="s">
        <v>848</v>
      </c>
      <c r="C567" s="553">
        <v>1547</v>
      </c>
      <c r="D567" s="476">
        <v>18000</v>
      </c>
      <c r="E567" s="87"/>
      <c r="F567" s="87">
        <v>200</v>
      </c>
      <c r="G567" s="87">
        <v>18000</v>
      </c>
      <c r="H567" s="87">
        <f t="shared" si="6"/>
        <v>0</v>
      </c>
      <c r="I567" s="509"/>
      <c r="J567" s="525"/>
      <c r="K567" s="398"/>
      <c r="L567" s="398"/>
      <c r="M567" s="398"/>
      <c r="N567" s="86"/>
    </row>
    <row r="568" spans="1:14" s="552" customFormat="1" ht="15.75" x14ac:dyDescent="0.25">
      <c r="A568" s="523"/>
      <c r="B568" s="523" t="s">
        <v>848</v>
      </c>
      <c r="C568" s="553">
        <v>1543</v>
      </c>
      <c r="D568" s="476">
        <v>18000</v>
      </c>
      <c r="E568" s="87"/>
      <c r="F568" s="87">
        <v>200</v>
      </c>
      <c r="G568" s="87">
        <v>18000</v>
      </c>
      <c r="H568" s="87">
        <f t="shared" si="6"/>
        <v>0</v>
      </c>
      <c r="I568" s="509"/>
      <c r="J568" s="525"/>
      <c r="K568" s="398"/>
      <c r="L568" s="398"/>
      <c r="M568" s="398"/>
      <c r="N568" s="86"/>
    </row>
    <row r="569" spans="1:14" s="552" customFormat="1" ht="15.75" x14ac:dyDescent="0.25">
      <c r="A569" s="523"/>
      <c r="B569" s="523" t="s">
        <v>848</v>
      </c>
      <c r="C569" s="553" t="s">
        <v>30</v>
      </c>
      <c r="D569" s="476">
        <v>5000</v>
      </c>
      <c r="E569" s="87"/>
      <c r="F569" s="87">
        <v>55</v>
      </c>
      <c r="G569" s="87">
        <v>5000</v>
      </c>
      <c r="H569" s="87">
        <f t="shared" si="6"/>
        <v>0</v>
      </c>
      <c r="I569" s="509"/>
      <c r="J569" s="525"/>
      <c r="K569" s="398"/>
      <c r="L569" s="398"/>
      <c r="M569" s="398"/>
      <c r="N569" s="86"/>
    </row>
    <row r="570" spans="1:14" s="552" customFormat="1" ht="15.75" x14ac:dyDescent="0.25">
      <c r="A570" s="523"/>
      <c r="B570" s="523" t="s">
        <v>848</v>
      </c>
      <c r="C570" s="553">
        <v>1270</v>
      </c>
      <c r="D570" s="476">
        <v>13000</v>
      </c>
      <c r="E570" s="87"/>
      <c r="F570" s="87">
        <v>144</v>
      </c>
      <c r="G570" s="87">
        <v>13000</v>
      </c>
      <c r="H570" s="87">
        <f t="shared" si="6"/>
        <v>0</v>
      </c>
      <c r="I570" s="509"/>
      <c r="J570" s="525"/>
      <c r="K570" s="398"/>
      <c r="L570" s="398"/>
      <c r="M570" s="398"/>
      <c r="N570" s="86"/>
    </row>
    <row r="571" spans="1:14" s="552" customFormat="1" ht="15.75" x14ac:dyDescent="0.25">
      <c r="A571" s="523"/>
      <c r="B571" s="523" t="s">
        <v>848</v>
      </c>
      <c r="C571" s="553">
        <v>7555</v>
      </c>
      <c r="D571" s="476">
        <v>20000</v>
      </c>
      <c r="E571" s="87"/>
      <c r="F571" s="87">
        <v>222</v>
      </c>
      <c r="G571" s="87">
        <v>20000</v>
      </c>
      <c r="H571" s="87">
        <f t="shared" si="6"/>
        <v>0</v>
      </c>
      <c r="I571" s="509"/>
      <c r="J571" s="525"/>
      <c r="K571" s="398"/>
      <c r="L571" s="398"/>
      <c r="M571" s="398"/>
      <c r="N571" s="86"/>
    </row>
    <row r="572" spans="1:14" s="552" customFormat="1" ht="15.75" x14ac:dyDescent="0.25">
      <c r="A572" s="523"/>
      <c r="B572" s="523" t="s">
        <v>848</v>
      </c>
      <c r="C572" s="553">
        <v>9996</v>
      </c>
      <c r="D572" s="476">
        <v>10000</v>
      </c>
      <c r="E572" s="87"/>
      <c r="F572" s="476">
        <v>111</v>
      </c>
      <c r="G572" s="87">
        <v>10000</v>
      </c>
      <c r="H572" s="87">
        <f t="shared" si="6"/>
        <v>0</v>
      </c>
      <c r="I572" s="509"/>
      <c r="J572" s="525"/>
      <c r="K572" s="398"/>
      <c r="L572" s="398"/>
      <c r="M572" s="398"/>
      <c r="N572" s="86"/>
    </row>
    <row r="573" spans="1:14" s="552" customFormat="1" ht="15.75" x14ac:dyDescent="0.25">
      <c r="A573" s="523"/>
      <c r="B573" s="523" t="s">
        <v>848</v>
      </c>
      <c r="C573" s="553">
        <v>4618</v>
      </c>
      <c r="D573" s="476">
        <v>22000</v>
      </c>
      <c r="E573" s="87"/>
      <c r="F573" s="476">
        <v>249</v>
      </c>
      <c r="G573" s="87">
        <v>22000</v>
      </c>
      <c r="H573" s="87">
        <f t="shared" si="6"/>
        <v>0</v>
      </c>
      <c r="I573" s="509"/>
      <c r="J573" s="525"/>
      <c r="K573" s="398"/>
      <c r="L573" s="398"/>
      <c r="M573" s="398"/>
      <c r="N573" s="86"/>
    </row>
    <row r="574" spans="1:14" s="552" customFormat="1" ht="15.75" x14ac:dyDescent="0.25">
      <c r="A574" s="523"/>
      <c r="B574" s="523" t="s">
        <v>848</v>
      </c>
      <c r="C574" s="554" t="s">
        <v>877</v>
      </c>
      <c r="D574" s="476">
        <v>20000</v>
      </c>
      <c r="E574" s="87"/>
      <c r="F574" s="476">
        <v>222</v>
      </c>
      <c r="G574" s="87">
        <v>20000</v>
      </c>
      <c r="H574" s="87">
        <f t="shared" si="6"/>
        <v>0</v>
      </c>
      <c r="I574" s="509"/>
      <c r="J574" s="525"/>
      <c r="K574" s="398"/>
      <c r="L574" s="398"/>
      <c r="M574" s="398"/>
      <c r="N574" s="86"/>
    </row>
    <row r="575" spans="1:14" s="552" customFormat="1" ht="15.75" x14ac:dyDescent="0.25">
      <c r="A575" s="523"/>
      <c r="B575" s="523" t="s">
        <v>848</v>
      </c>
      <c r="C575" s="553">
        <v>8762</v>
      </c>
      <c r="D575" s="476">
        <v>30000</v>
      </c>
      <c r="E575" s="87"/>
      <c r="F575" s="87">
        <v>309</v>
      </c>
      <c r="G575" s="87">
        <v>30000</v>
      </c>
      <c r="H575" s="87">
        <f t="shared" si="6"/>
        <v>0</v>
      </c>
      <c r="I575" s="509"/>
      <c r="J575" s="525"/>
      <c r="K575" s="398"/>
      <c r="L575" s="398"/>
      <c r="M575" s="398"/>
      <c r="N575" s="86"/>
    </row>
    <row r="576" spans="1:14" s="552" customFormat="1" ht="15.75" x14ac:dyDescent="0.25">
      <c r="A576" s="523"/>
      <c r="B576" s="523" t="s">
        <v>848</v>
      </c>
      <c r="C576" s="553">
        <v>5409</v>
      </c>
      <c r="D576" s="476">
        <v>22000</v>
      </c>
      <c r="E576" s="87"/>
      <c r="F576" s="87">
        <v>243</v>
      </c>
      <c r="G576" s="87">
        <v>22000</v>
      </c>
      <c r="H576" s="87">
        <f t="shared" si="6"/>
        <v>0</v>
      </c>
      <c r="I576" s="509"/>
      <c r="J576" s="525"/>
      <c r="K576" s="398"/>
      <c r="L576" s="398"/>
      <c r="M576" s="398"/>
      <c r="N576" s="86"/>
    </row>
    <row r="577" spans="1:14" s="552" customFormat="1" ht="15.75" x14ac:dyDescent="0.25">
      <c r="A577" s="523"/>
      <c r="B577" s="523" t="s">
        <v>848</v>
      </c>
      <c r="C577" s="553">
        <v>3585</v>
      </c>
      <c r="D577" s="476">
        <v>27000</v>
      </c>
      <c r="E577" s="87"/>
      <c r="F577" s="87">
        <v>300</v>
      </c>
      <c r="G577" s="87">
        <v>27000</v>
      </c>
      <c r="H577" s="87">
        <f t="shared" si="6"/>
        <v>0</v>
      </c>
      <c r="I577" s="509"/>
      <c r="J577" s="525"/>
      <c r="K577" s="398"/>
      <c r="L577" s="398"/>
      <c r="M577" s="398"/>
      <c r="N577" s="86"/>
    </row>
    <row r="578" spans="1:14" s="552" customFormat="1" ht="15.75" x14ac:dyDescent="0.25">
      <c r="A578" s="523"/>
      <c r="B578" s="523" t="s">
        <v>849</v>
      </c>
      <c r="C578" s="553">
        <v>3865</v>
      </c>
      <c r="D578" s="476">
        <v>12000</v>
      </c>
      <c r="E578" s="87"/>
      <c r="F578" s="87">
        <v>133</v>
      </c>
      <c r="G578" s="87">
        <v>12000</v>
      </c>
      <c r="H578" s="87">
        <f t="shared" si="6"/>
        <v>0</v>
      </c>
      <c r="I578" s="509"/>
      <c r="J578" s="525"/>
      <c r="K578" s="398"/>
      <c r="L578" s="398"/>
      <c r="M578" s="398"/>
      <c r="N578" s="86"/>
    </row>
    <row r="579" spans="1:14" s="552" customFormat="1" ht="15.75" x14ac:dyDescent="0.25">
      <c r="A579" s="523"/>
      <c r="B579" s="523" t="s">
        <v>849</v>
      </c>
      <c r="C579" s="553" t="s">
        <v>30</v>
      </c>
      <c r="D579" s="476">
        <v>4500</v>
      </c>
      <c r="E579" s="87"/>
      <c r="F579" s="87">
        <v>50</v>
      </c>
      <c r="G579" s="87">
        <v>4500</v>
      </c>
      <c r="H579" s="87">
        <f t="shared" si="6"/>
        <v>0</v>
      </c>
      <c r="I579" s="509"/>
      <c r="J579" s="525"/>
      <c r="K579" s="398"/>
      <c r="L579" s="398"/>
      <c r="M579" s="398"/>
      <c r="N579" s="86"/>
    </row>
    <row r="580" spans="1:14" s="552" customFormat="1" ht="15.75" x14ac:dyDescent="0.25">
      <c r="A580" s="523"/>
      <c r="B580" s="523" t="s">
        <v>849</v>
      </c>
      <c r="C580" s="553">
        <v>6353</v>
      </c>
      <c r="D580" s="476">
        <v>10000</v>
      </c>
      <c r="E580" s="87"/>
      <c r="F580" s="87">
        <v>111</v>
      </c>
      <c r="G580" s="87">
        <v>10000</v>
      </c>
      <c r="H580" s="87">
        <f t="shared" si="6"/>
        <v>0</v>
      </c>
      <c r="I580" s="509"/>
      <c r="J580" s="525"/>
      <c r="K580" s="398"/>
      <c r="L580" s="398"/>
      <c r="M580" s="398"/>
      <c r="N580" s="86"/>
    </row>
    <row r="581" spans="1:14" s="552" customFormat="1" ht="15.75" x14ac:dyDescent="0.25">
      <c r="A581" s="523"/>
      <c r="B581" s="523" t="s">
        <v>849</v>
      </c>
      <c r="C581" s="553">
        <v>6957</v>
      </c>
      <c r="D581" s="476">
        <v>18000</v>
      </c>
      <c r="E581" s="87"/>
      <c r="F581" s="87">
        <v>200</v>
      </c>
      <c r="G581" s="87">
        <v>18000</v>
      </c>
      <c r="H581" s="87">
        <f t="shared" si="6"/>
        <v>0</v>
      </c>
      <c r="I581" s="509"/>
      <c r="J581" s="525"/>
      <c r="K581" s="398"/>
      <c r="L581" s="398"/>
      <c r="M581" s="398"/>
      <c r="N581" s="86"/>
    </row>
    <row r="582" spans="1:14" s="552" customFormat="1" ht="15.75" x14ac:dyDescent="0.25">
      <c r="A582" s="523"/>
      <c r="B582" s="523" t="s">
        <v>849</v>
      </c>
      <c r="C582" s="553">
        <v>1091</v>
      </c>
      <c r="D582" s="476">
        <v>20000</v>
      </c>
      <c r="E582" s="87"/>
      <c r="F582" s="87">
        <v>222</v>
      </c>
      <c r="G582" s="87">
        <v>20000</v>
      </c>
      <c r="H582" s="87">
        <f t="shared" si="6"/>
        <v>0</v>
      </c>
      <c r="I582" s="509"/>
      <c r="J582" s="525"/>
      <c r="K582" s="398"/>
      <c r="L582" s="398"/>
      <c r="M582" s="398"/>
      <c r="N582" s="86"/>
    </row>
    <row r="583" spans="1:14" s="552" customFormat="1" ht="15.75" x14ac:dyDescent="0.25">
      <c r="A583" s="523"/>
      <c r="B583" s="523" t="s">
        <v>849</v>
      </c>
      <c r="C583" s="553">
        <v>5403</v>
      </c>
      <c r="D583" s="476">
        <v>20000</v>
      </c>
      <c r="E583" s="87"/>
      <c r="F583" s="87">
        <v>222</v>
      </c>
      <c r="G583" s="87">
        <v>20000</v>
      </c>
      <c r="H583" s="87">
        <f t="shared" si="6"/>
        <v>0</v>
      </c>
      <c r="I583" s="509"/>
      <c r="J583" s="525"/>
      <c r="K583" s="398"/>
      <c r="L583" s="398"/>
      <c r="M583" s="398"/>
      <c r="N583" s="86"/>
    </row>
    <row r="584" spans="1:14" s="552" customFormat="1" ht="15.75" x14ac:dyDescent="0.25">
      <c r="A584" s="523"/>
      <c r="B584" s="523" t="s">
        <v>849</v>
      </c>
      <c r="C584" s="553">
        <v>6317</v>
      </c>
      <c r="D584" s="476">
        <v>28000</v>
      </c>
      <c r="E584" s="87"/>
      <c r="F584" s="87">
        <v>311</v>
      </c>
      <c r="G584" s="87">
        <v>28000</v>
      </c>
      <c r="H584" s="87">
        <f t="shared" si="6"/>
        <v>0</v>
      </c>
      <c r="I584" s="509"/>
      <c r="J584" s="525"/>
      <c r="K584" s="398"/>
      <c r="L584" s="398"/>
      <c r="M584" s="398"/>
      <c r="N584" s="86"/>
    </row>
    <row r="585" spans="1:14" s="552" customFormat="1" ht="15.75" x14ac:dyDescent="0.25">
      <c r="A585" s="523"/>
      <c r="B585" s="523" t="s">
        <v>849</v>
      </c>
      <c r="C585" s="553">
        <v>2377</v>
      </c>
      <c r="D585" s="476">
        <v>22000</v>
      </c>
      <c r="E585" s="87"/>
      <c r="F585" s="87">
        <v>245</v>
      </c>
      <c r="G585" s="87">
        <v>22000</v>
      </c>
      <c r="H585" s="87">
        <f t="shared" si="6"/>
        <v>0</v>
      </c>
      <c r="I585" s="509"/>
      <c r="J585" s="525"/>
      <c r="K585" s="398"/>
      <c r="L585" s="398"/>
      <c r="M585" s="398"/>
      <c r="N585" s="86"/>
    </row>
    <row r="586" spans="1:14" s="552" customFormat="1" ht="15.75" x14ac:dyDescent="0.25">
      <c r="A586" s="523"/>
      <c r="B586" s="523" t="s">
        <v>849</v>
      </c>
      <c r="C586" s="553">
        <v>4608</v>
      </c>
      <c r="D586" s="476">
        <v>21000</v>
      </c>
      <c r="E586" s="87"/>
      <c r="F586" s="87">
        <v>236</v>
      </c>
      <c r="G586" s="87">
        <v>21000</v>
      </c>
      <c r="H586" s="87">
        <f t="shared" si="6"/>
        <v>0</v>
      </c>
      <c r="I586" s="509"/>
      <c r="J586" s="525"/>
      <c r="K586" s="398"/>
      <c r="L586" s="398"/>
      <c r="M586" s="398"/>
      <c r="N586" s="86"/>
    </row>
    <row r="587" spans="1:14" s="552" customFormat="1" ht="15.75" x14ac:dyDescent="0.25">
      <c r="A587" s="523"/>
      <c r="B587" s="523" t="s">
        <v>849</v>
      </c>
      <c r="C587" s="553">
        <v>1119</v>
      </c>
      <c r="D587" s="476">
        <v>10000</v>
      </c>
      <c r="E587" s="87"/>
      <c r="F587" s="87">
        <v>111</v>
      </c>
      <c r="G587" s="87">
        <v>10000</v>
      </c>
      <c r="H587" s="87">
        <f t="shared" si="6"/>
        <v>0</v>
      </c>
      <c r="I587" s="509"/>
      <c r="J587" s="525"/>
      <c r="K587" s="398"/>
      <c r="L587" s="398"/>
      <c r="M587" s="398"/>
      <c r="N587" s="86"/>
    </row>
    <row r="588" spans="1:14" s="552" customFormat="1" ht="15.75" x14ac:dyDescent="0.25">
      <c r="A588" s="523"/>
      <c r="B588" s="523" t="s">
        <v>849</v>
      </c>
      <c r="C588" s="553">
        <v>7337</v>
      </c>
      <c r="D588" s="476">
        <v>30000</v>
      </c>
      <c r="E588" s="87"/>
      <c r="F588" s="87">
        <v>331</v>
      </c>
      <c r="G588" s="87">
        <v>30000</v>
      </c>
      <c r="H588" s="87">
        <f t="shared" si="6"/>
        <v>0</v>
      </c>
      <c r="I588" s="509"/>
      <c r="J588" s="525"/>
      <c r="K588" s="398"/>
      <c r="L588" s="398"/>
      <c r="M588" s="398"/>
      <c r="N588" s="86"/>
    </row>
    <row r="589" spans="1:14" s="552" customFormat="1" ht="15.75" x14ac:dyDescent="0.25">
      <c r="A589" s="523"/>
      <c r="B589" s="523" t="s">
        <v>849</v>
      </c>
      <c r="C589" s="553">
        <v>8869</v>
      </c>
      <c r="D589" s="476">
        <v>25000</v>
      </c>
      <c r="E589" s="87"/>
      <c r="F589" s="87">
        <v>275</v>
      </c>
      <c r="G589" s="87">
        <v>25000</v>
      </c>
      <c r="H589" s="87">
        <f t="shared" si="6"/>
        <v>0</v>
      </c>
      <c r="I589" s="509"/>
      <c r="J589" s="525"/>
      <c r="K589" s="398"/>
      <c r="L589" s="398"/>
      <c r="M589" s="398"/>
      <c r="N589" s="86"/>
    </row>
    <row r="590" spans="1:14" s="552" customFormat="1" ht="15.75" x14ac:dyDescent="0.25">
      <c r="A590" s="523"/>
      <c r="B590" s="523" t="s">
        <v>849</v>
      </c>
      <c r="C590" s="553" t="s">
        <v>819</v>
      </c>
      <c r="D590" s="476">
        <v>3500</v>
      </c>
      <c r="E590" s="87"/>
      <c r="F590" s="87">
        <v>38</v>
      </c>
      <c r="G590" s="87">
        <v>3500</v>
      </c>
      <c r="H590" s="87">
        <f t="shared" si="6"/>
        <v>0</v>
      </c>
      <c r="I590" s="509"/>
      <c r="J590" s="525"/>
      <c r="K590" s="398"/>
      <c r="L590" s="398"/>
      <c r="M590" s="398"/>
      <c r="N590" s="86"/>
    </row>
    <row r="591" spans="1:14" s="552" customFormat="1" ht="15.75" x14ac:dyDescent="0.25">
      <c r="A591" s="523"/>
      <c r="B591" s="523" t="s">
        <v>849</v>
      </c>
      <c r="C591" s="553" t="s">
        <v>66</v>
      </c>
      <c r="D591" s="476">
        <v>210</v>
      </c>
      <c r="E591" s="87"/>
      <c r="F591" s="87" t="s">
        <v>587</v>
      </c>
      <c r="G591" s="87">
        <v>210</v>
      </c>
      <c r="H591" s="87">
        <f t="shared" si="6"/>
        <v>0</v>
      </c>
      <c r="I591" s="509"/>
      <c r="J591" s="525"/>
      <c r="K591" s="398"/>
      <c r="L591" s="398"/>
      <c r="M591" s="398"/>
      <c r="N591" s="86"/>
    </row>
    <row r="592" spans="1:14" s="552" customFormat="1" ht="15.75" x14ac:dyDescent="0.25">
      <c r="A592" s="523"/>
      <c r="B592" s="523" t="s">
        <v>849</v>
      </c>
      <c r="C592" s="553">
        <v>1467</v>
      </c>
      <c r="D592" s="476">
        <v>24000</v>
      </c>
      <c r="E592" s="87"/>
      <c r="F592" s="87">
        <v>267</v>
      </c>
      <c r="G592" s="87">
        <v>24000</v>
      </c>
      <c r="H592" s="87">
        <f t="shared" si="6"/>
        <v>0</v>
      </c>
      <c r="I592" s="509"/>
      <c r="J592" s="525"/>
      <c r="K592" s="398"/>
      <c r="L592" s="398"/>
      <c r="M592" s="398"/>
      <c r="N592" s="86"/>
    </row>
    <row r="593" spans="1:14" s="552" customFormat="1" ht="15.75" x14ac:dyDescent="0.25">
      <c r="A593" s="523"/>
      <c r="B593" s="523" t="s">
        <v>849</v>
      </c>
      <c r="C593" s="553">
        <v>1436</v>
      </c>
      <c r="D593" s="476">
        <v>20000</v>
      </c>
      <c r="E593" s="87"/>
      <c r="F593" s="87">
        <v>222</v>
      </c>
      <c r="G593" s="87">
        <v>20000</v>
      </c>
      <c r="H593" s="87">
        <f t="shared" si="6"/>
        <v>0</v>
      </c>
      <c r="I593" s="509"/>
      <c r="J593" s="525"/>
      <c r="K593" s="398"/>
      <c r="L593" s="398"/>
      <c r="M593" s="398"/>
      <c r="N593" s="86"/>
    </row>
    <row r="594" spans="1:14" s="552" customFormat="1" ht="15.75" x14ac:dyDescent="0.25">
      <c r="A594" s="523"/>
      <c r="B594" s="523" t="s">
        <v>849</v>
      </c>
      <c r="C594" s="553">
        <v>3790</v>
      </c>
      <c r="D594" s="476">
        <v>30000</v>
      </c>
      <c r="E594" s="87"/>
      <c r="F594" s="87">
        <v>314</v>
      </c>
      <c r="G594" s="87">
        <v>30000</v>
      </c>
      <c r="H594" s="87">
        <f t="shared" si="6"/>
        <v>0</v>
      </c>
      <c r="I594" s="509"/>
      <c r="J594" s="525"/>
      <c r="K594" s="398"/>
      <c r="L594" s="398"/>
      <c r="M594" s="398"/>
      <c r="N594" s="86"/>
    </row>
    <row r="595" spans="1:14" s="552" customFormat="1" ht="15.75" x14ac:dyDescent="0.25">
      <c r="A595" s="523"/>
      <c r="B595" s="523" t="s">
        <v>849</v>
      </c>
      <c r="C595" s="553">
        <v>6151</v>
      </c>
      <c r="D595" s="476">
        <v>17774</v>
      </c>
      <c r="E595" s="87"/>
      <c r="F595" s="87">
        <v>198</v>
      </c>
      <c r="G595" s="87">
        <v>17774</v>
      </c>
      <c r="H595" s="87">
        <f t="shared" si="6"/>
        <v>0</v>
      </c>
      <c r="I595" s="509"/>
      <c r="J595" s="525"/>
      <c r="K595" s="398"/>
      <c r="L595" s="398"/>
      <c r="M595" s="398"/>
      <c r="N595" s="86"/>
    </row>
    <row r="596" spans="1:14" s="552" customFormat="1" ht="15.75" x14ac:dyDescent="0.25">
      <c r="A596" s="523"/>
      <c r="B596" s="523" t="s">
        <v>849</v>
      </c>
      <c r="C596" s="553">
        <v>7004</v>
      </c>
      <c r="D596" s="476">
        <v>26000</v>
      </c>
      <c r="E596" s="87"/>
      <c r="F596" s="87">
        <v>289</v>
      </c>
      <c r="G596" s="87">
        <v>26000</v>
      </c>
      <c r="H596" s="87">
        <f t="shared" si="6"/>
        <v>0</v>
      </c>
      <c r="I596" s="509"/>
      <c r="J596" s="525"/>
      <c r="K596" s="398"/>
      <c r="L596" s="398"/>
      <c r="M596" s="398"/>
      <c r="N596" s="86"/>
    </row>
    <row r="597" spans="1:14" s="552" customFormat="1" ht="15.75" x14ac:dyDescent="0.25">
      <c r="A597" s="523"/>
      <c r="B597" s="523" t="s">
        <v>849</v>
      </c>
      <c r="C597" s="553">
        <v>9903</v>
      </c>
      <c r="D597" s="476">
        <v>23000</v>
      </c>
      <c r="E597" s="87"/>
      <c r="F597" s="87">
        <v>246</v>
      </c>
      <c r="G597" s="87">
        <v>23000</v>
      </c>
      <c r="H597" s="87">
        <f t="shared" si="6"/>
        <v>0</v>
      </c>
      <c r="I597" s="509"/>
      <c r="J597" s="525"/>
      <c r="K597" s="398"/>
      <c r="L597" s="398"/>
      <c r="M597" s="398"/>
      <c r="N597" s="86"/>
    </row>
    <row r="598" spans="1:14" s="552" customFormat="1" ht="15.75" x14ac:dyDescent="0.25">
      <c r="A598" s="523"/>
      <c r="B598" s="523" t="s">
        <v>849</v>
      </c>
      <c r="C598" s="553">
        <v>7886</v>
      </c>
      <c r="D598" s="476">
        <v>30000</v>
      </c>
      <c r="E598" s="87"/>
      <c r="F598" s="87">
        <v>311</v>
      </c>
      <c r="G598" s="87">
        <v>30000</v>
      </c>
      <c r="H598" s="87">
        <f t="shared" si="6"/>
        <v>0</v>
      </c>
      <c r="I598" s="509"/>
      <c r="J598" s="525"/>
      <c r="K598" s="398"/>
      <c r="L598" s="398"/>
      <c r="M598" s="398"/>
      <c r="N598" s="86"/>
    </row>
    <row r="599" spans="1:14" s="552" customFormat="1" ht="15.75" x14ac:dyDescent="0.25">
      <c r="A599" s="523"/>
      <c r="B599" s="523" t="s">
        <v>849</v>
      </c>
      <c r="C599" s="554" t="s">
        <v>911</v>
      </c>
      <c r="D599" s="476">
        <v>31000</v>
      </c>
      <c r="E599" s="87"/>
      <c r="F599" s="87">
        <v>345</v>
      </c>
      <c r="G599" s="87">
        <v>31000</v>
      </c>
      <c r="H599" s="87">
        <f t="shared" si="6"/>
        <v>0</v>
      </c>
      <c r="I599" s="509"/>
      <c r="J599" s="525"/>
      <c r="K599" s="398"/>
      <c r="L599" s="398"/>
      <c r="M599" s="398"/>
      <c r="N599" s="86"/>
    </row>
    <row r="600" spans="1:14" s="552" customFormat="1" ht="15.75" x14ac:dyDescent="0.25">
      <c r="A600" s="523"/>
      <c r="B600" s="523" t="s">
        <v>849</v>
      </c>
      <c r="C600" s="553">
        <v>9021</v>
      </c>
      <c r="D600" s="476">
        <v>28000</v>
      </c>
      <c r="E600" s="87"/>
      <c r="F600" s="87">
        <v>305</v>
      </c>
      <c r="G600" s="87">
        <v>28000</v>
      </c>
      <c r="H600" s="87">
        <f t="shared" si="6"/>
        <v>0</v>
      </c>
      <c r="I600" s="509"/>
      <c r="J600" s="525"/>
      <c r="K600" s="398"/>
      <c r="L600" s="398"/>
      <c r="M600" s="398"/>
      <c r="N600" s="86"/>
    </row>
    <row r="601" spans="1:14" s="552" customFormat="1" ht="15.75" x14ac:dyDescent="0.25">
      <c r="A601" s="523"/>
      <c r="B601" s="523" t="s">
        <v>849</v>
      </c>
      <c r="C601" s="553">
        <v>6464</v>
      </c>
      <c r="D601" s="476">
        <v>30000</v>
      </c>
      <c r="E601" s="87"/>
      <c r="F601" s="87">
        <v>334</v>
      </c>
      <c r="G601" s="87">
        <v>30000</v>
      </c>
      <c r="H601" s="87">
        <f t="shared" si="6"/>
        <v>0</v>
      </c>
      <c r="I601" s="509"/>
      <c r="J601" s="525"/>
      <c r="K601" s="398"/>
      <c r="L601" s="398"/>
      <c r="M601" s="398"/>
      <c r="N601" s="86"/>
    </row>
    <row r="602" spans="1:14" s="552" customFormat="1" ht="15.75" x14ac:dyDescent="0.25">
      <c r="A602" s="523"/>
      <c r="B602" s="523" t="s">
        <v>849</v>
      </c>
      <c r="C602" s="553">
        <v>7217</v>
      </c>
      <c r="D602" s="476">
        <v>30000</v>
      </c>
      <c r="E602" s="87"/>
      <c r="F602" s="87">
        <v>334</v>
      </c>
      <c r="G602" s="87">
        <v>30000</v>
      </c>
      <c r="H602" s="87">
        <f t="shared" si="6"/>
        <v>0</v>
      </c>
      <c r="I602" s="509"/>
      <c r="J602" s="525"/>
      <c r="K602" s="398"/>
      <c r="L602" s="398"/>
      <c r="M602" s="398"/>
      <c r="N602" s="86"/>
    </row>
    <row r="603" spans="1:14" s="552" customFormat="1" ht="15.75" x14ac:dyDescent="0.25">
      <c r="A603" s="523"/>
      <c r="B603" s="523" t="s">
        <v>849</v>
      </c>
      <c r="C603" s="553">
        <v>8267</v>
      </c>
      <c r="D603" s="476">
        <v>25000</v>
      </c>
      <c r="E603" s="87"/>
      <c r="F603" s="87">
        <v>278</v>
      </c>
      <c r="G603" s="87">
        <v>25000</v>
      </c>
      <c r="H603" s="87">
        <f t="shared" si="6"/>
        <v>0</v>
      </c>
      <c r="I603" s="509"/>
      <c r="J603" s="525"/>
      <c r="K603" s="398"/>
      <c r="L603" s="398"/>
      <c r="M603" s="398"/>
      <c r="N603" s="86"/>
    </row>
    <row r="604" spans="1:14" s="552" customFormat="1" ht="15.75" x14ac:dyDescent="0.25">
      <c r="A604" s="523"/>
      <c r="B604" s="523" t="s">
        <v>849</v>
      </c>
      <c r="C604" s="553">
        <v>3643</v>
      </c>
      <c r="D604" s="476">
        <v>32000</v>
      </c>
      <c r="E604" s="87"/>
      <c r="F604" s="87">
        <v>356</v>
      </c>
      <c r="G604" s="87">
        <v>32000</v>
      </c>
      <c r="H604" s="87">
        <f t="shared" si="6"/>
        <v>0</v>
      </c>
      <c r="I604" s="509"/>
      <c r="J604" s="525"/>
      <c r="K604" s="398"/>
      <c r="L604" s="398"/>
      <c r="M604" s="398"/>
      <c r="N604" s="86"/>
    </row>
    <row r="605" spans="1:14" s="552" customFormat="1" ht="15.75" x14ac:dyDescent="0.25">
      <c r="A605" s="523"/>
      <c r="B605" s="523" t="s">
        <v>849</v>
      </c>
      <c r="C605" s="553">
        <v>2004</v>
      </c>
      <c r="D605" s="476">
        <v>22000</v>
      </c>
      <c r="E605" s="87"/>
      <c r="F605" s="87">
        <v>221</v>
      </c>
      <c r="G605" s="87">
        <v>22000</v>
      </c>
      <c r="H605" s="87">
        <f t="shared" si="6"/>
        <v>0</v>
      </c>
      <c r="I605" s="509"/>
      <c r="J605" s="525"/>
      <c r="K605" s="398"/>
      <c r="L605" s="398"/>
      <c r="M605" s="398"/>
      <c r="N605" s="86"/>
    </row>
    <row r="606" spans="1:14" s="552" customFormat="1" ht="15.75" x14ac:dyDescent="0.25">
      <c r="A606" s="523"/>
      <c r="B606" s="523" t="s">
        <v>849</v>
      </c>
      <c r="C606" s="553">
        <v>2770</v>
      </c>
      <c r="D606" s="476">
        <v>24350</v>
      </c>
      <c r="E606" s="87"/>
      <c r="F606" s="87">
        <v>271</v>
      </c>
      <c r="G606" s="87">
        <v>24350</v>
      </c>
      <c r="H606" s="87">
        <f t="shared" si="6"/>
        <v>0</v>
      </c>
      <c r="I606" s="509"/>
      <c r="J606" s="525"/>
      <c r="K606" s="398"/>
      <c r="L606" s="398"/>
      <c r="M606" s="398"/>
      <c r="N606" s="86"/>
    </row>
    <row r="607" spans="1:14" s="552" customFormat="1" ht="15.75" x14ac:dyDescent="0.25">
      <c r="A607" s="523"/>
      <c r="B607" s="523" t="s">
        <v>849</v>
      </c>
      <c r="C607" s="553">
        <v>3286</v>
      </c>
      <c r="D607" s="476">
        <v>20933</v>
      </c>
      <c r="E607" s="87"/>
      <c r="F607" s="87">
        <v>233</v>
      </c>
      <c r="G607" s="87">
        <v>20933</v>
      </c>
      <c r="H607" s="87">
        <f t="shared" si="6"/>
        <v>0</v>
      </c>
      <c r="I607" s="509"/>
      <c r="J607" s="525"/>
      <c r="K607" s="398"/>
      <c r="L607" s="398"/>
      <c r="M607" s="398"/>
      <c r="N607" s="86"/>
    </row>
    <row r="608" spans="1:14" s="552" customFormat="1" ht="15.75" x14ac:dyDescent="0.25">
      <c r="A608" s="523"/>
      <c r="B608" s="523" t="s">
        <v>849</v>
      </c>
      <c r="C608" s="553">
        <v>9744</v>
      </c>
      <c r="D608" s="476">
        <v>20070</v>
      </c>
      <c r="E608" s="87"/>
      <c r="F608" s="87">
        <v>223</v>
      </c>
      <c r="G608" s="87">
        <v>20070</v>
      </c>
      <c r="H608" s="87">
        <f t="shared" si="6"/>
        <v>0</v>
      </c>
      <c r="I608" s="509"/>
      <c r="J608" s="525"/>
      <c r="K608" s="398"/>
      <c r="L608" s="398"/>
      <c r="M608" s="398"/>
      <c r="N608" s="86"/>
    </row>
    <row r="609" spans="1:14" s="552" customFormat="1" ht="15.75" x14ac:dyDescent="0.25">
      <c r="A609" s="523"/>
      <c r="B609" s="523" t="s">
        <v>850</v>
      </c>
      <c r="C609" s="553" t="s">
        <v>30</v>
      </c>
      <c r="D609" s="476">
        <v>4500</v>
      </c>
      <c r="E609" s="87"/>
      <c r="F609" s="87">
        <v>50</v>
      </c>
      <c r="G609" s="87">
        <v>4500</v>
      </c>
      <c r="H609" s="87">
        <f t="shared" si="6"/>
        <v>0</v>
      </c>
      <c r="I609" s="509"/>
      <c r="J609" s="525"/>
      <c r="K609" s="398"/>
      <c r="L609" s="398"/>
      <c r="M609" s="398"/>
      <c r="N609" s="86"/>
    </row>
    <row r="610" spans="1:14" s="552" customFormat="1" ht="15.75" x14ac:dyDescent="0.25">
      <c r="A610" s="523"/>
      <c r="B610" s="523" t="s">
        <v>850</v>
      </c>
      <c r="C610" s="553">
        <v>3659</v>
      </c>
      <c r="D610" s="476">
        <v>24000</v>
      </c>
      <c r="E610" s="87"/>
      <c r="F610" s="87">
        <v>267</v>
      </c>
      <c r="G610" s="87">
        <v>24000</v>
      </c>
      <c r="H610" s="87">
        <f t="shared" si="6"/>
        <v>0</v>
      </c>
      <c r="I610" s="509"/>
      <c r="J610" s="525"/>
      <c r="K610" s="398"/>
      <c r="L610" s="398"/>
      <c r="M610" s="398"/>
      <c r="N610" s="86"/>
    </row>
    <row r="611" spans="1:14" s="552" customFormat="1" ht="15.75" x14ac:dyDescent="0.25">
      <c r="A611" s="523"/>
      <c r="B611" s="523" t="s">
        <v>850</v>
      </c>
      <c r="C611" s="553" t="s">
        <v>30</v>
      </c>
      <c r="D611" s="476">
        <v>5000</v>
      </c>
      <c r="E611" s="87"/>
      <c r="F611" s="87">
        <v>55</v>
      </c>
      <c r="G611" s="87">
        <v>5000</v>
      </c>
      <c r="H611" s="87">
        <f t="shared" si="6"/>
        <v>0</v>
      </c>
      <c r="I611" s="509"/>
      <c r="J611" s="525"/>
      <c r="K611" s="398"/>
      <c r="L611" s="398"/>
      <c r="M611" s="398"/>
      <c r="N611" s="86"/>
    </row>
    <row r="612" spans="1:14" s="552" customFormat="1" ht="15.75" x14ac:dyDescent="0.25">
      <c r="A612" s="523"/>
      <c r="B612" s="523" t="s">
        <v>850</v>
      </c>
      <c r="C612" s="553">
        <v>6408</v>
      </c>
      <c r="D612" s="476">
        <v>10000</v>
      </c>
      <c r="E612" s="87"/>
      <c r="F612" s="87">
        <v>111</v>
      </c>
      <c r="G612" s="87">
        <v>10000</v>
      </c>
      <c r="H612" s="87">
        <f t="shared" si="6"/>
        <v>0</v>
      </c>
      <c r="I612" s="509"/>
      <c r="J612" s="525"/>
      <c r="K612" s="398"/>
      <c r="L612" s="398"/>
      <c r="M612" s="398"/>
      <c r="N612" s="86"/>
    </row>
    <row r="613" spans="1:14" s="552" customFormat="1" ht="15.75" x14ac:dyDescent="0.25">
      <c r="A613" s="523"/>
      <c r="B613" s="523" t="s">
        <v>850</v>
      </c>
      <c r="C613" s="553">
        <v>4365</v>
      </c>
      <c r="D613" s="476">
        <v>19000</v>
      </c>
      <c r="E613" s="87"/>
      <c r="F613" s="87">
        <v>208</v>
      </c>
      <c r="G613" s="87">
        <v>19000</v>
      </c>
      <c r="H613" s="87">
        <f t="shared" si="6"/>
        <v>0</v>
      </c>
      <c r="I613" s="509"/>
      <c r="J613" s="525"/>
      <c r="K613" s="398"/>
      <c r="L613" s="398"/>
      <c r="M613" s="398"/>
      <c r="N613" s="86"/>
    </row>
    <row r="614" spans="1:14" s="552" customFormat="1" ht="15.75" x14ac:dyDescent="0.25">
      <c r="A614" s="523"/>
      <c r="B614" s="523" t="s">
        <v>850</v>
      </c>
      <c r="C614" s="554" t="s">
        <v>878</v>
      </c>
      <c r="D614" s="476">
        <v>27000</v>
      </c>
      <c r="E614" s="87"/>
      <c r="F614" s="87">
        <v>294</v>
      </c>
      <c r="G614" s="87">
        <v>27000</v>
      </c>
      <c r="H614" s="87">
        <f t="shared" si="6"/>
        <v>0</v>
      </c>
      <c r="I614" s="509"/>
      <c r="J614" s="525"/>
      <c r="K614" s="398"/>
      <c r="L614" s="398"/>
      <c r="M614" s="398"/>
      <c r="N614" s="86"/>
    </row>
    <row r="615" spans="1:14" s="552" customFormat="1" ht="15.75" x14ac:dyDescent="0.25">
      <c r="A615" s="523"/>
      <c r="B615" s="523" t="s">
        <v>850</v>
      </c>
      <c r="C615" s="553">
        <v>7672</v>
      </c>
      <c r="D615" s="476">
        <v>22000</v>
      </c>
      <c r="E615" s="87"/>
      <c r="F615" s="87">
        <v>238</v>
      </c>
      <c r="G615" s="87">
        <v>22000</v>
      </c>
      <c r="H615" s="87">
        <f t="shared" si="6"/>
        <v>0</v>
      </c>
      <c r="I615" s="509"/>
      <c r="J615" s="525"/>
      <c r="K615" s="398"/>
      <c r="L615" s="398"/>
      <c r="M615" s="398"/>
      <c r="N615" s="86"/>
    </row>
    <row r="616" spans="1:14" s="552" customFormat="1" ht="15.75" x14ac:dyDescent="0.25">
      <c r="A616" s="523"/>
      <c r="B616" s="523" t="s">
        <v>850</v>
      </c>
      <c r="C616" s="553">
        <v>4295</v>
      </c>
      <c r="D616" s="476">
        <v>27000</v>
      </c>
      <c r="E616" s="87"/>
      <c r="F616" s="87">
        <v>300</v>
      </c>
      <c r="G616" s="87">
        <v>27000</v>
      </c>
      <c r="H616" s="87">
        <f t="shared" si="6"/>
        <v>0</v>
      </c>
      <c r="I616" s="509"/>
      <c r="J616" s="525"/>
      <c r="K616" s="398"/>
      <c r="L616" s="398"/>
      <c r="M616" s="398"/>
      <c r="N616" s="86"/>
    </row>
    <row r="617" spans="1:14" s="552" customFormat="1" ht="15.75" x14ac:dyDescent="0.25">
      <c r="A617" s="523"/>
      <c r="B617" s="523" t="s">
        <v>850</v>
      </c>
      <c r="C617" s="553">
        <v>7211</v>
      </c>
      <c r="D617" s="476">
        <v>24705</v>
      </c>
      <c r="E617" s="87"/>
      <c r="F617" s="87">
        <v>267</v>
      </c>
      <c r="G617" s="87">
        <v>24705</v>
      </c>
      <c r="H617" s="87">
        <f t="shared" si="6"/>
        <v>0</v>
      </c>
      <c r="I617" s="509"/>
      <c r="J617" s="525"/>
      <c r="K617" s="398"/>
      <c r="L617" s="398"/>
      <c r="M617" s="398"/>
      <c r="N617" s="86"/>
    </row>
    <row r="618" spans="1:14" s="552" customFormat="1" ht="15.75" x14ac:dyDescent="0.25">
      <c r="A618" s="523"/>
      <c r="B618" s="523" t="s">
        <v>850</v>
      </c>
      <c r="C618" s="553">
        <v>7111</v>
      </c>
      <c r="D618" s="476">
        <v>28000</v>
      </c>
      <c r="E618" s="87"/>
      <c r="F618" s="87">
        <v>311</v>
      </c>
      <c r="G618" s="87">
        <v>28000</v>
      </c>
      <c r="H618" s="87">
        <f t="shared" si="6"/>
        <v>0</v>
      </c>
      <c r="I618" s="509"/>
      <c r="J618" s="525"/>
      <c r="K618" s="398"/>
      <c r="L618" s="398"/>
      <c r="M618" s="398"/>
      <c r="N618" s="86"/>
    </row>
    <row r="619" spans="1:14" s="552" customFormat="1" ht="15.75" x14ac:dyDescent="0.25">
      <c r="A619" s="523"/>
      <c r="B619" s="523" t="s">
        <v>850</v>
      </c>
      <c r="C619" s="553">
        <v>6748</v>
      </c>
      <c r="D619" s="476">
        <v>20000</v>
      </c>
      <c r="E619" s="87"/>
      <c r="F619" s="87">
        <v>210</v>
      </c>
      <c r="G619" s="87">
        <v>20000</v>
      </c>
      <c r="H619" s="87">
        <f t="shared" si="6"/>
        <v>0</v>
      </c>
      <c r="I619" s="509"/>
      <c r="J619" s="525"/>
      <c r="K619" s="398"/>
      <c r="L619" s="398"/>
      <c r="M619" s="398"/>
      <c r="N619" s="86"/>
    </row>
    <row r="620" spans="1:14" s="552" customFormat="1" ht="15.75" x14ac:dyDescent="0.25">
      <c r="A620" s="523"/>
      <c r="B620" s="523" t="s">
        <v>850</v>
      </c>
      <c r="C620" s="553">
        <v>3886</v>
      </c>
      <c r="D620" s="476">
        <v>23000</v>
      </c>
      <c r="E620" s="87"/>
      <c r="F620" s="87">
        <v>248</v>
      </c>
      <c r="G620" s="87">
        <v>23000</v>
      </c>
      <c r="H620" s="87">
        <f t="shared" si="6"/>
        <v>0</v>
      </c>
      <c r="I620" s="509"/>
      <c r="J620" s="525"/>
      <c r="K620" s="398"/>
      <c r="L620" s="398"/>
      <c r="M620" s="398"/>
      <c r="N620" s="86"/>
    </row>
    <row r="621" spans="1:14" s="552" customFormat="1" ht="15.75" x14ac:dyDescent="0.25">
      <c r="A621" s="523"/>
      <c r="B621" s="523" t="s">
        <v>850</v>
      </c>
      <c r="C621" s="553">
        <v>4292</v>
      </c>
      <c r="D621" s="476">
        <v>30000</v>
      </c>
      <c r="E621" s="87"/>
      <c r="F621" s="87">
        <v>334</v>
      </c>
      <c r="G621" s="87">
        <v>30000</v>
      </c>
      <c r="H621" s="87">
        <f t="shared" si="6"/>
        <v>0</v>
      </c>
      <c r="I621" s="509"/>
      <c r="J621" s="525"/>
      <c r="K621" s="398"/>
      <c r="L621" s="398"/>
      <c r="M621" s="398"/>
      <c r="N621" s="86"/>
    </row>
    <row r="622" spans="1:14" s="552" customFormat="1" ht="15.75" x14ac:dyDescent="0.25">
      <c r="A622" s="523"/>
      <c r="B622" s="523" t="s">
        <v>850</v>
      </c>
      <c r="C622" s="553">
        <v>5278</v>
      </c>
      <c r="D622" s="476">
        <v>22000</v>
      </c>
      <c r="E622" s="87"/>
      <c r="F622" s="87">
        <v>243</v>
      </c>
      <c r="G622" s="87">
        <v>22000</v>
      </c>
      <c r="H622" s="87">
        <f t="shared" si="6"/>
        <v>0</v>
      </c>
      <c r="I622" s="509"/>
      <c r="J622" s="525"/>
      <c r="K622" s="398"/>
      <c r="L622" s="398"/>
      <c r="M622" s="398"/>
      <c r="N622" s="86"/>
    </row>
    <row r="623" spans="1:14" s="552" customFormat="1" ht="15.75" x14ac:dyDescent="0.25">
      <c r="A623" s="523"/>
      <c r="B623" s="523" t="s">
        <v>850</v>
      </c>
      <c r="C623" s="553">
        <v>1831</v>
      </c>
      <c r="D623" s="476">
        <v>25000</v>
      </c>
      <c r="E623" s="87"/>
      <c r="F623" s="87">
        <v>278</v>
      </c>
      <c r="G623" s="87">
        <v>25000</v>
      </c>
      <c r="H623" s="87">
        <f t="shared" si="6"/>
        <v>0</v>
      </c>
      <c r="I623" s="509"/>
      <c r="J623" s="525"/>
      <c r="K623" s="398"/>
      <c r="L623" s="398"/>
      <c r="M623" s="398"/>
      <c r="N623" s="86"/>
    </row>
    <row r="624" spans="1:14" s="552" customFormat="1" ht="15.75" x14ac:dyDescent="0.25">
      <c r="A624" s="523"/>
      <c r="B624" s="523" t="s">
        <v>850</v>
      </c>
      <c r="C624" s="553">
        <v>3305</v>
      </c>
      <c r="D624" s="476">
        <v>22000</v>
      </c>
      <c r="E624" s="87"/>
      <c r="F624" s="87">
        <v>230</v>
      </c>
      <c r="G624" s="87">
        <v>22000</v>
      </c>
      <c r="H624" s="87">
        <f t="shared" si="6"/>
        <v>0</v>
      </c>
      <c r="I624" s="509"/>
      <c r="J624" s="525"/>
      <c r="K624" s="398"/>
      <c r="L624" s="398"/>
      <c r="M624" s="398"/>
      <c r="N624" s="86"/>
    </row>
    <row r="625" spans="1:14" s="552" customFormat="1" ht="15.75" x14ac:dyDescent="0.25">
      <c r="A625" s="523"/>
      <c r="B625" s="523" t="s">
        <v>850</v>
      </c>
      <c r="C625" s="553">
        <v>8214</v>
      </c>
      <c r="D625" s="476">
        <v>25000</v>
      </c>
      <c r="E625" s="87"/>
      <c r="F625" s="87">
        <v>276</v>
      </c>
      <c r="G625" s="87">
        <v>25000</v>
      </c>
      <c r="H625" s="87">
        <f t="shared" si="6"/>
        <v>0</v>
      </c>
      <c r="I625" s="509"/>
      <c r="J625" s="525"/>
      <c r="K625" s="398"/>
      <c r="L625" s="398"/>
      <c r="M625" s="398"/>
      <c r="N625" s="86"/>
    </row>
    <row r="626" spans="1:14" s="552" customFormat="1" ht="15.75" x14ac:dyDescent="0.25">
      <c r="A626" s="523"/>
      <c r="B626" s="523" t="s">
        <v>850</v>
      </c>
      <c r="C626" s="553">
        <v>8208</v>
      </c>
      <c r="D626" s="476">
        <v>25000</v>
      </c>
      <c r="E626" s="87"/>
      <c r="F626" s="87">
        <v>278</v>
      </c>
      <c r="G626" s="87">
        <v>25000</v>
      </c>
      <c r="H626" s="87">
        <f t="shared" si="6"/>
        <v>0</v>
      </c>
      <c r="I626" s="509"/>
      <c r="J626" s="525"/>
      <c r="K626" s="398"/>
      <c r="L626" s="398"/>
      <c r="M626" s="398"/>
      <c r="N626" s="86"/>
    </row>
    <row r="627" spans="1:14" s="552" customFormat="1" ht="15.75" x14ac:dyDescent="0.25">
      <c r="A627" s="523"/>
      <c r="B627" s="523" t="s">
        <v>850</v>
      </c>
      <c r="C627" s="553">
        <v>1917</v>
      </c>
      <c r="D627" s="476">
        <v>30000</v>
      </c>
      <c r="E627" s="87"/>
      <c r="F627" s="87">
        <v>344</v>
      </c>
      <c r="G627" s="87">
        <v>30000</v>
      </c>
      <c r="H627" s="87">
        <f t="shared" si="6"/>
        <v>0</v>
      </c>
      <c r="I627" s="509"/>
      <c r="J627" s="525"/>
      <c r="K627" s="398"/>
      <c r="L627" s="398"/>
      <c r="M627" s="398"/>
      <c r="N627" s="86"/>
    </row>
    <row r="628" spans="1:14" s="552" customFormat="1" ht="15.75" x14ac:dyDescent="0.25">
      <c r="A628" s="523"/>
      <c r="B628" s="523" t="s">
        <v>850</v>
      </c>
      <c r="C628" s="553">
        <v>8845</v>
      </c>
      <c r="D628" s="476">
        <v>20000</v>
      </c>
      <c r="E628" s="87"/>
      <c r="F628" s="87">
        <v>222</v>
      </c>
      <c r="G628" s="87">
        <v>20000</v>
      </c>
      <c r="H628" s="87">
        <f t="shared" si="6"/>
        <v>0</v>
      </c>
      <c r="I628" s="509"/>
      <c r="J628" s="525"/>
      <c r="K628" s="398"/>
      <c r="L628" s="398"/>
      <c r="M628" s="398"/>
      <c r="N628" s="86"/>
    </row>
    <row r="629" spans="1:14" s="552" customFormat="1" ht="15.75" x14ac:dyDescent="0.25">
      <c r="A629" s="523"/>
      <c r="B629" s="523" t="s">
        <v>850</v>
      </c>
      <c r="C629" s="553">
        <v>6488</v>
      </c>
      <c r="D629" s="476">
        <v>17000</v>
      </c>
      <c r="E629" s="87"/>
      <c r="F629" s="87">
        <v>189</v>
      </c>
      <c r="G629" s="87">
        <v>17000</v>
      </c>
      <c r="H629" s="87">
        <f t="shared" si="6"/>
        <v>0</v>
      </c>
      <c r="I629" s="509"/>
      <c r="J629" s="525"/>
      <c r="K629" s="398"/>
      <c r="L629" s="398"/>
      <c r="M629" s="398"/>
      <c r="N629" s="86"/>
    </row>
    <row r="630" spans="1:14" s="552" customFormat="1" ht="15.75" x14ac:dyDescent="0.25">
      <c r="A630" s="523"/>
      <c r="B630" s="523" t="s">
        <v>850</v>
      </c>
      <c r="C630" s="553">
        <v>1172</v>
      </c>
      <c r="D630" s="476">
        <v>28000</v>
      </c>
      <c r="E630" s="87"/>
      <c r="F630" s="87">
        <v>311</v>
      </c>
      <c r="G630" s="87">
        <v>28000</v>
      </c>
      <c r="H630" s="87">
        <f t="shared" si="6"/>
        <v>0</v>
      </c>
      <c r="I630" s="509"/>
      <c r="J630" s="525"/>
      <c r="K630" s="398"/>
      <c r="L630" s="398"/>
      <c r="M630" s="398"/>
      <c r="N630" s="86"/>
    </row>
    <row r="631" spans="1:14" s="552" customFormat="1" ht="15.75" x14ac:dyDescent="0.25">
      <c r="A631" s="523"/>
      <c r="B631" s="523" t="s">
        <v>850</v>
      </c>
      <c r="C631" s="553">
        <v>7572</v>
      </c>
      <c r="D631" s="476">
        <v>21000</v>
      </c>
      <c r="E631" s="87"/>
      <c r="F631" s="87">
        <v>233</v>
      </c>
      <c r="G631" s="87">
        <v>21000</v>
      </c>
      <c r="H631" s="87">
        <f t="shared" si="6"/>
        <v>0</v>
      </c>
      <c r="I631" s="509"/>
      <c r="J631" s="525"/>
      <c r="K631" s="398"/>
      <c r="L631" s="398"/>
      <c r="M631" s="398"/>
      <c r="N631" s="86"/>
    </row>
    <row r="632" spans="1:14" s="552" customFormat="1" ht="15.75" x14ac:dyDescent="0.25">
      <c r="A632" s="523"/>
      <c r="B632" s="523" t="s">
        <v>850</v>
      </c>
      <c r="C632" s="553">
        <v>5777</v>
      </c>
      <c r="D632" s="476">
        <v>28000</v>
      </c>
      <c r="E632" s="87"/>
      <c r="F632" s="87">
        <v>311</v>
      </c>
      <c r="G632" s="87">
        <v>28000</v>
      </c>
      <c r="H632" s="87">
        <f t="shared" si="6"/>
        <v>0</v>
      </c>
      <c r="I632" s="509"/>
      <c r="J632" s="525"/>
      <c r="K632" s="398"/>
      <c r="L632" s="398"/>
      <c r="M632" s="398"/>
      <c r="N632" s="86"/>
    </row>
    <row r="633" spans="1:14" s="552" customFormat="1" ht="15.75" x14ac:dyDescent="0.25">
      <c r="A633" s="523"/>
      <c r="B633" s="523" t="s">
        <v>850</v>
      </c>
      <c r="C633" s="553">
        <v>7177</v>
      </c>
      <c r="D633" s="476">
        <v>27000</v>
      </c>
      <c r="E633" s="87"/>
      <c r="F633" s="87">
        <v>287</v>
      </c>
      <c r="G633" s="87">
        <v>27000</v>
      </c>
      <c r="H633" s="87">
        <f t="shared" si="6"/>
        <v>0</v>
      </c>
      <c r="I633" s="509"/>
      <c r="J633" s="525"/>
      <c r="K633" s="398"/>
      <c r="L633" s="398"/>
      <c r="M633" s="398"/>
      <c r="N633" s="86"/>
    </row>
    <row r="634" spans="1:14" s="552" customFormat="1" ht="15.75" x14ac:dyDescent="0.25">
      <c r="A634" s="523"/>
      <c r="B634" s="523" t="s">
        <v>850</v>
      </c>
      <c r="C634" s="553">
        <v>4353</v>
      </c>
      <c r="D634" s="476">
        <v>24145</v>
      </c>
      <c r="E634" s="87"/>
      <c r="F634" s="87">
        <v>269</v>
      </c>
      <c r="G634" s="87">
        <v>24145</v>
      </c>
      <c r="H634" s="87">
        <f t="shared" si="6"/>
        <v>0</v>
      </c>
      <c r="I634" s="509"/>
      <c r="J634" s="525"/>
      <c r="K634" s="398"/>
      <c r="L634" s="398"/>
      <c r="M634" s="398"/>
      <c r="N634" s="86"/>
    </row>
    <row r="635" spans="1:14" s="552" customFormat="1" ht="15.75" x14ac:dyDescent="0.25">
      <c r="A635" s="523"/>
      <c r="B635" s="523" t="s">
        <v>850</v>
      </c>
      <c r="C635" s="553">
        <v>3357</v>
      </c>
      <c r="D635" s="476">
        <v>32000</v>
      </c>
      <c r="E635" s="87"/>
      <c r="F635" s="87">
        <v>316</v>
      </c>
      <c r="G635" s="87">
        <v>32000</v>
      </c>
      <c r="H635" s="87">
        <f t="shared" si="6"/>
        <v>0</v>
      </c>
      <c r="I635" s="509"/>
      <c r="J635" s="525"/>
      <c r="K635" s="398"/>
      <c r="L635" s="398"/>
      <c r="M635" s="398"/>
      <c r="N635" s="86"/>
    </row>
    <row r="636" spans="1:14" s="552" customFormat="1" ht="15.75" x14ac:dyDescent="0.25">
      <c r="A636" s="523"/>
      <c r="B636" s="523" t="s">
        <v>850</v>
      </c>
      <c r="C636" s="554" t="s">
        <v>879</v>
      </c>
      <c r="D636" s="476">
        <v>22000</v>
      </c>
      <c r="E636" s="87"/>
      <c r="F636" s="87">
        <v>237</v>
      </c>
      <c r="G636" s="87">
        <v>22000</v>
      </c>
      <c r="H636" s="87">
        <f t="shared" si="6"/>
        <v>0</v>
      </c>
      <c r="I636" s="509"/>
      <c r="J636" s="525"/>
      <c r="K636" s="398"/>
      <c r="L636" s="398"/>
      <c r="M636" s="398"/>
      <c r="N636" s="86"/>
    </row>
    <row r="637" spans="1:14" s="552" customFormat="1" ht="15.75" x14ac:dyDescent="0.25">
      <c r="A637" s="523"/>
      <c r="B637" s="523" t="s">
        <v>851</v>
      </c>
      <c r="C637" s="553" t="s">
        <v>819</v>
      </c>
      <c r="D637" s="476">
        <v>3500</v>
      </c>
      <c r="E637" s="87"/>
      <c r="F637" s="87">
        <v>39</v>
      </c>
      <c r="G637" s="87">
        <v>3500</v>
      </c>
      <c r="H637" s="87">
        <f t="shared" si="6"/>
        <v>0</v>
      </c>
      <c r="I637" s="509"/>
      <c r="J637" s="525"/>
      <c r="K637" s="398"/>
      <c r="L637" s="398"/>
      <c r="M637" s="398"/>
      <c r="N637" s="86"/>
    </row>
    <row r="638" spans="1:14" s="552" customFormat="1" ht="15.75" x14ac:dyDescent="0.25">
      <c r="A638" s="523"/>
      <c r="B638" s="523" t="s">
        <v>851</v>
      </c>
      <c r="C638" s="553">
        <v>1107</v>
      </c>
      <c r="D638" s="476">
        <v>21750</v>
      </c>
      <c r="E638" s="87"/>
      <c r="F638" s="87">
        <v>242</v>
      </c>
      <c r="G638" s="87">
        <v>21750</v>
      </c>
      <c r="H638" s="87">
        <f t="shared" si="6"/>
        <v>0</v>
      </c>
      <c r="I638" s="509"/>
      <c r="J638" s="525"/>
      <c r="K638" s="398"/>
      <c r="L638" s="398"/>
      <c r="M638" s="398"/>
      <c r="N638" s="86"/>
    </row>
    <row r="639" spans="1:14" s="552" customFormat="1" ht="15.75" x14ac:dyDescent="0.25">
      <c r="A639" s="523"/>
      <c r="B639" s="523" t="s">
        <v>851</v>
      </c>
      <c r="C639" s="553">
        <v>1740</v>
      </c>
      <c r="D639" s="476">
        <v>23000</v>
      </c>
      <c r="E639" s="87"/>
      <c r="F639" s="87">
        <v>256</v>
      </c>
      <c r="G639" s="87">
        <v>23000</v>
      </c>
      <c r="H639" s="87">
        <f t="shared" si="6"/>
        <v>0</v>
      </c>
      <c r="I639" s="509"/>
      <c r="J639" s="525"/>
      <c r="K639" s="398"/>
      <c r="L639" s="398"/>
      <c r="M639" s="398"/>
      <c r="N639" s="86"/>
    </row>
    <row r="640" spans="1:14" s="552" customFormat="1" ht="15.75" x14ac:dyDescent="0.25">
      <c r="A640" s="523"/>
      <c r="B640" s="523" t="s">
        <v>851</v>
      </c>
      <c r="C640" s="554" t="s">
        <v>880</v>
      </c>
      <c r="D640" s="476">
        <v>21000</v>
      </c>
      <c r="E640" s="87"/>
      <c r="F640" s="87">
        <v>222</v>
      </c>
      <c r="G640" s="87">
        <v>21000</v>
      </c>
      <c r="H640" s="87">
        <f t="shared" si="6"/>
        <v>0</v>
      </c>
      <c r="I640" s="509"/>
      <c r="J640" s="525"/>
      <c r="K640" s="398"/>
      <c r="L640" s="398"/>
      <c r="M640" s="398"/>
      <c r="N640" s="86"/>
    </row>
    <row r="641" spans="1:14" s="552" customFormat="1" ht="15.75" x14ac:dyDescent="0.25">
      <c r="A641" s="523"/>
      <c r="B641" s="523" t="s">
        <v>851</v>
      </c>
      <c r="C641" s="553">
        <v>2422</v>
      </c>
      <c r="D641" s="476">
        <v>19000</v>
      </c>
      <c r="E641" s="87"/>
      <c r="F641" s="87">
        <v>206</v>
      </c>
      <c r="G641" s="87">
        <v>19000</v>
      </c>
      <c r="H641" s="87">
        <f t="shared" si="6"/>
        <v>0</v>
      </c>
      <c r="I641" s="509"/>
      <c r="J641" s="525"/>
      <c r="K641" s="398"/>
      <c r="L641" s="398"/>
      <c r="M641" s="398"/>
      <c r="N641" s="86"/>
    </row>
    <row r="642" spans="1:14" s="552" customFormat="1" ht="15.75" x14ac:dyDescent="0.25">
      <c r="A642" s="523"/>
      <c r="B642" s="523" t="s">
        <v>851</v>
      </c>
      <c r="C642" s="553">
        <v>9457</v>
      </c>
      <c r="D642" s="476">
        <v>27150</v>
      </c>
      <c r="E642" s="87"/>
      <c r="F642" s="87">
        <v>302</v>
      </c>
      <c r="G642" s="87">
        <v>27150</v>
      </c>
      <c r="H642" s="87">
        <f t="shared" si="6"/>
        <v>0</v>
      </c>
      <c r="I642" s="509"/>
      <c r="J642" s="525"/>
      <c r="K642" s="398"/>
      <c r="L642" s="398"/>
      <c r="M642" s="398"/>
      <c r="N642" s="86"/>
    </row>
    <row r="643" spans="1:14" s="552" customFormat="1" ht="15.75" x14ac:dyDescent="0.25">
      <c r="A643" s="523"/>
      <c r="B643" s="523" t="s">
        <v>851</v>
      </c>
      <c r="C643" s="553">
        <v>9581</v>
      </c>
      <c r="D643" s="476">
        <v>23000</v>
      </c>
      <c r="E643" s="87"/>
      <c r="F643" s="87">
        <v>256</v>
      </c>
      <c r="G643" s="87">
        <v>23000</v>
      </c>
      <c r="H643" s="87">
        <f t="shared" si="6"/>
        <v>0</v>
      </c>
      <c r="I643" s="509"/>
      <c r="J643" s="525"/>
      <c r="K643" s="398"/>
      <c r="L643" s="398"/>
      <c r="M643" s="398"/>
      <c r="N643" s="86"/>
    </row>
    <row r="644" spans="1:14" s="552" customFormat="1" ht="15.75" x14ac:dyDescent="0.25">
      <c r="A644" s="523"/>
      <c r="B644" s="523" t="s">
        <v>851</v>
      </c>
      <c r="C644" s="554" t="s">
        <v>881</v>
      </c>
      <c r="D644" s="476">
        <v>25000</v>
      </c>
      <c r="E644" s="87"/>
      <c r="F644" s="87">
        <v>278</v>
      </c>
      <c r="G644" s="87">
        <v>25000</v>
      </c>
      <c r="H644" s="87">
        <f t="shared" si="6"/>
        <v>0</v>
      </c>
      <c r="I644" s="509"/>
      <c r="J644" s="525"/>
      <c r="K644" s="398"/>
      <c r="L644" s="398"/>
      <c r="M644" s="398"/>
      <c r="N644" s="86"/>
    </row>
    <row r="645" spans="1:14" s="552" customFormat="1" ht="15.75" x14ac:dyDescent="0.25">
      <c r="A645" s="523"/>
      <c r="B645" s="523" t="s">
        <v>851</v>
      </c>
      <c r="C645" s="554" t="s">
        <v>882</v>
      </c>
      <c r="D645" s="476">
        <v>10000</v>
      </c>
      <c r="E645" s="87"/>
      <c r="F645" s="87">
        <v>111</v>
      </c>
      <c r="G645" s="87">
        <v>10000</v>
      </c>
      <c r="H645" s="87">
        <f t="shared" si="6"/>
        <v>0</v>
      </c>
      <c r="I645" s="509"/>
      <c r="J645" s="525"/>
      <c r="K645" s="398"/>
      <c r="L645" s="398"/>
      <c r="M645" s="398"/>
      <c r="N645" s="86"/>
    </row>
    <row r="646" spans="1:14" s="552" customFormat="1" ht="15.75" x14ac:dyDescent="0.25">
      <c r="A646" s="523"/>
      <c r="B646" s="523" t="s">
        <v>851</v>
      </c>
      <c r="C646" s="553">
        <v>6751</v>
      </c>
      <c r="D646" s="476">
        <v>20000</v>
      </c>
      <c r="E646" s="87"/>
      <c r="F646" s="87">
        <v>222</v>
      </c>
      <c r="G646" s="87">
        <v>20000</v>
      </c>
      <c r="H646" s="87">
        <f t="shared" si="6"/>
        <v>0</v>
      </c>
      <c r="I646" s="509"/>
      <c r="J646" s="525"/>
      <c r="K646" s="398"/>
      <c r="L646" s="398"/>
      <c r="M646" s="398"/>
      <c r="N646" s="86"/>
    </row>
    <row r="647" spans="1:14" s="552" customFormat="1" ht="15.75" x14ac:dyDescent="0.25">
      <c r="A647" s="523"/>
      <c r="B647" s="523" t="s">
        <v>851</v>
      </c>
      <c r="C647" s="553" t="s">
        <v>30</v>
      </c>
      <c r="D647" s="476">
        <v>5000</v>
      </c>
      <c r="E647" s="87"/>
      <c r="F647" s="87">
        <v>55</v>
      </c>
      <c r="G647" s="87">
        <v>5000</v>
      </c>
      <c r="H647" s="87">
        <f t="shared" ref="H647:H663" si="8">D647-G647</f>
        <v>0</v>
      </c>
      <c r="I647" s="509"/>
      <c r="J647" s="525"/>
      <c r="K647" s="398"/>
      <c r="L647" s="398"/>
      <c r="M647" s="398"/>
      <c r="N647" s="86"/>
    </row>
    <row r="648" spans="1:14" s="552" customFormat="1" ht="15.75" x14ac:dyDescent="0.25">
      <c r="A648" s="523"/>
      <c r="B648" s="523" t="s">
        <v>851</v>
      </c>
      <c r="C648" s="553">
        <v>9235</v>
      </c>
      <c r="D648" s="476">
        <v>28000</v>
      </c>
      <c r="E648" s="87"/>
      <c r="F648" s="87">
        <v>297</v>
      </c>
      <c r="G648" s="87">
        <v>28000</v>
      </c>
      <c r="H648" s="87">
        <f t="shared" si="8"/>
        <v>0</v>
      </c>
      <c r="I648" s="509"/>
      <c r="J648" s="525"/>
      <c r="K648" s="398"/>
      <c r="L648" s="398"/>
      <c r="M648" s="398"/>
      <c r="N648" s="86"/>
    </row>
    <row r="649" spans="1:14" s="552" customFormat="1" ht="15.75" x14ac:dyDescent="0.25">
      <c r="A649" s="523"/>
      <c r="B649" s="523" t="s">
        <v>851</v>
      </c>
      <c r="C649" s="553">
        <v>2320</v>
      </c>
      <c r="D649" s="476">
        <v>30000</v>
      </c>
      <c r="E649" s="87"/>
      <c r="F649" s="87">
        <v>334</v>
      </c>
      <c r="G649" s="87">
        <v>30000</v>
      </c>
      <c r="H649" s="87">
        <f t="shared" si="8"/>
        <v>0</v>
      </c>
      <c r="I649" s="509"/>
      <c r="J649" s="525"/>
      <c r="K649" s="398"/>
      <c r="L649" s="398"/>
      <c r="M649" s="398"/>
      <c r="N649" s="86"/>
    </row>
    <row r="650" spans="1:14" s="552" customFormat="1" ht="15.75" x14ac:dyDescent="0.25">
      <c r="A650" s="523"/>
      <c r="B650" s="523" t="s">
        <v>851</v>
      </c>
      <c r="C650" s="553">
        <v>9289</v>
      </c>
      <c r="D650" s="476">
        <v>30000</v>
      </c>
      <c r="E650" s="87"/>
      <c r="F650" s="87">
        <v>319</v>
      </c>
      <c r="G650" s="87">
        <v>30000</v>
      </c>
      <c r="H650" s="87">
        <f t="shared" si="8"/>
        <v>0</v>
      </c>
      <c r="I650" s="509"/>
      <c r="J650" s="525"/>
      <c r="K650" s="398"/>
      <c r="L650" s="398"/>
      <c r="M650" s="398"/>
      <c r="N650" s="86"/>
    </row>
    <row r="651" spans="1:14" s="552" customFormat="1" ht="15.75" x14ac:dyDescent="0.25">
      <c r="A651" s="523"/>
      <c r="B651" s="523" t="s">
        <v>851</v>
      </c>
      <c r="C651" s="553">
        <v>8963</v>
      </c>
      <c r="D651" s="476">
        <v>27000</v>
      </c>
      <c r="E651" s="87"/>
      <c r="F651" s="87">
        <v>278</v>
      </c>
      <c r="G651" s="87">
        <v>27000</v>
      </c>
      <c r="H651" s="87">
        <f t="shared" si="8"/>
        <v>0</v>
      </c>
      <c r="I651" s="509"/>
      <c r="J651" s="525"/>
      <c r="K651" s="398"/>
      <c r="L651" s="398"/>
      <c r="M651" s="398"/>
      <c r="N651" s="86"/>
    </row>
    <row r="652" spans="1:14" s="552" customFormat="1" ht="15.75" x14ac:dyDescent="0.25">
      <c r="A652" s="523"/>
      <c r="B652" s="523" t="s">
        <v>851</v>
      </c>
      <c r="C652" s="553">
        <v>9458</v>
      </c>
      <c r="D652" s="476">
        <v>29000</v>
      </c>
      <c r="E652" s="87"/>
      <c r="F652" s="87">
        <v>316</v>
      </c>
      <c r="G652" s="87">
        <v>29000</v>
      </c>
      <c r="H652" s="87">
        <f t="shared" si="8"/>
        <v>0</v>
      </c>
      <c r="I652" s="509"/>
      <c r="J652" s="525"/>
      <c r="K652" s="398"/>
      <c r="L652" s="398"/>
      <c r="M652" s="398"/>
      <c r="N652" s="86"/>
    </row>
    <row r="653" spans="1:14" s="552" customFormat="1" ht="15.75" x14ac:dyDescent="0.25">
      <c r="A653" s="523"/>
      <c r="B653" s="523" t="s">
        <v>851</v>
      </c>
      <c r="C653" s="553" t="s">
        <v>66</v>
      </c>
      <c r="D653" s="476">
        <v>210</v>
      </c>
      <c r="E653" s="87"/>
      <c r="F653" s="476" t="s">
        <v>587</v>
      </c>
      <c r="G653" s="87">
        <v>210</v>
      </c>
      <c r="H653" s="87">
        <f t="shared" si="8"/>
        <v>0</v>
      </c>
      <c r="I653" s="509"/>
      <c r="J653" s="525"/>
      <c r="K653" s="398"/>
      <c r="L653" s="398"/>
      <c r="M653" s="398"/>
      <c r="N653" s="86"/>
    </row>
    <row r="654" spans="1:14" s="552" customFormat="1" ht="15.75" x14ac:dyDescent="0.25">
      <c r="A654" s="523"/>
      <c r="B654" s="523" t="s">
        <v>851</v>
      </c>
      <c r="C654" s="553" t="s">
        <v>66</v>
      </c>
      <c r="D654" s="476">
        <v>150</v>
      </c>
      <c r="E654" s="87"/>
      <c r="F654" s="476" t="s">
        <v>587</v>
      </c>
      <c r="G654" s="87">
        <v>150</v>
      </c>
      <c r="H654" s="87">
        <f t="shared" si="8"/>
        <v>0</v>
      </c>
      <c r="I654" s="509"/>
      <c r="J654" s="525"/>
      <c r="K654" s="398"/>
      <c r="L654" s="398"/>
      <c r="M654" s="398"/>
      <c r="N654" s="86"/>
    </row>
    <row r="655" spans="1:14" s="552" customFormat="1" ht="15.75" x14ac:dyDescent="0.25">
      <c r="A655" s="523"/>
      <c r="B655" s="523" t="s">
        <v>851</v>
      </c>
      <c r="C655" s="553">
        <v>2239</v>
      </c>
      <c r="D655" s="476">
        <v>25000</v>
      </c>
      <c r="E655" s="87"/>
      <c r="F655" s="476">
        <v>278</v>
      </c>
      <c r="G655" s="87">
        <v>25000</v>
      </c>
      <c r="H655" s="87">
        <f t="shared" si="8"/>
        <v>0</v>
      </c>
      <c r="I655" s="509"/>
      <c r="J655" s="525"/>
      <c r="K655" s="398"/>
      <c r="L655" s="398"/>
      <c r="M655" s="398"/>
      <c r="N655" s="86"/>
    </row>
    <row r="656" spans="1:14" s="552" customFormat="1" ht="15.75" x14ac:dyDescent="0.25">
      <c r="A656" s="523"/>
      <c r="B656" s="523" t="s">
        <v>851</v>
      </c>
      <c r="C656" s="553">
        <v>3456</v>
      </c>
      <c r="D656" s="476">
        <v>25000</v>
      </c>
      <c r="E656" s="87"/>
      <c r="F656" s="476">
        <v>278</v>
      </c>
      <c r="G656" s="87">
        <v>25000</v>
      </c>
      <c r="H656" s="87">
        <f t="shared" si="8"/>
        <v>0</v>
      </c>
      <c r="I656" s="509"/>
      <c r="J656" s="525"/>
      <c r="K656" s="398"/>
      <c r="L656" s="398"/>
      <c r="M656" s="398"/>
      <c r="N656" s="86"/>
    </row>
    <row r="657" spans="1:18" s="552" customFormat="1" ht="15.75" x14ac:dyDescent="0.25">
      <c r="A657" s="523"/>
      <c r="B657" s="523" t="s">
        <v>851</v>
      </c>
      <c r="C657" s="553">
        <v>7375</v>
      </c>
      <c r="D657" s="476">
        <v>25000</v>
      </c>
      <c r="E657" s="87"/>
      <c r="F657" s="476">
        <v>278</v>
      </c>
      <c r="G657" s="87">
        <v>25000</v>
      </c>
      <c r="H657" s="87">
        <f t="shared" si="8"/>
        <v>0</v>
      </c>
      <c r="I657" s="509"/>
      <c r="J657" s="525"/>
      <c r="K657" s="398"/>
      <c r="L657" s="398"/>
      <c r="M657" s="398"/>
      <c r="N657" s="86"/>
    </row>
    <row r="658" spans="1:18" s="552" customFormat="1" ht="15.75" x14ac:dyDescent="0.25">
      <c r="A658" s="523"/>
      <c r="B658" s="523" t="s">
        <v>851</v>
      </c>
      <c r="C658" s="553">
        <v>4572</v>
      </c>
      <c r="D658" s="476">
        <v>25000</v>
      </c>
      <c r="E658" s="87"/>
      <c r="F658" s="476">
        <v>278</v>
      </c>
      <c r="G658" s="87">
        <v>25000</v>
      </c>
      <c r="H658" s="87">
        <f t="shared" si="8"/>
        <v>0</v>
      </c>
      <c r="I658" s="509"/>
      <c r="J658" s="525"/>
      <c r="K658" s="398"/>
      <c r="L658" s="398"/>
      <c r="M658" s="398"/>
      <c r="N658" s="86"/>
    </row>
    <row r="659" spans="1:18" s="552" customFormat="1" ht="15.75" x14ac:dyDescent="0.25">
      <c r="A659" s="523"/>
      <c r="B659" s="523" t="s">
        <v>851</v>
      </c>
      <c r="C659" s="553">
        <v>9330</v>
      </c>
      <c r="D659" s="476">
        <v>30000</v>
      </c>
      <c r="E659" s="87"/>
      <c r="F659" s="476">
        <v>334</v>
      </c>
      <c r="G659" s="87">
        <v>30000</v>
      </c>
      <c r="H659" s="87">
        <f t="shared" si="8"/>
        <v>0</v>
      </c>
      <c r="I659" s="509"/>
      <c r="J659" s="525"/>
      <c r="K659" s="398"/>
      <c r="L659" s="398"/>
      <c r="M659" s="398"/>
      <c r="N659" s="86"/>
    </row>
    <row r="660" spans="1:18" s="552" customFormat="1" ht="15.75" x14ac:dyDescent="0.25">
      <c r="A660" s="523"/>
      <c r="B660" s="523" t="s">
        <v>851</v>
      </c>
      <c r="C660" s="553" t="s">
        <v>883</v>
      </c>
      <c r="D660" s="476">
        <v>43000</v>
      </c>
      <c r="E660" s="87"/>
      <c r="F660" s="87">
        <v>479</v>
      </c>
      <c r="G660" s="87">
        <v>43000</v>
      </c>
      <c r="H660" s="87">
        <f t="shared" si="8"/>
        <v>0</v>
      </c>
      <c r="I660" s="509"/>
      <c r="J660" s="525"/>
      <c r="K660" s="398"/>
      <c r="L660" s="398"/>
      <c r="M660" s="398"/>
      <c r="N660" s="86"/>
    </row>
    <row r="661" spans="1:18" s="552" customFormat="1" ht="15.75" x14ac:dyDescent="0.25">
      <c r="A661" s="523"/>
      <c r="B661" s="523" t="s">
        <v>851</v>
      </c>
      <c r="C661" s="553">
        <v>2924</v>
      </c>
      <c r="D661" s="476">
        <v>33000</v>
      </c>
      <c r="E661" s="87"/>
      <c r="F661" s="87">
        <v>367</v>
      </c>
      <c r="G661" s="87">
        <v>33000</v>
      </c>
      <c r="H661" s="87">
        <f t="shared" si="8"/>
        <v>0</v>
      </c>
      <c r="I661" s="509"/>
      <c r="J661" s="525"/>
      <c r="K661" s="398"/>
      <c r="M661" s="398"/>
      <c r="N661" s="86"/>
    </row>
    <row r="662" spans="1:18" s="552" customFormat="1" ht="15.75" x14ac:dyDescent="0.25">
      <c r="A662" s="523"/>
      <c r="B662" s="523" t="s">
        <v>851</v>
      </c>
      <c r="C662" s="553" t="s">
        <v>884</v>
      </c>
      <c r="D662" s="476">
        <v>28000</v>
      </c>
      <c r="E662" s="87"/>
      <c r="F662" s="87">
        <v>311</v>
      </c>
      <c r="G662" s="87">
        <v>28000</v>
      </c>
      <c r="H662" s="87">
        <f t="shared" si="8"/>
        <v>0</v>
      </c>
      <c r="I662" s="509"/>
      <c r="J662" s="525"/>
      <c r="K662" s="398"/>
      <c r="L662" s="398"/>
      <c r="M662" s="398"/>
      <c r="N662" s="86"/>
    </row>
    <row r="663" spans="1:18" s="552" customFormat="1" ht="15.75" x14ac:dyDescent="0.25">
      <c r="A663" s="523"/>
      <c r="B663" s="523" t="s">
        <v>851</v>
      </c>
      <c r="C663" s="553">
        <v>6939</v>
      </c>
      <c r="D663" s="476">
        <v>5000</v>
      </c>
      <c r="E663" s="87"/>
      <c r="F663" s="87">
        <v>55</v>
      </c>
      <c r="G663" s="87">
        <v>5000</v>
      </c>
      <c r="H663" s="87">
        <f t="shared" si="8"/>
        <v>0</v>
      </c>
      <c r="I663" s="509"/>
      <c r="J663" s="525"/>
      <c r="K663" s="398">
        <f>2407169-2398835</f>
        <v>8334</v>
      </c>
      <c r="L663" s="398" t="s">
        <v>826</v>
      </c>
      <c r="M663" s="398" t="s">
        <v>620</v>
      </c>
      <c r="N663" s="86">
        <f>8334-5035</f>
        <v>3299</v>
      </c>
    </row>
    <row r="664" spans="1:18" ht="15" x14ac:dyDescent="0.25">
      <c r="A664" s="42"/>
      <c r="B664" s="42"/>
      <c r="C664" s="560" t="s">
        <v>9</v>
      </c>
      <c r="D664" s="21">
        <f>SUM(D4:D663)</f>
        <v>15695431</v>
      </c>
      <c r="E664" s="494"/>
      <c r="F664" s="23">
        <f>SUM(F7:F663)</f>
        <v>136774.90000000017</v>
      </c>
      <c r="G664" s="21">
        <f>SUM(G4:G663)</f>
        <v>15695431</v>
      </c>
      <c r="H664" s="494"/>
      <c r="I664" s="24">
        <f>SUM(I1:I33)</f>
        <v>13296596</v>
      </c>
      <c r="J664" s="398"/>
      <c r="K664" s="398"/>
      <c r="L664" s="398"/>
      <c r="M664" s="398"/>
    </row>
    <row r="665" spans="1:18" ht="15" x14ac:dyDescent="0.25">
      <c r="A665" s="42"/>
      <c r="B665" s="42"/>
      <c r="C665" s="560" t="s">
        <v>10</v>
      </c>
      <c r="D665" s="25">
        <f>SUM(D664-I664)</f>
        <v>2398835</v>
      </c>
      <c r="E665" s="494"/>
      <c r="F665" s="494"/>
      <c r="G665" s="26" t="s">
        <v>10</v>
      </c>
      <c r="H665" s="25">
        <f>SUM(G664-I664)</f>
        <v>2398835</v>
      </c>
      <c r="I665" s="25"/>
      <c r="J665" s="398"/>
      <c r="K665" s="398"/>
      <c r="L665" s="398"/>
      <c r="M665" s="398"/>
    </row>
    <row r="667" spans="1:18" ht="15.75" thickBot="1" x14ac:dyDescent="0.3">
      <c r="O667" s="398"/>
      <c r="P667" s="398"/>
      <c r="Q667" s="398"/>
      <c r="R667" s="86"/>
    </row>
    <row r="668" spans="1:18" ht="15" x14ac:dyDescent="0.25">
      <c r="D668" s="199"/>
      <c r="E668" s="197" t="s">
        <v>971</v>
      </c>
      <c r="F668" s="179"/>
      <c r="G668" s="179"/>
      <c r="H668" s="179"/>
      <c r="I668" s="75"/>
      <c r="J668" s="76"/>
    </row>
    <row r="669" spans="1:18" ht="15.75" thickBot="1" x14ac:dyDescent="0.3">
      <c r="D669" s="200" t="s">
        <v>423</v>
      </c>
      <c r="E669" s="198"/>
      <c r="F669" s="181"/>
      <c r="G669" s="181" t="s">
        <v>186</v>
      </c>
      <c r="H669" s="181"/>
      <c r="I669" s="183"/>
      <c r="J669" s="184"/>
    </row>
    <row r="670" spans="1:18" ht="15" x14ac:dyDescent="0.25">
      <c r="D670" s="91" t="s">
        <v>184</v>
      </c>
      <c r="E670" s="90">
        <v>15695431</v>
      </c>
      <c r="F670" s="90"/>
      <c r="G670" s="90" t="s">
        <v>187</v>
      </c>
      <c r="H670" s="90">
        <v>15702204</v>
      </c>
      <c r="I670" s="90" t="s">
        <v>364</v>
      </c>
      <c r="J670" s="187">
        <f>15053839-15004780</f>
        <v>49059</v>
      </c>
    </row>
    <row r="671" spans="1:18" ht="15" x14ac:dyDescent="0.25">
      <c r="D671" s="93" t="s">
        <v>143</v>
      </c>
      <c r="E671" s="42">
        <v>13296596</v>
      </c>
      <c r="F671" s="42"/>
      <c r="G671" s="42" t="s">
        <v>191</v>
      </c>
      <c r="H671" s="42">
        <v>13295038</v>
      </c>
      <c r="I671" s="42" t="s">
        <v>365</v>
      </c>
      <c r="J671" s="188">
        <f>12632183-12606200</f>
        <v>25983</v>
      </c>
    </row>
    <row r="672" spans="1:18" ht="18.75" x14ac:dyDescent="0.3">
      <c r="D672" s="189" t="s">
        <v>95</v>
      </c>
      <c r="E672" s="89">
        <f>E670-E671</f>
        <v>2398835</v>
      </c>
      <c r="F672" s="89"/>
      <c r="G672" s="89" t="s">
        <v>95</v>
      </c>
      <c r="H672" s="89">
        <f>H670-H671</f>
        <v>2407166</v>
      </c>
      <c r="I672" s="89" t="s">
        <v>390</v>
      </c>
      <c r="J672" s="201">
        <f>E672-H672</f>
        <v>-8331</v>
      </c>
    </row>
    <row r="673" spans="4:10" ht="19.5" thickBot="1" x14ac:dyDescent="0.35">
      <c r="D673" s="202"/>
      <c r="E673" s="203"/>
      <c r="F673" s="203"/>
      <c r="G673" s="204"/>
      <c r="H673" s="204"/>
      <c r="I673" s="204" t="s">
        <v>421</v>
      </c>
      <c r="J673" s="205">
        <v>5035</v>
      </c>
    </row>
    <row r="674" spans="4:10" ht="18.75" thickBot="1" x14ac:dyDescent="0.3">
      <c r="D674" s="206"/>
      <c r="E674" s="207"/>
      <c r="F674" s="207"/>
      <c r="G674" s="208" t="s">
        <v>192</v>
      </c>
      <c r="H674" s="208"/>
      <c r="I674" s="208"/>
      <c r="J674" s="209">
        <f>8331-5035</f>
        <v>3296</v>
      </c>
    </row>
  </sheetData>
  <pageMargins left="0.7" right="0.7" top="0.75" bottom="0.75" header="0.3" footer="0.3"/>
  <pageSetup orientation="portrait" r:id="rId1"/>
  <ignoredErrors>
    <ignoredError sqref="C523:C524 C485:C487 C449 C497 C516 C526 C531 C556:C559 C563 C644:C645 C614 C636 C640 C574 C566 C599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8"/>
  <sheetViews>
    <sheetView workbookViewId="0">
      <selection activeCell="G789" sqref="G789"/>
    </sheetView>
  </sheetViews>
  <sheetFormatPr defaultRowHeight="15" x14ac:dyDescent="0.25"/>
  <cols>
    <col min="1" max="1" width="5.875" customWidth="1"/>
    <col min="2" max="2" width="10.625" customWidth="1"/>
    <col min="3" max="3" width="13.875" style="46" bestFit="1" customWidth="1"/>
    <col min="4" max="4" width="15.5" style="570" customWidth="1"/>
    <col min="5" max="5" width="10.625" style="575" bestFit="1" customWidth="1"/>
    <col min="6" max="6" width="12.375" style="570" bestFit="1" customWidth="1"/>
    <col min="7" max="7" width="12.5" customWidth="1"/>
    <col min="8" max="8" width="13.625" customWidth="1"/>
    <col min="9" max="9" width="9.5" customWidth="1"/>
    <col min="11" max="11" width="16.875" customWidth="1"/>
    <col min="12" max="12" width="11.5" customWidth="1"/>
  </cols>
  <sheetData>
    <row r="1" spans="1:14" ht="20.25" x14ac:dyDescent="0.3">
      <c r="A1" s="510"/>
      <c r="B1" s="510"/>
      <c r="C1" s="557"/>
      <c r="D1" s="565" t="s">
        <v>772</v>
      </c>
      <c r="E1" s="565"/>
      <c r="F1" s="565"/>
      <c r="G1" s="510"/>
      <c r="H1" s="510"/>
      <c r="I1" s="510"/>
    </row>
    <row r="2" spans="1:14" x14ac:dyDescent="0.25">
      <c r="A2" s="510"/>
      <c r="B2" s="510"/>
      <c r="C2" s="557"/>
      <c r="D2" s="566"/>
      <c r="E2" s="666" t="s">
        <v>1194</v>
      </c>
      <c r="F2" s="571"/>
      <c r="G2" s="510"/>
      <c r="H2" s="510"/>
      <c r="I2" s="510"/>
    </row>
    <row r="3" spans="1:14" ht="15.75" x14ac:dyDescent="0.25">
      <c r="A3" s="30" t="s">
        <v>1</v>
      </c>
      <c r="B3" s="30" t="s">
        <v>2</v>
      </c>
      <c r="C3" s="558" t="s">
        <v>97</v>
      </c>
      <c r="D3" s="567" t="s">
        <v>4</v>
      </c>
      <c r="E3" s="567" t="s">
        <v>5</v>
      </c>
      <c r="F3" s="567" t="s">
        <v>4</v>
      </c>
      <c r="G3" s="30" t="s">
        <v>98</v>
      </c>
      <c r="H3" s="417" t="s">
        <v>8</v>
      </c>
      <c r="I3" s="417" t="s">
        <v>2</v>
      </c>
    </row>
    <row r="4" spans="1:14" ht="15.75" x14ac:dyDescent="0.25">
      <c r="A4" s="42"/>
      <c r="B4" s="108" t="s">
        <v>851</v>
      </c>
      <c r="C4" s="559" t="s">
        <v>374</v>
      </c>
      <c r="D4" s="568">
        <v>2398835</v>
      </c>
      <c r="E4" s="572"/>
      <c r="F4" s="568">
        <v>2398835</v>
      </c>
      <c r="G4" s="30"/>
      <c r="H4" s="107"/>
      <c r="I4" s="451"/>
    </row>
    <row r="5" spans="1:14" ht="15.75" x14ac:dyDescent="0.25">
      <c r="A5" s="87">
        <v>1</v>
      </c>
      <c r="B5" s="87" t="s">
        <v>885</v>
      </c>
      <c r="C5" s="553">
        <v>9656</v>
      </c>
      <c r="D5" s="563">
        <v>23000</v>
      </c>
      <c r="E5" s="573">
        <v>256</v>
      </c>
      <c r="F5" s="563">
        <v>23000</v>
      </c>
      <c r="G5" s="87">
        <f t="shared" ref="G5:G68" si="0">D5-F5</f>
        <v>0</v>
      </c>
      <c r="H5" s="509">
        <v>800000</v>
      </c>
      <c r="I5" s="509" t="s">
        <v>852</v>
      </c>
      <c r="J5" s="204" t="s">
        <v>482</v>
      </c>
      <c r="K5" s="204"/>
      <c r="L5" s="204"/>
      <c r="M5" s="552"/>
      <c r="N5" s="552"/>
    </row>
    <row r="6" spans="1:14" ht="15.75" x14ac:dyDescent="0.25">
      <c r="A6" s="87">
        <v>2</v>
      </c>
      <c r="B6" s="87" t="s">
        <v>885</v>
      </c>
      <c r="C6" s="553" t="s">
        <v>30</v>
      </c>
      <c r="D6" s="563">
        <v>5000</v>
      </c>
      <c r="E6" s="573">
        <v>55</v>
      </c>
      <c r="F6" s="563">
        <v>5000</v>
      </c>
      <c r="G6" s="87">
        <f t="shared" si="0"/>
        <v>0</v>
      </c>
      <c r="H6" s="509">
        <v>200000</v>
      </c>
      <c r="I6" s="509" t="s">
        <v>853</v>
      </c>
      <c r="J6" s="204" t="s">
        <v>482</v>
      </c>
      <c r="K6" s="204"/>
      <c r="L6" s="204"/>
      <c r="M6" s="552"/>
      <c r="N6" s="552"/>
    </row>
    <row r="7" spans="1:14" ht="15.75" x14ac:dyDescent="0.25">
      <c r="A7" s="87">
        <v>3</v>
      </c>
      <c r="B7" s="87" t="s">
        <v>885</v>
      </c>
      <c r="C7" s="553">
        <v>1547</v>
      </c>
      <c r="D7" s="563">
        <v>17000</v>
      </c>
      <c r="E7" s="573">
        <v>172</v>
      </c>
      <c r="F7" s="563">
        <v>17000</v>
      </c>
      <c r="G7" s="87">
        <f t="shared" si="0"/>
        <v>0</v>
      </c>
      <c r="H7" s="509">
        <v>400000</v>
      </c>
      <c r="I7" s="509" t="s">
        <v>854</v>
      </c>
      <c r="J7" s="204" t="s">
        <v>482</v>
      </c>
      <c r="K7" s="204"/>
      <c r="L7" s="204"/>
      <c r="M7" s="552"/>
      <c r="N7" s="552"/>
    </row>
    <row r="8" spans="1:14" ht="15.75" x14ac:dyDescent="0.25">
      <c r="A8" s="87">
        <v>4</v>
      </c>
      <c r="B8" s="87" t="s">
        <v>885</v>
      </c>
      <c r="C8" s="553" t="s">
        <v>30</v>
      </c>
      <c r="D8" s="563">
        <v>5000</v>
      </c>
      <c r="E8" s="573">
        <v>55</v>
      </c>
      <c r="F8" s="563">
        <v>5000</v>
      </c>
      <c r="G8" s="87">
        <f t="shared" si="0"/>
        <v>0</v>
      </c>
      <c r="H8" s="509">
        <v>500000</v>
      </c>
      <c r="I8" s="509" t="s">
        <v>855</v>
      </c>
      <c r="J8" s="204" t="s">
        <v>482</v>
      </c>
      <c r="K8" s="204"/>
      <c r="L8" s="204"/>
      <c r="M8" s="552"/>
      <c r="N8" s="552"/>
    </row>
    <row r="9" spans="1:14" s="578" customFormat="1" ht="15.75" x14ac:dyDescent="0.25">
      <c r="A9" s="87">
        <v>5</v>
      </c>
      <c r="B9" s="87" t="s">
        <v>885</v>
      </c>
      <c r="C9" s="553">
        <v>6605</v>
      </c>
      <c r="D9" s="563">
        <v>33000</v>
      </c>
      <c r="E9" s="573">
        <v>367</v>
      </c>
      <c r="F9" s="563">
        <v>33000</v>
      </c>
      <c r="G9" s="87">
        <f t="shared" si="0"/>
        <v>0</v>
      </c>
      <c r="H9" s="509">
        <v>1000000</v>
      </c>
      <c r="I9" s="509" t="s">
        <v>856</v>
      </c>
      <c r="J9" s="204" t="s">
        <v>482</v>
      </c>
      <c r="K9" s="204"/>
      <c r="L9" s="204"/>
    </row>
    <row r="10" spans="1:14" ht="15.75" x14ac:dyDescent="0.25">
      <c r="A10" s="87">
        <v>6</v>
      </c>
      <c r="B10" s="87" t="s">
        <v>885</v>
      </c>
      <c r="C10" s="553">
        <v>5151</v>
      </c>
      <c r="D10" s="563">
        <v>25000</v>
      </c>
      <c r="E10" s="573">
        <v>278</v>
      </c>
      <c r="F10" s="563">
        <v>25000</v>
      </c>
      <c r="G10" s="87">
        <f t="shared" si="0"/>
        <v>0</v>
      </c>
      <c r="H10" s="509">
        <v>800000</v>
      </c>
      <c r="I10" s="509" t="s">
        <v>857</v>
      </c>
      <c r="J10" s="204" t="s">
        <v>482</v>
      </c>
      <c r="K10" s="204"/>
      <c r="L10" s="204"/>
      <c r="M10" s="552"/>
      <c r="N10" s="552"/>
    </row>
    <row r="11" spans="1:14" ht="15.75" x14ac:dyDescent="0.25">
      <c r="A11" s="87">
        <v>7</v>
      </c>
      <c r="B11" s="87" t="s">
        <v>885</v>
      </c>
      <c r="C11" s="554" t="s">
        <v>886</v>
      </c>
      <c r="D11" s="563">
        <v>34000</v>
      </c>
      <c r="E11" s="573">
        <v>370</v>
      </c>
      <c r="F11" s="563">
        <v>34000</v>
      </c>
      <c r="G11" s="87">
        <f t="shared" si="0"/>
        <v>0</v>
      </c>
      <c r="H11" s="509">
        <v>600000</v>
      </c>
      <c r="I11" s="509" t="s">
        <v>858</v>
      </c>
      <c r="J11" s="204" t="s">
        <v>482</v>
      </c>
      <c r="K11" s="204"/>
      <c r="L11" s="204"/>
      <c r="M11" s="552"/>
      <c r="N11" s="552"/>
    </row>
    <row r="12" spans="1:14" ht="18.75" x14ac:dyDescent="0.3">
      <c r="A12" s="87">
        <v>8</v>
      </c>
      <c r="B12" s="87" t="s">
        <v>885</v>
      </c>
      <c r="C12" s="553">
        <v>9860</v>
      </c>
      <c r="D12" s="563">
        <v>33000</v>
      </c>
      <c r="E12" s="573">
        <v>367</v>
      </c>
      <c r="F12" s="563">
        <v>33000</v>
      </c>
      <c r="G12" s="87">
        <f t="shared" si="0"/>
        <v>0</v>
      </c>
      <c r="H12" s="550">
        <v>100000</v>
      </c>
      <c r="I12" s="196" t="s">
        <v>858</v>
      </c>
      <c r="J12" s="196" t="s">
        <v>751</v>
      </c>
      <c r="K12" s="196"/>
      <c r="L12" s="196"/>
      <c r="M12" s="196"/>
      <c r="N12" s="185" t="s">
        <v>858</v>
      </c>
    </row>
    <row r="13" spans="1:14" ht="15.75" x14ac:dyDescent="0.25">
      <c r="A13" s="87">
        <v>9</v>
      </c>
      <c r="B13" s="87" t="s">
        <v>885</v>
      </c>
      <c r="C13" s="553">
        <v>3927</v>
      </c>
      <c r="D13" s="563">
        <v>20000</v>
      </c>
      <c r="E13" s="573">
        <v>216</v>
      </c>
      <c r="F13" s="563">
        <v>20000</v>
      </c>
      <c r="G13" s="87">
        <f t="shared" si="0"/>
        <v>0</v>
      </c>
      <c r="H13" s="509">
        <v>500000</v>
      </c>
      <c r="I13" s="525" t="s">
        <v>859</v>
      </c>
      <c r="J13" s="204" t="s">
        <v>482</v>
      </c>
      <c r="K13" s="204"/>
      <c r="L13" s="204"/>
      <c r="M13" s="552"/>
    </row>
    <row r="14" spans="1:14" ht="15.75" x14ac:dyDescent="0.25">
      <c r="A14" s="87">
        <v>10</v>
      </c>
      <c r="B14" s="87" t="s">
        <v>885</v>
      </c>
      <c r="C14" s="555">
        <v>8118</v>
      </c>
      <c r="D14" s="563">
        <v>30000</v>
      </c>
      <c r="E14" s="573">
        <v>334</v>
      </c>
      <c r="F14" s="563">
        <v>30000</v>
      </c>
      <c r="G14" s="87">
        <f t="shared" si="0"/>
        <v>0</v>
      </c>
      <c r="H14" s="509">
        <v>400000</v>
      </c>
      <c r="I14" s="525" t="s">
        <v>860</v>
      </c>
      <c r="J14" s="204" t="s">
        <v>482</v>
      </c>
      <c r="K14" s="204"/>
      <c r="L14" s="204"/>
      <c r="M14" s="552"/>
    </row>
    <row r="15" spans="1:14" ht="15.75" x14ac:dyDescent="0.25">
      <c r="A15" s="87">
        <v>11</v>
      </c>
      <c r="B15" s="87" t="s">
        <v>887</v>
      </c>
      <c r="C15" s="553">
        <v>1895</v>
      </c>
      <c r="D15" s="563">
        <v>33000</v>
      </c>
      <c r="E15" s="573">
        <v>367</v>
      </c>
      <c r="F15" s="563">
        <v>33000</v>
      </c>
      <c r="G15" s="87">
        <f t="shared" si="0"/>
        <v>0</v>
      </c>
      <c r="H15" s="509">
        <v>600000</v>
      </c>
      <c r="I15" s="509" t="s">
        <v>903</v>
      </c>
      <c r="J15" s="204" t="s">
        <v>482</v>
      </c>
      <c r="K15" s="204"/>
      <c r="L15" s="204"/>
      <c r="M15" s="552"/>
    </row>
    <row r="16" spans="1:14" ht="15.75" x14ac:dyDescent="0.25">
      <c r="A16" s="87">
        <v>12</v>
      </c>
      <c r="B16" s="87" t="s">
        <v>887</v>
      </c>
      <c r="C16" s="553">
        <v>6133</v>
      </c>
      <c r="D16" s="563">
        <v>18000</v>
      </c>
      <c r="E16" s="573">
        <v>200</v>
      </c>
      <c r="F16" s="563">
        <v>18000</v>
      </c>
      <c r="G16" s="87">
        <f t="shared" si="0"/>
        <v>0</v>
      </c>
      <c r="H16" s="509">
        <v>1000000</v>
      </c>
      <c r="I16" s="509" t="s">
        <v>919</v>
      </c>
      <c r="J16" s="204" t="s">
        <v>482</v>
      </c>
      <c r="K16" s="204"/>
      <c r="L16" s="204"/>
      <c r="M16" s="552"/>
    </row>
    <row r="17" spans="1:17" ht="15.75" x14ac:dyDescent="0.25">
      <c r="A17" s="87">
        <v>13</v>
      </c>
      <c r="B17" s="87" t="s">
        <v>887</v>
      </c>
      <c r="C17" s="553" t="s">
        <v>30</v>
      </c>
      <c r="D17" s="563">
        <v>4500</v>
      </c>
      <c r="E17" s="573">
        <v>50</v>
      </c>
      <c r="F17" s="563">
        <v>4500</v>
      </c>
      <c r="G17" s="87">
        <f t="shared" si="0"/>
        <v>0</v>
      </c>
      <c r="H17" s="509">
        <v>800000</v>
      </c>
      <c r="I17" s="509" t="s">
        <v>920</v>
      </c>
      <c r="J17" s="204" t="s">
        <v>482</v>
      </c>
      <c r="K17" s="204"/>
      <c r="L17" s="204"/>
      <c r="M17" s="552"/>
    </row>
    <row r="18" spans="1:17" ht="15.75" x14ac:dyDescent="0.25">
      <c r="A18" s="87">
        <v>14</v>
      </c>
      <c r="B18" s="87" t="s">
        <v>887</v>
      </c>
      <c r="C18" s="553">
        <v>3699</v>
      </c>
      <c r="D18" s="563">
        <v>18000</v>
      </c>
      <c r="E18" s="573">
        <v>200</v>
      </c>
      <c r="F18" s="563">
        <v>18000</v>
      </c>
      <c r="G18" s="87">
        <f t="shared" si="0"/>
        <v>0</v>
      </c>
      <c r="H18" s="509">
        <v>700000</v>
      </c>
      <c r="I18" s="509" t="s">
        <v>921</v>
      </c>
      <c r="J18" s="204" t="s">
        <v>482</v>
      </c>
      <c r="K18" s="204"/>
      <c r="L18" s="204"/>
      <c r="M18" s="552"/>
    </row>
    <row r="19" spans="1:17" ht="15.75" x14ac:dyDescent="0.25">
      <c r="A19" s="87">
        <v>15</v>
      </c>
      <c r="B19" s="87" t="s">
        <v>887</v>
      </c>
      <c r="C19" s="553">
        <v>2999</v>
      </c>
      <c r="D19" s="563">
        <v>18000</v>
      </c>
      <c r="E19" s="573">
        <v>200</v>
      </c>
      <c r="F19" s="563">
        <v>18000</v>
      </c>
      <c r="G19" s="87">
        <f t="shared" si="0"/>
        <v>0</v>
      </c>
      <c r="H19" s="509">
        <v>700000</v>
      </c>
      <c r="I19" s="509" t="s">
        <v>922</v>
      </c>
      <c r="J19" s="204" t="s">
        <v>482</v>
      </c>
      <c r="K19" s="204"/>
      <c r="L19" s="204"/>
      <c r="M19" s="552"/>
    </row>
    <row r="20" spans="1:17" ht="15.75" x14ac:dyDescent="0.25">
      <c r="A20" s="87">
        <v>16</v>
      </c>
      <c r="B20" s="87" t="s">
        <v>887</v>
      </c>
      <c r="C20" s="553">
        <v>1346</v>
      </c>
      <c r="D20" s="563">
        <v>25000</v>
      </c>
      <c r="E20" s="573">
        <v>278</v>
      </c>
      <c r="F20" s="563">
        <v>25000</v>
      </c>
      <c r="G20" s="87">
        <f t="shared" si="0"/>
        <v>0</v>
      </c>
      <c r="H20" s="509">
        <v>600000</v>
      </c>
      <c r="I20" s="509" t="s">
        <v>923</v>
      </c>
      <c r="J20" s="204" t="s">
        <v>482</v>
      </c>
      <c r="K20" s="204"/>
      <c r="L20" s="204"/>
      <c r="M20" s="579"/>
    </row>
    <row r="21" spans="1:17" ht="15.75" x14ac:dyDescent="0.25">
      <c r="A21" s="87">
        <v>17</v>
      </c>
      <c r="B21" s="87" t="s">
        <v>887</v>
      </c>
      <c r="C21" s="553">
        <v>7299</v>
      </c>
      <c r="D21" s="563">
        <v>18000</v>
      </c>
      <c r="E21" s="573">
        <v>200</v>
      </c>
      <c r="F21" s="563">
        <v>18000</v>
      </c>
      <c r="G21" s="87">
        <f t="shared" si="0"/>
        <v>0</v>
      </c>
      <c r="H21" s="509">
        <v>500000</v>
      </c>
      <c r="I21" s="509" t="s">
        <v>934</v>
      </c>
      <c r="J21" s="204" t="s">
        <v>482</v>
      </c>
      <c r="K21" s="204"/>
      <c r="L21" s="204"/>
      <c r="M21" s="579"/>
    </row>
    <row r="22" spans="1:17" ht="15.75" x14ac:dyDescent="0.25">
      <c r="A22" s="87">
        <v>18</v>
      </c>
      <c r="B22" s="87" t="s">
        <v>887</v>
      </c>
      <c r="C22" s="553">
        <v>6946</v>
      </c>
      <c r="D22" s="563">
        <v>10000</v>
      </c>
      <c r="E22" s="573">
        <v>111</v>
      </c>
      <c r="F22" s="563">
        <v>10000</v>
      </c>
      <c r="G22" s="87">
        <f t="shared" si="0"/>
        <v>0</v>
      </c>
      <c r="H22" s="509">
        <v>800000</v>
      </c>
      <c r="I22" s="509" t="s">
        <v>939</v>
      </c>
      <c r="J22" s="204" t="s">
        <v>482</v>
      </c>
      <c r="K22" s="204"/>
      <c r="L22" s="204"/>
      <c r="M22" s="579"/>
    </row>
    <row r="23" spans="1:17" ht="15.75" x14ac:dyDescent="0.25">
      <c r="A23" s="87">
        <v>19</v>
      </c>
      <c r="B23" s="87" t="s">
        <v>887</v>
      </c>
      <c r="C23" s="554" t="s">
        <v>888</v>
      </c>
      <c r="D23" s="563">
        <v>5000</v>
      </c>
      <c r="E23" s="573">
        <v>55</v>
      </c>
      <c r="F23" s="563">
        <v>5000</v>
      </c>
      <c r="G23" s="87">
        <f t="shared" si="0"/>
        <v>0</v>
      </c>
      <c r="H23" s="509">
        <v>400000</v>
      </c>
      <c r="I23" s="509" t="s">
        <v>947</v>
      </c>
      <c r="J23" s="204" t="s">
        <v>482</v>
      </c>
      <c r="K23" s="204"/>
      <c r="L23" s="204"/>
      <c r="M23" s="579"/>
    </row>
    <row r="24" spans="1:17" ht="15.75" x14ac:dyDescent="0.25">
      <c r="A24" s="87">
        <v>20</v>
      </c>
      <c r="B24" s="87" t="s">
        <v>887</v>
      </c>
      <c r="C24" s="553">
        <v>5656</v>
      </c>
      <c r="D24" s="563">
        <v>12620</v>
      </c>
      <c r="E24" s="573">
        <v>140</v>
      </c>
      <c r="F24" s="563">
        <v>12620</v>
      </c>
      <c r="G24" s="87">
        <f t="shared" si="0"/>
        <v>0</v>
      </c>
      <c r="H24" s="509">
        <v>500000</v>
      </c>
      <c r="I24" s="509" t="s">
        <v>951</v>
      </c>
      <c r="J24" s="204" t="s">
        <v>482</v>
      </c>
      <c r="K24" s="204"/>
      <c r="L24" s="204"/>
      <c r="M24" s="579"/>
    </row>
    <row r="25" spans="1:17" ht="15.75" x14ac:dyDescent="0.25">
      <c r="A25" s="87">
        <v>21</v>
      </c>
      <c r="B25" s="87" t="s">
        <v>887</v>
      </c>
      <c r="C25" s="553">
        <v>5603</v>
      </c>
      <c r="D25" s="563">
        <v>26000</v>
      </c>
      <c r="E25" s="573">
        <v>289</v>
      </c>
      <c r="F25" s="563">
        <v>26000</v>
      </c>
      <c r="G25" s="87">
        <f t="shared" si="0"/>
        <v>0</v>
      </c>
      <c r="H25" s="518">
        <v>200000</v>
      </c>
      <c r="I25" s="518" t="s">
        <v>953</v>
      </c>
      <c r="J25" s="515" t="s">
        <v>809</v>
      </c>
      <c r="K25" s="515"/>
      <c r="L25" s="515"/>
      <c r="M25" s="516"/>
      <c r="N25" s="517"/>
      <c r="O25" s="517"/>
      <c r="P25" s="517"/>
      <c r="Q25" s="517"/>
    </row>
    <row r="26" spans="1:17" ht="15.75" x14ac:dyDescent="0.25">
      <c r="A26" s="87">
        <v>22</v>
      </c>
      <c r="B26" s="87" t="s">
        <v>887</v>
      </c>
      <c r="C26" s="553">
        <v>5024</v>
      </c>
      <c r="D26" s="563">
        <v>26000</v>
      </c>
      <c r="E26" s="573">
        <v>289</v>
      </c>
      <c r="F26" s="563">
        <v>26000</v>
      </c>
      <c r="G26" s="87">
        <f t="shared" si="0"/>
        <v>0</v>
      </c>
      <c r="H26" s="518">
        <v>500000</v>
      </c>
      <c r="I26" s="518" t="s">
        <v>919</v>
      </c>
      <c r="J26" s="515" t="s">
        <v>809</v>
      </c>
      <c r="K26" s="515"/>
      <c r="L26" s="515"/>
      <c r="M26" s="516"/>
      <c r="N26" s="517"/>
      <c r="O26" s="517"/>
      <c r="P26" s="517"/>
      <c r="Q26" s="517"/>
    </row>
    <row r="27" spans="1:17" ht="15.75" x14ac:dyDescent="0.25">
      <c r="A27" s="87">
        <v>23</v>
      </c>
      <c r="B27" s="87" t="s">
        <v>887</v>
      </c>
      <c r="C27" s="553">
        <v>2040</v>
      </c>
      <c r="D27" s="563">
        <v>20000</v>
      </c>
      <c r="E27" s="573">
        <v>222</v>
      </c>
      <c r="F27" s="563">
        <v>20000</v>
      </c>
      <c r="G27" s="87">
        <f t="shared" si="0"/>
        <v>0</v>
      </c>
      <c r="H27" s="518">
        <v>500000</v>
      </c>
      <c r="I27" s="518" t="s">
        <v>957</v>
      </c>
      <c r="J27" s="515" t="s">
        <v>809</v>
      </c>
      <c r="K27" s="515"/>
      <c r="L27" s="515"/>
      <c r="M27" s="516"/>
      <c r="N27" s="517"/>
      <c r="O27" s="517"/>
      <c r="P27" s="517"/>
      <c r="Q27" s="517"/>
    </row>
    <row r="28" spans="1:17" ht="15.75" x14ac:dyDescent="0.25">
      <c r="A28" s="87">
        <v>24</v>
      </c>
      <c r="B28" s="87" t="s">
        <v>852</v>
      </c>
      <c r="C28" s="553" t="s">
        <v>30</v>
      </c>
      <c r="D28" s="563">
        <v>5000</v>
      </c>
      <c r="E28" s="573">
        <v>55</v>
      </c>
      <c r="F28" s="563">
        <v>5000</v>
      </c>
      <c r="G28" s="87">
        <f t="shared" si="0"/>
        <v>0</v>
      </c>
      <c r="H28" s="509">
        <v>500000</v>
      </c>
      <c r="I28" s="509" t="s">
        <v>958</v>
      </c>
      <c r="J28" s="204" t="s">
        <v>482</v>
      </c>
      <c r="K28" s="204"/>
      <c r="L28" s="204"/>
    </row>
    <row r="29" spans="1:17" ht="15.75" x14ac:dyDescent="0.25">
      <c r="A29" s="87">
        <v>25</v>
      </c>
      <c r="B29" s="87" t="s">
        <v>852</v>
      </c>
      <c r="C29" s="553">
        <v>2481</v>
      </c>
      <c r="D29" s="563">
        <v>23000</v>
      </c>
      <c r="E29" s="573">
        <v>256</v>
      </c>
      <c r="F29" s="563">
        <v>23000</v>
      </c>
      <c r="G29" s="87">
        <f t="shared" si="0"/>
        <v>0</v>
      </c>
      <c r="H29" s="509">
        <v>800000</v>
      </c>
      <c r="I29" s="509" t="s">
        <v>961</v>
      </c>
      <c r="J29" s="204" t="s">
        <v>482</v>
      </c>
      <c r="K29" s="204"/>
      <c r="L29" s="204"/>
      <c r="M29" s="598"/>
    </row>
    <row r="30" spans="1:17" ht="15.75" x14ac:dyDescent="0.25">
      <c r="A30" s="87">
        <v>26</v>
      </c>
      <c r="B30" s="87" t="s">
        <v>852</v>
      </c>
      <c r="C30" s="553">
        <v>4304</v>
      </c>
      <c r="D30" s="563">
        <v>22000</v>
      </c>
      <c r="E30" s="573">
        <v>245</v>
      </c>
      <c r="F30" s="563">
        <v>22000</v>
      </c>
      <c r="G30" s="87">
        <f t="shared" si="0"/>
        <v>0</v>
      </c>
      <c r="H30" s="509">
        <v>500000</v>
      </c>
      <c r="I30" s="509" t="s">
        <v>962</v>
      </c>
      <c r="J30" s="204" t="s">
        <v>482</v>
      </c>
      <c r="K30" s="204"/>
      <c r="L30" s="204"/>
    </row>
    <row r="31" spans="1:17" ht="15.75" x14ac:dyDescent="0.25">
      <c r="A31" s="87">
        <v>27</v>
      </c>
      <c r="B31" s="87" t="s">
        <v>852</v>
      </c>
      <c r="C31" s="553">
        <v>3038</v>
      </c>
      <c r="D31" s="563">
        <v>20000</v>
      </c>
      <c r="E31" s="573">
        <v>222</v>
      </c>
      <c r="F31" s="563">
        <v>20000</v>
      </c>
      <c r="G31" s="87">
        <f t="shared" si="0"/>
        <v>0</v>
      </c>
      <c r="H31" s="509"/>
      <c r="I31" s="509" t="s">
        <v>966</v>
      </c>
      <c r="J31" s="204" t="s">
        <v>482</v>
      </c>
      <c r="K31" s="204"/>
      <c r="L31" s="204"/>
      <c r="N31" s="509">
        <v>800000</v>
      </c>
      <c r="O31" s="509">
        <v>800000</v>
      </c>
    </row>
    <row r="32" spans="1:17" ht="15.75" x14ac:dyDescent="0.25">
      <c r="A32" s="87">
        <v>28</v>
      </c>
      <c r="B32" s="87" t="s">
        <v>852</v>
      </c>
      <c r="C32" s="553">
        <v>2978</v>
      </c>
      <c r="D32" s="563">
        <v>20000</v>
      </c>
      <c r="E32" s="573">
        <v>222</v>
      </c>
      <c r="F32" s="563">
        <v>20000</v>
      </c>
      <c r="G32" s="87">
        <f t="shared" si="0"/>
        <v>0</v>
      </c>
      <c r="H32" s="509"/>
      <c r="I32" s="509" t="s">
        <v>967</v>
      </c>
      <c r="J32" s="204" t="s">
        <v>482</v>
      </c>
      <c r="K32" s="204"/>
      <c r="L32" s="204"/>
      <c r="M32" s="604"/>
      <c r="N32" s="509">
        <v>200000</v>
      </c>
      <c r="O32" s="509">
        <v>200000</v>
      </c>
    </row>
    <row r="33" spans="1:15" ht="15.75" x14ac:dyDescent="0.25">
      <c r="A33" s="87">
        <v>29</v>
      </c>
      <c r="B33" s="87" t="s">
        <v>852</v>
      </c>
      <c r="C33" s="553">
        <v>5888</v>
      </c>
      <c r="D33" s="563">
        <v>10000</v>
      </c>
      <c r="E33" s="573">
        <v>111</v>
      </c>
      <c r="F33" s="563">
        <v>10000</v>
      </c>
      <c r="G33" s="87">
        <f t="shared" si="0"/>
        <v>0</v>
      </c>
      <c r="H33" s="509"/>
      <c r="I33" s="509"/>
      <c r="N33" s="509">
        <v>400000</v>
      </c>
      <c r="O33" s="509">
        <v>400000</v>
      </c>
    </row>
    <row r="34" spans="1:15" ht="15.75" x14ac:dyDescent="0.25">
      <c r="A34" s="87">
        <v>30</v>
      </c>
      <c r="B34" s="87" t="s">
        <v>852</v>
      </c>
      <c r="C34" s="553" t="s">
        <v>66</v>
      </c>
      <c r="D34" s="563">
        <v>100</v>
      </c>
      <c r="E34" s="573" t="s">
        <v>66</v>
      </c>
      <c r="F34" s="563">
        <v>100</v>
      </c>
      <c r="G34" s="87">
        <f t="shared" si="0"/>
        <v>0</v>
      </c>
      <c r="H34" s="509"/>
      <c r="I34" s="509"/>
      <c r="N34" s="509">
        <v>500000</v>
      </c>
      <c r="O34" s="509">
        <v>500000</v>
      </c>
    </row>
    <row r="35" spans="1:15" ht="15.75" x14ac:dyDescent="0.25">
      <c r="A35" s="87">
        <v>31</v>
      </c>
      <c r="B35" s="87" t="s">
        <v>852</v>
      </c>
      <c r="C35" s="553">
        <v>4616</v>
      </c>
      <c r="D35" s="563">
        <v>8000</v>
      </c>
      <c r="E35" s="573">
        <v>82</v>
      </c>
      <c r="F35" s="563">
        <v>8000</v>
      </c>
      <c r="G35" s="87">
        <f t="shared" si="0"/>
        <v>0</v>
      </c>
      <c r="H35" s="509"/>
      <c r="I35" s="509"/>
      <c r="N35" s="509">
        <v>1000000</v>
      </c>
      <c r="O35" s="509">
        <v>1000000</v>
      </c>
    </row>
    <row r="36" spans="1:15" ht="15.75" x14ac:dyDescent="0.25">
      <c r="A36" s="87">
        <v>32</v>
      </c>
      <c r="B36" s="87" t="s">
        <v>852</v>
      </c>
      <c r="C36" s="553">
        <v>4932</v>
      </c>
      <c r="D36" s="563">
        <v>18000</v>
      </c>
      <c r="E36" s="573">
        <v>200</v>
      </c>
      <c r="F36" s="563">
        <v>18000</v>
      </c>
      <c r="G36" s="87">
        <f t="shared" si="0"/>
        <v>0</v>
      </c>
      <c r="H36" s="509"/>
      <c r="I36" s="509"/>
      <c r="N36" s="509">
        <v>800000</v>
      </c>
      <c r="O36" s="509">
        <v>800000</v>
      </c>
    </row>
    <row r="37" spans="1:15" ht="15.75" x14ac:dyDescent="0.25">
      <c r="A37" s="87">
        <v>33</v>
      </c>
      <c r="B37" s="87" t="s">
        <v>889</v>
      </c>
      <c r="C37" s="553" t="s">
        <v>819</v>
      </c>
      <c r="D37" s="563">
        <v>3500</v>
      </c>
      <c r="E37" s="573">
        <v>38</v>
      </c>
      <c r="F37" s="563">
        <v>3500</v>
      </c>
      <c r="G37" s="87">
        <f t="shared" si="0"/>
        <v>0</v>
      </c>
      <c r="H37" s="509"/>
      <c r="I37" s="509"/>
      <c r="N37" s="509">
        <v>600000</v>
      </c>
      <c r="O37" s="509">
        <v>600000</v>
      </c>
    </row>
    <row r="38" spans="1:15" ht="18.75" x14ac:dyDescent="0.3">
      <c r="A38" s="87">
        <v>34</v>
      </c>
      <c r="B38" s="87" t="s">
        <v>889</v>
      </c>
      <c r="C38" s="553">
        <v>1117</v>
      </c>
      <c r="D38" s="563">
        <v>10000</v>
      </c>
      <c r="E38" s="573">
        <v>111</v>
      </c>
      <c r="F38" s="563">
        <v>10000</v>
      </c>
      <c r="G38" s="87">
        <f t="shared" si="0"/>
        <v>0</v>
      </c>
      <c r="H38" s="550"/>
      <c r="I38" s="196"/>
      <c r="N38" s="509">
        <v>500000</v>
      </c>
      <c r="O38" s="509">
        <v>500000</v>
      </c>
    </row>
    <row r="39" spans="1:15" ht="15.75" x14ac:dyDescent="0.25">
      <c r="A39" s="87">
        <v>35</v>
      </c>
      <c r="B39" s="87" t="s">
        <v>889</v>
      </c>
      <c r="C39" s="553" t="s">
        <v>30</v>
      </c>
      <c r="D39" s="563">
        <v>3000</v>
      </c>
      <c r="E39" s="573">
        <v>33</v>
      </c>
      <c r="F39" s="563">
        <v>3000</v>
      </c>
      <c r="G39" s="87">
        <f t="shared" si="0"/>
        <v>0</v>
      </c>
      <c r="H39" s="509"/>
      <c r="I39" s="525"/>
      <c r="N39" s="509">
        <v>400000</v>
      </c>
      <c r="O39" s="509">
        <v>400000</v>
      </c>
    </row>
    <row r="40" spans="1:15" ht="15.75" x14ac:dyDescent="0.25">
      <c r="A40" s="87">
        <v>36</v>
      </c>
      <c r="B40" s="87" t="s">
        <v>889</v>
      </c>
      <c r="C40" s="553">
        <v>6133</v>
      </c>
      <c r="D40" s="563">
        <v>15000</v>
      </c>
      <c r="E40" s="573">
        <v>167</v>
      </c>
      <c r="F40" s="563">
        <v>15000</v>
      </c>
      <c r="G40" s="87">
        <f t="shared" si="0"/>
        <v>0</v>
      </c>
      <c r="H40" s="509"/>
      <c r="I40" s="525"/>
      <c r="N40" s="509">
        <v>600000</v>
      </c>
      <c r="O40" s="509">
        <v>600000</v>
      </c>
    </row>
    <row r="41" spans="1:15" ht="15.75" x14ac:dyDescent="0.25">
      <c r="A41" s="87">
        <v>37</v>
      </c>
      <c r="B41" s="87" t="s">
        <v>889</v>
      </c>
      <c r="C41" s="553">
        <v>9212</v>
      </c>
      <c r="D41" s="563">
        <v>18000</v>
      </c>
      <c r="E41" s="573">
        <v>200</v>
      </c>
      <c r="F41" s="563">
        <v>18000</v>
      </c>
      <c r="G41" s="87">
        <f t="shared" si="0"/>
        <v>0</v>
      </c>
      <c r="H41" s="509"/>
      <c r="I41" s="525"/>
      <c r="N41" s="509">
        <v>1000000</v>
      </c>
      <c r="O41" s="509">
        <v>1000000</v>
      </c>
    </row>
    <row r="42" spans="1:15" ht="15.75" x14ac:dyDescent="0.25">
      <c r="A42" s="87">
        <v>38</v>
      </c>
      <c r="B42" s="87" t="s">
        <v>889</v>
      </c>
      <c r="C42" s="553">
        <v>3662</v>
      </c>
      <c r="D42" s="563">
        <v>20000</v>
      </c>
      <c r="E42" s="573">
        <v>222</v>
      </c>
      <c r="F42" s="563">
        <v>20000</v>
      </c>
      <c r="G42" s="87">
        <f t="shared" si="0"/>
        <v>0</v>
      </c>
      <c r="H42" s="509"/>
      <c r="I42" s="525"/>
      <c r="N42" s="509">
        <v>800000</v>
      </c>
      <c r="O42" s="509">
        <v>800000</v>
      </c>
    </row>
    <row r="43" spans="1:15" ht="15.75" x14ac:dyDescent="0.25">
      <c r="A43" s="87">
        <v>39</v>
      </c>
      <c r="B43" s="87" t="s">
        <v>889</v>
      </c>
      <c r="C43" s="554" t="s">
        <v>890</v>
      </c>
      <c r="D43" s="563">
        <v>14000</v>
      </c>
      <c r="E43" s="573">
        <v>149</v>
      </c>
      <c r="F43" s="563">
        <v>14000</v>
      </c>
      <c r="G43" s="87">
        <f t="shared" si="0"/>
        <v>0</v>
      </c>
      <c r="H43" s="509"/>
      <c r="I43" s="525"/>
      <c r="N43" s="509">
        <v>700000</v>
      </c>
      <c r="O43" s="509">
        <v>700000</v>
      </c>
    </row>
    <row r="44" spans="1:15" ht="15.75" x14ac:dyDescent="0.25">
      <c r="A44" s="87">
        <v>40</v>
      </c>
      <c r="B44" s="87" t="s">
        <v>889</v>
      </c>
      <c r="C44" s="553" t="s">
        <v>30</v>
      </c>
      <c r="D44" s="563">
        <v>5000</v>
      </c>
      <c r="E44" s="573">
        <v>55</v>
      </c>
      <c r="F44" s="563">
        <v>5000</v>
      </c>
      <c r="G44" s="87">
        <f t="shared" si="0"/>
        <v>0</v>
      </c>
      <c r="H44" s="509"/>
      <c r="I44" s="525"/>
      <c r="N44" s="509">
        <v>700000</v>
      </c>
      <c r="O44" s="509">
        <v>700000</v>
      </c>
    </row>
    <row r="45" spans="1:15" ht="15.75" x14ac:dyDescent="0.25">
      <c r="A45" s="87">
        <v>41</v>
      </c>
      <c r="B45" s="87" t="s">
        <v>889</v>
      </c>
      <c r="C45" s="553" t="s">
        <v>30</v>
      </c>
      <c r="D45" s="563">
        <v>4500</v>
      </c>
      <c r="E45" s="573">
        <v>55</v>
      </c>
      <c r="F45" s="563">
        <v>4500</v>
      </c>
      <c r="G45" s="87">
        <f t="shared" si="0"/>
        <v>0</v>
      </c>
      <c r="H45" s="509"/>
      <c r="I45" s="525"/>
      <c r="N45" s="509">
        <v>600000</v>
      </c>
      <c r="O45" s="509">
        <v>600000</v>
      </c>
    </row>
    <row r="46" spans="1:15" ht="15.75" x14ac:dyDescent="0.25">
      <c r="A46" s="87">
        <v>42</v>
      </c>
      <c r="B46" s="87" t="s">
        <v>889</v>
      </c>
      <c r="C46" s="554" t="s">
        <v>891</v>
      </c>
      <c r="D46" s="563">
        <v>10000</v>
      </c>
      <c r="E46" s="573">
        <v>111</v>
      </c>
      <c r="F46" s="563">
        <v>10000</v>
      </c>
      <c r="G46" s="87">
        <f t="shared" si="0"/>
        <v>0</v>
      </c>
      <c r="H46" s="509"/>
      <c r="I46" s="525"/>
      <c r="N46" s="509">
        <v>500000</v>
      </c>
      <c r="O46" s="509">
        <v>500000</v>
      </c>
    </row>
    <row r="47" spans="1:15" ht="15.75" x14ac:dyDescent="0.25">
      <c r="A47" s="87">
        <v>43</v>
      </c>
      <c r="B47" s="87" t="s">
        <v>889</v>
      </c>
      <c r="C47" s="554" t="s">
        <v>892</v>
      </c>
      <c r="D47" s="563">
        <v>10000</v>
      </c>
      <c r="E47" s="573">
        <v>111</v>
      </c>
      <c r="F47" s="563">
        <v>10000</v>
      </c>
      <c r="G47" s="87">
        <f t="shared" si="0"/>
        <v>0</v>
      </c>
      <c r="H47" s="509"/>
      <c r="I47" s="525"/>
      <c r="N47" s="509">
        <v>800000</v>
      </c>
      <c r="O47" s="509">
        <v>800000</v>
      </c>
    </row>
    <row r="48" spans="1:15" ht="15.75" x14ac:dyDescent="0.25">
      <c r="A48" s="87">
        <v>44</v>
      </c>
      <c r="B48" s="87" t="s">
        <v>889</v>
      </c>
      <c r="C48" s="553">
        <v>9427</v>
      </c>
      <c r="D48" s="563">
        <v>22000</v>
      </c>
      <c r="E48" s="573">
        <v>245</v>
      </c>
      <c r="F48" s="563">
        <v>22000</v>
      </c>
      <c r="G48" s="87">
        <f t="shared" si="0"/>
        <v>0</v>
      </c>
      <c r="H48" s="509"/>
      <c r="I48" s="525"/>
      <c r="N48" s="509">
        <v>400000</v>
      </c>
      <c r="O48" s="509">
        <v>400000</v>
      </c>
    </row>
    <row r="49" spans="1:15" ht="15.75" x14ac:dyDescent="0.25">
      <c r="A49" s="87">
        <v>45</v>
      </c>
      <c r="B49" s="87" t="s">
        <v>889</v>
      </c>
      <c r="C49" s="553">
        <v>9512</v>
      </c>
      <c r="D49" s="563">
        <v>27000</v>
      </c>
      <c r="E49" s="573">
        <v>300</v>
      </c>
      <c r="F49" s="563">
        <v>27000</v>
      </c>
      <c r="G49" s="87">
        <f t="shared" si="0"/>
        <v>0</v>
      </c>
      <c r="H49" s="509"/>
      <c r="I49" s="525"/>
      <c r="N49" s="509">
        <v>500000</v>
      </c>
      <c r="O49" s="509">
        <v>500000</v>
      </c>
    </row>
    <row r="50" spans="1:15" ht="15.75" x14ac:dyDescent="0.25">
      <c r="A50" s="87">
        <v>46</v>
      </c>
      <c r="B50" s="87" t="s">
        <v>889</v>
      </c>
      <c r="C50" s="553">
        <v>2449</v>
      </c>
      <c r="D50" s="563">
        <v>24000</v>
      </c>
      <c r="E50" s="573">
        <v>255</v>
      </c>
      <c r="F50" s="563">
        <v>24000</v>
      </c>
      <c r="G50" s="87">
        <f t="shared" si="0"/>
        <v>0</v>
      </c>
      <c r="H50" s="509"/>
      <c r="I50" s="525"/>
      <c r="N50" s="509">
        <v>500000</v>
      </c>
      <c r="O50" s="509">
        <v>500000</v>
      </c>
    </row>
    <row r="51" spans="1:15" ht="15.75" x14ac:dyDescent="0.25">
      <c r="A51" s="87">
        <v>47</v>
      </c>
      <c r="B51" s="87" t="s">
        <v>889</v>
      </c>
      <c r="C51" s="553">
        <v>7889</v>
      </c>
      <c r="D51" s="563">
        <v>18000</v>
      </c>
      <c r="E51" s="573">
        <v>158</v>
      </c>
      <c r="F51" s="563">
        <v>18000</v>
      </c>
      <c r="G51" s="87">
        <f t="shared" si="0"/>
        <v>0</v>
      </c>
      <c r="H51" s="509"/>
      <c r="I51" s="525"/>
      <c r="N51" s="509">
        <v>800000</v>
      </c>
      <c r="O51" s="509">
        <v>800000</v>
      </c>
    </row>
    <row r="52" spans="1:15" ht="15.75" x14ac:dyDescent="0.25">
      <c r="A52" s="87">
        <v>48</v>
      </c>
      <c r="B52" s="87" t="s">
        <v>889</v>
      </c>
      <c r="C52" s="553">
        <v>8129</v>
      </c>
      <c r="D52" s="563">
        <v>30000</v>
      </c>
      <c r="E52" s="573">
        <v>334</v>
      </c>
      <c r="F52" s="563">
        <v>30000</v>
      </c>
      <c r="G52" s="87">
        <f t="shared" si="0"/>
        <v>0</v>
      </c>
      <c r="H52" s="509"/>
      <c r="I52" s="525"/>
      <c r="N52">
        <f>SUM(N31:N51)</f>
        <v>13100000</v>
      </c>
      <c r="O52">
        <f>SUM(O31:O51)</f>
        <v>13100000</v>
      </c>
    </row>
    <row r="53" spans="1:15" ht="15.75" x14ac:dyDescent="0.25">
      <c r="A53" s="87">
        <v>49</v>
      </c>
      <c r="B53" s="87" t="s">
        <v>889</v>
      </c>
      <c r="C53" s="553">
        <v>3457</v>
      </c>
      <c r="D53" s="563">
        <v>20000</v>
      </c>
      <c r="E53" s="573">
        <v>217</v>
      </c>
      <c r="F53" s="563">
        <v>20000</v>
      </c>
      <c r="G53" s="87">
        <f t="shared" si="0"/>
        <v>0</v>
      </c>
      <c r="H53" s="509"/>
      <c r="I53" s="525"/>
    </row>
    <row r="54" spans="1:15" ht="15.75" x14ac:dyDescent="0.25">
      <c r="A54" s="87">
        <v>50</v>
      </c>
      <c r="B54" s="87" t="s">
        <v>889</v>
      </c>
      <c r="C54" s="553">
        <v>3787</v>
      </c>
      <c r="D54" s="563">
        <v>20000</v>
      </c>
      <c r="E54" s="573">
        <v>213</v>
      </c>
      <c r="F54" s="563">
        <v>20000</v>
      </c>
      <c r="G54" s="87">
        <f t="shared" si="0"/>
        <v>0</v>
      </c>
      <c r="H54" s="509"/>
      <c r="I54" s="525"/>
    </row>
    <row r="55" spans="1:15" ht="15.75" x14ac:dyDescent="0.25">
      <c r="A55" s="87">
        <v>51</v>
      </c>
      <c r="B55" s="87" t="s">
        <v>853</v>
      </c>
      <c r="C55" s="553">
        <v>6957</v>
      </c>
      <c r="D55" s="563">
        <v>18000</v>
      </c>
      <c r="E55" s="573">
        <v>200</v>
      </c>
      <c r="F55" s="563">
        <v>18000</v>
      </c>
      <c r="G55" s="87">
        <f t="shared" si="0"/>
        <v>0</v>
      </c>
      <c r="H55" s="509"/>
      <c r="I55" s="525"/>
    </row>
    <row r="56" spans="1:15" ht="15.75" x14ac:dyDescent="0.25">
      <c r="A56" s="87">
        <v>52</v>
      </c>
      <c r="B56" s="87" t="s">
        <v>853</v>
      </c>
      <c r="C56" s="553">
        <v>1547</v>
      </c>
      <c r="D56" s="563">
        <v>17000</v>
      </c>
      <c r="E56" s="573">
        <v>189</v>
      </c>
      <c r="F56" s="563">
        <v>17000</v>
      </c>
      <c r="G56" s="87">
        <f t="shared" si="0"/>
        <v>0</v>
      </c>
      <c r="H56" s="509"/>
      <c r="I56" s="525"/>
    </row>
    <row r="57" spans="1:15" ht="15.75" x14ac:dyDescent="0.25">
      <c r="A57" s="87">
        <v>53</v>
      </c>
      <c r="B57" s="87" t="s">
        <v>853</v>
      </c>
      <c r="C57" s="553">
        <v>8318</v>
      </c>
      <c r="D57" s="563">
        <v>15000</v>
      </c>
      <c r="E57" s="573">
        <v>167</v>
      </c>
      <c r="F57" s="563">
        <v>15000</v>
      </c>
      <c r="G57" s="87">
        <f t="shared" si="0"/>
        <v>0</v>
      </c>
      <c r="H57" s="509"/>
      <c r="I57" s="525"/>
    </row>
    <row r="58" spans="1:15" ht="15.75" x14ac:dyDescent="0.25">
      <c r="A58" s="87">
        <v>54</v>
      </c>
      <c r="B58" s="87" t="s">
        <v>853</v>
      </c>
      <c r="C58" s="553" t="s">
        <v>30</v>
      </c>
      <c r="D58" s="563">
        <v>3000</v>
      </c>
      <c r="E58" s="573">
        <v>34</v>
      </c>
      <c r="F58" s="563">
        <v>3000</v>
      </c>
      <c r="G58" s="87">
        <f t="shared" si="0"/>
        <v>0</v>
      </c>
      <c r="H58" s="509"/>
      <c r="I58" s="525"/>
    </row>
    <row r="59" spans="1:15" ht="15.75" x14ac:dyDescent="0.25">
      <c r="A59" s="87">
        <v>55</v>
      </c>
      <c r="B59" s="87" t="s">
        <v>853</v>
      </c>
      <c r="C59" s="553">
        <v>2460</v>
      </c>
      <c r="D59" s="563">
        <v>17199</v>
      </c>
      <c r="E59" s="573">
        <v>191</v>
      </c>
      <c r="F59" s="563">
        <v>17199</v>
      </c>
      <c r="G59" s="87">
        <f t="shared" si="0"/>
        <v>0</v>
      </c>
      <c r="H59" s="509"/>
      <c r="I59" s="525"/>
    </row>
    <row r="60" spans="1:15" ht="15.75" x14ac:dyDescent="0.25">
      <c r="A60" s="87">
        <v>56</v>
      </c>
      <c r="B60" s="87" t="s">
        <v>853</v>
      </c>
      <c r="C60" s="553">
        <v>2461</v>
      </c>
      <c r="D60" s="563">
        <v>32000</v>
      </c>
      <c r="E60" s="573">
        <v>356</v>
      </c>
      <c r="F60" s="563">
        <v>32000</v>
      </c>
      <c r="G60" s="87">
        <f t="shared" si="0"/>
        <v>0</v>
      </c>
      <c r="H60" s="509"/>
      <c r="I60" s="525"/>
    </row>
    <row r="61" spans="1:15" ht="15.75" x14ac:dyDescent="0.25">
      <c r="A61" s="87">
        <v>57</v>
      </c>
      <c r="B61" s="87" t="s">
        <v>853</v>
      </c>
      <c r="C61" s="554" t="s">
        <v>893</v>
      </c>
      <c r="D61" s="563">
        <v>10000</v>
      </c>
      <c r="E61" s="573">
        <v>111</v>
      </c>
      <c r="F61" s="563">
        <v>10000</v>
      </c>
      <c r="G61" s="87">
        <f t="shared" si="0"/>
        <v>0</v>
      </c>
      <c r="H61" s="509"/>
      <c r="I61" s="525"/>
    </row>
    <row r="62" spans="1:15" ht="15.75" x14ac:dyDescent="0.25">
      <c r="A62" s="87">
        <v>58</v>
      </c>
      <c r="B62" s="87" t="s">
        <v>853</v>
      </c>
      <c r="C62" s="554" t="s">
        <v>894</v>
      </c>
      <c r="D62" s="563">
        <v>20000</v>
      </c>
      <c r="E62" s="573">
        <v>222</v>
      </c>
      <c r="F62" s="563">
        <v>20000</v>
      </c>
      <c r="G62" s="87">
        <f t="shared" si="0"/>
        <v>0</v>
      </c>
      <c r="H62" s="509"/>
      <c r="I62" s="525"/>
    </row>
    <row r="63" spans="1:15" ht="15.75" x14ac:dyDescent="0.25">
      <c r="A63" s="87">
        <v>59</v>
      </c>
      <c r="B63" s="87" t="s">
        <v>853</v>
      </c>
      <c r="C63" s="553">
        <v>2951</v>
      </c>
      <c r="D63" s="563">
        <v>5000</v>
      </c>
      <c r="E63" s="573">
        <v>55</v>
      </c>
      <c r="F63" s="563">
        <v>5000</v>
      </c>
      <c r="G63" s="87">
        <f t="shared" si="0"/>
        <v>0</v>
      </c>
      <c r="H63" s="509"/>
      <c r="I63" s="525"/>
    </row>
    <row r="64" spans="1:15" ht="15.75" x14ac:dyDescent="0.25">
      <c r="A64" s="87">
        <v>60</v>
      </c>
      <c r="B64" s="87" t="s">
        <v>853</v>
      </c>
      <c r="C64" s="553">
        <v>4089</v>
      </c>
      <c r="D64" s="563">
        <v>30000</v>
      </c>
      <c r="E64" s="573">
        <v>334</v>
      </c>
      <c r="F64" s="563">
        <v>30000</v>
      </c>
      <c r="G64" s="87">
        <f t="shared" si="0"/>
        <v>0</v>
      </c>
      <c r="H64" s="509"/>
      <c r="I64" s="525"/>
    </row>
    <row r="65" spans="1:9" ht="15.75" x14ac:dyDescent="0.25">
      <c r="A65" s="87">
        <v>61</v>
      </c>
      <c r="B65" s="87" t="s">
        <v>853</v>
      </c>
      <c r="C65" s="553">
        <v>7701</v>
      </c>
      <c r="D65" s="563">
        <v>31000</v>
      </c>
      <c r="E65" s="573">
        <v>345</v>
      </c>
      <c r="F65" s="563">
        <v>31000</v>
      </c>
      <c r="G65" s="87">
        <f t="shared" si="0"/>
        <v>0</v>
      </c>
      <c r="H65" s="509"/>
      <c r="I65" s="525"/>
    </row>
    <row r="66" spans="1:9" ht="15.75" x14ac:dyDescent="0.25">
      <c r="A66" s="87">
        <v>62</v>
      </c>
      <c r="B66" s="87" t="s">
        <v>853</v>
      </c>
      <c r="C66" s="553">
        <v>2213</v>
      </c>
      <c r="D66" s="563">
        <v>27000</v>
      </c>
      <c r="E66" s="573">
        <v>300</v>
      </c>
      <c r="F66" s="563">
        <v>27000</v>
      </c>
      <c r="G66" s="87">
        <f t="shared" si="0"/>
        <v>0</v>
      </c>
      <c r="H66" s="509"/>
      <c r="I66" s="525"/>
    </row>
    <row r="67" spans="1:9" ht="15.75" x14ac:dyDescent="0.25">
      <c r="A67" s="87">
        <v>63</v>
      </c>
      <c r="B67" s="87" t="s">
        <v>853</v>
      </c>
      <c r="C67" s="553">
        <v>5428</v>
      </c>
      <c r="D67" s="563">
        <v>25000</v>
      </c>
      <c r="E67" s="573">
        <v>278</v>
      </c>
      <c r="F67" s="563">
        <v>25000</v>
      </c>
      <c r="G67" s="87">
        <f t="shared" si="0"/>
        <v>0</v>
      </c>
      <c r="H67" s="509"/>
      <c r="I67" s="525"/>
    </row>
    <row r="68" spans="1:9" ht="15.75" x14ac:dyDescent="0.25">
      <c r="A68" s="87">
        <v>64</v>
      </c>
      <c r="B68" s="87" t="s">
        <v>853</v>
      </c>
      <c r="C68" s="553">
        <v>3877</v>
      </c>
      <c r="D68" s="563">
        <v>32000</v>
      </c>
      <c r="E68" s="573">
        <v>356</v>
      </c>
      <c r="F68" s="563">
        <v>32000</v>
      </c>
      <c r="G68" s="87">
        <f t="shared" si="0"/>
        <v>0</v>
      </c>
      <c r="H68" s="509"/>
      <c r="I68" s="525"/>
    </row>
    <row r="69" spans="1:9" ht="15.75" x14ac:dyDescent="0.25">
      <c r="A69" s="87">
        <v>65</v>
      </c>
      <c r="B69" s="87" t="s">
        <v>853</v>
      </c>
      <c r="C69" s="553">
        <v>2041</v>
      </c>
      <c r="D69" s="563">
        <v>30000</v>
      </c>
      <c r="E69" s="573">
        <v>334</v>
      </c>
      <c r="F69" s="563">
        <v>30000</v>
      </c>
      <c r="G69" s="87">
        <f t="shared" ref="G69:G132" si="1">D69-F69</f>
        <v>0</v>
      </c>
      <c r="H69" s="509"/>
      <c r="I69" s="525"/>
    </row>
    <row r="70" spans="1:9" ht="15.75" x14ac:dyDescent="0.25">
      <c r="A70" s="87">
        <v>66</v>
      </c>
      <c r="B70" s="87" t="s">
        <v>853</v>
      </c>
      <c r="C70" s="553">
        <v>2593</v>
      </c>
      <c r="D70" s="563">
        <v>32000</v>
      </c>
      <c r="E70" s="573">
        <v>395</v>
      </c>
      <c r="F70" s="563">
        <v>32000</v>
      </c>
      <c r="G70" s="87">
        <f t="shared" si="1"/>
        <v>0</v>
      </c>
      <c r="H70" s="509"/>
      <c r="I70" s="525"/>
    </row>
    <row r="71" spans="1:9" ht="15.75" x14ac:dyDescent="0.25">
      <c r="A71" s="87">
        <v>67</v>
      </c>
      <c r="B71" s="87" t="s">
        <v>853</v>
      </c>
      <c r="C71" s="553">
        <v>2779</v>
      </c>
      <c r="D71" s="563">
        <v>15000</v>
      </c>
      <c r="E71" s="573">
        <v>167</v>
      </c>
      <c r="F71" s="563">
        <v>15000</v>
      </c>
      <c r="G71" s="87">
        <f t="shared" si="1"/>
        <v>0</v>
      </c>
      <c r="H71" s="509"/>
      <c r="I71" s="525"/>
    </row>
    <row r="72" spans="1:9" ht="15.75" x14ac:dyDescent="0.25">
      <c r="A72" s="87">
        <v>68</v>
      </c>
      <c r="B72" s="87" t="s">
        <v>853</v>
      </c>
      <c r="C72" s="553">
        <v>2928</v>
      </c>
      <c r="D72" s="563">
        <v>22000</v>
      </c>
      <c r="E72" s="573">
        <v>245</v>
      </c>
      <c r="F72" s="563">
        <v>22000</v>
      </c>
      <c r="G72" s="87">
        <f t="shared" si="1"/>
        <v>0</v>
      </c>
      <c r="H72" s="509"/>
      <c r="I72" s="525"/>
    </row>
    <row r="73" spans="1:9" ht="15.75" x14ac:dyDescent="0.25">
      <c r="A73" s="87">
        <v>69</v>
      </c>
      <c r="B73" s="87" t="s">
        <v>854</v>
      </c>
      <c r="C73" s="553">
        <v>3134</v>
      </c>
      <c r="D73" s="563">
        <v>17000</v>
      </c>
      <c r="E73" s="573">
        <v>189</v>
      </c>
      <c r="F73" s="563">
        <v>17000</v>
      </c>
      <c r="G73" s="87">
        <f t="shared" si="1"/>
        <v>0</v>
      </c>
      <c r="H73" s="509"/>
      <c r="I73" s="525"/>
    </row>
    <row r="74" spans="1:9" ht="15.75" x14ac:dyDescent="0.25">
      <c r="A74" s="87">
        <v>70</v>
      </c>
      <c r="B74" s="87" t="s">
        <v>854</v>
      </c>
      <c r="C74" s="553">
        <v>2972</v>
      </c>
      <c r="D74" s="563">
        <v>15000</v>
      </c>
      <c r="E74" s="573">
        <v>167</v>
      </c>
      <c r="F74" s="563">
        <v>15000</v>
      </c>
      <c r="G74" s="87">
        <f t="shared" si="1"/>
        <v>0</v>
      </c>
      <c r="H74" s="509"/>
      <c r="I74" s="525"/>
    </row>
    <row r="75" spans="1:9" ht="15.75" x14ac:dyDescent="0.25">
      <c r="A75" s="87">
        <v>71</v>
      </c>
      <c r="B75" s="87" t="s">
        <v>854</v>
      </c>
      <c r="C75" s="553">
        <v>2973</v>
      </c>
      <c r="D75" s="563">
        <v>15000</v>
      </c>
      <c r="E75" s="573">
        <v>167</v>
      </c>
      <c r="F75" s="563">
        <v>15000</v>
      </c>
      <c r="G75" s="87">
        <f t="shared" si="1"/>
        <v>0</v>
      </c>
      <c r="H75" s="509"/>
      <c r="I75" s="525"/>
    </row>
    <row r="76" spans="1:9" ht="15.75" x14ac:dyDescent="0.25">
      <c r="A76" s="87">
        <v>72</v>
      </c>
      <c r="B76" s="87" t="s">
        <v>854</v>
      </c>
      <c r="C76" s="553">
        <v>6932</v>
      </c>
      <c r="D76" s="563">
        <v>17000</v>
      </c>
      <c r="E76" s="573">
        <v>189</v>
      </c>
      <c r="F76" s="563">
        <v>17000</v>
      </c>
      <c r="G76" s="87">
        <f t="shared" si="1"/>
        <v>0</v>
      </c>
      <c r="H76" s="509"/>
      <c r="I76" s="525"/>
    </row>
    <row r="77" spans="1:9" ht="15.75" x14ac:dyDescent="0.25">
      <c r="A77" s="87">
        <v>73</v>
      </c>
      <c r="B77" s="87" t="s">
        <v>854</v>
      </c>
      <c r="C77" s="553">
        <v>6133</v>
      </c>
      <c r="D77" s="563">
        <v>15000</v>
      </c>
      <c r="E77" s="573">
        <v>167</v>
      </c>
      <c r="F77" s="563">
        <v>15000</v>
      </c>
      <c r="G77" s="87">
        <f t="shared" si="1"/>
        <v>0</v>
      </c>
      <c r="H77" s="509"/>
      <c r="I77" s="525"/>
    </row>
    <row r="78" spans="1:9" ht="15.75" x14ac:dyDescent="0.25">
      <c r="A78" s="87">
        <v>74</v>
      </c>
      <c r="B78" s="87" t="s">
        <v>854</v>
      </c>
      <c r="C78" s="553">
        <v>1416</v>
      </c>
      <c r="D78" s="563">
        <v>10000</v>
      </c>
      <c r="E78" s="573">
        <v>111</v>
      </c>
      <c r="F78" s="563">
        <v>10000</v>
      </c>
      <c r="G78" s="87">
        <f t="shared" si="1"/>
        <v>0</v>
      </c>
      <c r="H78" s="509"/>
      <c r="I78" s="525"/>
    </row>
    <row r="79" spans="1:9" ht="15.75" x14ac:dyDescent="0.25">
      <c r="A79" s="87">
        <v>75</v>
      </c>
      <c r="B79" s="87" t="s">
        <v>854</v>
      </c>
      <c r="C79" s="553" t="s">
        <v>30</v>
      </c>
      <c r="D79" s="563">
        <v>4500</v>
      </c>
      <c r="E79" s="573">
        <v>50</v>
      </c>
      <c r="F79" s="563">
        <v>4500</v>
      </c>
      <c r="G79" s="87">
        <f t="shared" si="1"/>
        <v>0</v>
      </c>
      <c r="H79" s="509"/>
      <c r="I79" s="525"/>
    </row>
    <row r="80" spans="1:9" ht="15.75" x14ac:dyDescent="0.25">
      <c r="A80" s="87">
        <v>76</v>
      </c>
      <c r="B80" s="87" t="s">
        <v>854</v>
      </c>
      <c r="C80" s="553">
        <v>9212</v>
      </c>
      <c r="D80" s="563">
        <v>16000</v>
      </c>
      <c r="E80" s="573">
        <v>178</v>
      </c>
      <c r="F80" s="563">
        <v>16000</v>
      </c>
      <c r="G80" s="87">
        <f t="shared" si="1"/>
        <v>0</v>
      </c>
      <c r="H80" s="509"/>
      <c r="I80" s="525"/>
    </row>
    <row r="81" spans="1:9" ht="15.75" x14ac:dyDescent="0.25">
      <c r="A81" s="87">
        <v>77</v>
      </c>
      <c r="B81" s="87" t="s">
        <v>854</v>
      </c>
      <c r="C81" s="554" t="s">
        <v>890</v>
      </c>
      <c r="D81" s="563">
        <v>14000</v>
      </c>
      <c r="E81" s="573">
        <v>155</v>
      </c>
      <c r="F81" s="563">
        <v>14000</v>
      </c>
      <c r="G81" s="87">
        <f t="shared" si="1"/>
        <v>0</v>
      </c>
      <c r="H81" s="509"/>
      <c r="I81" s="525"/>
    </row>
    <row r="82" spans="1:9" ht="15.75" x14ac:dyDescent="0.25">
      <c r="A82" s="87">
        <v>78</v>
      </c>
      <c r="B82" s="87" t="s">
        <v>854</v>
      </c>
      <c r="C82" s="553" t="s">
        <v>819</v>
      </c>
      <c r="D82" s="563">
        <v>3500</v>
      </c>
      <c r="E82" s="573">
        <v>38</v>
      </c>
      <c r="F82" s="563">
        <v>3500</v>
      </c>
      <c r="G82" s="87">
        <f t="shared" si="1"/>
        <v>0</v>
      </c>
      <c r="H82" s="509"/>
      <c r="I82" s="525"/>
    </row>
    <row r="83" spans="1:9" ht="15.75" x14ac:dyDescent="0.25">
      <c r="A83" s="87">
        <v>79</v>
      </c>
      <c r="B83" s="87" t="s">
        <v>854</v>
      </c>
      <c r="C83" s="553">
        <v>5152</v>
      </c>
      <c r="D83" s="563">
        <v>15000</v>
      </c>
      <c r="E83" s="573">
        <v>167</v>
      </c>
      <c r="F83" s="563">
        <v>15000</v>
      </c>
      <c r="G83" s="87">
        <f t="shared" si="1"/>
        <v>0</v>
      </c>
      <c r="H83" s="509"/>
      <c r="I83" s="525"/>
    </row>
    <row r="84" spans="1:9" ht="15.75" x14ac:dyDescent="0.25">
      <c r="A84" s="87">
        <v>80</v>
      </c>
      <c r="B84" s="87" t="s">
        <v>854</v>
      </c>
      <c r="C84" s="553" t="s">
        <v>30</v>
      </c>
      <c r="D84" s="563">
        <v>30000</v>
      </c>
      <c r="E84" s="573">
        <v>344</v>
      </c>
      <c r="F84" s="563">
        <v>30000</v>
      </c>
      <c r="G84" s="87">
        <f t="shared" si="1"/>
        <v>0</v>
      </c>
      <c r="H84" s="509"/>
      <c r="I84" s="525"/>
    </row>
    <row r="85" spans="1:9" ht="15.75" x14ac:dyDescent="0.25">
      <c r="A85" s="87">
        <v>81</v>
      </c>
      <c r="B85" s="87" t="s">
        <v>854</v>
      </c>
      <c r="C85" s="553">
        <v>2435</v>
      </c>
      <c r="D85" s="563">
        <v>14500</v>
      </c>
      <c r="E85" s="573">
        <v>161</v>
      </c>
      <c r="F85" s="563">
        <v>14500</v>
      </c>
      <c r="G85" s="87">
        <f t="shared" si="1"/>
        <v>0</v>
      </c>
      <c r="H85" s="509"/>
      <c r="I85" s="525"/>
    </row>
    <row r="86" spans="1:9" ht="15.75" x14ac:dyDescent="0.25">
      <c r="A86" s="87">
        <v>82</v>
      </c>
      <c r="B86" s="87" t="s">
        <v>854</v>
      </c>
      <c r="C86" s="553" t="s">
        <v>30</v>
      </c>
      <c r="D86" s="563">
        <v>800</v>
      </c>
      <c r="E86" s="573">
        <v>8</v>
      </c>
      <c r="F86" s="563">
        <v>800</v>
      </c>
      <c r="G86" s="87">
        <f t="shared" si="1"/>
        <v>0</v>
      </c>
      <c r="H86" s="509"/>
      <c r="I86" s="525"/>
    </row>
    <row r="87" spans="1:9" ht="15.75" x14ac:dyDescent="0.25">
      <c r="A87" s="87">
        <v>83</v>
      </c>
      <c r="B87" s="87" t="s">
        <v>854</v>
      </c>
      <c r="C87" s="553">
        <v>7086</v>
      </c>
      <c r="D87" s="563">
        <v>20000</v>
      </c>
      <c r="E87" s="573">
        <v>222</v>
      </c>
      <c r="F87" s="563">
        <v>20000</v>
      </c>
      <c r="G87" s="87">
        <f t="shared" si="1"/>
        <v>0</v>
      </c>
      <c r="H87" s="509"/>
      <c r="I87" s="525"/>
    </row>
    <row r="88" spans="1:9" ht="15.75" x14ac:dyDescent="0.25">
      <c r="A88" s="87">
        <v>84</v>
      </c>
      <c r="B88" s="87" t="s">
        <v>854</v>
      </c>
      <c r="C88" s="554" t="s">
        <v>863</v>
      </c>
      <c r="D88" s="563">
        <v>21000</v>
      </c>
      <c r="E88" s="573">
        <v>267</v>
      </c>
      <c r="F88" s="563">
        <v>21000</v>
      </c>
      <c r="G88" s="87">
        <f t="shared" si="1"/>
        <v>0</v>
      </c>
      <c r="H88" s="509"/>
      <c r="I88" s="525"/>
    </row>
    <row r="89" spans="1:9" ht="15.75" x14ac:dyDescent="0.25">
      <c r="A89" s="87">
        <v>85</v>
      </c>
      <c r="B89" s="87" t="s">
        <v>854</v>
      </c>
      <c r="C89" s="553">
        <v>3234</v>
      </c>
      <c r="D89" s="563">
        <v>27000</v>
      </c>
      <c r="E89" s="573">
        <v>300</v>
      </c>
      <c r="F89" s="563">
        <v>27000</v>
      </c>
      <c r="G89" s="87">
        <f t="shared" si="1"/>
        <v>0</v>
      </c>
      <c r="H89" s="509"/>
      <c r="I89" s="525"/>
    </row>
    <row r="90" spans="1:9" ht="15.75" x14ac:dyDescent="0.25">
      <c r="A90" s="87">
        <v>86</v>
      </c>
      <c r="B90" s="87" t="s">
        <v>854</v>
      </c>
      <c r="C90" s="553">
        <v>6464</v>
      </c>
      <c r="D90" s="563">
        <v>27000</v>
      </c>
      <c r="E90" s="573">
        <v>300</v>
      </c>
      <c r="F90" s="563">
        <v>27000</v>
      </c>
      <c r="G90" s="87">
        <f t="shared" si="1"/>
        <v>0</v>
      </c>
      <c r="H90" s="509"/>
      <c r="I90" s="525"/>
    </row>
    <row r="91" spans="1:9" ht="15.75" x14ac:dyDescent="0.25">
      <c r="A91" s="87">
        <v>87</v>
      </c>
      <c r="B91" s="87" t="s">
        <v>854</v>
      </c>
      <c r="C91" s="553">
        <v>5113</v>
      </c>
      <c r="D91" s="563">
        <v>15000</v>
      </c>
      <c r="E91" s="573">
        <v>155</v>
      </c>
      <c r="F91" s="563">
        <v>15000</v>
      </c>
      <c r="G91" s="87">
        <f t="shared" si="1"/>
        <v>0</v>
      </c>
      <c r="H91" s="509"/>
      <c r="I91" s="525"/>
    </row>
    <row r="92" spans="1:9" ht="15.75" x14ac:dyDescent="0.25">
      <c r="A92" s="87">
        <v>88</v>
      </c>
      <c r="B92" s="87" t="s">
        <v>854</v>
      </c>
      <c r="C92" s="553">
        <v>9666</v>
      </c>
      <c r="D92" s="563">
        <v>15000</v>
      </c>
      <c r="E92" s="573">
        <v>136</v>
      </c>
      <c r="F92" s="563">
        <v>15000</v>
      </c>
      <c r="G92" s="87">
        <f t="shared" si="1"/>
        <v>0</v>
      </c>
      <c r="H92" s="509"/>
      <c r="I92" s="525"/>
    </row>
    <row r="93" spans="1:9" ht="15.75" x14ac:dyDescent="0.25">
      <c r="A93" s="87">
        <v>89</v>
      </c>
      <c r="B93" s="87" t="s">
        <v>854</v>
      </c>
      <c r="C93" s="553">
        <v>6447</v>
      </c>
      <c r="D93" s="563">
        <v>25000</v>
      </c>
      <c r="E93" s="573">
        <v>278</v>
      </c>
      <c r="F93" s="563">
        <v>25000</v>
      </c>
      <c r="G93" s="87">
        <f t="shared" si="1"/>
        <v>0</v>
      </c>
      <c r="H93" s="509"/>
      <c r="I93" s="525"/>
    </row>
    <row r="94" spans="1:9" ht="15.75" x14ac:dyDescent="0.25">
      <c r="A94" s="87">
        <v>90</v>
      </c>
      <c r="B94" s="87" t="s">
        <v>854</v>
      </c>
      <c r="C94" s="553">
        <v>7258</v>
      </c>
      <c r="D94" s="563">
        <v>28000</v>
      </c>
      <c r="E94" s="573">
        <v>311</v>
      </c>
      <c r="F94" s="563">
        <v>28000</v>
      </c>
      <c r="G94" s="87">
        <f t="shared" si="1"/>
        <v>0</v>
      </c>
      <c r="H94" s="509"/>
      <c r="I94" s="525"/>
    </row>
    <row r="95" spans="1:9" ht="15.75" x14ac:dyDescent="0.25">
      <c r="A95" s="87">
        <v>91</v>
      </c>
      <c r="B95" s="87" t="s">
        <v>854</v>
      </c>
      <c r="C95" s="553">
        <v>9021</v>
      </c>
      <c r="D95" s="563">
        <v>28000</v>
      </c>
      <c r="E95" s="573">
        <v>310</v>
      </c>
      <c r="F95" s="563">
        <v>28000</v>
      </c>
      <c r="G95" s="87">
        <f t="shared" si="1"/>
        <v>0</v>
      </c>
      <c r="H95" s="509"/>
      <c r="I95" s="525"/>
    </row>
    <row r="96" spans="1:9" ht="15.75" x14ac:dyDescent="0.25">
      <c r="A96" s="87">
        <v>92</v>
      </c>
      <c r="B96" s="87" t="s">
        <v>854</v>
      </c>
      <c r="C96" s="553">
        <v>1960</v>
      </c>
      <c r="D96" s="563">
        <v>24000</v>
      </c>
      <c r="E96" s="573">
        <v>246</v>
      </c>
      <c r="F96" s="563">
        <v>24000</v>
      </c>
      <c r="G96" s="87">
        <f t="shared" si="1"/>
        <v>0</v>
      </c>
      <c r="H96" s="509"/>
      <c r="I96" s="525"/>
    </row>
    <row r="97" spans="1:9" ht="15.75" x14ac:dyDescent="0.25">
      <c r="A97" s="87">
        <v>93</v>
      </c>
      <c r="B97" s="87" t="s">
        <v>854</v>
      </c>
      <c r="C97" s="553">
        <v>9594</v>
      </c>
      <c r="D97" s="563">
        <v>25000</v>
      </c>
      <c r="E97" s="573">
        <v>278</v>
      </c>
      <c r="F97" s="563">
        <v>25000</v>
      </c>
      <c r="G97" s="87">
        <f t="shared" si="1"/>
        <v>0</v>
      </c>
      <c r="H97" s="509"/>
      <c r="I97" s="525"/>
    </row>
    <row r="98" spans="1:9" ht="15.75" x14ac:dyDescent="0.25">
      <c r="A98" s="87">
        <v>94</v>
      </c>
      <c r="B98" s="87" t="s">
        <v>855</v>
      </c>
      <c r="C98" s="553">
        <v>7263</v>
      </c>
      <c r="D98" s="563">
        <v>8000</v>
      </c>
      <c r="E98" s="574">
        <v>89</v>
      </c>
      <c r="F98" s="563">
        <v>8000</v>
      </c>
      <c r="G98" s="87">
        <f t="shared" si="1"/>
        <v>0</v>
      </c>
      <c r="H98" s="509"/>
      <c r="I98" s="525"/>
    </row>
    <row r="99" spans="1:9" ht="15.75" x14ac:dyDescent="0.25">
      <c r="A99" s="87">
        <v>95</v>
      </c>
      <c r="B99" s="87" t="s">
        <v>855</v>
      </c>
      <c r="C99" s="553">
        <v>6923</v>
      </c>
      <c r="D99" s="563">
        <v>16000</v>
      </c>
      <c r="E99" s="573">
        <v>178</v>
      </c>
      <c r="F99" s="563">
        <v>16000</v>
      </c>
      <c r="G99" s="87">
        <f t="shared" si="1"/>
        <v>0</v>
      </c>
      <c r="H99" s="509"/>
      <c r="I99" s="525"/>
    </row>
    <row r="100" spans="1:9" ht="15.75" x14ac:dyDescent="0.25">
      <c r="A100" s="87">
        <v>96</v>
      </c>
      <c r="B100" s="87" t="s">
        <v>855</v>
      </c>
      <c r="C100" s="553">
        <v>6731</v>
      </c>
      <c r="D100" s="563">
        <v>16000</v>
      </c>
      <c r="E100" s="573">
        <v>167</v>
      </c>
      <c r="F100" s="563">
        <v>16000</v>
      </c>
      <c r="G100" s="87">
        <f t="shared" si="1"/>
        <v>0</v>
      </c>
      <c r="H100" s="509"/>
      <c r="I100" s="525"/>
    </row>
    <row r="101" spans="1:9" ht="15.75" x14ac:dyDescent="0.25">
      <c r="A101" s="87">
        <v>97</v>
      </c>
      <c r="B101" s="87" t="s">
        <v>855</v>
      </c>
      <c r="C101" s="553">
        <v>1117</v>
      </c>
      <c r="D101" s="563">
        <v>10000</v>
      </c>
      <c r="E101" s="573">
        <v>111</v>
      </c>
      <c r="F101" s="563">
        <v>10000</v>
      </c>
      <c r="G101" s="87">
        <f t="shared" si="1"/>
        <v>0</v>
      </c>
      <c r="H101" s="509"/>
      <c r="I101" s="525"/>
    </row>
    <row r="102" spans="1:9" ht="15.75" x14ac:dyDescent="0.25">
      <c r="A102" s="87">
        <v>98</v>
      </c>
      <c r="B102" s="87" t="s">
        <v>855</v>
      </c>
      <c r="C102" s="553">
        <v>4077</v>
      </c>
      <c r="D102" s="563">
        <v>13000</v>
      </c>
      <c r="E102" s="573">
        <v>144</v>
      </c>
      <c r="F102" s="563">
        <v>13000</v>
      </c>
      <c r="G102" s="87">
        <f t="shared" si="1"/>
        <v>0</v>
      </c>
      <c r="H102" s="509"/>
      <c r="I102" s="525"/>
    </row>
    <row r="103" spans="1:9" ht="15.75" x14ac:dyDescent="0.25">
      <c r="A103" s="87">
        <v>99</v>
      </c>
      <c r="B103" s="87" t="s">
        <v>855</v>
      </c>
      <c r="C103" s="554" t="s">
        <v>895</v>
      </c>
      <c r="D103" s="563">
        <v>15000</v>
      </c>
      <c r="E103" s="573">
        <v>167</v>
      </c>
      <c r="F103" s="563">
        <v>15000</v>
      </c>
      <c r="G103" s="87">
        <f t="shared" si="1"/>
        <v>0</v>
      </c>
      <c r="H103" s="509"/>
      <c r="I103" s="525"/>
    </row>
    <row r="104" spans="1:9" ht="15.75" x14ac:dyDescent="0.25">
      <c r="A104" s="87">
        <v>100</v>
      </c>
      <c r="B104" s="87" t="s">
        <v>855</v>
      </c>
      <c r="C104" s="553">
        <v>5409</v>
      </c>
      <c r="D104" s="563">
        <v>20000</v>
      </c>
      <c r="E104" s="573">
        <v>222</v>
      </c>
      <c r="F104" s="563">
        <v>20000</v>
      </c>
      <c r="G104" s="87">
        <f t="shared" si="1"/>
        <v>0</v>
      </c>
      <c r="H104" s="509"/>
      <c r="I104" s="525"/>
    </row>
    <row r="105" spans="1:9" ht="15.75" x14ac:dyDescent="0.25">
      <c r="A105" s="87">
        <v>101</v>
      </c>
      <c r="B105" s="87" t="s">
        <v>855</v>
      </c>
      <c r="C105" s="553" t="s">
        <v>819</v>
      </c>
      <c r="D105" s="563">
        <v>3500</v>
      </c>
      <c r="E105" s="573">
        <v>38</v>
      </c>
      <c r="F105" s="563">
        <v>3500</v>
      </c>
      <c r="G105" s="87">
        <f t="shared" si="1"/>
        <v>0</v>
      </c>
      <c r="H105" s="509"/>
      <c r="I105" s="525"/>
    </row>
    <row r="106" spans="1:9" ht="15.75" x14ac:dyDescent="0.25">
      <c r="A106" s="87">
        <v>102</v>
      </c>
      <c r="B106" s="87" t="s">
        <v>855</v>
      </c>
      <c r="C106" s="553">
        <v>9457</v>
      </c>
      <c r="D106" s="563">
        <v>30000</v>
      </c>
      <c r="E106" s="573">
        <v>334</v>
      </c>
      <c r="F106" s="563">
        <v>30000</v>
      </c>
      <c r="G106" s="87">
        <f t="shared" si="1"/>
        <v>0</v>
      </c>
      <c r="H106" s="509"/>
      <c r="I106" s="525"/>
    </row>
    <row r="107" spans="1:9" ht="15.75" x14ac:dyDescent="0.25">
      <c r="A107" s="87">
        <v>103</v>
      </c>
      <c r="B107" s="87" t="s">
        <v>855</v>
      </c>
      <c r="C107" s="553">
        <v>6445</v>
      </c>
      <c r="D107" s="563">
        <v>30000</v>
      </c>
      <c r="E107" s="573">
        <v>334</v>
      </c>
      <c r="F107" s="563">
        <v>30000</v>
      </c>
      <c r="G107" s="87">
        <f t="shared" si="1"/>
        <v>0</v>
      </c>
      <c r="H107" s="509"/>
      <c r="I107" s="525"/>
    </row>
    <row r="108" spans="1:9" ht="15.75" x14ac:dyDescent="0.25">
      <c r="A108" s="87">
        <v>104</v>
      </c>
      <c r="B108" s="87" t="s">
        <v>855</v>
      </c>
      <c r="C108" s="553">
        <v>3587</v>
      </c>
      <c r="D108" s="563">
        <v>13000</v>
      </c>
      <c r="E108" s="573">
        <v>133</v>
      </c>
      <c r="F108" s="563">
        <v>13000</v>
      </c>
      <c r="G108" s="87">
        <f t="shared" si="1"/>
        <v>0</v>
      </c>
      <c r="H108" s="509"/>
      <c r="I108" s="525"/>
    </row>
    <row r="109" spans="1:9" ht="15.75" x14ac:dyDescent="0.25">
      <c r="A109" s="87">
        <v>105</v>
      </c>
      <c r="B109" s="87" t="s">
        <v>855</v>
      </c>
      <c r="C109" s="553">
        <v>1455</v>
      </c>
      <c r="D109" s="563">
        <v>30000</v>
      </c>
      <c r="E109" s="573">
        <v>334</v>
      </c>
      <c r="F109" s="563">
        <v>30000</v>
      </c>
      <c r="G109" s="87">
        <f t="shared" si="1"/>
        <v>0</v>
      </c>
      <c r="H109" s="509"/>
      <c r="I109" s="525"/>
    </row>
    <row r="110" spans="1:9" ht="15.75" x14ac:dyDescent="0.25">
      <c r="A110" s="87">
        <v>106</v>
      </c>
      <c r="B110" s="87" t="s">
        <v>855</v>
      </c>
      <c r="C110" s="553">
        <v>7217</v>
      </c>
      <c r="D110" s="563">
        <v>30000</v>
      </c>
      <c r="E110" s="573">
        <v>334</v>
      </c>
      <c r="F110" s="563">
        <v>30000</v>
      </c>
      <c r="G110" s="87">
        <f t="shared" si="1"/>
        <v>0</v>
      </c>
      <c r="H110" s="509"/>
      <c r="I110" s="525"/>
    </row>
    <row r="111" spans="1:9" ht="15.75" x14ac:dyDescent="0.25">
      <c r="A111" s="87">
        <v>107</v>
      </c>
      <c r="B111" s="87" t="s">
        <v>855</v>
      </c>
      <c r="C111" s="553">
        <v>3433</v>
      </c>
      <c r="D111" s="563">
        <v>25000</v>
      </c>
      <c r="E111" s="573">
        <v>278</v>
      </c>
      <c r="F111" s="563">
        <v>25000</v>
      </c>
      <c r="G111" s="87">
        <f t="shared" si="1"/>
        <v>0</v>
      </c>
      <c r="H111" s="509"/>
      <c r="I111" s="525"/>
    </row>
    <row r="112" spans="1:9" ht="15.75" x14ac:dyDescent="0.25">
      <c r="A112" s="87">
        <v>108</v>
      </c>
      <c r="B112" s="87" t="s">
        <v>855</v>
      </c>
      <c r="C112" s="553" t="s">
        <v>30</v>
      </c>
      <c r="D112" s="563">
        <v>5000</v>
      </c>
      <c r="E112" s="573">
        <v>55</v>
      </c>
      <c r="F112" s="563">
        <v>5000</v>
      </c>
      <c r="G112" s="87">
        <f t="shared" si="1"/>
        <v>0</v>
      </c>
      <c r="H112" s="509"/>
      <c r="I112" s="525"/>
    </row>
    <row r="113" spans="1:9" ht="15.75" x14ac:dyDescent="0.25">
      <c r="A113" s="87">
        <v>109</v>
      </c>
      <c r="B113" s="87" t="s">
        <v>855</v>
      </c>
      <c r="C113" s="553">
        <v>2150</v>
      </c>
      <c r="D113" s="563">
        <v>20000</v>
      </c>
      <c r="E113" s="563">
        <v>222</v>
      </c>
      <c r="F113" s="563">
        <v>20000</v>
      </c>
      <c r="G113" s="87">
        <f t="shared" si="1"/>
        <v>0</v>
      </c>
      <c r="H113" s="509"/>
      <c r="I113" s="525"/>
    </row>
    <row r="114" spans="1:9" ht="15.75" x14ac:dyDescent="0.25">
      <c r="A114" s="87">
        <v>110</v>
      </c>
      <c r="B114" s="87" t="s">
        <v>855</v>
      </c>
      <c r="C114" s="553">
        <v>4751</v>
      </c>
      <c r="D114" s="563">
        <v>20000</v>
      </c>
      <c r="E114" s="563">
        <v>222</v>
      </c>
      <c r="F114" s="563">
        <v>20000</v>
      </c>
      <c r="G114" s="87">
        <f t="shared" si="1"/>
        <v>0</v>
      </c>
      <c r="H114" s="509"/>
      <c r="I114" s="525"/>
    </row>
    <row r="115" spans="1:9" ht="15.75" x14ac:dyDescent="0.25">
      <c r="A115" s="87">
        <v>111</v>
      </c>
      <c r="B115" s="87" t="s">
        <v>855</v>
      </c>
      <c r="C115" s="553">
        <v>2951</v>
      </c>
      <c r="D115" s="563">
        <v>20000</v>
      </c>
      <c r="E115" s="563">
        <v>222</v>
      </c>
      <c r="F115" s="563">
        <v>20000</v>
      </c>
      <c r="G115" s="87">
        <f t="shared" si="1"/>
        <v>0</v>
      </c>
      <c r="H115" s="509"/>
      <c r="I115" s="525"/>
    </row>
    <row r="116" spans="1:9" ht="15.75" x14ac:dyDescent="0.25">
      <c r="A116" s="87">
        <v>112</v>
      </c>
      <c r="B116" s="87" t="s">
        <v>855</v>
      </c>
      <c r="C116" s="553">
        <v>9407</v>
      </c>
      <c r="D116" s="563">
        <v>15000</v>
      </c>
      <c r="E116" s="563">
        <v>167</v>
      </c>
      <c r="F116" s="563">
        <v>15000</v>
      </c>
      <c r="G116" s="87">
        <f t="shared" si="1"/>
        <v>0</v>
      </c>
      <c r="H116" s="509"/>
      <c r="I116" s="525"/>
    </row>
    <row r="117" spans="1:9" ht="15.75" x14ac:dyDescent="0.25">
      <c r="A117" s="87">
        <v>113</v>
      </c>
      <c r="B117" s="87" t="s">
        <v>855</v>
      </c>
      <c r="C117" s="553">
        <v>2929</v>
      </c>
      <c r="D117" s="563">
        <v>28000</v>
      </c>
      <c r="E117" s="573">
        <v>311</v>
      </c>
      <c r="F117" s="563">
        <v>28000</v>
      </c>
      <c r="G117" s="87">
        <f t="shared" si="1"/>
        <v>0</v>
      </c>
      <c r="H117" s="509"/>
      <c r="I117" s="525"/>
    </row>
    <row r="118" spans="1:9" ht="15.75" x14ac:dyDescent="0.25">
      <c r="A118" s="87">
        <v>114</v>
      </c>
      <c r="B118" s="87" t="s">
        <v>855</v>
      </c>
      <c r="C118" s="553">
        <v>1075</v>
      </c>
      <c r="D118" s="563">
        <v>18000</v>
      </c>
      <c r="E118" s="573">
        <v>200</v>
      </c>
      <c r="F118" s="563">
        <v>18000</v>
      </c>
      <c r="G118" s="87">
        <f t="shared" si="1"/>
        <v>0</v>
      </c>
      <c r="H118" s="509"/>
      <c r="I118" s="525"/>
    </row>
    <row r="119" spans="1:9" ht="15.75" x14ac:dyDescent="0.25">
      <c r="A119" s="87">
        <v>115</v>
      </c>
      <c r="B119" s="87" t="s">
        <v>855</v>
      </c>
      <c r="C119" s="553">
        <v>2660</v>
      </c>
      <c r="D119" s="563">
        <v>24000</v>
      </c>
      <c r="E119" s="573">
        <v>267</v>
      </c>
      <c r="F119" s="563">
        <v>24000</v>
      </c>
      <c r="G119" s="87">
        <f t="shared" si="1"/>
        <v>0</v>
      </c>
      <c r="H119" s="509"/>
      <c r="I119" s="525"/>
    </row>
    <row r="120" spans="1:9" ht="15.75" x14ac:dyDescent="0.25">
      <c r="A120" s="87">
        <v>116</v>
      </c>
      <c r="B120" s="87" t="s">
        <v>855</v>
      </c>
      <c r="C120" s="553">
        <v>3967</v>
      </c>
      <c r="D120" s="563">
        <v>31000</v>
      </c>
      <c r="E120" s="573">
        <v>332</v>
      </c>
      <c r="F120" s="563">
        <v>31000</v>
      </c>
      <c r="G120" s="87">
        <f t="shared" si="1"/>
        <v>0</v>
      </c>
      <c r="H120" s="509"/>
      <c r="I120" s="525"/>
    </row>
    <row r="121" spans="1:9" ht="15.75" x14ac:dyDescent="0.25">
      <c r="A121" s="87">
        <v>117</v>
      </c>
      <c r="B121" s="87" t="s">
        <v>855</v>
      </c>
      <c r="C121" s="553">
        <v>6868</v>
      </c>
      <c r="D121" s="563">
        <v>22000</v>
      </c>
      <c r="E121" s="573">
        <v>245</v>
      </c>
      <c r="F121" s="563">
        <v>22000</v>
      </c>
      <c r="G121" s="87">
        <f t="shared" si="1"/>
        <v>0</v>
      </c>
      <c r="H121" s="509"/>
      <c r="I121" s="525"/>
    </row>
    <row r="122" spans="1:9" ht="15.75" x14ac:dyDescent="0.25">
      <c r="A122" s="87">
        <v>118</v>
      </c>
      <c r="B122" s="87" t="s">
        <v>855</v>
      </c>
      <c r="C122" s="553">
        <v>7677</v>
      </c>
      <c r="D122" s="563">
        <v>32000</v>
      </c>
      <c r="E122" s="573">
        <v>346</v>
      </c>
      <c r="F122" s="563">
        <v>32000</v>
      </c>
      <c r="G122" s="87">
        <f t="shared" si="1"/>
        <v>0</v>
      </c>
      <c r="H122" s="509"/>
      <c r="I122" s="525"/>
    </row>
    <row r="123" spans="1:9" ht="15.75" x14ac:dyDescent="0.25">
      <c r="A123" s="87">
        <v>119</v>
      </c>
      <c r="B123" s="87" t="s">
        <v>855</v>
      </c>
      <c r="C123" s="555">
        <v>3316</v>
      </c>
      <c r="D123" s="563">
        <v>28000</v>
      </c>
      <c r="E123" s="573">
        <v>278</v>
      </c>
      <c r="F123" s="563">
        <v>28000</v>
      </c>
      <c r="G123" s="87">
        <f t="shared" si="1"/>
        <v>0</v>
      </c>
      <c r="H123" s="509"/>
      <c r="I123" s="525"/>
    </row>
    <row r="124" spans="1:9" ht="15.75" x14ac:dyDescent="0.25">
      <c r="A124" s="87">
        <v>120</v>
      </c>
      <c r="B124" s="87" t="s">
        <v>855</v>
      </c>
      <c r="C124" s="553">
        <v>5648</v>
      </c>
      <c r="D124" s="563">
        <v>28000</v>
      </c>
      <c r="E124" s="573">
        <v>274</v>
      </c>
      <c r="F124" s="563">
        <v>28000</v>
      </c>
      <c r="G124" s="87">
        <f t="shared" si="1"/>
        <v>0</v>
      </c>
      <c r="H124" s="509"/>
      <c r="I124" s="525"/>
    </row>
    <row r="125" spans="1:9" ht="15.75" x14ac:dyDescent="0.25">
      <c r="A125" s="87">
        <v>121</v>
      </c>
      <c r="B125" s="87" t="s">
        <v>855</v>
      </c>
      <c r="C125" s="554" t="s">
        <v>896</v>
      </c>
      <c r="D125" s="563">
        <v>28000</v>
      </c>
      <c r="E125" s="573">
        <v>311</v>
      </c>
      <c r="F125" s="563">
        <v>28000</v>
      </c>
      <c r="G125" s="87">
        <f t="shared" si="1"/>
        <v>0</v>
      </c>
      <c r="H125" s="509"/>
      <c r="I125" s="525"/>
    </row>
    <row r="126" spans="1:9" ht="15.75" x14ac:dyDescent="0.25">
      <c r="A126" s="87">
        <v>122</v>
      </c>
      <c r="B126" s="87" t="s">
        <v>855</v>
      </c>
      <c r="C126" s="553">
        <v>8282</v>
      </c>
      <c r="D126" s="563">
        <v>20000</v>
      </c>
      <c r="E126" s="573">
        <v>222</v>
      </c>
      <c r="F126" s="563">
        <v>20000</v>
      </c>
      <c r="G126" s="87">
        <f t="shared" si="1"/>
        <v>0</v>
      </c>
      <c r="H126" s="509"/>
      <c r="I126" s="525"/>
    </row>
    <row r="127" spans="1:9" ht="15.75" x14ac:dyDescent="0.25">
      <c r="A127" s="87">
        <v>123</v>
      </c>
      <c r="B127" s="87" t="s">
        <v>855</v>
      </c>
      <c r="C127" s="553">
        <v>6037</v>
      </c>
      <c r="D127" s="563">
        <v>22000</v>
      </c>
      <c r="E127" s="573">
        <v>245</v>
      </c>
      <c r="F127" s="563">
        <v>22000</v>
      </c>
      <c r="G127" s="87">
        <f t="shared" si="1"/>
        <v>0</v>
      </c>
      <c r="H127" s="509"/>
      <c r="I127" s="525"/>
    </row>
    <row r="128" spans="1:9" ht="15.75" x14ac:dyDescent="0.25">
      <c r="A128" s="87">
        <v>124</v>
      </c>
      <c r="B128" s="87" t="s">
        <v>855</v>
      </c>
      <c r="C128" s="553">
        <v>9177</v>
      </c>
      <c r="D128" s="563">
        <v>30000</v>
      </c>
      <c r="E128" s="573">
        <v>334</v>
      </c>
      <c r="F128" s="563">
        <v>30000</v>
      </c>
      <c r="G128" s="87">
        <f t="shared" si="1"/>
        <v>0</v>
      </c>
      <c r="H128" s="509"/>
      <c r="I128" s="525"/>
    </row>
    <row r="129" spans="1:9" ht="15.75" x14ac:dyDescent="0.25">
      <c r="A129" s="87">
        <v>125</v>
      </c>
      <c r="B129" s="87" t="s">
        <v>855</v>
      </c>
      <c r="C129" s="553">
        <v>3956</v>
      </c>
      <c r="D129" s="563">
        <v>30000</v>
      </c>
      <c r="E129" s="573">
        <v>334</v>
      </c>
      <c r="F129" s="563">
        <v>30000</v>
      </c>
      <c r="G129" s="87">
        <f t="shared" si="1"/>
        <v>0</v>
      </c>
      <c r="H129" s="509"/>
      <c r="I129" s="525"/>
    </row>
    <row r="130" spans="1:9" ht="15.75" x14ac:dyDescent="0.25">
      <c r="A130" s="87">
        <v>126</v>
      </c>
      <c r="B130" s="87" t="s">
        <v>855</v>
      </c>
      <c r="C130" s="554" t="s">
        <v>897</v>
      </c>
      <c r="D130" s="563">
        <v>30000</v>
      </c>
      <c r="E130" s="573">
        <v>334</v>
      </c>
      <c r="F130" s="563">
        <v>30000</v>
      </c>
      <c r="G130" s="87">
        <f t="shared" si="1"/>
        <v>0</v>
      </c>
      <c r="H130" s="509"/>
      <c r="I130" s="525"/>
    </row>
    <row r="131" spans="1:9" ht="15.75" x14ac:dyDescent="0.25">
      <c r="A131" s="87">
        <v>127</v>
      </c>
      <c r="B131" s="87" t="s">
        <v>855</v>
      </c>
      <c r="C131" s="553">
        <v>3579</v>
      </c>
      <c r="D131" s="563">
        <v>35000</v>
      </c>
      <c r="E131" s="573">
        <v>389</v>
      </c>
      <c r="F131" s="563">
        <v>35000</v>
      </c>
      <c r="G131" s="87">
        <f t="shared" si="1"/>
        <v>0</v>
      </c>
      <c r="H131" s="509"/>
      <c r="I131" s="525"/>
    </row>
    <row r="132" spans="1:9" ht="15.75" x14ac:dyDescent="0.25">
      <c r="A132" s="87">
        <v>128</v>
      </c>
      <c r="B132" s="87" t="s">
        <v>898</v>
      </c>
      <c r="C132" s="553">
        <v>3533</v>
      </c>
      <c r="D132" s="563">
        <v>10000</v>
      </c>
      <c r="E132" s="573">
        <v>111</v>
      </c>
      <c r="F132" s="563">
        <v>10000</v>
      </c>
      <c r="G132" s="87">
        <f t="shared" si="1"/>
        <v>0</v>
      </c>
      <c r="H132" s="509"/>
      <c r="I132" s="525"/>
    </row>
    <row r="133" spans="1:9" ht="15.75" x14ac:dyDescent="0.25">
      <c r="A133" s="87">
        <v>129</v>
      </c>
      <c r="B133" s="87" t="s">
        <v>898</v>
      </c>
      <c r="C133" s="553">
        <v>5786</v>
      </c>
      <c r="D133" s="563">
        <v>22000</v>
      </c>
      <c r="E133" s="573">
        <v>228</v>
      </c>
      <c r="F133" s="563">
        <v>22000</v>
      </c>
      <c r="G133" s="87">
        <f t="shared" ref="G133:G196" si="2">D133-F133</f>
        <v>0</v>
      </c>
      <c r="H133" s="509"/>
      <c r="I133" s="525"/>
    </row>
    <row r="134" spans="1:9" ht="15.75" x14ac:dyDescent="0.25">
      <c r="A134" s="87">
        <v>130</v>
      </c>
      <c r="B134" s="87" t="s">
        <v>898</v>
      </c>
      <c r="C134" s="553">
        <v>9655</v>
      </c>
      <c r="D134" s="563">
        <v>10000</v>
      </c>
      <c r="E134" s="573">
        <v>111</v>
      </c>
      <c r="F134" s="563">
        <v>10000</v>
      </c>
      <c r="G134" s="87">
        <f t="shared" si="2"/>
        <v>0</v>
      </c>
      <c r="H134" s="509"/>
      <c r="I134" s="525"/>
    </row>
    <row r="135" spans="1:9" ht="15.75" x14ac:dyDescent="0.25">
      <c r="A135" s="87">
        <v>131</v>
      </c>
      <c r="B135" s="87" t="s">
        <v>898</v>
      </c>
      <c r="C135" s="553">
        <v>2728</v>
      </c>
      <c r="D135" s="563">
        <v>10000</v>
      </c>
      <c r="E135" s="573">
        <v>111</v>
      </c>
      <c r="F135" s="563">
        <v>10000</v>
      </c>
      <c r="G135" s="87">
        <f t="shared" si="2"/>
        <v>0</v>
      </c>
      <c r="H135" s="509"/>
      <c r="I135" s="525"/>
    </row>
    <row r="136" spans="1:9" ht="15.75" x14ac:dyDescent="0.25">
      <c r="A136" s="87">
        <v>132</v>
      </c>
      <c r="B136" s="87" t="s">
        <v>898</v>
      </c>
      <c r="C136" s="553">
        <v>2963</v>
      </c>
      <c r="D136" s="563">
        <v>27000</v>
      </c>
      <c r="E136" s="573">
        <v>300</v>
      </c>
      <c r="F136" s="563">
        <v>27000</v>
      </c>
      <c r="G136" s="87">
        <f t="shared" si="2"/>
        <v>0</v>
      </c>
      <c r="H136" s="509"/>
      <c r="I136" s="525"/>
    </row>
    <row r="137" spans="1:9" ht="15.75" x14ac:dyDescent="0.25">
      <c r="A137" s="87">
        <v>133</v>
      </c>
      <c r="B137" s="87" t="s">
        <v>898</v>
      </c>
      <c r="C137" s="553">
        <v>8326</v>
      </c>
      <c r="D137" s="563">
        <v>25000</v>
      </c>
      <c r="E137" s="573">
        <v>278</v>
      </c>
      <c r="F137" s="563">
        <v>25000</v>
      </c>
      <c r="G137" s="87">
        <f t="shared" si="2"/>
        <v>0</v>
      </c>
      <c r="H137" s="509"/>
      <c r="I137" s="525"/>
    </row>
    <row r="138" spans="1:9" ht="15.75" x14ac:dyDescent="0.25">
      <c r="A138" s="87">
        <v>134</v>
      </c>
      <c r="B138" s="87" t="s">
        <v>898</v>
      </c>
      <c r="C138" s="553">
        <v>5820</v>
      </c>
      <c r="D138" s="563">
        <v>16000</v>
      </c>
      <c r="E138" s="573">
        <v>178</v>
      </c>
      <c r="F138" s="563">
        <v>16000</v>
      </c>
      <c r="G138" s="87">
        <f t="shared" si="2"/>
        <v>0</v>
      </c>
      <c r="H138" s="509"/>
      <c r="I138" s="525"/>
    </row>
    <row r="139" spans="1:9" ht="15.75" x14ac:dyDescent="0.25">
      <c r="A139" s="87">
        <v>135</v>
      </c>
      <c r="B139" s="87" t="s">
        <v>898</v>
      </c>
      <c r="C139" s="553">
        <v>1416</v>
      </c>
      <c r="D139" s="563">
        <v>10000</v>
      </c>
      <c r="E139" s="573">
        <v>111</v>
      </c>
      <c r="F139" s="563">
        <v>10000</v>
      </c>
      <c r="G139" s="87">
        <f t="shared" si="2"/>
        <v>0</v>
      </c>
      <c r="H139" s="509"/>
      <c r="I139" s="525"/>
    </row>
    <row r="140" spans="1:9" ht="15.75" x14ac:dyDescent="0.25">
      <c r="A140" s="87">
        <v>136</v>
      </c>
      <c r="B140" s="87" t="s">
        <v>898</v>
      </c>
      <c r="C140" s="553" t="s">
        <v>30</v>
      </c>
      <c r="D140" s="563">
        <v>4000</v>
      </c>
      <c r="E140" s="573">
        <v>44</v>
      </c>
      <c r="F140" s="563">
        <v>4000</v>
      </c>
      <c r="G140" s="87">
        <f t="shared" si="2"/>
        <v>0</v>
      </c>
      <c r="H140" s="509"/>
      <c r="I140" s="525"/>
    </row>
    <row r="141" spans="1:9" ht="15.75" x14ac:dyDescent="0.25">
      <c r="A141" s="87">
        <v>137</v>
      </c>
      <c r="B141" s="87" t="s">
        <v>898</v>
      </c>
      <c r="C141" s="553" t="s">
        <v>30</v>
      </c>
      <c r="D141" s="563">
        <v>3000</v>
      </c>
      <c r="E141" s="573">
        <v>33</v>
      </c>
      <c r="F141" s="563">
        <v>3000</v>
      </c>
      <c r="G141" s="87">
        <f t="shared" si="2"/>
        <v>0</v>
      </c>
      <c r="H141" s="509"/>
      <c r="I141" s="525"/>
    </row>
    <row r="142" spans="1:9" ht="15.75" x14ac:dyDescent="0.25">
      <c r="A142" s="87">
        <v>138</v>
      </c>
      <c r="B142" s="87" t="s">
        <v>898</v>
      </c>
      <c r="C142" s="553" t="s">
        <v>66</v>
      </c>
      <c r="D142" s="563">
        <v>210</v>
      </c>
      <c r="E142" s="573" t="s">
        <v>66</v>
      </c>
      <c r="F142" s="563">
        <v>210</v>
      </c>
      <c r="G142" s="87">
        <f t="shared" si="2"/>
        <v>0</v>
      </c>
      <c r="H142" s="509"/>
      <c r="I142" s="525"/>
    </row>
    <row r="143" spans="1:9" ht="15.75" x14ac:dyDescent="0.25">
      <c r="A143" s="87">
        <v>139</v>
      </c>
      <c r="B143" s="87" t="s">
        <v>898</v>
      </c>
      <c r="C143" s="553">
        <v>1091</v>
      </c>
      <c r="D143" s="563">
        <v>20000</v>
      </c>
      <c r="E143" s="573">
        <v>222</v>
      </c>
      <c r="F143" s="563">
        <v>20000</v>
      </c>
      <c r="G143" s="87">
        <f t="shared" si="2"/>
        <v>0</v>
      </c>
      <c r="H143" s="509"/>
      <c r="I143" s="525"/>
    </row>
    <row r="144" spans="1:9" ht="15.75" x14ac:dyDescent="0.25">
      <c r="A144" s="87">
        <v>140</v>
      </c>
      <c r="B144" s="87" t="s">
        <v>898</v>
      </c>
      <c r="C144" s="553">
        <v>9458</v>
      </c>
      <c r="D144" s="563">
        <v>28000</v>
      </c>
      <c r="E144" s="573">
        <v>311</v>
      </c>
      <c r="F144" s="563">
        <v>28000</v>
      </c>
      <c r="G144" s="87">
        <f t="shared" si="2"/>
        <v>0</v>
      </c>
      <c r="H144" s="509"/>
      <c r="I144" s="525"/>
    </row>
    <row r="145" spans="1:9" ht="15.75" x14ac:dyDescent="0.25">
      <c r="A145" s="87">
        <v>141</v>
      </c>
      <c r="B145" s="87" t="s">
        <v>898</v>
      </c>
      <c r="C145" s="553">
        <v>9289</v>
      </c>
      <c r="D145" s="563">
        <v>26000</v>
      </c>
      <c r="E145" s="573">
        <v>289</v>
      </c>
      <c r="F145" s="563">
        <v>26000</v>
      </c>
      <c r="G145" s="87">
        <f t="shared" si="2"/>
        <v>0</v>
      </c>
      <c r="H145" s="509"/>
      <c r="I145" s="525"/>
    </row>
    <row r="146" spans="1:9" ht="15.75" x14ac:dyDescent="0.25">
      <c r="A146" s="87">
        <v>142</v>
      </c>
      <c r="B146" s="87" t="s">
        <v>898</v>
      </c>
      <c r="C146" s="553">
        <v>5626</v>
      </c>
      <c r="D146" s="563">
        <v>29000</v>
      </c>
      <c r="E146" s="573">
        <v>329</v>
      </c>
      <c r="F146" s="563">
        <v>29000</v>
      </c>
      <c r="G146" s="87">
        <f t="shared" si="2"/>
        <v>0</v>
      </c>
      <c r="H146" s="509"/>
      <c r="I146" s="525"/>
    </row>
    <row r="147" spans="1:9" ht="15.75" x14ac:dyDescent="0.25">
      <c r="A147" s="87">
        <v>143</v>
      </c>
      <c r="B147" s="87" t="s">
        <v>898</v>
      </c>
      <c r="C147" s="553">
        <v>3659</v>
      </c>
      <c r="D147" s="563">
        <v>27000</v>
      </c>
      <c r="E147" s="573">
        <v>300</v>
      </c>
      <c r="F147" s="563">
        <v>27000</v>
      </c>
      <c r="G147" s="87">
        <f t="shared" si="2"/>
        <v>0</v>
      </c>
      <c r="H147" s="509"/>
      <c r="I147" s="525"/>
    </row>
    <row r="148" spans="1:9" ht="15.75" x14ac:dyDescent="0.25">
      <c r="A148" s="87">
        <v>144</v>
      </c>
      <c r="B148" s="87" t="s">
        <v>898</v>
      </c>
      <c r="C148" s="553" t="s">
        <v>30</v>
      </c>
      <c r="D148" s="563">
        <v>5000</v>
      </c>
      <c r="E148" s="573">
        <v>55</v>
      </c>
      <c r="F148" s="563">
        <v>5000</v>
      </c>
      <c r="G148" s="87">
        <f t="shared" si="2"/>
        <v>0</v>
      </c>
      <c r="H148" s="509"/>
      <c r="I148" s="525"/>
    </row>
    <row r="149" spans="1:9" ht="15.75" x14ac:dyDescent="0.25">
      <c r="A149" s="87">
        <v>145</v>
      </c>
      <c r="B149" s="87" t="s">
        <v>898</v>
      </c>
      <c r="C149" s="553">
        <v>2819</v>
      </c>
      <c r="D149" s="563">
        <v>30000</v>
      </c>
      <c r="E149" s="573">
        <v>334</v>
      </c>
      <c r="F149" s="563">
        <v>30000</v>
      </c>
      <c r="G149" s="87">
        <f t="shared" si="2"/>
        <v>0</v>
      </c>
      <c r="H149" s="509"/>
      <c r="I149" s="525"/>
    </row>
    <row r="150" spans="1:9" ht="15.75" x14ac:dyDescent="0.25">
      <c r="A150" s="87">
        <v>146</v>
      </c>
      <c r="B150" s="87" t="s">
        <v>898</v>
      </c>
      <c r="C150" s="553">
        <v>5027</v>
      </c>
      <c r="D150" s="563">
        <v>28000</v>
      </c>
      <c r="E150" s="573">
        <v>311</v>
      </c>
      <c r="F150" s="563">
        <v>28000</v>
      </c>
      <c r="G150" s="87">
        <f t="shared" si="2"/>
        <v>0</v>
      </c>
      <c r="H150" s="509"/>
      <c r="I150" s="525"/>
    </row>
    <row r="151" spans="1:9" ht="15.75" x14ac:dyDescent="0.25">
      <c r="A151" s="87">
        <v>147</v>
      </c>
      <c r="B151" s="87" t="s">
        <v>898</v>
      </c>
      <c r="C151" s="553">
        <v>8611</v>
      </c>
      <c r="D151" s="563">
        <v>30000</v>
      </c>
      <c r="E151" s="573">
        <v>334</v>
      </c>
      <c r="F151" s="563">
        <v>30000</v>
      </c>
      <c r="G151" s="87">
        <f t="shared" si="2"/>
        <v>0</v>
      </c>
      <c r="H151" s="509"/>
      <c r="I151" s="525"/>
    </row>
    <row r="152" spans="1:9" ht="15.75" x14ac:dyDescent="0.25">
      <c r="A152" s="87">
        <v>148</v>
      </c>
      <c r="B152" s="87" t="s">
        <v>898</v>
      </c>
      <c r="C152" s="553">
        <v>8844</v>
      </c>
      <c r="D152" s="563">
        <v>25000</v>
      </c>
      <c r="E152" s="573">
        <v>278</v>
      </c>
      <c r="F152" s="563">
        <v>25000</v>
      </c>
      <c r="G152" s="87">
        <f t="shared" si="2"/>
        <v>0</v>
      </c>
      <c r="H152" s="509"/>
      <c r="I152" s="525"/>
    </row>
    <row r="153" spans="1:9" ht="15.75" x14ac:dyDescent="0.25">
      <c r="A153" s="87">
        <v>149</v>
      </c>
      <c r="B153" s="87" t="s">
        <v>898</v>
      </c>
      <c r="C153" s="553">
        <v>3082</v>
      </c>
      <c r="D153" s="563">
        <v>30000</v>
      </c>
      <c r="E153" s="573">
        <v>334</v>
      </c>
      <c r="F153" s="563">
        <v>30000</v>
      </c>
      <c r="G153" s="87">
        <f t="shared" si="2"/>
        <v>0</v>
      </c>
      <c r="H153" s="509"/>
      <c r="I153" s="525"/>
    </row>
    <row r="154" spans="1:9" ht="15.75" x14ac:dyDescent="0.25">
      <c r="A154" s="87">
        <v>150</v>
      </c>
      <c r="B154" s="87" t="s">
        <v>898</v>
      </c>
      <c r="C154" s="553">
        <v>7563</v>
      </c>
      <c r="D154" s="563">
        <v>16000</v>
      </c>
      <c r="E154" s="573">
        <v>162</v>
      </c>
      <c r="F154" s="563">
        <v>16000</v>
      </c>
      <c r="G154" s="87">
        <f t="shared" si="2"/>
        <v>0</v>
      </c>
      <c r="H154" s="509"/>
      <c r="I154" s="525"/>
    </row>
    <row r="155" spans="1:9" ht="15.75" x14ac:dyDescent="0.25">
      <c r="A155" s="87">
        <v>151</v>
      </c>
      <c r="B155" s="87" t="s">
        <v>898</v>
      </c>
      <c r="C155" s="553">
        <v>6944</v>
      </c>
      <c r="D155" s="563">
        <v>22000</v>
      </c>
      <c r="E155" s="573">
        <v>231</v>
      </c>
      <c r="F155" s="563">
        <v>22000</v>
      </c>
      <c r="G155" s="87">
        <f t="shared" si="2"/>
        <v>0</v>
      </c>
      <c r="H155" s="509"/>
      <c r="I155" s="525"/>
    </row>
    <row r="156" spans="1:9" ht="15.75" x14ac:dyDescent="0.25">
      <c r="A156" s="87">
        <v>152</v>
      </c>
      <c r="B156" s="87" t="s">
        <v>898</v>
      </c>
      <c r="C156" s="553">
        <v>2320</v>
      </c>
      <c r="D156" s="563">
        <v>30000</v>
      </c>
      <c r="E156" s="573">
        <v>334</v>
      </c>
      <c r="F156" s="563">
        <v>30000</v>
      </c>
      <c r="G156" s="87">
        <f t="shared" si="2"/>
        <v>0</v>
      </c>
      <c r="H156" s="509"/>
      <c r="I156" s="525"/>
    </row>
    <row r="157" spans="1:9" ht="15.75" x14ac:dyDescent="0.25">
      <c r="A157" s="87">
        <v>153</v>
      </c>
      <c r="B157" s="87" t="s">
        <v>898</v>
      </c>
      <c r="C157" s="553">
        <v>2103</v>
      </c>
      <c r="D157" s="563">
        <v>15000</v>
      </c>
      <c r="E157" s="573">
        <v>167</v>
      </c>
      <c r="F157" s="563">
        <v>15000</v>
      </c>
      <c r="G157" s="87">
        <f t="shared" si="2"/>
        <v>0</v>
      </c>
      <c r="H157" s="509"/>
      <c r="I157" s="525"/>
    </row>
    <row r="158" spans="1:9" ht="15.75" x14ac:dyDescent="0.25">
      <c r="A158" s="87">
        <v>154</v>
      </c>
      <c r="B158" s="87" t="s">
        <v>898</v>
      </c>
      <c r="C158" s="553">
        <v>7004</v>
      </c>
      <c r="D158" s="563">
        <v>20000</v>
      </c>
      <c r="E158" s="573">
        <v>222</v>
      </c>
      <c r="F158" s="563">
        <v>20000</v>
      </c>
      <c r="G158" s="87">
        <f t="shared" si="2"/>
        <v>0</v>
      </c>
      <c r="H158" s="509"/>
      <c r="I158" s="525"/>
    </row>
    <row r="159" spans="1:9" ht="15.75" x14ac:dyDescent="0.25">
      <c r="A159" s="87">
        <v>155</v>
      </c>
      <c r="B159" s="87" t="s">
        <v>856</v>
      </c>
      <c r="C159" s="553" t="s">
        <v>66</v>
      </c>
      <c r="D159" s="563">
        <v>100</v>
      </c>
      <c r="E159" s="573" t="s">
        <v>66</v>
      </c>
      <c r="F159" s="563">
        <v>100</v>
      </c>
      <c r="G159" s="87">
        <f t="shared" si="2"/>
        <v>0</v>
      </c>
      <c r="H159" s="509"/>
      <c r="I159" s="525"/>
    </row>
    <row r="160" spans="1:9" ht="15.75" x14ac:dyDescent="0.25">
      <c r="A160" s="87">
        <v>156</v>
      </c>
      <c r="B160" s="87" t="s">
        <v>856</v>
      </c>
      <c r="C160" s="553">
        <v>5112</v>
      </c>
      <c r="D160" s="563">
        <v>15000</v>
      </c>
      <c r="E160" s="573">
        <v>167</v>
      </c>
      <c r="F160" s="563">
        <v>15000</v>
      </c>
      <c r="G160" s="87">
        <f t="shared" si="2"/>
        <v>0</v>
      </c>
      <c r="H160" s="509"/>
      <c r="I160" s="525"/>
    </row>
    <row r="161" spans="1:9" ht="15.75" x14ac:dyDescent="0.25">
      <c r="A161" s="87">
        <v>157</v>
      </c>
      <c r="B161" s="87" t="s">
        <v>856</v>
      </c>
      <c r="C161" s="553">
        <v>8499</v>
      </c>
      <c r="D161" s="563">
        <v>10000</v>
      </c>
      <c r="E161" s="573">
        <v>111</v>
      </c>
      <c r="F161" s="563">
        <v>10000</v>
      </c>
      <c r="G161" s="87">
        <f t="shared" si="2"/>
        <v>0</v>
      </c>
      <c r="H161" s="509"/>
      <c r="I161" s="525"/>
    </row>
    <row r="162" spans="1:9" ht="15.75" x14ac:dyDescent="0.25">
      <c r="A162" s="87">
        <v>158</v>
      </c>
      <c r="B162" s="87" t="s">
        <v>856</v>
      </c>
      <c r="C162" s="553">
        <v>4566</v>
      </c>
      <c r="D162" s="563">
        <v>15000</v>
      </c>
      <c r="E162" s="573">
        <v>167</v>
      </c>
      <c r="F162" s="563">
        <v>15000</v>
      </c>
      <c r="G162" s="87">
        <f t="shared" si="2"/>
        <v>0</v>
      </c>
      <c r="H162" s="509"/>
      <c r="I162" s="525"/>
    </row>
    <row r="163" spans="1:9" ht="15.75" x14ac:dyDescent="0.25">
      <c r="A163" s="87">
        <v>159</v>
      </c>
      <c r="B163" s="87" t="s">
        <v>856</v>
      </c>
      <c r="C163" s="553">
        <v>6144</v>
      </c>
      <c r="D163" s="563">
        <v>14500</v>
      </c>
      <c r="E163" s="573">
        <v>150</v>
      </c>
      <c r="F163" s="563">
        <v>14500</v>
      </c>
      <c r="G163" s="87">
        <f t="shared" si="2"/>
        <v>0</v>
      </c>
      <c r="H163" s="509"/>
      <c r="I163" s="525"/>
    </row>
    <row r="164" spans="1:9" ht="15.75" x14ac:dyDescent="0.25">
      <c r="A164" s="87">
        <v>160</v>
      </c>
      <c r="B164" s="87" t="s">
        <v>856</v>
      </c>
      <c r="C164" s="553">
        <v>3662</v>
      </c>
      <c r="D164" s="563">
        <v>20000</v>
      </c>
      <c r="E164" s="573">
        <v>222</v>
      </c>
      <c r="F164" s="563">
        <v>20000</v>
      </c>
      <c r="G164" s="87">
        <f t="shared" si="2"/>
        <v>0</v>
      </c>
      <c r="H164" s="509"/>
      <c r="I164" s="525"/>
    </row>
    <row r="165" spans="1:9" ht="15.75" x14ac:dyDescent="0.25">
      <c r="A165" s="87">
        <v>161</v>
      </c>
      <c r="B165" s="87" t="s">
        <v>856</v>
      </c>
      <c r="C165" s="553">
        <v>2774</v>
      </c>
      <c r="D165" s="563">
        <v>14000</v>
      </c>
      <c r="E165" s="573">
        <v>155</v>
      </c>
      <c r="F165" s="563">
        <v>14000</v>
      </c>
      <c r="G165" s="87">
        <f t="shared" si="2"/>
        <v>0</v>
      </c>
      <c r="H165" s="509"/>
      <c r="I165" s="525"/>
    </row>
    <row r="166" spans="1:9" ht="15.75" x14ac:dyDescent="0.25">
      <c r="A166" s="87">
        <v>162</v>
      </c>
      <c r="B166" s="87" t="s">
        <v>856</v>
      </c>
      <c r="C166" s="553" t="s">
        <v>30</v>
      </c>
      <c r="D166" s="563">
        <v>4500</v>
      </c>
      <c r="E166" s="573">
        <v>50</v>
      </c>
      <c r="F166" s="563">
        <v>4500</v>
      </c>
      <c r="G166" s="87">
        <f t="shared" si="2"/>
        <v>0</v>
      </c>
      <c r="H166" s="509"/>
      <c r="I166" s="525"/>
    </row>
    <row r="167" spans="1:9" ht="15.75" x14ac:dyDescent="0.25">
      <c r="A167" s="87">
        <v>163</v>
      </c>
      <c r="B167" s="87" t="s">
        <v>856</v>
      </c>
      <c r="C167" s="553">
        <v>2435</v>
      </c>
      <c r="D167" s="563">
        <v>14000</v>
      </c>
      <c r="E167" s="573">
        <v>155</v>
      </c>
      <c r="F167" s="563">
        <v>14000</v>
      </c>
      <c r="G167" s="87">
        <f t="shared" si="2"/>
        <v>0</v>
      </c>
      <c r="H167" s="509"/>
      <c r="I167" s="525"/>
    </row>
    <row r="168" spans="1:9" ht="15.75" x14ac:dyDescent="0.25">
      <c r="A168" s="87">
        <v>164</v>
      </c>
      <c r="B168" s="87" t="s">
        <v>856</v>
      </c>
      <c r="C168" s="553">
        <v>5047</v>
      </c>
      <c r="D168" s="563">
        <v>16000</v>
      </c>
      <c r="E168" s="573">
        <v>178</v>
      </c>
      <c r="F168" s="563">
        <v>16000</v>
      </c>
      <c r="G168" s="87">
        <f t="shared" si="2"/>
        <v>0</v>
      </c>
      <c r="H168" s="509"/>
      <c r="I168" s="525"/>
    </row>
    <row r="169" spans="1:9" ht="15.75" x14ac:dyDescent="0.25">
      <c r="A169" s="87">
        <v>165</v>
      </c>
      <c r="B169" s="87" t="s">
        <v>856</v>
      </c>
      <c r="C169" s="553">
        <v>5968</v>
      </c>
      <c r="D169" s="563">
        <v>15000</v>
      </c>
      <c r="E169" s="573">
        <v>167</v>
      </c>
      <c r="F169" s="563">
        <v>15000</v>
      </c>
      <c r="G169" s="87">
        <f t="shared" si="2"/>
        <v>0</v>
      </c>
      <c r="H169" s="509"/>
      <c r="I169" s="525"/>
    </row>
    <row r="170" spans="1:9" ht="15.75" x14ac:dyDescent="0.25">
      <c r="A170" s="87">
        <v>166</v>
      </c>
      <c r="B170" s="87" t="s">
        <v>856</v>
      </c>
      <c r="C170" s="553" t="s">
        <v>819</v>
      </c>
      <c r="D170" s="563">
        <v>3500</v>
      </c>
      <c r="E170" s="573">
        <v>37</v>
      </c>
      <c r="F170" s="563">
        <v>3500</v>
      </c>
      <c r="G170" s="87">
        <f t="shared" si="2"/>
        <v>0</v>
      </c>
      <c r="H170" s="509"/>
      <c r="I170" s="525"/>
    </row>
    <row r="171" spans="1:9" ht="15.75" x14ac:dyDescent="0.25">
      <c r="A171" s="87">
        <v>167</v>
      </c>
      <c r="B171" s="87" t="s">
        <v>856</v>
      </c>
      <c r="C171" s="553">
        <v>9978</v>
      </c>
      <c r="D171" s="563">
        <v>25000</v>
      </c>
      <c r="E171" s="573">
        <v>278</v>
      </c>
      <c r="F171" s="563">
        <v>25000</v>
      </c>
      <c r="G171" s="87">
        <f t="shared" si="2"/>
        <v>0</v>
      </c>
      <c r="H171" s="509"/>
      <c r="I171" s="525"/>
    </row>
    <row r="172" spans="1:9" ht="15.75" x14ac:dyDescent="0.25">
      <c r="A172" s="87">
        <v>168</v>
      </c>
      <c r="B172" s="87" t="s">
        <v>856</v>
      </c>
      <c r="C172" s="553">
        <v>4441</v>
      </c>
      <c r="D172" s="563">
        <v>25000</v>
      </c>
      <c r="E172" s="573">
        <v>278</v>
      </c>
      <c r="F172" s="563">
        <v>25000</v>
      </c>
      <c r="G172" s="87">
        <f t="shared" si="2"/>
        <v>0</v>
      </c>
      <c r="H172" s="509"/>
      <c r="I172" s="525"/>
    </row>
    <row r="173" spans="1:9" ht="15.75" x14ac:dyDescent="0.25">
      <c r="A173" s="87">
        <v>169</v>
      </c>
      <c r="B173" s="87" t="s">
        <v>856</v>
      </c>
      <c r="C173" s="553">
        <v>2779</v>
      </c>
      <c r="D173" s="563">
        <v>30000</v>
      </c>
      <c r="E173" s="573">
        <v>330</v>
      </c>
      <c r="F173" s="563">
        <v>30000</v>
      </c>
      <c r="G173" s="87">
        <f t="shared" si="2"/>
        <v>0</v>
      </c>
      <c r="H173" s="509"/>
      <c r="I173" s="525"/>
    </row>
    <row r="174" spans="1:9" ht="15.75" x14ac:dyDescent="0.25">
      <c r="A174" s="87">
        <v>170</v>
      </c>
      <c r="B174" s="87" t="s">
        <v>856</v>
      </c>
      <c r="C174" s="553" t="s">
        <v>30</v>
      </c>
      <c r="D174" s="563">
        <v>5000</v>
      </c>
      <c r="E174" s="573">
        <v>55</v>
      </c>
      <c r="F174" s="563">
        <v>5000</v>
      </c>
      <c r="G174" s="87">
        <f t="shared" si="2"/>
        <v>0</v>
      </c>
      <c r="H174" s="509"/>
      <c r="I174" s="525"/>
    </row>
    <row r="175" spans="1:9" ht="15.75" x14ac:dyDescent="0.25">
      <c r="A175" s="87">
        <v>171</v>
      </c>
      <c r="B175" s="87" t="s">
        <v>856</v>
      </c>
      <c r="C175" s="553" t="s">
        <v>30</v>
      </c>
      <c r="D175" s="563">
        <v>5000</v>
      </c>
      <c r="E175" s="573">
        <v>55</v>
      </c>
      <c r="F175" s="563">
        <v>5000</v>
      </c>
      <c r="G175" s="87">
        <f t="shared" si="2"/>
        <v>0</v>
      </c>
      <c r="H175" s="509"/>
      <c r="I175" s="525"/>
    </row>
    <row r="176" spans="1:9" ht="15.75" x14ac:dyDescent="0.25">
      <c r="A176" s="87">
        <v>172</v>
      </c>
      <c r="B176" s="87" t="s">
        <v>856</v>
      </c>
      <c r="C176" s="553">
        <v>3317</v>
      </c>
      <c r="D176" s="563">
        <v>25000</v>
      </c>
      <c r="E176" s="573">
        <v>278</v>
      </c>
      <c r="F176" s="563">
        <v>25000</v>
      </c>
      <c r="G176" s="87">
        <f t="shared" si="2"/>
        <v>0</v>
      </c>
      <c r="H176" s="509"/>
      <c r="I176" s="525"/>
    </row>
    <row r="177" spans="1:9" ht="15.75" x14ac:dyDescent="0.25">
      <c r="A177" s="87">
        <v>173</v>
      </c>
      <c r="B177" s="87" t="s">
        <v>856</v>
      </c>
      <c r="C177" s="553">
        <v>3877</v>
      </c>
      <c r="D177" s="563">
        <v>27000</v>
      </c>
      <c r="E177" s="573">
        <v>300</v>
      </c>
      <c r="F177" s="563">
        <v>27000</v>
      </c>
      <c r="G177" s="87">
        <f t="shared" si="2"/>
        <v>0</v>
      </c>
      <c r="H177" s="509"/>
      <c r="I177" s="525"/>
    </row>
    <row r="178" spans="1:9" ht="15.75" x14ac:dyDescent="0.25">
      <c r="A178" s="87">
        <v>174</v>
      </c>
      <c r="B178" s="87" t="s">
        <v>856</v>
      </c>
      <c r="C178" s="553">
        <v>8905</v>
      </c>
      <c r="D178" s="563">
        <v>25000</v>
      </c>
      <c r="E178" s="573">
        <v>278</v>
      </c>
      <c r="F178" s="563">
        <v>25000</v>
      </c>
      <c r="G178" s="87">
        <f t="shared" si="2"/>
        <v>0</v>
      </c>
      <c r="H178" s="509"/>
      <c r="I178" s="525"/>
    </row>
    <row r="179" spans="1:9" ht="15.75" x14ac:dyDescent="0.25">
      <c r="A179" s="87">
        <v>175</v>
      </c>
      <c r="B179" s="87" t="s">
        <v>856</v>
      </c>
      <c r="C179" s="553">
        <v>3356</v>
      </c>
      <c r="D179" s="563">
        <v>15700</v>
      </c>
      <c r="E179" s="573">
        <v>174</v>
      </c>
      <c r="F179" s="563">
        <v>15700</v>
      </c>
      <c r="G179" s="87">
        <f t="shared" si="2"/>
        <v>0</v>
      </c>
      <c r="H179" s="509"/>
      <c r="I179" s="525"/>
    </row>
    <row r="180" spans="1:9" ht="15.75" x14ac:dyDescent="0.25">
      <c r="A180" s="87">
        <v>176</v>
      </c>
      <c r="B180" s="87" t="s">
        <v>856</v>
      </c>
      <c r="C180" s="553">
        <v>2029</v>
      </c>
      <c r="D180" s="563">
        <v>16200</v>
      </c>
      <c r="E180" s="573">
        <v>180</v>
      </c>
      <c r="F180" s="563">
        <v>16200</v>
      </c>
      <c r="G180" s="87">
        <f t="shared" si="2"/>
        <v>0</v>
      </c>
      <c r="H180" s="509"/>
      <c r="I180" s="525"/>
    </row>
    <row r="181" spans="1:9" ht="15.75" x14ac:dyDescent="0.25">
      <c r="A181" s="87">
        <v>177</v>
      </c>
      <c r="B181" s="87" t="s">
        <v>856</v>
      </c>
      <c r="C181" s="553">
        <v>4295</v>
      </c>
      <c r="D181" s="563">
        <v>18100</v>
      </c>
      <c r="E181" s="573">
        <v>201</v>
      </c>
      <c r="F181" s="563">
        <v>18100</v>
      </c>
      <c r="G181" s="87">
        <f t="shared" si="2"/>
        <v>0</v>
      </c>
      <c r="H181" s="509"/>
      <c r="I181" s="525"/>
    </row>
    <row r="182" spans="1:9" ht="15.75" x14ac:dyDescent="0.25">
      <c r="A182" s="87">
        <v>178</v>
      </c>
      <c r="B182" s="87" t="s">
        <v>856</v>
      </c>
      <c r="C182" s="553">
        <v>8956</v>
      </c>
      <c r="D182" s="563">
        <v>23983</v>
      </c>
      <c r="E182" s="573">
        <v>267</v>
      </c>
      <c r="F182" s="563">
        <v>23983</v>
      </c>
      <c r="G182" s="87">
        <f t="shared" si="2"/>
        <v>0</v>
      </c>
      <c r="H182" s="509"/>
      <c r="I182" s="525"/>
    </row>
    <row r="183" spans="1:9" ht="15.75" x14ac:dyDescent="0.25">
      <c r="A183" s="87">
        <v>179</v>
      </c>
      <c r="B183" s="87" t="s">
        <v>856</v>
      </c>
      <c r="C183" s="553">
        <v>6461</v>
      </c>
      <c r="D183" s="563">
        <v>25000</v>
      </c>
      <c r="E183" s="573">
        <v>278</v>
      </c>
      <c r="F183" s="563">
        <v>25000</v>
      </c>
      <c r="G183" s="87">
        <f t="shared" si="2"/>
        <v>0</v>
      </c>
      <c r="H183" s="509"/>
      <c r="I183" s="525"/>
    </row>
    <row r="184" spans="1:9" ht="15.75" x14ac:dyDescent="0.25">
      <c r="A184" s="87">
        <v>180</v>
      </c>
      <c r="B184" s="87" t="s">
        <v>856</v>
      </c>
      <c r="C184" s="553">
        <v>1247</v>
      </c>
      <c r="D184" s="563">
        <v>22000</v>
      </c>
      <c r="E184" s="573">
        <v>228</v>
      </c>
      <c r="F184" s="563">
        <v>22000</v>
      </c>
      <c r="G184" s="87">
        <f t="shared" si="2"/>
        <v>0</v>
      </c>
      <c r="H184" s="509"/>
      <c r="I184" s="525"/>
    </row>
    <row r="185" spans="1:9" ht="15.75" x14ac:dyDescent="0.25">
      <c r="A185" s="87">
        <v>181</v>
      </c>
      <c r="B185" s="87" t="s">
        <v>856</v>
      </c>
      <c r="C185" s="553">
        <v>5518</v>
      </c>
      <c r="D185" s="563">
        <v>15000</v>
      </c>
      <c r="E185" s="573">
        <v>155</v>
      </c>
      <c r="F185" s="563">
        <v>15000</v>
      </c>
      <c r="G185" s="87">
        <f t="shared" si="2"/>
        <v>0</v>
      </c>
      <c r="H185" s="509"/>
      <c r="I185" s="525"/>
    </row>
    <row r="186" spans="1:9" ht="15.75" x14ac:dyDescent="0.25">
      <c r="A186" s="87">
        <v>182</v>
      </c>
      <c r="B186" s="87" t="s">
        <v>856</v>
      </c>
      <c r="C186" s="553">
        <v>7073</v>
      </c>
      <c r="D186" s="563">
        <v>19100</v>
      </c>
      <c r="E186" s="573">
        <v>211</v>
      </c>
      <c r="F186" s="563">
        <v>19100</v>
      </c>
      <c r="G186" s="87">
        <f t="shared" si="2"/>
        <v>0</v>
      </c>
      <c r="H186" s="509"/>
      <c r="I186" s="525"/>
    </row>
    <row r="187" spans="1:9" ht="15.75" x14ac:dyDescent="0.25">
      <c r="A187" s="87">
        <v>183</v>
      </c>
      <c r="B187" s="87" t="s">
        <v>856</v>
      </c>
      <c r="C187" s="553">
        <v>4365</v>
      </c>
      <c r="D187" s="563">
        <v>19000</v>
      </c>
      <c r="E187" s="573">
        <v>211</v>
      </c>
      <c r="F187" s="563">
        <v>19000</v>
      </c>
      <c r="G187" s="87">
        <f t="shared" si="2"/>
        <v>0</v>
      </c>
      <c r="H187" s="509"/>
      <c r="I187" s="525"/>
    </row>
    <row r="188" spans="1:9" ht="15.75" x14ac:dyDescent="0.25">
      <c r="A188" s="87">
        <v>184</v>
      </c>
      <c r="B188" s="87" t="s">
        <v>856</v>
      </c>
      <c r="C188" s="554" t="s">
        <v>899</v>
      </c>
      <c r="D188" s="563">
        <v>28000</v>
      </c>
      <c r="E188" s="573">
        <v>311</v>
      </c>
      <c r="F188" s="563">
        <v>28000</v>
      </c>
      <c r="G188" s="87">
        <f t="shared" si="2"/>
        <v>0</v>
      </c>
      <c r="H188" s="509"/>
      <c r="I188" s="525"/>
    </row>
    <row r="189" spans="1:9" ht="15.75" x14ac:dyDescent="0.25">
      <c r="A189" s="87">
        <v>185</v>
      </c>
      <c r="B189" s="87" t="s">
        <v>856</v>
      </c>
      <c r="C189" s="553">
        <v>3468</v>
      </c>
      <c r="D189" s="563">
        <v>19000</v>
      </c>
      <c r="E189" s="573">
        <v>211</v>
      </c>
      <c r="F189" s="563">
        <v>19000</v>
      </c>
      <c r="G189" s="87">
        <f t="shared" si="2"/>
        <v>0</v>
      </c>
      <c r="H189" s="509"/>
      <c r="I189" s="525"/>
    </row>
    <row r="190" spans="1:9" ht="15.75" x14ac:dyDescent="0.25">
      <c r="A190" s="87">
        <v>186</v>
      </c>
      <c r="B190" s="87" t="s">
        <v>856</v>
      </c>
      <c r="C190" s="553">
        <v>6246</v>
      </c>
      <c r="D190" s="563">
        <v>20000</v>
      </c>
      <c r="E190" s="573">
        <v>222</v>
      </c>
      <c r="F190" s="563">
        <v>20000</v>
      </c>
      <c r="G190" s="87">
        <f t="shared" si="2"/>
        <v>0</v>
      </c>
      <c r="H190" s="509"/>
      <c r="I190" s="525"/>
    </row>
    <row r="191" spans="1:9" ht="15.75" x14ac:dyDescent="0.25">
      <c r="A191" s="87">
        <v>187</v>
      </c>
      <c r="B191" s="87" t="s">
        <v>856</v>
      </c>
      <c r="C191" s="553">
        <v>5970</v>
      </c>
      <c r="D191" s="563">
        <v>22000</v>
      </c>
      <c r="E191" s="573">
        <v>245</v>
      </c>
      <c r="F191" s="563">
        <v>22000</v>
      </c>
      <c r="G191" s="87">
        <f t="shared" si="2"/>
        <v>0</v>
      </c>
      <c r="H191" s="509"/>
      <c r="I191" s="525"/>
    </row>
    <row r="192" spans="1:9" ht="15.75" x14ac:dyDescent="0.25">
      <c r="A192" s="87">
        <v>188</v>
      </c>
      <c r="B192" s="87" t="s">
        <v>856</v>
      </c>
      <c r="C192" s="553">
        <v>7880</v>
      </c>
      <c r="D192" s="563">
        <v>25000</v>
      </c>
      <c r="E192" s="573">
        <v>278</v>
      </c>
      <c r="F192" s="563">
        <v>25000</v>
      </c>
      <c r="G192" s="87">
        <f t="shared" si="2"/>
        <v>0</v>
      </c>
      <c r="H192" s="509"/>
      <c r="I192" s="525"/>
    </row>
    <row r="193" spans="1:9" ht="15.75" x14ac:dyDescent="0.25">
      <c r="A193" s="87">
        <v>189</v>
      </c>
      <c r="B193" s="87" t="s">
        <v>856</v>
      </c>
      <c r="C193" s="553">
        <v>9428</v>
      </c>
      <c r="D193" s="563">
        <v>20000</v>
      </c>
      <c r="E193" s="573">
        <v>222</v>
      </c>
      <c r="F193" s="563">
        <v>20000</v>
      </c>
      <c r="G193" s="87">
        <f t="shared" si="2"/>
        <v>0</v>
      </c>
      <c r="H193" s="509"/>
      <c r="I193" s="525"/>
    </row>
    <row r="194" spans="1:9" ht="15.75" x14ac:dyDescent="0.25">
      <c r="A194" s="87">
        <v>190</v>
      </c>
      <c r="B194" s="87" t="s">
        <v>856</v>
      </c>
      <c r="C194" s="553">
        <v>5442</v>
      </c>
      <c r="D194" s="564">
        <v>10000</v>
      </c>
      <c r="E194" s="573">
        <v>111</v>
      </c>
      <c r="F194" s="564">
        <v>10000</v>
      </c>
      <c r="G194" s="87">
        <f t="shared" si="2"/>
        <v>0</v>
      </c>
      <c r="H194" s="509"/>
      <c r="I194" s="525"/>
    </row>
    <row r="195" spans="1:9" ht="15.75" x14ac:dyDescent="0.25">
      <c r="A195" s="87">
        <v>191</v>
      </c>
      <c r="B195" s="87" t="s">
        <v>856</v>
      </c>
      <c r="C195" s="553">
        <v>3050</v>
      </c>
      <c r="D195" s="563">
        <v>5000</v>
      </c>
      <c r="E195" s="573">
        <v>22</v>
      </c>
      <c r="F195" s="563">
        <v>5000</v>
      </c>
      <c r="G195" s="87">
        <f t="shared" si="2"/>
        <v>0</v>
      </c>
      <c r="H195" s="509"/>
      <c r="I195" s="525"/>
    </row>
    <row r="196" spans="1:9" ht="15.75" x14ac:dyDescent="0.25">
      <c r="A196" s="87">
        <v>192</v>
      </c>
      <c r="B196" s="87" t="s">
        <v>856</v>
      </c>
      <c r="C196" s="553">
        <v>7892</v>
      </c>
      <c r="D196" s="563">
        <v>6000</v>
      </c>
      <c r="E196" s="573">
        <v>66</v>
      </c>
      <c r="F196" s="563">
        <v>6000</v>
      </c>
      <c r="G196" s="87">
        <f t="shared" si="2"/>
        <v>0</v>
      </c>
      <c r="H196" s="509"/>
      <c r="I196" s="525"/>
    </row>
    <row r="197" spans="1:9" ht="15.75" x14ac:dyDescent="0.25">
      <c r="A197" s="87">
        <v>193</v>
      </c>
      <c r="B197" s="87" t="s">
        <v>857</v>
      </c>
      <c r="C197" s="553">
        <v>9525</v>
      </c>
      <c r="D197" s="563">
        <v>27000</v>
      </c>
      <c r="E197" s="573">
        <v>300</v>
      </c>
      <c r="F197" s="563">
        <v>27000</v>
      </c>
      <c r="G197" s="87">
        <f t="shared" ref="G197:G260" si="3">D197-F197</f>
        <v>0</v>
      </c>
      <c r="H197" s="509"/>
      <c r="I197" s="525"/>
    </row>
    <row r="198" spans="1:9" ht="15.75" x14ac:dyDescent="0.25">
      <c r="A198" s="87">
        <v>194</v>
      </c>
      <c r="B198" s="87" t="s">
        <v>857</v>
      </c>
      <c r="C198" s="553">
        <v>6133</v>
      </c>
      <c r="D198" s="563">
        <v>17000</v>
      </c>
      <c r="E198" s="573">
        <v>189</v>
      </c>
      <c r="F198" s="563">
        <v>17000</v>
      </c>
      <c r="G198" s="87">
        <f t="shared" si="3"/>
        <v>0</v>
      </c>
      <c r="H198" s="509"/>
      <c r="I198" s="525"/>
    </row>
    <row r="199" spans="1:9" ht="15.75" x14ac:dyDescent="0.25">
      <c r="A199" s="87">
        <v>195</v>
      </c>
      <c r="B199" s="87" t="s">
        <v>857</v>
      </c>
      <c r="C199" s="554" t="s">
        <v>900</v>
      </c>
      <c r="D199" s="563">
        <v>6000</v>
      </c>
      <c r="E199" s="573">
        <v>66</v>
      </c>
      <c r="F199" s="563">
        <v>6000</v>
      </c>
      <c r="G199" s="87">
        <f t="shared" si="3"/>
        <v>0</v>
      </c>
      <c r="H199" s="509"/>
      <c r="I199" s="525"/>
    </row>
    <row r="200" spans="1:9" ht="15.75" x14ac:dyDescent="0.25">
      <c r="A200" s="87">
        <v>196</v>
      </c>
      <c r="B200" s="87" t="s">
        <v>857</v>
      </c>
      <c r="C200" s="553">
        <v>2972</v>
      </c>
      <c r="D200" s="563">
        <v>14000</v>
      </c>
      <c r="E200" s="573">
        <v>155</v>
      </c>
      <c r="F200" s="563">
        <v>14000</v>
      </c>
      <c r="G200" s="87">
        <f t="shared" si="3"/>
        <v>0</v>
      </c>
      <c r="H200" s="509"/>
      <c r="I200" s="525"/>
    </row>
    <row r="201" spans="1:9" ht="15.75" x14ac:dyDescent="0.25">
      <c r="A201" s="87">
        <v>197</v>
      </c>
      <c r="B201" s="87" t="s">
        <v>857</v>
      </c>
      <c r="C201" s="553">
        <v>5300</v>
      </c>
      <c r="D201" s="563">
        <v>6000</v>
      </c>
      <c r="E201" s="573">
        <v>66</v>
      </c>
      <c r="F201" s="563">
        <v>6000</v>
      </c>
      <c r="G201" s="87">
        <f t="shared" si="3"/>
        <v>0</v>
      </c>
      <c r="H201" s="509"/>
      <c r="I201" s="525"/>
    </row>
    <row r="202" spans="1:9" ht="15.75" x14ac:dyDescent="0.25">
      <c r="A202" s="87">
        <v>198</v>
      </c>
      <c r="B202" s="87" t="s">
        <v>857</v>
      </c>
      <c r="C202" s="553">
        <v>8484</v>
      </c>
      <c r="D202" s="563">
        <v>15000</v>
      </c>
      <c r="E202" s="573">
        <v>167</v>
      </c>
      <c r="F202" s="563">
        <v>15000</v>
      </c>
      <c r="G202" s="87">
        <f t="shared" si="3"/>
        <v>0</v>
      </c>
      <c r="H202" s="509"/>
      <c r="I202" s="525"/>
    </row>
    <row r="203" spans="1:9" ht="15.75" x14ac:dyDescent="0.25">
      <c r="A203" s="87">
        <v>199</v>
      </c>
      <c r="B203" s="87" t="s">
        <v>857</v>
      </c>
      <c r="C203" s="553">
        <v>7344</v>
      </c>
      <c r="D203" s="563">
        <v>17000</v>
      </c>
      <c r="E203" s="573">
        <v>189</v>
      </c>
      <c r="F203" s="563">
        <v>17000</v>
      </c>
      <c r="G203" s="87">
        <f t="shared" si="3"/>
        <v>0</v>
      </c>
      <c r="H203" s="509"/>
      <c r="I203" s="525"/>
    </row>
    <row r="204" spans="1:9" ht="15.75" x14ac:dyDescent="0.25">
      <c r="A204" s="87">
        <v>200</v>
      </c>
      <c r="B204" s="87" t="s">
        <v>857</v>
      </c>
      <c r="C204" s="553">
        <v>4295</v>
      </c>
      <c r="D204" s="563">
        <v>25000</v>
      </c>
      <c r="E204" s="573">
        <v>278</v>
      </c>
      <c r="F204" s="563">
        <v>25000</v>
      </c>
      <c r="G204" s="87">
        <f t="shared" si="3"/>
        <v>0</v>
      </c>
      <c r="H204" s="509"/>
      <c r="I204" s="525"/>
    </row>
    <row r="205" spans="1:9" ht="15.75" x14ac:dyDescent="0.25">
      <c r="A205" s="87">
        <v>201</v>
      </c>
      <c r="B205" s="87" t="s">
        <v>857</v>
      </c>
      <c r="C205" s="553" t="s">
        <v>66</v>
      </c>
      <c r="D205" s="563">
        <v>150</v>
      </c>
      <c r="E205" s="573" t="s">
        <v>66</v>
      </c>
      <c r="F205" s="563">
        <v>150</v>
      </c>
      <c r="G205" s="87">
        <f t="shared" si="3"/>
        <v>0</v>
      </c>
      <c r="H205" s="509"/>
      <c r="I205" s="525"/>
    </row>
    <row r="206" spans="1:9" ht="15.75" x14ac:dyDescent="0.25">
      <c r="A206" s="87">
        <v>202</v>
      </c>
      <c r="B206" s="87" t="s">
        <v>857</v>
      </c>
      <c r="C206" s="553">
        <v>2004</v>
      </c>
      <c r="D206" s="563">
        <v>19700</v>
      </c>
      <c r="E206" s="573">
        <v>219</v>
      </c>
      <c r="F206" s="563">
        <v>19700</v>
      </c>
      <c r="G206" s="87">
        <f t="shared" si="3"/>
        <v>0</v>
      </c>
      <c r="H206" s="509"/>
      <c r="I206" s="525"/>
    </row>
    <row r="207" spans="1:9" ht="15.75" x14ac:dyDescent="0.25">
      <c r="A207" s="87">
        <v>203</v>
      </c>
      <c r="B207" s="87" t="s">
        <v>857</v>
      </c>
      <c r="C207" s="553">
        <v>2150</v>
      </c>
      <c r="D207" s="563">
        <v>22000</v>
      </c>
      <c r="E207" s="573">
        <v>245</v>
      </c>
      <c r="F207" s="563">
        <v>22000</v>
      </c>
      <c r="G207" s="87">
        <f t="shared" si="3"/>
        <v>0</v>
      </c>
      <c r="H207" s="509"/>
      <c r="I207" s="525"/>
    </row>
    <row r="208" spans="1:9" ht="15.75" x14ac:dyDescent="0.25">
      <c r="A208" s="87">
        <v>204</v>
      </c>
      <c r="B208" s="87" t="s">
        <v>857</v>
      </c>
      <c r="C208" s="553">
        <v>2239</v>
      </c>
      <c r="D208" s="563">
        <v>28000</v>
      </c>
      <c r="E208" s="573">
        <v>311</v>
      </c>
      <c r="F208" s="563">
        <v>28000</v>
      </c>
      <c r="G208" s="87">
        <f t="shared" si="3"/>
        <v>0</v>
      </c>
      <c r="H208" s="509"/>
      <c r="I208" s="525"/>
    </row>
    <row r="209" spans="1:9" ht="15.75" x14ac:dyDescent="0.25">
      <c r="A209" s="87">
        <v>205</v>
      </c>
      <c r="B209" s="87" t="s">
        <v>857</v>
      </c>
      <c r="C209" s="554" t="s">
        <v>901</v>
      </c>
      <c r="D209" s="563">
        <v>10000</v>
      </c>
      <c r="E209" s="573">
        <v>111</v>
      </c>
      <c r="F209" s="563">
        <v>10000</v>
      </c>
      <c r="G209" s="87">
        <f t="shared" si="3"/>
        <v>0</v>
      </c>
      <c r="H209" s="509"/>
      <c r="I209" s="525"/>
    </row>
    <row r="210" spans="1:9" ht="15.75" x14ac:dyDescent="0.25">
      <c r="A210" s="87">
        <v>206</v>
      </c>
      <c r="B210" s="87" t="s">
        <v>857</v>
      </c>
      <c r="C210" s="553">
        <v>7207</v>
      </c>
      <c r="D210" s="563">
        <v>28000</v>
      </c>
      <c r="E210" s="573">
        <v>311</v>
      </c>
      <c r="F210" s="563">
        <v>28000</v>
      </c>
      <c r="G210" s="87">
        <f t="shared" si="3"/>
        <v>0</v>
      </c>
      <c r="H210" s="509"/>
      <c r="I210" s="525"/>
    </row>
    <row r="211" spans="1:9" ht="15.75" x14ac:dyDescent="0.25">
      <c r="A211" s="87">
        <v>207</v>
      </c>
      <c r="B211" s="87" t="s">
        <v>857</v>
      </c>
      <c r="C211" s="553">
        <v>9427</v>
      </c>
      <c r="D211" s="563">
        <v>20000</v>
      </c>
      <c r="E211" s="573">
        <v>222</v>
      </c>
      <c r="F211" s="563">
        <v>20000</v>
      </c>
      <c r="G211" s="87">
        <f t="shared" si="3"/>
        <v>0</v>
      </c>
      <c r="H211" s="509"/>
      <c r="I211" s="525"/>
    </row>
    <row r="212" spans="1:9" ht="15.75" x14ac:dyDescent="0.25">
      <c r="A212" s="87">
        <v>208</v>
      </c>
      <c r="B212" s="87" t="s">
        <v>857</v>
      </c>
      <c r="C212" s="553">
        <v>7753</v>
      </c>
      <c r="D212" s="563">
        <v>20000</v>
      </c>
      <c r="E212" s="573">
        <v>222</v>
      </c>
      <c r="F212" s="563">
        <v>20000</v>
      </c>
      <c r="G212" s="87">
        <f t="shared" si="3"/>
        <v>0</v>
      </c>
      <c r="H212" s="509"/>
      <c r="I212" s="525"/>
    </row>
    <row r="213" spans="1:9" ht="15.75" x14ac:dyDescent="0.25">
      <c r="A213" s="87">
        <v>209</v>
      </c>
      <c r="B213" s="87" t="s">
        <v>857</v>
      </c>
      <c r="C213" s="553" t="s">
        <v>30</v>
      </c>
      <c r="D213" s="563">
        <v>4500</v>
      </c>
      <c r="E213" s="573">
        <v>50</v>
      </c>
      <c r="F213" s="563">
        <v>4500</v>
      </c>
      <c r="G213" s="87">
        <f t="shared" si="3"/>
        <v>0</v>
      </c>
      <c r="H213" s="509"/>
      <c r="I213" s="525"/>
    </row>
    <row r="214" spans="1:9" ht="15.75" x14ac:dyDescent="0.25">
      <c r="A214" s="87">
        <v>210</v>
      </c>
      <c r="B214" s="87" t="s">
        <v>857</v>
      </c>
      <c r="C214" s="553">
        <v>9903</v>
      </c>
      <c r="D214" s="563">
        <v>22000</v>
      </c>
      <c r="E214" s="573">
        <v>245</v>
      </c>
      <c r="F214" s="563">
        <v>22000</v>
      </c>
      <c r="G214" s="87">
        <f t="shared" si="3"/>
        <v>0</v>
      </c>
      <c r="H214" s="509"/>
      <c r="I214" s="525"/>
    </row>
    <row r="215" spans="1:9" ht="15.75" x14ac:dyDescent="0.25">
      <c r="A215" s="87">
        <v>211</v>
      </c>
      <c r="B215" s="87" t="s">
        <v>857</v>
      </c>
      <c r="C215" s="553">
        <v>9803</v>
      </c>
      <c r="D215" s="563">
        <v>10000</v>
      </c>
      <c r="E215" s="573">
        <v>111</v>
      </c>
      <c r="F215" s="563">
        <v>10000</v>
      </c>
      <c r="G215" s="87">
        <f t="shared" si="3"/>
        <v>0</v>
      </c>
      <c r="H215" s="509"/>
      <c r="I215" s="525"/>
    </row>
    <row r="216" spans="1:9" s="552" customFormat="1" ht="15.75" x14ac:dyDescent="0.25">
      <c r="A216" s="87">
        <v>212</v>
      </c>
      <c r="B216" s="87" t="s">
        <v>857</v>
      </c>
      <c r="C216" s="554" t="s">
        <v>902</v>
      </c>
      <c r="D216" s="563">
        <v>29000</v>
      </c>
      <c r="E216" s="573">
        <v>323</v>
      </c>
      <c r="F216" s="563">
        <v>29000</v>
      </c>
      <c r="G216" s="87">
        <f t="shared" si="3"/>
        <v>0</v>
      </c>
      <c r="H216" s="509"/>
      <c r="I216" s="525"/>
    </row>
    <row r="217" spans="1:9" ht="15.75" x14ac:dyDescent="0.25">
      <c r="A217" s="87">
        <v>213</v>
      </c>
      <c r="B217" s="87" t="s">
        <v>857</v>
      </c>
      <c r="C217" s="553">
        <v>4493</v>
      </c>
      <c r="D217" s="563">
        <v>20000</v>
      </c>
      <c r="E217" s="573">
        <v>222</v>
      </c>
      <c r="F217" s="563">
        <v>20000</v>
      </c>
      <c r="G217" s="87">
        <f t="shared" si="3"/>
        <v>0</v>
      </c>
      <c r="H217" s="509"/>
      <c r="I217" s="525"/>
    </row>
    <row r="218" spans="1:9" ht="15.75" x14ac:dyDescent="0.25">
      <c r="A218" s="87">
        <v>214</v>
      </c>
      <c r="B218" s="87" t="s">
        <v>857</v>
      </c>
      <c r="C218" s="553">
        <v>9426</v>
      </c>
      <c r="D218" s="563">
        <v>19000</v>
      </c>
      <c r="E218" s="573">
        <v>211</v>
      </c>
      <c r="F218" s="563">
        <v>19000</v>
      </c>
      <c r="G218" s="87">
        <f t="shared" si="3"/>
        <v>0</v>
      </c>
      <c r="H218" s="509"/>
      <c r="I218" s="525"/>
    </row>
    <row r="219" spans="1:9" ht="15.75" x14ac:dyDescent="0.25">
      <c r="A219" s="87">
        <v>215</v>
      </c>
      <c r="B219" s="87" t="s">
        <v>857</v>
      </c>
      <c r="C219" s="553">
        <v>8105</v>
      </c>
      <c r="D219" s="563">
        <v>18000</v>
      </c>
      <c r="E219" s="573">
        <v>200</v>
      </c>
      <c r="F219" s="563">
        <v>18000</v>
      </c>
      <c r="G219" s="87">
        <f t="shared" si="3"/>
        <v>0</v>
      </c>
      <c r="H219" s="509"/>
      <c r="I219" s="525"/>
    </row>
    <row r="220" spans="1:9" ht="15.75" x14ac:dyDescent="0.25">
      <c r="A220" s="87">
        <v>216</v>
      </c>
      <c r="B220" s="87" t="s">
        <v>857</v>
      </c>
      <c r="C220" s="553">
        <v>5869</v>
      </c>
      <c r="D220" s="563">
        <v>14000</v>
      </c>
      <c r="E220" s="573">
        <v>155</v>
      </c>
      <c r="F220" s="563">
        <v>14000</v>
      </c>
      <c r="G220" s="87">
        <f t="shared" si="3"/>
        <v>0</v>
      </c>
      <c r="H220" s="509"/>
      <c r="I220" s="525"/>
    </row>
    <row r="221" spans="1:9" ht="15.75" x14ac:dyDescent="0.25">
      <c r="A221" s="87">
        <v>217</v>
      </c>
      <c r="B221" s="87" t="s">
        <v>857</v>
      </c>
      <c r="C221" s="553">
        <v>3332</v>
      </c>
      <c r="D221" s="563">
        <v>25000</v>
      </c>
      <c r="E221" s="573">
        <v>278</v>
      </c>
      <c r="F221" s="563">
        <v>25000</v>
      </c>
      <c r="G221" s="87">
        <f t="shared" si="3"/>
        <v>0</v>
      </c>
      <c r="H221" s="509"/>
      <c r="I221" s="525"/>
    </row>
    <row r="222" spans="1:9" ht="15.75" x14ac:dyDescent="0.25">
      <c r="A222" s="87">
        <v>218</v>
      </c>
      <c r="B222" s="87" t="s">
        <v>857</v>
      </c>
      <c r="C222" s="553">
        <v>8648</v>
      </c>
      <c r="D222" s="563">
        <v>20000</v>
      </c>
      <c r="E222" s="573">
        <v>222</v>
      </c>
      <c r="F222" s="563">
        <v>20000</v>
      </c>
      <c r="G222" s="87">
        <f t="shared" si="3"/>
        <v>0</v>
      </c>
      <c r="H222" s="509"/>
      <c r="I222" s="525"/>
    </row>
    <row r="223" spans="1:9" ht="15.75" x14ac:dyDescent="0.25">
      <c r="A223" s="87">
        <v>219</v>
      </c>
      <c r="B223" s="87" t="s">
        <v>857</v>
      </c>
      <c r="C223" s="553">
        <v>5929</v>
      </c>
      <c r="D223" s="563">
        <v>15000</v>
      </c>
      <c r="E223" s="573">
        <v>167</v>
      </c>
      <c r="F223" s="563">
        <v>15000</v>
      </c>
      <c r="G223" s="87">
        <f t="shared" si="3"/>
        <v>0</v>
      </c>
      <c r="H223" s="509"/>
      <c r="I223" s="525"/>
    </row>
    <row r="224" spans="1:9" ht="15.75" x14ac:dyDescent="0.25">
      <c r="A224" s="87">
        <v>220</v>
      </c>
      <c r="B224" s="87" t="s">
        <v>857</v>
      </c>
      <c r="C224" s="553">
        <v>9701</v>
      </c>
      <c r="D224" s="563">
        <v>35000</v>
      </c>
      <c r="E224" s="573">
        <v>371</v>
      </c>
      <c r="F224" s="563">
        <v>35000</v>
      </c>
      <c r="G224" s="87">
        <f t="shared" si="3"/>
        <v>0</v>
      </c>
      <c r="H224" s="509"/>
      <c r="I224" s="525"/>
    </row>
    <row r="225" spans="1:9" ht="15.75" x14ac:dyDescent="0.25">
      <c r="A225" s="87">
        <v>221</v>
      </c>
      <c r="B225" s="87" t="s">
        <v>857</v>
      </c>
      <c r="C225" s="553">
        <v>8986</v>
      </c>
      <c r="D225" s="563">
        <v>19000</v>
      </c>
      <c r="E225" s="573">
        <v>211</v>
      </c>
      <c r="F225" s="563">
        <v>19000</v>
      </c>
      <c r="G225" s="87">
        <f t="shared" si="3"/>
        <v>0</v>
      </c>
      <c r="H225" s="509"/>
      <c r="I225" s="525"/>
    </row>
    <row r="226" spans="1:9" ht="15.75" x14ac:dyDescent="0.25">
      <c r="A226" s="87">
        <v>222</v>
      </c>
      <c r="B226" s="87" t="s">
        <v>857</v>
      </c>
      <c r="C226" s="553">
        <v>8944</v>
      </c>
      <c r="D226" s="563">
        <v>20000</v>
      </c>
      <c r="E226" s="573">
        <v>222</v>
      </c>
      <c r="F226" s="563">
        <v>20000</v>
      </c>
      <c r="G226" s="87">
        <f t="shared" si="3"/>
        <v>0</v>
      </c>
      <c r="H226" s="509"/>
      <c r="I226" s="525"/>
    </row>
    <row r="227" spans="1:9" ht="15.75" x14ac:dyDescent="0.25">
      <c r="A227" s="87">
        <v>223</v>
      </c>
      <c r="B227" s="87" t="s">
        <v>857</v>
      </c>
      <c r="C227" s="553">
        <v>3134</v>
      </c>
      <c r="D227" s="563">
        <v>18000</v>
      </c>
      <c r="E227" s="573">
        <v>200</v>
      </c>
      <c r="F227" s="563">
        <v>18000</v>
      </c>
      <c r="G227" s="87">
        <f t="shared" si="3"/>
        <v>0</v>
      </c>
      <c r="H227" s="509"/>
      <c r="I227" s="525"/>
    </row>
    <row r="228" spans="1:9" ht="15.75" x14ac:dyDescent="0.25">
      <c r="A228" s="87">
        <v>224</v>
      </c>
      <c r="B228" s="87" t="s">
        <v>857</v>
      </c>
      <c r="C228" s="553">
        <v>8481</v>
      </c>
      <c r="D228" s="563">
        <v>20000</v>
      </c>
      <c r="E228" s="573">
        <v>222</v>
      </c>
      <c r="F228" s="563">
        <v>20000</v>
      </c>
      <c r="G228" s="87">
        <f t="shared" si="3"/>
        <v>0</v>
      </c>
      <c r="H228" s="509"/>
      <c r="I228" s="525"/>
    </row>
    <row r="229" spans="1:9" ht="15.75" x14ac:dyDescent="0.25">
      <c r="A229" s="87">
        <v>225</v>
      </c>
      <c r="B229" s="87" t="s">
        <v>857</v>
      </c>
      <c r="C229" s="553">
        <v>2973</v>
      </c>
      <c r="D229" s="563">
        <v>15000</v>
      </c>
      <c r="E229" s="573">
        <v>167</v>
      </c>
      <c r="F229" s="563">
        <v>15000</v>
      </c>
      <c r="G229" s="87">
        <f t="shared" si="3"/>
        <v>0</v>
      </c>
      <c r="H229" s="509"/>
      <c r="I229" s="525"/>
    </row>
    <row r="230" spans="1:9" ht="15.75" x14ac:dyDescent="0.25">
      <c r="A230" s="87">
        <v>226</v>
      </c>
      <c r="B230" s="87" t="s">
        <v>857</v>
      </c>
      <c r="C230" s="553">
        <v>8112</v>
      </c>
      <c r="D230" s="563">
        <v>27000</v>
      </c>
      <c r="E230" s="573">
        <v>300</v>
      </c>
      <c r="F230" s="563">
        <v>27000</v>
      </c>
      <c r="G230" s="87">
        <f t="shared" si="3"/>
        <v>0</v>
      </c>
      <c r="H230" s="509"/>
      <c r="I230" s="525"/>
    </row>
    <row r="231" spans="1:9" ht="15.75" x14ac:dyDescent="0.25">
      <c r="A231" s="87">
        <v>227</v>
      </c>
      <c r="B231" s="87" t="s">
        <v>857</v>
      </c>
      <c r="C231" s="553">
        <v>5202</v>
      </c>
      <c r="D231" s="563">
        <v>28000</v>
      </c>
      <c r="E231" s="573">
        <v>287</v>
      </c>
      <c r="F231" s="563">
        <v>28000</v>
      </c>
      <c r="G231" s="87">
        <f t="shared" si="3"/>
        <v>0</v>
      </c>
      <c r="H231" s="509"/>
      <c r="I231" s="525"/>
    </row>
    <row r="232" spans="1:9" ht="15.75" x14ac:dyDescent="0.25">
      <c r="A232" s="87">
        <v>228</v>
      </c>
      <c r="B232" s="87" t="s">
        <v>857</v>
      </c>
      <c r="C232" s="553" t="s">
        <v>66</v>
      </c>
      <c r="D232" s="563">
        <v>100</v>
      </c>
      <c r="E232" s="573" t="s">
        <v>66</v>
      </c>
      <c r="F232" s="563">
        <v>100</v>
      </c>
      <c r="G232" s="87">
        <f t="shared" si="3"/>
        <v>0</v>
      </c>
      <c r="H232" s="509"/>
      <c r="I232" s="525"/>
    </row>
    <row r="233" spans="1:9" ht="15.75" x14ac:dyDescent="0.25">
      <c r="A233" s="87">
        <v>229</v>
      </c>
      <c r="B233" s="87" t="s">
        <v>858</v>
      </c>
      <c r="C233" s="553">
        <v>9021</v>
      </c>
      <c r="D233" s="563">
        <v>26000</v>
      </c>
      <c r="E233" s="563">
        <v>289</v>
      </c>
      <c r="F233" s="563">
        <v>26000</v>
      </c>
      <c r="G233" s="87">
        <f t="shared" si="3"/>
        <v>0</v>
      </c>
      <c r="H233" s="509"/>
      <c r="I233" s="525"/>
    </row>
    <row r="234" spans="1:9" ht="15.75" x14ac:dyDescent="0.25">
      <c r="A234" s="87">
        <v>230</v>
      </c>
      <c r="B234" s="87" t="s">
        <v>858</v>
      </c>
      <c r="C234" s="553">
        <v>7258</v>
      </c>
      <c r="D234" s="563">
        <v>30000</v>
      </c>
      <c r="E234" s="563">
        <v>334</v>
      </c>
      <c r="F234" s="563">
        <v>30000</v>
      </c>
      <c r="G234" s="87">
        <f t="shared" si="3"/>
        <v>0</v>
      </c>
      <c r="H234" s="509"/>
      <c r="I234" s="525"/>
    </row>
    <row r="235" spans="1:9" ht="15.75" x14ac:dyDescent="0.25">
      <c r="A235" s="87">
        <v>231</v>
      </c>
      <c r="B235" s="87" t="s">
        <v>858</v>
      </c>
      <c r="C235" s="554" t="s">
        <v>891</v>
      </c>
      <c r="D235" s="563">
        <v>10000</v>
      </c>
      <c r="E235" s="563">
        <v>111</v>
      </c>
      <c r="F235" s="563">
        <v>10000</v>
      </c>
      <c r="G235" s="87">
        <f t="shared" si="3"/>
        <v>0</v>
      </c>
      <c r="H235" s="509"/>
      <c r="I235" s="525"/>
    </row>
    <row r="236" spans="1:9" ht="15.75" x14ac:dyDescent="0.25">
      <c r="A236" s="87">
        <v>232</v>
      </c>
      <c r="B236" s="87" t="s">
        <v>858</v>
      </c>
      <c r="C236" s="553">
        <v>9500</v>
      </c>
      <c r="D236" s="563">
        <v>23000</v>
      </c>
      <c r="E236" s="563">
        <v>256</v>
      </c>
      <c r="F236" s="563">
        <v>23000</v>
      </c>
      <c r="G236" s="87">
        <f t="shared" si="3"/>
        <v>0</v>
      </c>
      <c r="H236" s="509"/>
      <c r="I236" s="525"/>
    </row>
    <row r="237" spans="1:9" ht="15.75" x14ac:dyDescent="0.25">
      <c r="A237" s="87">
        <v>233</v>
      </c>
      <c r="B237" s="87" t="s">
        <v>858</v>
      </c>
      <c r="C237" s="553">
        <v>5781</v>
      </c>
      <c r="D237" s="563">
        <v>10000</v>
      </c>
      <c r="E237" s="563">
        <v>111</v>
      </c>
      <c r="F237" s="563">
        <v>10000</v>
      </c>
      <c r="G237" s="87">
        <f t="shared" si="3"/>
        <v>0</v>
      </c>
      <c r="H237" s="509"/>
      <c r="I237" s="525"/>
    </row>
    <row r="238" spans="1:9" ht="15.75" x14ac:dyDescent="0.25">
      <c r="A238" s="87">
        <v>234</v>
      </c>
      <c r="B238" s="87" t="s">
        <v>858</v>
      </c>
      <c r="C238" s="553">
        <v>1960</v>
      </c>
      <c r="D238" s="563">
        <v>22000</v>
      </c>
      <c r="E238" s="563">
        <v>231</v>
      </c>
      <c r="F238" s="563">
        <v>22000</v>
      </c>
      <c r="G238" s="87">
        <f t="shared" si="3"/>
        <v>0</v>
      </c>
      <c r="H238" s="509"/>
      <c r="I238" s="525"/>
    </row>
    <row r="239" spans="1:9" ht="15.75" x14ac:dyDescent="0.25">
      <c r="A239" s="87">
        <v>235</v>
      </c>
      <c r="B239" s="87" t="s">
        <v>858</v>
      </c>
      <c r="C239" s="553">
        <v>1543</v>
      </c>
      <c r="D239" s="563">
        <v>17000</v>
      </c>
      <c r="E239" s="563">
        <v>189</v>
      </c>
      <c r="F239" s="563">
        <v>17000</v>
      </c>
      <c r="G239" s="87">
        <f t="shared" si="3"/>
        <v>0</v>
      </c>
      <c r="H239" s="509"/>
      <c r="I239" s="525"/>
    </row>
    <row r="240" spans="1:9" ht="15.75" x14ac:dyDescent="0.25">
      <c r="A240" s="87">
        <v>236</v>
      </c>
      <c r="B240" s="87" t="s">
        <v>858</v>
      </c>
      <c r="C240" s="553" t="s">
        <v>30</v>
      </c>
      <c r="D240" s="563">
        <v>5000</v>
      </c>
      <c r="E240" s="563">
        <v>55</v>
      </c>
      <c r="F240" s="563">
        <v>5000</v>
      </c>
      <c r="G240" s="87">
        <f t="shared" si="3"/>
        <v>0</v>
      </c>
      <c r="H240" s="509"/>
      <c r="I240" s="525"/>
    </row>
    <row r="241" spans="1:9" ht="15.75" x14ac:dyDescent="0.25">
      <c r="A241" s="87">
        <v>237</v>
      </c>
      <c r="B241" s="87" t="s">
        <v>858</v>
      </c>
      <c r="C241" s="553">
        <v>2963</v>
      </c>
      <c r="D241" s="563">
        <v>15000</v>
      </c>
      <c r="E241" s="563">
        <v>167</v>
      </c>
      <c r="F241" s="563">
        <v>15000</v>
      </c>
      <c r="G241" s="87">
        <f t="shared" si="3"/>
        <v>0</v>
      </c>
      <c r="H241" s="509"/>
      <c r="I241" s="525"/>
    </row>
    <row r="242" spans="1:9" ht="15.75" x14ac:dyDescent="0.25">
      <c r="A242" s="87">
        <v>238</v>
      </c>
      <c r="B242" s="87" t="s">
        <v>858</v>
      </c>
      <c r="C242" s="553">
        <v>6957</v>
      </c>
      <c r="D242" s="563">
        <v>18000</v>
      </c>
      <c r="E242" s="563">
        <v>200</v>
      </c>
      <c r="F242" s="563">
        <v>18000</v>
      </c>
      <c r="G242" s="87">
        <f t="shared" si="3"/>
        <v>0</v>
      </c>
      <c r="H242" s="509"/>
      <c r="I242" s="525"/>
    </row>
    <row r="243" spans="1:9" ht="15.75" x14ac:dyDescent="0.25">
      <c r="A243" s="87">
        <v>239</v>
      </c>
      <c r="B243" s="87" t="s">
        <v>858</v>
      </c>
      <c r="C243" s="553">
        <v>8326</v>
      </c>
      <c r="D243" s="563">
        <v>15000</v>
      </c>
      <c r="E243" s="563">
        <v>167</v>
      </c>
      <c r="F243" s="563">
        <v>15000</v>
      </c>
      <c r="G243" s="87">
        <f t="shared" si="3"/>
        <v>0</v>
      </c>
      <c r="H243" s="509"/>
      <c r="I243" s="525"/>
    </row>
    <row r="244" spans="1:9" ht="15.75" x14ac:dyDescent="0.25">
      <c r="A244" s="87">
        <v>240</v>
      </c>
      <c r="B244" s="87" t="s">
        <v>858</v>
      </c>
      <c r="C244" s="553">
        <v>9669</v>
      </c>
      <c r="D244" s="563">
        <v>10000</v>
      </c>
      <c r="E244" s="563">
        <v>111</v>
      </c>
      <c r="F244" s="563">
        <v>10000</v>
      </c>
      <c r="G244" s="87">
        <f t="shared" si="3"/>
        <v>0</v>
      </c>
      <c r="H244" s="509"/>
      <c r="I244" s="525"/>
    </row>
    <row r="245" spans="1:9" ht="15.75" x14ac:dyDescent="0.25">
      <c r="A245" s="87">
        <v>241</v>
      </c>
      <c r="B245" s="87" t="s">
        <v>858</v>
      </c>
      <c r="C245" s="553">
        <v>8318</v>
      </c>
      <c r="D245" s="563">
        <v>15000</v>
      </c>
      <c r="E245" s="563">
        <v>167</v>
      </c>
      <c r="F245" s="563">
        <v>15000</v>
      </c>
      <c r="G245" s="87">
        <f t="shared" si="3"/>
        <v>0</v>
      </c>
      <c r="H245" s="509"/>
      <c r="I245" s="525"/>
    </row>
    <row r="246" spans="1:9" ht="15.75" x14ac:dyDescent="0.25">
      <c r="A246" s="87">
        <v>242</v>
      </c>
      <c r="B246" s="87" t="s">
        <v>858</v>
      </c>
      <c r="C246" s="553">
        <v>8726</v>
      </c>
      <c r="D246" s="563">
        <v>17000</v>
      </c>
      <c r="E246" s="563">
        <v>189</v>
      </c>
      <c r="F246" s="563">
        <v>17000</v>
      </c>
      <c r="G246" s="87">
        <f t="shared" si="3"/>
        <v>0</v>
      </c>
      <c r="H246" s="509"/>
      <c r="I246" s="525"/>
    </row>
    <row r="247" spans="1:9" ht="15.75" x14ac:dyDescent="0.25">
      <c r="A247" s="87">
        <v>243</v>
      </c>
      <c r="B247" s="87" t="s">
        <v>858</v>
      </c>
      <c r="C247" s="553">
        <v>5152</v>
      </c>
      <c r="D247" s="563">
        <v>15000</v>
      </c>
      <c r="E247" s="563">
        <v>167</v>
      </c>
      <c r="F247" s="563">
        <v>15000</v>
      </c>
      <c r="G247" s="87">
        <f t="shared" si="3"/>
        <v>0</v>
      </c>
      <c r="H247" s="509"/>
      <c r="I247" s="525"/>
    </row>
    <row r="248" spans="1:9" ht="15.75" x14ac:dyDescent="0.25">
      <c r="A248" s="87">
        <v>244</v>
      </c>
      <c r="B248" s="87" t="s">
        <v>858</v>
      </c>
      <c r="C248" s="553">
        <v>1547</v>
      </c>
      <c r="D248" s="563">
        <v>17000</v>
      </c>
      <c r="E248" s="563">
        <v>189</v>
      </c>
      <c r="F248" s="563">
        <v>17000</v>
      </c>
      <c r="G248" s="87">
        <f t="shared" si="3"/>
        <v>0</v>
      </c>
      <c r="H248" s="509"/>
      <c r="I248" s="525"/>
    </row>
    <row r="249" spans="1:9" ht="15.75" x14ac:dyDescent="0.25">
      <c r="A249" s="87">
        <v>245</v>
      </c>
      <c r="B249" s="87" t="s">
        <v>858</v>
      </c>
      <c r="C249" s="554" t="s">
        <v>904</v>
      </c>
      <c r="D249" s="563">
        <v>25000</v>
      </c>
      <c r="E249" s="563">
        <v>278</v>
      </c>
      <c r="F249" s="563">
        <v>25000</v>
      </c>
      <c r="G249" s="87">
        <f t="shared" si="3"/>
        <v>0</v>
      </c>
      <c r="H249" s="509"/>
      <c r="I249" s="525"/>
    </row>
    <row r="250" spans="1:9" ht="15.75" x14ac:dyDescent="0.25">
      <c r="A250" s="87">
        <v>246</v>
      </c>
      <c r="B250" s="87" t="s">
        <v>858</v>
      </c>
      <c r="C250" s="553">
        <v>3054</v>
      </c>
      <c r="D250" s="563">
        <v>20000</v>
      </c>
      <c r="E250" s="563">
        <v>222</v>
      </c>
      <c r="F250" s="563">
        <v>20000</v>
      </c>
      <c r="G250" s="87">
        <f t="shared" si="3"/>
        <v>0</v>
      </c>
      <c r="H250" s="509"/>
      <c r="I250" s="525"/>
    </row>
    <row r="251" spans="1:9" ht="15.75" x14ac:dyDescent="0.25">
      <c r="A251" s="87">
        <v>247</v>
      </c>
      <c r="B251" s="87" t="s">
        <v>858</v>
      </c>
      <c r="C251" s="553">
        <v>9490</v>
      </c>
      <c r="D251" s="563">
        <v>18000</v>
      </c>
      <c r="E251" s="563">
        <v>200</v>
      </c>
      <c r="F251" s="563">
        <v>18000</v>
      </c>
      <c r="G251" s="87">
        <f t="shared" si="3"/>
        <v>0</v>
      </c>
      <c r="H251" s="509"/>
      <c r="I251" s="525"/>
    </row>
    <row r="252" spans="1:9" ht="15.75" x14ac:dyDescent="0.25">
      <c r="A252" s="87">
        <v>248</v>
      </c>
      <c r="B252" s="87" t="s">
        <v>858</v>
      </c>
      <c r="C252" s="553">
        <v>2013</v>
      </c>
      <c r="D252" s="563">
        <v>20000</v>
      </c>
      <c r="E252" s="563">
        <v>213</v>
      </c>
      <c r="F252" s="563">
        <v>20000</v>
      </c>
      <c r="G252" s="87">
        <f t="shared" si="3"/>
        <v>0</v>
      </c>
      <c r="H252" s="509"/>
      <c r="I252" s="525"/>
    </row>
    <row r="253" spans="1:9" ht="15.75" x14ac:dyDescent="0.25">
      <c r="A253" s="87">
        <v>249</v>
      </c>
      <c r="B253" s="87" t="s">
        <v>858</v>
      </c>
      <c r="C253" s="553">
        <v>1024</v>
      </c>
      <c r="D253" s="563">
        <v>20000</v>
      </c>
      <c r="E253" s="563">
        <v>222</v>
      </c>
      <c r="F253" s="563">
        <v>20000</v>
      </c>
      <c r="G253" s="87">
        <f t="shared" si="3"/>
        <v>0</v>
      </c>
      <c r="H253" s="509"/>
      <c r="I253" s="525"/>
    </row>
    <row r="254" spans="1:9" ht="15.75" x14ac:dyDescent="0.25">
      <c r="A254" s="87">
        <v>250</v>
      </c>
      <c r="B254" s="87" t="s">
        <v>858</v>
      </c>
      <c r="C254" s="554" t="s">
        <v>905</v>
      </c>
      <c r="D254" s="563">
        <v>20000</v>
      </c>
      <c r="E254" s="563">
        <v>222</v>
      </c>
      <c r="F254" s="563">
        <v>20000</v>
      </c>
      <c r="G254" s="87">
        <f t="shared" si="3"/>
        <v>0</v>
      </c>
      <c r="H254" s="509"/>
      <c r="I254" s="525"/>
    </row>
    <row r="255" spans="1:9" ht="15.75" x14ac:dyDescent="0.25">
      <c r="A255" s="87">
        <v>251</v>
      </c>
      <c r="B255" s="87" t="s">
        <v>858</v>
      </c>
      <c r="C255" s="553" t="s">
        <v>30</v>
      </c>
      <c r="D255" s="563">
        <v>6830</v>
      </c>
      <c r="E255" s="563">
        <v>76</v>
      </c>
      <c r="F255" s="563">
        <v>6830</v>
      </c>
      <c r="G255" s="87">
        <f t="shared" si="3"/>
        <v>0</v>
      </c>
      <c r="H255" s="509"/>
      <c r="I255" s="525"/>
    </row>
    <row r="256" spans="1:9" ht="15.75" x14ac:dyDescent="0.25">
      <c r="A256" s="87">
        <v>252</v>
      </c>
      <c r="B256" s="87" t="s">
        <v>858</v>
      </c>
      <c r="C256" s="553">
        <v>4639</v>
      </c>
      <c r="D256" s="563">
        <v>10000</v>
      </c>
      <c r="E256" s="563">
        <v>111</v>
      </c>
      <c r="F256" s="563">
        <v>10000</v>
      </c>
      <c r="G256" s="87">
        <f t="shared" si="3"/>
        <v>0</v>
      </c>
      <c r="H256" s="509"/>
      <c r="I256" s="525"/>
    </row>
    <row r="257" spans="1:9" ht="15.75" x14ac:dyDescent="0.25">
      <c r="A257" s="87">
        <v>253</v>
      </c>
      <c r="B257" s="87" t="s">
        <v>858</v>
      </c>
      <c r="C257" s="553">
        <v>7398</v>
      </c>
      <c r="D257" s="563">
        <v>15000</v>
      </c>
      <c r="E257" s="563">
        <v>167</v>
      </c>
      <c r="F257" s="563">
        <v>15000</v>
      </c>
      <c r="G257" s="87">
        <f t="shared" si="3"/>
        <v>0</v>
      </c>
      <c r="H257" s="509"/>
      <c r="I257" s="525"/>
    </row>
    <row r="258" spans="1:9" ht="15.75" x14ac:dyDescent="0.25">
      <c r="A258" s="87">
        <v>254</v>
      </c>
      <c r="B258" s="87" t="s">
        <v>858</v>
      </c>
      <c r="C258" s="553">
        <v>7650</v>
      </c>
      <c r="D258" s="563">
        <v>30000</v>
      </c>
      <c r="E258" s="563">
        <v>334</v>
      </c>
      <c r="F258" s="563">
        <v>30000</v>
      </c>
      <c r="G258" s="87">
        <f t="shared" si="3"/>
        <v>0</v>
      </c>
      <c r="H258" s="509"/>
      <c r="I258" s="525"/>
    </row>
    <row r="259" spans="1:9" ht="15.75" x14ac:dyDescent="0.25">
      <c r="A259" s="87">
        <v>255</v>
      </c>
      <c r="B259" s="87" t="s">
        <v>858</v>
      </c>
      <c r="C259" s="553">
        <v>5468</v>
      </c>
      <c r="D259" s="563">
        <v>20000</v>
      </c>
      <c r="E259" s="563">
        <v>222</v>
      </c>
      <c r="F259" s="563">
        <v>20000</v>
      </c>
      <c r="G259" s="87">
        <f t="shared" si="3"/>
        <v>0</v>
      </c>
      <c r="H259" s="509"/>
      <c r="I259" s="525"/>
    </row>
    <row r="260" spans="1:9" ht="15.75" x14ac:dyDescent="0.25">
      <c r="A260" s="87">
        <v>256</v>
      </c>
      <c r="B260" s="87" t="s">
        <v>858</v>
      </c>
      <c r="C260" s="554" t="s">
        <v>906</v>
      </c>
      <c r="D260" s="563">
        <v>25000</v>
      </c>
      <c r="E260" s="563">
        <v>252</v>
      </c>
      <c r="F260" s="563">
        <v>25000</v>
      </c>
      <c r="G260" s="87">
        <f t="shared" si="3"/>
        <v>0</v>
      </c>
      <c r="H260" s="509"/>
      <c r="I260" s="525"/>
    </row>
    <row r="261" spans="1:9" ht="15.75" x14ac:dyDescent="0.25">
      <c r="A261" s="87">
        <v>257</v>
      </c>
      <c r="B261" s="87" t="s">
        <v>859</v>
      </c>
      <c r="C261" s="553" t="s">
        <v>66</v>
      </c>
      <c r="D261" s="563">
        <v>210</v>
      </c>
      <c r="E261" s="573" t="s">
        <v>66</v>
      </c>
      <c r="F261" s="563">
        <v>210</v>
      </c>
      <c r="G261" s="87">
        <f t="shared" ref="G261:G324" si="4">D261-F261</f>
        <v>0</v>
      </c>
      <c r="H261" s="509"/>
      <c r="I261" s="525"/>
    </row>
    <row r="262" spans="1:9" ht="15.75" x14ac:dyDescent="0.25">
      <c r="A262" s="87">
        <v>258</v>
      </c>
      <c r="B262" s="87" t="s">
        <v>859</v>
      </c>
      <c r="C262" s="553" t="s">
        <v>819</v>
      </c>
      <c r="D262" s="563">
        <v>3500</v>
      </c>
      <c r="E262" s="573">
        <v>38</v>
      </c>
      <c r="F262" s="563">
        <v>3500</v>
      </c>
      <c r="G262" s="87">
        <f t="shared" si="4"/>
        <v>0</v>
      </c>
      <c r="H262" s="509"/>
      <c r="I262" s="525"/>
    </row>
    <row r="263" spans="1:9" ht="15.75" x14ac:dyDescent="0.25">
      <c r="A263" s="87">
        <v>259</v>
      </c>
      <c r="B263" s="87" t="s">
        <v>859</v>
      </c>
      <c r="C263" s="553">
        <v>5838</v>
      </c>
      <c r="D263" s="563">
        <v>14000</v>
      </c>
      <c r="E263" s="573">
        <v>155</v>
      </c>
      <c r="F263" s="563">
        <v>14000</v>
      </c>
      <c r="G263" s="87">
        <f t="shared" si="4"/>
        <v>0</v>
      </c>
      <c r="H263" s="509"/>
      <c r="I263" s="525"/>
    </row>
    <row r="264" spans="1:9" ht="15.75" x14ac:dyDescent="0.25">
      <c r="A264" s="87">
        <v>260</v>
      </c>
      <c r="B264" s="87" t="s">
        <v>859</v>
      </c>
      <c r="C264" s="553">
        <v>4231</v>
      </c>
      <c r="D264" s="563">
        <v>16000</v>
      </c>
      <c r="E264" s="573">
        <v>178</v>
      </c>
      <c r="F264" s="563">
        <v>16000</v>
      </c>
      <c r="G264" s="87">
        <f t="shared" si="4"/>
        <v>0</v>
      </c>
      <c r="H264" s="509"/>
      <c r="I264" s="525"/>
    </row>
    <row r="265" spans="1:9" ht="15.75" x14ac:dyDescent="0.25">
      <c r="A265" s="87">
        <v>261</v>
      </c>
      <c r="B265" s="87" t="s">
        <v>859</v>
      </c>
      <c r="C265" s="553">
        <v>9212</v>
      </c>
      <c r="D265" s="563">
        <v>17000</v>
      </c>
      <c r="E265" s="573">
        <v>189</v>
      </c>
      <c r="F265" s="563">
        <v>17000</v>
      </c>
      <c r="G265" s="87">
        <f t="shared" si="4"/>
        <v>0</v>
      </c>
      <c r="H265" s="509"/>
      <c r="I265" s="525"/>
    </row>
    <row r="266" spans="1:9" ht="15.75" x14ac:dyDescent="0.25">
      <c r="A266" s="87">
        <v>262</v>
      </c>
      <c r="B266" s="87" t="s">
        <v>859</v>
      </c>
      <c r="C266" s="554" t="s">
        <v>890</v>
      </c>
      <c r="D266" s="563">
        <v>15000</v>
      </c>
      <c r="E266" s="573">
        <v>167</v>
      </c>
      <c r="F266" s="563">
        <v>15000</v>
      </c>
      <c r="G266" s="87">
        <f t="shared" si="4"/>
        <v>0</v>
      </c>
      <c r="H266" s="509"/>
      <c r="I266" s="525"/>
    </row>
    <row r="267" spans="1:9" ht="15.75" x14ac:dyDescent="0.25">
      <c r="A267" s="87">
        <v>263</v>
      </c>
      <c r="B267" s="87" t="s">
        <v>859</v>
      </c>
      <c r="C267" s="553">
        <v>7263</v>
      </c>
      <c r="D267" s="563">
        <v>15000</v>
      </c>
      <c r="E267" s="573">
        <v>167</v>
      </c>
      <c r="F267" s="563">
        <v>15000</v>
      </c>
      <c r="G267" s="87">
        <f t="shared" si="4"/>
        <v>0</v>
      </c>
      <c r="H267" s="509"/>
      <c r="I267" s="525"/>
    </row>
    <row r="268" spans="1:9" ht="15.75" x14ac:dyDescent="0.25">
      <c r="A268" s="87">
        <v>264</v>
      </c>
      <c r="B268" s="87" t="s">
        <v>859</v>
      </c>
      <c r="C268" s="553">
        <v>9457</v>
      </c>
      <c r="D268" s="563">
        <v>25460</v>
      </c>
      <c r="E268" s="573">
        <v>283</v>
      </c>
      <c r="F268" s="563">
        <v>25460</v>
      </c>
      <c r="G268" s="87">
        <f t="shared" si="4"/>
        <v>0</v>
      </c>
      <c r="H268" s="509"/>
      <c r="I268" s="525"/>
    </row>
    <row r="269" spans="1:9" ht="15.75" x14ac:dyDescent="0.25">
      <c r="A269" s="87">
        <v>265</v>
      </c>
      <c r="B269" s="87" t="s">
        <v>859</v>
      </c>
      <c r="C269" s="553">
        <v>3211</v>
      </c>
      <c r="D269" s="563">
        <v>15000</v>
      </c>
      <c r="E269" s="573">
        <v>167</v>
      </c>
      <c r="F269" s="563">
        <v>15000</v>
      </c>
      <c r="G269" s="87">
        <f t="shared" si="4"/>
        <v>0</v>
      </c>
      <c r="H269" s="509"/>
      <c r="I269" s="525"/>
    </row>
    <row r="270" spans="1:9" ht="15.75" x14ac:dyDescent="0.25">
      <c r="A270" s="87">
        <v>266</v>
      </c>
      <c r="B270" s="87" t="s">
        <v>859</v>
      </c>
      <c r="C270" s="553">
        <v>1827</v>
      </c>
      <c r="D270" s="563">
        <v>13000</v>
      </c>
      <c r="E270" s="573">
        <v>144</v>
      </c>
      <c r="F270" s="563">
        <v>13000</v>
      </c>
      <c r="G270" s="87">
        <f t="shared" si="4"/>
        <v>0</v>
      </c>
      <c r="H270" s="509"/>
      <c r="I270" s="525"/>
    </row>
    <row r="271" spans="1:9" ht="15.75" x14ac:dyDescent="0.25">
      <c r="A271" s="87">
        <v>267</v>
      </c>
      <c r="B271" s="87" t="s">
        <v>859</v>
      </c>
      <c r="C271" s="553" t="s">
        <v>30</v>
      </c>
      <c r="D271" s="563">
        <v>5000</v>
      </c>
      <c r="E271" s="573">
        <v>55</v>
      </c>
      <c r="F271" s="563">
        <v>5000</v>
      </c>
      <c r="G271" s="87">
        <f t="shared" si="4"/>
        <v>0</v>
      </c>
      <c r="H271" s="509"/>
      <c r="I271" s="525"/>
    </row>
    <row r="272" spans="1:9" ht="15.75" x14ac:dyDescent="0.25">
      <c r="A272" s="87">
        <v>268</v>
      </c>
      <c r="B272" s="87" t="s">
        <v>859</v>
      </c>
      <c r="C272" s="553">
        <v>2077</v>
      </c>
      <c r="D272" s="563">
        <v>20000</v>
      </c>
      <c r="E272" s="573">
        <v>222</v>
      </c>
      <c r="F272" s="563">
        <v>20000</v>
      </c>
      <c r="G272" s="87">
        <f t="shared" si="4"/>
        <v>0</v>
      </c>
      <c r="H272" s="509"/>
      <c r="I272" s="525"/>
    </row>
    <row r="273" spans="1:9" ht="15.75" x14ac:dyDescent="0.25">
      <c r="A273" s="87">
        <v>269</v>
      </c>
      <c r="B273" s="87" t="s">
        <v>859</v>
      </c>
      <c r="C273" s="553">
        <v>7169</v>
      </c>
      <c r="D273" s="563">
        <v>15000</v>
      </c>
      <c r="E273" s="573">
        <v>167</v>
      </c>
      <c r="F273" s="563">
        <v>15000</v>
      </c>
      <c r="G273" s="87">
        <f t="shared" si="4"/>
        <v>0</v>
      </c>
      <c r="H273" s="509"/>
      <c r="I273" s="525"/>
    </row>
    <row r="274" spans="1:9" ht="15.75" x14ac:dyDescent="0.25">
      <c r="A274" s="87">
        <v>270</v>
      </c>
      <c r="B274" s="87" t="s">
        <v>859</v>
      </c>
      <c r="C274" s="553">
        <v>3234</v>
      </c>
      <c r="D274" s="563">
        <v>30000</v>
      </c>
      <c r="E274" s="573">
        <v>313</v>
      </c>
      <c r="F274" s="563">
        <v>30000</v>
      </c>
      <c r="G274" s="87">
        <f t="shared" si="4"/>
        <v>0</v>
      </c>
      <c r="H274" s="509"/>
      <c r="I274" s="525"/>
    </row>
    <row r="275" spans="1:9" ht="15.75" x14ac:dyDescent="0.25">
      <c r="A275" s="87">
        <v>271</v>
      </c>
      <c r="B275" s="87" t="s">
        <v>859</v>
      </c>
      <c r="C275" s="553">
        <v>7337</v>
      </c>
      <c r="D275" s="563">
        <v>30000</v>
      </c>
      <c r="E275" s="573">
        <v>381</v>
      </c>
      <c r="F275" s="563">
        <v>30000</v>
      </c>
      <c r="G275" s="87">
        <f t="shared" si="4"/>
        <v>0</v>
      </c>
      <c r="H275" s="509"/>
      <c r="I275" s="525"/>
    </row>
    <row r="276" spans="1:9" s="552" customFormat="1" ht="15.75" x14ac:dyDescent="0.25">
      <c r="A276" s="87">
        <v>272</v>
      </c>
      <c r="B276" s="87" t="s">
        <v>859</v>
      </c>
      <c r="C276" s="554" t="s">
        <v>907</v>
      </c>
      <c r="D276" s="563">
        <v>30000</v>
      </c>
      <c r="E276" s="573">
        <v>329</v>
      </c>
      <c r="F276" s="563">
        <v>30000</v>
      </c>
      <c r="G276" s="87">
        <f t="shared" si="4"/>
        <v>0</v>
      </c>
      <c r="H276" s="509"/>
      <c r="I276" s="525"/>
    </row>
    <row r="277" spans="1:9" ht="15.75" x14ac:dyDescent="0.25">
      <c r="A277" s="87">
        <v>273</v>
      </c>
      <c r="B277" s="87" t="s">
        <v>859</v>
      </c>
      <c r="C277" s="553">
        <v>3235</v>
      </c>
      <c r="D277" s="563">
        <v>23000</v>
      </c>
      <c r="E277" s="573">
        <v>251</v>
      </c>
      <c r="F277" s="563">
        <v>23000</v>
      </c>
      <c r="G277" s="87">
        <f t="shared" si="4"/>
        <v>0</v>
      </c>
      <c r="H277" s="509"/>
      <c r="I277" s="525"/>
    </row>
    <row r="278" spans="1:9" ht="15.75" x14ac:dyDescent="0.25">
      <c r="A278" s="87">
        <v>274</v>
      </c>
      <c r="B278" s="87" t="s">
        <v>859</v>
      </c>
      <c r="C278" s="553">
        <v>5477</v>
      </c>
      <c r="D278" s="563">
        <v>22000</v>
      </c>
      <c r="E278" s="573">
        <v>245</v>
      </c>
      <c r="F278" s="563">
        <v>22000</v>
      </c>
      <c r="G278" s="87">
        <f t="shared" si="4"/>
        <v>0</v>
      </c>
      <c r="H278" s="509"/>
      <c r="I278" s="525"/>
    </row>
    <row r="279" spans="1:9" ht="15.75" x14ac:dyDescent="0.25">
      <c r="A279" s="87">
        <v>275</v>
      </c>
      <c r="B279" s="87" t="s">
        <v>859</v>
      </c>
      <c r="C279" s="553">
        <v>7365</v>
      </c>
      <c r="D279" s="563">
        <v>22000</v>
      </c>
      <c r="E279" s="573">
        <v>245</v>
      </c>
      <c r="F279" s="563">
        <v>22000</v>
      </c>
      <c r="G279" s="87">
        <f t="shared" si="4"/>
        <v>0</v>
      </c>
      <c r="H279" s="509"/>
      <c r="I279" s="525"/>
    </row>
    <row r="280" spans="1:9" ht="15.75" x14ac:dyDescent="0.25">
      <c r="A280" s="87">
        <v>276</v>
      </c>
      <c r="B280" s="87" t="s">
        <v>859</v>
      </c>
      <c r="C280" s="553">
        <v>6447</v>
      </c>
      <c r="D280" s="563">
        <v>25000</v>
      </c>
      <c r="E280" s="573">
        <v>278</v>
      </c>
      <c r="F280" s="563">
        <v>25000</v>
      </c>
      <c r="G280" s="87">
        <f t="shared" si="4"/>
        <v>0</v>
      </c>
      <c r="H280" s="509"/>
      <c r="I280" s="525"/>
    </row>
    <row r="281" spans="1:9" ht="15.75" x14ac:dyDescent="0.25">
      <c r="A281" s="87">
        <v>277</v>
      </c>
      <c r="B281" s="87" t="s">
        <v>859</v>
      </c>
      <c r="C281" s="554" t="s">
        <v>908</v>
      </c>
      <c r="D281" s="563">
        <v>29000</v>
      </c>
      <c r="E281" s="573">
        <v>323</v>
      </c>
      <c r="F281" s="563">
        <v>29000</v>
      </c>
      <c r="G281" s="87">
        <f t="shared" si="4"/>
        <v>0</v>
      </c>
      <c r="H281" s="509"/>
      <c r="I281" s="525"/>
    </row>
    <row r="282" spans="1:9" ht="15.75" x14ac:dyDescent="0.25">
      <c r="A282" s="87">
        <v>278</v>
      </c>
      <c r="B282" s="87" t="s">
        <v>859</v>
      </c>
      <c r="C282" s="553">
        <v>8406</v>
      </c>
      <c r="D282" s="563">
        <v>14800</v>
      </c>
      <c r="E282" s="573">
        <v>164</v>
      </c>
      <c r="F282" s="563">
        <v>14800</v>
      </c>
      <c r="G282" s="87">
        <f t="shared" si="4"/>
        <v>0</v>
      </c>
      <c r="H282" s="509"/>
      <c r="I282" s="525"/>
    </row>
    <row r="283" spans="1:9" ht="15.75" x14ac:dyDescent="0.25">
      <c r="A283" s="87">
        <v>279</v>
      </c>
      <c r="B283" s="87" t="s">
        <v>859</v>
      </c>
      <c r="C283" s="554" t="s">
        <v>909</v>
      </c>
      <c r="D283" s="563">
        <v>24000</v>
      </c>
      <c r="E283" s="573">
        <v>252</v>
      </c>
      <c r="F283" s="563">
        <v>24000</v>
      </c>
      <c r="G283" s="87">
        <f t="shared" si="4"/>
        <v>0</v>
      </c>
      <c r="H283" s="509"/>
      <c r="I283" s="525"/>
    </row>
    <row r="284" spans="1:9" ht="15.75" x14ac:dyDescent="0.25">
      <c r="A284" s="87">
        <v>280</v>
      </c>
      <c r="B284" s="87" t="s">
        <v>859</v>
      </c>
      <c r="C284" s="553">
        <v>9293</v>
      </c>
      <c r="D284" s="563">
        <v>25000</v>
      </c>
      <c r="E284" s="573">
        <v>254</v>
      </c>
      <c r="F284" s="563">
        <v>25000</v>
      </c>
      <c r="G284" s="87">
        <f t="shared" si="4"/>
        <v>0</v>
      </c>
      <c r="H284" s="509"/>
      <c r="I284" s="525"/>
    </row>
    <row r="285" spans="1:9" ht="15.75" x14ac:dyDescent="0.25">
      <c r="A285" s="87">
        <v>281</v>
      </c>
      <c r="B285" s="87" t="s">
        <v>860</v>
      </c>
      <c r="C285" s="553">
        <v>8326</v>
      </c>
      <c r="D285" s="563">
        <v>15000</v>
      </c>
      <c r="E285" s="573">
        <v>167</v>
      </c>
      <c r="F285" s="563">
        <v>15000</v>
      </c>
      <c r="G285" s="87">
        <f t="shared" si="4"/>
        <v>0</v>
      </c>
      <c r="H285" s="509"/>
      <c r="I285" s="525"/>
    </row>
    <row r="286" spans="1:9" ht="15.75" x14ac:dyDescent="0.25">
      <c r="A286" s="87">
        <v>282</v>
      </c>
      <c r="B286" s="87" t="s">
        <v>860</v>
      </c>
      <c r="C286" s="553" t="s">
        <v>30</v>
      </c>
      <c r="D286" s="563">
        <v>3500</v>
      </c>
      <c r="E286" s="563">
        <v>38</v>
      </c>
      <c r="F286" s="563">
        <v>3500</v>
      </c>
      <c r="G286" s="87">
        <f t="shared" si="4"/>
        <v>0</v>
      </c>
      <c r="H286" s="509"/>
      <c r="I286" s="525"/>
    </row>
    <row r="287" spans="1:9" ht="15.75" x14ac:dyDescent="0.25">
      <c r="A287" s="87">
        <v>283</v>
      </c>
      <c r="B287" s="87" t="s">
        <v>860</v>
      </c>
      <c r="C287" s="553" t="s">
        <v>30</v>
      </c>
      <c r="D287" s="563">
        <v>4500</v>
      </c>
      <c r="E287" s="563">
        <v>50</v>
      </c>
      <c r="F287" s="563">
        <v>4500</v>
      </c>
      <c r="G287" s="87">
        <f t="shared" si="4"/>
        <v>0</v>
      </c>
      <c r="H287" s="509"/>
      <c r="I287" s="525"/>
    </row>
    <row r="288" spans="1:9" ht="15.75" x14ac:dyDescent="0.25">
      <c r="A288" s="87">
        <v>284</v>
      </c>
      <c r="B288" s="87" t="s">
        <v>860</v>
      </c>
      <c r="C288" s="553">
        <v>7465</v>
      </c>
      <c r="D288" s="563">
        <v>20000</v>
      </c>
      <c r="E288" s="563">
        <v>222</v>
      </c>
      <c r="F288" s="563">
        <v>20000</v>
      </c>
      <c r="G288" s="87">
        <f t="shared" si="4"/>
        <v>0</v>
      </c>
      <c r="H288" s="509"/>
      <c r="I288" s="525"/>
    </row>
    <row r="289" spans="1:9" ht="15.75" x14ac:dyDescent="0.25">
      <c r="A289" s="87">
        <v>285</v>
      </c>
      <c r="B289" s="87" t="s">
        <v>860</v>
      </c>
      <c r="C289" s="553">
        <v>2246</v>
      </c>
      <c r="D289" s="563">
        <v>13000</v>
      </c>
      <c r="E289" s="563">
        <v>144</v>
      </c>
      <c r="F289" s="563">
        <v>13000</v>
      </c>
      <c r="G289" s="87">
        <f t="shared" si="4"/>
        <v>0</v>
      </c>
      <c r="H289" s="509"/>
      <c r="I289" s="525"/>
    </row>
    <row r="290" spans="1:9" ht="15.75" x14ac:dyDescent="0.25">
      <c r="A290" s="87">
        <v>286</v>
      </c>
      <c r="B290" s="87" t="s">
        <v>860</v>
      </c>
      <c r="C290" s="553">
        <v>7217</v>
      </c>
      <c r="D290" s="563">
        <v>30000</v>
      </c>
      <c r="E290" s="563">
        <v>309</v>
      </c>
      <c r="F290" s="563">
        <v>30000</v>
      </c>
      <c r="G290" s="87">
        <f t="shared" si="4"/>
        <v>0</v>
      </c>
      <c r="H290" s="509"/>
      <c r="I290" s="525"/>
    </row>
    <row r="291" spans="1:9" ht="15.75" x14ac:dyDescent="0.25">
      <c r="A291" s="87">
        <v>287</v>
      </c>
      <c r="B291" s="87" t="s">
        <v>860</v>
      </c>
      <c r="C291" s="553">
        <v>9108</v>
      </c>
      <c r="D291" s="563">
        <v>27000</v>
      </c>
      <c r="E291" s="563">
        <v>300</v>
      </c>
      <c r="F291" s="563">
        <v>27000</v>
      </c>
      <c r="G291" s="87">
        <f t="shared" si="4"/>
        <v>0</v>
      </c>
      <c r="H291" s="509"/>
      <c r="I291" s="525"/>
    </row>
    <row r="292" spans="1:9" ht="15.75" x14ac:dyDescent="0.25">
      <c r="A292" s="87">
        <v>288</v>
      </c>
      <c r="B292" s="87" t="s">
        <v>860</v>
      </c>
      <c r="C292" s="553">
        <v>5485</v>
      </c>
      <c r="D292" s="563">
        <v>25000</v>
      </c>
      <c r="E292" s="563">
        <v>278</v>
      </c>
      <c r="F292" s="563">
        <v>25000</v>
      </c>
      <c r="G292" s="87">
        <f t="shared" si="4"/>
        <v>0</v>
      </c>
      <c r="H292" s="509"/>
      <c r="I292" s="525"/>
    </row>
    <row r="293" spans="1:9" ht="15.75" x14ac:dyDescent="0.25">
      <c r="A293" s="87">
        <v>289</v>
      </c>
      <c r="B293" s="87" t="s">
        <v>860</v>
      </c>
      <c r="C293" s="553">
        <v>8382</v>
      </c>
      <c r="D293" s="563">
        <v>24000</v>
      </c>
      <c r="E293" s="563">
        <v>264</v>
      </c>
      <c r="F293" s="563">
        <v>24000</v>
      </c>
      <c r="G293" s="87">
        <f t="shared" si="4"/>
        <v>0</v>
      </c>
      <c r="H293" s="509"/>
      <c r="I293" s="525"/>
    </row>
    <row r="294" spans="1:9" ht="15.75" x14ac:dyDescent="0.25">
      <c r="A294" s="87">
        <v>290</v>
      </c>
      <c r="B294" s="87" t="s">
        <v>860</v>
      </c>
      <c r="C294" s="553">
        <v>9458</v>
      </c>
      <c r="D294" s="563">
        <v>26000</v>
      </c>
      <c r="E294" s="563">
        <v>281</v>
      </c>
      <c r="F294" s="563">
        <v>26000</v>
      </c>
      <c r="G294" s="87">
        <f t="shared" si="4"/>
        <v>0</v>
      </c>
      <c r="H294" s="509"/>
      <c r="I294" s="525"/>
    </row>
    <row r="295" spans="1:9" ht="15.75" x14ac:dyDescent="0.25">
      <c r="A295" s="87">
        <v>291</v>
      </c>
      <c r="B295" s="87" t="s">
        <v>860</v>
      </c>
      <c r="C295" s="553">
        <v>9843</v>
      </c>
      <c r="D295" s="563">
        <v>28000</v>
      </c>
      <c r="E295" s="563">
        <v>305</v>
      </c>
      <c r="F295" s="563">
        <v>28000</v>
      </c>
      <c r="G295" s="87">
        <f t="shared" si="4"/>
        <v>0</v>
      </c>
      <c r="H295" s="509"/>
      <c r="I295" s="525"/>
    </row>
    <row r="296" spans="1:9" ht="15.75" x14ac:dyDescent="0.25">
      <c r="A296" s="87">
        <v>292</v>
      </c>
      <c r="B296" s="87" t="s">
        <v>860</v>
      </c>
      <c r="C296" s="553">
        <v>9901</v>
      </c>
      <c r="D296" s="563">
        <v>18000</v>
      </c>
      <c r="E296" s="563">
        <v>200</v>
      </c>
      <c r="F296" s="563">
        <v>18000</v>
      </c>
      <c r="G296" s="87">
        <f t="shared" si="4"/>
        <v>0</v>
      </c>
      <c r="H296" s="509"/>
      <c r="I296" s="525"/>
    </row>
    <row r="297" spans="1:9" ht="15.75" x14ac:dyDescent="0.25">
      <c r="A297" s="87">
        <v>293</v>
      </c>
      <c r="B297" s="87" t="s">
        <v>860</v>
      </c>
      <c r="C297" s="553">
        <v>9051</v>
      </c>
      <c r="D297" s="563">
        <v>25000</v>
      </c>
      <c r="E297" s="563">
        <v>278</v>
      </c>
      <c r="F297" s="563">
        <v>25000</v>
      </c>
      <c r="G297" s="87">
        <f t="shared" si="4"/>
        <v>0</v>
      </c>
      <c r="H297" s="509"/>
      <c r="I297" s="525"/>
    </row>
    <row r="298" spans="1:9" ht="15.75" x14ac:dyDescent="0.25">
      <c r="A298" s="87">
        <v>294</v>
      </c>
      <c r="B298" s="87" t="s">
        <v>860</v>
      </c>
      <c r="C298" s="553">
        <v>1677</v>
      </c>
      <c r="D298" s="563">
        <v>30000</v>
      </c>
      <c r="E298" s="563">
        <v>334</v>
      </c>
      <c r="F298" s="563">
        <v>30000</v>
      </c>
      <c r="G298" s="87">
        <f t="shared" si="4"/>
        <v>0</v>
      </c>
      <c r="H298" s="509"/>
      <c r="I298" s="525"/>
    </row>
    <row r="299" spans="1:9" ht="15.75" x14ac:dyDescent="0.25">
      <c r="A299" s="87">
        <v>295</v>
      </c>
      <c r="B299" s="87" t="s">
        <v>860</v>
      </c>
      <c r="C299" s="553">
        <v>2011</v>
      </c>
      <c r="D299" s="563">
        <v>26000</v>
      </c>
      <c r="E299" s="563">
        <v>256</v>
      </c>
      <c r="F299" s="563">
        <v>26000</v>
      </c>
      <c r="G299" s="87">
        <f t="shared" si="4"/>
        <v>0</v>
      </c>
      <c r="H299" s="509"/>
      <c r="I299" s="525"/>
    </row>
    <row r="300" spans="1:9" ht="15.75" x14ac:dyDescent="0.25">
      <c r="A300" s="87">
        <v>296</v>
      </c>
      <c r="B300" s="87" t="s">
        <v>860</v>
      </c>
      <c r="C300" s="554" t="s">
        <v>910</v>
      </c>
      <c r="D300" s="563">
        <v>28000</v>
      </c>
      <c r="E300" s="563">
        <v>282</v>
      </c>
      <c r="F300" s="563">
        <v>28000</v>
      </c>
      <c r="G300" s="87">
        <f t="shared" si="4"/>
        <v>0</v>
      </c>
      <c r="H300" s="509"/>
      <c r="I300" s="525"/>
    </row>
    <row r="301" spans="1:9" ht="15.75" x14ac:dyDescent="0.25">
      <c r="A301" s="87">
        <v>297</v>
      </c>
      <c r="B301" s="87" t="s">
        <v>860</v>
      </c>
      <c r="C301" s="553">
        <v>6459</v>
      </c>
      <c r="D301" s="563">
        <v>34000</v>
      </c>
      <c r="E301" s="563">
        <v>365</v>
      </c>
      <c r="F301" s="563">
        <v>34000</v>
      </c>
      <c r="G301" s="87">
        <f t="shared" si="4"/>
        <v>0</v>
      </c>
      <c r="H301" s="509"/>
      <c r="I301" s="525"/>
    </row>
    <row r="302" spans="1:9" ht="15.75" x14ac:dyDescent="0.25">
      <c r="A302" s="87">
        <v>298</v>
      </c>
      <c r="B302" s="87" t="s">
        <v>860</v>
      </c>
      <c r="C302" s="553">
        <v>6643</v>
      </c>
      <c r="D302" s="563">
        <v>25000</v>
      </c>
      <c r="E302" s="563">
        <v>278</v>
      </c>
      <c r="F302" s="563">
        <v>25000</v>
      </c>
      <c r="G302" s="87">
        <f t="shared" si="4"/>
        <v>0</v>
      </c>
      <c r="H302" s="509"/>
      <c r="I302" s="525"/>
    </row>
    <row r="303" spans="1:9" ht="15.75" x14ac:dyDescent="0.25">
      <c r="A303" s="87">
        <v>299</v>
      </c>
      <c r="B303" s="87" t="s">
        <v>860</v>
      </c>
      <c r="C303" s="553">
        <v>9029</v>
      </c>
      <c r="D303" s="563">
        <v>19000</v>
      </c>
      <c r="E303" s="563">
        <v>211</v>
      </c>
      <c r="F303" s="563">
        <v>19000</v>
      </c>
      <c r="G303" s="87">
        <f t="shared" si="4"/>
        <v>0</v>
      </c>
      <c r="H303" s="509"/>
      <c r="I303" s="525"/>
    </row>
    <row r="304" spans="1:9" ht="15.75" x14ac:dyDescent="0.25">
      <c r="A304" s="87">
        <v>300</v>
      </c>
      <c r="B304" s="87" t="s">
        <v>860</v>
      </c>
      <c r="C304" s="553">
        <v>3278</v>
      </c>
      <c r="D304" s="563">
        <v>20000</v>
      </c>
      <c r="E304" s="563">
        <v>222</v>
      </c>
      <c r="F304" s="563">
        <v>20000</v>
      </c>
      <c r="G304" s="87">
        <f t="shared" si="4"/>
        <v>0</v>
      </c>
      <c r="H304" s="509"/>
      <c r="I304" s="525"/>
    </row>
    <row r="305" spans="1:9" ht="15.75" x14ac:dyDescent="0.25">
      <c r="A305" s="87">
        <v>301</v>
      </c>
      <c r="B305" s="87" t="s">
        <v>860</v>
      </c>
      <c r="C305" s="553">
        <v>1666</v>
      </c>
      <c r="D305" s="563">
        <v>30000</v>
      </c>
      <c r="E305" s="563">
        <v>333</v>
      </c>
      <c r="F305" s="563">
        <v>30000</v>
      </c>
      <c r="G305" s="87">
        <f t="shared" si="4"/>
        <v>0</v>
      </c>
      <c r="H305" s="509"/>
      <c r="I305" s="525"/>
    </row>
    <row r="306" spans="1:9" ht="15.75" x14ac:dyDescent="0.25">
      <c r="A306" s="87">
        <v>302</v>
      </c>
      <c r="B306" s="87" t="s">
        <v>860</v>
      </c>
      <c r="C306" s="553">
        <v>5043</v>
      </c>
      <c r="D306" s="563">
        <v>20000</v>
      </c>
      <c r="E306" s="563">
        <v>199</v>
      </c>
      <c r="F306" s="563">
        <v>20000</v>
      </c>
      <c r="G306" s="87">
        <f t="shared" si="4"/>
        <v>0</v>
      </c>
      <c r="H306" s="509"/>
      <c r="I306" s="525"/>
    </row>
    <row r="307" spans="1:9" ht="15.75" x14ac:dyDescent="0.25">
      <c r="A307" s="87">
        <v>303</v>
      </c>
      <c r="B307" s="87" t="s">
        <v>860</v>
      </c>
      <c r="C307" s="553" t="s">
        <v>30</v>
      </c>
      <c r="D307" s="563">
        <v>5000</v>
      </c>
      <c r="E307" s="563">
        <v>55</v>
      </c>
      <c r="F307" s="563">
        <v>5000</v>
      </c>
      <c r="G307" s="87">
        <f t="shared" si="4"/>
        <v>0</v>
      </c>
      <c r="H307" s="509"/>
      <c r="I307" s="525"/>
    </row>
    <row r="308" spans="1:9" ht="15.75" x14ac:dyDescent="0.25">
      <c r="A308" s="87">
        <v>304</v>
      </c>
      <c r="B308" s="87" t="s">
        <v>860</v>
      </c>
      <c r="C308" s="553">
        <v>4353</v>
      </c>
      <c r="D308" s="563">
        <v>24000</v>
      </c>
      <c r="E308" s="563">
        <v>239</v>
      </c>
      <c r="F308" s="563">
        <v>24000</v>
      </c>
      <c r="G308" s="87">
        <f t="shared" si="4"/>
        <v>0</v>
      </c>
      <c r="H308" s="509"/>
      <c r="I308" s="525"/>
    </row>
    <row r="309" spans="1:9" ht="15.75" x14ac:dyDescent="0.25">
      <c r="A309" s="87">
        <v>305</v>
      </c>
      <c r="B309" s="87" t="s">
        <v>860</v>
      </c>
      <c r="C309" s="553">
        <v>9529</v>
      </c>
      <c r="D309" s="563">
        <v>30000</v>
      </c>
      <c r="E309" s="563">
        <v>334</v>
      </c>
      <c r="F309" s="563">
        <v>30000</v>
      </c>
      <c r="G309" s="87">
        <f t="shared" si="4"/>
        <v>0</v>
      </c>
      <c r="H309" s="509"/>
      <c r="I309" s="525"/>
    </row>
    <row r="310" spans="1:9" ht="15.75" x14ac:dyDescent="0.25">
      <c r="A310" s="87">
        <v>306</v>
      </c>
      <c r="B310" s="87" t="s">
        <v>903</v>
      </c>
      <c r="C310" s="555">
        <v>8188</v>
      </c>
      <c r="D310" s="563">
        <v>27000</v>
      </c>
      <c r="E310" s="563">
        <v>300</v>
      </c>
      <c r="F310" s="563">
        <v>27000</v>
      </c>
      <c r="G310" s="87">
        <f t="shared" si="4"/>
        <v>0</v>
      </c>
      <c r="H310" s="509"/>
      <c r="I310" s="525"/>
    </row>
    <row r="311" spans="1:9" ht="15.75" x14ac:dyDescent="0.25">
      <c r="A311" s="87">
        <v>307</v>
      </c>
      <c r="B311" s="87" t="s">
        <v>903</v>
      </c>
      <c r="C311" s="555">
        <v>5158</v>
      </c>
      <c r="D311" s="563">
        <v>23000</v>
      </c>
      <c r="E311" s="563">
        <v>256</v>
      </c>
      <c r="F311" s="563">
        <v>23000</v>
      </c>
      <c r="G311" s="87">
        <f t="shared" si="4"/>
        <v>0</v>
      </c>
      <c r="H311" s="12"/>
      <c r="I311" s="525"/>
    </row>
    <row r="312" spans="1:9" ht="15.75" x14ac:dyDescent="0.25">
      <c r="A312" s="87">
        <v>308</v>
      </c>
      <c r="B312" s="87" t="s">
        <v>903</v>
      </c>
      <c r="C312" s="553">
        <v>9727</v>
      </c>
      <c r="D312" s="563">
        <v>25000</v>
      </c>
      <c r="E312" s="573">
        <v>278</v>
      </c>
      <c r="F312" s="563">
        <v>25000</v>
      </c>
      <c r="G312" s="87">
        <f t="shared" si="4"/>
        <v>0</v>
      </c>
      <c r="H312" s="562"/>
      <c r="I312" s="525"/>
    </row>
    <row r="313" spans="1:9" ht="15.75" x14ac:dyDescent="0.25">
      <c r="A313" s="87">
        <v>309</v>
      </c>
      <c r="B313" s="87" t="s">
        <v>903</v>
      </c>
      <c r="C313" s="553">
        <v>7283</v>
      </c>
      <c r="D313" s="563">
        <v>25000</v>
      </c>
      <c r="E313" s="573">
        <v>273</v>
      </c>
      <c r="F313" s="563">
        <v>25000</v>
      </c>
      <c r="G313" s="87">
        <f t="shared" si="4"/>
        <v>0</v>
      </c>
      <c r="H313" s="509"/>
      <c r="I313" s="525"/>
    </row>
    <row r="314" spans="1:9" ht="15.75" x14ac:dyDescent="0.25">
      <c r="A314" s="87">
        <v>310</v>
      </c>
      <c r="B314" s="87" t="s">
        <v>903</v>
      </c>
      <c r="C314" s="553">
        <v>4792</v>
      </c>
      <c r="D314" s="563">
        <v>15000</v>
      </c>
      <c r="E314" s="573">
        <v>160</v>
      </c>
      <c r="F314" s="563">
        <v>15000</v>
      </c>
      <c r="G314" s="87">
        <f t="shared" si="4"/>
        <v>0</v>
      </c>
      <c r="H314" s="509"/>
      <c r="I314" s="525"/>
    </row>
    <row r="315" spans="1:9" ht="15.75" x14ac:dyDescent="0.25">
      <c r="A315" s="87">
        <v>311</v>
      </c>
      <c r="B315" s="87" t="s">
        <v>903</v>
      </c>
      <c r="C315" s="553">
        <v>8097</v>
      </c>
      <c r="D315" s="563">
        <v>25000</v>
      </c>
      <c r="E315" s="573">
        <v>271</v>
      </c>
      <c r="F315" s="563">
        <v>25000</v>
      </c>
      <c r="G315" s="87">
        <f t="shared" si="4"/>
        <v>0</v>
      </c>
      <c r="H315" s="509"/>
      <c r="I315" s="525"/>
    </row>
    <row r="316" spans="1:9" ht="15.75" x14ac:dyDescent="0.25">
      <c r="A316" s="87">
        <v>312</v>
      </c>
      <c r="B316" s="87" t="s">
        <v>903</v>
      </c>
      <c r="C316" s="553">
        <v>8688</v>
      </c>
      <c r="D316" s="563">
        <v>35000</v>
      </c>
      <c r="E316" s="573">
        <v>368</v>
      </c>
      <c r="F316" s="563">
        <v>35000</v>
      </c>
      <c r="G316" s="87">
        <f t="shared" si="4"/>
        <v>0</v>
      </c>
      <c r="H316" s="509"/>
      <c r="I316" s="525"/>
    </row>
    <row r="317" spans="1:9" ht="15.75" x14ac:dyDescent="0.25">
      <c r="A317" s="87">
        <v>313</v>
      </c>
      <c r="B317" s="87" t="s">
        <v>903</v>
      </c>
      <c r="C317" s="554" t="s">
        <v>912</v>
      </c>
      <c r="D317" s="563">
        <v>28000</v>
      </c>
      <c r="E317" s="573">
        <v>309</v>
      </c>
      <c r="F317" s="563">
        <v>28000</v>
      </c>
      <c r="G317" s="87">
        <f t="shared" si="4"/>
        <v>0</v>
      </c>
      <c r="H317" s="509"/>
      <c r="I317" s="525"/>
    </row>
    <row r="318" spans="1:9" ht="15.75" x14ac:dyDescent="0.25">
      <c r="A318" s="87">
        <v>314</v>
      </c>
      <c r="B318" s="87" t="s">
        <v>903</v>
      </c>
      <c r="C318" s="553">
        <v>5167</v>
      </c>
      <c r="D318" s="563">
        <v>19000</v>
      </c>
      <c r="E318" s="573">
        <v>192</v>
      </c>
      <c r="F318" s="563">
        <v>19000</v>
      </c>
      <c r="G318" s="87">
        <f t="shared" si="4"/>
        <v>0</v>
      </c>
      <c r="H318" s="509"/>
      <c r="I318" s="525"/>
    </row>
    <row r="319" spans="1:9" ht="15.75" x14ac:dyDescent="0.25">
      <c r="A319" s="87">
        <v>315</v>
      </c>
      <c r="B319" s="87" t="s">
        <v>903</v>
      </c>
      <c r="C319" s="553">
        <v>1677</v>
      </c>
      <c r="D319" s="563">
        <v>19000</v>
      </c>
      <c r="E319" s="573">
        <v>211</v>
      </c>
      <c r="F319" s="563">
        <v>19000</v>
      </c>
      <c r="G319" s="87">
        <f t="shared" si="4"/>
        <v>0</v>
      </c>
      <c r="H319" s="509"/>
      <c r="I319" s="525"/>
    </row>
    <row r="320" spans="1:9" ht="15.75" x14ac:dyDescent="0.25">
      <c r="A320" s="87">
        <v>316</v>
      </c>
      <c r="B320" s="87" t="s">
        <v>903</v>
      </c>
      <c r="C320" s="553">
        <v>8963</v>
      </c>
      <c r="D320" s="563">
        <v>27000</v>
      </c>
      <c r="E320" s="573">
        <v>300</v>
      </c>
      <c r="F320" s="563">
        <v>27000</v>
      </c>
      <c r="G320" s="87">
        <f t="shared" si="4"/>
        <v>0</v>
      </c>
      <c r="H320" s="509"/>
      <c r="I320" s="525"/>
    </row>
    <row r="321" spans="1:9" ht="15.75" x14ac:dyDescent="0.25">
      <c r="A321" s="87">
        <v>317</v>
      </c>
      <c r="B321" s="87" t="s">
        <v>903</v>
      </c>
      <c r="C321" s="553">
        <v>8007</v>
      </c>
      <c r="D321" s="563">
        <v>25000</v>
      </c>
      <c r="E321" s="573">
        <v>235</v>
      </c>
      <c r="F321" s="563">
        <v>25000</v>
      </c>
      <c r="G321" s="87">
        <f t="shared" si="4"/>
        <v>0</v>
      </c>
      <c r="H321" s="509"/>
      <c r="I321" s="525"/>
    </row>
    <row r="322" spans="1:9" ht="15.75" x14ac:dyDescent="0.25">
      <c r="A322" s="87">
        <v>318</v>
      </c>
      <c r="B322" s="87" t="s">
        <v>903</v>
      </c>
      <c r="C322" s="553">
        <v>8579</v>
      </c>
      <c r="D322" s="563">
        <v>30000</v>
      </c>
      <c r="E322" s="573">
        <v>334</v>
      </c>
      <c r="F322" s="563">
        <v>30000</v>
      </c>
      <c r="G322" s="87">
        <f t="shared" si="4"/>
        <v>0</v>
      </c>
      <c r="H322" s="509"/>
      <c r="I322" s="525"/>
    </row>
    <row r="323" spans="1:9" ht="15.75" x14ac:dyDescent="0.25">
      <c r="A323" s="87">
        <v>319</v>
      </c>
      <c r="B323" s="87" t="s">
        <v>903</v>
      </c>
      <c r="C323" s="553">
        <v>8274</v>
      </c>
      <c r="D323" s="563">
        <v>25000</v>
      </c>
      <c r="E323" s="573">
        <v>265</v>
      </c>
      <c r="F323" s="563">
        <v>25000</v>
      </c>
      <c r="G323" s="87">
        <f t="shared" si="4"/>
        <v>0</v>
      </c>
      <c r="H323" s="509"/>
      <c r="I323" s="525"/>
    </row>
    <row r="324" spans="1:9" ht="15.75" x14ac:dyDescent="0.25">
      <c r="A324" s="87">
        <v>320</v>
      </c>
      <c r="B324" s="87" t="s">
        <v>903</v>
      </c>
      <c r="C324" s="553">
        <v>2177</v>
      </c>
      <c r="D324" s="563">
        <v>25000</v>
      </c>
      <c r="E324" s="573">
        <v>278</v>
      </c>
      <c r="F324" s="563">
        <v>25000</v>
      </c>
      <c r="G324" s="87">
        <f t="shared" si="4"/>
        <v>0</v>
      </c>
      <c r="H324" s="509"/>
      <c r="I324" s="525"/>
    </row>
    <row r="325" spans="1:9" ht="15.75" x14ac:dyDescent="0.25">
      <c r="A325" s="87">
        <v>321</v>
      </c>
      <c r="B325" s="87" t="s">
        <v>903</v>
      </c>
      <c r="C325" s="553">
        <v>9289</v>
      </c>
      <c r="D325" s="563">
        <v>29000</v>
      </c>
      <c r="E325" s="573">
        <v>323</v>
      </c>
      <c r="F325" s="563">
        <v>29000</v>
      </c>
      <c r="G325" s="87">
        <f t="shared" ref="G325:G388" si="5">D325-F325</f>
        <v>0</v>
      </c>
      <c r="H325" s="509"/>
      <c r="I325" s="525"/>
    </row>
    <row r="326" spans="1:9" ht="15.75" x14ac:dyDescent="0.25">
      <c r="A326" s="87">
        <v>322</v>
      </c>
      <c r="B326" s="87" t="s">
        <v>903</v>
      </c>
      <c r="C326" s="554" t="s">
        <v>913</v>
      </c>
      <c r="D326" s="563">
        <v>24000</v>
      </c>
      <c r="E326" s="573">
        <v>267</v>
      </c>
      <c r="F326" s="563">
        <v>24000</v>
      </c>
      <c r="G326" s="87">
        <f t="shared" si="5"/>
        <v>0</v>
      </c>
      <c r="H326" s="509"/>
      <c r="I326" s="525"/>
    </row>
    <row r="327" spans="1:9" ht="15.75" x14ac:dyDescent="0.25">
      <c r="A327" s="87">
        <v>323</v>
      </c>
      <c r="B327" s="87" t="s">
        <v>903</v>
      </c>
      <c r="C327" s="553">
        <v>1292</v>
      </c>
      <c r="D327" s="563">
        <v>24000</v>
      </c>
      <c r="E327" s="573">
        <v>267</v>
      </c>
      <c r="F327" s="563">
        <v>24000</v>
      </c>
      <c r="G327" s="87">
        <f t="shared" si="5"/>
        <v>0</v>
      </c>
      <c r="H327" s="509"/>
      <c r="I327" s="525"/>
    </row>
    <row r="328" spans="1:9" ht="15.75" x14ac:dyDescent="0.25">
      <c r="A328" s="87">
        <v>324</v>
      </c>
      <c r="B328" s="87" t="s">
        <v>903</v>
      </c>
      <c r="C328" s="554" t="s">
        <v>914</v>
      </c>
      <c r="D328" s="563">
        <v>20000</v>
      </c>
      <c r="E328" s="573">
        <v>222</v>
      </c>
      <c r="F328" s="563">
        <v>20000</v>
      </c>
      <c r="G328" s="87">
        <f t="shared" si="5"/>
        <v>0</v>
      </c>
      <c r="H328" s="509"/>
      <c r="I328" s="525"/>
    </row>
    <row r="329" spans="1:9" ht="15.75" x14ac:dyDescent="0.25">
      <c r="A329" s="87">
        <v>325</v>
      </c>
      <c r="B329" s="87" t="s">
        <v>903</v>
      </c>
      <c r="C329" s="553">
        <v>9952</v>
      </c>
      <c r="D329" s="563">
        <v>20000</v>
      </c>
      <c r="E329" s="573">
        <v>288</v>
      </c>
      <c r="F329" s="563">
        <v>20000</v>
      </c>
      <c r="G329" s="87">
        <f t="shared" si="5"/>
        <v>0</v>
      </c>
      <c r="H329" s="509"/>
      <c r="I329" s="525"/>
    </row>
    <row r="330" spans="1:9" ht="15.75" x14ac:dyDescent="0.25">
      <c r="A330" s="87">
        <v>326</v>
      </c>
      <c r="B330" s="87" t="s">
        <v>903</v>
      </c>
      <c r="C330" s="553">
        <v>7121</v>
      </c>
      <c r="D330" s="563">
        <v>27000</v>
      </c>
      <c r="E330" s="573">
        <v>300</v>
      </c>
      <c r="F330" s="563">
        <v>27000</v>
      </c>
      <c r="G330" s="87">
        <f t="shared" si="5"/>
        <v>0</v>
      </c>
      <c r="H330" s="509"/>
      <c r="I330" s="525"/>
    </row>
    <row r="331" spans="1:9" ht="15.75" x14ac:dyDescent="0.25">
      <c r="A331" s="87">
        <v>327</v>
      </c>
      <c r="B331" s="87" t="s">
        <v>903</v>
      </c>
      <c r="C331" s="553" t="s">
        <v>66</v>
      </c>
      <c r="D331" s="563">
        <v>100</v>
      </c>
      <c r="E331" s="573" t="s">
        <v>66</v>
      </c>
      <c r="F331" s="563">
        <v>100</v>
      </c>
      <c r="G331" s="87">
        <f t="shared" si="5"/>
        <v>0</v>
      </c>
      <c r="H331" s="509"/>
      <c r="I331" s="525"/>
    </row>
    <row r="332" spans="1:9" ht="15.75" x14ac:dyDescent="0.25">
      <c r="A332" s="87">
        <v>328</v>
      </c>
      <c r="B332" s="87" t="s">
        <v>903</v>
      </c>
      <c r="C332" s="553">
        <v>4608</v>
      </c>
      <c r="D332" s="563">
        <v>23000</v>
      </c>
      <c r="E332" s="573">
        <v>248</v>
      </c>
      <c r="F332" s="563">
        <v>23000</v>
      </c>
      <c r="G332" s="87">
        <f t="shared" si="5"/>
        <v>0</v>
      </c>
      <c r="H332" s="509"/>
      <c r="I332" s="525"/>
    </row>
    <row r="333" spans="1:9" s="577" customFormat="1" ht="15.75" x14ac:dyDescent="0.25">
      <c r="A333" s="87">
        <v>329</v>
      </c>
      <c r="B333" s="87" t="s">
        <v>903</v>
      </c>
      <c r="C333" s="553">
        <v>9882</v>
      </c>
      <c r="D333" s="563">
        <v>17000</v>
      </c>
      <c r="E333" s="573">
        <v>189</v>
      </c>
      <c r="F333" s="563">
        <v>17000</v>
      </c>
      <c r="G333" s="87">
        <f t="shared" si="5"/>
        <v>0</v>
      </c>
      <c r="H333" s="509"/>
      <c r="I333" s="525"/>
    </row>
    <row r="334" spans="1:9" s="577" customFormat="1" ht="15.75" x14ac:dyDescent="0.25">
      <c r="A334" s="87">
        <v>330</v>
      </c>
      <c r="B334" s="87" t="s">
        <v>903</v>
      </c>
      <c r="C334" s="553">
        <v>8463</v>
      </c>
      <c r="D334" s="563">
        <v>20000</v>
      </c>
      <c r="E334" s="573">
        <v>222</v>
      </c>
      <c r="F334" s="563">
        <v>20000</v>
      </c>
      <c r="G334" s="87">
        <f t="shared" si="5"/>
        <v>0</v>
      </c>
      <c r="H334" s="509"/>
      <c r="I334" s="525"/>
    </row>
    <row r="335" spans="1:9" s="577" customFormat="1" ht="15.75" x14ac:dyDescent="0.25">
      <c r="A335" s="87">
        <v>331</v>
      </c>
      <c r="B335" s="87" t="s">
        <v>903</v>
      </c>
      <c r="C335" s="553">
        <v>3659</v>
      </c>
      <c r="D335" s="563">
        <v>28000</v>
      </c>
      <c r="E335" s="573">
        <v>311</v>
      </c>
      <c r="F335" s="563">
        <v>28000</v>
      </c>
      <c r="G335" s="87">
        <f t="shared" si="5"/>
        <v>0</v>
      </c>
      <c r="H335" s="509"/>
      <c r="I335" s="525"/>
    </row>
    <row r="336" spans="1:9" s="577" customFormat="1" ht="15.75" x14ac:dyDescent="0.25">
      <c r="A336" s="87">
        <v>332</v>
      </c>
      <c r="B336" s="87" t="s">
        <v>903</v>
      </c>
      <c r="C336" s="553">
        <v>7344</v>
      </c>
      <c r="D336" s="563">
        <v>14000</v>
      </c>
      <c r="E336" s="573">
        <v>155</v>
      </c>
      <c r="F336" s="563">
        <v>14000</v>
      </c>
      <c r="G336" s="87">
        <f t="shared" si="5"/>
        <v>0</v>
      </c>
      <c r="H336" s="509"/>
      <c r="I336" s="525"/>
    </row>
    <row r="337" spans="1:9" s="577" customFormat="1" ht="15.75" x14ac:dyDescent="0.25">
      <c r="A337" s="87">
        <v>333</v>
      </c>
      <c r="B337" s="87" t="s">
        <v>903</v>
      </c>
      <c r="C337" s="553">
        <v>5626</v>
      </c>
      <c r="D337" s="563">
        <v>23000</v>
      </c>
      <c r="E337" s="573">
        <v>256</v>
      </c>
      <c r="F337" s="563">
        <v>23000</v>
      </c>
      <c r="G337" s="87">
        <f t="shared" si="5"/>
        <v>0</v>
      </c>
      <c r="H337" s="509"/>
      <c r="I337" s="525"/>
    </row>
    <row r="338" spans="1:9" s="577" customFormat="1" ht="15.75" x14ac:dyDescent="0.25">
      <c r="A338" s="87">
        <v>334</v>
      </c>
      <c r="B338" s="87" t="s">
        <v>903</v>
      </c>
      <c r="C338" s="553">
        <v>2320</v>
      </c>
      <c r="D338" s="563">
        <v>27000</v>
      </c>
      <c r="E338" s="573">
        <v>288</v>
      </c>
      <c r="F338" s="563">
        <v>27000</v>
      </c>
      <c r="G338" s="87">
        <f t="shared" si="5"/>
        <v>0</v>
      </c>
      <c r="H338" s="509"/>
      <c r="I338" s="525"/>
    </row>
    <row r="339" spans="1:9" s="577" customFormat="1" ht="15.75" x14ac:dyDescent="0.25">
      <c r="A339" s="87">
        <v>335</v>
      </c>
      <c r="B339" s="87" t="s">
        <v>903</v>
      </c>
      <c r="C339" s="554" t="s">
        <v>952</v>
      </c>
      <c r="D339" s="563">
        <v>25000</v>
      </c>
      <c r="E339" s="573">
        <v>278</v>
      </c>
      <c r="F339" s="563">
        <v>25000</v>
      </c>
      <c r="G339" s="87">
        <f t="shared" si="5"/>
        <v>0</v>
      </c>
      <c r="H339" s="509"/>
      <c r="I339" s="525"/>
    </row>
    <row r="340" spans="1:9" s="577" customFormat="1" ht="15.75" x14ac:dyDescent="0.25">
      <c r="A340" s="87">
        <v>336</v>
      </c>
      <c r="B340" s="87" t="s">
        <v>903</v>
      </c>
      <c r="C340" s="553">
        <v>6751</v>
      </c>
      <c r="D340" s="563">
        <v>20000</v>
      </c>
      <c r="E340" s="573">
        <v>222</v>
      </c>
      <c r="F340" s="563">
        <v>20000</v>
      </c>
      <c r="G340" s="87">
        <f t="shared" si="5"/>
        <v>0</v>
      </c>
      <c r="H340" s="509"/>
      <c r="I340" s="525"/>
    </row>
    <row r="341" spans="1:9" s="577" customFormat="1" ht="15.75" x14ac:dyDescent="0.25">
      <c r="A341" s="87">
        <v>337</v>
      </c>
      <c r="B341" s="87" t="s">
        <v>903</v>
      </c>
      <c r="C341" s="553">
        <v>5485</v>
      </c>
      <c r="D341" s="563">
        <v>42000</v>
      </c>
      <c r="E341" s="573">
        <v>464</v>
      </c>
      <c r="F341" s="563">
        <v>42000</v>
      </c>
      <c r="G341" s="87">
        <f t="shared" si="5"/>
        <v>0</v>
      </c>
      <c r="H341" s="509"/>
      <c r="I341" s="525"/>
    </row>
    <row r="342" spans="1:9" s="577" customFormat="1" ht="15.75" x14ac:dyDescent="0.25">
      <c r="A342" s="87">
        <v>338</v>
      </c>
      <c r="B342" s="87" t="s">
        <v>903</v>
      </c>
      <c r="C342" s="553" t="s">
        <v>30</v>
      </c>
      <c r="D342" s="563">
        <v>4500</v>
      </c>
      <c r="E342" s="573">
        <v>50</v>
      </c>
      <c r="F342" s="563">
        <v>4500</v>
      </c>
      <c r="G342" s="87">
        <f t="shared" si="5"/>
        <v>0</v>
      </c>
      <c r="H342" s="509"/>
      <c r="I342" s="525"/>
    </row>
    <row r="343" spans="1:9" s="577" customFormat="1" ht="15.75" x14ac:dyDescent="0.25">
      <c r="A343" s="87">
        <v>339</v>
      </c>
      <c r="B343" s="87" t="s">
        <v>903</v>
      </c>
      <c r="C343" s="553">
        <v>9365</v>
      </c>
      <c r="D343" s="563">
        <v>15000</v>
      </c>
      <c r="E343" s="573">
        <v>167</v>
      </c>
      <c r="F343" s="563">
        <v>15000</v>
      </c>
      <c r="G343" s="87">
        <f t="shared" si="5"/>
        <v>0</v>
      </c>
      <c r="H343" s="509"/>
      <c r="I343" s="525"/>
    </row>
    <row r="344" spans="1:9" s="577" customFormat="1" ht="15.75" x14ac:dyDescent="0.25">
      <c r="A344" s="87">
        <v>340</v>
      </c>
      <c r="B344" s="87" t="s">
        <v>903</v>
      </c>
      <c r="C344" s="553">
        <v>9426</v>
      </c>
      <c r="D344" s="563">
        <v>27000</v>
      </c>
      <c r="E344" s="573">
        <v>300</v>
      </c>
      <c r="F344" s="563">
        <v>27000</v>
      </c>
      <c r="G344" s="87">
        <f t="shared" si="5"/>
        <v>0</v>
      </c>
      <c r="H344" s="509"/>
      <c r="I344" s="525"/>
    </row>
    <row r="345" spans="1:9" s="577" customFormat="1" ht="15.75" x14ac:dyDescent="0.25">
      <c r="A345" s="87">
        <v>341</v>
      </c>
      <c r="B345" s="87" t="s">
        <v>903</v>
      </c>
      <c r="C345" s="553">
        <v>2961</v>
      </c>
      <c r="D345" s="563">
        <v>27000</v>
      </c>
      <c r="E345" s="573">
        <v>300</v>
      </c>
      <c r="F345" s="563">
        <v>27000</v>
      </c>
      <c r="G345" s="87">
        <f t="shared" si="5"/>
        <v>0</v>
      </c>
      <c r="H345" s="509"/>
      <c r="I345" s="525"/>
    </row>
    <row r="346" spans="1:9" s="577" customFormat="1" ht="15.75" x14ac:dyDescent="0.25">
      <c r="A346" s="87">
        <v>342</v>
      </c>
      <c r="B346" s="87" t="s">
        <v>903</v>
      </c>
      <c r="C346" s="553" t="s">
        <v>819</v>
      </c>
      <c r="D346" s="563">
        <v>3500</v>
      </c>
      <c r="E346" s="573">
        <v>38</v>
      </c>
      <c r="F346" s="563">
        <v>3500</v>
      </c>
      <c r="G346" s="87">
        <f t="shared" si="5"/>
        <v>0</v>
      </c>
      <c r="H346" s="509"/>
      <c r="I346" s="525"/>
    </row>
    <row r="347" spans="1:9" s="577" customFormat="1" ht="15.75" x14ac:dyDescent="0.25">
      <c r="A347" s="87">
        <v>343</v>
      </c>
      <c r="B347" s="87" t="s">
        <v>903</v>
      </c>
      <c r="C347" s="553">
        <v>8745</v>
      </c>
      <c r="D347" s="563">
        <v>3000</v>
      </c>
      <c r="E347" s="573">
        <v>33</v>
      </c>
      <c r="F347" s="563">
        <v>3000</v>
      </c>
      <c r="G347" s="87">
        <f t="shared" si="5"/>
        <v>0</v>
      </c>
      <c r="H347" s="509"/>
      <c r="I347" s="525"/>
    </row>
    <row r="348" spans="1:9" s="577" customFormat="1" ht="15.75" x14ac:dyDescent="0.25">
      <c r="A348" s="87">
        <v>344</v>
      </c>
      <c r="B348" s="87" t="s">
        <v>903</v>
      </c>
      <c r="C348" s="553">
        <v>1416</v>
      </c>
      <c r="D348" s="563">
        <v>10000</v>
      </c>
      <c r="E348" s="573">
        <v>111</v>
      </c>
      <c r="F348" s="563">
        <v>10000</v>
      </c>
      <c r="G348" s="87">
        <f t="shared" si="5"/>
        <v>0</v>
      </c>
      <c r="H348" s="509"/>
      <c r="I348" s="525"/>
    </row>
    <row r="349" spans="1:9" s="577" customFormat="1" ht="15.75" x14ac:dyDescent="0.25">
      <c r="A349" s="87">
        <v>345</v>
      </c>
      <c r="B349" s="87" t="s">
        <v>903</v>
      </c>
      <c r="C349" s="553">
        <v>4092</v>
      </c>
      <c r="D349" s="563">
        <v>15000</v>
      </c>
      <c r="E349" s="573">
        <v>167</v>
      </c>
      <c r="F349" s="563">
        <v>15000</v>
      </c>
      <c r="G349" s="87">
        <f t="shared" si="5"/>
        <v>0</v>
      </c>
      <c r="H349" s="509"/>
      <c r="I349" s="525"/>
    </row>
    <row r="350" spans="1:9" s="577" customFormat="1" ht="15.75" x14ac:dyDescent="0.25">
      <c r="A350" s="87">
        <v>346</v>
      </c>
      <c r="B350" s="87" t="s">
        <v>903</v>
      </c>
      <c r="C350" s="553">
        <v>4032</v>
      </c>
      <c r="D350" s="563">
        <v>15000</v>
      </c>
      <c r="E350" s="573">
        <v>167</v>
      </c>
      <c r="F350" s="563">
        <v>15000</v>
      </c>
      <c r="G350" s="87">
        <f t="shared" si="5"/>
        <v>0</v>
      </c>
      <c r="H350" s="509"/>
      <c r="I350" s="525"/>
    </row>
    <row r="351" spans="1:9" s="577" customFormat="1" ht="15.75" x14ac:dyDescent="0.25">
      <c r="A351" s="87">
        <v>347</v>
      </c>
      <c r="B351" s="87" t="s">
        <v>903</v>
      </c>
      <c r="C351" s="553">
        <v>7345</v>
      </c>
      <c r="D351" s="563">
        <v>13000</v>
      </c>
      <c r="E351" s="573">
        <v>144</v>
      </c>
      <c r="F351" s="563">
        <v>13000</v>
      </c>
      <c r="G351" s="87">
        <f t="shared" si="5"/>
        <v>0</v>
      </c>
      <c r="H351" s="509"/>
      <c r="I351" s="525"/>
    </row>
    <row r="352" spans="1:9" s="577" customFormat="1" ht="15.75" x14ac:dyDescent="0.25">
      <c r="A352" s="87">
        <v>348</v>
      </c>
      <c r="B352" s="87" t="s">
        <v>903</v>
      </c>
      <c r="C352" s="553">
        <v>3134</v>
      </c>
      <c r="D352" s="563">
        <v>18000</v>
      </c>
      <c r="E352" s="573">
        <v>200</v>
      </c>
      <c r="F352" s="563">
        <v>18000</v>
      </c>
      <c r="G352" s="87">
        <f t="shared" si="5"/>
        <v>0</v>
      </c>
      <c r="H352" s="509"/>
      <c r="I352" s="525"/>
    </row>
    <row r="353" spans="1:9" s="577" customFormat="1" ht="15.75" x14ac:dyDescent="0.25">
      <c r="A353" s="87">
        <v>349</v>
      </c>
      <c r="B353" s="87" t="s">
        <v>903</v>
      </c>
      <c r="C353" s="553">
        <v>8105</v>
      </c>
      <c r="D353" s="563">
        <v>18000</v>
      </c>
      <c r="E353" s="573">
        <v>200</v>
      </c>
      <c r="F353" s="563">
        <v>18000</v>
      </c>
      <c r="G353" s="87">
        <f t="shared" si="5"/>
        <v>0</v>
      </c>
      <c r="H353" s="509"/>
      <c r="I353" s="525"/>
    </row>
    <row r="354" spans="1:9" s="577" customFormat="1" ht="15.75" x14ac:dyDescent="0.25">
      <c r="A354" s="87">
        <v>350</v>
      </c>
      <c r="B354" s="87" t="s">
        <v>903</v>
      </c>
      <c r="C354" s="553" t="s">
        <v>66</v>
      </c>
      <c r="D354" s="563">
        <v>210</v>
      </c>
      <c r="E354" s="573" t="s">
        <v>66</v>
      </c>
      <c r="F354" s="563">
        <v>210</v>
      </c>
      <c r="G354" s="87">
        <f t="shared" si="5"/>
        <v>0</v>
      </c>
      <c r="H354" s="509"/>
      <c r="I354" s="525"/>
    </row>
    <row r="355" spans="1:9" s="577" customFormat="1" ht="15.75" x14ac:dyDescent="0.25">
      <c r="A355" s="87">
        <v>351</v>
      </c>
      <c r="B355" s="87" t="s">
        <v>903</v>
      </c>
      <c r="C355" s="553">
        <v>7004</v>
      </c>
      <c r="D355" s="563">
        <v>25000</v>
      </c>
      <c r="E355" s="573">
        <v>278</v>
      </c>
      <c r="F355" s="563">
        <v>25000</v>
      </c>
      <c r="G355" s="87">
        <f t="shared" si="5"/>
        <v>0</v>
      </c>
      <c r="H355" s="509"/>
      <c r="I355" s="525"/>
    </row>
    <row r="356" spans="1:9" s="577" customFormat="1" ht="15.75" x14ac:dyDescent="0.25">
      <c r="A356" s="87">
        <v>352</v>
      </c>
      <c r="B356" s="87" t="s">
        <v>915</v>
      </c>
      <c r="C356" s="553" t="s">
        <v>30</v>
      </c>
      <c r="D356" s="563">
        <v>5000</v>
      </c>
      <c r="E356" s="573">
        <v>55</v>
      </c>
      <c r="F356" s="563">
        <v>5000</v>
      </c>
      <c r="G356" s="87">
        <f t="shared" si="5"/>
        <v>0</v>
      </c>
      <c r="H356" s="509"/>
      <c r="I356" s="525"/>
    </row>
    <row r="357" spans="1:9" ht="15.75" x14ac:dyDescent="0.25">
      <c r="A357" s="87">
        <v>353</v>
      </c>
      <c r="B357" s="87" t="s">
        <v>915</v>
      </c>
      <c r="C357" s="553" t="s">
        <v>30</v>
      </c>
      <c r="D357" s="563">
        <v>3000</v>
      </c>
      <c r="E357" s="573">
        <v>33</v>
      </c>
      <c r="F357" s="563">
        <v>3000</v>
      </c>
      <c r="G357" s="87">
        <f t="shared" si="5"/>
        <v>0</v>
      </c>
      <c r="H357" s="509"/>
      <c r="I357" s="525"/>
    </row>
    <row r="358" spans="1:9" ht="15.75" x14ac:dyDescent="0.25">
      <c r="A358" s="87">
        <v>354</v>
      </c>
      <c r="B358" s="87" t="s">
        <v>915</v>
      </c>
      <c r="C358" s="553" t="s">
        <v>30</v>
      </c>
      <c r="D358" s="563">
        <v>5000</v>
      </c>
      <c r="E358" s="573">
        <v>55</v>
      </c>
      <c r="F358" s="563">
        <v>5000</v>
      </c>
      <c r="G358" s="87">
        <f t="shared" si="5"/>
        <v>0</v>
      </c>
      <c r="H358" s="509"/>
      <c r="I358" s="525"/>
    </row>
    <row r="359" spans="1:9" ht="15.75" x14ac:dyDescent="0.25">
      <c r="A359" s="87">
        <v>355</v>
      </c>
      <c r="B359" s="87" t="s">
        <v>915</v>
      </c>
      <c r="C359" s="553">
        <v>8326</v>
      </c>
      <c r="D359" s="563">
        <v>15000</v>
      </c>
      <c r="E359" s="573">
        <v>167</v>
      </c>
      <c r="F359" s="563">
        <v>15000</v>
      </c>
      <c r="G359" s="87">
        <f t="shared" si="5"/>
        <v>0</v>
      </c>
      <c r="H359" s="509"/>
      <c r="I359" s="525"/>
    </row>
    <row r="360" spans="1:9" ht="15.75" x14ac:dyDescent="0.25">
      <c r="A360" s="87">
        <v>356</v>
      </c>
      <c r="B360" s="87" t="s">
        <v>915</v>
      </c>
      <c r="C360" s="553">
        <v>3587</v>
      </c>
      <c r="D360" s="563">
        <v>13000</v>
      </c>
      <c r="E360" s="573">
        <v>142</v>
      </c>
      <c r="F360" s="563">
        <v>13000</v>
      </c>
      <c r="G360" s="87">
        <f t="shared" si="5"/>
        <v>0</v>
      </c>
      <c r="H360" s="509"/>
      <c r="I360" s="525"/>
    </row>
    <row r="361" spans="1:9" ht="15.75" x14ac:dyDescent="0.25">
      <c r="A361" s="87">
        <v>357</v>
      </c>
      <c r="B361" s="87" t="s">
        <v>915</v>
      </c>
      <c r="C361" s="553">
        <v>2963</v>
      </c>
      <c r="D361" s="563">
        <v>26000</v>
      </c>
      <c r="E361" s="573">
        <v>291</v>
      </c>
      <c r="F361" s="563">
        <v>26000</v>
      </c>
      <c r="G361" s="87">
        <f t="shared" si="5"/>
        <v>0</v>
      </c>
      <c r="H361" s="509"/>
      <c r="I361" s="525"/>
    </row>
    <row r="362" spans="1:9" ht="15.75" x14ac:dyDescent="0.25">
      <c r="A362" s="87">
        <v>358</v>
      </c>
      <c r="B362" s="87" t="s">
        <v>915</v>
      </c>
      <c r="C362" s="553">
        <v>2889</v>
      </c>
      <c r="D362" s="563">
        <v>15000</v>
      </c>
      <c r="E362" s="573">
        <v>167</v>
      </c>
      <c r="F362" s="563">
        <v>15000</v>
      </c>
      <c r="G362" s="87">
        <f t="shared" si="5"/>
        <v>0</v>
      </c>
      <c r="H362" s="509"/>
      <c r="I362" s="525"/>
    </row>
    <row r="363" spans="1:9" ht="15.75" x14ac:dyDescent="0.25">
      <c r="A363" s="87">
        <v>359</v>
      </c>
      <c r="B363" s="87" t="s">
        <v>915</v>
      </c>
      <c r="C363" s="553">
        <v>3896</v>
      </c>
      <c r="D363" s="563">
        <v>5000</v>
      </c>
      <c r="E363" s="573">
        <v>55</v>
      </c>
      <c r="F363" s="563">
        <v>5000</v>
      </c>
      <c r="G363" s="87">
        <f t="shared" si="5"/>
        <v>0</v>
      </c>
      <c r="H363" s="509"/>
      <c r="I363" s="525"/>
    </row>
    <row r="364" spans="1:9" ht="15.75" x14ac:dyDescent="0.25">
      <c r="A364" s="87">
        <v>360</v>
      </c>
      <c r="B364" s="87" t="s">
        <v>915</v>
      </c>
      <c r="C364" s="553">
        <v>5037</v>
      </c>
      <c r="D364" s="563">
        <v>25000</v>
      </c>
      <c r="E364" s="573">
        <v>267</v>
      </c>
      <c r="F364" s="563">
        <v>25000</v>
      </c>
      <c r="G364" s="87">
        <f t="shared" si="5"/>
        <v>0</v>
      </c>
      <c r="H364" s="509"/>
      <c r="I364" s="525"/>
    </row>
    <row r="365" spans="1:9" ht="15.75" x14ac:dyDescent="0.25">
      <c r="A365" s="87">
        <v>361</v>
      </c>
      <c r="B365" s="87" t="s">
        <v>915</v>
      </c>
      <c r="C365" s="553">
        <v>8326</v>
      </c>
      <c r="D365" s="563">
        <v>23000</v>
      </c>
      <c r="E365" s="573">
        <v>256</v>
      </c>
      <c r="F365" s="563">
        <v>23000</v>
      </c>
      <c r="G365" s="87">
        <f t="shared" si="5"/>
        <v>0</v>
      </c>
      <c r="H365" s="509"/>
      <c r="I365" s="525"/>
    </row>
    <row r="366" spans="1:9" ht="15.75" x14ac:dyDescent="0.25">
      <c r="A366" s="87">
        <v>362</v>
      </c>
      <c r="B366" s="87" t="s">
        <v>915</v>
      </c>
      <c r="C366" s="553">
        <v>2004</v>
      </c>
      <c r="D366" s="563">
        <v>21000</v>
      </c>
      <c r="E366" s="573">
        <v>214</v>
      </c>
      <c r="F366" s="563">
        <v>21000</v>
      </c>
      <c r="G366" s="87">
        <f t="shared" si="5"/>
        <v>0</v>
      </c>
      <c r="H366" s="509"/>
      <c r="I366" s="525"/>
    </row>
    <row r="367" spans="1:9" ht="15.75" x14ac:dyDescent="0.25">
      <c r="A367" s="87">
        <v>363</v>
      </c>
      <c r="B367" s="87" t="s">
        <v>915</v>
      </c>
      <c r="C367" s="553">
        <v>9235</v>
      </c>
      <c r="D367" s="563">
        <v>30000</v>
      </c>
      <c r="E367" s="573">
        <v>334</v>
      </c>
      <c r="F367" s="563">
        <v>30000</v>
      </c>
      <c r="G367" s="87">
        <f t="shared" si="5"/>
        <v>0</v>
      </c>
      <c r="H367" s="509"/>
      <c r="I367" s="525"/>
    </row>
    <row r="368" spans="1:9" ht="15.75" x14ac:dyDescent="0.25">
      <c r="A368" s="87">
        <v>364</v>
      </c>
      <c r="B368" s="87" t="s">
        <v>915</v>
      </c>
      <c r="C368" s="553">
        <v>4124</v>
      </c>
      <c r="D368" s="563">
        <v>22000</v>
      </c>
      <c r="E368" s="573">
        <v>239</v>
      </c>
      <c r="F368" s="563">
        <v>22000</v>
      </c>
      <c r="G368" s="87">
        <f t="shared" si="5"/>
        <v>0</v>
      </c>
      <c r="H368" s="509"/>
      <c r="I368" s="525"/>
    </row>
    <row r="369" spans="1:9" ht="15.75" x14ac:dyDescent="0.25">
      <c r="A369" s="87">
        <v>365</v>
      </c>
      <c r="B369" s="87" t="s">
        <v>915</v>
      </c>
      <c r="C369" s="553">
        <v>1082</v>
      </c>
      <c r="D369" s="563">
        <v>25000</v>
      </c>
      <c r="E369" s="573">
        <v>278</v>
      </c>
      <c r="F369" s="563">
        <v>25000</v>
      </c>
      <c r="G369" s="87">
        <f t="shared" si="5"/>
        <v>0</v>
      </c>
      <c r="H369" s="509"/>
      <c r="I369" s="525"/>
    </row>
    <row r="370" spans="1:9" ht="15.75" x14ac:dyDescent="0.25">
      <c r="A370" s="87">
        <v>366</v>
      </c>
      <c r="B370" s="87" t="s">
        <v>915</v>
      </c>
      <c r="C370" s="553">
        <v>9271</v>
      </c>
      <c r="D370" s="563">
        <v>15000</v>
      </c>
      <c r="E370" s="573">
        <v>167</v>
      </c>
      <c r="F370" s="563">
        <v>15000</v>
      </c>
      <c r="G370" s="87">
        <f t="shared" si="5"/>
        <v>0</v>
      </c>
      <c r="H370" s="509"/>
      <c r="I370" s="525"/>
    </row>
    <row r="371" spans="1:9" ht="15.75" x14ac:dyDescent="0.25">
      <c r="A371" s="87">
        <v>367</v>
      </c>
      <c r="B371" s="87" t="s">
        <v>915</v>
      </c>
      <c r="C371" s="553">
        <v>1126</v>
      </c>
      <c r="D371" s="563">
        <v>27000</v>
      </c>
      <c r="E371" s="573">
        <v>291</v>
      </c>
      <c r="F371" s="563">
        <v>27000</v>
      </c>
      <c r="G371" s="87">
        <f t="shared" si="5"/>
        <v>0</v>
      </c>
      <c r="H371" s="509"/>
      <c r="I371" s="525"/>
    </row>
    <row r="372" spans="1:9" ht="15.75" x14ac:dyDescent="0.25">
      <c r="A372" s="87">
        <v>368</v>
      </c>
      <c r="B372" s="87" t="s">
        <v>915</v>
      </c>
      <c r="C372" s="554" t="s">
        <v>916</v>
      </c>
      <c r="D372" s="563">
        <v>30000</v>
      </c>
      <c r="E372" s="573">
        <v>334</v>
      </c>
      <c r="F372" s="563">
        <v>30000</v>
      </c>
      <c r="G372" s="87">
        <f t="shared" si="5"/>
        <v>0</v>
      </c>
      <c r="H372" s="509"/>
      <c r="I372" s="525"/>
    </row>
    <row r="373" spans="1:9" ht="15.75" x14ac:dyDescent="0.25">
      <c r="A373" s="87">
        <v>369</v>
      </c>
      <c r="B373" s="87" t="s">
        <v>915</v>
      </c>
      <c r="C373" s="553">
        <v>1986</v>
      </c>
      <c r="D373" s="563">
        <v>17000</v>
      </c>
      <c r="E373" s="573">
        <v>189</v>
      </c>
      <c r="F373" s="563">
        <v>17000</v>
      </c>
      <c r="G373" s="87">
        <f t="shared" si="5"/>
        <v>0</v>
      </c>
      <c r="H373" s="509"/>
      <c r="I373" s="525"/>
    </row>
    <row r="374" spans="1:9" ht="15.75" x14ac:dyDescent="0.25">
      <c r="A374" s="87">
        <v>370</v>
      </c>
      <c r="B374" s="87" t="s">
        <v>915</v>
      </c>
      <c r="C374" s="553">
        <v>2943</v>
      </c>
      <c r="D374" s="563">
        <v>30000</v>
      </c>
      <c r="E374" s="573">
        <v>334</v>
      </c>
      <c r="F374" s="563">
        <v>30000</v>
      </c>
      <c r="G374" s="87">
        <f t="shared" si="5"/>
        <v>0</v>
      </c>
      <c r="H374" s="509"/>
      <c r="I374" s="525"/>
    </row>
    <row r="375" spans="1:9" ht="15.75" x14ac:dyDescent="0.25">
      <c r="A375" s="87">
        <v>371</v>
      </c>
      <c r="B375" s="87" t="s">
        <v>915</v>
      </c>
      <c r="C375" s="554" t="s">
        <v>917</v>
      </c>
      <c r="D375" s="563">
        <v>16000</v>
      </c>
      <c r="E375" s="573">
        <v>177</v>
      </c>
      <c r="F375" s="563">
        <v>16000</v>
      </c>
      <c r="G375" s="87">
        <f t="shared" si="5"/>
        <v>0</v>
      </c>
      <c r="H375" s="509"/>
      <c r="I375" s="525"/>
    </row>
    <row r="376" spans="1:9" ht="15.75" x14ac:dyDescent="0.25">
      <c r="A376" s="87">
        <v>372</v>
      </c>
      <c r="B376" s="87" t="s">
        <v>915</v>
      </c>
      <c r="C376" s="554" t="s">
        <v>918</v>
      </c>
      <c r="D376" s="563">
        <v>10000</v>
      </c>
      <c r="E376" s="573">
        <v>111</v>
      </c>
      <c r="F376" s="563">
        <v>10000</v>
      </c>
      <c r="G376" s="87">
        <f t="shared" si="5"/>
        <v>0</v>
      </c>
      <c r="H376" s="509"/>
      <c r="I376" s="525"/>
    </row>
    <row r="377" spans="1:9" ht="15.75" x14ac:dyDescent="0.25">
      <c r="A377" s="87">
        <v>373</v>
      </c>
      <c r="B377" s="87" t="s">
        <v>915</v>
      </c>
      <c r="C377" s="553">
        <v>6317</v>
      </c>
      <c r="D377" s="563">
        <v>25000</v>
      </c>
      <c r="E377" s="573">
        <v>278</v>
      </c>
      <c r="F377" s="563">
        <v>25000</v>
      </c>
      <c r="G377" s="87">
        <f t="shared" si="5"/>
        <v>0</v>
      </c>
      <c r="H377" s="509"/>
      <c r="I377" s="525"/>
    </row>
    <row r="378" spans="1:9" ht="15.75" x14ac:dyDescent="0.25">
      <c r="A378" s="87">
        <v>374</v>
      </c>
      <c r="B378" s="87" t="s">
        <v>915</v>
      </c>
      <c r="C378" s="553">
        <v>5388</v>
      </c>
      <c r="D378" s="563">
        <v>23000</v>
      </c>
      <c r="E378" s="573">
        <v>256</v>
      </c>
      <c r="F378" s="563">
        <v>23000</v>
      </c>
      <c r="G378" s="87">
        <f t="shared" si="5"/>
        <v>0</v>
      </c>
      <c r="H378" s="509"/>
      <c r="I378" s="525"/>
    </row>
    <row r="379" spans="1:9" ht="15.75" x14ac:dyDescent="0.25">
      <c r="A379" s="87">
        <v>375</v>
      </c>
      <c r="B379" s="87" t="s">
        <v>915</v>
      </c>
      <c r="C379" s="553">
        <v>1856</v>
      </c>
      <c r="D379" s="563">
        <v>28000</v>
      </c>
      <c r="E379" s="573">
        <v>311</v>
      </c>
      <c r="F379" s="563">
        <v>28000</v>
      </c>
      <c r="G379" s="87">
        <f t="shared" si="5"/>
        <v>0</v>
      </c>
      <c r="H379" s="509"/>
      <c r="I379" s="525"/>
    </row>
    <row r="380" spans="1:9" ht="15.75" x14ac:dyDescent="0.25">
      <c r="A380" s="87">
        <v>376</v>
      </c>
      <c r="B380" s="87" t="s">
        <v>915</v>
      </c>
      <c r="C380" s="553">
        <v>1121</v>
      </c>
      <c r="D380" s="563">
        <v>10000</v>
      </c>
      <c r="E380" s="573">
        <v>111</v>
      </c>
      <c r="F380" s="563">
        <v>10000</v>
      </c>
      <c r="G380" s="87">
        <f t="shared" si="5"/>
        <v>0</v>
      </c>
      <c r="H380" s="509"/>
      <c r="I380" s="525"/>
    </row>
    <row r="381" spans="1:9" ht="15.75" x14ac:dyDescent="0.25">
      <c r="A381" s="87">
        <v>377</v>
      </c>
      <c r="B381" s="87" t="s">
        <v>915</v>
      </c>
      <c r="C381" s="553">
        <v>7109</v>
      </c>
      <c r="D381" s="563">
        <v>17000</v>
      </c>
      <c r="E381" s="573">
        <v>189</v>
      </c>
      <c r="F381" s="563">
        <v>17000</v>
      </c>
      <c r="G381" s="87">
        <f t="shared" si="5"/>
        <v>0</v>
      </c>
      <c r="H381" s="509"/>
      <c r="I381" s="525"/>
    </row>
    <row r="382" spans="1:9" ht="15.75" x14ac:dyDescent="0.25">
      <c r="A382" s="87">
        <v>378</v>
      </c>
      <c r="B382" s="87" t="s">
        <v>915</v>
      </c>
      <c r="C382" s="553">
        <v>1470</v>
      </c>
      <c r="D382" s="563">
        <v>31000</v>
      </c>
      <c r="E382" s="573">
        <v>345</v>
      </c>
      <c r="F382" s="563">
        <v>31000</v>
      </c>
      <c r="G382" s="87">
        <f t="shared" si="5"/>
        <v>0</v>
      </c>
      <c r="H382" s="509"/>
      <c r="I382" s="525"/>
    </row>
    <row r="383" spans="1:9" ht="15.75" x14ac:dyDescent="0.25">
      <c r="A383" s="87">
        <v>379</v>
      </c>
      <c r="B383" s="87" t="s">
        <v>915</v>
      </c>
      <c r="C383" s="553">
        <v>5537</v>
      </c>
      <c r="D383" s="563">
        <v>21000</v>
      </c>
      <c r="E383" s="573">
        <v>233</v>
      </c>
      <c r="F383" s="563">
        <v>21000</v>
      </c>
      <c r="G383" s="87">
        <f t="shared" si="5"/>
        <v>0</v>
      </c>
      <c r="H383" s="509"/>
      <c r="I383" s="525"/>
    </row>
    <row r="384" spans="1:9" ht="15.75" x14ac:dyDescent="0.25">
      <c r="A384" s="87">
        <v>380</v>
      </c>
      <c r="B384" s="87" t="s">
        <v>915</v>
      </c>
      <c r="C384" s="553">
        <v>9923</v>
      </c>
      <c r="D384" s="563">
        <v>17000</v>
      </c>
      <c r="E384" s="573">
        <v>189</v>
      </c>
      <c r="F384" s="563">
        <v>17000</v>
      </c>
      <c r="G384" s="87">
        <f t="shared" si="5"/>
        <v>0</v>
      </c>
      <c r="H384" s="509"/>
      <c r="I384" s="525"/>
    </row>
    <row r="385" spans="1:9" ht="15.75" x14ac:dyDescent="0.25">
      <c r="A385" s="87">
        <v>381</v>
      </c>
      <c r="B385" s="87" t="s">
        <v>915</v>
      </c>
      <c r="C385" s="553">
        <v>2929</v>
      </c>
      <c r="D385" s="563">
        <v>28000</v>
      </c>
      <c r="E385" s="573">
        <v>311</v>
      </c>
      <c r="F385" s="563">
        <v>28000</v>
      </c>
      <c r="G385" s="87">
        <f t="shared" si="5"/>
        <v>0</v>
      </c>
      <c r="H385" s="509"/>
      <c r="I385" s="525"/>
    </row>
    <row r="386" spans="1:9" ht="15.75" x14ac:dyDescent="0.25">
      <c r="A386" s="87">
        <v>382</v>
      </c>
      <c r="B386" s="87" t="s">
        <v>915</v>
      </c>
      <c r="C386" s="553">
        <v>1452</v>
      </c>
      <c r="D386" s="563">
        <v>30000</v>
      </c>
      <c r="E386" s="573">
        <v>334</v>
      </c>
      <c r="F386" s="563">
        <v>30000</v>
      </c>
      <c r="G386" s="87">
        <f t="shared" si="5"/>
        <v>0</v>
      </c>
      <c r="H386" s="509"/>
      <c r="I386" s="525"/>
    </row>
    <row r="387" spans="1:9" ht="15.75" x14ac:dyDescent="0.25">
      <c r="A387" s="87">
        <v>383</v>
      </c>
      <c r="B387" s="87" t="s">
        <v>915</v>
      </c>
      <c r="C387" s="554" t="s">
        <v>911</v>
      </c>
      <c r="D387" s="563">
        <v>31000</v>
      </c>
      <c r="E387" s="573">
        <v>345</v>
      </c>
      <c r="F387" s="563">
        <v>31000</v>
      </c>
      <c r="G387" s="87">
        <f t="shared" si="5"/>
        <v>0</v>
      </c>
      <c r="H387" s="509"/>
      <c r="I387" s="525"/>
    </row>
    <row r="388" spans="1:9" ht="15.75" x14ac:dyDescent="0.25">
      <c r="A388" s="87">
        <v>384</v>
      </c>
      <c r="B388" s="87" t="s">
        <v>915</v>
      </c>
      <c r="C388" s="553">
        <v>4208</v>
      </c>
      <c r="D388" s="563">
        <v>27000</v>
      </c>
      <c r="E388" s="573">
        <v>289</v>
      </c>
      <c r="F388" s="563">
        <v>27000</v>
      </c>
      <c r="G388" s="87">
        <f t="shared" si="5"/>
        <v>0</v>
      </c>
      <c r="H388" s="509"/>
      <c r="I388" s="525"/>
    </row>
    <row r="389" spans="1:9" ht="15.75" x14ac:dyDescent="0.25">
      <c r="A389" s="87">
        <v>385</v>
      </c>
      <c r="B389" s="87" t="s">
        <v>919</v>
      </c>
      <c r="C389" s="553" t="s">
        <v>819</v>
      </c>
      <c r="D389" s="563">
        <v>3500</v>
      </c>
      <c r="E389" s="573">
        <v>38</v>
      </c>
      <c r="F389" s="563">
        <v>3500</v>
      </c>
      <c r="G389" s="87">
        <f t="shared" ref="G389:G452" si="6">D389-F389</f>
        <v>0</v>
      </c>
      <c r="H389" s="509"/>
      <c r="I389" s="525"/>
    </row>
    <row r="390" spans="1:9" ht="15.75" x14ac:dyDescent="0.25">
      <c r="A390" s="87">
        <v>386</v>
      </c>
      <c r="B390" s="87" t="s">
        <v>919</v>
      </c>
      <c r="C390" s="553" t="s">
        <v>30</v>
      </c>
      <c r="D390" s="563">
        <v>4500</v>
      </c>
      <c r="E390" s="573">
        <v>50</v>
      </c>
      <c r="F390" s="563">
        <v>4500</v>
      </c>
      <c r="G390" s="87">
        <f t="shared" si="6"/>
        <v>0</v>
      </c>
      <c r="H390" s="509"/>
      <c r="I390" s="525"/>
    </row>
    <row r="391" spans="1:9" ht="15.75" x14ac:dyDescent="0.25">
      <c r="A391" s="87">
        <v>387</v>
      </c>
      <c r="B391" s="87" t="s">
        <v>919</v>
      </c>
      <c r="C391" s="553" t="s">
        <v>30</v>
      </c>
      <c r="D391" s="563">
        <v>2500</v>
      </c>
      <c r="E391" s="573">
        <v>27</v>
      </c>
      <c r="F391" s="563">
        <v>2500</v>
      </c>
      <c r="G391" s="87">
        <f t="shared" si="6"/>
        <v>0</v>
      </c>
      <c r="H391" s="509"/>
      <c r="I391" s="525"/>
    </row>
    <row r="392" spans="1:9" ht="15.75" x14ac:dyDescent="0.25">
      <c r="A392" s="87">
        <v>388</v>
      </c>
      <c r="B392" s="87" t="s">
        <v>919</v>
      </c>
      <c r="C392" s="553" t="s">
        <v>30</v>
      </c>
      <c r="D392" s="563">
        <v>2500</v>
      </c>
      <c r="E392" s="575">
        <v>27</v>
      </c>
      <c r="F392" s="563">
        <v>2500</v>
      </c>
      <c r="G392" s="87">
        <f t="shared" si="6"/>
        <v>0</v>
      </c>
      <c r="H392" s="509"/>
      <c r="I392" s="525"/>
    </row>
    <row r="393" spans="1:9" ht="15.75" x14ac:dyDescent="0.25">
      <c r="A393" s="87">
        <v>389</v>
      </c>
      <c r="B393" s="87" t="s">
        <v>919</v>
      </c>
      <c r="C393" s="553">
        <v>5152</v>
      </c>
      <c r="D393" s="563">
        <v>15000</v>
      </c>
      <c r="E393" s="573">
        <v>167</v>
      </c>
      <c r="F393" s="563">
        <v>15000</v>
      </c>
      <c r="G393" s="87">
        <f t="shared" si="6"/>
        <v>0</v>
      </c>
      <c r="H393" s="509"/>
      <c r="I393" s="525"/>
    </row>
    <row r="394" spans="1:9" ht="15.75" x14ac:dyDescent="0.25">
      <c r="A394" s="87">
        <v>390</v>
      </c>
      <c r="B394" s="87" t="s">
        <v>919</v>
      </c>
      <c r="C394" s="553">
        <v>6133</v>
      </c>
      <c r="D394" s="563">
        <v>18000</v>
      </c>
      <c r="E394" s="573">
        <v>200</v>
      </c>
      <c r="F394" s="563">
        <v>18000</v>
      </c>
      <c r="G394" s="87">
        <f t="shared" si="6"/>
        <v>0</v>
      </c>
      <c r="H394" s="509"/>
      <c r="I394" s="525"/>
    </row>
    <row r="395" spans="1:9" ht="15.75" x14ac:dyDescent="0.25">
      <c r="A395" s="87">
        <v>391</v>
      </c>
      <c r="B395" s="87" t="s">
        <v>919</v>
      </c>
      <c r="C395" s="554" t="s">
        <v>890</v>
      </c>
      <c r="D395" s="563">
        <v>15000</v>
      </c>
      <c r="E395" s="573">
        <v>167</v>
      </c>
      <c r="F395" s="563">
        <v>15000</v>
      </c>
      <c r="G395" s="87">
        <f t="shared" si="6"/>
        <v>0</v>
      </c>
      <c r="H395" s="509"/>
      <c r="I395" s="525"/>
    </row>
    <row r="396" spans="1:9" ht="15.75" x14ac:dyDescent="0.25">
      <c r="A396" s="87">
        <v>392</v>
      </c>
      <c r="B396" s="87" t="s">
        <v>919</v>
      </c>
      <c r="C396" s="554" t="s">
        <v>873</v>
      </c>
      <c r="D396" s="563">
        <v>16000</v>
      </c>
      <c r="E396" s="573">
        <v>176</v>
      </c>
      <c r="F396" s="563">
        <v>16000</v>
      </c>
      <c r="G396" s="87">
        <f t="shared" si="6"/>
        <v>0</v>
      </c>
      <c r="H396" s="509"/>
      <c r="I396" s="525"/>
    </row>
    <row r="397" spans="1:9" ht="15.75" x14ac:dyDescent="0.25">
      <c r="A397" s="87">
        <v>393</v>
      </c>
      <c r="B397" s="87" t="s">
        <v>919</v>
      </c>
      <c r="C397" s="553">
        <v>5838</v>
      </c>
      <c r="D397" s="563">
        <v>14000</v>
      </c>
      <c r="E397" s="573">
        <v>155</v>
      </c>
      <c r="F397" s="563">
        <v>14000</v>
      </c>
      <c r="G397" s="87">
        <f t="shared" si="6"/>
        <v>0</v>
      </c>
      <c r="H397" s="509"/>
      <c r="I397" s="525"/>
    </row>
    <row r="398" spans="1:9" ht="15.75" x14ac:dyDescent="0.25">
      <c r="A398" s="87">
        <v>394</v>
      </c>
      <c r="B398" s="87" t="s">
        <v>919</v>
      </c>
      <c r="C398" s="553">
        <v>2497</v>
      </c>
      <c r="D398" s="563">
        <v>18000</v>
      </c>
      <c r="E398" s="573">
        <v>200</v>
      </c>
      <c r="F398" s="563">
        <v>18000</v>
      </c>
      <c r="G398" s="87">
        <f t="shared" si="6"/>
        <v>0</v>
      </c>
      <c r="H398" s="509"/>
      <c r="I398" s="525"/>
    </row>
    <row r="399" spans="1:9" ht="15.75" x14ac:dyDescent="0.25">
      <c r="A399" s="87">
        <v>395</v>
      </c>
      <c r="B399" s="87" t="s">
        <v>919</v>
      </c>
      <c r="C399" s="553">
        <v>3346</v>
      </c>
      <c r="D399" s="563">
        <v>37000</v>
      </c>
      <c r="E399" s="573"/>
      <c r="F399" s="563">
        <v>37000</v>
      </c>
      <c r="G399" s="87">
        <f t="shared" si="6"/>
        <v>0</v>
      </c>
      <c r="H399" s="509"/>
      <c r="I399" s="525"/>
    </row>
    <row r="400" spans="1:9" ht="15.75" x14ac:dyDescent="0.25">
      <c r="A400" s="87">
        <v>396</v>
      </c>
      <c r="B400" s="87" t="s">
        <v>919</v>
      </c>
      <c r="C400" s="553">
        <v>5786</v>
      </c>
      <c r="D400" s="563">
        <v>10000</v>
      </c>
      <c r="E400" s="573">
        <v>111</v>
      </c>
      <c r="F400" s="563">
        <v>10000</v>
      </c>
      <c r="G400" s="87">
        <f t="shared" si="6"/>
        <v>0</v>
      </c>
      <c r="H400" s="509"/>
      <c r="I400" s="525"/>
    </row>
    <row r="401" spans="1:9" ht="15.75" x14ac:dyDescent="0.25">
      <c r="A401" s="87">
        <v>397</v>
      </c>
      <c r="B401" s="87" t="s">
        <v>919</v>
      </c>
      <c r="C401" s="553">
        <v>7786</v>
      </c>
      <c r="D401" s="563">
        <v>10000</v>
      </c>
      <c r="E401" s="573">
        <v>111</v>
      </c>
      <c r="F401" s="563">
        <v>10000</v>
      </c>
      <c r="G401" s="87">
        <f t="shared" si="6"/>
        <v>0</v>
      </c>
      <c r="H401" s="509"/>
      <c r="I401" s="525"/>
    </row>
    <row r="402" spans="1:9" ht="15.75" x14ac:dyDescent="0.25">
      <c r="A402" s="87">
        <v>398</v>
      </c>
      <c r="B402" s="87" t="s">
        <v>919</v>
      </c>
      <c r="C402" s="553">
        <v>3533</v>
      </c>
      <c r="D402" s="563">
        <v>10000</v>
      </c>
      <c r="E402" s="573">
        <v>111</v>
      </c>
      <c r="F402" s="563">
        <v>10000</v>
      </c>
      <c r="G402" s="87">
        <f t="shared" si="6"/>
        <v>0</v>
      </c>
      <c r="H402" s="509"/>
      <c r="I402" s="525"/>
    </row>
    <row r="403" spans="1:9" ht="15.75" x14ac:dyDescent="0.25">
      <c r="A403" s="87">
        <v>399</v>
      </c>
      <c r="B403" s="87" t="s">
        <v>919</v>
      </c>
      <c r="C403" s="553">
        <v>4949</v>
      </c>
      <c r="D403" s="563">
        <v>25000</v>
      </c>
      <c r="E403" s="573">
        <v>278</v>
      </c>
      <c r="F403" s="563">
        <v>25000</v>
      </c>
      <c r="G403" s="87">
        <f t="shared" si="6"/>
        <v>0</v>
      </c>
      <c r="H403" s="509"/>
      <c r="I403" s="525"/>
    </row>
    <row r="404" spans="1:9" ht="15.75" x14ac:dyDescent="0.25">
      <c r="A404" s="87">
        <v>400</v>
      </c>
      <c r="B404" s="87" t="s">
        <v>919</v>
      </c>
      <c r="C404" s="553">
        <v>9420</v>
      </c>
      <c r="D404" s="563">
        <v>23000</v>
      </c>
      <c r="E404" s="573">
        <v>238</v>
      </c>
      <c r="F404" s="563">
        <v>23000</v>
      </c>
      <c r="G404" s="87">
        <f t="shared" si="6"/>
        <v>0</v>
      </c>
      <c r="H404" s="509"/>
      <c r="I404" s="525"/>
    </row>
    <row r="405" spans="1:9" ht="15.75" x14ac:dyDescent="0.25">
      <c r="A405" s="87">
        <v>401</v>
      </c>
      <c r="B405" s="87" t="s">
        <v>919</v>
      </c>
      <c r="C405" s="553">
        <v>7254</v>
      </c>
      <c r="D405" s="563">
        <v>22000</v>
      </c>
      <c r="E405" s="573">
        <v>245</v>
      </c>
      <c r="F405" s="563">
        <v>22000</v>
      </c>
      <c r="G405" s="87">
        <f t="shared" si="6"/>
        <v>0</v>
      </c>
      <c r="H405" s="509"/>
      <c r="I405" s="525"/>
    </row>
    <row r="406" spans="1:9" ht="15.75" x14ac:dyDescent="0.25">
      <c r="A406" s="87">
        <v>402</v>
      </c>
      <c r="B406" s="87" t="s">
        <v>919</v>
      </c>
      <c r="C406" s="553">
        <v>3367</v>
      </c>
      <c r="D406" s="563">
        <v>19000</v>
      </c>
      <c r="E406" s="573">
        <v>211</v>
      </c>
      <c r="F406" s="563">
        <v>19000</v>
      </c>
      <c r="G406" s="87">
        <f t="shared" si="6"/>
        <v>0</v>
      </c>
      <c r="H406" s="509"/>
      <c r="I406" s="525"/>
    </row>
    <row r="407" spans="1:9" ht="15.75" x14ac:dyDescent="0.25">
      <c r="A407" s="87">
        <v>403</v>
      </c>
      <c r="B407" s="87" t="s">
        <v>919</v>
      </c>
      <c r="C407" s="553">
        <v>6108</v>
      </c>
      <c r="D407" s="563">
        <v>33000</v>
      </c>
      <c r="E407" s="573">
        <v>367</v>
      </c>
      <c r="F407" s="563">
        <v>33000</v>
      </c>
      <c r="G407" s="87">
        <f t="shared" si="6"/>
        <v>0</v>
      </c>
      <c r="H407" s="509"/>
      <c r="I407" s="525"/>
    </row>
    <row r="408" spans="1:9" ht="15.75" x14ac:dyDescent="0.25">
      <c r="A408" s="87">
        <v>404</v>
      </c>
      <c r="B408" s="87" t="s">
        <v>919</v>
      </c>
      <c r="C408" s="553">
        <v>4805</v>
      </c>
      <c r="D408" s="563">
        <v>32000</v>
      </c>
      <c r="E408" s="573">
        <v>335</v>
      </c>
      <c r="F408" s="563">
        <v>32000</v>
      </c>
      <c r="G408" s="87">
        <f t="shared" si="6"/>
        <v>0</v>
      </c>
      <c r="H408" s="509"/>
      <c r="I408" s="525"/>
    </row>
    <row r="409" spans="1:9" ht="15.75" x14ac:dyDescent="0.25">
      <c r="A409" s="87">
        <v>405</v>
      </c>
      <c r="B409" s="87" t="s">
        <v>919</v>
      </c>
      <c r="C409" s="553">
        <v>3086</v>
      </c>
      <c r="D409" s="563">
        <v>30000</v>
      </c>
      <c r="E409" s="573">
        <v>334</v>
      </c>
      <c r="F409" s="563">
        <v>30000</v>
      </c>
      <c r="G409" s="87">
        <f t="shared" si="6"/>
        <v>0</v>
      </c>
      <c r="H409" s="509"/>
      <c r="I409" s="525"/>
    </row>
    <row r="410" spans="1:9" ht="15.75" x14ac:dyDescent="0.25">
      <c r="A410" s="87">
        <v>406</v>
      </c>
      <c r="B410" s="87" t="s">
        <v>919</v>
      </c>
      <c r="C410" s="553">
        <v>7258</v>
      </c>
      <c r="D410" s="563">
        <v>29000</v>
      </c>
      <c r="E410" s="573">
        <v>320</v>
      </c>
      <c r="F410" s="563">
        <v>29000</v>
      </c>
      <c r="G410" s="87">
        <f t="shared" si="6"/>
        <v>0</v>
      </c>
      <c r="H410" s="509"/>
      <c r="I410" s="525"/>
    </row>
    <row r="411" spans="1:9" ht="15.75" x14ac:dyDescent="0.25">
      <c r="A411" s="87">
        <v>407</v>
      </c>
      <c r="B411" s="87" t="s">
        <v>919</v>
      </c>
      <c r="C411" s="553">
        <v>9701</v>
      </c>
      <c r="D411" s="563">
        <v>27000</v>
      </c>
      <c r="E411" s="573">
        <v>300</v>
      </c>
      <c r="F411" s="563">
        <v>27000</v>
      </c>
      <c r="G411" s="87">
        <f t="shared" si="6"/>
        <v>0</v>
      </c>
      <c r="H411" s="509"/>
      <c r="I411" s="525"/>
    </row>
    <row r="412" spans="1:9" ht="15.75" x14ac:dyDescent="0.25">
      <c r="A412" s="87">
        <v>408</v>
      </c>
      <c r="B412" s="87" t="s">
        <v>919</v>
      </c>
      <c r="C412" s="553">
        <v>9081</v>
      </c>
      <c r="D412" s="563">
        <v>4000</v>
      </c>
      <c r="E412" s="573">
        <v>44</v>
      </c>
      <c r="F412" s="563">
        <v>4000</v>
      </c>
      <c r="G412" s="87">
        <f t="shared" si="6"/>
        <v>0</v>
      </c>
      <c r="H412" s="509"/>
      <c r="I412" s="525"/>
    </row>
    <row r="413" spans="1:9" ht="15.75" x14ac:dyDescent="0.25">
      <c r="A413" s="87">
        <v>409</v>
      </c>
      <c r="B413" s="87" t="s">
        <v>919</v>
      </c>
      <c r="C413" s="553">
        <v>4251</v>
      </c>
      <c r="D413" s="563">
        <v>12000</v>
      </c>
      <c r="E413" s="573">
        <v>124</v>
      </c>
      <c r="F413" s="563">
        <v>12000</v>
      </c>
      <c r="G413" s="87">
        <f t="shared" si="6"/>
        <v>0</v>
      </c>
      <c r="H413" s="509"/>
      <c r="I413" s="525"/>
    </row>
    <row r="414" spans="1:9" ht="15.75" x14ac:dyDescent="0.25">
      <c r="A414" s="87">
        <v>410</v>
      </c>
      <c r="B414" s="87" t="s">
        <v>919</v>
      </c>
      <c r="C414" s="553">
        <v>5335</v>
      </c>
      <c r="D414" s="563">
        <v>5630</v>
      </c>
      <c r="E414" s="573">
        <v>62</v>
      </c>
      <c r="F414" s="563">
        <v>5630</v>
      </c>
      <c r="G414" s="87">
        <f t="shared" si="6"/>
        <v>0</v>
      </c>
      <c r="H414" s="509"/>
      <c r="I414" s="525"/>
    </row>
    <row r="415" spans="1:9" ht="15.75" x14ac:dyDescent="0.25">
      <c r="A415" s="87">
        <v>411</v>
      </c>
      <c r="B415" s="87" t="s">
        <v>919</v>
      </c>
      <c r="C415" s="553">
        <v>7888</v>
      </c>
      <c r="D415" s="563">
        <v>20800</v>
      </c>
      <c r="E415" s="573">
        <v>231</v>
      </c>
      <c r="F415" s="563">
        <v>20800</v>
      </c>
      <c r="G415" s="87">
        <f t="shared" si="6"/>
        <v>0</v>
      </c>
      <c r="H415" s="509"/>
      <c r="I415" s="525"/>
    </row>
    <row r="416" spans="1:9" ht="15.75" x14ac:dyDescent="0.25">
      <c r="A416" s="87">
        <v>412</v>
      </c>
      <c r="B416" s="87" t="s">
        <v>919</v>
      </c>
      <c r="C416" s="553">
        <v>3099</v>
      </c>
      <c r="D416" s="563">
        <v>15000</v>
      </c>
      <c r="E416" s="573">
        <v>167</v>
      </c>
      <c r="F416" s="563">
        <v>15000</v>
      </c>
      <c r="G416" s="87">
        <f t="shared" si="6"/>
        <v>0</v>
      </c>
      <c r="H416" s="509"/>
      <c r="I416" s="525"/>
    </row>
    <row r="417" spans="1:9" ht="15.75" x14ac:dyDescent="0.25">
      <c r="A417" s="87">
        <v>413</v>
      </c>
      <c r="B417" s="87" t="s">
        <v>919</v>
      </c>
      <c r="C417" s="553">
        <v>9934</v>
      </c>
      <c r="D417" s="563">
        <v>15000</v>
      </c>
      <c r="E417" s="573">
        <v>167</v>
      </c>
      <c r="F417" s="563">
        <v>15000</v>
      </c>
      <c r="G417" s="87">
        <f t="shared" si="6"/>
        <v>0</v>
      </c>
      <c r="H417" s="509"/>
      <c r="I417" s="525"/>
    </row>
    <row r="418" spans="1:9" ht="15.75" x14ac:dyDescent="0.25">
      <c r="A418" s="87">
        <v>414</v>
      </c>
      <c r="B418" s="87" t="s">
        <v>919</v>
      </c>
      <c r="C418" s="553">
        <v>3585</v>
      </c>
      <c r="D418" s="563">
        <v>15000</v>
      </c>
      <c r="E418" s="573">
        <v>167</v>
      </c>
      <c r="F418" s="563">
        <v>15000</v>
      </c>
      <c r="G418" s="87">
        <f t="shared" si="6"/>
        <v>0</v>
      </c>
      <c r="H418" s="509"/>
      <c r="I418" s="525"/>
    </row>
    <row r="419" spans="1:9" ht="15.75" x14ac:dyDescent="0.25">
      <c r="A419" s="87">
        <v>415</v>
      </c>
      <c r="B419" s="87" t="s">
        <v>919</v>
      </c>
      <c r="C419" s="553">
        <v>7678</v>
      </c>
      <c r="D419" s="563">
        <v>23000</v>
      </c>
      <c r="E419" s="573">
        <v>256</v>
      </c>
      <c r="F419" s="563">
        <v>23000</v>
      </c>
      <c r="G419" s="87">
        <f t="shared" si="6"/>
        <v>0</v>
      </c>
      <c r="H419" s="509"/>
      <c r="I419" s="525"/>
    </row>
    <row r="420" spans="1:9" ht="15.75" x14ac:dyDescent="0.25">
      <c r="A420" s="87">
        <v>416</v>
      </c>
      <c r="B420" s="87" t="s">
        <v>919</v>
      </c>
      <c r="C420" s="553">
        <v>6786</v>
      </c>
      <c r="D420" s="563">
        <v>24000</v>
      </c>
      <c r="E420" s="573">
        <v>267</v>
      </c>
      <c r="F420" s="563">
        <v>24000</v>
      </c>
      <c r="G420" s="87">
        <f t="shared" si="6"/>
        <v>0</v>
      </c>
      <c r="H420" s="509"/>
      <c r="I420" s="525"/>
    </row>
    <row r="421" spans="1:9" ht="15.75" x14ac:dyDescent="0.25">
      <c r="A421" s="87">
        <v>417</v>
      </c>
      <c r="B421" s="87" t="s">
        <v>919</v>
      </c>
      <c r="C421" s="553">
        <v>2148</v>
      </c>
      <c r="D421" s="563">
        <v>24000</v>
      </c>
      <c r="E421" s="573">
        <v>267</v>
      </c>
      <c r="F421" s="563">
        <v>24000</v>
      </c>
      <c r="G421" s="87">
        <f t="shared" si="6"/>
        <v>0</v>
      </c>
      <c r="H421" s="509"/>
      <c r="I421" s="525"/>
    </row>
    <row r="422" spans="1:9" ht="15.75" x14ac:dyDescent="0.25">
      <c r="A422" s="87">
        <v>418</v>
      </c>
      <c r="B422" s="87" t="s">
        <v>919</v>
      </c>
      <c r="C422" s="553">
        <v>8869</v>
      </c>
      <c r="D422" s="563">
        <v>25000</v>
      </c>
      <c r="E422" s="573">
        <v>278</v>
      </c>
      <c r="F422" s="563">
        <v>25000</v>
      </c>
      <c r="G422" s="87">
        <f t="shared" si="6"/>
        <v>0</v>
      </c>
      <c r="H422" s="509"/>
      <c r="I422" s="525"/>
    </row>
    <row r="423" spans="1:9" ht="15.75" x14ac:dyDescent="0.25">
      <c r="A423" s="87">
        <v>419</v>
      </c>
      <c r="B423" s="87" t="s">
        <v>919</v>
      </c>
      <c r="C423" s="553">
        <v>7086</v>
      </c>
      <c r="D423" s="563">
        <v>25000</v>
      </c>
      <c r="E423" s="573">
        <v>278</v>
      </c>
      <c r="F423" s="563">
        <v>25000</v>
      </c>
      <c r="G423" s="87">
        <f t="shared" si="6"/>
        <v>0</v>
      </c>
      <c r="H423" s="509"/>
      <c r="I423" s="525"/>
    </row>
    <row r="424" spans="1:9" ht="15.75" x14ac:dyDescent="0.25">
      <c r="A424" s="87">
        <v>420</v>
      </c>
      <c r="B424" s="87" t="s">
        <v>919</v>
      </c>
      <c r="C424" s="553">
        <v>3258</v>
      </c>
      <c r="D424" s="563">
        <v>25000</v>
      </c>
      <c r="E424" s="573">
        <v>278</v>
      </c>
      <c r="F424" s="563">
        <v>25000</v>
      </c>
      <c r="G424" s="87">
        <f t="shared" si="6"/>
        <v>0</v>
      </c>
      <c r="H424" s="509"/>
      <c r="I424" s="525"/>
    </row>
    <row r="425" spans="1:9" ht="15.75" x14ac:dyDescent="0.25">
      <c r="A425" s="87">
        <v>421</v>
      </c>
      <c r="B425" s="87" t="s">
        <v>919</v>
      </c>
      <c r="C425" s="553">
        <v>5485</v>
      </c>
      <c r="D425" s="563">
        <v>26000</v>
      </c>
      <c r="E425" s="573">
        <v>289</v>
      </c>
      <c r="F425" s="563">
        <v>26000</v>
      </c>
      <c r="G425" s="87">
        <f t="shared" si="6"/>
        <v>0</v>
      </c>
      <c r="H425" s="509"/>
      <c r="I425" s="525"/>
    </row>
    <row r="426" spans="1:9" ht="15.75" x14ac:dyDescent="0.25">
      <c r="A426" s="87">
        <v>422</v>
      </c>
      <c r="B426" s="87" t="s">
        <v>919</v>
      </c>
      <c r="C426" s="553">
        <v>9021</v>
      </c>
      <c r="D426" s="563">
        <v>27000</v>
      </c>
      <c r="E426" s="573">
        <v>293</v>
      </c>
      <c r="F426" s="563">
        <v>27000</v>
      </c>
      <c r="G426" s="87">
        <f t="shared" si="6"/>
        <v>0</v>
      </c>
      <c r="H426" s="509"/>
      <c r="I426" s="525"/>
    </row>
    <row r="427" spans="1:9" ht="15.75" x14ac:dyDescent="0.25">
      <c r="A427" s="87">
        <v>423</v>
      </c>
      <c r="B427" s="87" t="s">
        <v>919</v>
      </c>
      <c r="C427" s="553">
        <v>7483</v>
      </c>
      <c r="D427" s="563">
        <v>27000</v>
      </c>
      <c r="E427" s="573">
        <v>300</v>
      </c>
      <c r="F427" s="563">
        <v>27000</v>
      </c>
      <c r="G427" s="87">
        <f t="shared" si="6"/>
        <v>0</v>
      </c>
      <c r="H427" s="509"/>
      <c r="I427" s="525"/>
    </row>
    <row r="428" spans="1:9" ht="15.75" x14ac:dyDescent="0.25">
      <c r="A428" s="87">
        <v>424</v>
      </c>
      <c r="B428" s="87" t="s">
        <v>919</v>
      </c>
      <c r="C428" s="554" t="s">
        <v>924</v>
      </c>
      <c r="D428" s="563">
        <v>27000</v>
      </c>
      <c r="E428" s="573">
        <v>300</v>
      </c>
      <c r="F428" s="563">
        <v>27000</v>
      </c>
      <c r="G428" s="87">
        <f t="shared" si="6"/>
        <v>0</v>
      </c>
      <c r="H428" s="509"/>
      <c r="I428" s="525"/>
    </row>
    <row r="429" spans="1:9" ht="15.75" x14ac:dyDescent="0.25">
      <c r="A429" s="87">
        <v>425</v>
      </c>
      <c r="B429" s="87" t="s">
        <v>920</v>
      </c>
      <c r="C429" s="554" t="s">
        <v>928</v>
      </c>
      <c r="D429" s="563">
        <v>27000</v>
      </c>
      <c r="E429" s="573">
        <v>287</v>
      </c>
      <c r="F429" s="563">
        <v>27000</v>
      </c>
      <c r="G429" s="87">
        <f t="shared" si="6"/>
        <v>0</v>
      </c>
      <c r="H429" s="509"/>
      <c r="I429" s="525"/>
    </row>
    <row r="430" spans="1:9" ht="15.75" x14ac:dyDescent="0.25">
      <c r="A430" s="87">
        <v>426</v>
      </c>
      <c r="B430" s="87" t="s">
        <v>920</v>
      </c>
      <c r="C430" s="553">
        <v>9212</v>
      </c>
      <c r="D430" s="563">
        <v>17000</v>
      </c>
      <c r="E430" s="573">
        <v>181</v>
      </c>
      <c r="F430" s="563">
        <v>17000</v>
      </c>
      <c r="G430" s="87">
        <f t="shared" si="6"/>
        <v>0</v>
      </c>
      <c r="H430" s="509"/>
      <c r="I430" s="525"/>
    </row>
    <row r="431" spans="1:9" ht="15.75" x14ac:dyDescent="0.25">
      <c r="A431" s="87">
        <v>427</v>
      </c>
      <c r="B431" s="87" t="s">
        <v>920</v>
      </c>
      <c r="C431" s="553" t="s">
        <v>30</v>
      </c>
      <c r="D431" s="563">
        <v>5000</v>
      </c>
      <c r="E431" s="573">
        <v>55</v>
      </c>
      <c r="F431" s="563">
        <v>5000</v>
      </c>
      <c r="G431" s="87">
        <f t="shared" si="6"/>
        <v>0</v>
      </c>
      <c r="H431" s="509"/>
      <c r="I431" s="525"/>
    </row>
    <row r="432" spans="1:9" ht="15.75" x14ac:dyDescent="0.25">
      <c r="A432" s="87">
        <v>428</v>
      </c>
      <c r="B432" s="87" t="s">
        <v>920</v>
      </c>
      <c r="C432" s="553" t="s">
        <v>66</v>
      </c>
      <c r="D432" s="563">
        <v>210</v>
      </c>
      <c r="E432" s="573" t="s">
        <v>66</v>
      </c>
      <c r="F432" s="563">
        <v>210</v>
      </c>
      <c r="G432" s="87">
        <f t="shared" si="6"/>
        <v>0</v>
      </c>
      <c r="H432" s="509"/>
      <c r="I432" s="525"/>
    </row>
    <row r="433" spans="1:9" ht="15.75" x14ac:dyDescent="0.25">
      <c r="A433" s="87">
        <v>429</v>
      </c>
      <c r="B433" s="87" t="s">
        <v>920</v>
      </c>
      <c r="C433" s="554" t="s">
        <v>925</v>
      </c>
      <c r="D433" s="563">
        <v>20000</v>
      </c>
      <c r="E433" s="573">
        <v>222</v>
      </c>
      <c r="F433" s="563">
        <v>20000</v>
      </c>
      <c r="G433" s="87">
        <f t="shared" si="6"/>
        <v>0</v>
      </c>
      <c r="H433" s="509"/>
      <c r="I433" s="525"/>
    </row>
    <row r="434" spans="1:9" ht="15.75" x14ac:dyDescent="0.25">
      <c r="A434" s="87">
        <v>430</v>
      </c>
      <c r="B434" s="87" t="s">
        <v>920</v>
      </c>
      <c r="C434" s="553">
        <v>7345</v>
      </c>
      <c r="D434" s="563">
        <v>13000</v>
      </c>
      <c r="E434" s="573">
        <v>144</v>
      </c>
      <c r="F434" s="563">
        <v>13000</v>
      </c>
      <c r="G434" s="87">
        <f t="shared" si="6"/>
        <v>0</v>
      </c>
      <c r="H434" s="509"/>
      <c r="I434" s="525"/>
    </row>
    <row r="435" spans="1:9" ht="15.75" x14ac:dyDescent="0.25">
      <c r="A435" s="87">
        <v>431</v>
      </c>
      <c r="B435" s="87" t="s">
        <v>920</v>
      </c>
      <c r="C435" s="553">
        <v>7344</v>
      </c>
      <c r="D435" s="563">
        <v>13000</v>
      </c>
      <c r="E435" s="573">
        <v>144</v>
      </c>
      <c r="F435" s="563">
        <v>13000</v>
      </c>
      <c r="G435" s="87">
        <f t="shared" si="6"/>
        <v>0</v>
      </c>
      <c r="H435" s="509"/>
      <c r="I435" s="525"/>
    </row>
    <row r="436" spans="1:9" ht="15.75" x14ac:dyDescent="0.25">
      <c r="A436" s="87">
        <v>432</v>
      </c>
      <c r="B436" s="87" t="s">
        <v>920</v>
      </c>
      <c r="C436" s="553" t="s">
        <v>30</v>
      </c>
      <c r="D436" s="563">
        <v>25000</v>
      </c>
      <c r="E436" s="573">
        <v>27</v>
      </c>
      <c r="F436" s="563">
        <v>25000</v>
      </c>
      <c r="G436" s="87">
        <f t="shared" si="6"/>
        <v>0</v>
      </c>
      <c r="H436" s="509"/>
      <c r="I436" s="525"/>
    </row>
    <row r="437" spans="1:9" ht="15.75" x14ac:dyDescent="0.25">
      <c r="A437" s="87">
        <v>433</v>
      </c>
      <c r="B437" s="87" t="s">
        <v>920</v>
      </c>
      <c r="C437" s="553">
        <v>5333</v>
      </c>
      <c r="D437" s="563">
        <v>16000</v>
      </c>
      <c r="E437" s="573">
        <v>178</v>
      </c>
      <c r="F437" s="563">
        <v>16000</v>
      </c>
      <c r="G437" s="87">
        <f t="shared" si="6"/>
        <v>0</v>
      </c>
      <c r="H437" s="509"/>
      <c r="I437" s="525"/>
    </row>
    <row r="438" spans="1:9" ht="15.75" x14ac:dyDescent="0.25">
      <c r="A438" s="87">
        <v>434</v>
      </c>
      <c r="B438" s="87" t="s">
        <v>920</v>
      </c>
      <c r="C438" s="553">
        <v>9457</v>
      </c>
      <c r="D438" s="563">
        <v>29000</v>
      </c>
      <c r="E438" s="573">
        <v>307</v>
      </c>
      <c r="F438" s="563">
        <v>29000</v>
      </c>
      <c r="G438" s="87">
        <f t="shared" si="6"/>
        <v>0</v>
      </c>
      <c r="H438" s="509"/>
      <c r="I438" s="525"/>
    </row>
    <row r="439" spans="1:9" ht="15.75" x14ac:dyDescent="0.25">
      <c r="A439" s="87">
        <v>435</v>
      </c>
      <c r="B439" s="87" t="s">
        <v>920</v>
      </c>
      <c r="C439" s="553">
        <v>1960</v>
      </c>
      <c r="D439" s="563">
        <v>25000</v>
      </c>
      <c r="E439" s="573">
        <v>265</v>
      </c>
      <c r="F439" s="563">
        <v>25000</v>
      </c>
      <c r="G439" s="87">
        <f t="shared" si="6"/>
        <v>0</v>
      </c>
      <c r="H439" s="509"/>
      <c r="I439" s="525"/>
    </row>
    <row r="440" spans="1:9" ht="15.75" x14ac:dyDescent="0.25">
      <c r="A440" s="87">
        <v>436</v>
      </c>
      <c r="B440" s="87" t="s">
        <v>920</v>
      </c>
      <c r="C440" s="553">
        <v>7884</v>
      </c>
      <c r="D440" s="563">
        <v>18000</v>
      </c>
      <c r="E440" s="573">
        <v>200</v>
      </c>
      <c r="F440" s="563">
        <v>18000</v>
      </c>
      <c r="G440" s="87">
        <f t="shared" si="6"/>
        <v>0</v>
      </c>
      <c r="H440" s="509"/>
      <c r="I440" s="525"/>
    </row>
    <row r="441" spans="1:9" ht="15.75" x14ac:dyDescent="0.25">
      <c r="A441" s="87">
        <v>437</v>
      </c>
      <c r="B441" s="87" t="s">
        <v>920</v>
      </c>
      <c r="C441" s="554" t="s">
        <v>926</v>
      </c>
      <c r="D441" s="563">
        <v>27520</v>
      </c>
      <c r="E441" s="573">
        <v>306</v>
      </c>
      <c r="F441" s="563">
        <v>27520</v>
      </c>
      <c r="G441" s="87">
        <f t="shared" si="6"/>
        <v>0</v>
      </c>
      <c r="H441" s="509"/>
      <c r="I441" s="525"/>
    </row>
    <row r="442" spans="1:9" ht="15.75" x14ac:dyDescent="0.25">
      <c r="A442" s="87">
        <v>438</v>
      </c>
      <c r="B442" s="87" t="s">
        <v>920</v>
      </c>
      <c r="C442" s="554" t="s">
        <v>863</v>
      </c>
      <c r="D442" s="563">
        <v>25000</v>
      </c>
      <c r="E442" s="573">
        <v>273</v>
      </c>
      <c r="F442" s="563">
        <v>25000</v>
      </c>
      <c r="G442" s="87">
        <f t="shared" si="6"/>
        <v>0</v>
      </c>
      <c r="H442" s="509"/>
      <c r="I442" s="525"/>
    </row>
    <row r="443" spans="1:9" ht="15.75" x14ac:dyDescent="0.25">
      <c r="A443" s="87">
        <v>439</v>
      </c>
      <c r="B443" s="87" t="s">
        <v>920</v>
      </c>
      <c r="C443" s="554" t="s">
        <v>927</v>
      </c>
      <c r="D443" s="563">
        <v>27000</v>
      </c>
      <c r="E443" s="573">
        <v>300</v>
      </c>
      <c r="F443" s="563">
        <v>27000</v>
      </c>
      <c r="G443" s="87">
        <f t="shared" si="6"/>
        <v>0</v>
      </c>
      <c r="H443" s="509"/>
      <c r="I443" s="525"/>
    </row>
    <row r="444" spans="1:9" ht="15.75" x14ac:dyDescent="0.25">
      <c r="A444" s="87">
        <v>440</v>
      </c>
      <c r="B444" s="87" t="s">
        <v>920</v>
      </c>
      <c r="C444" s="553">
        <v>5824</v>
      </c>
      <c r="D444" s="563">
        <v>10000</v>
      </c>
      <c r="E444" s="573">
        <v>111</v>
      </c>
      <c r="F444" s="563">
        <v>10000</v>
      </c>
      <c r="G444" s="87">
        <f t="shared" si="6"/>
        <v>0</v>
      </c>
      <c r="H444" s="509"/>
      <c r="I444" s="525"/>
    </row>
    <row r="445" spans="1:9" ht="15.75" x14ac:dyDescent="0.25">
      <c r="A445" s="87">
        <v>441</v>
      </c>
      <c r="B445" s="87" t="s">
        <v>920</v>
      </c>
      <c r="C445" s="553">
        <v>8786</v>
      </c>
      <c r="D445" s="563">
        <v>10000</v>
      </c>
      <c r="E445" s="573">
        <v>111</v>
      </c>
      <c r="F445" s="563">
        <v>10000</v>
      </c>
      <c r="G445" s="87">
        <f t="shared" si="6"/>
        <v>0</v>
      </c>
      <c r="H445" s="509"/>
      <c r="I445" s="525"/>
    </row>
    <row r="446" spans="1:9" ht="15.75" x14ac:dyDescent="0.25">
      <c r="A446" s="87">
        <v>442</v>
      </c>
      <c r="B446" s="87" t="s">
        <v>920</v>
      </c>
      <c r="C446" s="553">
        <v>3750</v>
      </c>
      <c r="D446" s="563">
        <v>10000</v>
      </c>
      <c r="E446" s="573">
        <v>111</v>
      </c>
      <c r="F446" s="563">
        <v>10000</v>
      </c>
      <c r="G446" s="87">
        <f t="shared" si="6"/>
        <v>0</v>
      </c>
      <c r="H446" s="509"/>
      <c r="I446" s="525"/>
    </row>
    <row r="447" spans="1:9" ht="15.75" x14ac:dyDescent="0.25">
      <c r="A447" s="87">
        <v>443</v>
      </c>
      <c r="B447" s="87" t="s">
        <v>920</v>
      </c>
      <c r="C447" s="553">
        <v>7217</v>
      </c>
      <c r="D447" s="563">
        <v>25000</v>
      </c>
      <c r="E447" s="573">
        <v>278</v>
      </c>
      <c r="F447" s="563">
        <v>25000</v>
      </c>
      <c r="G447" s="87">
        <f t="shared" si="6"/>
        <v>0</v>
      </c>
      <c r="H447" s="509"/>
      <c r="I447" s="525"/>
    </row>
    <row r="448" spans="1:9" ht="15.75" x14ac:dyDescent="0.25">
      <c r="A448" s="87">
        <v>444</v>
      </c>
      <c r="B448" s="87" t="s">
        <v>920</v>
      </c>
      <c r="C448" s="553" t="s">
        <v>929</v>
      </c>
      <c r="D448" s="563">
        <v>15000</v>
      </c>
      <c r="E448" s="573">
        <v>167</v>
      </c>
      <c r="F448" s="563">
        <v>15000</v>
      </c>
      <c r="G448" s="87">
        <f t="shared" si="6"/>
        <v>0</v>
      </c>
      <c r="H448" s="509"/>
      <c r="I448" s="525"/>
    </row>
    <row r="449" spans="1:9" ht="15.75" x14ac:dyDescent="0.25">
      <c r="A449" s="87">
        <v>445</v>
      </c>
      <c r="B449" s="87" t="s">
        <v>920</v>
      </c>
      <c r="C449" s="553" t="s">
        <v>929</v>
      </c>
      <c r="D449" s="563">
        <v>7000</v>
      </c>
      <c r="E449" s="573">
        <v>77</v>
      </c>
      <c r="F449" s="563">
        <v>7000</v>
      </c>
      <c r="G449" s="87">
        <f t="shared" si="6"/>
        <v>0</v>
      </c>
      <c r="H449" s="509"/>
      <c r="I449" s="525"/>
    </row>
    <row r="450" spans="1:9" ht="15.75" x14ac:dyDescent="0.25">
      <c r="A450" s="87">
        <v>446</v>
      </c>
      <c r="B450" s="87" t="s">
        <v>920</v>
      </c>
      <c r="C450" s="553">
        <v>8113</v>
      </c>
      <c r="D450" s="563">
        <v>23000</v>
      </c>
      <c r="E450" s="573">
        <v>256</v>
      </c>
      <c r="F450" s="563">
        <v>23000</v>
      </c>
      <c r="G450" s="87">
        <f t="shared" si="6"/>
        <v>0</v>
      </c>
      <c r="H450" s="509"/>
      <c r="I450" s="525"/>
    </row>
    <row r="451" spans="1:9" ht="15.75" x14ac:dyDescent="0.25">
      <c r="A451" s="87">
        <v>447</v>
      </c>
      <c r="B451" s="87" t="s">
        <v>920</v>
      </c>
      <c r="C451" s="553">
        <v>8890</v>
      </c>
      <c r="D451" s="563">
        <v>25000</v>
      </c>
      <c r="E451" s="573">
        <v>278</v>
      </c>
      <c r="F451" s="563">
        <v>25000</v>
      </c>
      <c r="G451" s="87">
        <f t="shared" si="6"/>
        <v>0</v>
      </c>
      <c r="H451" s="509"/>
      <c r="I451" s="525"/>
    </row>
    <row r="452" spans="1:9" ht="15.75" x14ac:dyDescent="0.25">
      <c r="A452" s="87">
        <v>448</v>
      </c>
      <c r="B452" s="87" t="s">
        <v>920</v>
      </c>
      <c r="C452" s="553">
        <v>4941</v>
      </c>
      <c r="D452" s="563">
        <v>30000</v>
      </c>
      <c r="E452" s="573">
        <v>334</v>
      </c>
      <c r="F452" s="563">
        <v>30000</v>
      </c>
      <c r="G452" s="87">
        <f t="shared" si="6"/>
        <v>0</v>
      </c>
      <c r="H452" s="509"/>
      <c r="I452" s="525"/>
    </row>
    <row r="453" spans="1:9" ht="15.75" x14ac:dyDescent="0.25">
      <c r="A453" s="87">
        <v>449</v>
      </c>
      <c r="B453" s="87" t="s">
        <v>920</v>
      </c>
      <c r="C453" s="553">
        <v>1248</v>
      </c>
      <c r="D453" s="563">
        <v>30000</v>
      </c>
      <c r="E453" s="573">
        <v>334</v>
      </c>
      <c r="F453" s="563">
        <v>30000</v>
      </c>
      <c r="G453" s="87">
        <f t="shared" ref="G453:G516" si="7">D453-F453</f>
        <v>0</v>
      </c>
      <c r="H453" s="509"/>
      <c r="I453" s="525"/>
    </row>
    <row r="454" spans="1:9" ht="15.75" x14ac:dyDescent="0.25">
      <c r="A454" s="87">
        <v>450</v>
      </c>
      <c r="B454" s="87" t="s">
        <v>920</v>
      </c>
      <c r="C454" s="553">
        <v>1250</v>
      </c>
      <c r="D454" s="563">
        <v>15000</v>
      </c>
      <c r="E454" s="573">
        <v>167</v>
      </c>
      <c r="F454" s="563">
        <v>15000</v>
      </c>
      <c r="G454" s="87">
        <f t="shared" si="7"/>
        <v>0</v>
      </c>
      <c r="H454" s="509"/>
      <c r="I454" s="525"/>
    </row>
    <row r="455" spans="1:9" ht="15.75" x14ac:dyDescent="0.25">
      <c r="A455" s="87">
        <v>451</v>
      </c>
      <c r="B455" s="87" t="s">
        <v>920</v>
      </c>
      <c r="C455" s="553">
        <v>6625</v>
      </c>
      <c r="D455" s="563">
        <v>24000</v>
      </c>
      <c r="E455" s="573">
        <v>267</v>
      </c>
      <c r="F455" s="563">
        <v>24000</v>
      </c>
      <c r="G455" s="87">
        <f t="shared" si="7"/>
        <v>0</v>
      </c>
      <c r="H455" s="509"/>
      <c r="I455" s="525"/>
    </row>
    <row r="456" spans="1:9" ht="15.75" x14ac:dyDescent="0.25">
      <c r="A456" s="87">
        <v>452</v>
      </c>
      <c r="B456" s="87" t="s">
        <v>921</v>
      </c>
      <c r="C456" s="554" t="s">
        <v>890</v>
      </c>
      <c r="D456" s="563">
        <v>14000</v>
      </c>
      <c r="E456" s="573">
        <v>155</v>
      </c>
      <c r="F456" s="563">
        <v>14000</v>
      </c>
      <c r="G456" s="87">
        <f t="shared" si="7"/>
        <v>0</v>
      </c>
      <c r="H456" s="509"/>
      <c r="I456" s="525"/>
    </row>
    <row r="457" spans="1:9" ht="15.75" x14ac:dyDescent="0.25">
      <c r="A457" s="87">
        <v>453</v>
      </c>
      <c r="B457" s="87" t="s">
        <v>921</v>
      </c>
      <c r="C457" s="553">
        <v>5152</v>
      </c>
      <c r="D457" s="563">
        <v>15000</v>
      </c>
      <c r="E457" s="573">
        <v>169</v>
      </c>
      <c r="F457" s="563">
        <v>15000</v>
      </c>
      <c r="G457" s="87">
        <f t="shared" si="7"/>
        <v>0</v>
      </c>
      <c r="H457" s="509"/>
      <c r="I457" s="525"/>
    </row>
    <row r="458" spans="1:9" ht="15.75" x14ac:dyDescent="0.25">
      <c r="A458" s="87">
        <v>454</v>
      </c>
      <c r="B458" s="87" t="s">
        <v>921</v>
      </c>
      <c r="C458" s="553">
        <v>6133</v>
      </c>
      <c r="D458" s="563">
        <v>16000</v>
      </c>
      <c r="E458" s="573">
        <v>178</v>
      </c>
      <c r="F458" s="563">
        <v>16000</v>
      </c>
      <c r="G458" s="87">
        <f t="shared" si="7"/>
        <v>0</v>
      </c>
      <c r="H458" s="509"/>
      <c r="I458" s="525"/>
    </row>
    <row r="459" spans="1:9" ht="15.75" x14ac:dyDescent="0.25">
      <c r="A459" s="87">
        <v>455</v>
      </c>
      <c r="B459" s="87" t="s">
        <v>921</v>
      </c>
      <c r="C459" s="553" t="s">
        <v>819</v>
      </c>
      <c r="D459" s="563">
        <v>3500</v>
      </c>
      <c r="E459" s="573">
        <v>38</v>
      </c>
      <c r="F459" s="563">
        <v>3500</v>
      </c>
      <c r="G459" s="87">
        <f t="shared" si="7"/>
        <v>0</v>
      </c>
      <c r="H459" s="509"/>
      <c r="I459" s="525"/>
    </row>
    <row r="460" spans="1:9" ht="15.75" x14ac:dyDescent="0.25">
      <c r="A460" s="87">
        <v>456</v>
      </c>
      <c r="B460" s="87" t="s">
        <v>921</v>
      </c>
      <c r="C460" s="553">
        <v>7263</v>
      </c>
      <c r="D460" s="563">
        <v>15000</v>
      </c>
      <c r="E460" s="573">
        <v>167</v>
      </c>
      <c r="F460" s="563">
        <v>15000</v>
      </c>
      <c r="G460" s="87">
        <f t="shared" si="7"/>
        <v>0</v>
      </c>
      <c r="H460" s="509"/>
      <c r="I460" s="525"/>
    </row>
    <row r="461" spans="1:9" ht="15.75" x14ac:dyDescent="0.25">
      <c r="A461" s="87">
        <v>457</v>
      </c>
      <c r="B461" s="87" t="s">
        <v>921</v>
      </c>
      <c r="C461" s="553">
        <v>4566</v>
      </c>
      <c r="D461" s="563">
        <v>20000</v>
      </c>
      <c r="E461" s="573">
        <v>222</v>
      </c>
      <c r="F461" s="563">
        <v>20000</v>
      </c>
      <c r="G461" s="87">
        <f t="shared" si="7"/>
        <v>0</v>
      </c>
      <c r="H461" s="509"/>
      <c r="I461" s="525"/>
    </row>
    <row r="462" spans="1:9" ht="15.75" x14ac:dyDescent="0.25">
      <c r="A462" s="87">
        <v>458</v>
      </c>
      <c r="B462" s="87" t="s">
        <v>921</v>
      </c>
      <c r="C462" s="553">
        <v>5166</v>
      </c>
      <c r="D462" s="563">
        <v>20000</v>
      </c>
      <c r="E462" s="573">
        <v>222</v>
      </c>
      <c r="F462" s="563">
        <v>20000</v>
      </c>
      <c r="G462" s="87">
        <f t="shared" si="7"/>
        <v>0</v>
      </c>
      <c r="H462" s="509"/>
      <c r="I462" s="525"/>
    </row>
    <row r="463" spans="1:9" ht="15.75" x14ac:dyDescent="0.25">
      <c r="A463" s="87">
        <v>459</v>
      </c>
      <c r="B463" s="87" t="s">
        <v>921</v>
      </c>
      <c r="C463" s="553" t="s">
        <v>30</v>
      </c>
      <c r="D463" s="563">
        <v>3000</v>
      </c>
      <c r="E463" s="573">
        <v>32</v>
      </c>
      <c r="F463" s="563">
        <v>3000</v>
      </c>
      <c r="G463" s="87">
        <f t="shared" si="7"/>
        <v>0</v>
      </c>
      <c r="H463" s="509"/>
      <c r="I463" s="525"/>
    </row>
    <row r="464" spans="1:9" ht="15.75" x14ac:dyDescent="0.25">
      <c r="A464" s="87">
        <v>460</v>
      </c>
      <c r="B464" s="87" t="s">
        <v>921</v>
      </c>
      <c r="C464" s="553">
        <v>6550</v>
      </c>
      <c r="D464" s="563">
        <v>10000</v>
      </c>
      <c r="E464" s="573">
        <v>111</v>
      </c>
      <c r="F464" s="563">
        <v>10000</v>
      </c>
      <c r="G464" s="87">
        <f t="shared" si="7"/>
        <v>0</v>
      </c>
      <c r="H464" s="509"/>
      <c r="I464" s="525"/>
    </row>
    <row r="465" spans="1:9" ht="15.75" x14ac:dyDescent="0.25">
      <c r="A465" s="87">
        <v>461</v>
      </c>
      <c r="B465" s="87" t="s">
        <v>921</v>
      </c>
      <c r="C465" s="553" t="s">
        <v>66</v>
      </c>
      <c r="D465" s="563">
        <v>100</v>
      </c>
      <c r="E465" s="573" t="s">
        <v>66</v>
      </c>
      <c r="F465" s="563">
        <v>100</v>
      </c>
      <c r="G465" s="87">
        <f t="shared" si="7"/>
        <v>0</v>
      </c>
      <c r="H465" s="509"/>
      <c r="I465" s="525"/>
    </row>
    <row r="466" spans="1:9" ht="15.75" x14ac:dyDescent="0.25">
      <c r="A466" s="87">
        <v>462</v>
      </c>
      <c r="B466" s="87" t="s">
        <v>921</v>
      </c>
      <c r="C466" s="553" t="s">
        <v>30</v>
      </c>
      <c r="D466" s="563">
        <v>5000</v>
      </c>
      <c r="E466" s="573">
        <v>55</v>
      </c>
      <c r="F466" s="563">
        <v>5000</v>
      </c>
      <c r="G466" s="87">
        <f t="shared" si="7"/>
        <v>0</v>
      </c>
      <c r="H466" s="509"/>
      <c r="I466" s="525"/>
    </row>
    <row r="467" spans="1:9" ht="15.75" x14ac:dyDescent="0.25">
      <c r="A467" s="87">
        <v>463</v>
      </c>
      <c r="B467" s="87" t="s">
        <v>921</v>
      </c>
      <c r="C467" s="553">
        <v>6096</v>
      </c>
      <c r="D467" s="563">
        <v>16000</v>
      </c>
      <c r="E467" s="574">
        <v>178</v>
      </c>
      <c r="F467" s="563">
        <v>16000</v>
      </c>
      <c r="G467" s="87">
        <f t="shared" si="7"/>
        <v>0</v>
      </c>
      <c r="H467" s="509"/>
      <c r="I467" s="525"/>
    </row>
    <row r="468" spans="1:9" ht="15.75" x14ac:dyDescent="0.25">
      <c r="A468" s="87">
        <v>464</v>
      </c>
      <c r="B468" s="87" t="s">
        <v>921</v>
      </c>
      <c r="C468" s="555">
        <v>8863</v>
      </c>
      <c r="D468" s="563">
        <v>25000</v>
      </c>
      <c r="E468" s="573">
        <v>248</v>
      </c>
      <c r="F468" s="563">
        <v>25000</v>
      </c>
      <c r="G468" s="87">
        <f t="shared" si="7"/>
        <v>0</v>
      </c>
      <c r="H468" s="509"/>
      <c r="I468" s="525"/>
    </row>
    <row r="469" spans="1:9" ht="15.75" x14ac:dyDescent="0.25">
      <c r="A469" s="87">
        <v>465</v>
      </c>
      <c r="B469" s="87" t="s">
        <v>921</v>
      </c>
      <c r="C469" s="553">
        <v>5750</v>
      </c>
      <c r="D469" s="563">
        <v>31000</v>
      </c>
      <c r="E469" s="574">
        <v>323</v>
      </c>
      <c r="F469" s="563">
        <v>31000</v>
      </c>
      <c r="G469" s="87">
        <f t="shared" si="7"/>
        <v>0</v>
      </c>
      <c r="H469" s="509"/>
      <c r="I469" s="525"/>
    </row>
    <row r="470" spans="1:9" ht="15.75" x14ac:dyDescent="0.25">
      <c r="A470" s="87">
        <v>466</v>
      </c>
      <c r="B470" s="87" t="s">
        <v>921</v>
      </c>
      <c r="C470" s="553">
        <v>9076</v>
      </c>
      <c r="D470" s="563">
        <v>30000</v>
      </c>
      <c r="E470" s="573">
        <v>334</v>
      </c>
      <c r="F470" s="563">
        <v>30000</v>
      </c>
      <c r="G470" s="87">
        <f t="shared" si="7"/>
        <v>0</v>
      </c>
      <c r="H470" s="509"/>
      <c r="I470" s="525"/>
    </row>
    <row r="471" spans="1:9" ht="15.75" x14ac:dyDescent="0.25">
      <c r="A471" s="87">
        <v>467</v>
      </c>
      <c r="B471" s="87" t="s">
        <v>921</v>
      </c>
      <c r="C471" s="553">
        <v>3668</v>
      </c>
      <c r="D471" s="563">
        <v>25000</v>
      </c>
      <c r="E471" s="573">
        <v>278</v>
      </c>
      <c r="F471" s="563">
        <v>25000</v>
      </c>
      <c r="G471" s="87">
        <f t="shared" si="7"/>
        <v>0</v>
      </c>
      <c r="H471" s="509"/>
      <c r="I471" s="525"/>
    </row>
    <row r="472" spans="1:9" ht="15.75" x14ac:dyDescent="0.25">
      <c r="A472" s="87">
        <v>468</v>
      </c>
      <c r="B472" s="87" t="s">
        <v>921</v>
      </c>
      <c r="C472" s="553">
        <v>7337</v>
      </c>
      <c r="D472" s="563">
        <v>30000</v>
      </c>
      <c r="E472" s="573">
        <v>324</v>
      </c>
      <c r="F472" s="563">
        <v>30000</v>
      </c>
      <c r="G472" s="87">
        <f t="shared" si="7"/>
        <v>0</v>
      </c>
      <c r="H472" s="509"/>
      <c r="I472" s="525"/>
    </row>
    <row r="473" spans="1:9" ht="15.75" x14ac:dyDescent="0.25">
      <c r="A473" s="87">
        <v>469</v>
      </c>
      <c r="B473" s="87" t="s">
        <v>921</v>
      </c>
      <c r="C473" s="553">
        <v>2888</v>
      </c>
      <c r="D473" s="563">
        <v>23000</v>
      </c>
      <c r="E473" s="573">
        <v>256</v>
      </c>
      <c r="F473" s="563">
        <v>23000</v>
      </c>
      <c r="G473" s="87">
        <f t="shared" si="7"/>
        <v>0</v>
      </c>
      <c r="H473" s="509"/>
      <c r="I473" s="525"/>
    </row>
    <row r="474" spans="1:9" ht="15.75" x14ac:dyDescent="0.25">
      <c r="A474" s="87">
        <v>470</v>
      </c>
      <c r="B474" s="87" t="s">
        <v>921</v>
      </c>
      <c r="C474" s="553">
        <v>2085</v>
      </c>
      <c r="D474" s="563">
        <v>26000</v>
      </c>
      <c r="E474" s="573">
        <v>275</v>
      </c>
      <c r="F474" s="563">
        <v>26000</v>
      </c>
      <c r="G474" s="87">
        <f t="shared" si="7"/>
        <v>0</v>
      </c>
      <c r="H474" s="509"/>
      <c r="I474" s="525"/>
    </row>
    <row r="475" spans="1:9" ht="15.75" x14ac:dyDescent="0.25">
      <c r="A475" s="87">
        <v>471</v>
      </c>
      <c r="B475" s="87" t="s">
        <v>921</v>
      </c>
      <c r="C475" s="553">
        <v>6485</v>
      </c>
      <c r="D475" s="563">
        <v>33000</v>
      </c>
      <c r="E475" s="573">
        <v>360</v>
      </c>
      <c r="F475" s="563">
        <v>33000</v>
      </c>
      <c r="G475" s="87">
        <f t="shared" si="7"/>
        <v>0</v>
      </c>
      <c r="H475" s="509"/>
      <c r="I475" s="525"/>
    </row>
    <row r="476" spans="1:9" ht="15.75" x14ac:dyDescent="0.25">
      <c r="A476" s="87">
        <v>472</v>
      </c>
      <c r="B476" s="87" t="s">
        <v>921</v>
      </c>
      <c r="C476" s="553">
        <v>6943</v>
      </c>
      <c r="D476" s="563">
        <v>32000</v>
      </c>
      <c r="E476" s="573">
        <v>356</v>
      </c>
      <c r="F476" s="563">
        <v>32000</v>
      </c>
      <c r="G476" s="87">
        <f t="shared" si="7"/>
        <v>0</v>
      </c>
      <c r="H476" s="509"/>
      <c r="I476" s="525"/>
    </row>
    <row r="477" spans="1:9" ht="15.75" x14ac:dyDescent="0.25">
      <c r="A477" s="87">
        <v>473</v>
      </c>
      <c r="B477" s="87" t="s">
        <v>921</v>
      </c>
      <c r="C477" s="553">
        <v>9844</v>
      </c>
      <c r="D477" s="563">
        <v>20000</v>
      </c>
      <c r="E477" s="573">
        <v>222</v>
      </c>
      <c r="F477" s="563">
        <v>20000</v>
      </c>
      <c r="G477" s="87">
        <f t="shared" si="7"/>
        <v>0</v>
      </c>
      <c r="H477" s="509"/>
      <c r="I477" s="525"/>
    </row>
    <row r="478" spans="1:9" ht="15.75" x14ac:dyDescent="0.25">
      <c r="A478" s="87">
        <v>474</v>
      </c>
      <c r="B478" s="87" t="s">
        <v>921</v>
      </c>
      <c r="C478" s="553">
        <v>3438</v>
      </c>
      <c r="D478" s="563">
        <v>27000</v>
      </c>
      <c r="E478" s="573">
        <v>300</v>
      </c>
      <c r="F478" s="563">
        <v>27000</v>
      </c>
      <c r="G478" s="87">
        <f t="shared" si="7"/>
        <v>0</v>
      </c>
      <c r="H478" s="509"/>
      <c r="I478" s="525"/>
    </row>
    <row r="479" spans="1:9" ht="15.75" x14ac:dyDescent="0.25">
      <c r="A479" s="87">
        <v>475</v>
      </c>
      <c r="B479" s="87" t="s">
        <v>921</v>
      </c>
      <c r="C479" s="554" t="s">
        <v>930</v>
      </c>
      <c r="D479" s="563">
        <v>24000</v>
      </c>
      <c r="E479" s="573">
        <v>267</v>
      </c>
      <c r="F479" s="563">
        <v>24000</v>
      </c>
      <c r="G479" s="87">
        <f t="shared" si="7"/>
        <v>0</v>
      </c>
      <c r="H479" s="509"/>
      <c r="I479" s="525"/>
    </row>
    <row r="480" spans="1:9" ht="15.75" x14ac:dyDescent="0.25">
      <c r="A480" s="87">
        <v>476</v>
      </c>
      <c r="B480" s="87" t="s">
        <v>921</v>
      </c>
      <c r="C480" s="554" t="s">
        <v>931</v>
      </c>
      <c r="D480" s="563">
        <v>24000</v>
      </c>
      <c r="E480" s="573">
        <v>267</v>
      </c>
      <c r="F480" s="563">
        <v>24000</v>
      </c>
      <c r="G480" s="87">
        <f t="shared" si="7"/>
        <v>0</v>
      </c>
      <c r="H480" s="509"/>
      <c r="I480" s="525"/>
    </row>
    <row r="481" spans="1:9" ht="15.75" x14ac:dyDescent="0.25">
      <c r="A481" s="87">
        <v>477</v>
      </c>
      <c r="B481" s="87" t="s">
        <v>921</v>
      </c>
      <c r="C481" s="553">
        <v>9458</v>
      </c>
      <c r="D481" s="563">
        <v>27000</v>
      </c>
      <c r="E481" s="573">
        <v>300</v>
      </c>
      <c r="F481" s="563">
        <v>27000</v>
      </c>
      <c r="G481" s="87">
        <f t="shared" si="7"/>
        <v>0</v>
      </c>
      <c r="H481" s="509"/>
      <c r="I481" s="525"/>
    </row>
    <row r="482" spans="1:9" ht="15.75" x14ac:dyDescent="0.25">
      <c r="A482" s="87">
        <v>478</v>
      </c>
      <c r="B482" s="87" t="s">
        <v>921</v>
      </c>
      <c r="C482" s="553">
        <v>1429</v>
      </c>
      <c r="D482" s="563">
        <v>20000</v>
      </c>
      <c r="E482" s="573">
        <v>222</v>
      </c>
      <c r="F482" s="563">
        <v>20000</v>
      </c>
      <c r="G482" s="87">
        <f t="shared" si="7"/>
        <v>0</v>
      </c>
      <c r="H482" s="509"/>
      <c r="I482" s="525"/>
    </row>
    <row r="483" spans="1:9" ht="15.75" x14ac:dyDescent="0.25">
      <c r="A483" s="87">
        <v>479</v>
      </c>
      <c r="B483" s="87" t="s">
        <v>921</v>
      </c>
      <c r="C483" s="553">
        <v>2377</v>
      </c>
      <c r="D483" s="563">
        <v>26000</v>
      </c>
      <c r="E483" s="573">
        <v>281</v>
      </c>
      <c r="F483" s="563">
        <v>26000</v>
      </c>
      <c r="G483" s="87">
        <f t="shared" si="7"/>
        <v>0</v>
      </c>
      <c r="H483" s="509"/>
      <c r="I483" s="525"/>
    </row>
    <row r="484" spans="1:9" ht="15.75" x14ac:dyDescent="0.25">
      <c r="A484" s="87">
        <v>480</v>
      </c>
      <c r="B484" s="87" t="s">
        <v>921</v>
      </c>
      <c r="C484" s="553">
        <v>7217</v>
      </c>
      <c r="D484" s="563">
        <v>26000</v>
      </c>
      <c r="E484" s="573">
        <v>278</v>
      </c>
      <c r="F484" s="563">
        <v>26000</v>
      </c>
      <c r="G484" s="87">
        <f t="shared" si="7"/>
        <v>0</v>
      </c>
      <c r="H484" s="509"/>
      <c r="I484" s="525"/>
    </row>
    <row r="485" spans="1:9" ht="15.75" x14ac:dyDescent="0.25">
      <c r="A485" s="87">
        <v>481</v>
      </c>
      <c r="B485" s="87" t="s">
        <v>921</v>
      </c>
      <c r="C485" s="553">
        <v>7194</v>
      </c>
      <c r="D485" s="563">
        <v>24000</v>
      </c>
      <c r="E485" s="573">
        <v>267</v>
      </c>
      <c r="F485" s="563">
        <v>24000</v>
      </c>
      <c r="G485" s="87">
        <f t="shared" si="7"/>
        <v>0</v>
      </c>
      <c r="H485" s="509"/>
      <c r="I485" s="525"/>
    </row>
    <row r="486" spans="1:9" ht="15.75" x14ac:dyDescent="0.25">
      <c r="A486" s="87">
        <v>482</v>
      </c>
      <c r="B486" s="87" t="s">
        <v>921</v>
      </c>
      <c r="C486" s="553">
        <v>1162</v>
      </c>
      <c r="D486" s="563">
        <v>32000</v>
      </c>
      <c r="E486" s="573">
        <v>356</v>
      </c>
      <c r="F486" s="563">
        <v>32000</v>
      </c>
      <c r="G486" s="87">
        <f t="shared" si="7"/>
        <v>0</v>
      </c>
      <c r="H486" s="509"/>
      <c r="I486" s="525"/>
    </row>
    <row r="487" spans="1:9" ht="15.75" x14ac:dyDescent="0.25">
      <c r="A487" s="87">
        <v>483</v>
      </c>
      <c r="B487" s="87" t="s">
        <v>921</v>
      </c>
      <c r="C487" s="553">
        <v>9935</v>
      </c>
      <c r="D487" s="563">
        <v>15235</v>
      </c>
      <c r="E487" s="573">
        <v>169</v>
      </c>
      <c r="F487" s="563">
        <v>15235</v>
      </c>
      <c r="G487" s="87">
        <f t="shared" si="7"/>
        <v>0</v>
      </c>
      <c r="H487" s="509"/>
      <c r="I487" s="525"/>
    </row>
    <row r="488" spans="1:9" ht="15.75" x14ac:dyDescent="0.25">
      <c r="A488" s="87">
        <v>484</v>
      </c>
      <c r="B488" s="87" t="s">
        <v>922</v>
      </c>
      <c r="C488" s="553" t="s">
        <v>819</v>
      </c>
      <c r="D488" s="563">
        <v>3500</v>
      </c>
      <c r="E488" s="573">
        <v>78</v>
      </c>
      <c r="F488" s="563">
        <v>3500</v>
      </c>
      <c r="G488" s="87">
        <f t="shared" si="7"/>
        <v>0</v>
      </c>
      <c r="H488" s="509"/>
      <c r="I488" s="525"/>
    </row>
    <row r="489" spans="1:9" ht="15.75" x14ac:dyDescent="0.25">
      <c r="A489" s="87">
        <v>485</v>
      </c>
      <c r="B489" s="87" t="s">
        <v>922</v>
      </c>
      <c r="C489" s="553">
        <v>1738</v>
      </c>
      <c r="D489" s="563">
        <v>16000</v>
      </c>
      <c r="E489" s="573">
        <v>178</v>
      </c>
      <c r="F489" s="563">
        <v>16000</v>
      </c>
      <c r="G489" s="87">
        <f t="shared" si="7"/>
        <v>0</v>
      </c>
      <c r="H489" s="509"/>
      <c r="I489" s="525"/>
    </row>
    <row r="490" spans="1:9" ht="15.75" x14ac:dyDescent="0.25">
      <c r="A490" s="87">
        <v>486</v>
      </c>
      <c r="B490" s="87" t="s">
        <v>922</v>
      </c>
      <c r="C490" s="553">
        <v>6734</v>
      </c>
      <c r="D490" s="563">
        <v>16000</v>
      </c>
      <c r="E490" s="573">
        <v>178</v>
      </c>
      <c r="F490" s="563">
        <v>16000</v>
      </c>
      <c r="G490" s="87">
        <f t="shared" si="7"/>
        <v>0</v>
      </c>
      <c r="H490" s="509"/>
      <c r="I490" s="525"/>
    </row>
    <row r="491" spans="1:9" ht="15.75" x14ac:dyDescent="0.25">
      <c r="A491" s="87">
        <v>487</v>
      </c>
      <c r="B491" s="87" t="s">
        <v>922</v>
      </c>
      <c r="C491" s="553">
        <v>6929</v>
      </c>
      <c r="D491" s="563">
        <v>16000</v>
      </c>
      <c r="E491" s="573">
        <v>178</v>
      </c>
      <c r="F491" s="563">
        <v>16000</v>
      </c>
      <c r="G491" s="87">
        <f t="shared" si="7"/>
        <v>0</v>
      </c>
      <c r="H491" s="509"/>
      <c r="I491" s="525"/>
    </row>
    <row r="492" spans="1:9" ht="15.75" x14ac:dyDescent="0.25">
      <c r="A492" s="87">
        <v>488</v>
      </c>
      <c r="B492" s="87" t="s">
        <v>922</v>
      </c>
      <c r="C492" s="553">
        <v>4059</v>
      </c>
      <c r="D492" s="563">
        <v>16000</v>
      </c>
      <c r="E492" s="573">
        <v>178</v>
      </c>
      <c r="F492" s="563">
        <v>16000</v>
      </c>
      <c r="G492" s="87">
        <f t="shared" si="7"/>
        <v>0</v>
      </c>
      <c r="H492" s="509"/>
      <c r="I492" s="525"/>
    </row>
    <row r="493" spans="1:9" ht="15.75" x14ac:dyDescent="0.25">
      <c r="A493" s="87">
        <v>489</v>
      </c>
      <c r="B493" s="87" t="s">
        <v>922</v>
      </c>
      <c r="C493" s="553">
        <v>4514</v>
      </c>
      <c r="D493" s="563">
        <v>16000</v>
      </c>
      <c r="E493" s="573">
        <v>178</v>
      </c>
      <c r="F493" s="563">
        <v>16000</v>
      </c>
      <c r="G493" s="87">
        <f t="shared" si="7"/>
        <v>0</v>
      </c>
      <c r="H493" s="509"/>
      <c r="I493" s="525"/>
    </row>
    <row r="494" spans="1:9" ht="15.75" x14ac:dyDescent="0.25">
      <c r="A494" s="87">
        <v>490</v>
      </c>
      <c r="B494" s="87" t="s">
        <v>922</v>
      </c>
      <c r="C494" s="553">
        <v>8085</v>
      </c>
      <c r="D494" s="563">
        <v>16000</v>
      </c>
      <c r="E494" s="573">
        <v>178</v>
      </c>
      <c r="F494" s="563">
        <v>16000</v>
      </c>
      <c r="G494" s="87">
        <f t="shared" si="7"/>
        <v>0</v>
      </c>
      <c r="H494" s="509"/>
      <c r="I494" s="525"/>
    </row>
    <row r="495" spans="1:9" ht="15.75" x14ac:dyDescent="0.25">
      <c r="A495" s="87">
        <v>491</v>
      </c>
      <c r="B495" s="87" t="s">
        <v>922</v>
      </c>
      <c r="C495" s="553">
        <v>4513</v>
      </c>
      <c r="D495" s="563">
        <v>16000</v>
      </c>
      <c r="E495" s="573">
        <v>178</v>
      </c>
      <c r="F495" s="563">
        <v>16000</v>
      </c>
      <c r="G495" s="87">
        <f t="shared" si="7"/>
        <v>0</v>
      </c>
      <c r="H495" s="509"/>
      <c r="I495" s="525"/>
    </row>
    <row r="496" spans="1:9" ht="15.75" x14ac:dyDescent="0.25">
      <c r="A496" s="87">
        <v>492</v>
      </c>
      <c r="B496" s="87" t="s">
        <v>922</v>
      </c>
      <c r="C496" s="553">
        <v>8820</v>
      </c>
      <c r="D496" s="563">
        <v>16000</v>
      </c>
      <c r="E496" s="573">
        <v>178</v>
      </c>
      <c r="F496" s="563">
        <v>16000</v>
      </c>
      <c r="G496" s="87">
        <f t="shared" si="7"/>
        <v>0</v>
      </c>
      <c r="H496" s="509"/>
      <c r="I496" s="525"/>
    </row>
    <row r="497" spans="1:9" ht="15.75" x14ac:dyDescent="0.25">
      <c r="A497" s="87">
        <v>493</v>
      </c>
      <c r="B497" s="87" t="s">
        <v>922</v>
      </c>
      <c r="C497" s="553">
        <v>3659</v>
      </c>
      <c r="D497" s="563">
        <v>25000</v>
      </c>
      <c r="E497" s="573">
        <v>260</v>
      </c>
      <c r="F497" s="563">
        <v>25000</v>
      </c>
      <c r="G497" s="87">
        <f t="shared" si="7"/>
        <v>0</v>
      </c>
      <c r="H497" s="509"/>
      <c r="I497" s="525"/>
    </row>
    <row r="498" spans="1:9" ht="15.75" x14ac:dyDescent="0.25">
      <c r="A498" s="87">
        <v>494</v>
      </c>
      <c r="B498" s="87" t="s">
        <v>922</v>
      </c>
      <c r="C498" s="553" t="s">
        <v>30</v>
      </c>
      <c r="D498" s="563">
        <v>3000</v>
      </c>
      <c r="E498" s="573">
        <v>32</v>
      </c>
      <c r="F498" s="563">
        <v>3000</v>
      </c>
      <c r="G498" s="87">
        <f t="shared" si="7"/>
        <v>0</v>
      </c>
      <c r="H498" s="509"/>
      <c r="I498" s="525"/>
    </row>
    <row r="499" spans="1:9" ht="15.75" x14ac:dyDescent="0.25">
      <c r="A499" s="87">
        <v>495</v>
      </c>
      <c r="B499" s="87" t="s">
        <v>922</v>
      </c>
      <c r="C499" s="553">
        <v>7004</v>
      </c>
      <c r="D499" s="563">
        <v>21000</v>
      </c>
      <c r="E499" s="573">
        <v>223</v>
      </c>
      <c r="F499" s="563">
        <v>21000</v>
      </c>
      <c r="G499" s="87">
        <f t="shared" si="7"/>
        <v>0</v>
      </c>
      <c r="H499" s="509"/>
      <c r="I499" s="525"/>
    </row>
    <row r="500" spans="1:9" ht="15.75" x14ac:dyDescent="0.25">
      <c r="A500" s="87">
        <v>496</v>
      </c>
      <c r="B500" s="87" t="s">
        <v>922</v>
      </c>
      <c r="C500" s="554" t="s">
        <v>932</v>
      </c>
      <c r="D500" s="563">
        <v>20000</v>
      </c>
      <c r="E500" s="573">
        <v>213</v>
      </c>
      <c r="F500" s="563">
        <v>20000</v>
      </c>
      <c r="G500" s="87">
        <f t="shared" si="7"/>
        <v>0</v>
      </c>
      <c r="H500" s="509"/>
      <c r="I500" s="525"/>
    </row>
    <row r="501" spans="1:9" ht="15.75" x14ac:dyDescent="0.25">
      <c r="A501" s="87">
        <v>497</v>
      </c>
      <c r="B501" s="87" t="s">
        <v>922</v>
      </c>
      <c r="C501" s="553">
        <v>5626</v>
      </c>
      <c r="D501" s="563">
        <v>32000</v>
      </c>
      <c r="E501" s="573">
        <v>346</v>
      </c>
      <c r="F501" s="563">
        <v>32000</v>
      </c>
      <c r="G501" s="87">
        <f t="shared" si="7"/>
        <v>0</v>
      </c>
      <c r="H501" s="509"/>
      <c r="I501" s="525"/>
    </row>
    <row r="502" spans="1:9" ht="15.75" x14ac:dyDescent="0.25">
      <c r="A502" s="87">
        <v>498</v>
      </c>
      <c r="B502" s="87" t="s">
        <v>922</v>
      </c>
      <c r="C502" s="553">
        <v>2320</v>
      </c>
      <c r="D502" s="563">
        <v>29000</v>
      </c>
      <c r="E502" s="573">
        <v>318</v>
      </c>
      <c r="F502" s="563">
        <v>29000</v>
      </c>
      <c r="G502" s="87">
        <f t="shared" si="7"/>
        <v>0</v>
      </c>
      <c r="H502" s="509"/>
      <c r="I502" s="525"/>
    </row>
    <row r="503" spans="1:9" ht="15.75" x14ac:dyDescent="0.25">
      <c r="A503" s="87">
        <v>499</v>
      </c>
      <c r="B503" s="87" t="s">
        <v>922</v>
      </c>
      <c r="C503" s="553">
        <v>2234</v>
      </c>
      <c r="D503" s="563">
        <v>24000</v>
      </c>
      <c r="E503" s="573">
        <v>255</v>
      </c>
      <c r="F503" s="563">
        <v>24000</v>
      </c>
      <c r="G503" s="87">
        <f t="shared" si="7"/>
        <v>0</v>
      </c>
      <c r="H503" s="509"/>
      <c r="I503" s="525"/>
    </row>
    <row r="504" spans="1:9" ht="15.75" x14ac:dyDescent="0.25">
      <c r="A504" s="87">
        <v>500</v>
      </c>
      <c r="B504" s="87" t="s">
        <v>922</v>
      </c>
      <c r="C504" s="553" t="s">
        <v>30</v>
      </c>
      <c r="D504" s="563">
        <v>5000</v>
      </c>
      <c r="E504" s="573">
        <v>53</v>
      </c>
      <c r="F504" s="563">
        <v>5000</v>
      </c>
      <c r="G504" s="87">
        <f t="shared" si="7"/>
        <v>0</v>
      </c>
      <c r="H504" s="509"/>
      <c r="I504" s="525"/>
    </row>
    <row r="505" spans="1:9" ht="15.75" x14ac:dyDescent="0.25">
      <c r="A505" s="87">
        <v>501</v>
      </c>
      <c r="B505" s="87" t="s">
        <v>922</v>
      </c>
      <c r="C505" s="553">
        <v>2233</v>
      </c>
      <c r="D505" s="563">
        <v>22000</v>
      </c>
      <c r="E505" s="573">
        <v>229</v>
      </c>
      <c r="F505" s="563">
        <v>22000</v>
      </c>
      <c r="G505" s="87">
        <f t="shared" si="7"/>
        <v>0</v>
      </c>
      <c r="H505" s="509"/>
      <c r="I505" s="525"/>
    </row>
    <row r="506" spans="1:9" ht="15.75" x14ac:dyDescent="0.25">
      <c r="A506" s="87">
        <v>502</v>
      </c>
      <c r="B506" s="87" t="s">
        <v>922</v>
      </c>
      <c r="C506" s="553" t="s">
        <v>66</v>
      </c>
      <c r="D506" s="563">
        <v>210</v>
      </c>
      <c r="E506" s="573">
        <v>2</v>
      </c>
      <c r="F506" s="563">
        <v>210</v>
      </c>
      <c r="G506" s="87">
        <f t="shared" si="7"/>
        <v>0</v>
      </c>
      <c r="H506" s="509"/>
      <c r="I506" s="525"/>
    </row>
    <row r="507" spans="1:9" ht="15.75" x14ac:dyDescent="0.25">
      <c r="A507" s="87">
        <v>503</v>
      </c>
      <c r="B507" s="87" t="s">
        <v>922</v>
      </c>
      <c r="C507" s="553">
        <v>9992</v>
      </c>
      <c r="D507" s="563">
        <v>32000</v>
      </c>
      <c r="E507" s="573">
        <v>356</v>
      </c>
      <c r="F507" s="563">
        <v>32000</v>
      </c>
      <c r="G507" s="87">
        <f t="shared" si="7"/>
        <v>0</v>
      </c>
      <c r="H507" s="509"/>
      <c r="I507" s="525"/>
    </row>
    <row r="508" spans="1:9" ht="15.75" x14ac:dyDescent="0.25">
      <c r="A508" s="87">
        <v>504</v>
      </c>
      <c r="B508" s="87" t="s">
        <v>922</v>
      </c>
      <c r="C508" s="553">
        <v>5748</v>
      </c>
      <c r="D508" s="563">
        <v>18000</v>
      </c>
      <c r="E508" s="573">
        <v>178</v>
      </c>
      <c r="F508" s="563">
        <v>18000</v>
      </c>
      <c r="G508" s="87">
        <f t="shared" si="7"/>
        <v>0</v>
      </c>
      <c r="H508" s="509"/>
      <c r="I508" s="525"/>
    </row>
    <row r="509" spans="1:9" ht="15.75" x14ac:dyDescent="0.25">
      <c r="A509" s="87">
        <v>505</v>
      </c>
      <c r="B509" s="87" t="s">
        <v>922</v>
      </c>
      <c r="C509" s="553">
        <v>8348</v>
      </c>
      <c r="D509" s="563">
        <v>15000</v>
      </c>
      <c r="E509" s="573">
        <v>159</v>
      </c>
      <c r="F509" s="563">
        <v>15000</v>
      </c>
      <c r="G509" s="87">
        <f t="shared" si="7"/>
        <v>0</v>
      </c>
      <c r="H509" s="509"/>
      <c r="I509" s="525"/>
    </row>
    <row r="510" spans="1:9" ht="15.75" x14ac:dyDescent="0.25">
      <c r="A510" s="87">
        <v>506</v>
      </c>
      <c r="B510" s="87" t="s">
        <v>922</v>
      </c>
      <c r="C510" s="554" t="s">
        <v>933</v>
      </c>
      <c r="D510" s="563">
        <v>25000</v>
      </c>
      <c r="E510" s="573">
        <v>278</v>
      </c>
      <c r="F510" s="563">
        <v>25000</v>
      </c>
      <c r="G510" s="87">
        <f t="shared" si="7"/>
        <v>0</v>
      </c>
      <c r="H510" s="509"/>
      <c r="I510" s="525"/>
    </row>
    <row r="511" spans="1:9" ht="15.75" x14ac:dyDescent="0.25">
      <c r="A511" s="87">
        <v>507</v>
      </c>
      <c r="B511" s="87" t="s">
        <v>922</v>
      </c>
      <c r="C511" s="553">
        <v>2744</v>
      </c>
      <c r="D511" s="563">
        <v>30000</v>
      </c>
      <c r="E511" s="573">
        <v>334</v>
      </c>
      <c r="F511" s="563">
        <v>30000</v>
      </c>
      <c r="G511" s="87">
        <f t="shared" si="7"/>
        <v>0</v>
      </c>
      <c r="H511" s="509"/>
      <c r="I511" s="525"/>
    </row>
    <row r="512" spans="1:9" ht="15.75" x14ac:dyDescent="0.25">
      <c r="A512" s="87">
        <v>508</v>
      </c>
      <c r="B512" s="87" t="s">
        <v>922</v>
      </c>
      <c r="C512" s="553">
        <v>9693</v>
      </c>
      <c r="D512" s="563">
        <v>32000</v>
      </c>
      <c r="E512" s="573">
        <v>278</v>
      </c>
      <c r="F512" s="563">
        <v>32000</v>
      </c>
      <c r="G512" s="87">
        <f t="shared" si="7"/>
        <v>0</v>
      </c>
      <c r="H512" s="509"/>
      <c r="I512" s="525"/>
    </row>
    <row r="513" spans="1:9" ht="15.75" x14ac:dyDescent="0.25">
      <c r="A513" s="87">
        <v>509</v>
      </c>
      <c r="B513" s="87" t="s">
        <v>922</v>
      </c>
      <c r="C513" s="553">
        <v>9935</v>
      </c>
      <c r="D513" s="563">
        <v>20000</v>
      </c>
      <c r="E513" s="573">
        <v>222</v>
      </c>
      <c r="F513" s="563">
        <v>20000</v>
      </c>
      <c r="G513" s="87">
        <f t="shared" si="7"/>
        <v>0</v>
      </c>
      <c r="H513" s="509"/>
      <c r="I513" s="525"/>
    </row>
    <row r="514" spans="1:9" ht="15.75" x14ac:dyDescent="0.25">
      <c r="A514" s="87">
        <v>510</v>
      </c>
      <c r="B514" s="87" t="s">
        <v>922</v>
      </c>
      <c r="C514" s="553">
        <v>6159</v>
      </c>
      <c r="D514" s="563">
        <v>23000</v>
      </c>
      <c r="E514" s="573">
        <v>252</v>
      </c>
      <c r="F514" s="563">
        <v>23000</v>
      </c>
      <c r="G514" s="87">
        <f t="shared" si="7"/>
        <v>0</v>
      </c>
      <c r="H514" s="509"/>
      <c r="I514" s="525"/>
    </row>
    <row r="515" spans="1:9" ht="15.75" x14ac:dyDescent="0.25">
      <c r="A515" s="87">
        <v>511</v>
      </c>
      <c r="B515" s="87" t="s">
        <v>922</v>
      </c>
      <c r="C515" s="553">
        <v>4679</v>
      </c>
      <c r="D515" s="563">
        <v>32000</v>
      </c>
      <c r="E515" s="573">
        <v>356</v>
      </c>
      <c r="F515" s="563">
        <v>32000</v>
      </c>
      <c r="G515" s="87">
        <f t="shared" si="7"/>
        <v>0</v>
      </c>
      <c r="H515" s="509"/>
      <c r="I515" s="525"/>
    </row>
    <row r="516" spans="1:9" ht="15.75" x14ac:dyDescent="0.25">
      <c r="A516" s="87">
        <v>512</v>
      </c>
      <c r="B516" s="87" t="s">
        <v>922</v>
      </c>
      <c r="C516" s="553">
        <v>2939</v>
      </c>
      <c r="D516" s="563">
        <v>16000</v>
      </c>
      <c r="E516" s="573">
        <v>281</v>
      </c>
      <c r="F516" s="563">
        <v>16000</v>
      </c>
      <c r="G516" s="87">
        <f t="shared" si="7"/>
        <v>0</v>
      </c>
      <c r="H516" s="509"/>
      <c r="I516" s="525"/>
    </row>
    <row r="517" spans="1:9" ht="15.75" x14ac:dyDescent="0.25">
      <c r="A517" s="87">
        <v>513</v>
      </c>
      <c r="B517" s="87" t="s">
        <v>922</v>
      </c>
      <c r="C517" s="553">
        <v>7844</v>
      </c>
      <c r="D517" s="563">
        <v>15000</v>
      </c>
      <c r="E517" s="573">
        <v>167</v>
      </c>
      <c r="F517" s="563">
        <v>15000</v>
      </c>
      <c r="G517" s="87">
        <f t="shared" ref="G517:G580" si="8">D517-F517</f>
        <v>0</v>
      </c>
      <c r="H517" s="509"/>
      <c r="I517" s="525"/>
    </row>
    <row r="518" spans="1:9" ht="15.75" x14ac:dyDescent="0.25">
      <c r="A518" s="87">
        <v>514</v>
      </c>
      <c r="B518" s="87" t="s">
        <v>923</v>
      </c>
      <c r="C518" s="553">
        <v>9212</v>
      </c>
      <c r="D518" s="563">
        <v>17000</v>
      </c>
      <c r="E518" s="573">
        <v>189</v>
      </c>
      <c r="F518" s="563">
        <v>17000</v>
      </c>
      <c r="G518" s="87">
        <f t="shared" si="8"/>
        <v>0</v>
      </c>
      <c r="H518" s="509"/>
      <c r="I518" s="525"/>
    </row>
    <row r="519" spans="1:9" ht="15.75" x14ac:dyDescent="0.25">
      <c r="A519" s="87">
        <v>515</v>
      </c>
      <c r="B519" s="87" t="s">
        <v>923</v>
      </c>
      <c r="C519" s="553">
        <v>1282</v>
      </c>
      <c r="D519" s="563">
        <v>3000</v>
      </c>
      <c r="E519" s="573">
        <v>31</v>
      </c>
      <c r="F519" s="563">
        <v>3000</v>
      </c>
      <c r="G519" s="87">
        <f t="shared" si="8"/>
        <v>0</v>
      </c>
      <c r="H519" s="509"/>
      <c r="I519" s="525"/>
    </row>
    <row r="520" spans="1:9" ht="15.75" x14ac:dyDescent="0.25">
      <c r="A520" s="87">
        <v>516</v>
      </c>
      <c r="B520" s="87" t="s">
        <v>923</v>
      </c>
      <c r="C520" s="553">
        <v>4231</v>
      </c>
      <c r="D520" s="563">
        <v>10000</v>
      </c>
      <c r="E520" s="573">
        <v>106</v>
      </c>
      <c r="F520" s="563">
        <v>10000</v>
      </c>
      <c r="G520" s="87">
        <f t="shared" si="8"/>
        <v>0</v>
      </c>
      <c r="H520" s="509"/>
      <c r="I520" s="525"/>
    </row>
    <row r="521" spans="1:9" ht="15.75" x14ac:dyDescent="0.25">
      <c r="A521" s="87">
        <v>517</v>
      </c>
      <c r="B521" s="87" t="s">
        <v>923</v>
      </c>
      <c r="C521" s="554" t="s">
        <v>935</v>
      </c>
      <c r="D521" s="563">
        <v>20000</v>
      </c>
      <c r="E521" s="573">
        <v>213</v>
      </c>
      <c r="F521" s="563">
        <v>20000</v>
      </c>
      <c r="G521" s="87">
        <f t="shared" si="8"/>
        <v>0</v>
      </c>
      <c r="H521" s="509"/>
      <c r="I521" s="525"/>
    </row>
    <row r="522" spans="1:9" ht="15.75" x14ac:dyDescent="0.25">
      <c r="A522" s="87">
        <v>518</v>
      </c>
      <c r="B522" s="87" t="s">
        <v>923</v>
      </c>
      <c r="C522" s="553">
        <v>6932</v>
      </c>
      <c r="D522" s="563">
        <v>17000</v>
      </c>
      <c r="E522" s="573">
        <v>189</v>
      </c>
      <c r="F522" s="563">
        <v>17000</v>
      </c>
      <c r="G522" s="87">
        <f t="shared" si="8"/>
        <v>0</v>
      </c>
      <c r="H522" s="509"/>
      <c r="I522" s="525"/>
    </row>
    <row r="523" spans="1:9" ht="15.75" x14ac:dyDescent="0.25">
      <c r="A523" s="87">
        <v>519</v>
      </c>
      <c r="B523" s="87" t="s">
        <v>923</v>
      </c>
      <c r="C523" s="553">
        <v>2150</v>
      </c>
      <c r="D523" s="563">
        <v>25000</v>
      </c>
      <c r="E523" s="573">
        <v>250</v>
      </c>
      <c r="F523" s="563">
        <v>25000</v>
      </c>
      <c r="G523" s="87">
        <f t="shared" si="8"/>
        <v>0</v>
      </c>
      <c r="H523" s="509"/>
      <c r="I523" s="525"/>
    </row>
    <row r="524" spans="1:9" ht="15.75" x14ac:dyDescent="0.25">
      <c r="A524" s="87">
        <v>520</v>
      </c>
      <c r="B524" s="87" t="s">
        <v>923</v>
      </c>
      <c r="C524" s="553">
        <v>2803</v>
      </c>
      <c r="D524" s="563">
        <v>18000</v>
      </c>
      <c r="E524" s="573">
        <v>195</v>
      </c>
      <c r="F524" s="563">
        <v>18000</v>
      </c>
      <c r="G524" s="87">
        <f t="shared" si="8"/>
        <v>0</v>
      </c>
      <c r="H524" s="509"/>
      <c r="I524" s="525"/>
    </row>
    <row r="525" spans="1:9" ht="15.75" x14ac:dyDescent="0.25">
      <c r="A525" s="87">
        <v>521</v>
      </c>
      <c r="B525" s="87" t="s">
        <v>923</v>
      </c>
      <c r="C525" s="554" t="s">
        <v>936</v>
      </c>
      <c r="D525" s="563">
        <v>10000</v>
      </c>
      <c r="E525" s="573">
        <v>106</v>
      </c>
      <c r="F525" s="563">
        <v>10000</v>
      </c>
      <c r="G525" s="87">
        <f t="shared" si="8"/>
        <v>0</v>
      </c>
      <c r="H525" s="509"/>
      <c r="I525" s="525"/>
    </row>
    <row r="526" spans="1:9" ht="15.75" x14ac:dyDescent="0.25">
      <c r="A526" s="87">
        <v>522</v>
      </c>
      <c r="B526" s="87" t="s">
        <v>923</v>
      </c>
      <c r="C526" s="553">
        <v>5443</v>
      </c>
      <c r="D526" s="563">
        <v>15000</v>
      </c>
      <c r="E526" s="573">
        <v>159</v>
      </c>
      <c r="F526" s="563">
        <v>15000</v>
      </c>
      <c r="G526" s="87">
        <f t="shared" si="8"/>
        <v>0</v>
      </c>
      <c r="H526" s="509"/>
      <c r="I526" s="525"/>
    </row>
    <row r="527" spans="1:9" ht="15.75" x14ac:dyDescent="0.25">
      <c r="A527" s="87">
        <v>523</v>
      </c>
      <c r="B527" s="87" t="s">
        <v>923</v>
      </c>
      <c r="C527" s="553">
        <v>9289</v>
      </c>
      <c r="D527" s="563">
        <v>31000</v>
      </c>
      <c r="E527" s="573">
        <v>330</v>
      </c>
      <c r="F527" s="563">
        <v>31000</v>
      </c>
      <c r="G527" s="87">
        <f t="shared" si="8"/>
        <v>0</v>
      </c>
      <c r="H527" s="509"/>
      <c r="I527" s="525"/>
    </row>
    <row r="528" spans="1:9" ht="15.75" x14ac:dyDescent="0.25">
      <c r="A528" s="87">
        <v>524</v>
      </c>
      <c r="B528" s="87" t="s">
        <v>923</v>
      </c>
      <c r="C528" s="553">
        <v>9108</v>
      </c>
      <c r="D528" s="563">
        <v>31000</v>
      </c>
      <c r="E528" s="573">
        <v>330</v>
      </c>
      <c r="F528" s="563">
        <v>31000</v>
      </c>
      <c r="G528" s="87">
        <f t="shared" si="8"/>
        <v>0</v>
      </c>
      <c r="H528" s="509"/>
      <c r="I528" s="525"/>
    </row>
    <row r="529" spans="1:9" ht="15.75" x14ac:dyDescent="0.25">
      <c r="A529" s="87">
        <v>525</v>
      </c>
      <c r="B529" s="87" t="s">
        <v>923</v>
      </c>
      <c r="C529" s="553" t="s">
        <v>819</v>
      </c>
      <c r="D529" s="563">
        <v>3500</v>
      </c>
      <c r="E529" s="573">
        <v>37</v>
      </c>
      <c r="F529" s="563">
        <v>3500</v>
      </c>
      <c r="G529" s="87">
        <f t="shared" si="8"/>
        <v>0</v>
      </c>
      <c r="H529" s="509"/>
      <c r="I529" s="525"/>
    </row>
    <row r="530" spans="1:9" ht="15.75" x14ac:dyDescent="0.25">
      <c r="A530" s="87">
        <v>526</v>
      </c>
      <c r="B530" s="87" t="s">
        <v>923</v>
      </c>
      <c r="C530" s="553" t="s">
        <v>30</v>
      </c>
      <c r="D530" s="563">
        <v>5000</v>
      </c>
      <c r="E530" s="573">
        <v>53</v>
      </c>
      <c r="F530" s="563">
        <v>5000</v>
      </c>
      <c r="G530" s="87">
        <f t="shared" si="8"/>
        <v>0</v>
      </c>
      <c r="H530" s="509"/>
      <c r="I530" s="525"/>
    </row>
    <row r="531" spans="1:9" ht="15.75" x14ac:dyDescent="0.25">
      <c r="A531" s="87">
        <v>527</v>
      </c>
      <c r="B531" s="87" t="s">
        <v>923</v>
      </c>
      <c r="C531" s="553">
        <v>7283</v>
      </c>
      <c r="D531" s="563">
        <v>22000</v>
      </c>
      <c r="E531" s="573">
        <v>214</v>
      </c>
      <c r="F531" s="563">
        <v>22000</v>
      </c>
      <c r="G531" s="87">
        <f t="shared" si="8"/>
        <v>0</v>
      </c>
      <c r="H531" s="509"/>
      <c r="I531" s="525"/>
    </row>
    <row r="532" spans="1:9" ht="15.75" x14ac:dyDescent="0.25">
      <c r="A532" s="87">
        <v>528</v>
      </c>
      <c r="B532" s="87" t="s">
        <v>923</v>
      </c>
      <c r="C532" s="553">
        <v>7708</v>
      </c>
      <c r="D532" s="563">
        <v>26023</v>
      </c>
      <c r="E532" s="573">
        <v>277</v>
      </c>
      <c r="F532" s="563">
        <v>26023</v>
      </c>
      <c r="G532" s="87">
        <f t="shared" si="8"/>
        <v>0</v>
      </c>
      <c r="H532" s="509"/>
      <c r="I532" s="525"/>
    </row>
    <row r="533" spans="1:9" ht="15.75" x14ac:dyDescent="0.25">
      <c r="A533" s="87">
        <v>529</v>
      </c>
      <c r="B533" s="87" t="s">
        <v>923</v>
      </c>
      <c r="C533" s="553">
        <v>3662</v>
      </c>
      <c r="D533" s="563">
        <v>20000</v>
      </c>
      <c r="E533" s="573">
        <v>200</v>
      </c>
      <c r="F533" s="563">
        <v>20000</v>
      </c>
      <c r="G533" s="87">
        <f t="shared" si="8"/>
        <v>0</v>
      </c>
      <c r="H533" s="509"/>
      <c r="I533" s="525"/>
    </row>
    <row r="534" spans="1:9" ht="15.75" x14ac:dyDescent="0.25">
      <c r="A534" s="87">
        <v>530</v>
      </c>
      <c r="B534" s="87" t="s">
        <v>923</v>
      </c>
      <c r="C534" s="553">
        <v>3665</v>
      </c>
      <c r="D534" s="563">
        <v>13000</v>
      </c>
      <c r="E534" s="573">
        <v>123</v>
      </c>
      <c r="F534" s="563">
        <v>13000</v>
      </c>
      <c r="G534" s="87">
        <f t="shared" si="8"/>
        <v>0</v>
      </c>
      <c r="H534" s="509"/>
      <c r="I534" s="525"/>
    </row>
    <row r="535" spans="1:9" ht="15.75" x14ac:dyDescent="0.25">
      <c r="A535" s="87">
        <v>531</v>
      </c>
      <c r="B535" s="87" t="s">
        <v>923</v>
      </c>
      <c r="C535" s="553">
        <v>1044</v>
      </c>
      <c r="D535" s="563">
        <v>15000</v>
      </c>
      <c r="E535" s="573">
        <v>167</v>
      </c>
      <c r="F535" s="563">
        <v>15000</v>
      </c>
      <c r="G535" s="87">
        <f t="shared" si="8"/>
        <v>0</v>
      </c>
      <c r="H535" s="509"/>
      <c r="I535" s="525"/>
    </row>
    <row r="536" spans="1:9" ht="15.75" x14ac:dyDescent="0.25">
      <c r="A536" s="87">
        <v>532</v>
      </c>
      <c r="B536" s="87" t="s">
        <v>923</v>
      </c>
      <c r="C536" s="553">
        <v>5428</v>
      </c>
      <c r="D536" s="563">
        <v>27000</v>
      </c>
      <c r="E536" s="573">
        <v>300</v>
      </c>
      <c r="F536" s="563">
        <v>27000</v>
      </c>
      <c r="G536" s="87">
        <f t="shared" si="8"/>
        <v>0</v>
      </c>
      <c r="H536" s="509"/>
      <c r="I536" s="525"/>
    </row>
    <row r="537" spans="1:9" ht="15.75" x14ac:dyDescent="0.25">
      <c r="A537" s="87">
        <v>533</v>
      </c>
      <c r="B537" s="87" t="s">
        <v>923</v>
      </c>
      <c r="C537" s="553">
        <v>4744</v>
      </c>
      <c r="D537" s="563">
        <v>27000</v>
      </c>
      <c r="E537" s="573">
        <v>300</v>
      </c>
      <c r="F537" s="563">
        <v>27000</v>
      </c>
      <c r="G537" s="87">
        <f t="shared" si="8"/>
        <v>0</v>
      </c>
      <c r="H537" s="509"/>
      <c r="I537" s="525"/>
    </row>
    <row r="538" spans="1:9" ht="15.75" x14ac:dyDescent="0.25">
      <c r="A538" s="87">
        <v>534</v>
      </c>
      <c r="B538" s="87" t="s">
        <v>923</v>
      </c>
      <c r="C538" s="553">
        <v>6888</v>
      </c>
      <c r="D538" s="563">
        <v>10000</v>
      </c>
      <c r="E538" s="573">
        <v>111</v>
      </c>
      <c r="F538" s="563">
        <v>10000</v>
      </c>
      <c r="G538" s="87">
        <f t="shared" si="8"/>
        <v>0</v>
      </c>
      <c r="H538" s="509"/>
      <c r="I538" s="525"/>
    </row>
    <row r="539" spans="1:9" ht="15.75" x14ac:dyDescent="0.25">
      <c r="A539" s="87">
        <v>535</v>
      </c>
      <c r="B539" s="87" t="s">
        <v>923</v>
      </c>
      <c r="C539" s="553">
        <v>8007</v>
      </c>
      <c r="D539" s="563">
        <v>22000</v>
      </c>
      <c r="E539" s="573">
        <v>215</v>
      </c>
      <c r="F539" s="563">
        <v>22000</v>
      </c>
      <c r="G539" s="87">
        <f t="shared" si="8"/>
        <v>0</v>
      </c>
      <c r="H539" s="509"/>
      <c r="I539" s="525"/>
    </row>
    <row r="540" spans="1:9" ht="15.75" x14ac:dyDescent="0.25">
      <c r="A540" s="87">
        <v>536</v>
      </c>
      <c r="B540" s="87" t="s">
        <v>923</v>
      </c>
      <c r="C540" s="553">
        <v>8274</v>
      </c>
      <c r="D540" s="563">
        <v>25000</v>
      </c>
      <c r="E540" s="573">
        <v>250</v>
      </c>
      <c r="F540" s="563">
        <v>25000</v>
      </c>
      <c r="G540" s="87">
        <f t="shared" si="8"/>
        <v>0</v>
      </c>
      <c r="H540" s="509"/>
      <c r="I540" s="525"/>
    </row>
    <row r="541" spans="1:9" ht="15.75" x14ac:dyDescent="0.25">
      <c r="A541" s="87">
        <v>537</v>
      </c>
      <c r="B541" s="87" t="s">
        <v>923</v>
      </c>
      <c r="C541" s="554" t="s">
        <v>937</v>
      </c>
      <c r="D541" s="563">
        <v>16596</v>
      </c>
      <c r="E541" s="573">
        <v>184</v>
      </c>
      <c r="F541" s="563">
        <v>16596</v>
      </c>
      <c r="G541" s="87">
        <f t="shared" si="8"/>
        <v>0</v>
      </c>
      <c r="H541" s="509"/>
      <c r="I541" s="525"/>
    </row>
    <row r="542" spans="1:9" ht="15.75" x14ac:dyDescent="0.25">
      <c r="A542" s="87">
        <v>538</v>
      </c>
      <c r="B542" s="87" t="s">
        <v>923</v>
      </c>
      <c r="C542" s="553">
        <v>9694</v>
      </c>
      <c r="D542" s="563">
        <v>32000</v>
      </c>
      <c r="E542" s="573">
        <v>352</v>
      </c>
      <c r="F542" s="563">
        <v>32000</v>
      </c>
      <c r="G542" s="87">
        <f t="shared" si="8"/>
        <v>0</v>
      </c>
      <c r="H542" s="509"/>
      <c r="I542" s="525"/>
    </row>
    <row r="543" spans="1:9" ht="15.75" x14ac:dyDescent="0.25">
      <c r="A543" s="87">
        <v>539</v>
      </c>
      <c r="B543" s="87" t="s">
        <v>923</v>
      </c>
      <c r="C543" s="553">
        <v>3902</v>
      </c>
      <c r="D543" s="563">
        <v>10000</v>
      </c>
      <c r="E543" s="573">
        <v>111</v>
      </c>
      <c r="F543" s="563">
        <v>10000</v>
      </c>
      <c r="G543" s="87">
        <f t="shared" si="8"/>
        <v>0</v>
      </c>
      <c r="H543" s="509"/>
      <c r="I543" s="525"/>
    </row>
    <row r="544" spans="1:9" ht="15.75" x14ac:dyDescent="0.25">
      <c r="A544" s="87">
        <v>540</v>
      </c>
      <c r="B544" s="87" t="s">
        <v>923</v>
      </c>
      <c r="C544" s="554" t="s">
        <v>938</v>
      </c>
      <c r="D544" s="563">
        <v>19000</v>
      </c>
      <c r="E544" s="573">
        <v>323</v>
      </c>
      <c r="F544" s="563">
        <v>19000</v>
      </c>
      <c r="G544" s="87">
        <f t="shared" si="8"/>
        <v>0</v>
      </c>
      <c r="H544" s="509"/>
      <c r="I544" s="525"/>
    </row>
    <row r="545" spans="1:9" ht="15.75" x14ac:dyDescent="0.25">
      <c r="A545" s="87">
        <v>541</v>
      </c>
      <c r="B545" s="87" t="s">
        <v>923</v>
      </c>
      <c r="C545" s="553">
        <v>1500</v>
      </c>
      <c r="D545" s="563">
        <v>12000</v>
      </c>
      <c r="E545" s="573">
        <v>135</v>
      </c>
      <c r="F545" s="563">
        <v>12000</v>
      </c>
      <c r="G545" s="87">
        <f t="shared" si="8"/>
        <v>0</v>
      </c>
      <c r="H545" s="509"/>
      <c r="I545" s="525"/>
    </row>
    <row r="546" spans="1:9" ht="15.75" x14ac:dyDescent="0.25">
      <c r="A546" s="87">
        <v>542</v>
      </c>
      <c r="B546" s="87" t="s">
        <v>923</v>
      </c>
      <c r="C546" s="553">
        <v>7344</v>
      </c>
      <c r="D546" s="563">
        <v>12000</v>
      </c>
      <c r="E546" s="573">
        <v>133</v>
      </c>
      <c r="F546" s="563">
        <v>12000</v>
      </c>
      <c r="G546" s="87">
        <f t="shared" si="8"/>
        <v>0</v>
      </c>
      <c r="H546" s="509"/>
      <c r="I546" s="525"/>
    </row>
    <row r="547" spans="1:9" ht="15.75" x14ac:dyDescent="0.25">
      <c r="A547" s="87">
        <v>543</v>
      </c>
      <c r="B547" s="87" t="s">
        <v>923</v>
      </c>
      <c r="C547" s="553">
        <v>2656</v>
      </c>
      <c r="D547" s="563">
        <v>25000</v>
      </c>
      <c r="E547" s="573">
        <v>278</v>
      </c>
      <c r="F547" s="563">
        <v>25000</v>
      </c>
      <c r="G547" s="87">
        <f t="shared" si="8"/>
        <v>0</v>
      </c>
      <c r="H547" s="509"/>
      <c r="I547" s="525"/>
    </row>
    <row r="548" spans="1:9" ht="15.75" x14ac:dyDescent="0.25">
      <c r="A548" s="87">
        <v>544</v>
      </c>
      <c r="B548" s="87" t="s">
        <v>923</v>
      </c>
      <c r="C548" s="553">
        <v>7711</v>
      </c>
      <c r="D548" s="563">
        <v>22000</v>
      </c>
      <c r="E548" s="573">
        <v>245</v>
      </c>
      <c r="F548" s="563">
        <v>22000</v>
      </c>
      <c r="G548" s="87">
        <f t="shared" si="8"/>
        <v>0</v>
      </c>
      <c r="H548" s="509"/>
      <c r="I548" s="525"/>
    </row>
    <row r="549" spans="1:9" ht="15.75" x14ac:dyDescent="0.25">
      <c r="A549" s="87">
        <v>545</v>
      </c>
      <c r="B549" s="87" t="s">
        <v>934</v>
      </c>
      <c r="C549" s="553">
        <v>6751</v>
      </c>
      <c r="D549" s="563">
        <v>20000</v>
      </c>
      <c r="E549" s="563">
        <v>222</v>
      </c>
      <c r="F549" s="563">
        <v>20000</v>
      </c>
      <c r="G549" s="87">
        <f t="shared" si="8"/>
        <v>0</v>
      </c>
      <c r="H549" s="509"/>
      <c r="I549" s="525"/>
    </row>
    <row r="550" spans="1:9" ht="15.75" x14ac:dyDescent="0.25">
      <c r="A550" s="87">
        <v>546</v>
      </c>
      <c r="B550" s="87" t="s">
        <v>934</v>
      </c>
      <c r="C550" s="553">
        <v>5236</v>
      </c>
      <c r="D550" s="563">
        <v>25000</v>
      </c>
      <c r="E550" s="563">
        <v>278</v>
      </c>
      <c r="F550" s="563">
        <v>25000</v>
      </c>
      <c r="G550" s="87">
        <f t="shared" si="8"/>
        <v>0</v>
      </c>
      <c r="H550" s="509"/>
      <c r="I550" s="525"/>
    </row>
    <row r="551" spans="1:9" ht="15.75" x14ac:dyDescent="0.25">
      <c r="A551" s="87">
        <v>547</v>
      </c>
      <c r="B551" s="87" t="s">
        <v>934</v>
      </c>
      <c r="C551" s="553">
        <v>4820</v>
      </c>
      <c r="D551" s="563">
        <v>16000</v>
      </c>
      <c r="E551" s="563">
        <v>178</v>
      </c>
      <c r="F551" s="563">
        <v>16000</v>
      </c>
      <c r="G551" s="87">
        <f t="shared" si="8"/>
        <v>0</v>
      </c>
      <c r="H551" s="509"/>
      <c r="I551" s="525"/>
    </row>
    <row r="552" spans="1:9" ht="15.75" x14ac:dyDescent="0.25">
      <c r="A552" s="87">
        <v>548</v>
      </c>
      <c r="B552" s="87" t="s">
        <v>934</v>
      </c>
      <c r="C552" s="553">
        <v>7820</v>
      </c>
      <c r="D552" s="563">
        <v>16000</v>
      </c>
      <c r="E552" s="563">
        <v>178</v>
      </c>
      <c r="F552" s="563">
        <v>16000</v>
      </c>
      <c r="G552" s="87">
        <f t="shared" si="8"/>
        <v>0</v>
      </c>
      <c r="H552" s="509"/>
      <c r="I552" s="525"/>
    </row>
    <row r="553" spans="1:9" ht="15.75" x14ac:dyDescent="0.25">
      <c r="A553" s="87">
        <v>549</v>
      </c>
      <c r="B553" s="87" t="s">
        <v>934</v>
      </c>
      <c r="C553" s="553">
        <v>5781</v>
      </c>
      <c r="D553" s="563">
        <v>15000</v>
      </c>
      <c r="E553" s="563">
        <v>167</v>
      </c>
      <c r="F553" s="563">
        <v>15000</v>
      </c>
      <c r="G553" s="87">
        <f t="shared" si="8"/>
        <v>0</v>
      </c>
      <c r="H553" s="509"/>
      <c r="I553" s="525"/>
    </row>
    <row r="554" spans="1:9" ht="15.75" x14ac:dyDescent="0.25">
      <c r="A554" s="87">
        <v>550</v>
      </c>
      <c r="B554" s="87" t="s">
        <v>934</v>
      </c>
      <c r="C554" s="553">
        <v>9655</v>
      </c>
      <c r="D554" s="563">
        <v>10000</v>
      </c>
      <c r="E554" s="563">
        <v>111</v>
      </c>
      <c r="F554" s="563">
        <v>10000</v>
      </c>
      <c r="G554" s="87">
        <f t="shared" si="8"/>
        <v>0</v>
      </c>
      <c r="H554" s="509"/>
      <c r="I554" s="525"/>
    </row>
    <row r="555" spans="1:9" ht="15.75" x14ac:dyDescent="0.25">
      <c r="A555" s="87">
        <v>551</v>
      </c>
      <c r="B555" s="87" t="s">
        <v>934</v>
      </c>
      <c r="C555" s="553" t="s">
        <v>30</v>
      </c>
      <c r="D555" s="563">
        <v>5000</v>
      </c>
      <c r="E555" s="573">
        <v>55</v>
      </c>
      <c r="F555" s="563">
        <v>5000</v>
      </c>
      <c r="G555" s="87">
        <f t="shared" si="8"/>
        <v>0</v>
      </c>
      <c r="H555" s="509"/>
      <c r="I555" s="525"/>
    </row>
    <row r="556" spans="1:9" ht="15.75" x14ac:dyDescent="0.25">
      <c r="A556" s="87">
        <v>552</v>
      </c>
      <c r="B556" s="87" t="s">
        <v>934</v>
      </c>
      <c r="C556" s="553" t="s">
        <v>30</v>
      </c>
      <c r="D556" s="563">
        <v>5000</v>
      </c>
      <c r="E556" s="573">
        <v>55</v>
      </c>
      <c r="F556" s="563">
        <v>5000</v>
      </c>
      <c r="G556" s="87">
        <f t="shared" si="8"/>
        <v>0</v>
      </c>
      <c r="H556" s="509"/>
      <c r="I556" s="525"/>
    </row>
    <row r="557" spans="1:9" ht="15.75" x14ac:dyDescent="0.25">
      <c r="A557" s="87">
        <v>553</v>
      </c>
      <c r="B557" s="87" t="s">
        <v>934</v>
      </c>
      <c r="C557" s="553">
        <v>3068</v>
      </c>
      <c r="D557" s="563">
        <v>18000</v>
      </c>
      <c r="E557" s="573">
        <v>200</v>
      </c>
      <c r="F557" s="563">
        <v>18000</v>
      </c>
      <c r="G557" s="87">
        <f t="shared" si="8"/>
        <v>0</v>
      </c>
      <c r="H557" s="509"/>
      <c r="I557" s="525"/>
    </row>
    <row r="558" spans="1:9" ht="15.75" x14ac:dyDescent="0.25">
      <c r="A558" s="87">
        <v>554</v>
      </c>
      <c r="B558" s="87" t="s">
        <v>934</v>
      </c>
      <c r="C558" s="553">
        <v>7263</v>
      </c>
      <c r="D558" s="563">
        <v>15000</v>
      </c>
      <c r="E558" s="573">
        <v>159</v>
      </c>
      <c r="F558" s="563">
        <v>15000</v>
      </c>
      <c r="G558" s="87">
        <f t="shared" si="8"/>
        <v>0</v>
      </c>
      <c r="H558" s="509"/>
      <c r="I558" s="525"/>
    </row>
    <row r="559" spans="1:9" ht="15.75" x14ac:dyDescent="0.25">
      <c r="A559" s="87">
        <v>555</v>
      </c>
      <c r="B559" s="87" t="s">
        <v>934</v>
      </c>
      <c r="C559" s="553">
        <v>3851</v>
      </c>
      <c r="D559" s="563">
        <v>10000</v>
      </c>
      <c r="E559" s="573">
        <v>106</v>
      </c>
      <c r="F559" s="563">
        <v>10000</v>
      </c>
      <c r="G559" s="87">
        <f t="shared" si="8"/>
        <v>0</v>
      </c>
      <c r="H559" s="509"/>
      <c r="I559" s="525"/>
    </row>
    <row r="560" spans="1:9" ht="15.75" x14ac:dyDescent="0.25">
      <c r="A560" s="87">
        <v>556</v>
      </c>
      <c r="B560" s="87" t="s">
        <v>934</v>
      </c>
      <c r="C560" s="553">
        <v>3211</v>
      </c>
      <c r="D560" s="563">
        <v>15000</v>
      </c>
      <c r="E560" s="573">
        <v>159</v>
      </c>
      <c r="F560" s="563">
        <v>15000</v>
      </c>
      <c r="G560" s="87">
        <f t="shared" si="8"/>
        <v>0</v>
      </c>
      <c r="H560" s="509"/>
      <c r="I560" s="525"/>
    </row>
    <row r="561" spans="1:9" ht="15.75" x14ac:dyDescent="0.25">
      <c r="A561" s="87">
        <v>557</v>
      </c>
      <c r="B561" s="87" t="s">
        <v>934</v>
      </c>
      <c r="C561" s="553">
        <v>3185</v>
      </c>
      <c r="D561" s="563">
        <v>27000</v>
      </c>
      <c r="E561" s="573">
        <v>275</v>
      </c>
      <c r="F561" s="563">
        <v>27000</v>
      </c>
      <c r="G561" s="87">
        <f t="shared" si="8"/>
        <v>0</v>
      </c>
      <c r="H561" s="509"/>
      <c r="I561" s="525"/>
    </row>
    <row r="562" spans="1:9" ht="15.75" x14ac:dyDescent="0.25">
      <c r="A562" s="87">
        <v>558</v>
      </c>
      <c r="B562" s="87" t="s">
        <v>934</v>
      </c>
      <c r="C562" s="553">
        <v>9555</v>
      </c>
      <c r="D562" s="563">
        <v>21000</v>
      </c>
      <c r="E562" s="573">
        <v>233</v>
      </c>
      <c r="F562" s="563">
        <v>21000</v>
      </c>
      <c r="G562" s="87">
        <f t="shared" si="8"/>
        <v>0</v>
      </c>
      <c r="H562" s="509"/>
      <c r="I562" s="525"/>
    </row>
    <row r="563" spans="1:9" ht="15.75" x14ac:dyDescent="0.25">
      <c r="A563" s="87">
        <v>559</v>
      </c>
      <c r="B563" s="87" t="s">
        <v>934</v>
      </c>
      <c r="C563" s="553">
        <v>7258</v>
      </c>
      <c r="D563" s="563">
        <v>28000</v>
      </c>
      <c r="E563" s="573">
        <v>311</v>
      </c>
      <c r="F563" s="563">
        <v>28000</v>
      </c>
      <c r="G563" s="87">
        <f t="shared" si="8"/>
        <v>0</v>
      </c>
      <c r="H563" s="509"/>
      <c r="I563" s="525"/>
    </row>
    <row r="564" spans="1:9" ht="15.75" x14ac:dyDescent="0.25">
      <c r="A564" s="87">
        <v>560</v>
      </c>
      <c r="B564" s="87" t="s">
        <v>934</v>
      </c>
      <c r="C564" s="553">
        <v>1139</v>
      </c>
      <c r="D564" s="563">
        <v>28000</v>
      </c>
      <c r="E564" s="573">
        <v>295</v>
      </c>
      <c r="F564" s="563">
        <v>28000</v>
      </c>
      <c r="G564" s="87">
        <f t="shared" si="8"/>
        <v>0</v>
      </c>
      <c r="H564" s="509"/>
      <c r="I564" s="525"/>
    </row>
    <row r="565" spans="1:9" ht="15.75" x14ac:dyDescent="0.25">
      <c r="A565" s="87">
        <v>561</v>
      </c>
      <c r="B565" s="87" t="s">
        <v>934</v>
      </c>
      <c r="C565" s="553">
        <v>9903</v>
      </c>
      <c r="D565" s="563">
        <v>23000</v>
      </c>
      <c r="E565" s="573">
        <v>256</v>
      </c>
      <c r="F565" s="563">
        <v>23000</v>
      </c>
      <c r="G565" s="87">
        <f t="shared" si="8"/>
        <v>0</v>
      </c>
      <c r="H565" s="509"/>
      <c r="I565" s="525"/>
    </row>
    <row r="566" spans="1:9" ht="15.75" x14ac:dyDescent="0.25">
      <c r="A566" s="87">
        <v>562</v>
      </c>
      <c r="B566" s="87" t="s">
        <v>934</v>
      </c>
      <c r="C566" s="553">
        <v>9235</v>
      </c>
      <c r="D566" s="563">
        <v>26000</v>
      </c>
      <c r="E566" s="573">
        <v>289</v>
      </c>
      <c r="F566" s="563">
        <v>26000</v>
      </c>
      <c r="G566" s="87">
        <f t="shared" si="8"/>
        <v>0</v>
      </c>
      <c r="H566" s="509"/>
      <c r="I566" s="525"/>
    </row>
    <row r="567" spans="1:9" ht="15.75" x14ac:dyDescent="0.25">
      <c r="A567" s="87">
        <v>563</v>
      </c>
      <c r="B567" s="87" t="s">
        <v>934</v>
      </c>
      <c r="C567" s="553">
        <v>2004</v>
      </c>
      <c r="D567" s="563">
        <v>19000</v>
      </c>
      <c r="E567" s="573">
        <v>205</v>
      </c>
      <c r="F567" s="563">
        <v>19000</v>
      </c>
      <c r="G567" s="87">
        <f t="shared" si="8"/>
        <v>0</v>
      </c>
      <c r="H567" s="509"/>
      <c r="I567" s="525"/>
    </row>
    <row r="568" spans="1:9" ht="15.75" x14ac:dyDescent="0.25">
      <c r="A568" s="87">
        <v>564</v>
      </c>
      <c r="B568" s="87" t="s">
        <v>934</v>
      </c>
      <c r="C568" s="553">
        <v>5828</v>
      </c>
      <c r="D568" s="563">
        <v>20000</v>
      </c>
      <c r="E568" s="573">
        <v>222</v>
      </c>
      <c r="F568" s="563">
        <v>20000</v>
      </c>
      <c r="G568" s="87">
        <f t="shared" si="8"/>
        <v>0</v>
      </c>
      <c r="H568" s="509"/>
      <c r="I568" s="525"/>
    </row>
    <row r="569" spans="1:9" ht="15.75" x14ac:dyDescent="0.25">
      <c r="A569" s="87">
        <v>565</v>
      </c>
      <c r="B569" s="87" t="s">
        <v>940</v>
      </c>
      <c r="C569" s="553">
        <v>1266</v>
      </c>
      <c r="D569" s="563">
        <v>13000</v>
      </c>
      <c r="E569" s="573">
        <v>144</v>
      </c>
      <c r="F569" s="563">
        <v>13000</v>
      </c>
      <c r="G569" s="87">
        <f t="shared" si="8"/>
        <v>0</v>
      </c>
      <c r="H569" s="509"/>
      <c r="I569" s="525"/>
    </row>
    <row r="570" spans="1:9" ht="15.75" x14ac:dyDescent="0.25">
      <c r="A570" s="87">
        <v>566</v>
      </c>
      <c r="B570" s="87" t="s">
        <v>940</v>
      </c>
      <c r="C570" s="553">
        <v>1939</v>
      </c>
      <c r="D570" s="563">
        <v>20000</v>
      </c>
      <c r="E570" s="573">
        <v>222</v>
      </c>
      <c r="F570" s="563">
        <v>20000</v>
      </c>
      <c r="G570" s="87">
        <f t="shared" si="8"/>
        <v>0</v>
      </c>
      <c r="H570" s="509"/>
      <c r="I570" s="525"/>
    </row>
    <row r="571" spans="1:9" ht="15.75" x14ac:dyDescent="0.25">
      <c r="A571" s="87">
        <v>567</v>
      </c>
      <c r="B571" s="87" t="s">
        <v>940</v>
      </c>
      <c r="C571" s="576" t="s">
        <v>941</v>
      </c>
      <c r="D571" s="563">
        <v>23000</v>
      </c>
      <c r="E571" s="573">
        <v>242</v>
      </c>
      <c r="F571" s="563">
        <v>23000</v>
      </c>
      <c r="G571" s="87">
        <f t="shared" si="8"/>
        <v>0</v>
      </c>
      <c r="H571" s="509"/>
      <c r="I571" s="525"/>
    </row>
    <row r="572" spans="1:9" ht="15.75" x14ac:dyDescent="0.25">
      <c r="A572" s="87">
        <v>568</v>
      </c>
      <c r="B572" s="87" t="s">
        <v>940</v>
      </c>
      <c r="C572" s="554" t="s">
        <v>890</v>
      </c>
      <c r="D572" s="563">
        <v>14000</v>
      </c>
      <c r="E572" s="573">
        <v>155</v>
      </c>
      <c r="F572" s="563">
        <v>14000</v>
      </c>
      <c r="G572" s="87">
        <f t="shared" si="8"/>
        <v>0</v>
      </c>
      <c r="H572" s="509"/>
      <c r="I572" s="525"/>
    </row>
    <row r="573" spans="1:9" ht="15.75" x14ac:dyDescent="0.25">
      <c r="A573" s="87">
        <v>569</v>
      </c>
      <c r="B573" s="87" t="s">
        <v>940</v>
      </c>
      <c r="C573" s="553">
        <v>1009</v>
      </c>
      <c r="D573" s="563">
        <v>10000</v>
      </c>
      <c r="E573" s="573">
        <v>111</v>
      </c>
      <c r="F573" s="563">
        <v>10000</v>
      </c>
      <c r="G573" s="87">
        <f t="shared" si="8"/>
        <v>0</v>
      </c>
      <c r="H573" s="509"/>
      <c r="I573" s="525"/>
    </row>
    <row r="574" spans="1:9" ht="15.75" x14ac:dyDescent="0.25">
      <c r="A574" s="87">
        <v>570</v>
      </c>
      <c r="B574" s="87" t="s">
        <v>940</v>
      </c>
      <c r="C574" s="576" t="s">
        <v>942</v>
      </c>
      <c r="D574" s="563">
        <v>18000</v>
      </c>
      <c r="E574" s="573">
        <v>200</v>
      </c>
      <c r="F574" s="563">
        <v>18000</v>
      </c>
      <c r="G574" s="87">
        <f t="shared" si="8"/>
        <v>0</v>
      </c>
      <c r="H574" s="509"/>
      <c r="I574" s="525"/>
    </row>
    <row r="575" spans="1:9" ht="15.75" x14ac:dyDescent="0.25">
      <c r="A575" s="87">
        <v>571</v>
      </c>
      <c r="B575" s="87" t="s">
        <v>940</v>
      </c>
      <c r="C575" s="554" t="s">
        <v>943</v>
      </c>
      <c r="D575" s="563">
        <v>20000</v>
      </c>
      <c r="E575" s="573">
        <v>222</v>
      </c>
      <c r="F575" s="563">
        <v>20000</v>
      </c>
      <c r="G575" s="87">
        <f t="shared" si="8"/>
        <v>0</v>
      </c>
      <c r="H575" s="509"/>
      <c r="I575" s="525"/>
    </row>
    <row r="576" spans="1:9" ht="15.75" x14ac:dyDescent="0.25">
      <c r="A576" s="87">
        <v>572</v>
      </c>
      <c r="B576" s="87" t="s">
        <v>940</v>
      </c>
      <c r="C576" s="553">
        <v>7744</v>
      </c>
      <c r="D576" s="563">
        <v>13000</v>
      </c>
      <c r="E576" s="573">
        <v>144</v>
      </c>
      <c r="F576" s="563">
        <v>13000</v>
      </c>
      <c r="G576" s="87">
        <f t="shared" si="8"/>
        <v>0</v>
      </c>
      <c r="H576" s="509"/>
      <c r="I576" s="525"/>
    </row>
    <row r="577" spans="1:9" ht="15.75" x14ac:dyDescent="0.25">
      <c r="A577" s="87">
        <v>573</v>
      </c>
      <c r="B577" s="87" t="s">
        <v>940</v>
      </c>
      <c r="C577" s="553">
        <v>3362</v>
      </c>
      <c r="D577" s="563">
        <v>5000</v>
      </c>
      <c r="E577" s="573">
        <v>55</v>
      </c>
      <c r="F577" s="563">
        <v>5000</v>
      </c>
      <c r="G577" s="87">
        <f t="shared" si="8"/>
        <v>0</v>
      </c>
      <c r="H577" s="509"/>
      <c r="I577" s="525"/>
    </row>
    <row r="578" spans="1:9" ht="15.75" x14ac:dyDescent="0.25">
      <c r="A578" s="87">
        <v>574</v>
      </c>
      <c r="B578" s="87" t="s">
        <v>940</v>
      </c>
      <c r="C578" s="553">
        <v>4089</v>
      </c>
      <c r="D578" s="563">
        <v>30000</v>
      </c>
      <c r="E578" s="573">
        <v>311</v>
      </c>
      <c r="F578" s="563">
        <v>30000</v>
      </c>
      <c r="G578" s="87">
        <f t="shared" si="8"/>
        <v>0</v>
      </c>
      <c r="H578" s="509"/>
      <c r="I578" s="525"/>
    </row>
    <row r="579" spans="1:9" ht="15.75" x14ac:dyDescent="0.25">
      <c r="A579" s="87">
        <v>575</v>
      </c>
      <c r="B579" s="87" t="s">
        <v>940</v>
      </c>
      <c r="C579" s="554" t="s">
        <v>944</v>
      </c>
      <c r="D579" s="563">
        <v>25000</v>
      </c>
      <c r="E579" s="573">
        <v>278</v>
      </c>
      <c r="F579" s="563">
        <v>25000</v>
      </c>
      <c r="G579" s="87">
        <f t="shared" si="8"/>
        <v>0</v>
      </c>
      <c r="H579" s="509"/>
      <c r="I579" s="525"/>
    </row>
    <row r="580" spans="1:9" ht="15.75" x14ac:dyDescent="0.25">
      <c r="A580" s="87">
        <v>576</v>
      </c>
      <c r="B580" s="87" t="s">
        <v>940</v>
      </c>
      <c r="C580" s="553">
        <v>4571</v>
      </c>
      <c r="D580" s="563">
        <v>10000</v>
      </c>
      <c r="E580" s="563">
        <v>111</v>
      </c>
      <c r="F580" s="563">
        <v>10000</v>
      </c>
      <c r="G580" s="87">
        <f t="shared" si="8"/>
        <v>0</v>
      </c>
      <c r="H580" s="509"/>
      <c r="I580" s="525"/>
    </row>
    <row r="581" spans="1:9" ht="15.75" x14ac:dyDescent="0.25">
      <c r="A581" s="87">
        <v>577</v>
      </c>
      <c r="B581" s="87" t="s">
        <v>940</v>
      </c>
      <c r="C581" s="554" t="s">
        <v>945</v>
      </c>
      <c r="D581" s="563">
        <v>23250</v>
      </c>
      <c r="E581" s="563">
        <v>259</v>
      </c>
      <c r="F581" s="563">
        <v>23250</v>
      </c>
      <c r="G581" s="87">
        <f t="shared" ref="G581:G644" si="9">D581-F581</f>
        <v>0</v>
      </c>
      <c r="H581" s="509"/>
      <c r="I581" s="525"/>
    </row>
    <row r="582" spans="1:9" ht="15.75" x14ac:dyDescent="0.25">
      <c r="A582" s="87">
        <v>578</v>
      </c>
      <c r="B582" s="87" t="s">
        <v>940</v>
      </c>
      <c r="C582" s="553">
        <v>2444</v>
      </c>
      <c r="D582" s="563">
        <v>20000</v>
      </c>
      <c r="E582" s="573">
        <v>222</v>
      </c>
      <c r="F582" s="563">
        <v>20000</v>
      </c>
      <c r="G582" s="87">
        <f t="shared" si="9"/>
        <v>0</v>
      </c>
      <c r="H582" s="509"/>
      <c r="I582" s="525"/>
    </row>
    <row r="583" spans="1:9" ht="15.75" x14ac:dyDescent="0.25">
      <c r="A583" s="87">
        <v>579</v>
      </c>
      <c r="B583" s="87" t="s">
        <v>940</v>
      </c>
      <c r="C583" s="553">
        <v>3239</v>
      </c>
      <c r="D583" s="563">
        <v>30000</v>
      </c>
      <c r="E583" s="573">
        <v>310</v>
      </c>
      <c r="F583" s="563">
        <v>30000</v>
      </c>
      <c r="G583" s="87">
        <f t="shared" si="9"/>
        <v>0</v>
      </c>
      <c r="H583" s="509"/>
      <c r="I583" s="525"/>
    </row>
    <row r="584" spans="1:9" ht="15.75" x14ac:dyDescent="0.25">
      <c r="A584" s="87">
        <v>580</v>
      </c>
      <c r="B584" s="87" t="s">
        <v>940</v>
      </c>
      <c r="C584" s="553">
        <v>9843</v>
      </c>
      <c r="D584" s="563">
        <v>24000</v>
      </c>
      <c r="E584" s="573">
        <v>267</v>
      </c>
      <c r="F584" s="563">
        <v>24000</v>
      </c>
      <c r="G584" s="87">
        <f t="shared" si="9"/>
        <v>0</v>
      </c>
      <c r="H584" s="509"/>
      <c r="I584" s="525"/>
    </row>
    <row r="585" spans="1:9" ht="15.75" x14ac:dyDescent="0.25">
      <c r="A585" s="87">
        <v>581</v>
      </c>
      <c r="B585" s="87" t="s">
        <v>940</v>
      </c>
      <c r="C585" s="553">
        <v>7886</v>
      </c>
      <c r="D585" s="563">
        <v>24500</v>
      </c>
      <c r="E585" s="573">
        <v>272</v>
      </c>
      <c r="F585" s="563">
        <v>24500</v>
      </c>
      <c r="G585" s="87">
        <f t="shared" si="9"/>
        <v>0</v>
      </c>
      <c r="H585" s="509"/>
      <c r="I585" s="525"/>
    </row>
    <row r="586" spans="1:9" ht="15.75" x14ac:dyDescent="0.25">
      <c r="A586" s="87">
        <v>582</v>
      </c>
      <c r="B586" s="87" t="s">
        <v>940</v>
      </c>
      <c r="C586" s="553">
        <v>4208</v>
      </c>
      <c r="D586" s="563">
        <v>25000</v>
      </c>
      <c r="E586" s="573">
        <v>278</v>
      </c>
      <c r="F586" s="563">
        <v>25000</v>
      </c>
      <c r="G586" s="87">
        <f t="shared" si="9"/>
        <v>0</v>
      </c>
      <c r="H586" s="509"/>
      <c r="I586" s="525"/>
    </row>
    <row r="587" spans="1:9" ht="15.75" x14ac:dyDescent="0.25">
      <c r="A587" s="87">
        <v>583</v>
      </c>
      <c r="B587" s="87" t="s">
        <v>940</v>
      </c>
      <c r="C587" s="553">
        <v>6644</v>
      </c>
      <c r="D587" s="563">
        <v>14500</v>
      </c>
      <c r="E587" s="573">
        <v>161</v>
      </c>
      <c r="F587" s="563">
        <v>14500</v>
      </c>
      <c r="G587" s="87">
        <f t="shared" si="9"/>
        <v>0</v>
      </c>
      <c r="H587" s="509"/>
      <c r="I587" s="525"/>
    </row>
    <row r="588" spans="1:9" ht="15.75" x14ac:dyDescent="0.25">
      <c r="A588" s="87">
        <v>584</v>
      </c>
      <c r="B588" s="87" t="s">
        <v>940</v>
      </c>
      <c r="C588" s="553">
        <v>1220</v>
      </c>
      <c r="D588" s="563">
        <v>14000</v>
      </c>
      <c r="E588" s="573">
        <v>155</v>
      </c>
      <c r="F588" s="563">
        <v>14000</v>
      </c>
      <c r="G588" s="87">
        <f t="shared" si="9"/>
        <v>0</v>
      </c>
      <c r="H588" s="509"/>
      <c r="I588" s="525"/>
    </row>
    <row r="589" spans="1:9" ht="15.75" x14ac:dyDescent="0.25">
      <c r="A589" s="87">
        <v>585</v>
      </c>
      <c r="B589" s="87" t="s">
        <v>940</v>
      </c>
      <c r="C589" s="553">
        <v>8464</v>
      </c>
      <c r="D589" s="563">
        <v>30000</v>
      </c>
      <c r="E589" s="573">
        <v>333</v>
      </c>
      <c r="F589" s="563">
        <v>30000</v>
      </c>
      <c r="G589" s="87">
        <f t="shared" si="9"/>
        <v>0</v>
      </c>
      <c r="H589" s="509"/>
      <c r="I589" s="525"/>
    </row>
    <row r="590" spans="1:9" ht="15.75" x14ac:dyDescent="0.25">
      <c r="A590" s="87">
        <v>586</v>
      </c>
      <c r="B590" s="87" t="s">
        <v>940</v>
      </c>
      <c r="C590" s="553">
        <v>9021</v>
      </c>
      <c r="D590" s="563">
        <v>23000</v>
      </c>
      <c r="E590" s="573">
        <v>323</v>
      </c>
      <c r="F590" s="563">
        <v>23000</v>
      </c>
      <c r="G590" s="87">
        <f t="shared" si="9"/>
        <v>0</v>
      </c>
      <c r="H590" s="509"/>
      <c r="I590" s="525"/>
    </row>
    <row r="591" spans="1:9" ht="15.75" x14ac:dyDescent="0.25">
      <c r="A591" s="87">
        <v>587</v>
      </c>
      <c r="B591" s="87" t="s">
        <v>940</v>
      </c>
      <c r="C591" s="553">
        <v>6186</v>
      </c>
      <c r="D591" s="563">
        <v>33000</v>
      </c>
      <c r="E591" s="573">
        <v>367</v>
      </c>
      <c r="F591" s="563">
        <v>33000</v>
      </c>
      <c r="G591" s="87">
        <f t="shared" si="9"/>
        <v>0</v>
      </c>
      <c r="H591" s="509"/>
      <c r="I591" s="525"/>
    </row>
    <row r="592" spans="1:9" ht="15.75" x14ac:dyDescent="0.25">
      <c r="A592" s="87">
        <v>588</v>
      </c>
      <c r="B592" s="87" t="s">
        <v>939</v>
      </c>
      <c r="C592" s="553" t="s">
        <v>30</v>
      </c>
      <c r="D592" s="563">
        <v>5000</v>
      </c>
      <c r="E592" s="573">
        <v>55</v>
      </c>
      <c r="F592" s="563">
        <v>5000</v>
      </c>
      <c r="G592" s="87">
        <f t="shared" si="9"/>
        <v>0</v>
      </c>
      <c r="H592" s="509"/>
      <c r="I592" s="525"/>
    </row>
    <row r="593" spans="1:9" ht="15.75" x14ac:dyDescent="0.25">
      <c r="A593" s="87">
        <v>589</v>
      </c>
      <c r="B593" s="87" t="s">
        <v>939</v>
      </c>
      <c r="C593" s="553">
        <v>1543</v>
      </c>
      <c r="D593" s="563">
        <v>22000</v>
      </c>
      <c r="E593" s="573">
        <v>245</v>
      </c>
      <c r="F593" s="563">
        <v>22000</v>
      </c>
      <c r="G593" s="87">
        <f t="shared" si="9"/>
        <v>0</v>
      </c>
      <c r="H593" s="509"/>
      <c r="I593" s="525"/>
    </row>
    <row r="594" spans="1:9" ht="15.75" x14ac:dyDescent="0.25">
      <c r="A594" s="87">
        <v>590</v>
      </c>
      <c r="B594" s="87" t="s">
        <v>939</v>
      </c>
      <c r="C594" s="553">
        <v>3662</v>
      </c>
      <c r="D594" s="563">
        <v>20000</v>
      </c>
      <c r="E594" s="573">
        <v>222</v>
      </c>
      <c r="F594" s="563">
        <v>20000</v>
      </c>
      <c r="G594" s="87">
        <f t="shared" si="9"/>
        <v>0</v>
      </c>
      <c r="H594" s="509"/>
      <c r="I594" s="525"/>
    </row>
    <row r="595" spans="1:9" ht="15.75" x14ac:dyDescent="0.25">
      <c r="A595" s="87">
        <v>591</v>
      </c>
      <c r="B595" s="87" t="s">
        <v>939</v>
      </c>
      <c r="C595" s="553">
        <v>3533</v>
      </c>
      <c r="D595" s="563">
        <v>10000</v>
      </c>
      <c r="E595" s="573">
        <v>111</v>
      </c>
      <c r="F595" s="563">
        <v>10000</v>
      </c>
      <c r="G595" s="87">
        <f t="shared" si="9"/>
        <v>0</v>
      </c>
      <c r="H595" s="509"/>
      <c r="I595" s="525"/>
    </row>
    <row r="596" spans="1:9" ht="15.75" x14ac:dyDescent="0.25">
      <c r="A596" s="87">
        <v>592</v>
      </c>
      <c r="B596" s="87" t="s">
        <v>939</v>
      </c>
      <c r="C596" s="553">
        <v>1416</v>
      </c>
      <c r="D596" s="563">
        <v>6000</v>
      </c>
      <c r="E596" s="573">
        <v>66</v>
      </c>
      <c r="F596" s="563">
        <v>6000</v>
      </c>
      <c r="G596" s="87">
        <f t="shared" si="9"/>
        <v>0</v>
      </c>
      <c r="H596" s="509"/>
      <c r="I596" s="525"/>
    </row>
    <row r="597" spans="1:9" ht="15.75" x14ac:dyDescent="0.25">
      <c r="A597" s="87">
        <v>593</v>
      </c>
      <c r="B597" s="87" t="s">
        <v>939</v>
      </c>
      <c r="C597" s="553" t="s">
        <v>30</v>
      </c>
      <c r="D597" s="563">
        <v>5000</v>
      </c>
      <c r="E597" s="573">
        <v>55</v>
      </c>
      <c r="F597" s="563">
        <v>5000</v>
      </c>
      <c r="G597" s="87">
        <f t="shared" si="9"/>
        <v>0</v>
      </c>
      <c r="H597" s="509"/>
      <c r="I597" s="525"/>
    </row>
    <row r="598" spans="1:9" ht="15.75" x14ac:dyDescent="0.25">
      <c r="A598" s="87">
        <v>594</v>
      </c>
      <c r="B598" s="87" t="s">
        <v>939</v>
      </c>
      <c r="C598" s="553" t="s">
        <v>819</v>
      </c>
      <c r="D598" s="563">
        <v>3500</v>
      </c>
      <c r="E598" s="573"/>
      <c r="F598" s="563">
        <v>3500</v>
      </c>
      <c r="G598" s="87">
        <f t="shared" si="9"/>
        <v>0</v>
      </c>
      <c r="H598" s="509"/>
      <c r="I598" s="525"/>
    </row>
    <row r="599" spans="1:9" ht="15.75" x14ac:dyDescent="0.25">
      <c r="A599" s="87">
        <v>595</v>
      </c>
      <c r="B599" s="87" t="s">
        <v>939</v>
      </c>
      <c r="C599" s="553">
        <v>8115</v>
      </c>
      <c r="D599" s="563">
        <v>11500</v>
      </c>
      <c r="E599" s="573">
        <v>128</v>
      </c>
      <c r="F599" s="563">
        <v>11500</v>
      </c>
      <c r="G599" s="87">
        <f t="shared" si="9"/>
        <v>0</v>
      </c>
      <c r="H599" s="509"/>
      <c r="I599" s="525"/>
    </row>
    <row r="600" spans="1:9" ht="15.75" x14ac:dyDescent="0.25">
      <c r="A600" s="87">
        <v>596</v>
      </c>
      <c r="B600" s="87" t="s">
        <v>939</v>
      </c>
      <c r="C600" s="553">
        <v>1123</v>
      </c>
      <c r="D600" s="563">
        <v>20000</v>
      </c>
      <c r="E600" s="573">
        <v>222</v>
      </c>
      <c r="F600" s="563">
        <v>20000</v>
      </c>
      <c r="G600" s="87">
        <f t="shared" si="9"/>
        <v>0</v>
      </c>
      <c r="H600" s="509"/>
      <c r="I600" s="525"/>
    </row>
    <row r="601" spans="1:9" ht="15.75" x14ac:dyDescent="0.25">
      <c r="A601" s="87">
        <v>597</v>
      </c>
      <c r="B601" s="87" t="s">
        <v>939</v>
      </c>
      <c r="C601" s="553">
        <v>1028</v>
      </c>
      <c r="D601" s="563">
        <v>20000</v>
      </c>
      <c r="E601" s="573">
        <v>222</v>
      </c>
      <c r="F601" s="563">
        <v>20000</v>
      </c>
      <c r="G601" s="87">
        <f t="shared" si="9"/>
        <v>0</v>
      </c>
      <c r="H601" s="509"/>
      <c r="I601" s="525"/>
    </row>
    <row r="602" spans="1:9" ht="15.75" x14ac:dyDescent="0.25">
      <c r="A602" s="87">
        <v>598</v>
      </c>
      <c r="B602" s="87" t="s">
        <v>939</v>
      </c>
      <c r="C602" s="553">
        <v>4953</v>
      </c>
      <c r="D602" s="563">
        <v>22000</v>
      </c>
      <c r="E602" s="573">
        <v>45</v>
      </c>
      <c r="F602" s="563">
        <v>22000</v>
      </c>
      <c r="G602" s="87">
        <f t="shared" si="9"/>
        <v>0</v>
      </c>
      <c r="H602" s="509"/>
      <c r="I602" s="525"/>
    </row>
    <row r="603" spans="1:9" ht="15.75" x14ac:dyDescent="0.25">
      <c r="A603" s="87">
        <v>599</v>
      </c>
      <c r="B603" s="87" t="s">
        <v>939</v>
      </c>
      <c r="C603" s="553">
        <v>7544</v>
      </c>
      <c r="D603" s="563">
        <v>22000</v>
      </c>
      <c r="E603" s="573">
        <v>275</v>
      </c>
      <c r="F603" s="563">
        <v>22000</v>
      </c>
      <c r="G603" s="87">
        <f t="shared" si="9"/>
        <v>0</v>
      </c>
      <c r="H603" s="509"/>
      <c r="I603" s="525"/>
    </row>
    <row r="604" spans="1:9" ht="15.75" x14ac:dyDescent="0.25">
      <c r="A604" s="87">
        <v>600</v>
      </c>
      <c r="B604" s="87" t="s">
        <v>939</v>
      </c>
      <c r="C604" s="553">
        <v>7672</v>
      </c>
      <c r="D604" s="563">
        <v>23000</v>
      </c>
      <c r="E604" s="573">
        <v>256</v>
      </c>
      <c r="F604" s="563">
        <v>23000</v>
      </c>
      <c r="G604" s="87">
        <f t="shared" si="9"/>
        <v>0</v>
      </c>
      <c r="H604" s="509"/>
      <c r="I604" s="525"/>
    </row>
    <row r="605" spans="1:9" ht="15.75" x14ac:dyDescent="0.25">
      <c r="A605" s="87">
        <v>601</v>
      </c>
      <c r="B605" s="87" t="s">
        <v>939</v>
      </c>
      <c r="C605" s="553">
        <v>6317</v>
      </c>
      <c r="D605" s="563">
        <v>25000</v>
      </c>
      <c r="E605" s="573">
        <v>278</v>
      </c>
      <c r="F605" s="563">
        <v>25000</v>
      </c>
      <c r="G605" s="87">
        <f t="shared" si="9"/>
        <v>0</v>
      </c>
      <c r="H605" s="509"/>
      <c r="I605" s="525"/>
    </row>
    <row r="606" spans="1:9" ht="15.75" x14ac:dyDescent="0.25">
      <c r="A606" s="87">
        <v>602</v>
      </c>
      <c r="B606" s="87" t="s">
        <v>939</v>
      </c>
      <c r="C606" s="553">
        <v>4065</v>
      </c>
      <c r="D606" s="563">
        <v>25000</v>
      </c>
      <c r="E606" s="573">
        <v>278</v>
      </c>
      <c r="F606" s="563">
        <v>25000</v>
      </c>
      <c r="G606" s="87">
        <f t="shared" si="9"/>
        <v>0</v>
      </c>
      <c r="H606" s="509"/>
      <c r="I606" s="525"/>
    </row>
    <row r="607" spans="1:9" ht="15.75" x14ac:dyDescent="0.25">
      <c r="A607" s="87">
        <v>603</v>
      </c>
      <c r="B607" s="87" t="s">
        <v>939</v>
      </c>
      <c r="C607" s="553">
        <v>2347</v>
      </c>
      <c r="D607" s="563">
        <v>25000</v>
      </c>
      <c r="E607" s="573">
        <v>278</v>
      </c>
      <c r="F607" s="563">
        <v>25000</v>
      </c>
      <c r="G607" s="87">
        <f t="shared" si="9"/>
        <v>0</v>
      </c>
      <c r="H607" s="509"/>
      <c r="I607" s="525"/>
    </row>
    <row r="608" spans="1:9" ht="15.75" x14ac:dyDescent="0.25">
      <c r="A608" s="87">
        <v>604</v>
      </c>
      <c r="B608" s="87" t="s">
        <v>939</v>
      </c>
      <c r="C608" s="554" t="s">
        <v>946</v>
      </c>
      <c r="D608" s="563">
        <v>25000</v>
      </c>
      <c r="E608" s="573">
        <v>278</v>
      </c>
      <c r="F608" s="563">
        <v>25000</v>
      </c>
      <c r="G608" s="87">
        <f t="shared" si="9"/>
        <v>0</v>
      </c>
      <c r="H608" s="509"/>
      <c r="I608" s="525"/>
    </row>
    <row r="609" spans="1:9" ht="15.75" x14ac:dyDescent="0.25">
      <c r="A609" s="87">
        <v>605</v>
      </c>
      <c r="B609" s="87" t="s">
        <v>939</v>
      </c>
      <c r="C609" s="553">
        <v>1960</v>
      </c>
      <c r="D609" s="563">
        <v>25000</v>
      </c>
      <c r="E609" s="573">
        <v>278</v>
      </c>
      <c r="F609" s="563">
        <v>25000</v>
      </c>
      <c r="G609" s="87">
        <f t="shared" si="9"/>
        <v>0</v>
      </c>
      <c r="H609" s="509"/>
      <c r="I609" s="525"/>
    </row>
    <row r="610" spans="1:9" ht="15.75" x14ac:dyDescent="0.25">
      <c r="A610" s="87">
        <v>606</v>
      </c>
      <c r="B610" s="87" t="s">
        <v>939</v>
      </c>
      <c r="C610" s="553">
        <v>4727</v>
      </c>
      <c r="D610" s="563">
        <v>26000</v>
      </c>
      <c r="E610" s="573">
        <v>289</v>
      </c>
      <c r="F610" s="563">
        <v>26000</v>
      </c>
      <c r="G610" s="87">
        <f t="shared" si="9"/>
        <v>0</v>
      </c>
      <c r="H610" s="509"/>
      <c r="I610" s="525"/>
    </row>
    <row r="611" spans="1:9" ht="15.75" x14ac:dyDescent="0.25">
      <c r="A611" s="87">
        <v>607</v>
      </c>
      <c r="B611" s="87" t="s">
        <v>939</v>
      </c>
      <c r="C611" s="553">
        <v>9457</v>
      </c>
      <c r="D611" s="563">
        <v>27000</v>
      </c>
      <c r="E611" s="573">
        <v>289</v>
      </c>
      <c r="F611" s="563">
        <v>27000</v>
      </c>
      <c r="G611" s="87">
        <f t="shared" si="9"/>
        <v>0</v>
      </c>
      <c r="H611" s="509"/>
      <c r="I611" s="525"/>
    </row>
    <row r="612" spans="1:9" ht="15.75" x14ac:dyDescent="0.25">
      <c r="A612" s="87">
        <v>608</v>
      </c>
      <c r="B612" s="87" t="s">
        <v>939</v>
      </c>
      <c r="C612" s="553">
        <v>9458</v>
      </c>
      <c r="D612" s="563">
        <v>27000</v>
      </c>
      <c r="E612" s="573">
        <v>287</v>
      </c>
      <c r="F612" s="563">
        <v>27000</v>
      </c>
      <c r="G612" s="87">
        <f t="shared" si="9"/>
        <v>0</v>
      </c>
      <c r="H612" s="509"/>
      <c r="I612" s="525"/>
    </row>
    <row r="613" spans="1:9" ht="15.75" x14ac:dyDescent="0.25">
      <c r="A613" s="87">
        <v>609</v>
      </c>
      <c r="B613" s="87" t="s">
        <v>939</v>
      </c>
      <c r="C613" s="553">
        <v>9412</v>
      </c>
      <c r="D613" s="563">
        <v>30000</v>
      </c>
      <c r="E613" s="573">
        <v>324</v>
      </c>
      <c r="F613" s="563">
        <v>30000</v>
      </c>
      <c r="G613" s="87">
        <f t="shared" si="9"/>
        <v>0</v>
      </c>
      <c r="H613" s="509"/>
      <c r="I613" s="525"/>
    </row>
    <row r="614" spans="1:9" ht="15.75" x14ac:dyDescent="0.25">
      <c r="A614" s="87">
        <v>610</v>
      </c>
      <c r="B614" s="87" t="s">
        <v>947</v>
      </c>
      <c r="C614" s="553">
        <v>7344</v>
      </c>
      <c r="D614" s="563">
        <v>16000</v>
      </c>
      <c r="E614" s="573">
        <v>170</v>
      </c>
      <c r="F614" s="563">
        <v>16000</v>
      </c>
      <c r="G614" s="87">
        <f t="shared" si="9"/>
        <v>0</v>
      </c>
      <c r="H614" s="509"/>
      <c r="I614" s="525"/>
    </row>
    <row r="615" spans="1:9" ht="15.75" x14ac:dyDescent="0.25">
      <c r="A615" s="87">
        <v>611</v>
      </c>
      <c r="B615" s="87" t="s">
        <v>947</v>
      </c>
      <c r="C615" s="553" t="s">
        <v>30</v>
      </c>
      <c r="D615" s="563">
        <v>5000</v>
      </c>
      <c r="E615" s="573">
        <v>55</v>
      </c>
      <c r="F615" s="563">
        <v>5000</v>
      </c>
      <c r="G615" s="87">
        <f t="shared" si="9"/>
        <v>0</v>
      </c>
      <c r="H615" s="509"/>
      <c r="I615" s="525"/>
    </row>
    <row r="616" spans="1:9" ht="15.75" x14ac:dyDescent="0.25">
      <c r="A616" s="87">
        <v>612</v>
      </c>
      <c r="B616" s="87" t="s">
        <v>947</v>
      </c>
      <c r="C616" s="553">
        <v>9474</v>
      </c>
      <c r="D616" s="563">
        <v>15000</v>
      </c>
      <c r="E616" s="573">
        <v>167</v>
      </c>
      <c r="F616" s="563">
        <v>15000</v>
      </c>
      <c r="G616" s="87">
        <f t="shared" si="9"/>
        <v>0</v>
      </c>
      <c r="H616" s="509"/>
      <c r="I616" s="525"/>
    </row>
    <row r="617" spans="1:9" ht="15.75" x14ac:dyDescent="0.25">
      <c r="A617" s="87">
        <v>613</v>
      </c>
      <c r="B617" s="87" t="s">
        <v>947</v>
      </c>
      <c r="C617" s="553">
        <v>9212</v>
      </c>
      <c r="D617" s="563">
        <v>17000</v>
      </c>
      <c r="E617" s="573">
        <v>189</v>
      </c>
      <c r="F617" s="563">
        <v>17000</v>
      </c>
      <c r="G617" s="87">
        <f t="shared" si="9"/>
        <v>0</v>
      </c>
      <c r="H617" s="509"/>
      <c r="I617" s="525"/>
    </row>
    <row r="618" spans="1:9" ht="15.75" x14ac:dyDescent="0.25">
      <c r="A618" s="87">
        <v>614</v>
      </c>
      <c r="B618" s="87" t="s">
        <v>947</v>
      </c>
      <c r="C618" s="553">
        <v>3776</v>
      </c>
      <c r="D618" s="563">
        <v>17000</v>
      </c>
      <c r="E618" s="573">
        <v>189</v>
      </c>
      <c r="F618" s="563">
        <v>17000</v>
      </c>
      <c r="G618" s="87">
        <f t="shared" si="9"/>
        <v>0</v>
      </c>
      <c r="H618" s="509"/>
      <c r="I618" s="525"/>
    </row>
    <row r="619" spans="1:9" ht="15.75" x14ac:dyDescent="0.25">
      <c r="A619" s="87">
        <v>615</v>
      </c>
      <c r="B619" s="87" t="s">
        <v>947</v>
      </c>
      <c r="C619" s="553">
        <v>6957</v>
      </c>
      <c r="D619" s="563">
        <v>18000</v>
      </c>
      <c r="E619" s="573">
        <v>200</v>
      </c>
      <c r="F619" s="563">
        <v>18000</v>
      </c>
      <c r="G619" s="87">
        <f t="shared" si="9"/>
        <v>0</v>
      </c>
      <c r="H619" s="509"/>
      <c r="I619" s="525"/>
    </row>
    <row r="620" spans="1:9" ht="15.75" x14ac:dyDescent="0.25">
      <c r="A620" s="87">
        <v>616</v>
      </c>
      <c r="B620" s="87" t="s">
        <v>947</v>
      </c>
      <c r="C620" s="553">
        <v>4820</v>
      </c>
      <c r="D620" s="563">
        <v>16000</v>
      </c>
      <c r="E620" s="573">
        <v>178</v>
      </c>
      <c r="F620" s="563">
        <v>16000</v>
      </c>
      <c r="G620" s="87">
        <f t="shared" si="9"/>
        <v>0</v>
      </c>
      <c r="H620" s="509"/>
      <c r="I620" s="525"/>
    </row>
    <row r="621" spans="1:9" ht="15.75" x14ac:dyDescent="0.25">
      <c r="A621" s="87">
        <v>617</v>
      </c>
      <c r="B621" s="87" t="s">
        <v>947</v>
      </c>
      <c r="C621" s="553">
        <v>2044</v>
      </c>
      <c r="D621" s="563">
        <v>23000</v>
      </c>
      <c r="E621" s="573">
        <v>256</v>
      </c>
      <c r="F621" s="563">
        <v>23000</v>
      </c>
      <c r="G621" s="87">
        <f t="shared" si="9"/>
        <v>0</v>
      </c>
      <c r="H621" s="509"/>
      <c r="I621" s="525"/>
    </row>
    <row r="622" spans="1:9" ht="15.75" x14ac:dyDescent="0.25">
      <c r="A622" s="87">
        <v>618</v>
      </c>
      <c r="B622" s="87" t="s">
        <v>947</v>
      </c>
      <c r="C622" s="554" t="s">
        <v>948</v>
      </c>
      <c r="D622" s="563">
        <v>29000</v>
      </c>
      <c r="E622" s="573">
        <v>323</v>
      </c>
      <c r="F622" s="563">
        <v>29000</v>
      </c>
      <c r="G622" s="87">
        <f t="shared" si="9"/>
        <v>0</v>
      </c>
      <c r="H622" s="509"/>
      <c r="I622" s="525"/>
    </row>
    <row r="623" spans="1:9" ht="15.75" x14ac:dyDescent="0.25">
      <c r="A623" s="87">
        <v>619</v>
      </c>
      <c r="B623" s="87" t="s">
        <v>947</v>
      </c>
      <c r="C623" s="553">
        <v>3659</v>
      </c>
      <c r="D623" s="563">
        <v>25000</v>
      </c>
      <c r="E623" s="573">
        <v>278</v>
      </c>
      <c r="F623" s="563">
        <v>25000</v>
      </c>
      <c r="G623" s="87">
        <f t="shared" si="9"/>
        <v>0</v>
      </c>
      <c r="H623" s="509"/>
      <c r="I623" s="525"/>
    </row>
    <row r="624" spans="1:9" ht="15.75" x14ac:dyDescent="0.25">
      <c r="A624" s="87">
        <v>620</v>
      </c>
      <c r="B624" s="87" t="s">
        <v>947</v>
      </c>
      <c r="C624" s="553">
        <v>6447</v>
      </c>
      <c r="D624" s="563">
        <v>25000</v>
      </c>
      <c r="E624" s="573">
        <v>278</v>
      </c>
      <c r="F624" s="563">
        <v>25000</v>
      </c>
      <c r="G624" s="87">
        <f t="shared" si="9"/>
        <v>0</v>
      </c>
      <c r="H624" s="509"/>
      <c r="I624" s="525"/>
    </row>
    <row r="625" spans="1:9" ht="15.75" x14ac:dyDescent="0.25">
      <c r="A625" s="87">
        <v>621</v>
      </c>
      <c r="B625" s="87" t="s">
        <v>947</v>
      </c>
      <c r="C625" s="553">
        <v>2320</v>
      </c>
      <c r="D625" s="563">
        <v>30000</v>
      </c>
      <c r="E625" s="573">
        <v>334</v>
      </c>
      <c r="F625" s="563">
        <v>30000</v>
      </c>
      <c r="G625" s="87">
        <f t="shared" si="9"/>
        <v>0</v>
      </c>
      <c r="H625" s="509"/>
      <c r="I625" s="525"/>
    </row>
    <row r="626" spans="1:9" ht="15.75" x14ac:dyDescent="0.25">
      <c r="A626" s="87">
        <v>622</v>
      </c>
      <c r="B626" s="87" t="s">
        <v>947</v>
      </c>
      <c r="C626" s="553">
        <v>5626</v>
      </c>
      <c r="D626" s="563">
        <v>32000</v>
      </c>
      <c r="E626" s="573">
        <v>356</v>
      </c>
      <c r="F626" s="563">
        <v>32000</v>
      </c>
      <c r="G626" s="87">
        <f t="shared" si="9"/>
        <v>0</v>
      </c>
      <c r="H626" s="509"/>
      <c r="I626" s="525"/>
    </row>
    <row r="627" spans="1:9" ht="15.75" x14ac:dyDescent="0.25">
      <c r="A627" s="87">
        <v>623</v>
      </c>
      <c r="B627" s="87" t="s">
        <v>947</v>
      </c>
      <c r="C627" s="554" t="s">
        <v>949</v>
      </c>
      <c r="D627" s="563">
        <v>27000</v>
      </c>
      <c r="E627" s="573">
        <v>287</v>
      </c>
      <c r="F627" s="563">
        <v>27000</v>
      </c>
      <c r="G627" s="87">
        <f t="shared" si="9"/>
        <v>0</v>
      </c>
      <c r="H627" s="509"/>
      <c r="I627" s="525"/>
    </row>
    <row r="628" spans="1:9" ht="15.75" x14ac:dyDescent="0.25">
      <c r="A628" s="87">
        <v>624</v>
      </c>
      <c r="B628" s="87" t="s">
        <v>947</v>
      </c>
      <c r="C628" s="554" t="s">
        <v>950</v>
      </c>
      <c r="D628" s="563">
        <v>25000</v>
      </c>
      <c r="E628" s="573">
        <v>266</v>
      </c>
      <c r="F628" s="563">
        <v>25000</v>
      </c>
      <c r="G628" s="87">
        <f t="shared" si="9"/>
        <v>0</v>
      </c>
      <c r="H628" s="509"/>
      <c r="I628" s="525"/>
    </row>
    <row r="629" spans="1:9" ht="15.75" x14ac:dyDescent="0.25">
      <c r="A629" s="87">
        <v>625</v>
      </c>
      <c r="B629" s="87" t="s">
        <v>947</v>
      </c>
      <c r="C629" s="553">
        <v>2215</v>
      </c>
      <c r="D629" s="563">
        <v>21000</v>
      </c>
      <c r="E629" s="573">
        <v>210</v>
      </c>
      <c r="F629" s="563">
        <v>21000</v>
      </c>
      <c r="G629" s="87">
        <f t="shared" si="9"/>
        <v>0</v>
      </c>
      <c r="H629" s="509"/>
      <c r="I629" s="525"/>
    </row>
    <row r="630" spans="1:9" ht="15.75" x14ac:dyDescent="0.25">
      <c r="A630" s="87">
        <v>626</v>
      </c>
      <c r="B630" s="87" t="s">
        <v>947</v>
      </c>
      <c r="C630" s="553">
        <v>1799</v>
      </c>
      <c r="D630" s="563">
        <v>20000</v>
      </c>
      <c r="E630" s="573">
        <v>213</v>
      </c>
      <c r="F630" s="563">
        <v>20000</v>
      </c>
      <c r="G630" s="87">
        <f t="shared" si="9"/>
        <v>0</v>
      </c>
      <c r="H630" s="509"/>
      <c r="I630" s="525"/>
    </row>
    <row r="631" spans="1:9" ht="15.75" x14ac:dyDescent="0.25">
      <c r="A631" s="87">
        <v>627</v>
      </c>
      <c r="B631" s="87" t="s">
        <v>947</v>
      </c>
      <c r="C631" s="553">
        <v>5601</v>
      </c>
      <c r="D631" s="563">
        <v>20000</v>
      </c>
      <c r="E631" s="573">
        <v>213</v>
      </c>
      <c r="F631" s="563">
        <v>20000</v>
      </c>
      <c r="G631" s="87">
        <f t="shared" si="9"/>
        <v>0</v>
      </c>
      <c r="H631" s="509"/>
      <c r="I631" s="525"/>
    </row>
    <row r="632" spans="1:9" ht="15.75" x14ac:dyDescent="0.25">
      <c r="A632" s="87">
        <v>628</v>
      </c>
      <c r="B632" s="87" t="s">
        <v>947</v>
      </c>
      <c r="C632" s="553">
        <v>9888</v>
      </c>
      <c r="D632" s="563">
        <v>25000</v>
      </c>
      <c r="E632" s="573">
        <v>266</v>
      </c>
      <c r="F632" s="563">
        <v>25000</v>
      </c>
      <c r="G632" s="87">
        <f t="shared" si="9"/>
        <v>0</v>
      </c>
      <c r="H632" s="509"/>
      <c r="I632" s="525"/>
    </row>
    <row r="633" spans="1:9" ht="15.75" x14ac:dyDescent="0.25">
      <c r="A633" s="87">
        <v>629</v>
      </c>
      <c r="B633" s="87" t="s">
        <v>947</v>
      </c>
      <c r="C633" s="553">
        <v>2578</v>
      </c>
      <c r="D633" s="563">
        <v>30000</v>
      </c>
      <c r="E633" s="573">
        <v>319</v>
      </c>
      <c r="F633" s="563">
        <v>30000</v>
      </c>
      <c r="G633" s="87">
        <f t="shared" si="9"/>
        <v>0</v>
      </c>
      <c r="H633" s="509"/>
      <c r="I633" s="525"/>
    </row>
    <row r="634" spans="1:9" ht="15.75" x14ac:dyDescent="0.25">
      <c r="A634" s="87">
        <v>630</v>
      </c>
      <c r="B634" s="87" t="s">
        <v>951</v>
      </c>
      <c r="C634" s="553" t="s">
        <v>30</v>
      </c>
      <c r="D634" s="563">
        <v>5000</v>
      </c>
      <c r="E634" s="573">
        <v>50.45</v>
      </c>
      <c r="F634" s="563">
        <v>5000</v>
      </c>
      <c r="G634" s="87">
        <f t="shared" si="9"/>
        <v>0</v>
      </c>
      <c r="H634" s="509"/>
      <c r="I634" s="525"/>
    </row>
    <row r="635" spans="1:9" ht="15.75" x14ac:dyDescent="0.25">
      <c r="A635" s="87">
        <v>631</v>
      </c>
      <c r="B635" s="87" t="s">
        <v>951</v>
      </c>
      <c r="C635" s="553" t="s">
        <v>30</v>
      </c>
      <c r="D635" s="563">
        <v>5000</v>
      </c>
      <c r="E635" s="573">
        <v>50.45</v>
      </c>
      <c r="F635" s="563">
        <v>5000</v>
      </c>
      <c r="G635" s="87">
        <f t="shared" si="9"/>
        <v>0</v>
      </c>
      <c r="H635" s="509"/>
      <c r="I635" s="525"/>
    </row>
    <row r="636" spans="1:9" ht="15.75" x14ac:dyDescent="0.25">
      <c r="A636" s="87">
        <v>632</v>
      </c>
      <c r="B636" s="87" t="s">
        <v>951</v>
      </c>
      <c r="C636" s="553">
        <v>3684</v>
      </c>
      <c r="D636" s="563">
        <v>32000</v>
      </c>
      <c r="E636" s="573">
        <v>272</v>
      </c>
      <c r="F636" s="563">
        <v>32000</v>
      </c>
      <c r="G636" s="87">
        <f t="shared" si="9"/>
        <v>0</v>
      </c>
      <c r="H636" s="509"/>
      <c r="I636" s="525"/>
    </row>
    <row r="637" spans="1:9" ht="15.75" x14ac:dyDescent="0.25">
      <c r="A637" s="87">
        <v>633</v>
      </c>
      <c r="B637" s="87" t="s">
        <v>951</v>
      </c>
      <c r="C637" s="553">
        <v>1608</v>
      </c>
      <c r="D637" s="563">
        <v>20000</v>
      </c>
      <c r="E637" s="573">
        <v>222</v>
      </c>
      <c r="F637" s="563">
        <v>20000</v>
      </c>
      <c r="G637" s="87">
        <f t="shared" si="9"/>
        <v>0</v>
      </c>
      <c r="H637" s="509"/>
      <c r="I637" s="525"/>
    </row>
    <row r="638" spans="1:9" ht="15.75" x14ac:dyDescent="0.25">
      <c r="A638" s="87">
        <v>634</v>
      </c>
      <c r="B638" s="87" t="s">
        <v>951</v>
      </c>
      <c r="C638" s="554" t="s">
        <v>911</v>
      </c>
      <c r="D638" s="563">
        <v>31000</v>
      </c>
      <c r="E638" s="573">
        <v>354</v>
      </c>
      <c r="F638" s="563">
        <v>31000</v>
      </c>
      <c r="G638" s="87">
        <f t="shared" si="9"/>
        <v>0</v>
      </c>
      <c r="H638" s="509"/>
      <c r="I638" s="525"/>
    </row>
    <row r="639" spans="1:9" ht="15.75" x14ac:dyDescent="0.25">
      <c r="A639" s="87">
        <v>635</v>
      </c>
      <c r="B639" s="87" t="s">
        <v>951</v>
      </c>
      <c r="C639" s="553">
        <v>6814</v>
      </c>
      <c r="D639" s="563">
        <v>30000</v>
      </c>
      <c r="E639" s="573">
        <v>334</v>
      </c>
      <c r="F639" s="563">
        <v>30000</v>
      </c>
      <c r="G639" s="87">
        <f t="shared" si="9"/>
        <v>0</v>
      </c>
      <c r="H639" s="509"/>
      <c r="I639" s="525"/>
    </row>
    <row r="640" spans="1:9" ht="15.75" x14ac:dyDescent="0.25">
      <c r="A640" s="87">
        <v>636</v>
      </c>
      <c r="B640" s="87" t="s">
        <v>951</v>
      </c>
      <c r="C640" s="553">
        <v>1126</v>
      </c>
      <c r="D640" s="563">
        <v>28000</v>
      </c>
      <c r="E640" s="573">
        <v>311</v>
      </c>
      <c r="F640" s="563">
        <v>28000</v>
      </c>
      <c r="G640" s="87">
        <f t="shared" si="9"/>
        <v>0</v>
      </c>
      <c r="H640" s="509"/>
      <c r="I640" s="525"/>
    </row>
    <row r="641" spans="1:9" ht="15.75" x14ac:dyDescent="0.25">
      <c r="A641" s="87">
        <v>637</v>
      </c>
      <c r="B641" s="87" t="s">
        <v>951</v>
      </c>
      <c r="C641" s="553">
        <v>5271</v>
      </c>
      <c r="D641" s="563">
        <v>32000</v>
      </c>
      <c r="E641" s="573">
        <v>245</v>
      </c>
      <c r="F641" s="563">
        <v>32000</v>
      </c>
      <c r="G641" s="87">
        <f t="shared" si="9"/>
        <v>0</v>
      </c>
      <c r="H641" s="509"/>
      <c r="I641" s="525"/>
    </row>
    <row r="642" spans="1:9" s="596" customFormat="1" ht="15.75" x14ac:dyDescent="0.25">
      <c r="A642" s="87"/>
      <c r="B642" s="87" t="s">
        <v>953</v>
      </c>
      <c r="C642" s="553">
        <v>4340</v>
      </c>
      <c r="D642" s="563">
        <v>23000</v>
      </c>
      <c r="E642" s="573">
        <v>228</v>
      </c>
      <c r="F642" s="563">
        <v>23000</v>
      </c>
      <c r="G642" s="87">
        <f t="shared" si="9"/>
        <v>0</v>
      </c>
      <c r="H642" s="509"/>
      <c r="I642" s="525"/>
    </row>
    <row r="643" spans="1:9" s="596" customFormat="1" ht="15.75" x14ac:dyDescent="0.25">
      <c r="A643" s="87"/>
      <c r="B643" s="87" t="s">
        <v>953</v>
      </c>
      <c r="C643" s="553">
        <v>3665</v>
      </c>
      <c r="D643" s="563">
        <v>19000</v>
      </c>
      <c r="E643" s="573">
        <v>211</v>
      </c>
      <c r="F643" s="563">
        <v>19000</v>
      </c>
      <c r="G643" s="87">
        <f t="shared" si="9"/>
        <v>0</v>
      </c>
      <c r="H643" s="509"/>
      <c r="I643" s="525"/>
    </row>
    <row r="644" spans="1:9" s="596" customFormat="1" ht="15.75" x14ac:dyDescent="0.25">
      <c r="A644" s="87"/>
      <c r="B644" s="87" t="s">
        <v>953</v>
      </c>
      <c r="C644" s="553">
        <v>3344</v>
      </c>
      <c r="D644" s="563">
        <v>13000</v>
      </c>
      <c r="E644" s="573">
        <v>144</v>
      </c>
      <c r="F644" s="563">
        <v>13000</v>
      </c>
      <c r="G644" s="87">
        <f t="shared" si="9"/>
        <v>0</v>
      </c>
      <c r="H644" s="509"/>
      <c r="I644" s="525"/>
    </row>
    <row r="645" spans="1:9" s="596" customFormat="1" ht="15.75" x14ac:dyDescent="0.25">
      <c r="A645" s="87"/>
      <c r="B645" s="87" t="s">
        <v>953</v>
      </c>
      <c r="C645" s="553" t="s">
        <v>30</v>
      </c>
      <c r="D645" s="563">
        <v>5000</v>
      </c>
      <c r="E645" s="573">
        <v>55</v>
      </c>
      <c r="F645" s="563">
        <v>5000</v>
      </c>
      <c r="G645" s="87">
        <f t="shared" ref="G645:G708" si="10">D645-F645</f>
        <v>0</v>
      </c>
      <c r="H645" s="509"/>
      <c r="I645" s="525"/>
    </row>
    <row r="646" spans="1:9" s="596" customFormat="1" ht="15.75" x14ac:dyDescent="0.25">
      <c r="A646" s="87"/>
      <c r="B646" s="87" t="s">
        <v>953</v>
      </c>
      <c r="C646" s="553">
        <v>8369</v>
      </c>
      <c r="D646" s="563">
        <v>22000</v>
      </c>
      <c r="E646" s="573">
        <v>251</v>
      </c>
      <c r="F646" s="563">
        <v>22000</v>
      </c>
      <c r="G646" s="87">
        <f t="shared" si="10"/>
        <v>0</v>
      </c>
      <c r="H646" s="509"/>
      <c r="I646" s="525"/>
    </row>
    <row r="647" spans="1:9" s="596" customFormat="1" ht="15.75" x14ac:dyDescent="0.25">
      <c r="A647" s="87"/>
      <c r="B647" s="87" t="s">
        <v>953</v>
      </c>
      <c r="C647" s="553">
        <v>5078</v>
      </c>
      <c r="D647" s="563">
        <v>9000</v>
      </c>
      <c r="E647" s="573">
        <v>100</v>
      </c>
      <c r="F647" s="563">
        <v>9000</v>
      </c>
      <c r="G647" s="87">
        <f t="shared" si="10"/>
        <v>0</v>
      </c>
      <c r="H647" s="509"/>
      <c r="I647" s="525"/>
    </row>
    <row r="648" spans="1:9" s="596" customFormat="1" ht="15.75" x14ac:dyDescent="0.25">
      <c r="A648" s="87"/>
      <c r="B648" s="87" t="s">
        <v>953</v>
      </c>
      <c r="C648" s="553">
        <v>2497</v>
      </c>
      <c r="D648" s="563">
        <v>19000</v>
      </c>
      <c r="E648" s="573">
        <v>211</v>
      </c>
      <c r="F648" s="563">
        <v>19000</v>
      </c>
      <c r="G648" s="87">
        <f t="shared" si="10"/>
        <v>0</v>
      </c>
      <c r="H648" s="509"/>
      <c r="I648" s="525"/>
    </row>
    <row r="649" spans="1:9" s="596" customFormat="1" ht="15.75" x14ac:dyDescent="0.25">
      <c r="A649" s="87"/>
      <c r="B649" s="87" t="s">
        <v>953</v>
      </c>
      <c r="C649" s="553">
        <v>4231</v>
      </c>
      <c r="D649" s="563">
        <v>10000</v>
      </c>
      <c r="E649" s="573">
        <v>111</v>
      </c>
      <c r="F649" s="563">
        <v>10000</v>
      </c>
      <c r="G649" s="87">
        <f t="shared" si="10"/>
        <v>0</v>
      </c>
      <c r="H649" s="509"/>
      <c r="I649" s="525"/>
    </row>
    <row r="650" spans="1:9" s="596" customFormat="1" ht="15.75" x14ac:dyDescent="0.25">
      <c r="A650" s="87"/>
      <c r="B650" s="87" t="s">
        <v>953</v>
      </c>
      <c r="C650" s="553">
        <v>1220</v>
      </c>
      <c r="D650" s="563">
        <v>14000</v>
      </c>
      <c r="E650" s="573">
        <v>149</v>
      </c>
      <c r="F650" s="563">
        <v>14000</v>
      </c>
      <c r="G650" s="87">
        <f t="shared" si="10"/>
        <v>0</v>
      </c>
      <c r="H650" s="509"/>
      <c r="I650" s="525"/>
    </row>
    <row r="651" spans="1:9" s="596" customFormat="1" ht="15.75" x14ac:dyDescent="0.25">
      <c r="A651" s="87"/>
      <c r="B651" s="87" t="s">
        <v>953</v>
      </c>
      <c r="C651" s="553">
        <v>4765</v>
      </c>
      <c r="D651" s="563">
        <v>30000</v>
      </c>
      <c r="E651" s="573">
        <v>318</v>
      </c>
      <c r="F651" s="563">
        <v>30000</v>
      </c>
      <c r="G651" s="87">
        <f t="shared" si="10"/>
        <v>0</v>
      </c>
      <c r="H651" s="509"/>
      <c r="I651" s="525"/>
    </row>
    <row r="652" spans="1:9" s="596" customFormat="1" ht="15.75" x14ac:dyDescent="0.25">
      <c r="A652" s="87"/>
      <c r="B652" s="87" t="s">
        <v>953</v>
      </c>
      <c r="C652" s="553">
        <v>9021</v>
      </c>
      <c r="D652" s="563">
        <v>23000</v>
      </c>
      <c r="E652" s="573">
        <v>256</v>
      </c>
      <c r="F652" s="563">
        <v>23000</v>
      </c>
      <c r="G652" s="87">
        <f t="shared" si="10"/>
        <v>0</v>
      </c>
      <c r="H652" s="509"/>
      <c r="I652" s="525"/>
    </row>
    <row r="653" spans="1:9" s="596" customFormat="1" ht="15.75" x14ac:dyDescent="0.25">
      <c r="A653" s="87"/>
      <c r="B653" s="87" t="s">
        <v>953</v>
      </c>
      <c r="C653" s="553">
        <v>8595</v>
      </c>
      <c r="D653" s="563">
        <v>19000</v>
      </c>
      <c r="E653" s="573">
        <v>211</v>
      </c>
      <c r="F653" s="563">
        <v>19000</v>
      </c>
      <c r="G653" s="87">
        <f t="shared" si="10"/>
        <v>0</v>
      </c>
      <c r="H653" s="509"/>
      <c r="I653" s="525"/>
    </row>
    <row r="654" spans="1:9" s="596" customFormat="1" ht="15.75" x14ac:dyDescent="0.25">
      <c r="A654" s="87"/>
      <c r="B654" s="87" t="s">
        <v>953</v>
      </c>
      <c r="C654" s="553">
        <v>4436</v>
      </c>
      <c r="D654" s="563">
        <v>23000</v>
      </c>
      <c r="E654" s="573">
        <v>256</v>
      </c>
      <c r="F654" s="563">
        <v>23000</v>
      </c>
      <c r="G654" s="87">
        <f t="shared" si="10"/>
        <v>0</v>
      </c>
      <c r="H654" s="509"/>
      <c r="I654" s="525"/>
    </row>
    <row r="655" spans="1:9" s="596" customFormat="1" ht="15.75" x14ac:dyDescent="0.25">
      <c r="A655" s="87"/>
      <c r="B655" s="87" t="s">
        <v>953</v>
      </c>
      <c r="C655" s="553">
        <v>8382</v>
      </c>
      <c r="D655" s="563">
        <v>22000</v>
      </c>
      <c r="E655" s="573">
        <v>245</v>
      </c>
      <c r="F655" s="563">
        <v>22000</v>
      </c>
      <c r="G655" s="87">
        <f t="shared" si="10"/>
        <v>0</v>
      </c>
      <c r="H655" s="509"/>
      <c r="I655" s="525"/>
    </row>
    <row r="656" spans="1:9" s="596" customFormat="1" ht="15.75" x14ac:dyDescent="0.25">
      <c r="A656" s="87"/>
      <c r="B656" s="87" t="s">
        <v>953</v>
      </c>
      <c r="C656" s="553">
        <v>4742</v>
      </c>
      <c r="D656" s="563">
        <v>27000</v>
      </c>
      <c r="E656" s="573">
        <v>300</v>
      </c>
      <c r="F656" s="563">
        <v>27000</v>
      </c>
      <c r="G656" s="87">
        <f t="shared" si="10"/>
        <v>0</v>
      </c>
      <c r="H656" s="509"/>
      <c r="I656" s="525"/>
    </row>
    <row r="657" spans="1:13" s="596" customFormat="1" ht="15.75" x14ac:dyDescent="0.25">
      <c r="A657" s="87"/>
      <c r="B657" s="87" t="s">
        <v>953</v>
      </c>
      <c r="C657" s="553">
        <v>1266</v>
      </c>
      <c r="D657" s="563">
        <v>13000</v>
      </c>
      <c r="E657" s="573">
        <v>144</v>
      </c>
      <c r="F657" s="563">
        <v>13000</v>
      </c>
      <c r="G657" s="87">
        <f t="shared" si="10"/>
        <v>0</v>
      </c>
      <c r="H657" s="509"/>
      <c r="I657" s="525"/>
    </row>
    <row r="658" spans="1:13" s="596" customFormat="1" ht="15.75" x14ac:dyDescent="0.25">
      <c r="A658" s="87"/>
      <c r="B658" s="87" t="s">
        <v>953</v>
      </c>
      <c r="C658" s="553">
        <v>7677</v>
      </c>
      <c r="D658" s="563">
        <v>24000</v>
      </c>
      <c r="E658" s="573">
        <v>267</v>
      </c>
      <c r="F658" s="563">
        <v>24000</v>
      </c>
      <c r="G658" s="87">
        <f t="shared" si="10"/>
        <v>0</v>
      </c>
      <c r="H658" s="509"/>
      <c r="I658" s="525"/>
    </row>
    <row r="659" spans="1:13" s="596" customFormat="1" ht="15.75" x14ac:dyDescent="0.25">
      <c r="A659" s="87"/>
      <c r="B659" s="87" t="s">
        <v>953</v>
      </c>
      <c r="C659" s="553">
        <v>6464</v>
      </c>
      <c r="D659" s="563">
        <v>23000</v>
      </c>
      <c r="E659" s="573">
        <v>256</v>
      </c>
      <c r="F659" s="563">
        <v>23000</v>
      </c>
      <c r="G659" s="87">
        <f t="shared" si="10"/>
        <v>0</v>
      </c>
      <c r="H659" s="509"/>
      <c r="I659" s="525"/>
    </row>
    <row r="660" spans="1:13" s="596" customFormat="1" ht="15.75" x14ac:dyDescent="0.25">
      <c r="A660" s="87"/>
      <c r="B660" s="87" t="s">
        <v>953</v>
      </c>
      <c r="C660" s="553">
        <v>8131</v>
      </c>
      <c r="D660" s="563">
        <v>30000</v>
      </c>
      <c r="E660" s="573">
        <v>334</v>
      </c>
      <c r="F660" s="563">
        <v>30000</v>
      </c>
      <c r="G660" s="87">
        <f t="shared" si="10"/>
        <v>0</v>
      </c>
      <c r="H660" s="509"/>
      <c r="I660" s="525"/>
    </row>
    <row r="661" spans="1:13" s="596" customFormat="1" ht="15.75" x14ac:dyDescent="0.25">
      <c r="A661" s="87"/>
      <c r="B661" s="87" t="s">
        <v>953</v>
      </c>
      <c r="C661" s="553">
        <v>7908</v>
      </c>
      <c r="D661" s="563">
        <v>28000</v>
      </c>
      <c r="E661" s="573">
        <v>311</v>
      </c>
      <c r="F661" s="563">
        <v>28000</v>
      </c>
      <c r="G661" s="87">
        <f t="shared" si="10"/>
        <v>0</v>
      </c>
      <c r="H661" s="509"/>
      <c r="I661" s="525"/>
    </row>
    <row r="662" spans="1:13" s="596" customFormat="1" ht="15.75" x14ac:dyDescent="0.25">
      <c r="A662" s="87"/>
      <c r="B662" s="87" t="s">
        <v>953</v>
      </c>
      <c r="C662" s="553">
        <v>2819</v>
      </c>
      <c r="D662" s="563">
        <v>28000</v>
      </c>
      <c r="E662" s="573">
        <v>311</v>
      </c>
      <c r="F662" s="563">
        <v>28000</v>
      </c>
      <c r="G662" s="87">
        <f t="shared" si="10"/>
        <v>0</v>
      </c>
      <c r="H662" s="509"/>
      <c r="I662" s="525"/>
      <c r="J662" s="398">
        <f>2496581-2486312</f>
        <v>10269</v>
      </c>
      <c r="K662" s="398" t="s">
        <v>956</v>
      </c>
      <c r="L662" s="398" t="s">
        <v>620</v>
      </c>
      <c r="M662" s="86">
        <f>10269-4640</f>
        <v>5629</v>
      </c>
    </row>
    <row r="663" spans="1:13" s="597" customFormat="1" ht="15.75" x14ac:dyDescent="0.25">
      <c r="A663" s="87"/>
      <c r="B663" s="87" t="s">
        <v>957</v>
      </c>
      <c r="C663" s="553">
        <v>2962</v>
      </c>
      <c r="D663" s="563">
        <v>22000</v>
      </c>
      <c r="E663" s="573">
        <v>245</v>
      </c>
      <c r="F663" s="563">
        <v>22000</v>
      </c>
      <c r="G663" s="87">
        <f t="shared" si="10"/>
        <v>0</v>
      </c>
      <c r="H663" s="509"/>
      <c r="I663" s="525"/>
      <c r="J663" s="398"/>
      <c r="K663" s="398"/>
      <c r="L663" s="398"/>
      <c r="M663" s="86"/>
    </row>
    <row r="664" spans="1:13" s="597" customFormat="1" ht="15.75" x14ac:dyDescent="0.25">
      <c r="A664" s="87"/>
      <c r="B664" s="87" t="s">
        <v>957</v>
      </c>
      <c r="C664" s="553">
        <v>8587</v>
      </c>
      <c r="D664" s="563">
        <v>20000</v>
      </c>
      <c r="E664" s="573">
        <v>222</v>
      </c>
      <c r="F664" s="563">
        <v>20000</v>
      </c>
      <c r="G664" s="87">
        <f t="shared" si="10"/>
        <v>0</v>
      </c>
      <c r="H664" s="509"/>
      <c r="I664" s="525"/>
      <c r="J664" s="398"/>
      <c r="K664" s="398"/>
      <c r="L664" s="398"/>
      <c r="M664" s="86"/>
    </row>
    <row r="665" spans="1:13" s="597" customFormat="1" ht="15.75" x14ac:dyDescent="0.25">
      <c r="A665" s="87"/>
      <c r="B665" s="87" t="s">
        <v>957</v>
      </c>
      <c r="C665" s="553">
        <v>2963</v>
      </c>
      <c r="D665" s="563">
        <v>20000</v>
      </c>
      <c r="E665" s="573">
        <v>222</v>
      </c>
      <c r="F665" s="563">
        <v>20000</v>
      </c>
      <c r="G665" s="87">
        <f t="shared" si="10"/>
        <v>0</v>
      </c>
      <c r="H665" s="509"/>
      <c r="I665" s="525"/>
      <c r="J665" s="398"/>
      <c r="K665" s="398"/>
      <c r="L665" s="398"/>
      <c r="M665" s="86"/>
    </row>
    <row r="666" spans="1:13" s="597" customFormat="1" ht="15.75" x14ac:dyDescent="0.25">
      <c r="A666" s="87"/>
      <c r="B666" s="87" t="s">
        <v>957</v>
      </c>
      <c r="C666" s="553">
        <v>5152</v>
      </c>
      <c r="D666" s="563">
        <v>15000</v>
      </c>
      <c r="E666" s="573">
        <v>167</v>
      </c>
      <c r="F666" s="563">
        <v>15000</v>
      </c>
      <c r="G666" s="87">
        <f t="shared" si="10"/>
        <v>0</v>
      </c>
      <c r="H666" s="509"/>
      <c r="I666" s="525"/>
      <c r="J666" s="398"/>
      <c r="K666" s="398"/>
      <c r="L666" s="398"/>
      <c r="M666" s="86"/>
    </row>
    <row r="667" spans="1:13" s="597" customFormat="1" ht="15.75" x14ac:dyDescent="0.25">
      <c r="A667" s="87"/>
      <c r="B667" s="87" t="s">
        <v>957</v>
      </c>
      <c r="C667" s="553">
        <v>6133</v>
      </c>
      <c r="D667" s="563">
        <v>15000</v>
      </c>
      <c r="E667" s="573">
        <v>167</v>
      </c>
      <c r="F667" s="563">
        <v>15000</v>
      </c>
      <c r="G667" s="87">
        <f t="shared" si="10"/>
        <v>0</v>
      </c>
      <c r="H667" s="509"/>
      <c r="I667" s="525"/>
      <c r="J667" s="398"/>
      <c r="K667" s="398"/>
      <c r="L667" s="398"/>
      <c r="M667" s="86"/>
    </row>
    <row r="668" spans="1:13" s="597" customFormat="1" ht="15.75" x14ac:dyDescent="0.25">
      <c r="A668" s="87"/>
      <c r="B668" s="87" t="s">
        <v>957</v>
      </c>
      <c r="C668" s="554" t="s">
        <v>959</v>
      </c>
      <c r="D668" s="563">
        <v>29000</v>
      </c>
      <c r="E668" s="573">
        <v>323</v>
      </c>
      <c r="F668" s="563">
        <v>29000</v>
      </c>
      <c r="G668" s="87">
        <f t="shared" si="10"/>
        <v>0</v>
      </c>
      <c r="H668" s="509"/>
      <c r="I668" s="525"/>
      <c r="J668" s="398"/>
      <c r="K668" s="398"/>
      <c r="L668" s="398"/>
      <c r="M668" s="86"/>
    </row>
    <row r="669" spans="1:13" s="597" customFormat="1" ht="15.75" x14ac:dyDescent="0.25">
      <c r="A669" s="87"/>
      <c r="B669" s="87" t="s">
        <v>957</v>
      </c>
      <c r="C669" s="554" t="s">
        <v>890</v>
      </c>
      <c r="D669" s="563">
        <v>14000</v>
      </c>
      <c r="E669" s="573">
        <v>155</v>
      </c>
      <c r="F669" s="563">
        <v>14000</v>
      </c>
      <c r="G669" s="87">
        <f t="shared" si="10"/>
        <v>0</v>
      </c>
      <c r="H669" s="509"/>
      <c r="I669" s="525"/>
      <c r="J669" s="398"/>
      <c r="K669" s="398"/>
      <c r="L669" s="398"/>
      <c r="M669" s="86"/>
    </row>
    <row r="670" spans="1:13" s="597" customFormat="1" ht="15.75" x14ac:dyDescent="0.25">
      <c r="A670" s="87"/>
      <c r="B670" s="87" t="s">
        <v>957</v>
      </c>
      <c r="C670" s="553" t="s">
        <v>30</v>
      </c>
      <c r="D670" s="563">
        <v>5000</v>
      </c>
      <c r="E670" s="573">
        <v>55</v>
      </c>
      <c r="F670" s="563">
        <v>5000</v>
      </c>
      <c r="G670" s="87">
        <f t="shared" si="10"/>
        <v>0</v>
      </c>
      <c r="H670" s="509"/>
      <c r="I670" s="525"/>
      <c r="J670" s="398"/>
      <c r="K670" s="398"/>
      <c r="L670" s="398"/>
      <c r="M670" s="86"/>
    </row>
    <row r="671" spans="1:13" s="597" customFormat="1" ht="15.75" x14ac:dyDescent="0.25">
      <c r="A671" s="87"/>
      <c r="B671" s="87" t="s">
        <v>957</v>
      </c>
      <c r="C671" s="553">
        <v>9212</v>
      </c>
      <c r="D671" s="563">
        <v>17000</v>
      </c>
      <c r="E671" s="573">
        <v>189</v>
      </c>
      <c r="F671" s="563">
        <v>17000</v>
      </c>
      <c r="G671" s="87">
        <f t="shared" si="10"/>
        <v>0</v>
      </c>
      <c r="H671" s="509"/>
      <c r="I671" s="525"/>
      <c r="J671" s="398"/>
      <c r="K671" s="398"/>
      <c r="L671" s="398"/>
      <c r="M671" s="86"/>
    </row>
    <row r="672" spans="1:13" s="597" customFormat="1" ht="15.75" x14ac:dyDescent="0.25">
      <c r="A672" s="87"/>
      <c r="B672" s="87" t="s">
        <v>957</v>
      </c>
      <c r="C672" s="553" t="s">
        <v>30</v>
      </c>
      <c r="D672" s="563">
        <v>10000</v>
      </c>
      <c r="E672" s="573">
        <v>111</v>
      </c>
      <c r="F672" s="563">
        <v>10000</v>
      </c>
      <c r="G672" s="87">
        <f t="shared" si="10"/>
        <v>0</v>
      </c>
      <c r="H672" s="509"/>
      <c r="I672" s="525"/>
      <c r="J672" s="398"/>
      <c r="K672" s="398"/>
      <c r="L672" s="398"/>
      <c r="M672" s="86"/>
    </row>
    <row r="673" spans="1:13" s="597" customFormat="1" ht="15.75" x14ac:dyDescent="0.25">
      <c r="A673" s="87"/>
      <c r="B673" s="87" t="s">
        <v>957</v>
      </c>
      <c r="C673" s="553">
        <v>8105</v>
      </c>
      <c r="D673" s="563">
        <v>20000</v>
      </c>
      <c r="E673" s="573">
        <v>213</v>
      </c>
      <c r="F673" s="563">
        <v>20000</v>
      </c>
      <c r="G673" s="87">
        <f t="shared" si="10"/>
        <v>0</v>
      </c>
      <c r="H673" s="509"/>
      <c r="I673" s="525"/>
      <c r="J673" s="398"/>
      <c r="K673" s="398"/>
      <c r="L673" s="398"/>
      <c r="M673" s="86"/>
    </row>
    <row r="674" spans="1:13" s="597" customFormat="1" ht="15.75" x14ac:dyDescent="0.25">
      <c r="A674" s="87"/>
      <c r="B674" s="87" t="s">
        <v>957</v>
      </c>
      <c r="C674" s="553">
        <v>9944</v>
      </c>
      <c r="D674" s="563">
        <v>13000</v>
      </c>
      <c r="E674" s="573">
        <v>138</v>
      </c>
      <c r="F674" s="563">
        <v>13000</v>
      </c>
      <c r="G674" s="87">
        <f t="shared" si="10"/>
        <v>0</v>
      </c>
      <c r="H674" s="509"/>
      <c r="I674" s="525"/>
      <c r="J674" s="398"/>
      <c r="K674" s="398"/>
      <c r="L674" s="398"/>
      <c r="M674" s="86"/>
    </row>
    <row r="675" spans="1:13" s="597" customFormat="1" ht="15.75" x14ac:dyDescent="0.25">
      <c r="A675" s="87"/>
      <c r="B675" s="87" t="s">
        <v>957</v>
      </c>
      <c r="C675" s="553">
        <v>2141</v>
      </c>
      <c r="D675" s="563">
        <v>10000</v>
      </c>
      <c r="E675" s="573">
        <v>106</v>
      </c>
      <c r="F675" s="563">
        <v>10000</v>
      </c>
      <c r="G675" s="87">
        <f t="shared" si="10"/>
        <v>0</v>
      </c>
      <c r="H675" s="509"/>
      <c r="I675" s="525"/>
      <c r="J675" s="398"/>
      <c r="K675" s="398"/>
      <c r="L675" s="398"/>
      <c r="M675" s="86"/>
    </row>
    <row r="676" spans="1:13" s="597" customFormat="1" ht="15.75" x14ac:dyDescent="0.25">
      <c r="A676" s="87"/>
      <c r="B676" s="87" t="s">
        <v>957</v>
      </c>
      <c r="C676" s="554" t="s">
        <v>891</v>
      </c>
      <c r="D676" s="563">
        <v>10000</v>
      </c>
      <c r="E676" s="573">
        <v>111</v>
      </c>
      <c r="F676" s="563">
        <v>10000</v>
      </c>
      <c r="G676" s="87">
        <f t="shared" si="10"/>
        <v>0</v>
      </c>
      <c r="H676" s="509"/>
      <c r="I676" s="525"/>
      <c r="J676" s="398"/>
      <c r="K676" s="398"/>
      <c r="L676" s="398"/>
      <c r="M676" s="86"/>
    </row>
    <row r="677" spans="1:13" s="597" customFormat="1" ht="15.75" x14ac:dyDescent="0.25">
      <c r="A677" s="87"/>
      <c r="B677" s="87" t="s">
        <v>957</v>
      </c>
      <c r="C677" s="553" t="s">
        <v>30</v>
      </c>
      <c r="D677" s="563">
        <v>5000</v>
      </c>
      <c r="E677" s="573">
        <v>55</v>
      </c>
      <c r="F677" s="563">
        <v>5000</v>
      </c>
      <c r="G677" s="87">
        <f t="shared" si="10"/>
        <v>0</v>
      </c>
      <c r="H677" s="509"/>
      <c r="I677" s="525"/>
      <c r="J677" s="398"/>
      <c r="K677" s="398"/>
      <c r="L677" s="398"/>
      <c r="M677" s="86"/>
    </row>
    <row r="678" spans="1:13" s="597" customFormat="1" ht="15.75" x14ac:dyDescent="0.25">
      <c r="A678" s="87"/>
      <c r="B678" s="87" t="s">
        <v>957</v>
      </c>
      <c r="C678" s="553">
        <v>7089</v>
      </c>
      <c r="D678" s="563">
        <v>34000</v>
      </c>
      <c r="E678" s="573">
        <v>375</v>
      </c>
      <c r="F678" s="563">
        <v>34000</v>
      </c>
      <c r="G678" s="87">
        <f t="shared" si="10"/>
        <v>0</v>
      </c>
      <c r="H678" s="509"/>
      <c r="I678" s="525"/>
      <c r="J678" s="398"/>
      <c r="K678" s="398"/>
      <c r="L678" s="398"/>
      <c r="M678" s="86"/>
    </row>
    <row r="679" spans="1:13" s="597" customFormat="1" ht="15.75" x14ac:dyDescent="0.25">
      <c r="A679" s="87"/>
      <c r="B679" s="87" t="s">
        <v>957</v>
      </c>
      <c r="C679" s="553">
        <v>6174</v>
      </c>
      <c r="D679" s="563">
        <v>34000</v>
      </c>
      <c r="E679" s="573">
        <v>372</v>
      </c>
      <c r="F679" s="563">
        <v>34000</v>
      </c>
      <c r="G679" s="87">
        <f t="shared" si="10"/>
        <v>0</v>
      </c>
      <c r="H679" s="509"/>
      <c r="I679" s="525"/>
      <c r="J679" s="398"/>
      <c r="K679" s="398"/>
      <c r="L679" s="398"/>
      <c r="M679" s="86"/>
    </row>
    <row r="680" spans="1:13" s="597" customFormat="1" ht="15.75" x14ac:dyDescent="0.25">
      <c r="A680" s="87"/>
      <c r="B680" s="87" t="s">
        <v>957</v>
      </c>
      <c r="C680" s="553">
        <v>5366</v>
      </c>
      <c r="D680" s="563">
        <v>25000</v>
      </c>
      <c r="E680" s="573">
        <v>278</v>
      </c>
      <c r="F680" s="563">
        <v>25000</v>
      </c>
      <c r="G680" s="87">
        <f t="shared" si="10"/>
        <v>0</v>
      </c>
      <c r="H680" s="509"/>
      <c r="I680" s="525"/>
      <c r="J680" s="398"/>
      <c r="K680" s="398"/>
      <c r="L680" s="398"/>
      <c r="M680" s="86"/>
    </row>
    <row r="681" spans="1:13" s="597" customFormat="1" ht="15.75" x14ac:dyDescent="0.25">
      <c r="A681" s="87"/>
      <c r="B681" s="87" t="s">
        <v>957</v>
      </c>
      <c r="C681" s="553">
        <v>5750</v>
      </c>
      <c r="D681" s="563">
        <v>31000</v>
      </c>
      <c r="E681" s="573">
        <v>327</v>
      </c>
      <c r="F681" s="563">
        <v>31000</v>
      </c>
      <c r="G681" s="87">
        <f t="shared" si="10"/>
        <v>0</v>
      </c>
      <c r="H681" s="509"/>
      <c r="I681" s="525"/>
      <c r="J681" s="398"/>
      <c r="K681" s="398"/>
      <c r="L681" s="398"/>
      <c r="M681" s="86"/>
    </row>
    <row r="682" spans="1:13" s="597" customFormat="1" ht="15.75" x14ac:dyDescent="0.25">
      <c r="A682" s="87"/>
      <c r="B682" s="87" t="s">
        <v>957</v>
      </c>
      <c r="C682" s="553">
        <v>7258</v>
      </c>
      <c r="D682" s="563">
        <v>32000</v>
      </c>
      <c r="E682" s="573">
        <v>356</v>
      </c>
      <c r="F682" s="563">
        <v>32000</v>
      </c>
      <c r="G682" s="87">
        <f t="shared" si="10"/>
        <v>0</v>
      </c>
      <c r="H682" s="509"/>
      <c r="I682" s="525"/>
      <c r="J682" s="398"/>
      <c r="K682" s="398"/>
      <c r="L682" s="398"/>
      <c r="M682" s="86"/>
    </row>
    <row r="683" spans="1:13" s="597" customFormat="1" ht="15.75" x14ac:dyDescent="0.25">
      <c r="A683" s="87"/>
      <c r="B683" s="87" t="s">
        <v>957</v>
      </c>
      <c r="C683" s="553">
        <v>2233</v>
      </c>
      <c r="D683" s="563">
        <v>18601</v>
      </c>
      <c r="E683" s="573">
        <v>207</v>
      </c>
      <c r="F683" s="563">
        <v>18601</v>
      </c>
      <c r="G683" s="87">
        <f t="shared" si="10"/>
        <v>0</v>
      </c>
      <c r="H683" s="509"/>
      <c r="I683" s="525"/>
      <c r="J683" s="398"/>
      <c r="K683" s="398"/>
      <c r="L683" s="398"/>
      <c r="M683" s="86"/>
    </row>
    <row r="684" spans="1:13" s="597" customFormat="1" ht="15.75" x14ac:dyDescent="0.25">
      <c r="A684" s="87"/>
      <c r="B684" s="87" t="s">
        <v>957</v>
      </c>
      <c r="C684" s="554" t="s">
        <v>960</v>
      </c>
      <c r="D684" s="563">
        <v>25000</v>
      </c>
      <c r="E684" s="573">
        <v>245</v>
      </c>
      <c r="F684" s="563">
        <v>25000</v>
      </c>
      <c r="G684" s="87">
        <f t="shared" si="10"/>
        <v>0</v>
      </c>
      <c r="H684" s="509"/>
      <c r="I684" s="525"/>
      <c r="J684" s="398"/>
      <c r="K684" s="398"/>
      <c r="L684" s="398"/>
      <c r="M684" s="86"/>
    </row>
    <row r="685" spans="1:13" s="597" customFormat="1" ht="15.75" x14ac:dyDescent="0.25">
      <c r="A685" s="87"/>
      <c r="B685" s="87" t="s">
        <v>957</v>
      </c>
      <c r="C685" s="553">
        <v>3235</v>
      </c>
      <c r="D685" s="563">
        <v>24450</v>
      </c>
      <c r="E685" s="573">
        <v>272</v>
      </c>
      <c r="F685" s="563">
        <v>24450</v>
      </c>
      <c r="G685" s="87">
        <f t="shared" si="10"/>
        <v>0</v>
      </c>
      <c r="H685" s="509"/>
      <c r="I685" s="525"/>
      <c r="J685" s="398"/>
      <c r="K685" s="398"/>
      <c r="L685" s="398"/>
      <c r="M685" s="86"/>
    </row>
    <row r="686" spans="1:13" s="597" customFormat="1" ht="15.75" x14ac:dyDescent="0.25">
      <c r="A686" s="87"/>
      <c r="B686" s="87" t="s">
        <v>957</v>
      </c>
      <c r="C686" s="553">
        <v>2239</v>
      </c>
      <c r="D686" s="563">
        <v>25000</v>
      </c>
      <c r="E686" s="573">
        <v>278</v>
      </c>
      <c r="F686" s="563">
        <v>25000</v>
      </c>
      <c r="G686" s="87">
        <f t="shared" si="10"/>
        <v>0</v>
      </c>
      <c r="H686" s="509"/>
      <c r="I686" s="525"/>
      <c r="J686" s="398"/>
      <c r="K686" s="398"/>
      <c r="L686" s="398"/>
      <c r="M686" s="86"/>
    </row>
    <row r="687" spans="1:13" s="597" customFormat="1" ht="15.75" x14ac:dyDescent="0.25">
      <c r="A687" s="87"/>
      <c r="B687" s="87" t="s">
        <v>957</v>
      </c>
      <c r="C687" s="553">
        <v>2929</v>
      </c>
      <c r="D687" s="563">
        <v>27000</v>
      </c>
      <c r="E687" s="573">
        <v>300</v>
      </c>
      <c r="F687" s="563">
        <v>27000</v>
      </c>
      <c r="G687" s="87">
        <f t="shared" si="10"/>
        <v>0</v>
      </c>
      <c r="H687" s="509"/>
      <c r="I687" s="525"/>
      <c r="J687" s="398">
        <f>1995632-1988062</f>
        <v>7570</v>
      </c>
      <c r="K687" s="398" t="s">
        <v>956</v>
      </c>
      <c r="L687" s="398" t="s">
        <v>620</v>
      </c>
      <c r="M687" s="86">
        <f>7570-4640</f>
        <v>2930</v>
      </c>
    </row>
    <row r="688" spans="1:13" s="599" customFormat="1" ht="15.75" x14ac:dyDescent="0.25">
      <c r="A688" s="87"/>
      <c r="B688" s="87" t="s">
        <v>958</v>
      </c>
      <c r="C688" s="553" t="s">
        <v>819</v>
      </c>
      <c r="D688" s="563">
        <v>3500</v>
      </c>
      <c r="E688" s="573">
        <v>38</v>
      </c>
      <c r="F688" s="563">
        <v>3500</v>
      </c>
      <c r="G688" s="87">
        <f t="shared" si="10"/>
        <v>0</v>
      </c>
      <c r="H688" s="509"/>
      <c r="I688" s="525"/>
      <c r="J688" s="398"/>
      <c r="K688" s="398"/>
      <c r="L688" s="398"/>
      <c r="M688" s="86"/>
    </row>
    <row r="689" spans="1:13" s="599" customFormat="1" ht="15.75" x14ac:dyDescent="0.25">
      <c r="A689" s="87"/>
      <c r="B689" s="87" t="s">
        <v>958</v>
      </c>
      <c r="C689" s="553">
        <v>7109</v>
      </c>
      <c r="D689" s="563">
        <v>3985</v>
      </c>
      <c r="E689" s="573">
        <v>42</v>
      </c>
      <c r="F689" s="563">
        <v>3985</v>
      </c>
      <c r="G689" s="87">
        <f t="shared" si="10"/>
        <v>0</v>
      </c>
      <c r="H689" s="509"/>
      <c r="I689" s="525"/>
      <c r="J689" s="398"/>
      <c r="K689" s="398"/>
      <c r="L689" s="398"/>
      <c r="M689" s="86"/>
    </row>
    <row r="690" spans="1:13" s="599" customFormat="1" ht="15.75" x14ac:dyDescent="0.25">
      <c r="A690" s="87"/>
      <c r="B690" s="87" t="s">
        <v>958</v>
      </c>
      <c r="C690" s="553">
        <v>2004</v>
      </c>
      <c r="D690" s="563">
        <v>22000</v>
      </c>
      <c r="E690" s="573">
        <v>238</v>
      </c>
      <c r="F690" s="563">
        <v>22000</v>
      </c>
      <c r="G690" s="87">
        <f t="shared" si="10"/>
        <v>0</v>
      </c>
      <c r="H690" s="509"/>
      <c r="I690" s="525"/>
      <c r="J690" s="398"/>
      <c r="K690" s="398"/>
      <c r="L690" s="398"/>
      <c r="M690" s="86"/>
    </row>
    <row r="691" spans="1:13" s="599" customFormat="1" ht="15.75" x14ac:dyDescent="0.25">
      <c r="A691" s="87"/>
      <c r="B691" s="87" t="s">
        <v>958</v>
      </c>
      <c r="C691" s="553">
        <v>1149</v>
      </c>
      <c r="D691" s="563">
        <v>13000</v>
      </c>
      <c r="E691" s="573">
        <v>144</v>
      </c>
      <c r="F691" s="563">
        <v>13000</v>
      </c>
      <c r="G691" s="87">
        <f t="shared" si="10"/>
        <v>0</v>
      </c>
      <c r="H691" s="509"/>
      <c r="I691" s="525"/>
      <c r="J691" s="398"/>
      <c r="K691" s="398"/>
      <c r="L691" s="398"/>
      <c r="M691" s="86"/>
    </row>
    <row r="692" spans="1:13" s="599" customFormat="1" ht="15.75" x14ac:dyDescent="0.25">
      <c r="A692" s="87"/>
      <c r="B692" s="87" t="s">
        <v>958</v>
      </c>
      <c r="C692" s="553">
        <v>3211</v>
      </c>
      <c r="D692" s="563">
        <v>10000</v>
      </c>
      <c r="E692" s="573">
        <v>111</v>
      </c>
      <c r="F692" s="563">
        <v>10000</v>
      </c>
      <c r="G692" s="87">
        <f t="shared" si="10"/>
        <v>0</v>
      </c>
      <c r="H692" s="509"/>
      <c r="I692" s="525"/>
      <c r="J692" s="398"/>
      <c r="K692" s="398"/>
      <c r="L692" s="398"/>
      <c r="M692" s="86"/>
    </row>
    <row r="693" spans="1:13" s="599" customFormat="1" ht="15.75" x14ac:dyDescent="0.25">
      <c r="A693" s="87"/>
      <c r="B693" s="87" t="s">
        <v>958</v>
      </c>
      <c r="C693" s="553">
        <v>7073</v>
      </c>
      <c r="D693" s="563">
        <v>21000</v>
      </c>
      <c r="E693" s="573">
        <v>233</v>
      </c>
      <c r="F693" s="563">
        <v>21000</v>
      </c>
      <c r="G693" s="87">
        <f t="shared" si="10"/>
        <v>0</v>
      </c>
      <c r="H693" s="509"/>
      <c r="I693" s="525"/>
      <c r="J693" s="398"/>
      <c r="K693" s="398"/>
      <c r="L693" s="398"/>
      <c r="M693" s="86"/>
    </row>
    <row r="694" spans="1:13" s="599" customFormat="1" ht="15.75" x14ac:dyDescent="0.25">
      <c r="A694" s="87"/>
      <c r="B694" s="87" t="s">
        <v>958</v>
      </c>
      <c r="C694" s="553">
        <v>2244</v>
      </c>
      <c r="D694" s="563">
        <v>14000</v>
      </c>
      <c r="E694" s="573">
        <v>155</v>
      </c>
      <c r="F694" s="563">
        <v>14000</v>
      </c>
      <c r="G694" s="87">
        <f t="shared" si="10"/>
        <v>0</v>
      </c>
      <c r="H694" s="509"/>
      <c r="I694" s="525"/>
      <c r="J694" s="398"/>
      <c r="K694" s="398"/>
      <c r="L694" s="398"/>
      <c r="M694" s="86"/>
    </row>
    <row r="695" spans="1:13" s="599" customFormat="1" ht="15.75" x14ac:dyDescent="0.25">
      <c r="A695" s="87"/>
      <c r="B695" s="87" t="s">
        <v>958</v>
      </c>
      <c r="C695" s="553">
        <v>5780</v>
      </c>
      <c r="D695" s="563">
        <v>10000</v>
      </c>
      <c r="E695" s="573">
        <v>106</v>
      </c>
      <c r="F695" s="563">
        <v>10000</v>
      </c>
      <c r="G695" s="87">
        <f t="shared" si="10"/>
        <v>0</v>
      </c>
      <c r="H695" s="509"/>
      <c r="I695" s="525"/>
      <c r="J695" s="398"/>
      <c r="K695" s="398"/>
      <c r="L695" s="398"/>
      <c r="M695" s="86"/>
    </row>
    <row r="696" spans="1:13" s="599" customFormat="1" ht="15.75" x14ac:dyDescent="0.25">
      <c r="A696" s="87"/>
      <c r="B696" s="87" t="s">
        <v>958</v>
      </c>
      <c r="C696" s="553">
        <v>9655</v>
      </c>
      <c r="D696" s="563">
        <v>10000</v>
      </c>
      <c r="E696" s="573">
        <v>111</v>
      </c>
      <c r="F696" s="563">
        <v>10000</v>
      </c>
      <c r="G696" s="87">
        <f t="shared" si="10"/>
        <v>0</v>
      </c>
      <c r="H696" s="509"/>
      <c r="I696" s="525"/>
      <c r="J696" s="398"/>
      <c r="K696" s="398"/>
      <c r="L696" s="398"/>
      <c r="M696" s="86"/>
    </row>
    <row r="697" spans="1:13" s="599" customFormat="1" ht="15.75" x14ac:dyDescent="0.25">
      <c r="A697" s="87"/>
      <c r="B697" s="87" t="s">
        <v>958</v>
      </c>
      <c r="C697" s="553">
        <v>9063</v>
      </c>
      <c r="D697" s="563">
        <v>27000</v>
      </c>
      <c r="E697" s="573">
        <v>300</v>
      </c>
      <c r="F697" s="563">
        <v>27000</v>
      </c>
      <c r="G697" s="87">
        <f t="shared" si="10"/>
        <v>0</v>
      </c>
      <c r="H697" s="509"/>
      <c r="I697" s="525"/>
      <c r="J697" s="398"/>
      <c r="K697" s="398"/>
      <c r="L697" s="398"/>
      <c r="M697" s="86"/>
    </row>
    <row r="698" spans="1:13" s="599" customFormat="1" ht="15.75" x14ac:dyDescent="0.25">
      <c r="A698" s="87"/>
      <c r="B698" s="87" t="s">
        <v>958</v>
      </c>
      <c r="C698" s="553" t="s">
        <v>66</v>
      </c>
      <c r="D698" s="563">
        <v>100</v>
      </c>
      <c r="E698" s="573">
        <v>1.06</v>
      </c>
      <c r="F698" s="563">
        <v>100</v>
      </c>
      <c r="G698" s="87">
        <f t="shared" si="10"/>
        <v>0</v>
      </c>
      <c r="H698" s="509"/>
      <c r="I698" s="525"/>
      <c r="J698" s="398"/>
      <c r="K698" s="398"/>
      <c r="L698" s="398"/>
      <c r="M698" s="86"/>
    </row>
    <row r="699" spans="1:13" s="599" customFormat="1" ht="15.75" x14ac:dyDescent="0.25">
      <c r="A699" s="87"/>
      <c r="B699" s="87" t="s">
        <v>958</v>
      </c>
      <c r="C699" s="553">
        <v>9935</v>
      </c>
      <c r="D699" s="563">
        <v>26400</v>
      </c>
      <c r="E699" s="573">
        <v>234</v>
      </c>
      <c r="F699" s="563">
        <v>26400</v>
      </c>
      <c r="G699" s="87">
        <f t="shared" si="10"/>
        <v>0</v>
      </c>
      <c r="H699" s="509"/>
      <c r="I699" s="525"/>
      <c r="J699" s="398"/>
      <c r="K699" s="398"/>
      <c r="L699" s="398"/>
      <c r="M699" s="86"/>
    </row>
    <row r="700" spans="1:13" s="599" customFormat="1" ht="15.75" x14ac:dyDescent="0.25">
      <c r="A700" s="87"/>
      <c r="B700" s="87" t="s">
        <v>958</v>
      </c>
      <c r="C700" s="553">
        <v>9934</v>
      </c>
      <c r="D700" s="563">
        <v>30000</v>
      </c>
      <c r="E700" s="573">
        <v>323</v>
      </c>
      <c r="F700" s="563">
        <v>30000</v>
      </c>
      <c r="G700" s="87">
        <f t="shared" si="10"/>
        <v>0</v>
      </c>
      <c r="H700" s="509"/>
      <c r="I700" s="525"/>
      <c r="J700" s="398"/>
      <c r="K700" s="398"/>
      <c r="L700" s="398"/>
      <c r="M700" s="86"/>
    </row>
    <row r="701" spans="1:13" s="599" customFormat="1" ht="15.75" x14ac:dyDescent="0.25">
      <c r="A701" s="87"/>
      <c r="B701" s="87" t="s">
        <v>958</v>
      </c>
      <c r="C701" s="553">
        <v>5735</v>
      </c>
      <c r="D701" s="563">
        <v>23000</v>
      </c>
      <c r="E701" s="573">
        <v>256</v>
      </c>
      <c r="F701" s="563">
        <v>23000</v>
      </c>
      <c r="G701" s="87">
        <f t="shared" si="10"/>
        <v>0</v>
      </c>
      <c r="H701" s="509"/>
      <c r="I701" s="525"/>
      <c r="J701" s="398"/>
      <c r="K701" s="398"/>
      <c r="L701" s="398"/>
      <c r="M701" s="86"/>
    </row>
    <row r="702" spans="1:13" s="599" customFormat="1" ht="15.75" x14ac:dyDescent="0.25">
      <c r="A702" s="87"/>
      <c r="B702" s="87" t="s">
        <v>958</v>
      </c>
      <c r="C702" s="553">
        <v>7004</v>
      </c>
      <c r="D702" s="563">
        <v>23000</v>
      </c>
      <c r="E702" s="573">
        <v>256</v>
      </c>
      <c r="F702" s="563">
        <v>23000</v>
      </c>
      <c r="G702" s="87">
        <f t="shared" si="10"/>
        <v>0</v>
      </c>
      <c r="H702" s="509"/>
      <c r="I702" s="525"/>
      <c r="J702" s="398"/>
      <c r="K702" s="398"/>
      <c r="L702" s="398"/>
      <c r="M702" s="86"/>
    </row>
    <row r="703" spans="1:13" s="599" customFormat="1" ht="15.75" x14ac:dyDescent="0.25">
      <c r="A703" s="87"/>
      <c r="B703" s="87" t="s">
        <v>958</v>
      </c>
      <c r="C703" s="553">
        <v>7365</v>
      </c>
      <c r="D703" s="563">
        <v>23000</v>
      </c>
      <c r="E703" s="574">
        <v>256</v>
      </c>
      <c r="F703" s="563">
        <v>23000</v>
      </c>
      <c r="G703" s="87">
        <f t="shared" si="10"/>
        <v>0</v>
      </c>
      <c r="H703" s="509"/>
      <c r="I703" s="525"/>
      <c r="J703" s="398"/>
      <c r="K703" s="398"/>
      <c r="L703" s="398"/>
      <c r="M703" s="86"/>
    </row>
    <row r="704" spans="1:13" s="599" customFormat="1" ht="15.75" x14ac:dyDescent="0.25">
      <c r="A704" s="87"/>
      <c r="B704" s="87" t="s">
        <v>958</v>
      </c>
      <c r="C704" s="554" t="s">
        <v>908</v>
      </c>
      <c r="D704" s="563">
        <v>27000</v>
      </c>
      <c r="E704" s="573">
        <v>300</v>
      </c>
      <c r="F704" s="563">
        <v>27000</v>
      </c>
      <c r="G704" s="87">
        <f t="shared" si="10"/>
        <v>0</v>
      </c>
      <c r="H704" s="509"/>
      <c r="I704" s="525"/>
      <c r="J704" s="398"/>
      <c r="K704" s="398"/>
      <c r="L704" s="398"/>
      <c r="M704" s="86"/>
    </row>
    <row r="705" spans="1:13" s="599" customFormat="1" ht="15.75" x14ac:dyDescent="0.25">
      <c r="A705" s="87"/>
      <c r="B705" s="87" t="s">
        <v>958</v>
      </c>
      <c r="C705" s="553">
        <v>7886</v>
      </c>
      <c r="D705" s="563">
        <v>26000</v>
      </c>
      <c r="E705" s="573">
        <v>276</v>
      </c>
      <c r="F705" s="563">
        <v>26000</v>
      </c>
      <c r="G705" s="87">
        <f t="shared" si="10"/>
        <v>0</v>
      </c>
      <c r="H705" s="509"/>
      <c r="I705" s="525"/>
      <c r="J705" s="398"/>
      <c r="K705" s="398"/>
      <c r="L705" s="398"/>
      <c r="M705" s="86"/>
    </row>
    <row r="706" spans="1:13" s="599" customFormat="1" ht="15.75" x14ac:dyDescent="0.25">
      <c r="A706" s="87"/>
      <c r="B706" s="87" t="s">
        <v>958</v>
      </c>
      <c r="C706" s="553">
        <v>2498</v>
      </c>
      <c r="D706" s="563">
        <v>22000</v>
      </c>
      <c r="E706" s="573">
        <v>245</v>
      </c>
      <c r="F706" s="563">
        <v>22000</v>
      </c>
      <c r="G706" s="87">
        <f t="shared" si="10"/>
        <v>0</v>
      </c>
      <c r="H706" s="509"/>
      <c r="I706" s="525"/>
      <c r="J706" s="398"/>
      <c r="K706" s="398"/>
      <c r="L706" s="398"/>
      <c r="M706" s="86"/>
    </row>
    <row r="707" spans="1:13" s="599" customFormat="1" ht="15.75" x14ac:dyDescent="0.25">
      <c r="A707" s="87"/>
      <c r="B707" s="87" t="s">
        <v>958</v>
      </c>
      <c r="C707" s="553">
        <v>2744</v>
      </c>
      <c r="D707" s="563">
        <v>23440</v>
      </c>
      <c r="E707" s="573">
        <v>261</v>
      </c>
      <c r="F707" s="563">
        <v>23440</v>
      </c>
      <c r="G707" s="87">
        <f t="shared" si="10"/>
        <v>0</v>
      </c>
      <c r="H707" s="509"/>
      <c r="I707" s="525"/>
      <c r="J707" s="398"/>
      <c r="K707" s="398"/>
      <c r="L707" s="398"/>
      <c r="M707" s="86"/>
    </row>
    <row r="708" spans="1:13" s="599" customFormat="1" ht="15.75" x14ac:dyDescent="0.25">
      <c r="A708" s="87"/>
      <c r="B708" s="87" t="s">
        <v>958</v>
      </c>
      <c r="C708" s="553">
        <v>1639</v>
      </c>
      <c r="D708" s="563">
        <v>35000</v>
      </c>
      <c r="E708" s="573">
        <v>352</v>
      </c>
      <c r="F708" s="563">
        <v>35000</v>
      </c>
      <c r="G708" s="87">
        <f t="shared" si="10"/>
        <v>0</v>
      </c>
      <c r="H708" s="509"/>
      <c r="I708" s="525"/>
      <c r="J708" s="398"/>
      <c r="K708" s="398"/>
      <c r="L708" s="398"/>
      <c r="M708" s="86"/>
    </row>
    <row r="709" spans="1:13" s="599" customFormat="1" ht="15.75" x14ac:dyDescent="0.25">
      <c r="A709" s="87"/>
      <c r="B709" s="87" t="s">
        <v>958</v>
      </c>
      <c r="C709" s="554" t="s">
        <v>906</v>
      </c>
      <c r="D709" s="563">
        <v>23000</v>
      </c>
      <c r="E709" s="573">
        <v>247</v>
      </c>
      <c r="F709" s="563">
        <v>23000</v>
      </c>
      <c r="G709" s="87">
        <f t="shared" ref="G709:G772" si="11">D709-F709</f>
        <v>0</v>
      </c>
      <c r="H709" s="509"/>
      <c r="I709" s="525"/>
      <c r="J709" s="398"/>
      <c r="K709" s="398"/>
      <c r="L709" s="398"/>
      <c r="M709" s="86"/>
    </row>
    <row r="710" spans="1:13" s="599" customFormat="1" ht="15.75" x14ac:dyDescent="0.25">
      <c r="A710" s="87"/>
      <c r="B710" s="87" t="s">
        <v>963</v>
      </c>
      <c r="C710" s="553">
        <v>3776</v>
      </c>
      <c r="D710" s="563">
        <v>17000</v>
      </c>
      <c r="E710" s="573">
        <v>189</v>
      </c>
      <c r="F710" s="563">
        <v>17000</v>
      </c>
      <c r="G710" s="87">
        <f t="shared" si="11"/>
        <v>0</v>
      </c>
      <c r="H710" s="509"/>
      <c r="I710" s="525"/>
      <c r="J710" s="398"/>
      <c r="K710" s="398"/>
      <c r="L710" s="398"/>
      <c r="M710" s="86"/>
    </row>
    <row r="711" spans="1:13" s="599" customFormat="1" ht="15.75" x14ac:dyDescent="0.25">
      <c r="A711" s="87"/>
      <c r="B711" s="87" t="s">
        <v>963</v>
      </c>
      <c r="C711" s="553">
        <v>6957</v>
      </c>
      <c r="D711" s="563">
        <v>23000</v>
      </c>
      <c r="E711" s="573">
        <v>256</v>
      </c>
      <c r="F711" s="563">
        <v>23000</v>
      </c>
      <c r="G711" s="87">
        <f t="shared" si="11"/>
        <v>0</v>
      </c>
      <c r="H711" s="509"/>
      <c r="I711" s="525"/>
      <c r="J711" s="398"/>
      <c r="K711" s="398"/>
      <c r="L711" s="398"/>
      <c r="M711" s="86"/>
    </row>
    <row r="712" spans="1:13" s="599" customFormat="1" ht="15.75" x14ac:dyDescent="0.25">
      <c r="A712" s="87"/>
      <c r="B712" s="87" t="s">
        <v>963</v>
      </c>
      <c r="C712" s="553">
        <v>3425</v>
      </c>
      <c r="D712" s="563">
        <v>10000</v>
      </c>
      <c r="E712" s="573">
        <v>111</v>
      </c>
      <c r="F712" s="563">
        <v>10000</v>
      </c>
      <c r="G712" s="87">
        <f t="shared" si="11"/>
        <v>0</v>
      </c>
      <c r="H712" s="509"/>
      <c r="I712" s="525"/>
      <c r="J712" s="398"/>
      <c r="K712" s="398"/>
      <c r="L712" s="398"/>
      <c r="M712" s="86"/>
    </row>
    <row r="713" spans="1:13" s="599" customFormat="1" ht="15.75" x14ac:dyDescent="0.25">
      <c r="A713" s="87"/>
      <c r="B713" s="87" t="s">
        <v>963</v>
      </c>
      <c r="C713" s="553">
        <v>3533</v>
      </c>
      <c r="D713" s="563">
        <v>10000</v>
      </c>
      <c r="E713" s="573">
        <v>111</v>
      </c>
      <c r="F713" s="563">
        <v>10000</v>
      </c>
      <c r="G713" s="87">
        <f t="shared" si="11"/>
        <v>0</v>
      </c>
      <c r="H713" s="509"/>
      <c r="I713" s="525"/>
      <c r="J713" s="398"/>
      <c r="K713" s="398"/>
      <c r="L713" s="398"/>
      <c r="M713" s="86"/>
    </row>
    <row r="714" spans="1:13" s="599" customFormat="1" ht="15.75" x14ac:dyDescent="0.25">
      <c r="A714" s="87"/>
      <c r="B714" s="87" t="s">
        <v>963</v>
      </c>
      <c r="C714" s="553">
        <v>7744</v>
      </c>
      <c r="D714" s="563">
        <v>13000</v>
      </c>
      <c r="E714" s="573">
        <v>144</v>
      </c>
      <c r="F714" s="563">
        <v>13000</v>
      </c>
      <c r="G714" s="87">
        <f t="shared" si="11"/>
        <v>0</v>
      </c>
      <c r="H714" s="509"/>
      <c r="I714" s="525"/>
      <c r="J714" s="398"/>
      <c r="K714" s="398"/>
      <c r="L714" s="398"/>
      <c r="M714" s="86"/>
    </row>
    <row r="715" spans="1:13" s="599" customFormat="1" ht="15.75" x14ac:dyDescent="0.25">
      <c r="A715" s="87"/>
      <c r="B715" s="87" t="s">
        <v>963</v>
      </c>
      <c r="C715" s="553">
        <v>5781</v>
      </c>
      <c r="D715" s="563">
        <v>10000</v>
      </c>
      <c r="E715" s="573">
        <v>111</v>
      </c>
      <c r="F715" s="563">
        <v>10000</v>
      </c>
      <c r="G715" s="87">
        <f t="shared" si="11"/>
        <v>0</v>
      </c>
      <c r="H715" s="509"/>
      <c r="I715" s="525"/>
      <c r="J715" s="398"/>
      <c r="K715" s="398"/>
      <c r="L715" s="398"/>
      <c r="M715" s="86"/>
    </row>
    <row r="716" spans="1:13" s="599" customFormat="1" ht="15.75" x14ac:dyDescent="0.25">
      <c r="A716" s="87"/>
      <c r="B716" s="87" t="s">
        <v>963</v>
      </c>
      <c r="C716" s="553" t="s">
        <v>30</v>
      </c>
      <c r="D716" s="563">
        <v>5000</v>
      </c>
      <c r="E716" s="573">
        <v>55</v>
      </c>
      <c r="F716" s="563">
        <v>5000</v>
      </c>
      <c r="G716" s="87">
        <f t="shared" si="11"/>
        <v>0</v>
      </c>
      <c r="H716" s="509"/>
      <c r="I716" s="525"/>
      <c r="J716" s="398"/>
      <c r="K716" s="398"/>
      <c r="L716" s="398"/>
      <c r="M716" s="86"/>
    </row>
    <row r="717" spans="1:13" s="599" customFormat="1" ht="15.75" x14ac:dyDescent="0.25">
      <c r="A717" s="87"/>
      <c r="B717" s="87" t="s">
        <v>963</v>
      </c>
      <c r="C717" s="553" t="s">
        <v>30</v>
      </c>
      <c r="D717" s="563">
        <v>10000</v>
      </c>
      <c r="E717" s="573">
        <v>111</v>
      </c>
      <c r="F717" s="563">
        <v>10000</v>
      </c>
      <c r="G717" s="87">
        <f t="shared" si="11"/>
        <v>0</v>
      </c>
      <c r="H717" s="509"/>
      <c r="I717" s="525"/>
      <c r="J717" s="398"/>
      <c r="K717" s="398"/>
      <c r="L717" s="398"/>
      <c r="M717" s="86"/>
    </row>
    <row r="718" spans="1:13" s="599" customFormat="1" ht="15.75" x14ac:dyDescent="0.25">
      <c r="A718" s="87"/>
      <c r="B718" s="87" t="s">
        <v>963</v>
      </c>
      <c r="C718" s="553">
        <v>7465</v>
      </c>
      <c r="D718" s="563">
        <v>15000</v>
      </c>
      <c r="E718" s="573">
        <v>159</v>
      </c>
      <c r="F718" s="563">
        <v>15000</v>
      </c>
      <c r="G718" s="87">
        <f t="shared" si="11"/>
        <v>0</v>
      </c>
      <c r="H718" s="509"/>
      <c r="I718" s="525"/>
      <c r="J718" s="398"/>
      <c r="K718" s="398"/>
      <c r="L718" s="398"/>
      <c r="M718" s="86"/>
    </row>
    <row r="719" spans="1:13" s="599" customFormat="1" ht="15.75" x14ac:dyDescent="0.25">
      <c r="A719" s="87"/>
      <c r="B719" s="87" t="s">
        <v>963</v>
      </c>
      <c r="C719" s="553" t="s">
        <v>819</v>
      </c>
      <c r="D719" s="563">
        <v>3500</v>
      </c>
      <c r="E719" s="573">
        <v>38</v>
      </c>
      <c r="F719" s="563">
        <v>3500</v>
      </c>
      <c r="G719" s="87">
        <f t="shared" si="11"/>
        <v>0</v>
      </c>
      <c r="H719" s="509"/>
      <c r="I719" s="525"/>
      <c r="J719" s="398"/>
      <c r="K719" s="398"/>
      <c r="L719" s="398"/>
      <c r="M719" s="86"/>
    </row>
    <row r="720" spans="1:13" s="599" customFormat="1" ht="15.75" x14ac:dyDescent="0.25">
      <c r="A720" s="87"/>
      <c r="B720" s="87" t="s">
        <v>963</v>
      </c>
      <c r="C720" s="553">
        <v>8007</v>
      </c>
      <c r="D720" s="563">
        <v>22000</v>
      </c>
      <c r="E720" s="573">
        <v>222</v>
      </c>
      <c r="F720" s="563">
        <v>22000</v>
      </c>
      <c r="G720" s="87">
        <f t="shared" si="11"/>
        <v>0</v>
      </c>
      <c r="H720" s="509"/>
      <c r="I720" s="525"/>
      <c r="J720" s="398"/>
      <c r="K720" s="398"/>
      <c r="L720" s="398"/>
      <c r="M720" s="86"/>
    </row>
    <row r="721" spans="1:13" s="599" customFormat="1" ht="15.75" x14ac:dyDescent="0.25">
      <c r="A721" s="87"/>
      <c r="B721" s="87" t="s">
        <v>963</v>
      </c>
      <c r="C721" s="553">
        <v>8484</v>
      </c>
      <c r="D721" s="563">
        <v>15000</v>
      </c>
      <c r="E721" s="573">
        <v>167</v>
      </c>
      <c r="F721" s="563">
        <v>15000</v>
      </c>
      <c r="G721" s="87">
        <f t="shared" si="11"/>
        <v>0</v>
      </c>
      <c r="H721" s="509"/>
      <c r="I721" s="525"/>
      <c r="J721" s="398"/>
      <c r="K721" s="398"/>
      <c r="L721" s="398"/>
      <c r="M721" s="86"/>
    </row>
    <row r="722" spans="1:13" s="599" customFormat="1" ht="15.75" x14ac:dyDescent="0.25">
      <c r="A722" s="87"/>
      <c r="B722" s="87" t="s">
        <v>963</v>
      </c>
      <c r="C722" s="553">
        <v>9457</v>
      </c>
      <c r="D722" s="563">
        <v>30000</v>
      </c>
      <c r="E722" s="573">
        <v>324</v>
      </c>
      <c r="F722" s="563">
        <v>30000</v>
      </c>
      <c r="G722" s="87">
        <f t="shared" si="11"/>
        <v>0</v>
      </c>
      <c r="H722" s="509"/>
      <c r="I722" s="525"/>
      <c r="J722" s="398"/>
      <c r="K722" s="398"/>
      <c r="L722" s="398"/>
      <c r="M722" s="86"/>
    </row>
    <row r="723" spans="1:13" s="599" customFormat="1" ht="15.75" x14ac:dyDescent="0.25">
      <c r="A723" s="87"/>
      <c r="B723" s="87" t="s">
        <v>963</v>
      </c>
      <c r="C723" s="554" t="s">
        <v>895</v>
      </c>
      <c r="D723" s="563">
        <v>13000</v>
      </c>
      <c r="E723" s="573">
        <v>144</v>
      </c>
      <c r="F723" s="563">
        <v>13000</v>
      </c>
      <c r="G723" s="87">
        <f t="shared" si="11"/>
        <v>0</v>
      </c>
      <c r="H723" s="509"/>
      <c r="I723" s="525"/>
      <c r="J723" s="398"/>
      <c r="K723" s="398"/>
      <c r="L723" s="398"/>
      <c r="M723" s="86"/>
    </row>
    <row r="724" spans="1:13" s="599" customFormat="1" ht="15.75" x14ac:dyDescent="0.25">
      <c r="A724" s="87"/>
      <c r="B724" s="87" t="s">
        <v>963</v>
      </c>
      <c r="C724" s="553">
        <v>9235</v>
      </c>
      <c r="D724" s="563">
        <v>26000</v>
      </c>
      <c r="E724" s="573">
        <v>289</v>
      </c>
      <c r="F724" s="563">
        <v>26000</v>
      </c>
      <c r="G724" s="87">
        <f t="shared" si="11"/>
        <v>0</v>
      </c>
      <c r="H724" s="509"/>
      <c r="I724" s="525"/>
      <c r="J724" s="398"/>
      <c r="K724" s="398"/>
      <c r="L724" s="398"/>
      <c r="M724" s="86"/>
    </row>
    <row r="725" spans="1:13" s="599" customFormat="1" ht="15.75" x14ac:dyDescent="0.25">
      <c r="A725" s="87"/>
      <c r="B725" s="87" t="s">
        <v>963</v>
      </c>
      <c r="C725" s="553">
        <v>9458</v>
      </c>
      <c r="D725" s="563">
        <v>29000</v>
      </c>
      <c r="E725" s="573">
        <v>320</v>
      </c>
      <c r="F725" s="563">
        <v>29000</v>
      </c>
      <c r="G725" s="87">
        <f t="shared" si="11"/>
        <v>0</v>
      </c>
      <c r="H725" s="509"/>
      <c r="I725" s="525"/>
      <c r="J725" s="398"/>
      <c r="K725" s="398"/>
      <c r="L725" s="398"/>
      <c r="M725" s="86"/>
    </row>
    <row r="726" spans="1:13" s="599" customFormat="1" ht="15.75" x14ac:dyDescent="0.25">
      <c r="A726" s="87"/>
      <c r="B726" s="87" t="s">
        <v>963</v>
      </c>
      <c r="C726" s="553">
        <v>8274</v>
      </c>
      <c r="D726" s="563">
        <v>24000</v>
      </c>
      <c r="E726" s="573">
        <v>250</v>
      </c>
      <c r="F726" s="563">
        <v>24000</v>
      </c>
      <c r="G726" s="87">
        <f t="shared" si="11"/>
        <v>0</v>
      </c>
      <c r="H726" s="509"/>
      <c r="I726" s="525"/>
      <c r="J726" s="398"/>
      <c r="K726" s="398"/>
      <c r="L726" s="398"/>
      <c r="M726" s="86"/>
    </row>
    <row r="727" spans="1:13" s="599" customFormat="1" ht="15.75" x14ac:dyDescent="0.25">
      <c r="A727" s="87"/>
      <c r="B727" s="87" t="s">
        <v>963</v>
      </c>
      <c r="C727" s="553">
        <v>6644</v>
      </c>
      <c r="D727" s="563">
        <v>14500</v>
      </c>
      <c r="E727" s="573">
        <v>161</v>
      </c>
      <c r="F727" s="563">
        <v>14500</v>
      </c>
      <c r="G727" s="87">
        <f t="shared" si="11"/>
        <v>0</v>
      </c>
      <c r="H727" s="509"/>
      <c r="I727" s="525"/>
      <c r="J727" s="398"/>
      <c r="K727" s="398"/>
      <c r="L727" s="398"/>
      <c r="M727" s="86"/>
    </row>
    <row r="728" spans="1:13" s="599" customFormat="1" ht="15.75" x14ac:dyDescent="0.25">
      <c r="A728" s="87"/>
      <c r="B728" s="87" t="s">
        <v>963</v>
      </c>
      <c r="C728" s="554" t="s">
        <v>945</v>
      </c>
      <c r="D728" s="563">
        <v>25000</v>
      </c>
      <c r="E728" s="573">
        <v>278</v>
      </c>
      <c r="F728" s="563">
        <v>25000</v>
      </c>
      <c r="G728" s="87">
        <f t="shared" si="11"/>
        <v>0</v>
      </c>
      <c r="H728" s="509"/>
      <c r="I728" s="525"/>
      <c r="J728" s="398"/>
      <c r="K728" s="398"/>
      <c r="L728" s="398"/>
      <c r="M728" s="86"/>
    </row>
    <row r="729" spans="1:13" s="599" customFormat="1" ht="15.75" x14ac:dyDescent="0.25">
      <c r="A729" s="87"/>
      <c r="B729" s="87" t="s">
        <v>963</v>
      </c>
      <c r="C729" s="554" t="s">
        <v>964</v>
      </c>
      <c r="D729" s="563">
        <v>30000</v>
      </c>
      <c r="E729" s="573">
        <v>334</v>
      </c>
      <c r="F729" s="563">
        <v>30000</v>
      </c>
      <c r="G729" s="87">
        <f t="shared" si="11"/>
        <v>0</v>
      </c>
      <c r="H729" s="509"/>
      <c r="I729" s="525"/>
      <c r="J729" s="398"/>
      <c r="K729" s="398"/>
      <c r="L729" s="398"/>
      <c r="M729" s="86"/>
    </row>
    <row r="730" spans="1:13" s="599" customFormat="1" ht="15.75" x14ac:dyDescent="0.25">
      <c r="A730" s="87"/>
      <c r="B730" s="87" t="s">
        <v>963</v>
      </c>
      <c r="C730" s="553">
        <v>7601</v>
      </c>
      <c r="D730" s="563">
        <v>25000</v>
      </c>
      <c r="E730" s="573">
        <v>278</v>
      </c>
      <c r="F730" s="563">
        <v>25000</v>
      </c>
      <c r="G730" s="87">
        <f t="shared" si="11"/>
        <v>0</v>
      </c>
      <c r="H730" s="509"/>
      <c r="I730" s="525"/>
      <c r="J730" s="398"/>
      <c r="K730" s="398"/>
      <c r="L730" s="398"/>
      <c r="M730" s="86"/>
    </row>
    <row r="731" spans="1:13" s="599" customFormat="1" ht="15.75" x14ac:dyDescent="0.25">
      <c r="A731" s="87"/>
      <c r="B731" s="87" t="s">
        <v>963</v>
      </c>
      <c r="C731" s="553">
        <v>4744</v>
      </c>
      <c r="D731" s="563">
        <v>27000</v>
      </c>
      <c r="E731" s="573">
        <v>300</v>
      </c>
      <c r="F731" s="563">
        <v>27000</v>
      </c>
      <c r="G731" s="87">
        <f t="shared" si="11"/>
        <v>0</v>
      </c>
      <c r="H731" s="509"/>
      <c r="I731" s="525"/>
      <c r="J731" s="398"/>
      <c r="K731" s="398"/>
      <c r="L731" s="398"/>
      <c r="M731" s="86"/>
    </row>
    <row r="732" spans="1:13" s="599" customFormat="1" ht="15.75" x14ac:dyDescent="0.25">
      <c r="A732" s="87"/>
      <c r="B732" s="87" t="s">
        <v>963</v>
      </c>
      <c r="C732" s="553">
        <v>7460</v>
      </c>
      <c r="D732" s="563">
        <v>32700</v>
      </c>
      <c r="E732" s="573">
        <v>346</v>
      </c>
      <c r="F732" s="563">
        <v>32700</v>
      </c>
      <c r="G732" s="87">
        <f t="shared" si="11"/>
        <v>0</v>
      </c>
      <c r="H732" s="509"/>
      <c r="I732" s="525"/>
      <c r="J732" s="398"/>
      <c r="K732" s="398"/>
      <c r="L732" s="398"/>
      <c r="M732" s="86"/>
    </row>
    <row r="733" spans="1:13" s="599" customFormat="1" ht="15.75" x14ac:dyDescent="0.25">
      <c r="A733" s="87"/>
      <c r="B733" s="87" t="s">
        <v>963</v>
      </c>
      <c r="C733" s="553">
        <v>1960</v>
      </c>
      <c r="D733" s="563">
        <v>21000</v>
      </c>
      <c r="E733" s="573">
        <v>233</v>
      </c>
      <c r="F733" s="563">
        <v>21000</v>
      </c>
      <c r="G733" s="87">
        <f t="shared" si="11"/>
        <v>0</v>
      </c>
      <c r="H733" s="509"/>
      <c r="I733" s="525"/>
      <c r="J733" s="398"/>
      <c r="K733" s="398"/>
      <c r="L733" s="398"/>
      <c r="M733" s="86"/>
    </row>
    <row r="734" spans="1:13" s="599" customFormat="1" ht="15.75" x14ac:dyDescent="0.25">
      <c r="A734" s="87"/>
      <c r="B734" s="87" t="s">
        <v>963</v>
      </c>
      <c r="C734" s="553">
        <v>3738</v>
      </c>
      <c r="D734" s="563">
        <v>20000</v>
      </c>
      <c r="E734" s="573">
        <v>222</v>
      </c>
      <c r="F734" s="563">
        <v>20000</v>
      </c>
      <c r="G734" s="87">
        <f t="shared" si="11"/>
        <v>0</v>
      </c>
      <c r="H734" s="509"/>
      <c r="I734" s="525"/>
      <c r="J734" s="398"/>
      <c r="K734" s="398"/>
      <c r="L734" s="398"/>
      <c r="M734" s="86"/>
    </row>
    <row r="735" spans="1:13" s="599" customFormat="1" ht="15.75" x14ac:dyDescent="0.25">
      <c r="A735" s="87"/>
      <c r="B735" s="87" t="s">
        <v>961</v>
      </c>
      <c r="C735" s="553">
        <v>1665</v>
      </c>
      <c r="D735" s="563">
        <v>10000</v>
      </c>
      <c r="E735" s="573">
        <v>111</v>
      </c>
      <c r="F735" s="563">
        <v>10000</v>
      </c>
      <c r="G735" s="87">
        <f t="shared" si="11"/>
        <v>0</v>
      </c>
      <c r="H735" s="509"/>
      <c r="I735" s="525"/>
      <c r="J735" s="398"/>
      <c r="K735" s="398"/>
      <c r="L735" s="398"/>
      <c r="M735" s="86"/>
    </row>
    <row r="736" spans="1:13" s="599" customFormat="1" ht="15.75" x14ac:dyDescent="0.25">
      <c r="A736" s="87"/>
      <c r="B736" s="87" t="s">
        <v>961</v>
      </c>
      <c r="C736" s="553">
        <v>4308</v>
      </c>
      <c r="D736" s="563">
        <v>15000</v>
      </c>
      <c r="E736" s="573">
        <v>167</v>
      </c>
      <c r="F736" s="563">
        <v>15000</v>
      </c>
      <c r="G736" s="87">
        <f t="shared" si="11"/>
        <v>0</v>
      </c>
      <c r="H736" s="509"/>
      <c r="I736" s="525"/>
      <c r="J736" s="398"/>
      <c r="K736" s="398"/>
      <c r="L736" s="398"/>
      <c r="M736" s="86"/>
    </row>
    <row r="737" spans="1:13" s="599" customFormat="1" ht="15.75" x14ac:dyDescent="0.25">
      <c r="A737" s="87"/>
      <c r="B737" s="87" t="s">
        <v>961</v>
      </c>
      <c r="C737" s="554" t="s">
        <v>890</v>
      </c>
      <c r="D737" s="563">
        <v>14000</v>
      </c>
      <c r="E737" s="573">
        <v>155</v>
      </c>
      <c r="F737" s="563">
        <v>14000</v>
      </c>
      <c r="G737" s="87">
        <f t="shared" si="11"/>
        <v>0</v>
      </c>
      <c r="H737" s="509"/>
      <c r="I737" s="525"/>
      <c r="J737" s="398"/>
      <c r="K737" s="398"/>
      <c r="L737" s="398"/>
      <c r="M737" s="86"/>
    </row>
    <row r="738" spans="1:13" s="599" customFormat="1" ht="15.75" x14ac:dyDescent="0.25">
      <c r="A738" s="87"/>
      <c r="B738" s="87" t="s">
        <v>961</v>
      </c>
      <c r="C738" s="553" t="s">
        <v>66</v>
      </c>
      <c r="D738" s="563">
        <v>100</v>
      </c>
      <c r="E738" s="573" t="s">
        <v>66</v>
      </c>
      <c r="F738" s="563">
        <v>100</v>
      </c>
      <c r="G738" s="87">
        <f t="shared" si="11"/>
        <v>0</v>
      </c>
      <c r="H738" s="509"/>
      <c r="I738" s="525"/>
      <c r="J738" s="398"/>
      <c r="K738" s="398"/>
      <c r="L738" s="398"/>
      <c r="M738" s="86"/>
    </row>
    <row r="739" spans="1:13" s="599" customFormat="1" ht="15.75" x14ac:dyDescent="0.25">
      <c r="A739" s="87"/>
      <c r="B739" s="87" t="s">
        <v>961</v>
      </c>
      <c r="C739" s="553" t="s">
        <v>30</v>
      </c>
      <c r="D739" s="563">
        <v>1800</v>
      </c>
      <c r="E739" s="573">
        <v>200</v>
      </c>
      <c r="F739" s="563">
        <v>1800</v>
      </c>
      <c r="G739" s="87">
        <f t="shared" si="11"/>
        <v>0</v>
      </c>
      <c r="H739" s="509"/>
      <c r="I739" s="525"/>
      <c r="J739" s="398"/>
      <c r="K739" s="398"/>
      <c r="L739" s="398"/>
      <c r="M739" s="86"/>
    </row>
    <row r="740" spans="1:13" s="599" customFormat="1" ht="15.75" x14ac:dyDescent="0.25">
      <c r="A740" s="87"/>
      <c r="B740" s="87" t="s">
        <v>961</v>
      </c>
      <c r="C740" s="553" t="s">
        <v>30</v>
      </c>
      <c r="D740" s="563">
        <v>5000</v>
      </c>
      <c r="E740" s="573">
        <v>55</v>
      </c>
      <c r="F740" s="563">
        <v>5000</v>
      </c>
      <c r="G740" s="87">
        <f t="shared" si="11"/>
        <v>0</v>
      </c>
      <c r="H740" s="509"/>
      <c r="I740" s="525"/>
      <c r="J740" s="398"/>
      <c r="K740" s="398"/>
      <c r="L740" s="398"/>
      <c r="M740" s="86"/>
    </row>
    <row r="741" spans="1:13" s="599" customFormat="1" ht="15.75" x14ac:dyDescent="0.25">
      <c r="A741" s="87"/>
      <c r="B741" s="87" t="s">
        <v>961</v>
      </c>
      <c r="C741" s="553" t="s">
        <v>30</v>
      </c>
      <c r="D741" s="563">
        <v>4500</v>
      </c>
      <c r="E741" s="573">
        <v>50</v>
      </c>
      <c r="F741" s="563">
        <v>4500</v>
      </c>
      <c r="G741" s="87">
        <f t="shared" si="11"/>
        <v>0</v>
      </c>
      <c r="H741" s="509"/>
      <c r="I741" s="525"/>
      <c r="J741" s="398"/>
      <c r="K741" s="398"/>
      <c r="L741" s="398"/>
      <c r="M741" s="86"/>
    </row>
    <row r="742" spans="1:13" s="599" customFormat="1" ht="15.75" x14ac:dyDescent="0.25">
      <c r="A742" s="87"/>
      <c r="B742" s="87" t="s">
        <v>961</v>
      </c>
      <c r="C742" s="553">
        <v>2997</v>
      </c>
      <c r="D742" s="563">
        <v>18000</v>
      </c>
      <c r="E742" s="573">
        <v>200</v>
      </c>
      <c r="F742" s="563">
        <v>18000</v>
      </c>
      <c r="G742" s="87">
        <f t="shared" si="11"/>
        <v>0</v>
      </c>
      <c r="H742" s="509"/>
      <c r="I742" s="525"/>
      <c r="J742" s="398"/>
      <c r="K742" s="398"/>
      <c r="L742" s="398"/>
      <c r="M742" s="86"/>
    </row>
    <row r="743" spans="1:13" s="599" customFormat="1" ht="15.75" x14ac:dyDescent="0.25">
      <c r="A743" s="87"/>
      <c r="B743" s="87" t="s">
        <v>961</v>
      </c>
      <c r="C743" s="553" t="s">
        <v>66</v>
      </c>
      <c r="D743" s="563">
        <v>210</v>
      </c>
      <c r="E743" s="573" t="s">
        <v>66</v>
      </c>
      <c r="F743" s="563">
        <v>210</v>
      </c>
      <c r="G743" s="87">
        <f t="shared" si="11"/>
        <v>0</v>
      </c>
      <c r="H743" s="509"/>
      <c r="I743" s="525"/>
      <c r="J743" s="398"/>
      <c r="K743" s="398"/>
      <c r="L743" s="398"/>
      <c r="M743" s="86"/>
    </row>
    <row r="744" spans="1:13" s="599" customFormat="1" ht="15.75" x14ac:dyDescent="0.25">
      <c r="A744" s="87"/>
      <c r="B744" s="87" t="s">
        <v>961</v>
      </c>
      <c r="C744" s="554" t="s">
        <v>873</v>
      </c>
      <c r="D744" s="563">
        <v>14000</v>
      </c>
      <c r="E744" s="573">
        <v>155</v>
      </c>
      <c r="F744" s="563">
        <v>14000</v>
      </c>
      <c r="G744" s="87">
        <f t="shared" si="11"/>
        <v>0</v>
      </c>
      <c r="H744" s="509"/>
      <c r="I744" s="525"/>
      <c r="J744" s="398"/>
      <c r="K744" s="398"/>
      <c r="L744" s="398"/>
      <c r="M744" s="86"/>
    </row>
    <row r="745" spans="1:13" s="599" customFormat="1" ht="15.75" x14ac:dyDescent="0.25">
      <c r="A745" s="87"/>
      <c r="B745" s="87" t="s">
        <v>961</v>
      </c>
      <c r="C745" s="553">
        <v>3317</v>
      </c>
      <c r="D745" s="563">
        <v>30000</v>
      </c>
      <c r="E745" s="573">
        <v>334</v>
      </c>
      <c r="F745" s="563">
        <v>30000</v>
      </c>
      <c r="G745" s="87">
        <f t="shared" si="11"/>
        <v>0</v>
      </c>
      <c r="H745" s="509"/>
      <c r="I745" s="525"/>
      <c r="J745" s="398"/>
      <c r="K745" s="398"/>
      <c r="L745" s="398"/>
      <c r="M745" s="86"/>
    </row>
    <row r="746" spans="1:13" s="599" customFormat="1" ht="15.75" x14ac:dyDescent="0.25">
      <c r="A746" s="87"/>
      <c r="B746" s="87" t="s">
        <v>961</v>
      </c>
      <c r="C746" s="553">
        <v>6461</v>
      </c>
      <c r="D746" s="563">
        <v>30000</v>
      </c>
      <c r="E746" s="573">
        <v>334</v>
      </c>
      <c r="F746" s="563">
        <v>30000</v>
      </c>
      <c r="G746" s="87">
        <f t="shared" si="11"/>
        <v>0</v>
      </c>
      <c r="H746" s="509"/>
      <c r="I746" s="525"/>
      <c r="J746" s="398"/>
      <c r="K746" s="398"/>
      <c r="L746" s="398"/>
      <c r="M746" s="86"/>
    </row>
    <row r="747" spans="1:13" s="599" customFormat="1" ht="15.75" x14ac:dyDescent="0.25">
      <c r="A747" s="87"/>
      <c r="B747" s="87" t="s">
        <v>961</v>
      </c>
      <c r="C747" s="553">
        <v>4608</v>
      </c>
      <c r="D747" s="563">
        <v>23000</v>
      </c>
      <c r="E747" s="573">
        <v>256</v>
      </c>
      <c r="F747" s="563">
        <v>23000</v>
      </c>
      <c r="G747" s="87">
        <f t="shared" si="11"/>
        <v>0</v>
      </c>
      <c r="H747" s="509"/>
      <c r="I747" s="525"/>
      <c r="J747" s="398"/>
      <c r="K747" s="398"/>
      <c r="L747" s="398"/>
      <c r="M747" s="86"/>
    </row>
    <row r="748" spans="1:13" s="599" customFormat="1" ht="15.75" x14ac:dyDescent="0.25">
      <c r="A748" s="87"/>
      <c r="B748" s="87" t="s">
        <v>961</v>
      </c>
      <c r="C748" s="554" t="s">
        <v>863</v>
      </c>
      <c r="D748" s="563">
        <v>23000</v>
      </c>
      <c r="E748" s="573">
        <v>256</v>
      </c>
      <c r="F748" s="563">
        <v>23000</v>
      </c>
      <c r="G748" s="87">
        <f t="shared" si="11"/>
        <v>0</v>
      </c>
      <c r="H748" s="509"/>
      <c r="I748" s="525"/>
      <c r="J748" s="398"/>
      <c r="K748" s="398"/>
      <c r="L748" s="398"/>
      <c r="M748" s="86"/>
    </row>
    <row r="749" spans="1:13" s="599" customFormat="1" ht="15.75" x14ac:dyDescent="0.25">
      <c r="A749" s="87"/>
      <c r="B749" s="87" t="s">
        <v>961</v>
      </c>
      <c r="C749" s="553">
        <v>7444</v>
      </c>
      <c r="D749" s="563">
        <v>27000</v>
      </c>
      <c r="E749" s="573">
        <v>300</v>
      </c>
      <c r="F749" s="563">
        <v>27000</v>
      </c>
      <c r="G749" s="87">
        <f t="shared" si="11"/>
        <v>0</v>
      </c>
      <c r="H749" s="509"/>
      <c r="I749" s="525"/>
      <c r="J749" s="398"/>
      <c r="K749" s="398"/>
      <c r="L749" s="398"/>
      <c r="M749" s="86"/>
    </row>
    <row r="750" spans="1:13" s="599" customFormat="1" ht="15.75" x14ac:dyDescent="0.25">
      <c r="A750" s="87"/>
      <c r="B750" s="87" t="s">
        <v>961</v>
      </c>
      <c r="C750" s="553">
        <v>7121</v>
      </c>
      <c r="D750" s="563">
        <v>25000</v>
      </c>
      <c r="E750" s="573">
        <v>278</v>
      </c>
      <c r="F750" s="563">
        <v>25000</v>
      </c>
      <c r="G750" s="87">
        <f t="shared" si="11"/>
        <v>0</v>
      </c>
      <c r="H750" s="509"/>
      <c r="I750" s="525"/>
      <c r="J750" s="398"/>
      <c r="K750" s="398"/>
      <c r="L750" s="398"/>
      <c r="M750" s="86"/>
    </row>
    <row r="751" spans="1:13" s="599" customFormat="1" ht="15.75" x14ac:dyDescent="0.25">
      <c r="A751" s="87"/>
      <c r="B751" s="87" t="s">
        <v>961</v>
      </c>
      <c r="C751" s="553">
        <v>4961</v>
      </c>
      <c r="D751" s="563">
        <v>26000</v>
      </c>
      <c r="E751" s="573">
        <v>289</v>
      </c>
      <c r="F751" s="563">
        <v>26000</v>
      </c>
      <c r="G751" s="87">
        <f t="shared" si="11"/>
        <v>0</v>
      </c>
      <c r="H751" s="509"/>
      <c r="I751" s="525"/>
      <c r="J751" s="398"/>
      <c r="K751" s="398"/>
      <c r="L751" s="398"/>
      <c r="M751" s="86"/>
    </row>
    <row r="752" spans="1:13" s="599" customFormat="1" ht="15.75" x14ac:dyDescent="0.25">
      <c r="A752" s="87"/>
      <c r="B752" s="87" t="s">
        <v>961</v>
      </c>
      <c r="C752" s="553">
        <v>4311</v>
      </c>
      <c r="D752" s="563">
        <v>20000</v>
      </c>
      <c r="E752" s="573">
        <v>222</v>
      </c>
      <c r="F752" s="563">
        <v>20000</v>
      </c>
      <c r="G752" s="87">
        <f t="shared" si="11"/>
        <v>0</v>
      </c>
      <c r="H752" s="509"/>
      <c r="I752" s="525"/>
      <c r="J752" s="398"/>
      <c r="K752" s="398"/>
      <c r="L752" s="398"/>
      <c r="M752" s="86"/>
    </row>
    <row r="753" spans="1:13" s="599" customFormat="1" ht="15.75" x14ac:dyDescent="0.25">
      <c r="A753" s="87"/>
      <c r="B753" s="87" t="s">
        <v>961</v>
      </c>
      <c r="C753" s="553">
        <v>7217</v>
      </c>
      <c r="D753" s="563">
        <v>26000</v>
      </c>
      <c r="E753" s="573">
        <v>281</v>
      </c>
      <c r="F753" s="563">
        <v>26000</v>
      </c>
      <c r="G753" s="87">
        <f t="shared" si="11"/>
        <v>0</v>
      </c>
      <c r="H753" s="509"/>
      <c r="I753" s="525"/>
      <c r="J753" s="398"/>
      <c r="K753" s="398"/>
      <c r="L753" s="398"/>
      <c r="M753" s="86"/>
    </row>
    <row r="754" spans="1:13" s="599" customFormat="1" ht="15.75" x14ac:dyDescent="0.25">
      <c r="A754" s="87"/>
      <c r="B754" s="87" t="s">
        <v>961</v>
      </c>
      <c r="C754" s="553">
        <v>9108</v>
      </c>
      <c r="D754" s="563">
        <v>31000</v>
      </c>
      <c r="E754" s="573">
        <v>334</v>
      </c>
      <c r="F754" s="563">
        <v>31000</v>
      </c>
      <c r="G754" s="87">
        <f t="shared" si="11"/>
        <v>0</v>
      </c>
      <c r="H754" s="509"/>
      <c r="I754" s="525"/>
      <c r="J754" s="398"/>
      <c r="K754" s="398"/>
      <c r="L754" s="398"/>
      <c r="M754" s="86"/>
    </row>
    <row r="755" spans="1:13" s="599" customFormat="1" ht="15.75" x14ac:dyDescent="0.25">
      <c r="A755" s="87"/>
      <c r="B755" s="87" t="s">
        <v>961</v>
      </c>
      <c r="C755" s="553">
        <v>4204</v>
      </c>
      <c r="D755" s="563">
        <v>14500</v>
      </c>
      <c r="E755" s="573">
        <v>161</v>
      </c>
      <c r="F755" s="563">
        <v>14500</v>
      </c>
      <c r="G755" s="87">
        <f t="shared" si="11"/>
        <v>0</v>
      </c>
      <c r="H755" s="509"/>
      <c r="I755" s="525"/>
      <c r="J755" s="398"/>
      <c r="K755" s="398"/>
      <c r="L755" s="398"/>
      <c r="M755" s="86"/>
    </row>
    <row r="756" spans="1:13" s="599" customFormat="1" ht="15.75" x14ac:dyDescent="0.25">
      <c r="A756" s="87"/>
      <c r="B756" s="87" t="s">
        <v>961</v>
      </c>
      <c r="C756" s="553">
        <v>8105</v>
      </c>
      <c r="D756" s="563">
        <v>18000</v>
      </c>
      <c r="E756" s="573">
        <v>200</v>
      </c>
      <c r="F756" s="563">
        <v>18000</v>
      </c>
      <c r="G756" s="87">
        <f t="shared" si="11"/>
        <v>0</v>
      </c>
      <c r="H756" s="509"/>
      <c r="I756" s="525"/>
      <c r="J756" s="398"/>
      <c r="K756" s="398"/>
      <c r="L756" s="398"/>
      <c r="M756" s="86"/>
    </row>
    <row r="757" spans="1:13" s="599" customFormat="1" ht="15.75" x14ac:dyDescent="0.25">
      <c r="A757" s="87"/>
      <c r="B757" s="87" t="s">
        <v>961</v>
      </c>
      <c r="C757" s="553">
        <v>9289</v>
      </c>
      <c r="D757" s="563">
        <v>30000</v>
      </c>
      <c r="E757" s="573">
        <v>328</v>
      </c>
      <c r="F757" s="563">
        <v>30000</v>
      </c>
      <c r="G757" s="87">
        <f t="shared" si="11"/>
        <v>0</v>
      </c>
      <c r="H757" s="509"/>
      <c r="I757" s="525"/>
      <c r="J757" s="398"/>
      <c r="K757" s="398"/>
      <c r="L757" s="398"/>
      <c r="M757" s="86"/>
    </row>
    <row r="758" spans="1:13" s="599" customFormat="1" ht="15.75" x14ac:dyDescent="0.25">
      <c r="A758" s="87"/>
      <c r="B758" s="87" t="s">
        <v>961</v>
      </c>
      <c r="C758" s="553">
        <v>9412</v>
      </c>
      <c r="D758" s="563">
        <v>30000</v>
      </c>
      <c r="E758" s="573">
        <v>334</v>
      </c>
      <c r="F758" s="563">
        <v>30000</v>
      </c>
      <c r="G758" s="87">
        <f t="shared" si="11"/>
        <v>0</v>
      </c>
      <c r="H758" s="509"/>
      <c r="I758" s="525"/>
      <c r="J758" s="398"/>
      <c r="K758" s="398"/>
      <c r="L758" s="398"/>
      <c r="M758" s="86"/>
    </row>
    <row r="759" spans="1:13" s="599" customFormat="1" ht="15.75" x14ac:dyDescent="0.25">
      <c r="A759" s="87"/>
      <c r="B759" s="87" t="s">
        <v>961</v>
      </c>
      <c r="C759" s="553">
        <v>3234</v>
      </c>
      <c r="D759" s="563">
        <v>28000</v>
      </c>
      <c r="E759" s="573">
        <v>311</v>
      </c>
      <c r="F759" s="563">
        <v>28000</v>
      </c>
      <c r="G759" s="87">
        <f t="shared" si="11"/>
        <v>0</v>
      </c>
      <c r="H759" s="509"/>
      <c r="I759" s="525"/>
      <c r="J759" s="398"/>
      <c r="K759" s="398"/>
      <c r="L759" s="398"/>
      <c r="M759" s="86"/>
    </row>
    <row r="760" spans="1:13" s="600" customFormat="1" ht="15.75" x14ac:dyDescent="0.25">
      <c r="A760" s="87"/>
      <c r="B760" s="87" t="s">
        <v>962</v>
      </c>
      <c r="C760" s="553">
        <v>9212</v>
      </c>
      <c r="D760" s="563">
        <v>17000</v>
      </c>
      <c r="E760" s="573">
        <v>189</v>
      </c>
      <c r="F760" s="563">
        <v>17000</v>
      </c>
      <c r="G760" s="87">
        <f t="shared" si="11"/>
        <v>0</v>
      </c>
      <c r="H760" s="509"/>
      <c r="I760" s="525"/>
      <c r="J760" s="398"/>
      <c r="K760" s="398"/>
      <c r="L760" s="398"/>
      <c r="M760" s="86"/>
    </row>
    <row r="761" spans="1:13" s="600" customFormat="1" ht="15.75" x14ac:dyDescent="0.25">
      <c r="A761" s="87"/>
      <c r="B761" s="87" t="s">
        <v>962</v>
      </c>
      <c r="C761" s="553">
        <v>5152</v>
      </c>
      <c r="D761" s="563">
        <v>10000</v>
      </c>
      <c r="E761" s="573">
        <v>111</v>
      </c>
      <c r="F761" s="563">
        <v>10000</v>
      </c>
      <c r="G761" s="87">
        <f t="shared" si="11"/>
        <v>0</v>
      </c>
      <c r="H761" s="509"/>
      <c r="I761" s="525"/>
      <c r="J761" s="398"/>
      <c r="K761" s="398"/>
      <c r="L761" s="398"/>
      <c r="M761" s="86"/>
    </row>
    <row r="762" spans="1:13" s="600" customFormat="1" ht="15.75" x14ac:dyDescent="0.25">
      <c r="A762" s="87"/>
      <c r="B762" s="87" t="s">
        <v>962</v>
      </c>
      <c r="C762" s="553">
        <v>6133</v>
      </c>
      <c r="D762" s="563">
        <v>15000</v>
      </c>
      <c r="E762" s="573">
        <v>167</v>
      </c>
      <c r="F762" s="563">
        <v>15000</v>
      </c>
      <c r="G762" s="87">
        <f t="shared" si="11"/>
        <v>0</v>
      </c>
      <c r="H762" s="509"/>
      <c r="I762" s="525"/>
      <c r="J762" s="398"/>
      <c r="K762" s="398"/>
      <c r="L762" s="398"/>
      <c r="M762" s="86"/>
    </row>
    <row r="763" spans="1:13" s="600" customFormat="1" ht="15.75" x14ac:dyDescent="0.25">
      <c r="A763" s="87"/>
      <c r="B763" s="87" t="s">
        <v>962</v>
      </c>
      <c r="C763" s="553">
        <v>4457</v>
      </c>
      <c r="D763" s="563">
        <v>15000</v>
      </c>
      <c r="E763" s="573">
        <v>167</v>
      </c>
      <c r="F763" s="563">
        <v>15000</v>
      </c>
      <c r="G763" s="87">
        <f t="shared" si="11"/>
        <v>0</v>
      </c>
      <c r="H763" s="509"/>
      <c r="I763" s="525"/>
      <c r="J763" s="398"/>
      <c r="K763" s="398"/>
      <c r="L763" s="398"/>
      <c r="M763" s="86"/>
    </row>
    <row r="764" spans="1:13" s="600" customFormat="1" ht="15.75" x14ac:dyDescent="0.25">
      <c r="A764" s="87"/>
      <c r="B764" s="87" t="s">
        <v>962</v>
      </c>
      <c r="C764" s="553">
        <v>6571</v>
      </c>
      <c r="D764" s="563">
        <v>20300</v>
      </c>
      <c r="E764" s="573">
        <v>226</v>
      </c>
      <c r="F764" s="563">
        <v>20300</v>
      </c>
      <c r="G764" s="87">
        <f t="shared" si="11"/>
        <v>0</v>
      </c>
      <c r="H764" s="509"/>
      <c r="I764" s="525"/>
      <c r="J764" s="398"/>
      <c r="K764" s="398"/>
      <c r="L764" s="398"/>
      <c r="M764" s="86"/>
    </row>
    <row r="765" spans="1:13" s="600" customFormat="1" ht="15.75" x14ac:dyDescent="0.25">
      <c r="A765" s="87"/>
      <c r="B765" s="87" t="s">
        <v>962</v>
      </c>
      <c r="C765" s="553">
        <v>6371</v>
      </c>
      <c r="D765" s="563">
        <v>20520</v>
      </c>
      <c r="E765" s="573">
        <v>228</v>
      </c>
      <c r="F765" s="563">
        <v>20520</v>
      </c>
      <c r="G765" s="87">
        <f t="shared" si="11"/>
        <v>0</v>
      </c>
      <c r="H765" s="509"/>
      <c r="I765" s="525"/>
      <c r="J765" s="398"/>
      <c r="K765" s="398"/>
      <c r="L765" s="398"/>
      <c r="M765" s="86"/>
    </row>
    <row r="766" spans="1:13" s="600" customFormat="1" ht="15.75" x14ac:dyDescent="0.25">
      <c r="A766" s="87"/>
      <c r="B766" s="87" t="s">
        <v>962</v>
      </c>
      <c r="C766" s="554" t="s">
        <v>965</v>
      </c>
      <c r="D766" s="563">
        <v>5000</v>
      </c>
      <c r="E766" s="573">
        <v>55</v>
      </c>
      <c r="F766" s="563">
        <v>5000</v>
      </c>
      <c r="G766" s="87">
        <f t="shared" si="11"/>
        <v>0</v>
      </c>
      <c r="H766" s="509"/>
      <c r="I766" s="525"/>
      <c r="J766" s="398"/>
      <c r="K766" s="398"/>
      <c r="L766" s="398"/>
      <c r="M766" s="86"/>
    </row>
    <row r="767" spans="1:13" s="600" customFormat="1" ht="15.75" x14ac:dyDescent="0.25">
      <c r="A767" s="87"/>
      <c r="B767" s="87" t="s">
        <v>962</v>
      </c>
      <c r="C767" s="553" t="s">
        <v>30</v>
      </c>
      <c r="D767" s="563">
        <v>1800</v>
      </c>
      <c r="E767" s="573">
        <v>20</v>
      </c>
      <c r="F767" s="563">
        <v>1800</v>
      </c>
      <c r="G767" s="87">
        <f t="shared" si="11"/>
        <v>0</v>
      </c>
      <c r="H767" s="509"/>
      <c r="I767" s="525"/>
      <c r="J767" s="398"/>
      <c r="K767" s="398"/>
      <c r="L767" s="398"/>
      <c r="M767" s="86"/>
    </row>
    <row r="768" spans="1:13" s="600" customFormat="1" ht="15.75" x14ac:dyDescent="0.25">
      <c r="A768" s="87"/>
      <c r="B768" s="87" t="s">
        <v>962</v>
      </c>
      <c r="C768" s="553">
        <v>6751</v>
      </c>
      <c r="D768" s="563">
        <v>20000</v>
      </c>
      <c r="E768" s="573">
        <v>222</v>
      </c>
      <c r="F768" s="563">
        <v>20000</v>
      </c>
      <c r="G768" s="87">
        <f t="shared" si="11"/>
        <v>0</v>
      </c>
      <c r="H768" s="509"/>
      <c r="I768" s="525"/>
      <c r="J768" s="398"/>
      <c r="K768" s="398"/>
      <c r="L768" s="398"/>
      <c r="M768" s="86"/>
    </row>
    <row r="769" spans="1:13" s="600" customFormat="1" ht="15.75" x14ac:dyDescent="0.25">
      <c r="A769" s="87"/>
      <c r="B769" s="87" t="s">
        <v>962</v>
      </c>
      <c r="C769" s="553">
        <v>9944</v>
      </c>
      <c r="D769" s="563">
        <v>13000</v>
      </c>
      <c r="E769" s="573">
        <v>138</v>
      </c>
      <c r="F769" s="563">
        <v>13000</v>
      </c>
      <c r="G769" s="87">
        <f t="shared" si="11"/>
        <v>0</v>
      </c>
      <c r="H769" s="509"/>
      <c r="I769" s="525"/>
      <c r="J769" s="398"/>
      <c r="K769" s="398"/>
      <c r="L769" s="398"/>
      <c r="M769" s="86"/>
    </row>
    <row r="770" spans="1:13" s="600" customFormat="1" ht="15.75" x14ac:dyDescent="0.25">
      <c r="A770" s="87"/>
      <c r="B770" s="87" t="s">
        <v>962</v>
      </c>
      <c r="C770" s="553">
        <v>5963</v>
      </c>
      <c r="D770" s="563">
        <v>15000</v>
      </c>
      <c r="E770" s="573">
        <v>159</v>
      </c>
      <c r="F770" s="563">
        <v>15000</v>
      </c>
      <c r="G770" s="87">
        <f t="shared" si="11"/>
        <v>0</v>
      </c>
      <c r="H770" s="509"/>
      <c r="I770" s="525"/>
      <c r="J770" s="398"/>
      <c r="K770" s="398"/>
      <c r="L770" s="398"/>
      <c r="M770" s="86"/>
    </row>
    <row r="771" spans="1:13" s="600" customFormat="1" ht="15.75" x14ac:dyDescent="0.25">
      <c r="A771" s="87"/>
      <c r="B771" s="87" t="s">
        <v>962</v>
      </c>
      <c r="C771" s="553">
        <v>2803</v>
      </c>
      <c r="D771" s="563">
        <v>15000</v>
      </c>
      <c r="E771" s="573">
        <v>159</v>
      </c>
      <c r="F771" s="563">
        <v>15000</v>
      </c>
      <c r="G771" s="87">
        <f t="shared" si="11"/>
        <v>0</v>
      </c>
      <c r="H771" s="509"/>
      <c r="I771" s="525"/>
      <c r="J771" s="398"/>
      <c r="K771" s="398"/>
      <c r="L771" s="398"/>
      <c r="M771" s="86"/>
    </row>
    <row r="772" spans="1:13" s="600" customFormat="1" ht="15.75" x14ac:dyDescent="0.25">
      <c r="A772" s="87"/>
      <c r="B772" s="87" t="s">
        <v>962</v>
      </c>
      <c r="C772" s="553" t="s">
        <v>30</v>
      </c>
      <c r="D772" s="563">
        <v>4500</v>
      </c>
      <c r="E772" s="573">
        <v>50</v>
      </c>
      <c r="F772" s="563">
        <v>4500</v>
      </c>
      <c r="G772" s="87">
        <f t="shared" si="11"/>
        <v>0</v>
      </c>
      <c r="H772" s="509"/>
      <c r="I772" s="525"/>
      <c r="J772" s="398"/>
      <c r="K772" s="398"/>
      <c r="L772" s="398"/>
      <c r="M772" s="86"/>
    </row>
    <row r="773" spans="1:13" s="600" customFormat="1" ht="15.75" x14ac:dyDescent="0.25">
      <c r="A773" s="87"/>
      <c r="B773" s="87" t="s">
        <v>962</v>
      </c>
      <c r="C773" s="553">
        <v>6159</v>
      </c>
      <c r="D773" s="563">
        <v>21000</v>
      </c>
      <c r="E773" s="573">
        <v>233</v>
      </c>
      <c r="F773" s="563">
        <v>21000</v>
      </c>
      <c r="G773" s="87">
        <f t="shared" ref="G773:G787" si="12">D773-F773</f>
        <v>0</v>
      </c>
      <c r="H773" s="509"/>
      <c r="I773" s="525"/>
      <c r="J773" s="398"/>
      <c r="K773" s="398"/>
      <c r="L773" s="398"/>
      <c r="M773" s="86"/>
    </row>
    <row r="774" spans="1:13" s="600" customFormat="1" ht="15.75" x14ac:dyDescent="0.25">
      <c r="A774" s="87"/>
      <c r="B774" s="87" t="s">
        <v>962</v>
      </c>
      <c r="C774" s="553">
        <v>4491</v>
      </c>
      <c r="D774" s="563">
        <v>25000</v>
      </c>
      <c r="E774" s="573">
        <v>264</v>
      </c>
      <c r="F774" s="563">
        <v>25000</v>
      </c>
      <c r="G774" s="87">
        <f t="shared" si="12"/>
        <v>0</v>
      </c>
      <c r="H774" s="509"/>
      <c r="I774" s="525"/>
      <c r="J774" s="398"/>
      <c r="K774" s="398"/>
      <c r="L774" s="398"/>
      <c r="M774" s="86"/>
    </row>
    <row r="775" spans="1:13" s="600" customFormat="1" ht="15.75" x14ac:dyDescent="0.25">
      <c r="A775" s="87"/>
      <c r="B775" s="87" t="s">
        <v>962</v>
      </c>
      <c r="C775" s="553">
        <v>9843</v>
      </c>
      <c r="D775" s="563">
        <v>27000</v>
      </c>
      <c r="E775" s="573">
        <v>289</v>
      </c>
      <c r="F775" s="563">
        <v>27000</v>
      </c>
      <c r="G775" s="87">
        <f t="shared" si="12"/>
        <v>0</v>
      </c>
      <c r="H775" s="509"/>
      <c r="I775" s="525"/>
      <c r="J775" s="398"/>
      <c r="K775" s="398"/>
      <c r="L775" s="398"/>
      <c r="M775" s="86"/>
    </row>
    <row r="776" spans="1:13" s="600" customFormat="1" ht="15.75" x14ac:dyDescent="0.25">
      <c r="A776" s="87"/>
      <c r="B776" s="87" t="s">
        <v>962</v>
      </c>
      <c r="C776" s="553">
        <v>5765</v>
      </c>
      <c r="D776" s="563">
        <v>33000</v>
      </c>
      <c r="E776" s="573">
        <v>352</v>
      </c>
      <c r="F776" s="563">
        <v>33000</v>
      </c>
      <c r="G776" s="87">
        <f t="shared" si="12"/>
        <v>0</v>
      </c>
      <c r="H776" s="509"/>
      <c r="I776" s="525"/>
      <c r="J776" s="398"/>
      <c r="K776" s="398"/>
      <c r="L776" s="398"/>
      <c r="M776" s="86"/>
    </row>
    <row r="777" spans="1:13" s="600" customFormat="1" ht="15.75" x14ac:dyDescent="0.25">
      <c r="A777" s="87"/>
      <c r="B777" s="87" t="s">
        <v>962</v>
      </c>
      <c r="C777" s="553">
        <v>4679</v>
      </c>
      <c r="D777" s="563">
        <v>33000</v>
      </c>
      <c r="E777" s="573">
        <v>367</v>
      </c>
      <c r="F777" s="563">
        <v>33000</v>
      </c>
      <c r="G777" s="87">
        <f t="shared" si="12"/>
        <v>0</v>
      </c>
      <c r="H777" s="509"/>
      <c r="I777" s="525"/>
      <c r="J777" s="398"/>
      <c r="K777" s="398"/>
      <c r="L777" s="398"/>
      <c r="M777" s="86"/>
    </row>
    <row r="778" spans="1:13" s="600" customFormat="1" ht="15.75" x14ac:dyDescent="0.25">
      <c r="A778" s="87"/>
      <c r="B778" s="87" t="s">
        <v>962</v>
      </c>
      <c r="C778" s="553">
        <v>9021</v>
      </c>
      <c r="D778" s="563">
        <v>24000</v>
      </c>
      <c r="E778" s="573">
        <v>255</v>
      </c>
      <c r="F778" s="563">
        <v>24000</v>
      </c>
      <c r="G778" s="87">
        <f t="shared" si="12"/>
        <v>0</v>
      </c>
      <c r="H778" s="509"/>
      <c r="I778" s="525"/>
      <c r="J778" s="398"/>
      <c r="K778" s="398"/>
      <c r="L778" s="398"/>
      <c r="M778" s="86"/>
    </row>
    <row r="779" spans="1:13" s="600" customFormat="1" ht="15.75" x14ac:dyDescent="0.25">
      <c r="A779" s="87"/>
      <c r="B779" s="87" t="s">
        <v>962</v>
      </c>
      <c r="C779" s="553">
        <v>1343</v>
      </c>
      <c r="D779" s="563">
        <v>28000</v>
      </c>
      <c r="E779" s="573">
        <v>311</v>
      </c>
      <c r="F779" s="563">
        <v>28000</v>
      </c>
      <c r="G779" s="87">
        <f t="shared" si="12"/>
        <v>0</v>
      </c>
      <c r="H779" s="509"/>
      <c r="I779" s="525"/>
      <c r="J779" s="398"/>
      <c r="K779" s="398"/>
      <c r="L779" s="398"/>
      <c r="M779" s="86"/>
    </row>
    <row r="780" spans="1:13" s="600" customFormat="1" ht="15.75" x14ac:dyDescent="0.25">
      <c r="A780" s="87"/>
      <c r="B780" s="87" t="s">
        <v>962</v>
      </c>
      <c r="C780" s="553">
        <v>4472</v>
      </c>
      <c r="D780" s="563">
        <v>27000</v>
      </c>
      <c r="E780" s="573">
        <v>300</v>
      </c>
      <c r="F780" s="563">
        <v>27000</v>
      </c>
      <c r="G780" s="87">
        <f t="shared" si="12"/>
        <v>0</v>
      </c>
      <c r="H780" s="509"/>
      <c r="I780" s="525"/>
      <c r="J780" s="398"/>
      <c r="K780" s="398"/>
      <c r="L780" s="398"/>
      <c r="M780" s="86"/>
    </row>
    <row r="781" spans="1:13" s="600" customFormat="1" ht="15.75" x14ac:dyDescent="0.25">
      <c r="A781" s="87"/>
      <c r="B781" s="87" t="s">
        <v>962</v>
      </c>
      <c r="C781" s="553">
        <v>5626</v>
      </c>
      <c r="D781" s="563">
        <v>33000</v>
      </c>
      <c r="E781" s="573">
        <v>367</v>
      </c>
      <c r="F781" s="563">
        <v>33000</v>
      </c>
      <c r="G781" s="87">
        <f t="shared" si="12"/>
        <v>0</v>
      </c>
      <c r="H781" s="509"/>
      <c r="I781" s="525"/>
      <c r="J781" s="398"/>
      <c r="K781" s="398"/>
      <c r="L781" s="398"/>
      <c r="M781" s="86"/>
    </row>
    <row r="782" spans="1:13" s="600" customFormat="1" ht="15.75" x14ac:dyDescent="0.25">
      <c r="A782" s="87"/>
      <c r="B782" s="87" t="s">
        <v>962</v>
      </c>
      <c r="C782" s="553">
        <v>2320</v>
      </c>
      <c r="D782" s="563">
        <v>30000</v>
      </c>
      <c r="E782" s="573">
        <v>332.85</v>
      </c>
      <c r="F782" s="563">
        <v>30000</v>
      </c>
      <c r="G782" s="87">
        <f t="shared" si="12"/>
        <v>0</v>
      </c>
      <c r="H782" s="509"/>
      <c r="I782" s="525"/>
      <c r="J782" s="398"/>
      <c r="K782" s="398"/>
      <c r="L782" s="398"/>
      <c r="M782" s="86"/>
    </row>
    <row r="783" spans="1:13" s="600" customFormat="1" ht="15.75" x14ac:dyDescent="0.25">
      <c r="A783" s="87"/>
      <c r="B783" s="87" t="s">
        <v>962</v>
      </c>
      <c r="C783" s="553">
        <v>9567</v>
      </c>
      <c r="D783" s="563">
        <v>20000</v>
      </c>
      <c r="E783" s="573">
        <v>222.82</v>
      </c>
      <c r="F783" s="563">
        <v>20000</v>
      </c>
      <c r="G783" s="87">
        <f t="shared" si="12"/>
        <v>0</v>
      </c>
      <c r="H783" s="509"/>
      <c r="I783" s="525"/>
      <c r="J783" s="398"/>
      <c r="K783" s="398"/>
      <c r="L783" s="398"/>
      <c r="M783" s="86"/>
    </row>
    <row r="784" spans="1:13" s="600" customFormat="1" ht="15.75" x14ac:dyDescent="0.25">
      <c r="A784" s="87"/>
      <c r="B784" s="87" t="s">
        <v>962</v>
      </c>
      <c r="C784" s="553">
        <v>5271</v>
      </c>
      <c r="D784" s="563">
        <v>22000</v>
      </c>
      <c r="E784" s="573">
        <v>229.25</v>
      </c>
      <c r="F784" s="563">
        <v>22000</v>
      </c>
      <c r="G784" s="87">
        <f t="shared" si="12"/>
        <v>0</v>
      </c>
      <c r="H784" s="509"/>
      <c r="I784" s="525"/>
      <c r="J784" s="398"/>
      <c r="K784" s="398"/>
      <c r="L784" s="398"/>
      <c r="M784" s="86"/>
    </row>
    <row r="785" spans="1:13" s="600" customFormat="1" ht="15.75" x14ac:dyDescent="0.25">
      <c r="A785" s="87"/>
      <c r="B785" s="87" t="s">
        <v>962</v>
      </c>
      <c r="C785" s="553">
        <v>2764</v>
      </c>
      <c r="D785" s="563">
        <v>29000</v>
      </c>
      <c r="E785" s="573">
        <v>302.45</v>
      </c>
      <c r="F785" s="563">
        <v>29000</v>
      </c>
      <c r="G785" s="87">
        <f t="shared" si="12"/>
        <v>0</v>
      </c>
      <c r="H785" s="509"/>
      <c r="I785" s="525"/>
      <c r="J785" s="398"/>
      <c r="K785" s="398"/>
      <c r="L785" s="398"/>
      <c r="M785" s="86"/>
    </row>
    <row r="786" spans="1:13" s="600" customFormat="1" ht="15.75" x14ac:dyDescent="0.25">
      <c r="A786" s="87"/>
      <c r="B786" s="87" t="s">
        <v>962</v>
      </c>
      <c r="C786" s="553">
        <v>2050</v>
      </c>
      <c r="D786" s="563">
        <v>20000</v>
      </c>
      <c r="E786" s="573">
        <v>222.82</v>
      </c>
      <c r="F786" s="563">
        <v>20000</v>
      </c>
      <c r="G786" s="87">
        <f t="shared" si="12"/>
        <v>0</v>
      </c>
      <c r="H786" s="509"/>
      <c r="I786" s="525"/>
      <c r="J786" s="398"/>
      <c r="K786" s="398"/>
      <c r="L786" s="398"/>
      <c r="M786" s="86"/>
    </row>
    <row r="787" spans="1:13" s="600" customFormat="1" ht="15.75" x14ac:dyDescent="0.25">
      <c r="A787" s="87"/>
      <c r="B787" s="87" t="s">
        <v>962</v>
      </c>
      <c r="C787" s="553">
        <v>5361</v>
      </c>
      <c r="D787" s="563">
        <v>30000</v>
      </c>
      <c r="E787" s="573">
        <v>334.74</v>
      </c>
      <c r="F787" s="563">
        <v>30000</v>
      </c>
      <c r="G787" s="87">
        <f t="shared" si="12"/>
        <v>0</v>
      </c>
      <c r="H787" s="509"/>
      <c r="I787" s="525"/>
      <c r="J787" s="398">
        <f>2622987-2613417</f>
        <v>9570</v>
      </c>
      <c r="K787" s="398" t="s">
        <v>956</v>
      </c>
      <c r="L787" s="398" t="s">
        <v>620</v>
      </c>
      <c r="M787" s="86">
        <f>9570-4640</f>
        <v>4930</v>
      </c>
    </row>
    <row r="788" spans="1:13" x14ac:dyDescent="0.25">
      <c r="A788" s="87"/>
      <c r="B788" s="87"/>
      <c r="C788" s="602" t="s">
        <v>9</v>
      </c>
      <c r="D788" s="569">
        <f>SUM(D4:D787)</f>
        <v>17522987</v>
      </c>
      <c r="E788" s="569">
        <f>SUM(E5:E787)</f>
        <v>165385.89000000004</v>
      </c>
      <c r="F788" s="569">
        <f>SUM(F4:F787)</f>
        <v>17522987</v>
      </c>
      <c r="G788" s="603"/>
      <c r="H788" s="24">
        <f>SUM(H1:H40)</f>
        <v>14900000</v>
      </c>
      <c r="I788" s="398"/>
    </row>
    <row r="789" spans="1:13" ht="15.75" x14ac:dyDescent="0.25">
      <c r="A789" s="87"/>
      <c r="B789" s="87"/>
      <c r="C789" s="602" t="s">
        <v>10</v>
      </c>
      <c r="D789" s="601">
        <f>SUM(D788-H788)</f>
        <v>2622987</v>
      </c>
      <c r="E789" s="569"/>
      <c r="F789" s="569" t="s">
        <v>10</v>
      </c>
      <c r="G789" s="601">
        <f>SUM(F788-H788)</f>
        <v>2622987</v>
      </c>
      <c r="H789" s="25"/>
      <c r="I789" s="398"/>
    </row>
    <row r="791" spans="1:13" ht="15.75" thickBot="1" x14ac:dyDescent="0.3"/>
    <row r="792" spans="1:13" x14ac:dyDescent="0.25">
      <c r="C792" s="199"/>
      <c r="D792" s="197" t="s">
        <v>972</v>
      </c>
      <c r="E792" s="179"/>
      <c r="F792" s="179"/>
      <c r="G792" s="75"/>
      <c r="H792" s="76"/>
    </row>
    <row r="793" spans="1:13" ht="15.75" thickBot="1" x14ac:dyDescent="0.3">
      <c r="C793" s="200" t="s">
        <v>423</v>
      </c>
      <c r="D793" s="198"/>
      <c r="E793" s="181" t="s">
        <v>186</v>
      </c>
      <c r="F793" s="181"/>
      <c r="G793" s="183"/>
      <c r="H793" s="184"/>
    </row>
    <row r="794" spans="1:13" x14ac:dyDescent="0.25">
      <c r="C794" s="91" t="s">
        <v>184</v>
      </c>
      <c r="D794" s="90">
        <v>17522987</v>
      </c>
      <c r="E794" s="90" t="s">
        <v>187</v>
      </c>
      <c r="F794" s="90">
        <v>18913467</v>
      </c>
      <c r="G794" s="90" t="s">
        <v>364</v>
      </c>
      <c r="H794" s="187">
        <f>SUM(D794-F794)</f>
        <v>-1390480</v>
      </c>
    </row>
    <row r="795" spans="1:13" x14ac:dyDescent="0.25">
      <c r="C795" s="93" t="s">
        <v>143</v>
      </c>
      <c r="D795" s="42">
        <v>14900000</v>
      </c>
      <c r="E795" s="42" t="s">
        <v>191</v>
      </c>
      <c r="F795" s="42">
        <v>16299999</v>
      </c>
      <c r="G795" s="42" t="s">
        <v>365</v>
      </c>
      <c r="H795" s="187">
        <f>SUM(D795-F795)</f>
        <v>-1399999</v>
      </c>
    </row>
    <row r="796" spans="1:13" ht="18.75" x14ac:dyDescent="0.3">
      <c r="C796" s="189" t="s">
        <v>95</v>
      </c>
      <c r="D796" s="89">
        <f>D794-D795</f>
        <v>2622987</v>
      </c>
      <c r="E796" s="89" t="s">
        <v>95</v>
      </c>
      <c r="F796" s="89">
        <f>F794-F795</f>
        <v>2613468</v>
      </c>
      <c r="G796" s="89" t="s">
        <v>390</v>
      </c>
      <c r="H796" s="201">
        <f>D796-F796</f>
        <v>9519</v>
      </c>
    </row>
    <row r="797" spans="1:13" ht="19.5" thickBot="1" x14ac:dyDescent="0.35">
      <c r="C797" s="202"/>
      <c r="D797" s="203"/>
      <c r="E797" s="204"/>
      <c r="F797" s="204"/>
      <c r="G797" s="204" t="s">
        <v>421</v>
      </c>
      <c r="H797" s="205">
        <v>4640</v>
      </c>
    </row>
    <row r="798" spans="1:13" ht="18.75" thickBot="1" x14ac:dyDescent="0.3">
      <c r="C798" s="206"/>
      <c r="D798" s="207"/>
      <c r="E798" s="208" t="s">
        <v>192</v>
      </c>
      <c r="F798" s="208"/>
      <c r="G798" s="208"/>
      <c r="H798" s="209">
        <f>9519-4640</f>
        <v>4879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2"/>
  <sheetViews>
    <sheetView workbookViewId="0">
      <selection activeCell="F611" sqref="F611"/>
    </sheetView>
  </sheetViews>
  <sheetFormatPr defaultRowHeight="14.25" x14ac:dyDescent="0.2"/>
  <cols>
    <col min="1" max="1" width="5.875" customWidth="1"/>
    <col min="3" max="3" width="15" customWidth="1"/>
    <col min="4" max="4" width="14.75" customWidth="1"/>
    <col min="7" max="7" width="14.75" customWidth="1"/>
    <col min="8" max="8" width="13.625" customWidth="1"/>
    <col min="9" max="9" width="19.75" customWidth="1"/>
    <col min="11" max="11" width="11.25" customWidth="1"/>
    <col min="12" max="12" width="15" customWidth="1"/>
    <col min="13" max="13" width="12.625" customWidth="1"/>
  </cols>
  <sheetData>
    <row r="1" spans="1:18" ht="21" x14ac:dyDescent="0.35">
      <c r="A1" s="510"/>
      <c r="B1" s="510"/>
      <c r="C1" s="557"/>
      <c r="D1" s="565" t="s">
        <v>772</v>
      </c>
      <c r="E1" s="419"/>
      <c r="F1" s="565"/>
      <c r="G1" s="565"/>
      <c r="H1" s="510"/>
      <c r="I1" s="510"/>
      <c r="J1" s="510"/>
      <c r="K1" s="605"/>
      <c r="L1" s="605"/>
      <c r="M1" s="605"/>
      <c r="N1" s="605"/>
      <c r="O1" s="605"/>
      <c r="P1" s="605"/>
      <c r="Q1" s="605"/>
      <c r="R1" s="605"/>
    </row>
    <row r="2" spans="1:18" ht="18" x14ac:dyDescent="0.25">
      <c r="A2" s="510"/>
      <c r="B2" s="510"/>
      <c r="C2" s="557"/>
      <c r="D2" s="566"/>
      <c r="E2" s="421" t="s">
        <v>968</v>
      </c>
      <c r="F2" s="571"/>
      <c r="G2" s="571"/>
      <c r="H2" s="510"/>
      <c r="I2" s="510"/>
      <c r="J2" s="510"/>
      <c r="K2" s="605"/>
      <c r="L2" s="605"/>
      <c r="M2" s="605"/>
      <c r="N2" s="605"/>
      <c r="O2" s="605"/>
      <c r="P2" s="605"/>
      <c r="Q2" s="605"/>
      <c r="R2" s="605"/>
    </row>
    <row r="3" spans="1:18" ht="15.75" x14ac:dyDescent="0.25">
      <c r="A3" s="30" t="s">
        <v>1</v>
      </c>
      <c r="B3" s="30" t="s">
        <v>2</v>
      </c>
      <c r="C3" s="558" t="s">
        <v>97</v>
      </c>
      <c r="D3" s="567" t="s">
        <v>4</v>
      </c>
      <c r="E3" s="110" t="s">
        <v>770</v>
      </c>
      <c r="F3" s="567" t="s">
        <v>5</v>
      </c>
      <c r="G3" s="567" t="s">
        <v>4</v>
      </c>
      <c r="H3" s="30" t="s">
        <v>98</v>
      </c>
      <c r="I3" s="417" t="s">
        <v>8</v>
      </c>
      <c r="J3" s="417" t="s">
        <v>2</v>
      </c>
      <c r="K3" s="605"/>
      <c r="L3" s="605"/>
      <c r="M3" s="605"/>
      <c r="N3" s="605"/>
      <c r="O3" s="605"/>
      <c r="P3" s="605"/>
      <c r="Q3" s="605"/>
      <c r="R3" s="605"/>
    </row>
    <row r="4" spans="1:18" ht="15.75" x14ac:dyDescent="0.25">
      <c r="A4" s="42"/>
      <c r="B4" s="108" t="s">
        <v>962</v>
      </c>
      <c r="C4" s="559" t="s">
        <v>374</v>
      </c>
      <c r="D4" s="568">
        <v>2622987</v>
      </c>
      <c r="E4" s="162"/>
      <c r="F4" s="572"/>
      <c r="G4" s="568">
        <v>2622987</v>
      </c>
      <c r="H4" s="30"/>
      <c r="I4" s="107"/>
      <c r="J4" s="451"/>
      <c r="K4" s="605"/>
      <c r="L4" s="605"/>
      <c r="M4" s="605"/>
      <c r="N4" s="605"/>
      <c r="O4" s="605"/>
      <c r="P4" s="605"/>
      <c r="Q4" s="605"/>
      <c r="R4" s="605"/>
    </row>
    <row r="5" spans="1:18" ht="15.75" x14ac:dyDescent="0.25">
      <c r="A5" s="523">
        <v>1</v>
      </c>
      <c r="B5" s="523" t="s">
        <v>966</v>
      </c>
      <c r="C5" s="553" t="s">
        <v>66</v>
      </c>
      <c r="D5" s="563">
        <v>120</v>
      </c>
      <c r="E5" s="87"/>
      <c r="F5" s="573">
        <v>2.09</v>
      </c>
      <c r="G5" s="573">
        <v>120</v>
      </c>
      <c r="H5" s="87">
        <f t="shared" ref="H5:H68" si="0">D5-G5</f>
        <v>0</v>
      </c>
      <c r="I5" s="509">
        <v>600000</v>
      </c>
      <c r="J5" s="509" t="s">
        <v>966</v>
      </c>
      <c r="K5" s="204" t="s">
        <v>482</v>
      </c>
      <c r="L5" s="204"/>
      <c r="M5" s="204"/>
      <c r="N5" s="605"/>
      <c r="O5" s="605"/>
      <c r="P5" s="605"/>
      <c r="Q5" s="605"/>
      <c r="R5" s="605"/>
    </row>
    <row r="6" spans="1:18" ht="15.75" x14ac:dyDescent="0.25">
      <c r="A6" s="523">
        <v>2</v>
      </c>
      <c r="B6" s="523" t="s">
        <v>966</v>
      </c>
      <c r="C6" s="553">
        <v>3725</v>
      </c>
      <c r="D6" s="563">
        <v>10000</v>
      </c>
      <c r="E6" s="87"/>
      <c r="F6" s="573">
        <v>111</v>
      </c>
      <c r="G6" s="573">
        <v>10000</v>
      </c>
      <c r="H6" s="87">
        <f t="shared" si="0"/>
        <v>0</v>
      </c>
      <c r="I6" s="509">
        <v>800000</v>
      </c>
      <c r="J6" s="509" t="s">
        <v>967</v>
      </c>
      <c r="K6" s="204" t="s">
        <v>482</v>
      </c>
      <c r="L6" s="204"/>
      <c r="M6" s="204"/>
      <c r="N6" s="605"/>
      <c r="O6" s="605"/>
      <c r="P6" s="605"/>
      <c r="Q6" s="605"/>
      <c r="R6" s="605"/>
    </row>
    <row r="7" spans="1:18" ht="15.75" x14ac:dyDescent="0.25">
      <c r="A7" s="523">
        <v>3</v>
      </c>
      <c r="B7" s="523" t="s">
        <v>966</v>
      </c>
      <c r="C7" s="553">
        <v>2973</v>
      </c>
      <c r="D7" s="563">
        <v>14000</v>
      </c>
      <c r="E7" s="87"/>
      <c r="F7" s="573">
        <v>149</v>
      </c>
      <c r="G7" s="573">
        <v>14000</v>
      </c>
      <c r="H7" s="87">
        <f t="shared" si="0"/>
        <v>0</v>
      </c>
      <c r="I7" s="509">
        <v>300000</v>
      </c>
      <c r="J7" s="509" t="s">
        <v>970</v>
      </c>
      <c r="K7" s="204" t="s">
        <v>482</v>
      </c>
      <c r="L7" s="204"/>
      <c r="M7" s="204"/>
      <c r="N7" s="606"/>
      <c r="O7" s="606"/>
      <c r="P7" s="605"/>
      <c r="Q7" s="605"/>
      <c r="R7" s="605"/>
    </row>
    <row r="8" spans="1:18" ht="15.75" x14ac:dyDescent="0.25">
      <c r="A8" s="523">
        <v>4</v>
      </c>
      <c r="B8" s="523" t="s">
        <v>966</v>
      </c>
      <c r="C8" s="553">
        <v>5306</v>
      </c>
      <c r="D8" s="563">
        <v>20000</v>
      </c>
      <c r="E8" s="87"/>
      <c r="F8" s="573">
        <v>213</v>
      </c>
      <c r="G8" s="573">
        <v>20000</v>
      </c>
      <c r="H8" s="87">
        <f t="shared" si="0"/>
        <v>0</v>
      </c>
      <c r="I8" s="509">
        <v>700000</v>
      </c>
      <c r="J8" s="509" t="s">
        <v>973</v>
      </c>
      <c r="K8" s="204" t="s">
        <v>482</v>
      </c>
      <c r="L8" s="204"/>
      <c r="M8" s="204"/>
      <c r="N8" s="606"/>
      <c r="O8" s="606"/>
      <c r="P8" s="605"/>
      <c r="Q8" s="605"/>
      <c r="R8" s="605"/>
    </row>
    <row r="9" spans="1:18" ht="15.75" x14ac:dyDescent="0.25">
      <c r="A9" s="523">
        <v>5</v>
      </c>
      <c r="B9" s="523" t="s">
        <v>966</v>
      </c>
      <c r="C9" s="553">
        <v>4961</v>
      </c>
      <c r="D9" s="563">
        <v>21000</v>
      </c>
      <c r="E9" s="87"/>
      <c r="F9" s="573">
        <v>223</v>
      </c>
      <c r="G9" s="573">
        <v>21000</v>
      </c>
      <c r="H9" s="87">
        <f t="shared" si="0"/>
        <v>0</v>
      </c>
      <c r="I9" s="509">
        <v>1000000</v>
      </c>
      <c r="J9" s="509" t="s">
        <v>974</v>
      </c>
      <c r="K9" s="204" t="s">
        <v>482</v>
      </c>
      <c r="L9" s="204"/>
      <c r="M9" s="204"/>
      <c r="N9" s="606"/>
      <c r="O9" s="606"/>
      <c r="P9" s="605"/>
      <c r="Q9" s="605"/>
      <c r="R9" s="605"/>
    </row>
    <row r="10" spans="1:18" ht="15.75" x14ac:dyDescent="0.25">
      <c r="A10" s="523">
        <v>6</v>
      </c>
      <c r="B10" s="523" t="s">
        <v>966</v>
      </c>
      <c r="C10" s="553" t="s">
        <v>819</v>
      </c>
      <c r="D10" s="563">
        <v>3500</v>
      </c>
      <c r="E10" s="87"/>
      <c r="F10" s="573">
        <v>38</v>
      </c>
      <c r="G10" s="573">
        <v>3500</v>
      </c>
      <c r="H10" s="87">
        <f t="shared" si="0"/>
        <v>0</v>
      </c>
      <c r="I10" s="509">
        <v>700000</v>
      </c>
      <c r="J10" s="509" t="s">
        <v>982</v>
      </c>
      <c r="K10" s="204" t="s">
        <v>482</v>
      </c>
      <c r="L10" s="204"/>
      <c r="M10" s="204"/>
      <c r="N10" s="606"/>
      <c r="O10" s="606"/>
      <c r="P10" s="605"/>
      <c r="Q10" s="605"/>
      <c r="R10" s="605"/>
    </row>
    <row r="11" spans="1:18" ht="15.75" x14ac:dyDescent="0.25">
      <c r="A11" s="523">
        <v>7</v>
      </c>
      <c r="B11" s="523" t="s">
        <v>966</v>
      </c>
      <c r="C11" s="554" t="s">
        <v>30</v>
      </c>
      <c r="D11" s="563">
        <v>10000</v>
      </c>
      <c r="E11" s="87"/>
      <c r="F11" s="573">
        <v>111</v>
      </c>
      <c r="G11" s="573">
        <v>10000</v>
      </c>
      <c r="H11" s="87">
        <f t="shared" si="0"/>
        <v>0</v>
      </c>
      <c r="I11" s="509">
        <v>400000</v>
      </c>
      <c r="J11" s="509" t="s">
        <v>983</v>
      </c>
      <c r="K11" s="204" t="s">
        <v>482</v>
      </c>
      <c r="L11" s="204"/>
      <c r="M11" s="204"/>
      <c r="N11" s="606"/>
      <c r="O11" s="606"/>
      <c r="P11" s="605"/>
      <c r="Q11" s="605"/>
      <c r="R11" s="605"/>
    </row>
    <row r="12" spans="1:18" ht="15.75" x14ac:dyDescent="0.25">
      <c r="A12" s="523">
        <v>8</v>
      </c>
      <c r="B12" s="523" t="s">
        <v>966</v>
      </c>
      <c r="C12" s="553">
        <v>1034</v>
      </c>
      <c r="D12" s="563">
        <v>20000</v>
      </c>
      <c r="E12" s="87"/>
      <c r="F12" s="573">
        <v>222</v>
      </c>
      <c r="G12" s="573">
        <v>20000</v>
      </c>
      <c r="H12" s="87">
        <f t="shared" si="0"/>
        <v>0</v>
      </c>
      <c r="I12" s="509">
        <v>400000</v>
      </c>
      <c r="J12" s="509" t="s">
        <v>984</v>
      </c>
      <c r="K12" s="204" t="s">
        <v>482</v>
      </c>
      <c r="L12" s="204"/>
      <c r="M12" s="204"/>
      <c r="N12" s="606"/>
      <c r="O12" s="606"/>
      <c r="P12" s="605"/>
      <c r="Q12" s="605"/>
      <c r="R12" s="605"/>
    </row>
    <row r="13" spans="1:18" ht="15.75" x14ac:dyDescent="0.25">
      <c r="A13" s="523">
        <v>9</v>
      </c>
      <c r="B13" s="523" t="s">
        <v>966</v>
      </c>
      <c r="C13" s="553" t="s">
        <v>30</v>
      </c>
      <c r="D13" s="563">
        <v>5000</v>
      </c>
      <c r="E13" s="87"/>
      <c r="F13" s="573">
        <v>55</v>
      </c>
      <c r="G13" s="573">
        <v>5000</v>
      </c>
      <c r="H13" s="87">
        <f t="shared" si="0"/>
        <v>0</v>
      </c>
      <c r="I13" s="509">
        <v>600000</v>
      </c>
      <c r="J13" s="525" t="s">
        <v>985</v>
      </c>
      <c r="K13" s="204" t="s">
        <v>482</v>
      </c>
      <c r="L13" s="204"/>
      <c r="M13" s="204"/>
      <c r="N13" s="606"/>
      <c r="O13" s="606"/>
      <c r="P13" s="605"/>
      <c r="Q13" s="605"/>
      <c r="R13" s="605"/>
    </row>
    <row r="14" spans="1:18" ht="15.75" x14ac:dyDescent="0.25">
      <c r="A14" s="523">
        <v>10</v>
      </c>
      <c r="B14" s="523" t="s">
        <v>966</v>
      </c>
      <c r="C14" s="555" t="s">
        <v>30</v>
      </c>
      <c r="D14" s="563">
        <v>1800</v>
      </c>
      <c r="E14" s="87"/>
      <c r="F14" s="573">
        <v>20</v>
      </c>
      <c r="G14" s="573">
        <v>1800</v>
      </c>
      <c r="H14" s="87">
        <f t="shared" si="0"/>
        <v>0</v>
      </c>
      <c r="I14" s="613">
        <v>115000</v>
      </c>
      <c r="J14" s="614" t="s">
        <v>986</v>
      </c>
      <c r="K14" s="615" t="s">
        <v>987</v>
      </c>
      <c r="L14" s="615"/>
      <c r="M14" s="615"/>
      <c r="N14" s="606"/>
      <c r="O14" s="606"/>
      <c r="P14" s="605"/>
      <c r="Q14" s="605"/>
      <c r="R14" s="605"/>
    </row>
    <row r="15" spans="1:18" ht="15.75" x14ac:dyDescent="0.25">
      <c r="A15" s="523">
        <v>11</v>
      </c>
      <c r="B15" s="523" t="s">
        <v>966</v>
      </c>
      <c r="C15" s="555">
        <v>3184</v>
      </c>
      <c r="D15" s="563">
        <v>21000</v>
      </c>
      <c r="E15" s="87"/>
      <c r="F15" s="573">
        <v>233</v>
      </c>
      <c r="G15" s="573">
        <v>21000</v>
      </c>
      <c r="H15" s="87">
        <f t="shared" si="0"/>
        <v>0</v>
      </c>
      <c r="I15" s="613">
        <v>139000</v>
      </c>
      <c r="J15" s="614" t="s">
        <v>986</v>
      </c>
      <c r="K15" s="615" t="s">
        <v>988</v>
      </c>
      <c r="L15" s="615"/>
      <c r="M15" s="615"/>
      <c r="N15" s="606"/>
      <c r="O15" s="606"/>
      <c r="P15" s="605"/>
      <c r="Q15" s="605"/>
      <c r="R15" s="605"/>
    </row>
    <row r="16" spans="1:18" ht="15.75" x14ac:dyDescent="0.25">
      <c r="A16" s="523">
        <v>12</v>
      </c>
      <c r="B16" s="523" t="s">
        <v>966</v>
      </c>
      <c r="C16" s="555">
        <v>2972</v>
      </c>
      <c r="D16" s="563">
        <v>15000</v>
      </c>
      <c r="E16" s="87"/>
      <c r="F16" s="573">
        <v>167</v>
      </c>
      <c r="G16" s="573">
        <v>15000</v>
      </c>
      <c r="H16" s="87">
        <f t="shared" si="0"/>
        <v>0</v>
      </c>
      <c r="I16" s="509">
        <v>1000000</v>
      </c>
      <c r="J16" s="525" t="s">
        <v>986</v>
      </c>
      <c r="K16" s="204" t="s">
        <v>482</v>
      </c>
      <c r="L16" s="204"/>
      <c r="M16" s="204"/>
      <c r="N16" s="606"/>
      <c r="O16" s="606"/>
      <c r="P16" s="605"/>
      <c r="Q16" s="605"/>
      <c r="R16" s="605"/>
    </row>
    <row r="17" spans="1:18" ht="15.75" x14ac:dyDescent="0.25">
      <c r="A17" s="523">
        <v>13</v>
      </c>
      <c r="B17" s="523" t="s">
        <v>966</v>
      </c>
      <c r="C17" s="555">
        <v>6071</v>
      </c>
      <c r="D17" s="563">
        <v>16300</v>
      </c>
      <c r="E17" s="87"/>
      <c r="F17" s="573">
        <v>181</v>
      </c>
      <c r="G17" s="573">
        <v>16300</v>
      </c>
      <c r="H17" s="87">
        <f t="shared" si="0"/>
        <v>0</v>
      </c>
      <c r="I17" s="509">
        <v>800000</v>
      </c>
      <c r="J17" s="525" t="s">
        <v>989</v>
      </c>
      <c r="K17" s="204" t="s">
        <v>482</v>
      </c>
      <c r="L17" s="204"/>
      <c r="M17" s="204"/>
      <c r="N17" s="606"/>
      <c r="O17" s="606"/>
      <c r="P17" s="605"/>
      <c r="Q17" s="605"/>
      <c r="R17" s="605"/>
    </row>
    <row r="18" spans="1:18" ht="15.75" x14ac:dyDescent="0.25">
      <c r="A18" s="523">
        <v>14</v>
      </c>
      <c r="B18" s="523" t="s">
        <v>966</v>
      </c>
      <c r="C18" s="555">
        <v>7171</v>
      </c>
      <c r="D18" s="563">
        <v>19000</v>
      </c>
      <c r="E18" s="87"/>
      <c r="F18" s="573">
        <v>211</v>
      </c>
      <c r="G18" s="573">
        <v>19000</v>
      </c>
      <c r="H18" s="87">
        <f t="shared" si="0"/>
        <v>0</v>
      </c>
      <c r="I18" s="509">
        <v>300000</v>
      </c>
      <c r="J18" s="525" t="s">
        <v>1005</v>
      </c>
      <c r="K18" s="204" t="s">
        <v>482</v>
      </c>
      <c r="L18" s="204"/>
      <c r="M18" s="204"/>
      <c r="N18" s="606"/>
      <c r="O18" s="606"/>
      <c r="P18" s="605"/>
      <c r="Q18" s="605"/>
      <c r="R18" s="605"/>
    </row>
    <row r="19" spans="1:18" ht="15.75" x14ac:dyDescent="0.25">
      <c r="A19" s="523">
        <v>15</v>
      </c>
      <c r="B19" s="523" t="s">
        <v>966</v>
      </c>
      <c r="C19" s="555">
        <v>3848</v>
      </c>
      <c r="D19" s="563">
        <v>18000</v>
      </c>
      <c r="E19" s="87"/>
      <c r="F19" s="573">
        <v>200</v>
      </c>
      <c r="G19" s="573">
        <v>18000</v>
      </c>
      <c r="H19" s="87">
        <f t="shared" si="0"/>
        <v>0</v>
      </c>
      <c r="I19" s="509">
        <v>500000</v>
      </c>
      <c r="J19" s="525" t="s">
        <v>1007</v>
      </c>
      <c r="K19" s="204" t="s">
        <v>482</v>
      </c>
      <c r="L19" s="204"/>
      <c r="M19" s="204"/>
      <c r="N19" s="606"/>
      <c r="O19" s="606"/>
      <c r="P19" s="605"/>
      <c r="Q19" s="605"/>
      <c r="R19" s="605"/>
    </row>
    <row r="20" spans="1:18" ht="15.75" x14ac:dyDescent="0.25">
      <c r="A20" s="523">
        <v>16</v>
      </c>
      <c r="B20" s="523" t="s">
        <v>966</v>
      </c>
      <c r="C20" s="555">
        <v>3436</v>
      </c>
      <c r="D20" s="563">
        <v>19900</v>
      </c>
      <c r="E20" s="87"/>
      <c r="F20" s="573">
        <v>221</v>
      </c>
      <c r="G20" s="573">
        <v>19900</v>
      </c>
      <c r="H20" s="87">
        <f t="shared" si="0"/>
        <v>0</v>
      </c>
      <c r="I20" s="509">
        <v>1000000</v>
      </c>
      <c r="J20" s="525" t="s">
        <v>1009</v>
      </c>
      <c r="K20" s="204" t="s">
        <v>482</v>
      </c>
      <c r="L20" s="204"/>
      <c r="M20" s="204"/>
      <c r="N20" s="606"/>
      <c r="O20" s="606"/>
      <c r="P20" s="605"/>
      <c r="Q20" s="605"/>
      <c r="R20" s="605"/>
    </row>
    <row r="21" spans="1:18" ht="15.75" x14ac:dyDescent="0.25">
      <c r="A21" s="523">
        <v>17</v>
      </c>
      <c r="B21" s="523" t="s">
        <v>966</v>
      </c>
      <c r="C21" s="555">
        <v>9777</v>
      </c>
      <c r="D21" s="563">
        <v>16700</v>
      </c>
      <c r="E21" s="87"/>
      <c r="F21" s="573">
        <v>186</v>
      </c>
      <c r="G21" s="573">
        <v>16700</v>
      </c>
      <c r="H21" s="87">
        <f t="shared" si="0"/>
        <v>0</v>
      </c>
      <c r="I21" s="509">
        <v>300000</v>
      </c>
      <c r="J21" s="525" t="s">
        <v>1011</v>
      </c>
      <c r="K21" s="204" t="s">
        <v>482</v>
      </c>
      <c r="L21" s="204"/>
      <c r="M21" s="204"/>
      <c r="N21" s="606"/>
      <c r="O21" s="606"/>
      <c r="P21" s="605"/>
      <c r="Q21" s="605"/>
      <c r="R21" s="605"/>
    </row>
    <row r="22" spans="1:18" ht="15.75" x14ac:dyDescent="0.25">
      <c r="A22" s="523">
        <v>18</v>
      </c>
      <c r="B22" s="523" t="s">
        <v>966</v>
      </c>
      <c r="C22" s="555">
        <v>2693</v>
      </c>
      <c r="D22" s="563">
        <v>15000</v>
      </c>
      <c r="E22" s="87"/>
      <c r="F22" s="573">
        <v>167</v>
      </c>
      <c r="G22" s="573">
        <v>15000</v>
      </c>
      <c r="H22" s="87">
        <f t="shared" si="0"/>
        <v>0</v>
      </c>
      <c r="I22" s="509">
        <v>300000</v>
      </c>
      <c r="J22" s="525" t="s">
        <v>1012</v>
      </c>
      <c r="K22" s="204" t="s">
        <v>482</v>
      </c>
      <c r="L22" s="204"/>
      <c r="M22" s="204"/>
      <c r="N22" s="606"/>
      <c r="O22" s="606"/>
      <c r="P22" s="605"/>
      <c r="Q22" s="605"/>
      <c r="R22" s="605"/>
    </row>
    <row r="23" spans="1:18" ht="15.75" x14ac:dyDescent="0.25">
      <c r="A23" s="523">
        <v>19</v>
      </c>
      <c r="B23" s="523" t="s">
        <v>966</v>
      </c>
      <c r="C23" s="555">
        <v>6476</v>
      </c>
      <c r="D23" s="563">
        <v>15000</v>
      </c>
      <c r="E23" s="87"/>
      <c r="F23" s="573">
        <v>159</v>
      </c>
      <c r="G23" s="573">
        <v>15000</v>
      </c>
      <c r="H23" s="87">
        <f t="shared" si="0"/>
        <v>0</v>
      </c>
      <c r="I23" s="509">
        <v>600000</v>
      </c>
      <c r="J23" s="525" t="s">
        <v>1013</v>
      </c>
      <c r="K23" s="204" t="s">
        <v>482</v>
      </c>
      <c r="L23" s="204"/>
      <c r="M23" s="204"/>
      <c r="N23" s="606"/>
      <c r="O23" s="606"/>
      <c r="P23" s="605"/>
      <c r="Q23" s="605"/>
      <c r="R23" s="605"/>
    </row>
    <row r="24" spans="1:18" ht="15.75" x14ac:dyDescent="0.25">
      <c r="A24" s="523">
        <v>20</v>
      </c>
      <c r="B24" s="523" t="s">
        <v>966</v>
      </c>
      <c r="C24" s="555">
        <v>9876</v>
      </c>
      <c r="D24" s="563">
        <v>16000</v>
      </c>
      <c r="E24" s="87"/>
      <c r="F24" s="573">
        <v>178</v>
      </c>
      <c r="G24" s="573">
        <v>16000</v>
      </c>
      <c r="H24" s="87">
        <f t="shared" si="0"/>
        <v>0</v>
      </c>
      <c r="I24" s="509">
        <v>400000</v>
      </c>
      <c r="J24" s="525" t="s">
        <v>1018</v>
      </c>
      <c r="K24" s="204" t="s">
        <v>482</v>
      </c>
      <c r="L24" s="204"/>
      <c r="M24" s="204"/>
      <c r="N24" s="606"/>
      <c r="O24" s="606"/>
      <c r="P24" s="605"/>
      <c r="Q24" s="605"/>
      <c r="R24" s="605"/>
    </row>
    <row r="25" spans="1:18" ht="15.75" x14ac:dyDescent="0.25">
      <c r="A25" s="523">
        <v>21</v>
      </c>
      <c r="B25" s="523" t="s">
        <v>966</v>
      </c>
      <c r="C25" s="555">
        <v>5750</v>
      </c>
      <c r="D25" s="563">
        <v>27500</v>
      </c>
      <c r="E25" s="87"/>
      <c r="F25" s="573">
        <v>306</v>
      </c>
      <c r="G25" s="573">
        <v>27500</v>
      </c>
      <c r="H25" s="87">
        <f t="shared" si="0"/>
        <v>0</v>
      </c>
      <c r="I25" s="509">
        <v>200000</v>
      </c>
      <c r="J25" s="525" t="s">
        <v>1020</v>
      </c>
      <c r="K25" s="204" t="s">
        <v>482</v>
      </c>
      <c r="L25" s="204"/>
      <c r="M25" s="204"/>
      <c r="N25" s="606"/>
      <c r="O25" s="606"/>
      <c r="P25" s="605"/>
      <c r="Q25" s="605"/>
      <c r="R25" s="605"/>
    </row>
    <row r="26" spans="1:18" ht="15.75" x14ac:dyDescent="0.25">
      <c r="A26" s="523">
        <v>22</v>
      </c>
      <c r="B26" s="523" t="s">
        <v>966</v>
      </c>
      <c r="C26" s="555">
        <v>7258</v>
      </c>
      <c r="D26" s="563">
        <v>29000</v>
      </c>
      <c r="E26" s="87"/>
      <c r="F26" s="573">
        <v>326</v>
      </c>
      <c r="G26" s="573">
        <v>29000</v>
      </c>
      <c r="H26" s="87">
        <f t="shared" si="0"/>
        <v>0</v>
      </c>
      <c r="I26" s="509">
        <v>200000</v>
      </c>
      <c r="J26" s="525" t="s">
        <v>1022</v>
      </c>
      <c r="K26" s="204" t="s">
        <v>482</v>
      </c>
      <c r="L26" s="204"/>
      <c r="M26" s="204"/>
      <c r="N26" s="606"/>
      <c r="O26" s="606"/>
      <c r="P26" s="605"/>
      <c r="Q26" s="605"/>
      <c r="R26" s="605"/>
    </row>
    <row r="27" spans="1:18" ht="15.75" x14ac:dyDescent="0.25">
      <c r="A27" s="523">
        <v>23</v>
      </c>
      <c r="B27" s="523" t="s">
        <v>966</v>
      </c>
      <c r="C27" s="555">
        <v>2669</v>
      </c>
      <c r="D27" s="563">
        <v>18000</v>
      </c>
      <c r="E27" s="87"/>
      <c r="F27" s="573">
        <v>178</v>
      </c>
      <c r="G27" s="573">
        <v>18000</v>
      </c>
      <c r="H27" s="87">
        <f t="shared" si="0"/>
        <v>0</v>
      </c>
      <c r="I27" s="509">
        <v>300000</v>
      </c>
      <c r="J27" s="525" t="s">
        <v>1023</v>
      </c>
      <c r="K27" s="204" t="s">
        <v>482</v>
      </c>
      <c r="L27" s="204"/>
      <c r="M27" s="204"/>
      <c r="N27" s="606"/>
      <c r="O27" s="606"/>
      <c r="P27" s="605"/>
      <c r="Q27" s="605"/>
      <c r="R27" s="605"/>
    </row>
    <row r="28" spans="1:18" ht="15.75" x14ac:dyDescent="0.25">
      <c r="A28" s="523">
        <v>24</v>
      </c>
      <c r="B28" s="523" t="s">
        <v>966</v>
      </c>
      <c r="C28" s="555">
        <v>5070</v>
      </c>
      <c r="D28" s="563">
        <v>33000</v>
      </c>
      <c r="E28" s="87"/>
      <c r="F28" s="573">
        <v>350</v>
      </c>
      <c r="G28" s="573">
        <v>33000</v>
      </c>
      <c r="H28" s="87">
        <f t="shared" si="0"/>
        <v>0</v>
      </c>
      <c r="I28" s="509">
        <v>400000</v>
      </c>
      <c r="J28" s="525" t="s">
        <v>1026</v>
      </c>
      <c r="K28" s="204" t="s">
        <v>482</v>
      </c>
      <c r="L28" s="204"/>
      <c r="M28" s="204"/>
      <c r="N28" s="606"/>
      <c r="O28" s="606"/>
      <c r="P28" s="605"/>
      <c r="Q28" s="605"/>
      <c r="R28" s="605"/>
    </row>
    <row r="29" spans="1:18" ht="15.75" x14ac:dyDescent="0.25">
      <c r="A29" s="523">
        <v>25</v>
      </c>
      <c r="B29" s="523" t="s">
        <v>966</v>
      </c>
      <c r="C29" s="555">
        <v>6464</v>
      </c>
      <c r="D29" s="563">
        <v>29000</v>
      </c>
      <c r="E29" s="87"/>
      <c r="F29" s="573">
        <v>301</v>
      </c>
      <c r="G29" s="573">
        <v>29000</v>
      </c>
      <c r="H29" s="87">
        <f t="shared" si="0"/>
        <v>0</v>
      </c>
      <c r="I29" s="509"/>
      <c r="J29" s="525"/>
      <c r="K29" s="204"/>
      <c r="L29" s="204"/>
      <c r="M29" s="204"/>
      <c r="N29" s="605"/>
      <c r="O29" s="605"/>
      <c r="P29" s="605"/>
      <c r="Q29" s="605"/>
      <c r="R29" s="605"/>
    </row>
    <row r="30" spans="1:18" ht="15.75" x14ac:dyDescent="0.25">
      <c r="A30" s="523">
        <v>26</v>
      </c>
      <c r="B30" s="523" t="s">
        <v>966</v>
      </c>
      <c r="C30" s="555">
        <v>3451</v>
      </c>
      <c r="D30" s="563">
        <v>10000</v>
      </c>
      <c r="E30" s="87"/>
      <c r="F30" s="573">
        <v>111</v>
      </c>
      <c r="G30" s="573">
        <v>10000</v>
      </c>
      <c r="H30" s="87">
        <f t="shared" si="0"/>
        <v>0</v>
      </c>
      <c r="I30" s="509"/>
      <c r="J30" s="525"/>
      <c r="K30" s="605"/>
      <c r="L30" s="605"/>
      <c r="M30" s="605"/>
      <c r="N30" s="605"/>
      <c r="O30" s="605"/>
      <c r="P30" s="605"/>
      <c r="Q30" s="605"/>
      <c r="R30" s="605"/>
    </row>
    <row r="31" spans="1:18" ht="15.75" x14ac:dyDescent="0.25">
      <c r="A31" s="523">
        <v>27</v>
      </c>
      <c r="B31" s="523" t="s">
        <v>966</v>
      </c>
      <c r="C31" s="555">
        <v>3585</v>
      </c>
      <c r="D31" s="563">
        <v>23000</v>
      </c>
      <c r="E31" s="87"/>
      <c r="F31" s="573">
        <v>256</v>
      </c>
      <c r="G31" s="573">
        <v>23000</v>
      </c>
      <c r="H31" s="87">
        <f t="shared" si="0"/>
        <v>0</v>
      </c>
      <c r="I31" s="509"/>
      <c r="J31" s="525"/>
      <c r="K31" s="605"/>
      <c r="L31" s="605"/>
      <c r="M31" s="605"/>
      <c r="N31" s="605"/>
      <c r="O31" s="605"/>
      <c r="P31" s="605"/>
      <c r="Q31" s="605"/>
      <c r="R31" s="605"/>
    </row>
    <row r="32" spans="1:18" ht="15.75" x14ac:dyDescent="0.25">
      <c r="A32" s="523">
        <v>28</v>
      </c>
      <c r="B32" s="523" t="s">
        <v>966</v>
      </c>
      <c r="C32" s="607" t="s">
        <v>969</v>
      </c>
      <c r="D32" s="563">
        <v>24000</v>
      </c>
      <c r="E32" s="87"/>
      <c r="F32" s="573">
        <v>241</v>
      </c>
      <c r="G32" s="573">
        <v>24000</v>
      </c>
      <c r="H32" s="87">
        <f t="shared" si="0"/>
        <v>0</v>
      </c>
      <c r="I32" s="509"/>
      <c r="J32" s="525"/>
      <c r="K32" s="605"/>
      <c r="L32" s="605"/>
      <c r="M32" s="605"/>
      <c r="N32" s="605"/>
      <c r="O32" s="605"/>
      <c r="P32" s="605"/>
      <c r="Q32" s="605"/>
      <c r="R32" s="605"/>
    </row>
    <row r="33" spans="1:18" ht="15.75" x14ac:dyDescent="0.25">
      <c r="A33" s="523">
        <v>29</v>
      </c>
      <c r="B33" s="523" t="s">
        <v>966</v>
      </c>
      <c r="C33" s="555">
        <v>4392</v>
      </c>
      <c r="D33" s="563">
        <v>11000</v>
      </c>
      <c r="E33" s="87"/>
      <c r="F33" s="573">
        <v>122</v>
      </c>
      <c r="G33" s="573">
        <v>11000</v>
      </c>
      <c r="H33" s="87">
        <f t="shared" si="0"/>
        <v>0</v>
      </c>
      <c r="I33" s="509"/>
      <c r="J33" s="525"/>
      <c r="K33" s="605"/>
      <c r="L33" s="605"/>
      <c r="M33" s="605"/>
      <c r="N33" s="605"/>
      <c r="O33" s="605"/>
      <c r="P33" s="605"/>
      <c r="Q33" s="605"/>
      <c r="R33" s="605"/>
    </row>
    <row r="34" spans="1:18" ht="15.75" x14ac:dyDescent="0.25">
      <c r="A34" s="523">
        <v>30</v>
      </c>
      <c r="B34" s="523" t="s">
        <v>966</v>
      </c>
      <c r="C34" s="555">
        <v>6317</v>
      </c>
      <c r="D34" s="563">
        <v>24000</v>
      </c>
      <c r="E34" s="87"/>
      <c r="F34" s="573">
        <v>267</v>
      </c>
      <c r="G34" s="573">
        <v>24000</v>
      </c>
      <c r="H34" s="87">
        <f t="shared" si="0"/>
        <v>0</v>
      </c>
      <c r="I34" s="509"/>
      <c r="J34" s="525"/>
      <c r="K34" s="605"/>
      <c r="L34" s="605"/>
      <c r="M34" s="605"/>
      <c r="N34" s="605"/>
      <c r="O34" s="605"/>
      <c r="P34" s="605"/>
      <c r="Q34" s="605"/>
      <c r="R34" s="605"/>
    </row>
    <row r="35" spans="1:18" ht="15.75" x14ac:dyDescent="0.25">
      <c r="A35" s="523">
        <v>31</v>
      </c>
      <c r="B35" s="523" t="s">
        <v>966</v>
      </c>
      <c r="C35" s="555">
        <v>7744</v>
      </c>
      <c r="D35" s="563">
        <v>13000</v>
      </c>
      <c r="E35" s="87"/>
      <c r="F35" s="573">
        <v>144</v>
      </c>
      <c r="G35" s="573">
        <v>13000</v>
      </c>
      <c r="H35" s="87">
        <f t="shared" si="0"/>
        <v>0</v>
      </c>
      <c r="I35" s="509"/>
      <c r="J35" s="525"/>
      <c r="K35" s="605"/>
      <c r="L35" s="605"/>
      <c r="M35" s="605"/>
      <c r="N35" s="605"/>
      <c r="O35" s="605"/>
      <c r="P35" s="605"/>
      <c r="Q35" s="605"/>
      <c r="R35" s="605"/>
    </row>
    <row r="36" spans="1:18" ht="15.75" x14ac:dyDescent="0.25">
      <c r="A36" s="523">
        <v>32</v>
      </c>
      <c r="B36" s="523" t="s">
        <v>966</v>
      </c>
      <c r="C36" s="555">
        <v>1343</v>
      </c>
      <c r="D36" s="563">
        <v>32000</v>
      </c>
      <c r="E36" s="87"/>
      <c r="F36" s="573">
        <v>356</v>
      </c>
      <c r="G36" s="573">
        <v>32000</v>
      </c>
      <c r="H36" s="87">
        <f t="shared" si="0"/>
        <v>0</v>
      </c>
      <c r="I36" s="509"/>
      <c r="J36" s="525"/>
      <c r="K36" s="605"/>
      <c r="L36" s="605"/>
      <c r="M36" s="605"/>
      <c r="N36" s="605"/>
      <c r="O36" s="605"/>
      <c r="P36" s="605"/>
      <c r="Q36" s="605"/>
      <c r="R36" s="605"/>
    </row>
    <row r="37" spans="1:18" ht="15.75" x14ac:dyDescent="0.25">
      <c r="A37" s="523">
        <v>33</v>
      </c>
      <c r="B37" s="523" t="s">
        <v>966</v>
      </c>
      <c r="C37" s="555">
        <v>2774</v>
      </c>
      <c r="D37" s="563">
        <v>23000</v>
      </c>
      <c r="E37" s="87"/>
      <c r="F37" s="573">
        <v>256</v>
      </c>
      <c r="G37" s="573">
        <v>23000</v>
      </c>
      <c r="H37" s="87">
        <f t="shared" si="0"/>
        <v>0</v>
      </c>
      <c r="I37" s="509"/>
      <c r="J37" s="525"/>
      <c r="K37" s="605"/>
      <c r="L37" s="605"/>
      <c r="M37" s="605"/>
      <c r="N37" s="605"/>
      <c r="O37" s="605"/>
      <c r="P37" s="605"/>
      <c r="Q37" s="605"/>
      <c r="R37" s="605"/>
    </row>
    <row r="38" spans="1:18" ht="15.75" x14ac:dyDescent="0.25">
      <c r="A38" s="523">
        <v>34</v>
      </c>
      <c r="B38" s="523" t="s">
        <v>966</v>
      </c>
      <c r="C38" s="555">
        <v>3595</v>
      </c>
      <c r="D38" s="563">
        <v>15000</v>
      </c>
      <c r="E38" s="87"/>
      <c r="F38" s="573">
        <v>155</v>
      </c>
      <c r="G38" s="573">
        <v>15000</v>
      </c>
      <c r="H38" s="87">
        <f t="shared" si="0"/>
        <v>0</v>
      </c>
      <c r="I38" s="509"/>
      <c r="J38" s="525"/>
      <c r="K38" s="605"/>
      <c r="L38" s="605"/>
      <c r="M38" s="605"/>
      <c r="N38" s="605"/>
      <c r="O38" s="605"/>
      <c r="P38" s="605"/>
      <c r="Q38" s="605"/>
      <c r="R38" s="605"/>
    </row>
    <row r="39" spans="1:18" ht="15.75" x14ac:dyDescent="0.25">
      <c r="A39" s="523">
        <v>35</v>
      </c>
      <c r="B39" s="523" t="s">
        <v>966</v>
      </c>
      <c r="C39" s="607" t="s">
        <v>959</v>
      </c>
      <c r="D39" s="563">
        <v>23000</v>
      </c>
      <c r="E39" s="87"/>
      <c r="F39" s="573">
        <v>256</v>
      </c>
      <c r="G39" s="573">
        <v>23000</v>
      </c>
      <c r="H39" s="87">
        <f t="shared" si="0"/>
        <v>0</v>
      </c>
      <c r="I39" s="509"/>
      <c r="J39" s="525"/>
      <c r="K39" s="605"/>
      <c r="L39" s="605"/>
      <c r="M39" s="605"/>
      <c r="N39" s="605"/>
      <c r="O39" s="605"/>
      <c r="P39" s="605"/>
      <c r="Q39" s="605"/>
      <c r="R39" s="605"/>
    </row>
    <row r="40" spans="1:18" ht="15.75" x14ac:dyDescent="0.25">
      <c r="A40" s="523">
        <v>36</v>
      </c>
      <c r="B40" s="523" t="s">
        <v>966</v>
      </c>
      <c r="C40" s="555">
        <v>9318</v>
      </c>
      <c r="D40" s="563">
        <v>25000</v>
      </c>
      <c r="E40" s="87"/>
      <c r="F40" s="573">
        <v>278</v>
      </c>
      <c r="G40" s="573">
        <v>25000</v>
      </c>
      <c r="H40" s="87">
        <f t="shared" si="0"/>
        <v>0</v>
      </c>
      <c r="I40" s="509"/>
      <c r="J40" s="525"/>
      <c r="K40" s="605"/>
      <c r="L40" s="605"/>
      <c r="M40" s="605"/>
      <c r="N40" s="605"/>
      <c r="O40" s="605"/>
      <c r="P40" s="605"/>
      <c r="Q40" s="605"/>
      <c r="R40" s="605"/>
    </row>
    <row r="41" spans="1:18" ht="15.75" x14ac:dyDescent="0.25">
      <c r="A41" s="523">
        <v>37</v>
      </c>
      <c r="B41" s="523" t="s">
        <v>966</v>
      </c>
      <c r="C41" s="555">
        <v>9034</v>
      </c>
      <c r="D41" s="563">
        <v>30000</v>
      </c>
      <c r="E41" s="87"/>
      <c r="F41" s="573">
        <v>334</v>
      </c>
      <c r="G41" s="573">
        <v>30000</v>
      </c>
      <c r="H41" s="87">
        <f t="shared" si="0"/>
        <v>0</v>
      </c>
      <c r="I41" s="509"/>
      <c r="J41" s="525"/>
      <c r="K41" s="605"/>
      <c r="L41" s="605"/>
      <c r="M41" s="605"/>
      <c r="N41" s="605"/>
      <c r="O41" s="605"/>
      <c r="P41" s="605"/>
      <c r="Q41" s="605"/>
      <c r="R41" s="605"/>
    </row>
    <row r="42" spans="1:18" s="606" customFormat="1" ht="15.75" x14ac:dyDescent="0.25">
      <c r="A42" s="523">
        <v>38</v>
      </c>
      <c r="B42" s="523" t="s">
        <v>967</v>
      </c>
      <c r="C42" s="555">
        <v>4204</v>
      </c>
      <c r="D42" s="563">
        <v>14000</v>
      </c>
      <c r="E42" s="87"/>
      <c r="F42" s="573">
        <v>155</v>
      </c>
      <c r="G42" s="573">
        <v>14000</v>
      </c>
      <c r="H42" s="87">
        <f t="shared" si="0"/>
        <v>0</v>
      </c>
      <c r="I42" s="509"/>
      <c r="J42" s="525"/>
    </row>
    <row r="43" spans="1:18" s="606" customFormat="1" ht="15.75" x14ac:dyDescent="0.25">
      <c r="A43" s="523">
        <v>39</v>
      </c>
      <c r="B43" s="523" t="s">
        <v>967</v>
      </c>
      <c r="C43" s="555">
        <v>2497</v>
      </c>
      <c r="D43" s="563">
        <v>18000</v>
      </c>
      <c r="E43" s="87"/>
      <c r="F43" s="573">
        <v>200</v>
      </c>
      <c r="G43" s="573">
        <v>18000</v>
      </c>
      <c r="H43" s="87">
        <f t="shared" si="0"/>
        <v>0</v>
      </c>
      <c r="I43" s="509"/>
      <c r="J43" s="525"/>
    </row>
    <row r="44" spans="1:18" s="606" customFormat="1" ht="15.75" x14ac:dyDescent="0.25">
      <c r="A44" s="523">
        <v>40</v>
      </c>
      <c r="B44" s="523" t="s">
        <v>967</v>
      </c>
      <c r="C44" s="555">
        <v>4229</v>
      </c>
      <c r="D44" s="563">
        <v>15000</v>
      </c>
      <c r="E44" s="87"/>
      <c r="F44" s="573">
        <v>167</v>
      </c>
      <c r="G44" s="573">
        <v>15000</v>
      </c>
      <c r="H44" s="87">
        <f t="shared" si="0"/>
        <v>0</v>
      </c>
      <c r="I44" s="509"/>
      <c r="J44" s="525"/>
    </row>
    <row r="45" spans="1:18" s="606" customFormat="1" ht="15.75" x14ac:dyDescent="0.25">
      <c r="A45" s="523">
        <v>41</v>
      </c>
      <c r="B45" s="523" t="s">
        <v>967</v>
      </c>
      <c r="C45" s="555">
        <v>3665</v>
      </c>
      <c r="D45" s="563">
        <v>18000</v>
      </c>
      <c r="E45" s="87"/>
      <c r="F45" s="573">
        <v>200</v>
      </c>
      <c r="G45" s="573">
        <v>18000</v>
      </c>
      <c r="H45" s="87">
        <f t="shared" si="0"/>
        <v>0</v>
      </c>
      <c r="I45" s="509"/>
      <c r="J45" s="525"/>
    </row>
    <row r="46" spans="1:18" s="606" customFormat="1" ht="15.75" x14ac:dyDescent="0.25">
      <c r="A46" s="523">
        <v>42</v>
      </c>
      <c r="B46" s="523" t="s">
        <v>967</v>
      </c>
      <c r="C46" s="555">
        <v>6644</v>
      </c>
      <c r="D46" s="563">
        <v>14500</v>
      </c>
      <c r="E46" s="87"/>
      <c r="F46" s="573">
        <v>139</v>
      </c>
      <c r="G46" s="573">
        <v>14500</v>
      </c>
      <c r="H46" s="87">
        <f t="shared" si="0"/>
        <v>0</v>
      </c>
      <c r="I46" s="509"/>
      <c r="J46" s="525"/>
    </row>
    <row r="47" spans="1:18" s="606" customFormat="1" ht="15.75" x14ac:dyDescent="0.25">
      <c r="A47" s="523">
        <v>43</v>
      </c>
      <c r="B47" s="523" t="s">
        <v>967</v>
      </c>
      <c r="C47" s="555">
        <v>3659</v>
      </c>
      <c r="D47" s="563">
        <v>22000</v>
      </c>
      <c r="E47" s="87"/>
      <c r="F47" s="573">
        <v>245</v>
      </c>
      <c r="G47" s="573">
        <v>22000</v>
      </c>
      <c r="H47" s="87">
        <f t="shared" si="0"/>
        <v>0</v>
      </c>
      <c r="I47" s="509"/>
      <c r="J47" s="525"/>
    </row>
    <row r="48" spans="1:18" s="606" customFormat="1" ht="15.75" x14ac:dyDescent="0.25">
      <c r="A48" s="523">
        <v>44</v>
      </c>
      <c r="B48" s="523" t="s">
        <v>967</v>
      </c>
      <c r="C48" s="555" t="s">
        <v>30</v>
      </c>
      <c r="D48" s="563">
        <v>4500</v>
      </c>
      <c r="E48" s="87"/>
      <c r="F48" s="573">
        <v>50</v>
      </c>
      <c r="G48" s="573">
        <v>4500</v>
      </c>
      <c r="H48" s="87">
        <f t="shared" si="0"/>
        <v>0</v>
      </c>
      <c r="I48" s="509"/>
      <c r="J48" s="525"/>
    </row>
    <row r="49" spans="1:10" s="606" customFormat="1" ht="15.75" x14ac:dyDescent="0.25">
      <c r="A49" s="523">
        <v>45</v>
      </c>
      <c r="B49" s="523" t="s">
        <v>967</v>
      </c>
      <c r="C49" s="555">
        <v>5921</v>
      </c>
      <c r="D49" s="563">
        <v>27000</v>
      </c>
      <c r="E49" s="87"/>
      <c r="F49" s="573">
        <v>287</v>
      </c>
      <c r="G49" s="573">
        <v>27000</v>
      </c>
      <c r="H49" s="87">
        <f t="shared" si="0"/>
        <v>0</v>
      </c>
      <c r="I49" s="509"/>
      <c r="J49" s="525"/>
    </row>
    <row r="50" spans="1:10" s="606" customFormat="1" ht="15.75" x14ac:dyDescent="0.25">
      <c r="A50" s="523">
        <v>46</v>
      </c>
      <c r="B50" s="523" t="s">
        <v>967</v>
      </c>
      <c r="C50" s="555">
        <v>8484</v>
      </c>
      <c r="D50" s="563">
        <v>15000</v>
      </c>
      <c r="E50" s="87"/>
      <c r="F50" s="573">
        <v>159</v>
      </c>
      <c r="G50" s="573">
        <v>15000</v>
      </c>
      <c r="H50" s="87">
        <f t="shared" si="0"/>
        <v>0</v>
      </c>
      <c r="I50" s="509"/>
      <c r="J50" s="525"/>
    </row>
    <row r="51" spans="1:10" s="606" customFormat="1" ht="15.75" x14ac:dyDescent="0.25">
      <c r="A51" s="523">
        <v>47</v>
      </c>
      <c r="B51" s="523" t="s">
        <v>967</v>
      </c>
      <c r="C51" s="555" t="s">
        <v>30</v>
      </c>
      <c r="D51" s="563">
        <v>4000</v>
      </c>
      <c r="E51" s="87"/>
      <c r="F51" s="573">
        <v>45</v>
      </c>
      <c r="G51" s="573">
        <v>4000</v>
      </c>
      <c r="H51" s="87">
        <f t="shared" si="0"/>
        <v>0</v>
      </c>
      <c r="I51" s="509"/>
      <c r="J51" s="525"/>
    </row>
    <row r="52" spans="1:10" s="606" customFormat="1" ht="15.75" x14ac:dyDescent="0.25">
      <c r="A52" s="523">
        <v>48</v>
      </c>
      <c r="B52" s="523" t="s">
        <v>967</v>
      </c>
      <c r="C52" s="555">
        <v>6671</v>
      </c>
      <c r="D52" s="563">
        <v>22000</v>
      </c>
      <c r="E52" s="87"/>
      <c r="F52" s="573">
        <v>245</v>
      </c>
      <c r="G52" s="573">
        <v>22000</v>
      </c>
      <c r="H52" s="87">
        <f t="shared" si="0"/>
        <v>0</v>
      </c>
      <c r="I52" s="509"/>
      <c r="J52" s="525"/>
    </row>
    <row r="53" spans="1:10" s="606" customFormat="1" ht="15.75" x14ac:dyDescent="0.25">
      <c r="A53" s="523">
        <v>49</v>
      </c>
      <c r="B53" s="523" t="s">
        <v>967</v>
      </c>
      <c r="C53" s="555">
        <v>2689</v>
      </c>
      <c r="D53" s="563">
        <v>17000</v>
      </c>
      <c r="E53" s="87"/>
      <c r="F53" s="573">
        <v>189</v>
      </c>
      <c r="G53" s="573">
        <v>17000</v>
      </c>
      <c r="H53" s="87">
        <f t="shared" si="0"/>
        <v>0</v>
      </c>
      <c r="I53" s="509"/>
      <c r="J53" s="525"/>
    </row>
    <row r="54" spans="1:10" s="606" customFormat="1" ht="15.75" x14ac:dyDescent="0.25">
      <c r="A54" s="523">
        <v>50</v>
      </c>
      <c r="B54" s="523" t="s">
        <v>967</v>
      </c>
      <c r="C54" s="555">
        <v>6671</v>
      </c>
      <c r="D54" s="563">
        <v>21700</v>
      </c>
      <c r="E54" s="87"/>
      <c r="F54" s="573">
        <v>241</v>
      </c>
      <c r="G54" s="573">
        <v>21700</v>
      </c>
      <c r="H54" s="87">
        <f t="shared" si="0"/>
        <v>0</v>
      </c>
      <c r="I54" s="509"/>
      <c r="J54" s="525"/>
    </row>
    <row r="55" spans="1:10" s="606" customFormat="1" ht="15.75" x14ac:dyDescent="0.25">
      <c r="A55" s="523">
        <v>51</v>
      </c>
      <c r="B55" s="523" t="s">
        <v>967</v>
      </c>
      <c r="C55" s="555">
        <v>6871</v>
      </c>
      <c r="D55" s="563">
        <v>21200</v>
      </c>
      <c r="E55" s="87"/>
      <c r="F55" s="573">
        <v>236</v>
      </c>
      <c r="G55" s="573">
        <v>21200</v>
      </c>
      <c r="H55" s="87">
        <f t="shared" si="0"/>
        <v>0</v>
      </c>
      <c r="I55" s="509"/>
      <c r="J55" s="525"/>
    </row>
    <row r="56" spans="1:10" s="606" customFormat="1" ht="15.75" x14ac:dyDescent="0.25">
      <c r="A56" s="523">
        <v>52</v>
      </c>
      <c r="B56" s="523" t="s">
        <v>967</v>
      </c>
      <c r="C56" s="555">
        <v>1677</v>
      </c>
      <c r="D56" s="563">
        <v>23000</v>
      </c>
      <c r="E56" s="87"/>
      <c r="F56" s="573">
        <v>256</v>
      </c>
      <c r="G56" s="573">
        <v>23000</v>
      </c>
      <c r="H56" s="87">
        <f t="shared" si="0"/>
        <v>0</v>
      </c>
      <c r="I56" s="509"/>
      <c r="J56" s="525"/>
    </row>
    <row r="57" spans="1:10" s="606" customFormat="1" ht="15.75" x14ac:dyDescent="0.25">
      <c r="A57" s="523">
        <v>53</v>
      </c>
      <c r="B57" s="523" t="s">
        <v>967</v>
      </c>
      <c r="C57" s="555">
        <v>7411</v>
      </c>
      <c r="D57" s="563">
        <v>23400</v>
      </c>
      <c r="E57" s="87"/>
      <c r="F57" s="573">
        <v>260</v>
      </c>
      <c r="G57" s="573">
        <v>23400</v>
      </c>
      <c r="H57" s="87">
        <f t="shared" si="0"/>
        <v>0</v>
      </c>
      <c r="I57" s="509"/>
      <c r="J57" s="525"/>
    </row>
    <row r="58" spans="1:10" s="606" customFormat="1" ht="15.75" x14ac:dyDescent="0.25">
      <c r="A58" s="523">
        <v>54</v>
      </c>
      <c r="B58" s="523" t="s">
        <v>967</v>
      </c>
      <c r="C58" s="555">
        <v>4474</v>
      </c>
      <c r="D58" s="563">
        <v>18000</v>
      </c>
      <c r="E58" s="87"/>
      <c r="F58" s="573">
        <v>200</v>
      </c>
      <c r="G58" s="573">
        <v>18000</v>
      </c>
      <c r="H58" s="87">
        <f t="shared" si="0"/>
        <v>0</v>
      </c>
      <c r="I58" s="509"/>
      <c r="J58" s="525"/>
    </row>
    <row r="59" spans="1:10" s="606" customFormat="1" ht="15.75" x14ac:dyDescent="0.25">
      <c r="A59" s="523">
        <v>55</v>
      </c>
      <c r="B59" s="523" t="s">
        <v>967</v>
      </c>
      <c r="C59" s="555">
        <v>2498</v>
      </c>
      <c r="D59" s="563">
        <v>21000</v>
      </c>
      <c r="E59" s="87"/>
      <c r="F59" s="573">
        <v>233</v>
      </c>
      <c r="G59" s="573">
        <v>21000</v>
      </c>
      <c r="H59" s="87">
        <f t="shared" si="0"/>
        <v>0</v>
      </c>
      <c r="I59" s="509"/>
      <c r="J59" s="525"/>
    </row>
    <row r="60" spans="1:10" s="606" customFormat="1" ht="15.75" x14ac:dyDescent="0.25">
      <c r="A60" s="523">
        <v>56</v>
      </c>
      <c r="B60" s="523" t="s">
        <v>967</v>
      </c>
      <c r="C60" s="555">
        <v>2004</v>
      </c>
      <c r="D60" s="563">
        <v>19000</v>
      </c>
      <c r="E60" s="87"/>
      <c r="F60" s="573">
        <v>196</v>
      </c>
      <c r="G60" s="573">
        <v>19000</v>
      </c>
      <c r="H60" s="87">
        <f t="shared" si="0"/>
        <v>0</v>
      </c>
      <c r="I60" s="509"/>
      <c r="J60" s="525"/>
    </row>
    <row r="61" spans="1:10" s="606" customFormat="1" ht="15.75" x14ac:dyDescent="0.25">
      <c r="A61" s="523">
        <v>57</v>
      </c>
      <c r="B61" s="523" t="s">
        <v>967</v>
      </c>
      <c r="C61" s="555">
        <v>8986</v>
      </c>
      <c r="D61" s="563">
        <v>22000</v>
      </c>
      <c r="E61" s="87"/>
      <c r="F61" s="573">
        <v>245</v>
      </c>
      <c r="G61" s="573">
        <v>22000</v>
      </c>
      <c r="H61" s="87">
        <f t="shared" si="0"/>
        <v>0</v>
      </c>
      <c r="I61" s="509"/>
      <c r="J61" s="525"/>
    </row>
    <row r="62" spans="1:10" s="606" customFormat="1" ht="15.75" x14ac:dyDescent="0.25">
      <c r="A62" s="523">
        <v>58</v>
      </c>
      <c r="B62" s="523" t="s">
        <v>967</v>
      </c>
      <c r="C62" s="555">
        <v>3415</v>
      </c>
      <c r="D62" s="563">
        <v>20000</v>
      </c>
      <c r="E62" s="87"/>
      <c r="F62" s="573">
        <v>213</v>
      </c>
      <c r="G62" s="573">
        <v>20000</v>
      </c>
      <c r="H62" s="87">
        <f t="shared" si="0"/>
        <v>0</v>
      </c>
      <c r="I62" s="509"/>
      <c r="J62" s="525"/>
    </row>
    <row r="63" spans="1:10" s="606" customFormat="1" ht="15.75" x14ac:dyDescent="0.25">
      <c r="A63" s="523">
        <v>59</v>
      </c>
      <c r="B63" s="523" t="s">
        <v>967</v>
      </c>
      <c r="C63" s="555">
        <v>2333</v>
      </c>
      <c r="D63" s="563">
        <v>30000</v>
      </c>
      <c r="E63" s="87"/>
      <c r="F63" s="573">
        <v>319</v>
      </c>
      <c r="G63" s="573">
        <v>30000</v>
      </c>
      <c r="H63" s="87">
        <f t="shared" si="0"/>
        <v>0</v>
      </c>
      <c r="I63" s="509"/>
      <c r="J63" s="525"/>
    </row>
    <row r="64" spans="1:10" s="606" customFormat="1" ht="15.75" x14ac:dyDescent="0.25">
      <c r="A64" s="523">
        <v>60</v>
      </c>
      <c r="B64" s="523" t="s">
        <v>967</v>
      </c>
      <c r="C64" s="555">
        <v>4851</v>
      </c>
      <c r="D64" s="563">
        <v>21000</v>
      </c>
      <c r="E64" s="87"/>
      <c r="F64" s="573">
        <v>223</v>
      </c>
      <c r="G64" s="573">
        <v>21000</v>
      </c>
      <c r="H64" s="87">
        <f t="shared" si="0"/>
        <v>0</v>
      </c>
      <c r="I64" s="509"/>
      <c r="J64" s="525"/>
    </row>
    <row r="65" spans="1:14" s="606" customFormat="1" ht="15.75" x14ac:dyDescent="0.25">
      <c r="A65" s="523">
        <v>61</v>
      </c>
      <c r="B65" s="523" t="s">
        <v>967</v>
      </c>
      <c r="C65" s="555">
        <v>7099</v>
      </c>
      <c r="D65" s="563">
        <v>28000</v>
      </c>
      <c r="E65" s="87"/>
      <c r="F65" s="573">
        <v>238</v>
      </c>
      <c r="G65" s="573">
        <v>28000</v>
      </c>
      <c r="H65" s="87">
        <f t="shared" si="0"/>
        <v>0</v>
      </c>
      <c r="I65" s="509"/>
      <c r="J65" s="525"/>
      <c r="K65" s="398">
        <f>2049107-2039537</f>
        <v>9570</v>
      </c>
      <c r="L65" s="398" t="s">
        <v>956</v>
      </c>
      <c r="M65" s="398" t="s">
        <v>620</v>
      </c>
      <c r="N65" s="86">
        <f>9570-4640</f>
        <v>4930</v>
      </c>
    </row>
    <row r="66" spans="1:14" s="608" customFormat="1" ht="15.75" x14ac:dyDescent="0.25">
      <c r="A66" s="523">
        <v>62</v>
      </c>
      <c r="B66" s="523" t="s">
        <v>970</v>
      </c>
      <c r="C66" s="555">
        <v>2744</v>
      </c>
      <c r="D66" s="563">
        <v>30000</v>
      </c>
      <c r="E66" s="87"/>
      <c r="F66" s="573">
        <v>330</v>
      </c>
      <c r="G66" s="573">
        <v>30000</v>
      </c>
      <c r="H66" s="87">
        <f t="shared" si="0"/>
        <v>0</v>
      </c>
      <c r="I66" s="509"/>
      <c r="J66" s="525"/>
      <c r="K66" s="398"/>
      <c r="L66" s="398"/>
      <c r="M66" s="398"/>
      <c r="N66" s="86"/>
    </row>
    <row r="67" spans="1:14" s="608" customFormat="1" ht="15.75" x14ac:dyDescent="0.25">
      <c r="A67" s="523">
        <v>63</v>
      </c>
      <c r="B67" s="523" t="s">
        <v>970</v>
      </c>
      <c r="C67" s="555">
        <v>5152</v>
      </c>
      <c r="D67" s="563">
        <v>10000</v>
      </c>
      <c r="E67" s="87"/>
      <c r="F67" s="573">
        <v>111</v>
      </c>
      <c r="G67" s="573">
        <v>10000</v>
      </c>
      <c r="H67" s="87">
        <f t="shared" si="0"/>
        <v>0</v>
      </c>
      <c r="I67" s="509"/>
      <c r="J67" s="525"/>
      <c r="K67" s="398"/>
      <c r="L67" s="398"/>
      <c r="M67" s="398"/>
      <c r="N67" s="86"/>
    </row>
    <row r="68" spans="1:14" s="608" customFormat="1" ht="15.75" x14ac:dyDescent="0.25">
      <c r="A68" s="523">
        <v>64</v>
      </c>
      <c r="B68" s="523" t="s">
        <v>970</v>
      </c>
      <c r="C68" s="607" t="s">
        <v>890</v>
      </c>
      <c r="D68" s="563">
        <v>14000</v>
      </c>
      <c r="E68" s="87"/>
      <c r="F68" s="573">
        <v>155</v>
      </c>
      <c r="G68" s="573">
        <v>14000</v>
      </c>
      <c r="H68" s="87">
        <f t="shared" si="0"/>
        <v>0</v>
      </c>
      <c r="I68" s="509"/>
      <c r="J68" s="525"/>
      <c r="K68" s="398"/>
      <c r="L68" s="398"/>
      <c r="M68" s="398"/>
      <c r="N68" s="86"/>
    </row>
    <row r="69" spans="1:14" s="608" customFormat="1" ht="15.75" x14ac:dyDescent="0.25">
      <c r="A69" s="523">
        <v>65</v>
      </c>
      <c r="B69" s="523" t="s">
        <v>970</v>
      </c>
      <c r="C69" s="555">
        <v>7263</v>
      </c>
      <c r="D69" s="563">
        <v>10000</v>
      </c>
      <c r="E69" s="87"/>
      <c r="F69" s="573">
        <v>111</v>
      </c>
      <c r="G69" s="573">
        <v>10000</v>
      </c>
      <c r="H69" s="87">
        <f t="shared" ref="H69:H160" si="1">D69-G69</f>
        <v>0</v>
      </c>
      <c r="I69" s="509"/>
      <c r="J69" s="525"/>
      <c r="K69" s="398"/>
      <c r="L69" s="398"/>
      <c r="M69" s="398"/>
      <c r="N69" s="86"/>
    </row>
    <row r="70" spans="1:14" s="608" customFormat="1" ht="15.75" x14ac:dyDescent="0.25">
      <c r="A70" s="523">
        <v>66</v>
      </c>
      <c r="B70" s="523" t="s">
        <v>970</v>
      </c>
      <c r="C70" s="555">
        <v>5485</v>
      </c>
      <c r="D70" s="563">
        <v>40000</v>
      </c>
      <c r="E70" s="87"/>
      <c r="F70" s="573">
        <v>445</v>
      </c>
      <c r="G70" s="573">
        <v>40000</v>
      </c>
      <c r="H70" s="87">
        <f t="shared" si="1"/>
        <v>0</v>
      </c>
      <c r="I70" s="509"/>
      <c r="J70" s="525"/>
      <c r="K70" s="398"/>
      <c r="L70" s="398"/>
      <c r="M70" s="398"/>
      <c r="N70" s="86"/>
    </row>
    <row r="71" spans="1:14" s="608" customFormat="1" ht="15.75" x14ac:dyDescent="0.25">
      <c r="A71" s="523">
        <v>67</v>
      </c>
      <c r="B71" s="523" t="s">
        <v>970</v>
      </c>
      <c r="C71" s="555">
        <v>3662</v>
      </c>
      <c r="D71" s="563">
        <v>18000</v>
      </c>
      <c r="E71" s="87"/>
      <c r="F71" s="573">
        <v>189</v>
      </c>
      <c r="G71" s="573">
        <v>18000</v>
      </c>
      <c r="H71" s="87">
        <f t="shared" si="1"/>
        <v>0</v>
      </c>
      <c r="I71" s="509"/>
      <c r="J71" s="525"/>
      <c r="K71" s="398"/>
      <c r="L71" s="398"/>
      <c r="M71" s="398"/>
      <c r="N71" s="86"/>
    </row>
    <row r="72" spans="1:14" s="608" customFormat="1" ht="15.75" x14ac:dyDescent="0.25">
      <c r="A72" s="523">
        <v>68</v>
      </c>
      <c r="B72" s="523" t="s">
        <v>970</v>
      </c>
      <c r="C72" s="555">
        <v>4472</v>
      </c>
      <c r="D72" s="563">
        <v>15000</v>
      </c>
      <c r="E72" s="87"/>
      <c r="F72" s="573">
        <v>167</v>
      </c>
      <c r="G72" s="573">
        <v>15000</v>
      </c>
      <c r="H72" s="87">
        <f t="shared" si="1"/>
        <v>0</v>
      </c>
      <c r="I72" s="509"/>
      <c r="J72" s="525"/>
      <c r="K72" s="398"/>
      <c r="L72" s="398"/>
      <c r="M72" s="398"/>
      <c r="N72" s="86"/>
    </row>
    <row r="73" spans="1:14" s="608" customFormat="1" ht="15.75" x14ac:dyDescent="0.25">
      <c r="A73" s="523">
        <v>69</v>
      </c>
      <c r="B73" s="523" t="s">
        <v>970</v>
      </c>
      <c r="C73" s="555">
        <v>3776</v>
      </c>
      <c r="D73" s="563">
        <v>17000</v>
      </c>
      <c r="E73" s="87"/>
      <c r="F73" s="573">
        <v>189</v>
      </c>
      <c r="G73" s="573">
        <v>17000</v>
      </c>
      <c r="H73" s="87">
        <f t="shared" si="1"/>
        <v>0</v>
      </c>
      <c r="I73" s="509"/>
      <c r="J73" s="525"/>
      <c r="K73" s="398"/>
      <c r="L73" s="398"/>
      <c r="M73" s="398"/>
      <c r="N73" s="86"/>
    </row>
    <row r="74" spans="1:14" s="608" customFormat="1" ht="15.75" x14ac:dyDescent="0.25">
      <c r="A74" s="523">
        <v>70</v>
      </c>
      <c r="B74" s="523" t="s">
        <v>970</v>
      </c>
      <c r="C74" s="555" t="s">
        <v>30</v>
      </c>
      <c r="D74" s="563">
        <v>5000</v>
      </c>
      <c r="E74" s="87"/>
      <c r="F74" s="573">
        <v>55</v>
      </c>
      <c r="G74" s="573">
        <v>5000</v>
      </c>
      <c r="H74" s="87">
        <f t="shared" si="1"/>
        <v>0</v>
      </c>
      <c r="I74" s="509"/>
      <c r="J74" s="525"/>
      <c r="K74" s="398"/>
      <c r="L74" s="398"/>
      <c r="M74" s="398"/>
      <c r="N74" s="86"/>
    </row>
    <row r="75" spans="1:14" s="608" customFormat="1" ht="15.75" x14ac:dyDescent="0.25">
      <c r="A75" s="523">
        <v>71</v>
      </c>
      <c r="B75" s="523" t="s">
        <v>970</v>
      </c>
      <c r="C75" s="555" t="s">
        <v>819</v>
      </c>
      <c r="D75" s="563">
        <v>3500</v>
      </c>
      <c r="E75" s="87"/>
      <c r="F75" s="573">
        <v>38</v>
      </c>
      <c r="G75" s="573">
        <v>3500</v>
      </c>
      <c r="H75" s="87">
        <f t="shared" si="1"/>
        <v>0</v>
      </c>
      <c r="I75" s="509"/>
      <c r="J75" s="525"/>
      <c r="K75" s="398"/>
      <c r="L75" s="398"/>
      <c r="M75" s="398"/>
      <c r="N75" s="86"/>
    </row>
    <row r="76" spans="1:14" s="608" customFormat="1" ht="15.75" x14ac:dyDescent="0.25">
      <c r="A76" s="523">
        <v>72</v>
      </c>
      <c r="B76" s="523" t="s">
        <v>970</v>
      </c>
      <c r="C76" s="555" t="s">
        <v>30</v>
      </c>
      <c r="D76" s="563">
        <v>10000</v>
      </c>
      <c r="E76" s="87"/>
      <c r="F76" s="573">
        <v>111</v>
      </c>
      <c r="G76" s="573">
        <v>10000</v>
      </c>
      <c r="H76" s="87">
        <f t="shared" si="1"/>
        <v>0</v>
      </c>
      <c r="I76" s="509"/>
      <c r="J76" s="525"/>
      <c r="K76" s="398"/>
      <c r="L76" s="398"/>
      <c r="M76" s="398"/>
      <c r="N76" s="86"/>
    </row>
    <row r="77" spans="1:14" s="608" customFormat="1" ht="15.75" x14ac:dyDescent="0.25">
      <c r="A77" s="523">
        <v>73</v>
      </c>
      <c r="B77" s="523" t="s">
        <v>970</v>
      </c>
      <c r="C77" s="555">
        <v>2474</v>
      </c>
      <c r="D77" s="563">
        <v>20000</v>
      </c>
      <c r="E77" s="87"/>
      <c r="F77" s="573">
        <v>222</v>
      </c>
      <c r="G77" s="573">
        <v>20000</v>
      </c>
      <c r="H77" s="87">
        <f t="shared" si="1"/>
        <v>0</v>
      </c>
      <c r="I77" s="509"/>
      <c r="J77" s="525"/>
      <c r="K77" s="398"/>
      <c r="L77" s="398"/>
      <c r="M77" s="398"/>
      <c r="N77" s="86"/>
    </row>
    <row r="78" spans="1:14" s="608" customFormat="1" ht="15.75" x14ac:dyDescent="0.25">
      <c r="A78" s="523">
        <v>74</v>
      </c>
      <c r="B78" s="523" t="s">
        <v>970</v>
      </c>
      <c r="C78" s="607" t="s">
        <v>873</v>
      </c>
      <c r="D78" s="563">
        <v>15000</v>
      </c>
      <c r="E78" s="87"/>
      <c r="F78" s="573">
        <v>159</v>
      </c>
      <c r="G78" s="573">
        <v>15000</v>
      </c>
      <c r="H78" s="87">
        <f t="shared" si="1"/>
        <v>0</v>
      </c>
      <c r="I78" s="509"/>
      <c r="J78" s="525"/>
      <c r="K78" s="398"/>
      <c r="L78" s="398"/>
      <c r="M78" s="398"/>
      <c r="N78" s="86"/>
    </row>
    <row r="79" spans="1:14" s="608" customFormat="1" ht="15.75" x14ac:dyDescent="0.25">
      <c r="A79" s="523">
        <v>75</v>
      </c>
      <c r="B79" s="523" t="s">
        <v>970</v>
      </c>
      <c r="C79" s="555">
        <v>5044</v>
      </c>
      <c r="D79" s="563">
        <v>25000</v>
      </c>
      <c r="E79" s="87"/>
      <c r="F79" s="573">
        <v>266</v>
      </c>
      <c r="G79" s="573">
        <v>25000</v>
      </c>
      <c r="H79" s="87">
        <f t="shared" si="1"/>
        <v>0</v>
      </c>
      <c r="I79" s="509"/>
      <c r="J79" s="525"/>
      <c r="K79" s="398"/>
      <c r="L79" s="398"/>
      <c r="M79" s="398"/>
      <c r="N79" s="86"/>
    </row>
    <row r="80" spans="1:14" s="608" customFormat="1" ht="15.75" x14ac:dyDescent="0.25">
      <c r="A80" s="523">
        <v>76</v>
      </c>
      <c r="B80" s="523" t="s">
        <v>970</v>
      </c>
      <c r="C80" s="555">
        <v>6133</v>
      </c>
      <c r="D80" s="563">
        <v>16000</v>
      </c>
      <c r="E80" s="87"/>
      <c r="F80" s="573">
        <v>170</v>
      </c>
      <c r="G80" s="573">
        <v>16000</v>
      </c>
      <c r="H80" s="87">
        <f t="shared" si="1"/>
        <v>0</v>
      </c>
      <c r="I80" s="509"/>
      <c r="J80" s="525"/>
      <c r="K80" s="398"/>
      <c r="L80" s="398"/>
      <c r="M80" s="398"/>
      <c r="N80" s="86"/>
    </row>
    <row r="81" spans="1:14" s="608" customFormat="1" ht="15.75" x14ac:dyDescent="0.25">
      <c r="A81" s="523">
        <v>77</v>
      </c>
      <c r="B81" s="523" t="s">
        <v>970</v>
      </c>
      <c r="C81" s="607" t="s">
        <v>861</v>
      </c>
      <c r="D81" s="563">
        <v>14700</v>
      </c>
      <c r="E81" s="87"/>
      <c r="F81" s="573">
        <v>163</v>
      </c>
      <c r="G81" s="573">
        <v>14700</v>
      </c>
      <c r="H81" s="87">
        <f t="shared" si="1"/>
        <v>0</v>
      </c>
      <c r="I81" s="509"/>
      <c r="J81" s="525"/>
      <c r="K81" s="398"/>
      <c r="L81" s="398"/>
      <c r="M81" s="398"/>
      <c r="N81" s="86"/>
    </row>
    <row r="82" spans="1:14" s="608" customFormat="1" ht="15.75" x14ac:dyDescent="0.25">
      <c r="A82" s="523">
        <v>78</v>
      </c>
      <c r="B82" s="523" t="s">
        <v>970</v>
      </c>
      <c r="C82" s="555">
        <v>6926</v>
      </c>
      <c r="D82" s="563">
        <v>19000</v>
      </c>
      <c r="E82" s="87"/>
      <c r="F82" s="573">
        <v>202</v>
      </c>
      <c r="G82" s="573">
        <v>19000</v>
      </c>
      <c r="H82" s="87">
        <f t="shared" si="1"/>
        <v>0</v>
      </c>
      <c r="I82" s="509"/>
      <c r="J82" s="525"/>
      <c r="K82" s="398"/>
      <c r="L82" s="398"/>
      <c r="M82" s="398"/>
      <c r="N82" s="86"/>
    </row>
    <row r="83" spans="1:14" s="608" customFormat="1" ht="15.75" x14ac:dyDescent="0.25">
      <c r="A83" s="523">
        <v>79</v>
      </c>
      <c r="B83" s="523" t="s">
        <v>970</v>
      </c>
      <c r="C83" s="555">
        <v>9512</v>
      </c>
      <c r="D83" s="563">
        <v>31000</v>
      </c>
      <c r="E83" s="87"/>
      <c r="F83" s="573">
        <v>345</v>
      </c>
      <c r="G83" s="573">
        <v>31000</v>
      </c>
      <c r="H83" s="87">
        <f t="shared" si="1"/>
        <v>0</v>
      </c>
      <c r="I83" s="509"/>
      <c r="J83" s="525"/>
      <c r="K83" s="398"/>
      <c r="L83" s="398"/>
      <c r="M83" s="398"/>
      <c r="N83" s="86"/>
    </row>
    <row r="84" spans="1:14" s="608" customFormat="1" ht="15.75" x14ac:dyDescent="0.25">
      <c r="A84" s="523">
        <v>80</v>
      </c>
      <c r="B84" s="523" t="s">
        <v>970</v>
      </c>
      <c r="C84" s="607" t="s">
        <v>975</v>
      </c>
      <c r="D84" s="563">
        <v>30000</v>
      </c>
      <c r="E84" s="87"/>
      <c r="F84" s="573">
        <v>334</v>
      </c>
      <c r="G84" s="573">
        <v>30000</v>
      </c>
      <c r="H84" s="87">
        <f t="shared" si="1"/>
        <v>0</v>
      </c>
      <c r="I84" s="509"/>
      <c r="J84" s="525"/>
      <c r="K84" s="398"/>
      <c r="L84" s="398"/>
      <c r="M84" s="398"/>
      <c r="N84" s="86"/>
    </row>
    <row r="85" spans="1:14" s="608" customFormat="1" ht="15.75" x14ac:dyDescent="0.25">
      <c r="A85" s="523">
        <v>81</v>
      </c>
      <c r="B85" s="523" t="s">
        <v>970</v>
      </c>
      <c r="C85" s="607" t="s">
        <v>976</v>
      </c>
      <c r="D85" s="563">
        <v>29000</v>
      </c>
      <c r="E85" s="87"/>
      <c r="F85" s="573">
        <v>323</v>
      </c>
      <c r="G85" s="573">
        <v>29000</v>
      </c>
      <c r="H85" s="87">
        <f t="shared" si="1"/>
        <v>0</v>
      </c>
      <c r="I85" s="509"/>
      <c r="J85" s="525"/>
      <c r="K85" s="398"/>
      <c r="L85" s="398"/>
      <c r="M85" s="398"/>
      <c r="N85" s="86"/>
    </row>
    <row r="86" spans="1:14" s="608" customFormat="1" ht="15.75" x14ac:dyDescent="0.25">
      <c r="A86" s="523">
        <v>82</v>
      </c>
      <c r="B86" s="523" t="s">
        <v>970</v>
      </c>
      <c r="C86" s="555">
        <v>2929</v>
      </c>
      <c r="D86" s="563">
        <v>27000</v>
      </c>
      <c r="E86" s="87"/>
      <c r="F86" s="573">
        <v>300</v>
      </c>
      <c r="G86" s="573">
        <v>27000</v>
      </c>
      <c r="H86" s="87">
        <f t="shared" si="1"/>
        <v>0</v>
      </c>
      <c r="I86" s="509"/>
      <c r="J86" s="525"/>
      <c r="K86" s="398"/>
      <c r="L86" s="398"/>
      <c r="M86" s="398"/>
      <c r="N86" s="86"/>
    </row>
    <row r="87" spans="1:14" s="608" customFormat="1" ht="15.75" x14ac:dyDescent="0.25">
      <c r="A87" s="523">
        <v>83</v>
      </c>
      <c r="B87" s="523" t="s">
        <v>970</v>
      </c>
      <c r="C87" s="555">
        <v>9724</v>
      </c>
      <c r="D87" s="563">
        <v>18000</v>
      </c>
      <c r="E87" s="87"/>
      <c r="F87" s="573">
        <v>189</v>
      </c>
      <c r="G87" s="573">
        <v>18000</v>
      </c>
      <c r="H87" s="87">
        <f t="shared" si="1"/>
        <v>0</v>
      </c>
      <c r="I87" s="509"/>
      <c r="J87" s="525"/>
      <c r="K87" s="398"/>
      <c r="L87" s="398"/>
      <c r="M87" s="398"/>
      <c r="N87" s="86"/>
    </row>
    <row r="88" spans="1:14" s="608" customFormat="1" ht="15.75" x14ac:dyDescent="0.25">
      <c r="A88" s="523">
        <v>84</v>
      </c>
      <c r="B88" s="523" t="s">
        <v>970</v>
      </c>
      <c r="C88" s="555">
        <v>7004</v>
      </c>
      <c r="D88" s="563">
        <v>23000</v>
      </c>
      <c r="E88" s="87"/>
      <c r="F88" s="573">
        <v>256</v>
      </c>
      <c r="G88" s="573">
        <v>23000</v>
      </c>
      <c r="H88" s="87">
        <f t="shared" si="1"/>
        <v>0</v>
      </c>
      <c r="I88" s="509"/>
      <c r="J88" s="525"/>
      <c r="K88" s="398"/>
      <c r="L88" s="398"/>
      <c r="M88" s="398"/>
      <c r="N88" s="86"/>
    </row>
    <row r="89" spans="1:14" s="608" customFormat="1" ht="15.75" x14ac:dyDescent="0.25">
      <c r="A89" s="523">
        <v>85</v>
      </c>
      <c r="B89" s="523" t="s">
        <v>970</v>
      </c>
      <c r="C89" s="555">
        <v>6586</v>
      </c>
      <c r="D89" s="563">
        <v>37000</v>
      </c>
      <c r="E89" s="87"/>
      <c r="F89" s="573">
        <v>412</v>
      </c>
      <c r="G89" s="573">
        <v>37000</v>
      </c>
      <c r="H89" s="87">
        <f t="shared" si="1"/>
        <v>0</v>
      </c>
      <c r="I89" s="509"/>
      <c r="J89" s="525"/>
      <c r="K89" s="398"/>
      <c r="L89" s="398"/>
      <c r="M89" s="398"/>
      <c r="N89" s="86"/>
    </row>
    <row r="90" spans="1:14" s="608" customFormat="1" ht="15.75" x14ac:dyDescent="0.25">
      <c r="A90" s="523">
        <v>86</v>
      </c>
      <c r="B90" s="523" t="s">
        <v>970</v>
      </c>
      <c r="C90" s="607" t="s">
        <v>912</v>
      </c>
      <c r="D90" s="563">
        <v>29000</v>
      </c>
      <c r="E90" s="87"/>
      <c r="F90" s="573">
        <v>314</v>
      </c>
      <c r="G90" s="573">
        <v>29000</v>
      </c>
      <c r="H90" s="87">
        <f t="shared" si="1"/>
        <v>0</v>
      </c>
      <c r="I90" s="509"/>
      <c r="J90" s="525"/>
      <c r="K90" s="398"/>
      <c r="L90" s="398"/>
      <c r="M90" s="398"/>
      <c r="N90" s="86"/>
    </row>
    <row r="91" spans="1:14" s="608" customFormat="1" ht="15.75" x14ac:dyDescent="0.25">
      <c r="A91" s="523">
        <v>87</v>
      </c>
      <c r="B91" s="523" t="s">
        <v>970</v>
      </c>
      <c r="C91" s="555">
        <v>8434</v>
      </c>
      <c r="D91" s="563">
        <v>27000</v>
      </c>
      <c r="E91" s="87"/>
      <c r="F91" s="573">
        <v>300</v>
      </c>
      <c r="G91" s="573">
        <v>27000</v>
      </c>
      <c r="H91" s="87">
        <f t="shared" si="1"/>
        <v>0</v>
      </c>
      <c r="I91" s="509"/>
      <c r="J91" s="525"/>
      <c r="K91" s="398"/>
      <c r="L91" s="398"/>
      <c r="M91" s="398"/>
      <c r="N91" s="86"/>
    </row>
    <row r="92" spans="1:14" s="608" customFormat="1" ht="15.75" x14ac:dyDescent="0.25">
      <c r="A92" s="523">
        <v>88</v>
      </c>
      <c r="B92" s="523" t="s">
        <v>970</v>
      </c>
      <c r="C92" s="555">
        <v>9412</v>
      </c>
      <c r="D92" s="563">
        <v>26000</v>
      </c>
      <c r="E92" s="87"/>
      <c r="F92" s="573">
        <v>389</v>
      </c>
      <c r="G92" s="573">
        <v>26000</v>
      </c>
      <c r="H92" s="87">
        <f t="shared" si="1"/>
        <v>0</v>
      </c>
      <c r="I92" s="509"/>
      <c r="J92" s="525"/>
      <c r="K92" s="398"/>
      <c r="L92" s="398"/>
      <c r="M92" s="398"/>
      <c r="N92" s="86"/>
    </row>
    <row r="93" spans="1:14" s="608" customFormat="1" ht="15.75" x14ac:dyDescent="0.25">
      <c r="A93" s="523">
        <v>89</v>
      </c>
      <c r="B93" s="523" t="s">
        <v>970</v>
      </c>
      <c r="C93" s="555">
        <v>9457</v>
      </c>
      <c r="D93" s="563">
        <v>28000</v>
      </c>
      <c r="E93" s="87"/>
      <c r="F93" s="573">
        <v>304</v>
      </c>
      <c r="G93" s="573">
        <v>28000</v>
      </c>
      <c r="H93" s="87">
        <f t="shared" si="1"/>
        <v>0</v>
      </c>
      <c r="I93" s="509"/>
      <c r="J93" s="525"/>
      <c r="K93" s="398"/>
      <c r="L93" s="398"/>
      <c r="M93" s="398"/>
      <c r="N93" s="86"/>
    </row>
    <row r="94" spans="1:14" s="608" customFormat="1" ht="15.75" x14ac:dyDescent="0.25">
      <c r="A94" s="523">
        <v>90</v>
      </c>
      <c r="B94" s="523" t="s">
        <v>970</v>
      </c>
      <c r="C94" s="555">
        <v>5485</v>
      </c>
      <c r="D94" s="563">
        <v>29000</v>
      </c>
      <c r="E94" s="87"/>
      <c r="F94" s="573">
        <v>310</v>
      </c>
      <c r="G94" s="573">
        <v>29000</v>
      </c>
      <c r="H94" s="87">
        <f t="shared" si="1"/>
        <v>0</v>
      </c>
      <c r="I94" s="509"/>
      <c r="J94" s="525"/>
      <c r="K94" s="398"/>
      <c r="L94" s="398"/>
      <c r="M94" s="398"/>
      <c r="N94" s="86"/>
    </row>
    <row r="95" spans="1:14" s="608" customFormat="1" ht="15.75" x14ac:dyDescent="0.25">
      <c r="A95" s="523">
        <v>91</v>
      </c>
      <c r="B95" s="523" t="s">
        <v>970</v>
      </c>
      <c r="C95" s="607" t="s">
        <v>878</v>
      </c>
      <c r="D95" s="563">
        <v>25000</v>
      </c>
      <c r="E95" s="87"/>
      <c r="F95" s="573">
        <v>264</v>
      </c>
      <c r="G95" s="573">
        <v>25000</v>
      </c>
      <c r="H95" s="87">
        <f t="shared" si="1"/>
        <v>0</v>
      </c>
      <c r="I95" s="509"/>
      <c r="J95" s="525"/>
      <c r="K95" s="398"/>
      <c r="L95" s="398"/>
      <c r="M95" s="398"/>
      <c r="N95" s="86"/>
    </row>
    <row r="96" spans="1:14" s="608" customFormat="1" ht="15.75" x14ac:dyDescent="0.25">
      <c r="A96" s="523">
        <v>92</v>
      </c>
      <c r="B96" s="523" t="s">
        <v>970</v>
      </c>
      <c r="C96" s="555">
        <v>9235</v>
      </c>
      <c r="D96" s="563">
        <v>26000</v>
      </c>
      <c r="E96" s="87"/>
      <c r="F96" s="573">
        <v>285</v>
      </c>
      <c r="G96" s="573">
        <v>26000</v>
      </c>
      <c r="H96" s="87">
        <f t="shared" si="1"/>
        <v>0</v>
      </c>
      <c r="I96" s="509"/>
      <c r="J96" s="525"/>
      <c r="K96" s="398"/>
      <c r="L96" s="398"/>
      <c r="M96" s="398"/>
      <c r="N96" s="86"/>
    </row>
    <row r="97" spans="1:14" s="608" customFormat="1" ht="15.75" x14ac:dyDescent="0.25">
      <c r="A97" s="523">
        <v>93</v>
      </c>
      <c r="B97" s="523" t="s">
        <v>970</v>
      </c>
      <c r="C97" s="555">
        <v>2233</v>
      </c>
      <c r="D97" s="563">
        <v>18000</v>
      </c>
      <c r="E97" s="87"/>
      <c r="F97" s="573">
        <v>200</v>
      </c>
      <c r="G97" s="573">
        <v>18000</v>
      </c>
      <c r="H97" s="87">
        <f t="shared" si="1"/>
        <v>0</v>
      </c>
      <c r="I97" s="509"/>
      <c r="J97" s="525"/>
      <c r="K97" s="398"/>
      <c r="L97" s="398"/>
      <c r="M97" s="398"/>
      <c r="N97" s="86"/>
    </row>
    <row r="98" spans="1:14" s="608" customFormat="1" ht="15.75" x14ac:dyDescent="0.25">
      <c r="A98" s="523">
        <v>94</v>
      </c>
      <c r="B98" s="523" t="s">
        <v>970</v>
      </c>
      <c r="C98" s="555">
        <v>2744</v>
      </c>
      <c r="D98" s="563">
        <v>27000</v>
      </c>
      <c r="E98" s="87"/>
      <c r="F98" s="573">
        <v>300</v>
      </c>
      <c r="G98" s="573">
        <v>27000</v>
      </c>
      <c r="H98" s="87">
        <f t="shared" si="1"/>
        <v>0</v>
      </c>
      <c r="I98" s="509"/>
      <c r="J98" s="525"/>
      <c r="K98" s="398"/>
      <c r="L98" s="398"/>
      <c r="M98" s="398"/>
      <c r="N98" s="86"/>
    </row>
    <row r="99" spans="1:14" s="608" customFormat="1" ht="15.75" x14ac:dyDescent="0.25">
      <c r="A99" s="523">
        <v>95</v>
      </c>
      <c r="B99" s="523" t="s">
        <v>970</v>
      </c>
      <c r="C99" s="555">
        <v>7711</v>
      </c>
      <c r="D99" s="563">
        <v>10000</v>
      </c>
      <c r="E99" s="87"/>
      <c r="F99" s="573">
        <v>111</v>
      </c>
      <c r="G99" s="573">
        <v>10000</v>
      </c>
      <c r="H99" s="87">
        <f t="shared" si="1"/>
        <v>0</v>
      </c>
      <c r="I99" s="509"/>
      <c r="J99" s="525"/>
      <c r="K99" s="398"/>
      <c r="L99" s="398"/>
      <c r="M99" s="398"/>
      <c r="N99" s="86"/>
    </row>
    <row r="100" spans="1:14" s="608" customFormat="1" ht="15.75" x14ac:dyDescent="0.25">
      <c r="A100" s="523">
        <v>96</v>
      </c>
      <c r="B100" s="523" t="s">
        <v>970</v>
      </c>
      <c r="C100" s="555" t="s">
        <v>66</v>
      </c>
      <c r="D100" s="563">
        <v>210</v>
      </c>
      <c r="E100" s="87"/>
      <c r="F100" s="573">
        <v>2.09</v>
      </c>
      <c r="G100" s="573">
        <v>210</v>
      </c>
      <c r="H100" s="87">
        <f t="shared" si="1"/>
        <v>0</v>
      </c>
      <c r="I100" s="509"/>
      <c r="J100" s="525"/>
      <c r="K100" s="398"/>
      <c r="L100" s="398"/>
      <c r="M100" s="398"/>
      <c r="N100" s="86"/>
    </row>
    <row r="101" spans="1:14" s="608" customFormat="1" ht="15.75" x14ac:dyDescent="0.25">
      <c r="A101" s="523">
        <v>97</v>
      </c>
      <c r="B101" s="523" t="s">
        <v>973</v>
      </c>
      <c r="C101" s="555">
        <v>1960</v>
      </c>
      <c r="D101" s="563">
        <v>20000</v>
      </c>
      <c r="E101" s="87"/>
      <c r="F101" s="573">
        <v>222</v>
      </c>
      <c r="G101" s="573">
        <v>20000</v>
      </c>
      <c r="H101" s="87">
        <f t="shared" si="1"/>
        <v>0</v>
      </c>
      <c r="I101" s="509"/>
      <c r="J101" s="525"/>
      <c r="K101" s="398"/>
      <c r="L101" s="398"/>
      <c r="M101" s="398"/>
      <c r="N101" s="86"/>
    </row>
    <row r="102" spans="1:14" s="608" customFormat="1" ht="15.75" x14ac:dyDescent="0.25">
      <c r="A102" s="523">
        <v>98</v>
      </c>
      <c r="B102" s="523" t="s">
        <v>973</v>
      </c>
      <c r="C102" s="555">
        <v>9458</v>
      </c>
      <c r="D102" s="563">
        <v>27000</v>
      </c>
      <c r="E102" s="87"/>
      <c r="F102" s="573">
        <v>300</v>
      </c>
      <c r="G102" s="573">
        <v>27000</v>
      </c>
      <c r="H102" s="87">
        <f t="shared" si="1"/>
        <v>0</v>
      </c>
      <c r="I102" s="509"/>
      <c r="J102" s="525"/>
      <c r="K102" s="398"/>
      <c r="L102" s="398"/>
      <c r="M102" s="398"/>
      <c r="N102" s="86"/>
    </row>
    <row r="103" spans="1:14" s="608" customFormat="1" ht="15.75" x14ac:dyDescent="0.25">
      <c r="A103" s="523">
        <v>99</v>
      </c>
      <c r="B103" s="523" t="s">
        <v>973</v>
      </c>
      <c r="C103" s="555">
        <v>7344</v>
      </c>
      <c r="D103" s="563">
        <v>15000</v>
      </c>
      <c r="E103" s="87"/>
      <c r="F103" s="573">
        <v>167</v>
      </c>
      <c r="G103" s="573">
        <v>15000</v>
      </c>
      <c r="H103" s="87">
        <f t="shared" si="1"/>
        <v>0</v>
      </c>
      <c r="I103" s="509"/>
      <c r="J103" s="525"/>
      <c r="K103" s="398"/>
      <c r="L103" s="398"/>
      <c r="M103" s="398"/>
      <c r="N103" s="86"/>
    </row>
    <row r="104" spans="1:14" s="608" customFormat="1" ht="15.75" x14ac:dyDescent="0.25">
      <c r="A104" s="523">
        <v>100</v>
      </c>
      <c r="B104" s="523" t="s">
        <v>973</v>
      </c>
      <c r="C104" s="555">
        <v>1319</v>
      </c>
      <c r="D104" s="563">
        <v>20000</v>
      </c>
      <c r="E104" s="87"/>
      <c r="F104" s="573">
        <v>222</v>
      </c>
      <c r="G104" s="573">
        <v>20000</v>
      </c>
      <c r="H104" s="87">
        <f t="shared" si="1"/>
        <v>0</v>
      </c>
      <c r="I104" s="509"/>
      <c r="J104" s="525"/>
      <c r="K104" s="398"/>
      <c r="L104" s="398"/>
      <c r="M104" s="398"/>
      <c r="N104" s="86"/>
    </row>
    <row r="105" spans="1:14" s="608" customFormat="1" ht="15.75" x14ac:dyDescent="0.25">
      <c r="A105" s="523">
        <v>101</v>
      </c>
      <c r="B105" s="523" t="s">
        <v>973</v>
      </c>
      <c r="C105" s="607" t="s">
        <v>977</v>
      </c>
      <c r="D105" s="563">
        <v>21000</v>
      </c>
      <c r="E105" s="87"/>
      <c r="F105" s="573">
        <v>245</v>
      </c>
      <c r="G105" s="573">
        <v>21000</v>
      </c>
      <c r="H105" s="87">
        <f t="shared" si="1"/>
        <v>0</v>
      </c>
      <c r="I105" s="509"/>
      <c r="J105" s="525"/>
      <c r="K105" s="398"/>
      <c r="L105" s="398"/>
      <c r="M105" s="398"/>
      <c r="N105" s="86"/>
    </row>
    <row r="106" spans="1:14" s="608" customFormat="1" ht="15.75" x14ac:dyDescent="0.25">
      <c r="A106" s="523">
        <v>102</v>
      </c>
      <c r="B106" s="523" t="s">
        <v>973</v>
      </c>
      <c r="C106" s="555" t="s">
        <v>30</v>
      </c>
      <c r="D106" s="563">
        <v>1800</v>
      </c>
      <c r="E106" s="87"/>
      <c r="F106" s="573">
        <v>20</v>
      </c>
      <c r="G106" s="573">
        <v>1800</v>
      </c>
      <c r="H106" s="87">
        <f t="shared" si="1"/>
        <v>0</v>
      </c>
      <c r="I106" s="509"/>
      <c r="J106" s="525"/>
      <c r="K106" s="398"/>
      <c r="L106" s="398"/>
      <c r="M106" s="398"/>
      <c r="N106" s="86"/>
    </row>
    <row r="107" spans="1:14" s="608" customFormat="1" ht="15.75" x14ac:dyDescent="0.25">
      <c r="A107" s="523">
        <v>103</v>
      </c>
      <c r="B107" s="523" t="s">
        <v>973</v>
      </c>
      <c r="C107" s="555">
        <v>8105</v>
      </c>
      <c r="D107" s="563">
        <v>18000</v>
      </c>
      <c r="E107" s="87"/>
      <c r="F107" s="573">
        <v>200</v>
      </c>
      <c r="G107" s="573">
        <v>18000</v>
      </c>
      <c r="H107" s="87">
        <f t="shared" si="1"/>
        <v>0</v>
      </c>
      <c r="I107" s="509"/>
      <c r="J107" s="525"/>
      <c r="K107" s="398"/>
      <c r="L107" s="398"/>
      <c r="M107" s="398"/>
      <c r="N107" s="86"/>
    </row>
    <row r="108" spans="1:14" s="608" customFormat="1" ht="15.75" x14ac:dyDescent="0.25">
      <c r="A108" s="523">
        <v>104</v>
      </c>
      <c r="B108" s="523" t="s">
        <v>973</v>
      </c>
      <c r="C108" s="555">
        <v>4308</v>
      </c>
      <c r="D108" s="563">
        <v>15000</v>
      </c>
      <c r="E108" s="87"/>
      <c r="F108" s="573">
        <v>167</v>
      </c>
      <c r="G108" s="573">
        <v>15000</v>
      </c>
      <c r="H108" s="87">
        <f t="shared" si="1"/>
        <v>0</v>
      </c>
      <c r="I108" s="509"/>
      <c r="J108" s="525"/>
      <c r="K108" s="398"/>
      <c r="L108" s="398"/>
      <c r="M108" s="398"/>
      <c r="N108" s="86"/>
    </row>
    <row r="109" spans="1:14" s="608" customFormat="1" ht="15.75" x14ac:dyDescent="0.25">
      <c r="A109" s="523">
        <v>105</v>
      </c>
      <c r="B109" s="523" t="s">
        <v>973</v>
      </c>
      <c r="C109" s="555">
        <v>2972</v>
      </c>
      <c r="D109" s="563">
        <v>15000</v>
      </c>
      <c r="E109" s="87"/>
      <c r="F109" s="573">
        <v>167</v>
      </c>
      <c r="G109" s="573">
        <v>15000</v>
      </c>
      <c r="H109" s="87">
        <f t="shared" si="1"/>
        <v>0</v>
      </c>
      <c r="I109" s="509"/>
      <c r="J109" s="525"/>
      <c r="K109" s="398"/>
      <c r="L109" s="398"/>
      <c r="M109" s="398"/>
      <c r="N109" s="86"/>
    </row>
    <row r="110" spans="1:14" s="608" customFormat="1" ht="15.75" x14ac:dyDescent="0.25">
      <c r="A110" s="523">
        <v>106</v>
      </c>
      <c r="B110" s="523" t="s">
        <v>973</v>
      </c>
      <c r="C110" s="555">
        <v>3725</v>
      </c>
      <c r="D110" s="563">
        <v>25000</v>
      </c>
      <c r="E110" s="87"/>
      <c r="F110" s="573">
        <v>278</v>
      </c>
      <c r="G110" s="573">
        <v>25000</v>
      </c>
      <c r="H110" s="87">
        <f t="shared" si="1"/>
        <v>0</v>
      </c>
      <c r="I110" s="509"/>
      <c r="J110" s="525"/>
      <c r="K110" s="398"/>
      <c r="L110" s="398"/>
      <c r="M110" s="398"/>
      <c r="N110" s="86"/>
    </row>
    <row r="111" spans="1:14" s="608" customFormat="1" ht="15.75" x14ac:dyDescent="0.25">
      <c r="A111" s="523">
        <v>107</v>
      </c>
      <c r="B111" s="523" t="s">
        <v>973</v>
      </c>
      <c r="C111" s="555">
        <v>3587</v>
      </c>
      <c r="D111" s="563">
        <v>17000</v>
      </c>
      <c r="E111" s="87"/>
      <c r="F111" s="573">
        <v>189</v>
      </c>
      <c r="G111" s="573">
        <v>17000</v>
      </c>
      <c r="H111" s="87">
        <f t="shared" si="1"/>
        <v>0</v>
      </c>
      <c r="I111" s="509"/>
      <c r="J111" s="525"/>
      <c r="K111" s="398"/>
      <c r="L111" s="398"/>
      <c r="M111" s="398"/>
      <c r="N111" s="86"/>
    </row>
    <row r="112" spans="1:14" s="608" customFormat="1" ht="15.75" x14ac:dyDescent="0.25">
      <c r="A112" s="523">
        <v>108</v>
      </c>
      <c r="B112" s="523" t="s">
        <v>973</v>
      </c>
      <c r="C112" s="607" t="s">
        <v>895</v>
      </c>
      <c r="D112" s="563">
        <v>17000</v>
      </c>
      <c r="E112" s="87"/>
      <c r="F112" s="573">
        <v>189</v>
      </c>
      <c r="G112" s="573">
        <v>17000</v>
      </c>
      <c r="H112" s="87">
        <f t="shared" si="1"/>
        <v>0</v>
      </c>
      <c r="I112" s="509"/>
      <c r="J112" s="525"/>
      <c r="K112" s="398"/>
      <c r="L112" s="398"/>
      <c r="M112" s="398"/>
      <c r="N112" s="86"/>
    </row>
    <row r="113" spans="1:14" s="608" customFormat="1" ht="15.75" x14ac:dyDescent="0.25">
      <c r="A113" s="523">
        <v>109</v>
      </c>
      <c r="B113" s="523" t="s">
        <v>973</v>
      </c>
      <c r="C113" s="555">
        <v>2667</v>
      </c>
      <c r="D113" s="563">
        <v>20000</v>
      </c>
      <c r="E113" s="87"/>
      <c r="F113" s="573">
        <v>222</v>
      </c>
      <c r="G113" s="573">
        <v>20000</v>
      </c>
      <c r="H113" s="87">
        <f t="shared" si="1"/>
        <v>0</v>
      </c>
      <c r="I113" s="509"/>
      <c r="J113" s="525"/>
      <c r="K113" s="398"/>
      <c r="L113" s="398"/>
      <c r="M113" s="398"/>
      <c r="N113" s="86"/>
    </row>
    <row r="114" spans="1:14" s="608" customFormat="1" ht="15.75" x14ac:dyDescent="0.25">
      <c r="A114" s="523">
        <v>110</v>
      </c>
      <c r="B114" s="523" t="s">
        <v>973</v>
      </c>
      <c r="C114" s="555" t="s">
        <v>30</v>
      </c>
      <c r="D114" s="563">
        <v>4500</v>
      </c>
      <c r="E114" s="87"/>
      <c r="F114" s="573">
        <v>50</v>
      </c>
      <c r="G114" s="573">
        <v>4500</v>
      </c>
      <c r="H114" s="87">
        <f t="shared" si="1"/>
        <v>0</v>
      </c>
      <c r="I114" s="509"/>
      <c r="J114" s="525"/>
      <c r="K114" s="398"/>
      <c r="L114" s="398"/>
      <c r="M114" s="398"/>
      <c r="N114" s="86"/>
    </row>
    <row r="115" spans="1:14" s="608" customFormat="1" ht="15.75" x14ac:dyDescent="0.25">
      <c r="A115" s="523">
        <v>111</v>
      </c>
      <c r="B115" s="523" t="s">
        <v>973</v>
      </c>
      <c r="C115" s="609">
        <v>7744</v>
      </c>
      <c r="D115" s="563">
        <v>13000</v>
      </c>
      <c r="E115" s="87"/>
      <c r="F115" s="573">
        <v>144</v>
      </c>
      <c r="G115" s="573">
        <v>13000</v>
      </c>
      <c r="H115" s="87">
        <f t="shared" si="1"/>
        <v>0</v>
      </c>
      <c r="I115" s="509"/>
      <c r="J115" s="525"/>
      <c r="K115" s="398"/>
      <c r="L115" s="398"/>
      <c r="M115" s="398"/>
      <c r="N115" s="86"/>
    </row>
    <row r="116" spans="1:14" s="608" customFormat="1" ht="15.75" x14ac:dyDescent="0.25">
      <c r="A116" s="523">
        <v>112</v>
      </c>
      <c r="B116" s="523" t="s">
        <v>973</v>
      </c>
      <c r="C116" s="555">
        <v>4961</v>
      </c>
      <c r="D116" s="563">
        <v>23000</v>
      </c>
      <c r="E116" s="87"/>
      <c r="F116" s="573">
        <v>256</v>
      </c>
      <c r="G116" s="573">
        <v>23000</v>
      </c>
      <c r="H116" s="87">
        <f t="shared" si="1"/>
        <v>0</v>
      </c>
      <c r="I116" s="509"/>
      <c r="J116" s="525"/>
      <c r="K116" s="398"/>
      <c r="L116" s="398"/>
      <c r="M116" s="398"/>
      <c r="N116" s="86"/>
    </row>
    <row r="117" spans="1:14" s="608" customFormat="1" ht="15.75" x14ac:dyDescent="0.25">
      <c r="A117" s="523">
        <v>113</v>
      </c>
      <c r="B117" s="523" t="s">
        <v>973</v>
      </c>
      <c r="C117" s="555">
        <v>1320</v>
      </c>
      <c r="D117" s="563">
        <v>20000</v>
      </c>
      <c r="E117" s="87"/>
      <c r="F117" s="573">
        <v>822</v>
      </c>
      <c r="G117" s="573">
        <v>20000</v>
      </c>
      <c r="H117" s="87">
        <f t="shared" si="1"/>
        <v>0</v>
      </c>
      <c r="I117" s="509"/>
      <c r="J117" s="525"/>
      <c r="K117" s="398"/>
      <c r="L117" s="398"/>
      <c r="M117" s="398"/>
      <c r="N117" s="86"/>
    </row>
    <row r="118" spans="1:14" s="608" customFormat="1" ht="15.75" x14ac:dyDescent="0.25">
      <c r="A118" s="523">
        <v>114</v>
      </c>
      <c r="B118" s="523" t="s">
        <v>973</v>
      </c>
      <c r="C118" s="555">
        <v>2847</v>
      </c>
      <c r="D118" s="563">
        <v>20000</v>
      </c>
      <c r="E118" s="87"/>
      <c r="F118" s="573">
        <v>222</v>
      </c>
      <c r="G118" s="573">
        <v>20000</v>
      </c>
      <c r="H118" s="87">
        <f t="shared" si="1"/>
        <v>0</v>
      </c>
      <c r="I118" s="509"/>
      <c r="J118" s="525"/>
      <c r="K118" s="398"/>
      <c r="L118" s="398"/>
      <c r="M118" s="398"/>
      <c r="N118" s="86"/>
    </row>
    <row r="119" spans="1:14" s="608" customFormat="1" ht="15.75" x14ac:dyDescent="0.25">
      <c r="A119" s="523">
        <v>115</v>
      </c>
      <c r="B119" s="523" t="s">
        <v>973</v>
      </c>
      <c r="C119" s="555">
        <v>7472</v>
      </c>
      <c r="D119" s="563">
        <v>18800</v>
      </c>
      <c r="E119" s="87"/>
      <c r="F119" s="573">
        <v>209</v>
      </c>
      <c r="G119" s="573">
        <v>18800</v>
      </c>
      <c r="H119" s="87">
        <f t="shared" si="1"/>
        <v>0</v>
      </c>
      <c r="I119" s="509"/>
      <c r="J119" s="525"/>
      <c r="K119" s="398"/>
      <c r="L119" s="398"/>
      <c r="M119" s="398"/>
      <c r="N119" s="86"/>
    </row>
    <row r="120" spans="1:14" s="608" customFormat="1" ht="15.75" x14ac:dyDescent="0.25">
      <c r="A120" s="523">
        <v>116</v>
      </c>
      <c r="B120" s="523" t="s">
        <v>973</v>
      </c>
      <c r="C120" s="555">
        <v>8611</v>
      </c>
      <c r="D120" s="563">
        <v>25000</v>
      </c>
      <c r="E120" s="87"/>
      <c r="F120" s="573">
        <v>278</v>
      </c>
      <c r="G120" s="573">
        <v>25000</v>
      </c>
      <c r="H120" s="87">
        <f t="shared" si="1"/>
        <v>0</v>
      </c>
      <c r="I120" s="509"/>
      <c r="J120" s="525"/>
      <c r="K120" s="398"/>
      <c r="L120" s="398"/>
      <c r="M120" s="398"/>
      <c r="N120" s="86"/>
    </row>
    <row r="121" spans="1:14" s="608" customFormat="1" ht="15.75" x14ac:dyDescent="0.25">
      <c r="A121" s="523">
        <v>117</v>
      </c>
      <c r="B121" s="523" t="s">
        <v>973</v>
      </c>
      <c r="C121" s="555">
        <v>7672</v>
      </c>
      <c r="D121" s="563">
        <v>17000</v>
      </c>
      <c r="E121" s="87"/>
      <c r="F121" s="573">
        <v>109</v>
      </c>
      <c r="G121" s="573">
        <v>17000</v>
      </c>
      <c r="H121" s="87">
        <f t="shared" si="1"/>
        <v>0</v>
      </c>
      <c r="I121" s="509"/>
      <c r="J121" s="525"/>
      <c r="K121" s="398"/>
      <c r="L121" s="398"/>
      <c r="M121" s="398"/>
      <c r="N121" s="86"/>
    </row>
    <row r="122" spans="1:14" s="608" customFormat="1" ht="15.75" x14ac:dyDescent="0.25">
      <c r="A122" s="523">
        <v>118</v>
      </c>
      <c r="B122" s="523" t="s">
        <v>973</v>
      </c>
      <c r="C122" s="555">
        <v>7217</v>
      </c>
      <c r="D122" s="563">
        <v>26000</v>
      </c>
      <c r="E122" s="87"/>
      <c r="F122" s="573">
        <v>285</v>
      </c>
      <c r="G122" s="573">
        <v>26000</v>
      </c>
      <c r="H122" s="87">
        <f t="shared" si="1"/>
        <v>0</v>
      </c>
      <c r="I122" s="509"/>
      <c r="J122" s="525"/>
      <c r="K122" s="398"/>
      <c r="L122" s="398"/>
      <c r="M122" s="398"/>
      <c r="N122" s="86"/>
    </row>
    <row r="123" spans="1:14" s="608" customFormat="1" ht="15.75" x14ac:dyDescent="0.25">
      <c r="A123" s="523">
        <v>119</v>
      </c>
      <c r="B123" s="523" t="s">
        <v>973</v>
      </c>
      <c r="C123" s="555">
        <v>3148</v>
      </c>
      <c r="D123" s="563">
        <v>25000</v>
      </c>
      <c r="E123" s="87"/>
      <c r="F123" s="573">
        <v>278</v>
      </c>
      <c r="G123" s="573">
        <v>25000</v>
      </c>
      <c r="H123" s="87">
        <f t="shared" si="1"/>
        <v>0</v>
      </c>
      <c r="I123" s="509"/>
      <c r="J123" s="525"/>
      <c r="K123" s="398"/>
      <c r="L123" s="398"/>
      <c r="M123" s="398"/>
      <c r="N123" s="86"/>
    </row>
    <row r="124" spans="1:14" s="608" customFormat="1" ht="15.75" x14ac:dyDescent="0.25">
      <c r="A124" s="523">
        <v>120</v>
      </c>
      <c r="B124" s="523" t="s">
        <v>973</v>
      </c>
      <c r="C124" s="555">
        <v>5047</v>
      </c>
      <c r="D124" s="563">
        <v>20000</v>
      </c>
      <c r="E124" s="87"/>
      <c r="F124" s="573">
        <v>222</v>
      </c>
      <c r="G124" s="573">
        <v>20000</v>
      </c>
      <c r="H124" s="87">
        <f t="shared" si="1"/>
        <v>0</v>
      </c>
      <c r="I124" s="509"/>
      <c r="J124" s="525"/>
      <c r="K124" s="398"/>
      <c r="L124" s="398"/>
      <c r="M124" s="398"/>
      <c r="N124" s="86"/>
    </row>
    <row r="125" spans="1:14" s="608" customFormat="1" ht="15.75" x14ac:dyDescent="0.25">
      <c r="A125" s="523">
        <v>121</v>
      </c>
      <c r="B125" s="523" t="s">
        <v>973</v>
      </c>
      <c r="C125" s="555">
        <v>9088</v>
      </c>
      <c r="D125" s="563">
        <v>30000</v>
      </c>
      <c r="E125" s="87"/>
      <c r="F125" s="573">
        <v>334</v>
      </c>
      <c r="G125" s="573">
        <v>30000</v>
      </c>
      <c r="H125" s="87">
        <f t="shared" si="1"/>
        <v>0</v>
      </c>
      <c r="I125" s="509"/>
      <c r="J125" s="525"/>
      <c r="K125" s="398"/>
      <c r="L125" s="398"/>
      <c r="M125" s="398"/>
      <c r="N125" s="86"/>
    </row>
    <row r="126" spans="1:14" s="608" customFormat="1" ht="15.75" x14ac:dyDescent="0.25">
      <c r="A126" s="523">
        <v>122</v>
      </c>
      <c r="B126" s="523" t="s">
        <v>973</v>
      </c>
      <c r="C126" s="555">
        <v>4137</v>
      </c>
      <c r="D126" s="563">
        <v>22000</v>
      </c>
      <c r="E126" s="87"/>
      <c r="F126" s="573">
        <v>245</v>
      </c>
      <c r="G126" s="573">
        <v>22000</v>
      </c>
      <c r="H126" s="87">
        <f t="shared" si="1"/>
        <v>0</v>
      </c>
      <c r="I126" s="509"/>
      <c r="J126" s="525"/>
      <c r="K126" s="398"/>
      <c r="L126" s="398"/>
      <c r="M126" s="398"/>
      <c r="N126" s="86"/>
    </row>
    <row r="127" spans="1:14" s="608" customFormat="1" ht="15.75" x14ac:dyDescent="0.25">
      <c r="A127" s="523">
        <v>123</v>
      </c>
      <c r="B127" s="523" t="s">
        <v>973</v>
      </c>
      <c r="C127" s="607" t="s">
        <v>978</v>
      </c>
      <c r="D127" s="563">
        <v>20000</v>
      </c>
      <c r="E127" s="87"/>
      <c r="F127" s="573">
        <v>222</v>
      </c>
      <c r="G127" s="573">
        <v>20000</v>
      </c>
      <c r="H127" s="87">
        <f t="shared" si="1"/>
        <v>0</v>
      </c>
      <c r="I127" s="509"/>
      <c r="J127" s="525"/>
      <c r="K127" s="398"/>
      <c r="L127" s="398"/>
      <c r="M127" s="398"/>
      <c r="N127" s="86"/>
    </row>
    <row r="128" spans="1:14" s="608" customFormat="1" ht="15.75" x14ac:dyDescent="0.25">
      <c r="A128" s="523">
        <v>124</v>
      </c>
      <c r="B128" s="523" t="s">
        <v>973</v>
      </c>
      <c r="C128" s="555">
        <v>1091</v>
      </c>
      <c r="D128" s="563">
        <v>20000</v>
      </c>
      <c r="E128" s="87"/>
      <c r="F128" s="573">
        <v>222</v>
      </c>
      <c r="G128" s="573">
        <v>20000</v>
      </c>
      <c r="H128" s="87">
        <f t="shared" si="1"/>
        <v>0</v>
      </c>
      <c r="I128" s="509"/>
      <c r="J128" s="525"/>
      <c r="K128" s="398"/>
      <c r="L128" s="398"/>
      <c r="M128" s="398"/>
      <c r="N128" s="86"/>
    </row>
    <row r="129" spans="1:14" s="608" customFormat="1" ht="15.75" x14ac:dyDescent="0.25">
      <c r="A129" s="523">
        <v>125</v>
      </c>
      <c r="B129" s="523" t="s">
        <v>973</v>
      </c>
      <c r="C129" s="555">
        <v>7991</v>
      </c>
      <c r="D129" s="563">
        <v>29000</v>
      </c>
      <c r="E129" s="87"/>
      <c r="F129" s="573">
        <v>323</v>
      </c>
      <c r="G129" s="573">
        <v>29000</v>
      </c>
      <c r="H129" s="87">
        <f t="shared" si="1"/>
        <v>0</v>
      </c>
      <c r="I129" s="509"/>
      <c r="J129" s="525"/>
      <c r="K129" s="398"/>
      <c r="L129" s="398"/>
      <c r="M129" s="398"/>
      <c r="N129" s="86"/>
    </row>
    <row r="130" spans="1:14" s="608" customFormat="1" ht="15.75" x14ac:dyDescent="0.25">
      <c r="A130" s="523">
        <v>126</v>
      </c>
      <c r="B130" s="523" t="s">
        <v>973</v>
      </c>
      <c r="C130" s="555">
        <v>3714</v>
      </c>
      <c r="D130" s="563">
        <v>29100</v>
      </c>
      <c r="E130" s="87"/>
      <c r="F130" s="573">
        <v>324</v>
      </c>
      <c r="G130" s="573">
        <v>29100</v>
      </c>
      <c r="H130" s="87">
        <f t="shared" si="1"/>
        <v>0</v>
      </c>
      <c r="I130" s="509"/>
      <c r="J130" s="525"/>
      <c r="K130" s="398"/>
      <c r="L130" s="398"/>
      <c r="M130" s="398"/>
      <c r="N130" s="86"/>
    </row>
    <row r="131" spans="1:14" s="608" customFormat="1" ht="15.75" x14ac:dyDescent="0.25">
      <c r="A131" s="523">
        <v>127</v>
      </c>
      <c r="B131" s="523" t="s">
        <v>973</v>
      </c>
      <c r="C131" s="555">
        <v>7365</v>
      </c>
      <c r="D131" s="563">
        <v>23000</v>
      </c>
      <c r="E131" s="87"/>
      <c r="F131" s="573">
        <v>256</v>
      </c>
      <c r="G131" s="573">
        <v>23000</v>
      </c>
      <c r="H131" s="87">
        <f t="shared" si="1"/>
        <v>0</v>
      </c>
      <c r="I131" s="509"/>
      <c r="J131" s="525"/>
      <c r="K131" s="398"/>
      <c r="L131" s="398"/>
      <c r="M131" s="398"/>
      <c r="N131" s="86"/>
    </row>
    <row r="132" spans="1:14" s="608" customFormat="1" ht="15.75" x14ac:dyDescent="0.25">
      <c r="A132" s="523">
        <v>128</v>
      </c>
      <c r="B132" s="523" t="s">
        <v>973</v>
      </c>
      <c r="C132" s="555">
        <v>8496</v>
      </c>
      <c r="D132" s="563">
        <v>15000</v>
      </c>
      <c r="E132" s="87"/>
      <c r="F132" s="573">
        <v>222</v>
      </c>
      <c r="G132" s="573">
        <v>15000</v>
      </c>
      <c r="H132" s="87">
        <f t="shared" si="1"/>
        <v>0</v>
      </c>
      <c r="I132" s="509"/>
      <c r="J132" s="525"/>
      <c r="K132" s="398"/>
      <c r="L132" s="398"/>
      <c r="M132" s="398"/>
      <c r="N132" s="86"/>
    </row>
    <row r="133" spans="1:14" s="608" customFormat="1" ht="15.75" x14ac:dyDescent="0.25">
      <c r="A133" s="523">
        <v>129</v>
      </c>
      <c r="B133" s="523" t="s">
        <v>973</v>
      </c>
      <c r="C133" s="555">
        <v>6066</v>
      </c>
      <c r="D133" s="563">
        <v>10000</v>
      </c>
      <c r="E133" s="87"/>
      <c r="F133" s="573">
        <v>111</v>
      </c>
      <c r="G133" s="573">
        <v>10000</v>
      </c>
      <c r="H133" s="87">
        <f t="shared" si="1"/>
        <v>0</v>
      </c>
      <c r="I133" s="509"/>
      <c r="J133" s="525"/>
      <c r="K133" s="398"/>
      <c r="L133" s="398"/>
      <c r="M133" s="398"/>
      <c r="N133" s="86"/>
    </row>
    <row r="134" spans="1:14" s="608" customFormat="1" ht="15.75" x14ac:dyDescent="0.25">
      <c r="A134" s="523">
        <v>130</v>
      </c>
      <c r="B134" s="523" t="s">
        <v>973</v>
      </c>
      <c r="C134" s="555">
        <v>4118</v>
      </c>
      <c r="D134" s="563">
        <v>32000</v>
      </c>
      <c r="E134" s="87"/>
      <c r="F134" s="573">
        <v>356</v>
      </c>
      <c r="G134" s="573">
        <v>32000</v>
      </c>
      <c r="H134" s="87">
        <f t="shared" si="1"/>
        <v>0</v>
      </c>
      <c r="I134" s="509"/>
      <c r="J134" s="525"/>
      <c r="K134" s="398"/>
      <c r="L134" s="398"/>
      <c r="M134" s="398"/>
      <c r="N134" s="86"/>
    </row>
    <row r="135" spans="1:14" s="608" customFormat="1" ht="15.75" x14ac:dyDescent="0.25">
      <c r="A135" s="523">
        <v>131</v>
      </c>
      <c r="B135" s="523" t="s">
        <v>979</v>
      </c>
      <c r="C135" s="555" t="s">
        <v>66</v>
      </c>
      <c r="D135" s="563">
        <v>210</v>
      </c>
      <c r="E135" s="87"/>
      <c r="F135" s="573">
        <v>2</v>
      </c>
      <c r="G135" s="573">
        <v>210</v>
      </c>
      <c r="H135" s="87">
        <f t="shared" si="1"/>
        <v>0</v>
      </c>
      <c r="I135" s="509"/>
      <c r="J135" s="525"/>
      <c r="K135" s="398"/>
      <c r="L135" s="398"/>
      <c r="M135" s="398"/>
      <c r="N135" s="86"/>
    </row>
    <row r="136" spans="1:14" s="608" customFormat="1" ht="15.75" x14ac:dyDescent="0.25">
      <c r="A136" s="523">
        <v>132</v>
      </c>
      <c r="B136" s="523" t="s">
        <v>979</v>
      </c>
      <c r="C136" s="555">
        <v>3211</v>
      </c>
      <c r="D136" s="563">
        <v>10000</v>
      </c>
      <c r="E136" s="87"/>
      <c r="F136" s="573">
        <v>111</v>
      </c>
      <c r="G136" s="573">
        <v>10000</v>
      </c>
      <c r="H136" s="87">
        <f t="shared" si="1"/>
        <v>0</v>
      </c>
      <c r="I136" s="509"/>
      <c r="J136" s="525"/>
      <c r="K136" s="398"/>
      <c r="L136" s="398"/>
      <c r="M136" s="398"/>
      <c r="N136" s="86"/>
    </row>
    <row r="137" spans="1:14" s="608" customFormat="1" ht="15.75" x14ac:dyDescent="0.25">
      <c r="A137" s="523">
        <v>133</v>
      </c>
      <c r="B137" s="523" t="s">
        <v>979</v>
      </c>
      <c r="C137" s="555">
        <v>5781</v>
      </c>
      <c r="D137" s="563">
        <v>10000</v>
      </c>
      <c r="E137" s="87"/>
      <c r="F137" s="573">
        <v>111</v>
      </c>
      <c r="G137" s="573">
        <v>10000</v>
      </c>
      <c r="H137" s="87">
        <f t="shared" si="1"/>
        <v>0</v>
      </c>
      <c r="I137" s="509"/>
      <c r="J137" s="525"/>
      <c r="K137" s="398"/>
      <c r="L137" s="398"/>
      <c r="M137" s="398"/>
      <c r="N137" s="86"/>
    </row>
    <row r="138" spans="1:14" s="608" customFormat="1" ht="15.75" x14ac:dyDescent="0.25">
      <c r="A138" s="523">
        <v>134</v>
      </c>
      <c r="B138" s="523" t="s">
        <v>979</v>
      </c>
      <c r="C138" s="555">
        <v>3533</v>
      </c>
      <c r="D138" s="563">
        <v>10000</v>
      </c>
      <c r="E138" s="87"/>
      <c r="F138" s="573">
        <v>111</v>
      </c>
      <c r="G138" s="573">
        <v>10000</v>
      </c>
      <c r="H138" s="87">
        <f t="shared" si="1"/>
        <v>0</v>
      </c>
      <c r="I138" s="509"/>
      <c r="J138" s="525"/>
      <c r="K138" s="398"/>
      <c r="L138" s="398"/>
      <c r="M138" s="398"/>
      <c r="N138" s="86"/>
    </row>
    <row r="139" spans="1:14" s="608" customFormat="1" ht="15.75" x14ac:dyDescent="0.25">
      <c r="A139" s="523">
        <v>135</v>
      </c>
      <c r="B139" s="523" t="s">
        <v>979</v>
      </c>
      <c r="C139" s="555">
        <v>3425</v>
      </c>
      <c r="D139" s="563">
        <v>10000</v>
      </c>
      <c r="E139" s="87"/>
      <c r="F139" s="573">
        <v>111</v>
      </c>
      <c r="G139" s="573">
        <v>10000</v>
      </c>
      <c r="H139" s="87">
        <f t="shared" si="1"/>
        <v>0</v>
      </c>
      <c r="I139" s="509"/>
      <c r="J139" s="525"/>
      <c r="K139" s="398"/>
      <c r="L139" s="398"/>
      <c r="M139" s="398"/>
      <c r="N139" s="86"/>
    </row>
    <row r="140" spans="1:14" s="608" customFormat="1" ht="15.75" x14ac:dyDescent="0.25">
      <c r="A140" s="523">
        <v>136</v>
      </c>
      <c r="B140" s="523" t="s">
        <v>979</v>
      </c>
      <c r="C140" s="555">
        <v>7375</v>
      </c>
      <c r="D140" s="563">
        <v>15000</v>
      </c>
      <c r="E140" s="87"/>
      <c r="F140" s="573">
        <v>167</v>
      </c>
      <c r="G140" s="573">
        <v>15000</v>
      </c>
      <c r="H140" s="87">
        <f t="shared" si="1"/>
        <v>0</v>
      </c>
      <c r="I140" s="509"/>
      <c r="J140" s="525"/>
      <c r="K140" s="398"/>
      <c r="L140" s="398"/>
      <c r="M140" s="398"/>
      <c r="N140" s="86"/>
    </row>
    <row r="141" spans="1:14" s="608" customFormat="1" ht="15.75" x14ac:dyDescent="0.25">
      <c r="A141" s="523">
        <v>137</v>
      </c>
      <c r="B141" s="523" t="s">
        <v>979</v>
      </c>
      <c r="C141" s="555">
        <v>4494</v>
      </c>
      <c r="D141" s="563">
        <v>15000</v>
      </c>
      <c r="E141" s="87"/>
      <c r="F141" s="573">
        <v>167</v>
      </c>
      <c r="G141" s="573">
        <v>15000</v>
      </c>
      <c r="H141" s="87">
        <f t="shared" si="1"/>
        <v>0</v>
      </c>
      <c r="I141" s="509"/>
      <c r="J141" s="525"/>
      <c r="K141" s="398"/>
      <c r="L141" s="398"/>
      <c r="M141" s="398"/>
      <c r="N141" s="86"/>
    </row>
    <row r="142" spans="1:14" s="608" customFormat="1" ht="15.75" x14ac:dyDescent="0.25">
      <c r="A142" s="523">
        <v>138</v>
      </c>
      <c r="B142" s="523" t="s">
        <v>979</v>
      </c>
      <c r="C142" s="555">
        <v>4748</v>
      </c>
      <c r="D142" s="563">
        <v>15000</v>
      </c>
      <c r="E142" s="87"/>
      <c r="F142" s="573">
        <v>167</v>
      </c>
      <c r="G142" s="573">
        <v>15000</v>
      </c>
      <c r="H142" s="87">
        <f t="shared" si="1"/>
        <v>0</v>
      </c>
      <c r="I142" s="509"/>
      <c r="J142" s="525"/>
      <c r="K142" s="398"/>
      <c r="L142" s="398"/>
      <c r="M142" s="398"/>
      <c r="N142" s="86"/>
    </row>
    <row r="143" spans="1:14" s="608" customFormat="1" ht="15.75" x14ac:dyDescent="0.25">
      <c r="A143" s="523">
        <v>139</v>
      </c>
      <c r="B143" s="523" t="s">
        <v>979</v>
      </c>
      <c r="C143" s="555">
        <v>1462</v>
      </c>
      <c r="D143" s="563">
        <v>15000</v>
      </c>
      <c r="E143" s="87"/>
      <c r="F143" s="573">
        <v>167</v>
      </c>
      <c r="G143" s="573">
        <v>15000</v>
      </c>
      <c r="H143" s="87">
        <f t="shared" si="1"/>
        <v>0</v>
      </c>
      <c r="I143" s="509"/>
      <c r="J143" s="525"/>
      <c r="K143" s="398"/>
      <c r="L143" s="398"/>
      <c r="M143" s="398"/>
      <c r="N143" s="86"/>
    </row>
    <row r="144" spans="1:14" s="608" customFormat="1" ht="15.75" x14ac:dyDescent="0.25">
      <c r="A144" s="523">
        <v>140</v>
      </c>
      <c r="B144" s="523" t="s">
        <v>979</v>
      </c>
      <c r="C144" s="555">
        <v>3038</v>
      </c>
      <c r="D144" s="563">
        <v>30000</v>
      </c>
      <c r="E144" s="87"/>
      <c r="F144" s="573">
        <v>334</v>
      </c>
      <c r="G144" s="573">
        <v>30000</v>
      </c>
      <c r="H144" s="87">
        <f t="shared" si="1"/>
        <v>0</v>
      </c>
      <c r="I144" s="509"/>
      <c r="J144" s="525"/>
      <c r="K144" s="398"/>
      <c r="L144" s="398"/>
      <c r="M144" s="398"/>
      <c r="N144" s="86"/>
    </row>
    <row r="145" spans="1:14" s="608" customFormat="1" ht="15.75" x14ac:dyDescent="0.25">
      <c r="A145" s="523">
        <v>141</v>
      </c>
      <c r="B145" s="523" t="s">
        <v>979</v>
      </c>
      <c r="C145" s="607" t="s">
        <v>980</v>
      </c>
      <c r="D145" s="563">
        <v>20000</v>
      </c>
      <c r="E145" s="87"/>
      <c r="F145" s="573">
        <v>222</v>
      </c>
      <c r="G145" s="573">
        <v>20000</v>
      </c>
      <c r="H145" s="87">
        <f t="shared" si="1"/>
        <v>0</v>
      </c>
      <c r="I145" s="509"/>
      <c r="J145" s="525"/>
      <c r="K145" s="398"/>
      <c r="L145" s="398"/>
      <c r="M145" s="398"/>
      <c r="N145" s="86"/>
    </row>
    <row r="146" spans="1:14" s="608" customFormat="1" ht="15.75" x14ac:dyDescent="0.25">
      <c r="A146" s="523">
        <v>142</v>
      </c>
      <c r="B146" s="523" t="s">
        <v>979</v>
      </c>
      <c r="C146" s="555">
        <v>1174</v>
      </c>
      <c r="D146" s="563">
        <v>20000</v>
      </c>
      <c r="E146" s="87"/>
      <c r="F146" s="573">
        <v>222</v>
      </c>
      <c r="G146" s="573">
        <v>20000</v>
      </c>
      <c r="H146" s="87">
        <f t="shared" si="1"/>
        <v>0</v>
      </c>
      <c r="I146" s="509"/>
      <c r="J146" s="525"/>
      <c r="K146" s="398"/>
      <c r="L146" s="398"/>
      <c r="M146" s="398"/>
      <c r="N146" s="86"/>
    </row>
    <row r="147" spans="1:14" s="608" customFormat="1" ht="15.75" x14ac:dyDescent="0.25">
      <c r="A147" s="523">
        <v>143</v>
      </c>
      <c r="B147" s="523" t="s">
        <v>979</v>
      </c>
      <c r="C147" s="555">
        <v>2973</v>
      </c>
      <c r="D147" s="563">
        <v>14000</v>
      </c>
      <c r="E147" s="87"/>
      <c r="F147" s="573">
        <v>155</v>
      </c>
      <c r="G147" s="573">
        <v>14000</v>
      </c>
      <c r="H147" s="87">
        <f t="shared" si="1"/>
        <v>0</v>
      </c>
      <c r="I147" s="509"/>
      <c r="J147" s="525"/>
      <c r="K147" s="398"/>
      <c r="L147" s="398"/>
      <c r="M147" s="398"/>
      <c r="N147" s="86"/>
    </row>
    <row r="148" spans="1:14" s="608" customFormat="1" ht="15.75" x14ac:dyDescent="0.25">
      <c r="A148" s="523">
        <v>144</v>
      </c>
      <c r="B148" s="523" t="s">
        <v>979</v>
      </c>
      <c r="C148" s="555">
        <v>3577</v>
      </c>
      <c r="D148" s="563">
        <v>19000</v>
      </c>
      <c r="E148" s="87"/>
      <c r="F148" s="573">
        <v>2111</v>
      </c>
      <c r="G148" s="573">
        <v>19000</v>
      </c>
      <c r="H148" s="87">
        <f t="shared" si="1"/>
        <v>0</v>
      </c>
      <c r="I148" s="509"/>
      <c r="J148" s="525"/>
      <c r="K148" s="398"/>
      <c r="L148" s="398"/>
      <c r="M148" s="398"/>
      <c r="N148" s="86"/>
    </row>
    <row r="149" spans="1:14" s="608" customFormat="1" ht="15.75" x14ac:dyDescent="0.25">
      <c r="A149" s="523">
        <v>145</v>
      </c>
      <c r="B149" s="523" t="s">
        <v>979</v>
      </c>
      <c r="C149" s="555" t="s">
        <v>30</v>
      </c>
      <c r="D149" s="563">
        <v>3000</v>
      </c>
      <c r="E149" s="87"/>
      <c r="F149" s="573">
        <v>33</v>
      </c>
      <c r="G149" s="573">
        <v>3000</v>
      </c>
      <c r="H149" s="87">
        <f t="shared" si="1"/>
        <v>0</v>
      </c>
      <c r="I149" s="509"/>
      <c r="J149" s="525"/>
      <c r="K149" s="398"/>
      <c r="L149" s="398"/>
      <c r="M149" s="398"/>
      <c r="N149" s="86"/>
    </row>
    <row r="150" spans="1:14" s="608" customFormat="1" ht="15.75" x14ac:dyDescent="0.25">
      <c r="A150" s="523">
        <v>146</v>
      </c>
      <c r="B150" s="523" t="s">
        <v>979</v>
      </c>
      <c r="C150" s="555" t="s">
        <v>30</v>
      </c>
      <c r="D150" s="563">
        <v>5000</v>
      </c>
      <c r="E150" s="87"/>
      <c r="F150" s="573">
        <v>55</v>
      </c>
      <c r="G150" s="573">
        <v>5000</v>
      </c>
      <c r="H150" s="87">
        <f t="shared" si="1"/>
        <v>0</v>
      </c>
      <c r="I150" s="509"/>
      <c r="J150" s="525"/>
      <c r="K150" s="398"/>
      <c r="L150" s="398"/>
      <c r="M150" s="398"/>
      <c r="N150" s="86"/>
    </row>
    <row r="151" spans="1:14" s="608" customFormat="1" ht="15.75" x14ac:dyDescent="0.25">
      <c r="A151" s="523">
        <v>147</v>
      </c>
      <c r="B151" s="523" t="s">
        <v>979</v>
      </c>
      <c r="C151" s="555">
        <v>1220</v>
      </c>
      <c r="D151" s="563">
        <v>14000</v>
      </c>
      <c r="E151" s="87"/>
      <c r="F151" s="573">
        <v>155</v>
      </c>
      <c r="G151" s="573">
        <v>14000</v>
      </c>
      <c r="H151" s="87">
        <f t="shared" si="1"/>
        <v>0</v>
      </c>
      <c r="I151" s="509"/>
      <c r="J151" s="525"/>
      <c r="K151" s="398"/>
      <c r="L151" s="398"/>
      <c r="M151" s="398"/>
      <c r="N151" s="86"/>
    </row>
    <row r="152" spans="1:14" s="608" customFormat="1" ht="15.75" x14ac:dyDescent="0.25">
      <c r="A152" s="523">
        <v>148</v>
      </c>
      <c r="B152" s="523" t="s">
        <v>979</v>
      </c>
      <c r="C152" s="555">
        <v>7995</v>
      </c>
      <c r="D152" s="563">
        <v>25000</v>
      </c>
      <c r="E152" s="87"/>
      <c r="F152" s="573">
        <v>278</v>
      </c>
      <c r="G152" s="573">
        <v>25000</v>
      </c>
      <c r="H152" s="87">
        <f t="shared" si="1"/>
        <v>0</v>
      </c>
      <c r="I152" s="509"/>
      <c r="J152" s="525"/>
      <c r="K152" s="398"/>
      <c r="L152" s="398"/>
      <c r="M152" s="398"/>
      <c r="N152" s="86"/>
    </row>
    <row r="153" spans="1:14" s="608" customFormat="1" ht="15.75" x14ac:dyDescent="0.25">
      <c r="A153" s="523">
        <v>149</v>
      </c>
      <c r="B153" s="523" t="s">
        <v>979</v>
      </c>
      <c r="C153" s="555">
        <v>7719</v>
      </c>
      <c r="D153" s="563">
        <v>25000</v>
      </c>
      <c r="E153" s="87"/>
      <c r="F153" s="573">
        <v>263</v>
      </c>
      <c r="G153" s="573">
        <v>25000</v>
      </c>
      <c r="H153" s="87">
        <f t="shared" si="1"/>
        <v>0</v>
      </c>
      <c r="I153" s="509"/>
      <c r="J153" s="525"/>
      <c r="K153" s="398"/>
      <c r="L153" s="398"/>
      <c r="M153" s="398"/>
      <c r="N153" s="86"/>
    </row>
    <row r="154" spans="1:14" s="608" customFormat="1" ht="15.75" x14ac:dyDescent="0.25">
      <c r="A154" s="523">
        <v>150</v>
      </c>
      <c r="B154" s="523" t="s">
        <v>979</v>
      </c>
      <c r="C154" s="555">
        <v>7886</v>
      </c>
      <c r="D154" s="563">
        <v>29000</v>
      </c>
      <c r="E154" s="87"/>
      <c r="F154" s="573">
        <v>323</v>
      </c>
      <c r="G154" s="573">
        <v>29000</v>
      </c>
      <c r="H154" s="87">
        <f t="shared" si="1"/>
        <v>0</v>
      </c>
      <c r="I154" s="509"/>
      <c r="J154" s="525"/>
      <c r="K154" s="398"/>
      <c r="L154" s="398"/>
      <c r="M154" s="398"/>
      <c r="N154" s="86"/>
    </row>
    <row r="155" spans="1:14" s="608" customFormat="1" ht="15.75" x14ac:dyDescent="0.25">
      <c r="A155" s="523">
        <v>151</v>
      </c>
      <c r="B155" s="523" t="s">
        <v>979</v>
      </c>
      <c r="C155" s="555">
        <v>5626</v>
      </c>
      <c r="D155" s="563">
        <v>27000</v>
      </c>
      <c r="E155" s="87"/>
      <c r="F155" s="573">
        <v>288</v>
      </c>
      <c r="G155" s="573">
        <v>27000</v>
      </c>
      <c r="H155" s="87">
        <f t="shared" si="1"/>
        <v>0</v>
      </c>
      <c r="I155" s="509"/>
      <c r="J155" s="525"/>
      <c r="K155" s="398"/>
      <c r="L155" s="398"/>
      <c r="M155" s="398"/>
      <c r="N155" s="86"/>
    </row>
    <row r="156" spans="1:14" s="608" customFormat="1" ht="15.75" x14ac:dyDescent="0.25">
      <c r="A156" s="523">
        <v>152</v>
      </c>
      <c r="B156" s="523" t="s">
        <v>979</v>
      </c>
      <c r="C156" s="555">
        <v>2320</v>
      </c>
      <c r="D156" s="563">
        <v>24000</v>
      </c>
      <c r="E156" s="87"/>
      <c r="F156" s="573">
        <v>267</v>
      </c>
      <c r="G156" s="573">
        <v>24000</v>
      </c>
      <c r="H156" s="87">
        <f t="shared" si="1"/>
        <v>0</v>
      </c>
      <c r="I156" s="509"/>
      <c r="J156" s="525"/>
      <c r="K156" s="398"/>
      <c r="L156" s="398"/>
      <c r="M156" s="398"/>
      <c r="N156" s="86"/>
    </row>
    <row r="157" spans="1:14" s="608" customFormat="1" ht="15.75" x14ac:dyDescent="0.25">
      <c r="A157" s="523">
        <v>153</v>
      </c>
      <c r="B157" s="523" t="s">
        <v>979</v>
      </c>
      <c r="C157" s="555">
        <v>9021</v>
      </c>
      <c r="D157" s="563">
        <v>25000</v>
      </c>
      <c r="E157" s="87"/>
      <c r="F157" s="573">
        <v>278</v>
      </c>
      <c r="G157" s="573">
        <v>25000</v>
      </c>
      <c r="H157" s="87">
        <f t="shared" si="1"/>
        <v>0</v>
      </c>
      <c r="I157" s="509"/>
      <c r="J157" s="525"/>
      <c r="K157" s="398"/>
      <c r="L157" s="398"/>
      <c r="M157" s="398"/>
      <c r="N157" s="86"/>
    </row>
    <row r="158" spans="1:14" s="608" customFormat="1" ht="15.75" x14ac:dyDescent="0.25">
      <c r="A158" s="523">
        <v>154</v>
      </c>
      <c r="B158" s="523" t="s">
        <v>979</v>
      </c>
      <c r="C158" s="555">
        <v>6464</v>
      </c>
      <c r="D158" s="563">
        <v>28000</v>
      </c>
      <c r="E158" s="87"/>
      <c r="F158" s="573">
        <v>303</v>
      </c>
      <c r="G158" s="573">
        <v>28000</v>
      </c>
      <c r="H158" s="87">
        <f t="shared" si="1"/>
        <v>0</v>
      </c>
      <c r="I158" s="509"/>
      <c r="J158" s="525"/>
      <c r="K158" s="398"/>
      <c r="L158" s="398"/>
      <c r="M158" s="398"/>
      <c r="N158" s="86"/>
    </row>
    <row r="159" spans="1:14" s="608" customFormat="1" ht="15.75" x14ac:dyDescent="0.25">
      <c r="A159" s="523">
        <v>155</v>
      </c>
      <c r="B159" s="523" t="s">
        <v>979</v>
      </c>
      <c r="C159" s="555">
        <v>4744</v>
      </c>
      <c r="D159" s="563">
        <v>30000</v>
      </c>
      <c r="E159" s="87"/>
      <c r="F159" s="573">
        <v>334</v>
      </c>
      <c r="G159" s="573">
        <v>30000</v>
      </c>
      <c r="H159" s="87">
        <f t="shared" si="1"/>
        <v>0</v>
      </c>
      <c r="I159" s="509"/>
      <c r="J159" s="525"/>
      <c r="K159" s="398"/>
      <c r="L159" s="398"/>
      <c r="M159" s="398"/>
      <c r="N159" s="86"/>
    </row>
    <row r="160" spans="1:14" s="608" customFormat="1" ht="15.75" x14ac:dyDescent="0.25">
      <c r="A160" s="523">
        <v>156</v>
      </c>
      <c r="B160" s="523" t="s">
        <v>979</v>
      </c>
      <c r="C160" s="555">
        <v>1318</v>
      </c>
      <c r="D160" s="563">
        <v>20000</v>
      </c>
      <c r="E160" s="87"/>
      <c r="F160" s="573">
        <v>222</v>
      </c>
      <c r="G160" s="573">
        <v>20000</v>
      </c>
      <c r="H160" s="87">
        <f t="shared" si="1"/>
        <v>0</v>
      </c>
      <c r="I160" s="509"/>
      <c r="J160" s="525"/>
      <c r="K160" s="398"/>
      <c r="L160" s="398"/>
      <c r="M160" s="398"/>
      <c r="N160" s="86"/>
    </row>
    <row r="161" spans="1:14" s="608" customFormat="1" ht="15.75" x14ac:dyDescent="0.25">
      <c r="A161" s="523">
        <v>157</v>
      </c>
      <c r="B161" s="523" t="s">
        <v>979</v>
      </c>
      <c r="C161" s="555">
        <v>3629</v>
      </c>
      <c r="D161" s="563">
        <v>30000</v>
      </c>
      <c r="E161" s="87"/>
      <c r="F161" s="573">
        <v>334</v>
      </c>
      <c r="G161" s="573">
        <v>30000</v>
      </c>
      <c r="H161" s="87">
        <f t="shared" ref="H161:H224" si="2">D161-G161</f>
        <v>0</v>
      </c>
      <c r="I161" s="509"/>
      <c r="J161" s="525"/>
      <c r="K161" s="398"/>
      <c r="L161" s="398"/>
      <c r="M161" s="398"/>
      <c r="N161" s="86"/>
    </row>
    <row r="162" spans="1:14" s="608" customFormat="1" ht="15.75" x14ac:dyDescent="0.25">
      <c r="A162" s="523">
        <v>158</v>
      </c>
      <c r="B162" s="523" t="s">
        <v>979</v>
      </c>
      <c r="C162" s="555">
        <v>7258</v>
      </c>
      <c r="D162" s="563">
        <v>29000</v>
      </c>
      <c r="E162" s="87"/>
      <c r="F162" s="573">
        <v>314</v>
      </c>
      <c r="G162" s="573">
        <v>29000</v>
      </c>
      <c r="H162" s="87">
        <f t="shared" si="2"/>
        <v>0</v>
      </c>
      <c r="I162" s="509"/>
      <c r="J162" s="525"/>
      <c r="K162" s="398"/>
      <c r="L162" s="398"/>
      <c r="M162" s="398"/>
      <c r="N162" s="86"/>
    </row>
    <row r="163" spans="1:14" s="608" customFormat="1" ht="15.75" x14ac:dyDescent="0.25">
      <c r="A163" s="523">
        <v>159</v>
      </c>
      <c r="B163" s="523" t="s">
        <v>979</v>
      </c>
      <c r="C163" s="555">
        <v>4204</v>
      </c>
      <c r="D163" s="563">
        <v>14500</v>
      </c>
      <c r="E163" s="87"/>
      <c r="F163" s="573">
        <v>161</v>
      </c>
      <c r="G163" s="573">
        <v>14500</v>
      </c>
      <c r="H163" s="87">
        <f t="shared" si="2"/>
        <v>0</v>
      </c>
      <c r="I163" s="509"/>
      <c r="J163" s="525"/>
      <c r="K163" s="398"/>
      <c r="L163" s="398"/>
      <c r="M163" s="398"/>
      <c r="N163" s="86"/>
    </row>
    <row r="164" spans="1:14" s="608" customFormat="1" ht="15.75" x14ac:dyDescent="0.25">
      <c r="A164" s="523">
        <v>160</v>
      </c>
      <c r="B164" s="523" t="s">
        <v>979</v>
      </c>
      <c r="C164" s="555">
        <v>4221</v>
      </c>
      <c r="D164" s="563">
        <v>25000</v>
      </c>
      <c r="E164" s="87"/>
      <c r="F164" s="573">
        <v>278</v>
      </c>
      <c r="G164" s="573">
        <v>25000</v>
      </c>
      <c r="H164" s="87">
        <f t="shared" si="2"/>
        <v>0</v>
      </c>
      <c r="I164" s="509"/>
      <c r="J164" s="525"/>
      <c r="K164" s="398"/>
      <c r="L164" s="398"/>
      <c r="M164" s="398"/>
      <c r="N164" s="86"/>
    </row>
    <row r="165" spans="1:14" s="608" customFormat="1" ht="15.75" x14ac:dyDescent="0.25">
      <c r="A165" s="523">
        <v>161</v>
      </c>
      <c r="B165" s="523" t="s">
        <v>979</v>
      </c>
      <c r="C165" s="607" t="s">
        <v>981</v>
      </c>
      <c r="D165" s="563">
        <v>29000</v>
      </c>
      <c r="E165" s="87"/>
      <c r="F165" s="573">
        <v>323</v>
      </c>
      <c r="G165" s="573">
        <v>29000</v>
      </c>
      <c r="H165" s="87">
        <f t="shared" si="2"/>
        <v>0</v>
      </c>
      <c r="I165" s="509"/>
      <c r="J165" s="525"/>
      <c r="K165" s="398"/>
      <c r="L165" s="398"/>
      <c r="M165" s="398"/>
      <c r="N165" s="86"/>
    </row>
    <row r="166" spans="1:14" s="608" customFormat="1" ht="15.75" x14ac:dyDescent="0.25">
      <c r="A166" s="523">
        <v>162</v>
      </c>
      <c r="B166" s="523" t="s">
        <v>979</v>
      </c>
      <c r="C166" s="555">
        <v>2132</v>
      </c>
      <c r="D166" s="563">
        <v>26000</v>
      </c>
      <c r="E166" s="87"/>
      <c r="F166" s="573">
        <v>289</v>
      </c>
      <c r="G166" s="573">
        <v>26000</v>
      </c>
      <c r="H166" s="87">
        <f t="shared" si="2"/>
        <v>0</v>
      </c>
      <c r="I166" s="509"/>
      <c r="J166" s="525"/>
      <c r="K166" s="398">
        <f>2357427-2347857</f>
        <v>9570</v>
      </c>
      <c r="L166" s="398" t="s">
        <v>956</v>
      </c>
      <c r="M166" s="398" t="s">
        <v>620</v>
      </c>
      <c r="N166" s="86">
        <f>9570-4640</f>
        <v>4930</v>
      </c>
    </row>
    <row r="167" spans="1:14" s="610" customFormat="1" ht="15.75" x14ac:dyDescent="0.25">
      <c r="A167" s="523">
        <v>163</v>
      </c>
      <c r="B167" s="523" t="s">
        <v>974</v>
      </c>
      <c r="C167" s="555" t="s">
        <v>30</v>
      </c>
      <c r="D167" s="563">
        <v>10000</v>
      </c>
      <c r="E167" s="87"/>
      <c r="F167" s="573">
        <v>111.41</v>
      </c>
      <c r="G167" s="573">
        <v>10000</v>
      </c>
      <c r="H167" s="87">
        <f t="shared" si="2"/>
        <v>0</v>
      </c>
      <c r="I167" s="509"/>
      <c r="J167" s="525"/>
      <c r="K167" s="398"/>
      <c r="L167" s="398"/>
      <c r="M167" s="398"/>
      <c r="N167" s="86"/>
    </row>
    <row r="168" spans="1:14" s="610" customFormat="1" ht="15.75" x14ac:dyDescent="0.25">
      <c r="A168" s="523">
        <v>164</v>
      </c>
      <c r="B168" s="523" t="s">
        <v>974</v>
      </c>
      <c r="C168" s="555">
        <v>8327</v>
      </c>
      <c r="D168" s="563">
        <v>13000</v>
      </c>
      <c r="E168" s="87"/>
      <c r="F168" s="573">
        <v>144.13</v>
      </c>
      <c r="G168" s="573">
        <v>13000</v>
      </c>
      <c r="H168" s="87">
        <f t="shared" si="2"/>
        <v>0</v>
      </c>
      <c r="I168" s="509"/>
      <c r="J168" s="525"/>
      <c r="K168" s="398"/>
      <c r="L168" s="398"/>
      <c r="M168" s="398"/>
      <c r="N168" s="86"/>
    </row>
    <row r="169" spans="1:14" s="610" customFormat="1" ht="15.75" x14ac:dyDescent="0.25">
      <c r="A169" s="523">
        <v>165</v>
      </c>
      <c r="B169" s="523" t="s">
        <v>974</v>
      </c>
      <c r="C169" s="555">
        <v>9944</v>
      </c>
      <c r="D169" s="563">
        <v>13000</v>
      </c>
      <c r="E169" s="87"/>
      <c r="F169" s="573">
        <v>144.13</v>
      </c>
      <c r="G169" s="573">
        <v>13000</v>
      </c>
      <c r="H169" s="87">
        <f t="shared" si="2"/>
        <v>0</v>
      </c>
      <c r="I169" s="509"/>
      <c r="J169" s="525"/>
      <c r="K169" s="398"/>
      <c r="L169" s="398"/>
      <c r="M169" s="398"/>
      <c r="N169" s="86"/>
    </row>
    <row r="170" spans="1:14" s="610" customFormat="1" ht="15.75" x14ac:dyDescent="0.25">
      <c r="A170" s="523">
        <v>166</v>
      </c>
      <c r="B170" s="523" t="s">
        <v>974</v>
      </c>
      <c r="C170" s="555">
        <v>2497</v>
      </c>
      <c r="D170" s="563">
        <v>17000</v>
      </c>
      <c r="E170" s="87"/>
      <c r="F170" s="573">
        <v>189.25</v>
      </c>
      <c r="G170" s="573">
        <v>17000</v>
      </c>
      <c r="H170" s="87">
        <f t="shared" si="2"/>
        <v>0</v>
      </c>
      <c r="I170" s="509"/>
      <c r="J170" s="525"/>
      <c r="K170" s="398"/>
      <c r="L170" s="398"/>
      <c r="M170" s="398"/>
      <c r="N170" s="86"/>
    </row>
    <row r="171" spans="1:14" s="610" customFormat="1" ht="15.75" x14ac:dyDescent="0.25">
      <c r="A171" s="523">
        <v>167</v>
      </c>
      <c r="B171" s="523" t="s">
        <v>974</v>
      </c>
      <c r="C171" s="555">
        <v>7345</v>
      </c>
      <c r="D171" s="563">
        <v>13000</v>
      </c>
      <c r="E171" s="87"/>
      <c r="F171" s="573">
        <v>144.13</v>
      </c>
      <c r="G171" s="573">
        <v>13000</v>
      </c>
      <c r="H171" s="87">
        <f t="shared" si="2"/>
        <v>0</v>
      </c>
      <c r="I171" s="509"/>
      <c r="J171" s="525"/>
      <c r="K171" s="398"/>
      <c r="L171" s="398"/>
      <c r="M171" s="398"/>
      <c r="N171" s="86"/>
    </row>
    <row r="172" spans="1:14" s="610" customFormat="1" ht="15.75" x14ac:dyDescent="0.25">
      <c r="A172" s="523">
        <v>168</v>
      </c>
      <c r="B172" s="523" t="s">
        <v>974</v>
      </c>
      <c r="C172" s="555">
        <v>7344</v>
      </c>
      <c r="D172" s="563">
        <v>13000</v>
      </c>
      <c r="E172" s="87"/>
      <c r="F172" s="573">
        <v>144.13</v>
      </c>
      <c r="G172" s="573">
        <v>13000</v>
      </c>
      <c r="H172" s="87">
        <f t="shared" si="2"/>
        <v>0</v>
      </c>
      <c r="I172" s="509"/>
      <c r="J172" s="525"/>
      <c r="K172" s="398"/>
      <c r="L172" s="398"/>
      <c r="M172" s="398"/>
      <c r="N172" s="86"/>
    </row>
    <row r="173" spans="1:14" s="610" customFormat="1" ht="15.75" x14ac:dyDescent="0.25">
      <c r="A173" s="523">
        <v>169</v>
      </c>
      <c r="B173" s="523" t="s">
        <v>974</v>
      </c>
      <c r="C173" s="555" t="s">
        <v>30</v>
      </c>
      <c r="D173" s="563">
        <v>4500</v>
      </c>
      <c r="E173" s="87"/>
      <c r="F173" s="573">
        <v>50.45</v>
      </c>
      <c r="G173" s="573">
        <v>4500</v>
      </c>
      <c r="H173" s="87">
        <f t="shared" si="2"/>
        <v>0</v>
      </c>
      <c r="I173" s="509"/>
      <c r="J173" s="525"/>
      <c r="K173" s="398"/>
      <c r="L173" s="398"/>
      <c r="M173" s="398"/>
      <c r="N173" s="86"/>
    </row>
    <row r="174" spans="1:14" s="610" customFormat="1" ht="15.75" x14ac:dyDescent="0.25">
      <c r="A174" s="523">
        <v>170</v>
      </c>
      <c r="B174" s="523" t="s">
        <v>974</v>
      </c>
      <c r="C174" s="555" t="s">
        <v>30</v>
      </c>
      <c r="D174" s="563">
        <v>5000</v>
      </c>
      <c r="E174" s="87"/>
      <c r="F174" s="573">
        <v>55.48</v>
      </c>
      <c r="G174" s="573">
        <v>5000</v>
      </c>
      <c r="H174" s="87">
        <f t="shared" si="2"/>
        <v>0</v>
      </c>
      <c r="I174" s="509"/>
      <c r="J174" s="525"/>
      <c r="K174" s="398"/>
      <c r="L174" s="398"/>
      <c r="M174" s="398"/>
      <c r="N174" s="86"/>
    </row>
    <row r="175" spans="1:14" s="610" customFormat="1" ht="15.75" x14ac:dyDescent="0.25">
      <c r="A175" s="523">
        <v>171</v>
      </c>
      <c r="B175" s="523" t="s">
        <v>974</v>
      </c>
      <c r="C175" s="555">
        <v>6311</v>
      </c>
      <c r="D175" s="563">
        <v>24000</v>
      </c>
      <c r="E175" s="87"/>
      <c r="F175" s="573">
        <v>267</v>
      </c>
      <c r="G175" s="573">
        <v>24000</v>
      </c>
      <c r="H175" s="87">
        <f t="shared" si="2"/>
        <v>0</v>
      </c>
      <c r="I175" s="509"/>
      <c r="J175" s="525"/>
      <c r="K175" s="398"/>
      <c r="L175" s="398"/>
      <c r="M175" s="398"/>
      <c r="N175" s="86"/>
    </row>
    <row r="176" spans="1:14" s="610" customFormat="1" ht="15.75" x14ac:dyDescent="0.25">
      <c r="A176" s="523">
        <v>172</v>
      </c>
      <c r="B176" s="523" t="s">
        <v>974</v>
      </c>
      <c r="C176" s="555">
        <v>1266</v>
      </c>
      <c r="D176" s="563">
        <v>13000</v>
      </c>
      <c r="E176" s="87"/>
      <c r="F176" s="573">
        <v>144</v>
      </c>
      <c r="G176" s="573">
        <v>13000</v>
      </c>
      <c r="H176" s="87">
        <f t="shared" si="2"/>
        <v>0</v>
      </c>
      <c r="I176" s="509"/>
      <c r="J176" s="525"/>
      <c r="K176" s="398"/>
      <c r="L176" s="398"/>
      <c r="M176" s="398"/>
      <c r="N176" s="86"/>
    </row>
    <row r="177" spans="1:14" s="610" customFormat="1" ht="15.75" x14ac:dyDescent="0.25">
      <c r="A177" s="523">
        <v>173</v>
      </c>
      <c r="B177" s="523" t="s">
        <v>974</v>
      </c>
      <c r="C177" s="555">
        <v>2244</v>
      </c>
      <c r="D177" s="563">
        <v>14000</v>
      </c>
      <c r="E177" s="87"/>
      <c r="F177" s="573">
        <v>155</v>
      </c>
      <c r="G177" s="573">
        <v>14000</v>
      </c>
      <c r="H177" s="87">
        <f t="shared" si="2"/>
        <v>0</v>
      </c>
      <c r="I177" s="509"/>
      <c r="J177" s="525"/>
      <c r="K177" s="398"/>
      <c r="L177" s="398"/>
      <c r="M177" s="398"/>
      <c r="N177" s="86"/>
    </row>
    <row r="178" spans="1:14" s="610" customFormat="1" ht="15.75" x14ac:dyDescent="0.25">
      <c r="A178" s="523">
        <v>174</v>
      </c>
      <c r="B178" s="523" t="s">
        <v>974</v>
      </c>
      <c r="C178" s="555">
        <v>9426</v>
      </c>
      <c r="D178" s="563">
        <v>20000</v>
      </c>
      <c r="E178" s="87"/>
      <c r="F178" s="573">
        <v>222</v>
      </c>
      <c r="G178" s="573">
        <v>20000</v>
      </c>
      <c r="H178" s="87">
        <f t="shared" si="2"/>
        <v>0</v>
      </c>
      <c r="I178" s="509"/>
      <c r="J178" s="525"/>
      <c r="K178" s="398"/>
      <c r="L178" s="398"/>
      <c r="M178" s="398"/>
      <c r="N178" s="86"/>
    </row>
    <row r="179" spans="1:14" s="610" customFormat="1" ht="15.75" x14ac:dyDescent="0.25">
      <c r="A179" s="523">
        <v>175</v>
      </c>
      <c r="B179" s="523" t="s">
        <v>974</v>
      </c>
      <c r="C179" s="555">
        <v>9349</v>
      </c>
      <c r="D179" s="563">
        <v>20000</v>
      </c>
      <c r="E179" s="87"/>
      <c r="F179" s="573">
        <v>222</v>
      </c>
      <c r="G179" s="573">
        <v>20000</v>
      </c>
      <c r="H179" s="87">
        <f t="shared" si="2"/>
        <v>0</v>
      </c>
      <c r="I179" s="509"/>
      <c r="J179" s="525"/>
      <c r="K179" s="398"/>
      <c r="L179" s="398"/>
      <c r="M179" s="398"/>
      <c r="N179" s="86"/>
    </row>
    <row r="180" spans="1:14" s="610" customFormat="1" ht="15.75" x14ac:dyDescent="0.25">
      <c r="A180" s="523">
        <v>176</v>
      </c>
      <c r="B180" s="523" t="s">
        <v>974</v>
      </c>
      <c r="C180" s="555">
        <v>2618</v>
      </c>
      <c r="D180" s="563">
        <v>27000</v>
      </c>
      <c r="E180" s="87"/>
      <c r="F180" s="573">
        <v>300</v>
      </c>
      <c r="G180" s="573">
        <v>27000</v>
      </c>
      <c r="H180" s="87">
        <f t="shared" si="2"/>
        <v>0</v>
      </c>
      <c r="I180" s="509"/>
      <c r="J180" s="525"/>
      <c r="K180" s="398"/>
      <c r="L180" s="398"/>
      <c r="M180" s="398"/>
      <c r="N180" s="86"/>
    </row>
    <row r="181" spans="1:14" s="610" customFormat="1" ht="15.75" x14ac:dyDescent="0.25">
      <c r="A181" s="523">
        <v>177</v>
      </c>
      <c r="B181" s="523" t="s">
        <v>974</v>
      </c>
      <c r="C181" s="555">
        <v>8139</v>
      </c>
      <c r="D181" s="563">
        <v>30000</v>
      </c>
      <c r="E181" s="87"/>
      <c r="F181" s="573">
        <v>334</v>
      </c>
      <c r="G181" s="573">
        <v>30000</v>
      </c>
      <c r="H181" s="87">
        <f t="shared" si="2"/>
        <v>0</v>
      </c>
      <c r="I181" s="509"/>
      <c r="J181" s="525"/>
      <c r="K181" s="398"/>
      <c r="L181" s="398"/>
      <c r="M181" s="398"/>
      <c r="N181" s="86"/>
    </row>
    <row r="182" spans="1:14" s="610" customFormat="1" ht="15.75" x14ac:dyDescent="0.25">
      <c r="A182" s="523">
        <v>178</v>
      </c>
      <c r="B182" s="523" t="s">
        <v>974</v>
      </c>
      <c r="C182" s="607" t="s">
        <v>945</v>
      </c>
      <c r="D182" s="563">
        <v>29000</v>
      </c>
      <c r="E182" s="87"/>
      <c r="F182" s="573">
        <v>317</v>
      </c>
      <c r="G182" s="573">
        <v>29000</v>
      </c>
      <c r="H182" s="87">
        <f t="shared" si="2"/>
        <v>0</v>
      </c>
      <c r="I182" s="509"/>
      <c r="J182" s="525"/>
      <c r="K182" s="398"/>
      <c r="L182" s="398"/>
      <c r="M182" s="398"/>
      <c r="N182" s="86"/>
    </row>
    <row r="183" spans="1:14" s="610" customFormat="1" ht="15.75" x14ac:dyDescent="0.25">
      <c r="A183" s="523">
        <v>179</v>
      </c>
      <c r="B183" s="523" t="s">
        <v>974</v>
      </c>
      <c r="C183" s="555">
        <v>1764</v>
      </c>
      <c r="D183" s="563">
        <v>15000</v>
      </c>
      <c r="E183" s="87"/>
      <c r="F183" s="573">
        <v>167</v>
      </c>
      <c r="G183" s="573">
        <v>15000</v>
      </c>
      <c r="H183" s="87">
        <f t="shared" si="2"/>
        <v>0</v>
      </c>
      <c r="I183" s="509"/>
      <c r="J183" s="525"/>
      <c r="K183" s="398"/>
      <c r="L183" s="398"/>
      <c r="M183" s="398"/>
      <c r="N183" s="86"/>
    </row>
    <row r="184" spans="1:14" s="610" customFormat="1" ht="15.75" x14ac:dyDescent="0.25">
      <c r="A184" s="523">
        <v>180</v>
      </c>
      <c r="B184" s="523" t="s">
        <v>974</v>
      </c>
      <c r="C184" s="555">
        <v>8844</v>
      </c>
      <c r="D184" s="563">
        <v>29000</v>
      </c>
      <c r="E184" s="87"/>
      <c r="F184" s="573">
        <v>315</v>
      </c>
      <c r="G184" s="573">
        <v>29000</v>
      </c>
      <c r="H184" s="87">
        <f t="shared" si="2"/>
        <v>0</v>
      </c>
      <c r="I184" s="509"/>
      <c r="J184" s="525"/>
      <c r="K184" s="398"/>
      <c r="L184" s="398"/>
      <c r="M184" s="398"/>
      <c r="N184" s="86"/>
    </row>
    <row r="185" spans="1:14" s="610" customFormat="1" ht="15.75" x14ac:dyDescent="0.25">
      <c r="A185" s="523">
        <v>181</v>
      </c>
      <c r="B185" s="523" t="s">
        <v>974</v>
      </c>
      <c r="C185" s="555">
        <v>9639</v>
      </c>
      <c r="D185" s="563">
        <v>10000</v>
      </c>
      <c r="E185" s="87"/>
      <c r="F185" s="573">
        <v>111</v>
      </c>
      <c r="G185" s="573">
        <v>10000</v>
      </c>
      <c r="H185" s="87">
        <f t="shared" si="2"/>
        <v>0</v>
      </c>
      <c r="I185" s="509"/>
      <c r="J185" s="525"/>
      <c r="K185" s="398"/>
      <c r="L185" s="398"/>
      <c r="M185" s="398"/>
      <c r="N185" s="86"/>
    </row>
    <row r="186" spans="1:14" s="610" customFormat="1" ht="15.75" x14ac:dyDescent="0.25">
      <c r="A186" s="523">
        <v>182</v>
      </c>
      <c r="B186" s="523" t="s">
        <v>974</v>
      </c>
      <c r="C186" s="555">
        <v>5443</v>
      </c>
      <c r="D186" s="563">
        <v>20000</v>
      </c>
      <c r="E186" s="87"/>
      <c r="F186" s="573">
        <v>222</v>
      </c>
      <c r="G186" s="573">
        <v>20000</v>
      </c>
      <c r="H186" s="87">
        <f t="shared" si="2"/>
        <v>0</v>
      </c>
      <c r="I186" s="509"/>
      <c r="J186" s="525"/>
      <c r="K186" s="398"/>
      <c r="L186" s="398"/>
      <c r="M186" s="398"/>
      <c r="N186" s="86"/>
    </row>
    <row r="187" spans="1:14" s="610" customFormat="1" ht="15.75" x14ac:dyDescent="0.25">
      <c r="A187" s="523">
        <v>183</v>
      </c>
      <c r="B187" s="523" t="s">
        <v>974</v>
      </c>
      <c r="C187" s="607" t="s">
        <v>906</v>
      </c>
      <c r="D187" s="563">
        <v>23000</v>
      </c>
      <c r="E187" s="87"/>
      <c r="F187" s="573">
        <v>256</v>
      </c>
      <c r="G187" s="573">
        <v>23000</v>
      </c>
      <c r="H187" s="87">
        <f t="shared" si="2"/>
        <v>0</v>
      </c>
      <c r="I187" s="509"/>
      <c r="J187" s="525"/>
      <c r="K187" s="398"/>
      <c r="L187" s="398"/>
      <c r="M187" s="398"/>
      <c r="N187" s="86"/>
    </row>
    <row r="188" spans="1:14" s="610" customFormat="1" ht="15.75" x14ac:dyDescent="0.25">
      <c r="A188" s="523">
        <v>184</v>
      </c>
      <c r="B188" s="523" t="s">
        <v>974</v>
      </c>
      <c r="C188" s="555">
        <v>1063</v>
      </c>
      <c r="D188" s="563">
        <v>30000</v>
      </c>
      <c r="E188" s="87"/>
      <c r="F188" s="573">
        <v>334</v>
      </c>
      <c r="G188" s="573">
        <v>30000</v>
      </c>
      <c r="H188" s="87">
        <f t="shared" si="2"/>
        <v>0</v>
      </c>
      <c r="I188" s="509"/>
      <c r="J188" s="525"/>
      <c r="K188" s="398"/>
      <c r="L188" s="398"/>
      <c r="M188" s="398"/>
      <c r="N188" s="86"/>
    </row>
    <row r="189" spans="1:14" s="610" customFormat="1" ht="15.75" x14ac:dyDescent="0.25">
      <c r="A189" s="523">
        <v>185</v>
      </c>
      <c r="B189" s="523" t="s">
        <v>974</v>
      </c>
      <c r="C189" s="555">
        <v>2546</v>
      </c>
      <c r="D189" s="563">
        <v>19721</v>
      </c>
      <c r="E189" s="87"/>
      <c r="F189" s="573">
        <v>219</v>
      </c>
      <c r="G189" s="573">
        <v>19721</v>
      </c>
      <c r="H189" s="87">
        <f t="shared" si="2"/>
        <v>0</v>
      </c>
      <c r="I189" s="509"/>
      <c r="J189" s="525"/>
      <c r="K189" s="398"/>
      <c r="L189" s="398"/>
      <c r="M189" s="398"/>
      <c r="N189" s="86"/>
    </row>
    <row r="190" spans="1:14" s="610" customFormat="1" ht="15.75" x14ac:dyDescent="0.25">
      <c r="A190" s="523">
        <v>186</v>
      </c>
      <c r="B190" s="523" t="s">
        <v>974</v>
      </c>
      <c r="C190" s="555" t="s">
        <v>66</v>
      </c>
      <c r="D190" s="563">
        <v>200</v>
      </c>
      <c r="E190" s="87"/>
      <c r="F190" s="573">
        <v>2.09</v>
      </c>
      <c r="G190" s="573">
        <v>200</v>
      </c>
      <c r="H190" s="87">
        <f t="shared" si="2"/>
        <v>0</v>
      </c>
      <c r="I190" s="509"/>
      <c r="J190" s="525"/>
      <c r="K190" s="398">
        <f>2069848-2060278</f>
        <v>9570</v>
      </c>
      <c r="L190" s="398" t="s">
        <v>956</v>
      </c>
      <c r="M190" s="398" t="s">
        <v>620</v>
      </c>
      <c r="N190" s="86">
        <f>9570-4640</f>
        <v>4930</v>
      </c>
    </row>
    <row r="191" spans="1:14" s="611" customFormat="1" ht="15.75" x14ac:dyDescent="0.25">
      <c r="A191" s="523">
        <v>187</v>
      </c>
      <c r="B191" s="523" t="s">
        <v>982</v>
      </c>
      <c r="C191" s="555">
        <v>7109</v>
      </c>
      <c r="D191" s="563">
        <v>4444</v>
      </c>
      <c r="E191" s="87"/>
      <c r="F191" s="573">
        <v>49</v>
      </c>
      <c r="G191" s="573">
        <v>4444</v>
      </c>
      <c r="H191" s="87">
        <f t="shared" si="2"/>
        <v>0</v>
      </c>
      <c r="I191" s="509"/>
      <c r="J191" s="525"/>
      <c r="K191" s="398"/>
      <c r="L191" s="398"/>
      <c r="M191" s="398"/>
      <c r="N191" s="86"/>
    </row>
    <row r="192" spans="1:14" s="611" customFormat="1" ht="15.75" x14ac:dyDescent="0.25">
      <c r="A192" s="523">
        <v>188</v>
      </c>
      <c r="B192" s="523" t="s">
        <v>982</v>
      </c>
      <c r="C192" s="607" t="s">
        <v>890</v>
      </c>
      <c r="D192" s="563">
        <v>14000</v>
      </c>
      <c r="E192" s="87"/>
      <c r="F192" s="573">
        <v>155</v>
      </c>
      <c r="G192" s="573">
        <v>14000</v>
      </c>
      <c r="H192" s="87">
        <f t="shared" si="2"/>
        <v>0</v>
      </c>
      <c r="I192" s="509"/>
      <c r="J192" s="525"/>
      <c r="K192" s="398"/>
      <c r="L192" s="398"/>
      <c r="M192" s="398"/>
      <c r="N192" s="86"/>
    </row>
    <row r="193" spans="1:14" s="611" customFormat="1" ht="15.75" x14ac:dyDescent="0.25">
      <c r="A193" s="523">
        <v>189</v>
      </c>
      <c r="B193" s="523" t="s">
        <v>982</v>
      </c>
      <c r="C193" s="555">
        <v>5152</v>
      </c>
      <c r="D193" s="563">
        <v>15000</v>
      </c>
      <c r="E193" s="87"/>
      <c r="F193" s="573">
        <v>167</v>
      </c>
      <c r="G193" s="573">
        <v>15000</v>
      </c>
      <c r="H193" s="87">
        <f t="shared" si="2"/>
        <v>0</v>
      </c>
      <c r="I193" s="509"/>
      <c r="J193" s="525"/>
      <c r="K193" s="398"/>
      <c r="L193" s="398"/>
      <c r="M193" s="398"/>
      <c r="N193" s="86"/>
    </row>
    <row r="194" spans="1:14" s="611" customFormat="1" ht="15.75" x14ac:dyDescent="0.25">
      <c r="A194" s="523">
        <v>190</v>
      </c>
      <c r="B194" s="523" t="s">
        <v>982</v>
      </c>
      <c r="C194" s="555">
        <v>6133</v>
      </c>
      <c r="D194" s="563">
        <v>15000</v>
      </c>
      <c r="E194" s="87"/>
      <c r="F194" s="573">
        <v>167</v>
      </c>
      <c r="G194" s="573">
        <v>15000</v>
      </c>
      <c r="H194" s="87">
        <f t="shared" si="2"/>
        <v>0</v>
      </c>
      <c r="I194" s="509"/>
      <c r="J194" s="525"/>
      <c r="K194" s="398"/>
      <c r="L194" s="398"/>
      <c r="M194" s="398"/>
      <c r="N194" s="86"/>
    </row>
    <row r="195" spans="1:14" s="611" customFormat="1" ht="15.75" x14ac:dyDescent="0.25">
      <c r="A195" s="523">
        <v>191</v>
      </c>
      <c r="B195" s="523" t="s">
        <v>982</v>
      </c>
      <c r="C195" s="555">
        <v>3665</v>
      </c>
      <c r="D195" s="563">
        <v>18000</v>
      </c>
      <c r="E195" s="87"/>
      <c r="F195" s="573">
        <v>200</v>
      </c>
      <c r="G195" s="573">
        <v>18000</v>
      </c>
      <c r="H195" s="87">
        <f t="shared" si="2"/>
        <v>0</v>
      </c>
      <c r="I195" s="509"/>
      <c r="J195" s="525"/>
      <c r="K195" s="398"/>
      <c r="L195" s="398"/>
      <c r="M195" s="398"/>
      <c r="N195" s="86"/>
    </row>
    <row r="196" spans="1:14" s="611" customFormat="1" ht="15.75" x14ac:dyDescent="0.25">
      <c r="A196" s="523">
        <v>192</v>
      </c>
      <c r="B196" s="523" t="s">
        <v>982</v>
      </c>
      <c r="C196" s="555">
        <v>7263</v>
      </c>
      <c r="D196" s="563">
        <v>15000</v>
      </c>
      <c r="E196" s="87"/>
      <c r="F196" s="573">
        <v>167</v>
      </c>
      <c r="G196" s="573">
        <v>15000</v>
      </c>
      <c r="H196" s="87">
        <f t="shared" si="2"/>
        <v>0</v>
      </c>
      <c r="I196" s="509"/>
      <c r="J196" s="525"/>
      <c r="K196" s="398"/>
      <c r="L196" s="398"/>
      <c r="M196" s="398"/>
      <c r="N196" s="86"/>
    </row>
    <row r="197" spans="1:14" s="611" customFormat="1" ht="15.75" x14ac:dyDescent="0.25">
      <c r="A197" s="523">
        <v>193</v>
      </c>
      <c r="B197" s="523" t="s">
        <v>982</v>
      </c>
      <c r="C197" s="555">
        <v>9655</v>
      </c>
      <c r="D197" s="563">
        <v>20000</v>
      </c>
      <c r="E197" s="87"/>
      <c r="F197" s="573">
        <v>222</v>
      </c>
      <c r="G197" s="573">
        <v>20000</v>
      </c>
      <c r="H197" s="87">
        <f t="shared" si="2"/>
        <v>0</v>
      </c>
      <c r="I197" s="509"/>
      <c r="J197" s="525"/>
      <c r="K197" s="398"/>
      <c r="L197" s="398"/>
      <c r="M197" s="398"/>
      <c r="N197" s="86"/>
    </row>
    <row r="198" spans="1:14" s="611" customFormat="1" ht="15.75" x14ac:dyDescent="0.25">
      <c r="A198" s="523">
        <v>194</v>
      </c>
      <c r="B198" s="523" t="s">
        <v>982</v>
      </c>
      <c r="C198" s="555" t="s">
        <v>30</v>
      </c>
      <c r="D198" s="563">
        <v>3000</v>
      </c>
      <c r="E198" s="87"/>
      <c r="F198" s="573">
        <v>33</v>
      </c>
      <c r="G198" s="573">
        <v>3000</v>
      </c>
      <c r="H198" s="87">
        <f t="shared" si="2"/>
        <v>0</v>
      </c>
      <c r="I198" s="509"/>
      <c r="J198" s="525"/>
      <c r="K198" s="398"/>
      <c r="L198" s="398"/>
      <c r="M198" s="398"/>
      <c r="N198" s="86"/>
    </row>
    <row r="199" spans="1:14" s="611" customFormat="1" ht="15.75" x14ac:dyDescent="0.25">
      <c r="A199" s="523">
        <v>195</v>
      </c>
      <c r="B199" s="523" t="s">
        <v>982</v>
      </c>
      <c r="C199" s="555">
        <v>2972</v>
      </c>
      <c r="D199" s="563">
        <v>14000</v>
      </c>
      <c r="E199" s="87"/>
      <c r="F199" s="573">
        <v>155</v>
      </c>
      <c r="G199" s="573">
        <v>14000</v>
      </c>
      <c r="H199" s="87">
        <f t="shared" si="2"/>
        <v>0</v>
      </c>
      <c r="I199" s="509"/>
      <c r="J199" s="525"/>
      <c r="K199" s="398"/>
      <c r="L199" s="398"/>
      <c r="M199" s="398"/>
      <c r="N199" s="86"/>
    </row>
    <row r="200" spans="1:14" s="611" customFormat="1" ht="15.75" x14ac:dyDescent="0.25">
      <c r="A200" s="523">
        <v>196</v>
      </c>
      <c r="B200" s="523" t="s">
        <v>982</v>
      </c>
      <c r="C200" s="555">
        <v>5363</v>
      </c>
      <c r="D200" s="563">
        <v>20000</v>
      </c>
      <c r="E200" s="87"/>
      <c r="F200" s="573">
        <v>222</v>
      </c>
      <c r="G200" s="573">
        <v>20000</v>
      </c>
      <c r="H200" s="87">
        <f t="shared" si="2"/>
        <v>0</v>
      </c>
      <c r="I200" s="509"/>
      <c r="J200" s="525"/>
      <c r="K200" s="398"/>
      <c r="L200" s="398"/>
      <c r="M200" s="398"/>
      <c r="N200" s="86"/>
    </row>
    <row r="201" spans="1:14" s="611" customFormat="1" ht="15.75" x14ac:dyDescent="0.25">
      <c r="A201" s="523">
        <v>197</v>
      </c>
      <c r="B201" s="523" t="s">
        <v>982</v>
      </c>
      <c r="C201" s="555">
        <v>5412</v>
      </c>
      <c r="D201" s="563">
        <v>30000</v>
      </c>
      <c r="E201" s="87"/>
      <c r="F201" s="573">
        <v>334</v>
      </c>
      <c r="G201" s="573">
        <v>30000</v>
      </c>
      <c r="H201" s="87">
        <f t="shared" si="2"/>
        <v>0</v>
      </c>
      <c r="I201" s="509"/>
      <c r="J201" s="525"/>
      <c r="K201" s="398"/>
      <c r="L201" s="398"/>
      <c r="M201" s="398"/>
      <c r="N201" s="86"/>
    </row>
    <row r="202" spans="1:14" s="611" customFormat="1" ht="15.75" x14ac:dyDescent="0.25">
      <c r="A202" s="523">
        <v>198</v>
      </c>
      <c r="B202" s="523" t="s">
        <v>982</v>
      </c>
      <c r="C202" s="555">
        <v>8105</v>
      </c>
      <c r="D202" s="563">
        <v>18000</v>
      </c>
      <c r="E202" s="87"/>
      <c r="F202" s="573">
        <v>200</v>
      </c>
      <c r="G202" s="573">
        <v>18000</v>
      </c>
      <c r="H202" s="87">
        <f t="shared" si="2"/>
        <v>0</v>
      </c>
      <c r="I202" s="509"/>
      <c r="J202" s="525"/>
      <c r="K202" s="398"/>
      <c r="L202" s="398"/>
      <c r="M202" s="398"/>
      <c r="N202" s="86"/>
    </row>
    <row r="203" spans="1:14" s="611" customFormat="1" ht="15.75" x14ac:dyDescent="0.25">
      <c r="A203" s="523">
        <v>199</v>
      </c>
      <c r="B203" s="523" t="s">
        <v>982</v>
      </c>
      <c r="C203" s="555">
        <v>1144</v>
      </c>
      <c r="D203" s="563">
        <v>13000</v>
      </c>
      <c r="E203" s="87"/>
      <c r="F203" s="573">
        <v>144</v>
      </c>
      <c r="G203" s="573">
        <v>13000</v>
      </c>
      <c r="H203" s="87">
        <f t="shared" si="2"/>
        <v>0</v>
      </c>
      <c r="I203" s="509"/>
      <c r="J203" s="525"/>
      <c r="K203" s="398"/>
      <c r="L203" s="398"/>
      <c r="M203" s="398"/>
      <c r="N203" s="86"/>
    </row>
    <row r="204" spans="1:14" s="611" customFormat="1" ht="15.75" x14ac:dyDescent="0.25">
      <c r="A204" s="523">
        <v>200</v>
      </c>
      <c r="B204" s="523" t="s">
        <v>982</v>
      </c>
      <c r="C204" s="607" t="s">
        <v>878</v>
      </c>
      <c r="D204" s="563">
        <v>24000</v>
      </c>
      <c r="E204" s="87"/>
      <c r="F204" s="573">
        <v>267</v>
      </c>
      <c r="G204" s="573">
        <v>24000</v>
      </c>
      <c r="H204" s="87">
        <f t="shared" si="2"/>
        <v>0</v>
      </c>
      <c r="I204" s="509"/>
      <c r="J204" s="525"/>
      <c r="K204" s="398"/>
      <c r="L204" s="398"/>
      <c r="M204" s="398"/>
      <c r="N204" s="86"/>
    </row>
    <row r="205" spans="1:14" s="611" customFormat="1" ht="15.75" x14ac:dyDescent="0.25">
      <c r="A205" s="523">
        <v>201</v>
      </c>
      <c r="B205" s="523" t="s">
        <v>982</v>
      </c>
      <c r="C205" s="555">
        <v>5326</v>
      </c>
      <c r="D205" s="563">
        <v>26500</v>
      </c>
      <c r="E205" s="87"/>
      <c r="F205" s="573">
        <v>295</v>
      </c>
      <c r="G205" s="573">
        <v>26500</v>
      </c>
      <c r="H205" s="87">
        <f t="shared" si="2"/>
        <v>0</v>
      </c>
      <c r="I205" s="509"/>
      <c r="J205" s="525"/>
      <c r="K205" s="398"/>
      <c r="L205" s="398"/>
      <c r="M205" s="398"/>
      <c r="N205" s="86"/>
    </row>
    <row r="206" spans="1:14" s="611" customFormat="1" ht="15.75" x14ac:dyDescent="0.25">
      <c r="A206" s="523">
        <v>202</v>
      </c>
      <c r="B206" s="523" t="s">
        <v>982</v>
      </c>
      <c r="C206" s="555">
        <v>6317</v>
      </c>
      <c r="D206" s="563">
        <v>20000</v>
      </c>
      <c r="E206" s="87"/>
      <c r="F206" s="573">
        <v>222</v>
      </c>
      <c r="G206" s="573">
        <v>20000</v>
      </c>
      <c r="H206" s="87">
        <f t="shared" si="2"/>
        <v>0</v>
      </c>
      <c r="I206" s="509"/>
      <c r="J206" s="525"/>
      <c r="K206" s="398"/>
      <c r="L206" s="398"/>
      <c r="M206" s="398"/>
      <c r="N206" s="86"/>
    </row>
    <row r="207" spans="1:14" s="611" customFormat="1" ht="15.75" x14ac:dyDescent="0.25">
      <c r="A207" s="523">
        <v>203</v>
      </c>
      <c r="B207" s="523" t="s">
        <v>982</v>
      </c>
      <c r="C207" s="555">
        <v>8009</v>
      </c>
      <c r="D207" s="563">
        <v>13000</v>
      </c>
      <c r="E207" s="87"/>
      <c r="F207" s="573">
        <v>144</v>
      </c>
      <c r="G207" s="573">
        <v>13000</v>
      </c>
      <c r="H207" s="87">
        <f t="shared" si="2"/>
        <v>0</v>
      </c>
      <c r="I207" s="509"/>
      <c r="J207" s="525"/>
      <c r="K207" s="398"/>
      <c r="L207" s="398"/>
      <c r="M207" s="398"/>
      <c r="N207" s="86"/>
    </row>
    <row r="208" spans="1:14" s="611" customFormat="1" ht="15.75" x14ac:dyDescent="0.25">
      <c r="A208" s="523">
        <v>204</v>
      </c>
      <c r="B208" s="523" t="s">
        <v>982</v>
      </c>
      <c r="C208" s="555">
        <v>9045</v>
      </c>
      <c r="D208" s="563">
        <v>23000</v>
      </c>
      <c r="E208" s="87"/>
      <c r="F208" s="573">
        <v>256</v>
      </c>
      <c r="G208" s="573">
        <v>23000</v>
      </c>
      <c r="H208" s="87">
        <f t="shared" si="2"/>
        <v>0</v>
      </c>
      <c r="I208" s="509"/>
      <c r="J208" s="525"/>
      <c r="K208" s="398"/>
      <c r="L208" s="398"/>
      <c r="M208" s="398"/>
      <c r="N208" s="86"/>
    </row>
    <row r="209" spans="1:14" s="611" customFormat="1" ht="15.75" x14ac:dyDescent="0.25">
      <c r="A209" s="523">
        <v>205</v>
      </c>
      <c r="B209" s="523" t="s">
        <v>982</v>
      </c>
      <c r="C209" s="555">
        <v>6582</v>
      </c>
      <c r="D209" s="563">
        <v>45000</v>
      </c>
      <c r="E209" s="87"/>
      <c r="F209" s="573">
        <v>501</v>
      </c>
      <c r="G209" s="573">
        <v>45000</v>
      </c>
      <c r="H209" s="87">
        <f t="shared" si="2"/>
        <v>0</v>
      </c>
      <c r="I209" s="509"/>
      <c r="J209" s="525"/>
      <c r="K209" s="398"/>
      <c r="L209" s="398"/>
      <c r="M209" s="398"/>
      <c r="N209" s="86"/>
    </row>
    <row r="210" spans="1:14" s="611" customFormat="1" ht="15.75" x14ac:dyDescent="0.25">
      <c r="A210" s="523">
        <v>206</v>
      </c>
      <c r="B210" s="523" t="s">
        <v>982</v>
      </c>
      <c r="C210" s="555" t="s">
        <v>66</v>
      </c>
      <c r="D210" s="563">
        <v>210</v>
      </c>
      <c r="E210" s="87"/>
      <c r="F210" s="573">
        <v>2.09</v>
      </c>
      <c r="G210" s="573">
        <v>210</v>
      </c>
      <c r="H210" s="87">
        <f t="shared" si="2"/>
        <v>0</v>
      </c>
      <c r="I210" s="509"/>
      <c r="J210" s="525"/>
      <c r="K210" s="398">
        <f>2021002-2011432</f>
        <v>9570</v>
      </c>
      <c r="L210" s="398" t="s">
        <v>956</v>
      </c>
      <c r="M210" s="398" t="s">
        <v>620</v>
      </c>
      <c r="N210" s="86">
        <f>9570-4640</f>
        <v>4930</v>
      </c>
    </row>
    <row r="211" spans="1:14" s="616" customFormat="1" ht="15.75" x14ac:dyDescent="0.25">
      <c r="A211" s="523">
        <v>207</v>
      </c>
      <c r="B211" s="523" t="s">
        <v>983</v>
      </c>
      <c r="C211" s="555">
        <v>5381</v>
      </c>
      <c r="D211" s="563">
        <v>20000</v>
      </c>
      <c r="E211" s="87"/>
      <c r="F211" s="573">
        <v>222</v>
      </c>
      <c r="G211" s="573">
        <v>20000</v>
      </c>
      <c r="H211" s="87">
        <f t="shared" si="2"/>
        <v>0</v>
      </c>
      <c r="I211" s="509"/>
      <c r="J211" s="525"/>
      <c r="K211" s="398"/>
      <c r="L211" s="398"/>
      <c r="M211" s="398"/>
      <c r="N211" s="86"/>
    </row>
    <row r="212" spans="1:14" s="616" customFormat="1" ht="15.75" x14ac:dyDescent="0.25">
      <c r="A212" s="523">
        <v>208</v>
      </c>
      <c r="B212" s="523" t="s">
        <v>983</v>
      </c>
      <c r="C212" s="555">
        <v>9212</v>
      </c>
      <c r="D212" s="563">
        <v>17000</v>
      </c>
      <c r="E212" s="87"/>
      <c r="F212" s="573">
        <v>189</v>
      </c>
      <c r="G212" s="573">
        <v>17000</v>
      </c>
      <c r="H212" s="87">
        <f t="shared" si="2"/>
        <v>0</v>
      </c>
      <c r="I212" s="509"/>
      <c r="J212" s="525"/>
      <c r="K212" s="398"/>
      <c r="L212" s="398"/>
      <c r="M212" s="398"/>
      <c r="N212" s="86"/>
    </row>
    <row r="213" spans="1:14" s="616" customFormat="1" ht="15.75" x14ac:dyDescent="0.25">
      <c r="A213" s="523">
        <v>209</v>
      </c>
      <c r="B213" s="523" t="s">
        <v>983</v>
      </c>
      <c r="C213" s="555">
        <v>4961</v>
      </c>
      <c r="D213" s="563">
        <v>17000</v>
      </c>
      <c r="E213" s="87"/>
      <c r="F213" s="573">
        <v>189</v>
      </c>
      <c r="G213" s="573">
        <v>17000</v>
      </c>
      <c r="H213" s="87">
        <f t="shared" si="2"/>
        <v>0</v>
      </c>
      <c r="I213" s="509"/>
      <c r="J213" s="525"/>
      <c r="K213" s="398"/>
      <c r="L213" s="398"/>
      <c r="M213" s="398"/>
      <c r="N213" s="86"/>
    </row>
    <row r="214" spans="1:14" s="616" customFormat="1" ht="15.75" x14ac:dyDescent="0.25">
      <c r="A214" s="523">
        <v>210</v>
      </c>
      <c r="B214" s="523" t="s">
        <v>983</v>
      </c>
      <c r="C214" s="555">
        <v>2815</v>
      </c>
      <c r="D214" s="563">
        <v>20000</v>
      </c>
      <c r="E214" s="87"/>
      <c r="F214" s="573">
        <v>222</v>
      </c>
      <c r="G214" s="573">
        <v>20000</v>
      </c>
      <c r="H214" s="87">
        <f t="shared" si="2"/>
        <v>0</v>
      </c>
      <c r="I214" s="509"/>
      <c r="J214" s="525"/>
      <c r="K214" s="398"/>
      <c r="L214" s="398"/>
      <c r="M214" s="398"/>
      <c r="N214" s="86"/>
    </row>
    <row r="215" spans="1:14" s="616" customFormat="1" ht="15.75" x14ac:dyDescent="0.25">
      <c r="A215" s="523">
        <v>211</v>
      </c>
      <c r="B215" s="523" t="s">
        <v>983</v>
      </c>
      <c r="C215" s="555">
        <v>7744</v>
      </c>
      <c r="D215" s="563">
        <v>13000</v>
      </c>
      <c r="E215" s="87"/>
      <c r="F215" s="573">
        <v>144</v>
      </c>
      <c r="G215" s="573">
        <v>13000</v>
      </c>
      <c r="H215" s="87">
        <f t="shared" si="2"/>
        <v>0</v>
      </c>
      <c r="I215" s="509"/>
      <c r="J215" s="525"/>
      <c r="K215" s="398"/>
      <c r="L215" s="398"/>
      <c r="M215" s="398"/>
      <c r="N215" s="86"/>
    </row>
    <row r="216" spans="1:14" s="616" customFormat="1" ht="15.75" x14ac:dyDescent="0.25">
      <c r="A216" s="523">
        <v>212</v>
      </c>
      <c r="B216" s="523" t="s">
        <v>983</v>
      </c>
      <c r="C216" s="555">
        <v>2973</v>
      </c>
      <c r="D216" s="563">
        <v>14000</v>
      </c>
      <c r="E216" s="87"/>
      <c r="F216" s="573">
        <v>155</v>
      </c>
      <c r="G216" s="573">
        <v>14000</v>
      </c>
      <c r="H216" s="87">
        <f t="shared" si="2"/>
        <v>0</v>
      </c>
      <c r="I216" s="509"/>
      <c r="J216" s="525"/>
      <c r="K216" s="398"/>
      <c r="L216" s="398"/>
      <c r="M216" s="398"/>
      <c r="N216" s="86"/>
    </row>
    <row r="217" spans="1:14" s="616" customFormat="1" ht="15.75" x14ac:dyDescent="0.25">
      <c r="A217" s="523">
        <v>213</v>
      </c>
      <c r="B217" s="523" t="s">
        <v>983</v>
      </c>
      <c r="C217" s="555" t="s">
        <v>30</v>
      </c>
      <c r="D217" s="563">
        <v>4500</v>
      </c>
      <c r="E217" s="87"/>
      <c r="F217" s="573">
        <v>50</v>
      </c>
      <c r="G217" s="573">
        <v>4500</v>
      </c>
      <c r="H217" s="87">
        <f t="shared" si="2"/>
        <v>0</v>
      </c>
      <c r="I217" s="509"/>
      <c r="J217" s="525"/>
      <c r="K217" s="398"/>
      <c r="L217" s="398"/>
      <c r="M217" s="398"/>
      <c r="N217" s="86"/>
    </row>
    <row r="218" spans="1:14" s="616" customFormat="1" ht="15.75" x14ac:dyDescent="0.25">
      <c r="A218" s="523">
        <v>214</v>
      </c>
      <c r="B218" s="523" t="s">
        <v>983</v>
      </c>
      <c r="C218" s="555" t="s">
        <v>819</v>
      </c>
      <c r="D218" s="563">
        <v>3500</v>
      </c>
      <c r="E218" s="87"/>
      <c r="F218" s="573">
        <v>38</v>
      </c>
      <c r="G218" s="573">
        <v>3500</v>
      </c>
      <c r="H218" s="87">
        <f t="shared" si="2"/>
        <v>0</v>
      </c>
      <c r="I218" s="509"/>
      <c r="J218" s="525"/>
      <c r="K218" s="398"/>
      <c r="L218" s="398"/>
      <c r="M218" s="398"/>
      <c r="N218" s="86"/>
    </row>
    <row r="219" spans="1:14" s="616" customFormat="1" ht="15.75" x14ac:dyDescent="0.25">
      <c r="A219" s="523">
        <v>215</v>
      </c>
      <c r="B219" s="523" t="s">
        <v>983</v>
      </c>
      <c r="C219" s="555" t="s">
        <v>66</v>
      </c>
      <c r="D219" s="563">
        <v>200</v>
      </c>
      <c r="E219" s="87"/>
      <c r="F219" s="573">
        <v>2.09</v>
      </c>
      <c r="G219" s="573">
        <v>200</v>
      </c>
      <c r="H219" s="87">
        <f t="shared" si="2"/>
        <v>0</v>
      </c>
      <c r="I219" s="509"/>
      <c r="J219" s="525"/>
      <c r="K219" s="398"/>
      <c r="L219" s="398"/>
      <c r="M219" s="398"/>
      <c r="N219" s="86"/>
    </row>
    <row r="220" spans="1:14" s="616" customFormat="1" ht="15.75" x14ac:dyDescent="0.25">
      <c r="A220" s="523">
        <v>216</v>
      </c>
      <c r="B220" s="523" t="s">
        <v>983</v>
      </c>
      <c r="C220" s="555">
        <v>1960</v>
      </c>
      <c r="D220" s="563">
        <v>24000</v>
      </c>
      <c r="E220" s="87"/>
      <c r="F220" s="573">
        <v>267</v>
      </c>
      <c r="G220" s="573">
        <v>24000</v>
      </c>
      <c r="H220" s="87">
        <f t="shared" si="2"/>
        <v>0</v>
      </c>
      <c r="I220" s="509"/>
      <c r="J220" s="525"/>
      <c r="K220" s="398"/>
      <c r="L220" s="398"/>
      <c r="M220" s="398"/>
      <c r="N220" s="86"/>
    </row>
    <row r="221" spans="1:14" s="616" customFormat="1" ht="15.75" x14ac:dyDescent="0.25">
      <c r="A221" s="523">
        <v>217</v>
      </c>
      <c r="B221" s="523" t="s">
        <v>983</v>
      </c>
      <c r="C221" s="555">
        <v>9458</v>
      </c>
      <c r="D221" s="563">
        <v>26000</v>
      </c>
      <c r="E221" s="87"/>
      <c r="F221" s="573">
        <v>289</v>
      </c>
      <c r="G221" s="573">
        <v>26000</v>
      </c>
      <c r="H221" s="87">
        <f t="shared" si="2"/>
        <v>0</v>
      </c>
      <c r="I221" s="509"/>
      <c r="J221" s="525"/>
      <c r="K221" s="398"/>
      <c r="L221" s="398"/>
      <c r="M221" s="398"/>
      <c r="N221" s="86"/>
    </row>
    <row r="222" spans="1:14" s="616" customFormat="1" ht="15.75" x14ac:dyDescent="0.25">
      <c r="A222" s="523">
        <v>218</v>
      </c>
      <c r="B222" s="523" t="s">
        <v>983</v>
      </c>
      <c r="C222" s="555" t="s">
        <v>30</v>
      </c>
      <c r="D222" s="563">
        <v>5000</v>
      </c>
      <c r="E222" s="87"/>
      <c r="F222" s="573">
        <v>55</v>
      </c>
      <c r="G222" s="573">
        <v>5000</v>
      </c>
      <c r="H222" s="87">
        <f t="shared" si="2"/>
        <v>0</v>
      </c>
      <c r="I222" s="509"/>
      <c r="J222" s="525"/>
      <c r="K222" s="398"/>
      <c r="L222" s="398"/>
      <c r="M222" s="398"/>
      <c r="N222" s="86"/>
    </row>
    <row r="223" spans="1:14" s="616" customFormat="1" ht="15.75" x14ac:dyDescent="0.25">
      <c r="A223" s="523">
        <v>219</v>
      </c>
      <c r="B223" s="523" t="s">
        <v>983</v>
      </c>
      <c r="C223" s="555">
        <v>1637</v>
      </c>
      <c r="D223" s="563">
        <v>22000</v>
      </c>
      <c r="E223" s="87"/>
      <c r="F223" s="573">
        <v>245</v>
      </c>
      <c r="G223" s="573">
        <v>22000</v>
      </c>
      <c r="H223" s="87">
        <f t="shared" si="2"/>
        <v>0</v>
      </c>
      <c r="I223" s="509"/>
      <c r="J223" s="525"/>
      <c r="K223" s="398"/>
      <c r="L223" s="398"/>
      <c r="M223" s="398"/>
      <c r="N223" s="86"/>
    </row>
    <row r="224" spans="1:14" s="616" customFormat="1" ht="15.75" x14ac:dyDescent="0.25">
      <c r="A224" s="523">
        <v>220</v>
      </c>
      <c r="B224" s="523" t="s">
        <v>983</v>
      </c>
      <c r="C224" s="555">
        <v>2034</v>
      </c>
      <c r="D224" s="563">
        <v>30000</v>
      </c>
      <c r="E224" s="87"/>
      <c r="F224" s="573">
        <v>334</v>
      </c>
      <c r="G224" s="573">
        <v>30000</v>
      </c>
      <c r="H224" s="87">
        <f t="shared" si="2"/>
        <v>0</v>
      </c>
      <c r="I224" s="509"/>
      <c r="J224" s="525"/>
      <c r="K224" s="398"/>
      <c r="L224" s="398"/>
      <c r="M224" s="398"/>
      <c r="N224" s="86"/>
    </row>
    <row r="225" spans="1:14" s="616" customFormat="1" ht="15.75" x14ac:dyDescent="0.25">
      <c r="A225" s="523">
        <v>221</v>
      </c>
      <c r="B225" s="523" t="s">
        <v>983</v>
      </c>
      <c r="C225" s="555">
        <v>1039</v>
      </c>
      <c r="D225" s="563">
        <v>30000</v>
      </c>
      <c r="E225" s="87"/>
      <c r="F225" s="573">
        <v>313</v>
      </c>
      <c r="G225" s="573">
        <v>30000</v>
      </c>
      <c r="H225" s="87">
        <f t="shared" ref="H225:H288" si="3">D225-G225</f>
        <v>0</v>
      </c>
      <c r="I225" s="509"/>
      <c r="J225" s="525"/>
      <c r="K225" s="398"/>
      <c r="L225" s="398"/>
      <c r="M225" s="398"/>
      <c r="N225" s="86"/>
    </row>
    <row r="226" spans="1:14" s="616" customFormat="1" ht="15.75" x14ac:dyDescent="0.25">
      <c r="A226" s="523">
        <v>222</v>
      </c>
      <c r="B226" s="523" t="s">
        <v>983</v>
      </c>
      <c r="C226" s="607" t="s">
        <v>990</v>
      </c>
      <c r="D226" s="563">
        <v>30000</v>
      </c>
      <c r="E226" s="87"/>
      <c r="F226" s="573">
        <v>303</v>
      </c>
      <c r="G226" s="573">
        <v>30000</v>
      </c>
      <c r="H226" s="87">
        <f t="shared" si="3"/>
        <v>0</v>
      </c>
      <c r="I226" s="509"/>
      <c r="J226" s="525"/>
      <c r="K226" s="398"/>
      <c r="L226" s="398"/>
      <c r="M226" s="398"/>
      <c r="N226" s="86"/>
    </row>
    <row r="227" spans="1:14" s="616" customFormat="1" ht="15.75" x14ac:dyDescent="0.25">
      <c r="A227" s="523">
        <v>223</v>
      </c>
      <c r="B227" s="523" t="s">
        <v>983</v>
      </c>
      <c r="C227" s="555">
        <v>2518</v>
      </c>
      <c r="D227" s="563">
        <v>15000</v>
      </c>
      <c r="E227" s="87"/>
      <c r="F227" s="573">
        <v>167</v>
      </c>
      <c r="G227" s="573">
        <v>15000</v>
      </c>
      <c r="H227" s="87">
        <f t="shared" si="3"/>
        <v>0</v>
      </c>
      <c r="I227" s="509"/>
      <c r="J227" s="525"/>
      <c r="K227" s="398"/>
      <c r="L227" s="398"/>
      <c r="M227" s="398"/>
      <c r="N227" s="86"/>
    </row>
    <row r="228" spans="1:14" s="616" customFormat="1" ht="15.75" x14ac:dyDescent="0.25">
      <c r="A228" s="523">
        <v>224</v>
      </c>
      <c r="B228" s="523" t="s">
        <v>983</v>
      </c>
      <c r="C228" s="555">
        <v>6487</v>
      </c>
      <c r="D228" s="563">
        <v>15000</v>
      </c>
      <c r="E228" s="87"/>
      <c r="F228" s="573">
        <v>167</v>
      </c>
      <c r="G228" s="573">
        <v>15000</v>
      </c>
      <c r="H228" s="87">
        <f t="shared" si="3"/>
        <v>0</v>
      </c>
      <c r="I228" s="509"/>
      <c r="J228" s="525"/>
      <c r="K228" s="398"/>
      <c r="L228" s="398"/>
      <c r="M228" s="398"/>
      <c r="N228" s="86"/>
    </row>
    <row r="229" spans="1:14" s="616" customFormat="1" ht="15.75" x14ac:dyDescent="0.25">
      <c r="A229" s="523">
        <v>225</v>
      </c>
      <c r="B229" s="523" t="s">
        <v>983</v>
      </c>
      <c r="C229" s="555">
        <v>7087</v>
      </c>
      <c r="D229" s="563">
        <v>15000</v>
      </c>
      <c r="E229" s="87"/>
      <c r="F229" s="573">
        <v>167</v>
      </c>
      <c r="G229" s="573">
        <v>15000</v>
      </c>
      <c r="H229" s="87">
        <f t="shared" si="3"/>
        <v>0</v>
      </c>
      <c r="I229" s="509"/>
      <c r="J229" s="525"/>
      <c r="K229" s="398"/>
      <c r="L229" s="398"/>
      <c r="M229" s="398"/>
      <c r="N229" s="86"/>
    </row>
    <row r="230" spans="1:14" s="616" customFormat="1" ht="15.75" x14ac:dyDescent="0.25">
      <c r="A230" s="523">
        <v>226</v>
      </c>
      <c r="B230" s="523" t="s">
        <v>983</v>
      </c>
      <c r="C230" s="555">
        <v>4341</v>
      </c>
      <c r="D230" s="563">
        <v>25000</v>
      </c>
      <c r="E230" s="87"/>
      <c r="F230" s="573">
        <v>278</v>
      </c>
      <c r="G230" s="573">
        <v>25000</v>
      </c>
      <c r="H230" s="87">
        <f t="shared" si="3"/>
        <v>0</v>
      </c>
      <c r="I230" s="509"/>
      <c r="J230" s="525"/>
      <c r="K230" s="398"/>
      <c r="L230" s="398"/>
      <c r="M230" s="398"/>
      <c r="N230" s="86"/>
    </row>
    <row r="231" spans="1:14" s="616" customFormat="1" ht="15.75" x14ac:dyDescent="0.25">
      <c r="A231" s="523">
        <v>227</v>
      </c>
      <c r="B231" s="523" t="s">
        <v>983</v>
      </c>
      <c r="C231" s="555">
        <v>2482</v>
      </c>
      <c r="D231" s="563">
        <v>25000</v>
      </c>
      <c r="E231" s="87"/>
      <c r="F231" s="573">
        <v>278</v>
      </c>
      <c r="G231" s="573">
        <v>25000</v>
      </c>
      <c r="H231" s="87">
        <f t="shared" si="3"/>
        <v>0</v>
      </c>
      <c r="I231" s="509"/>
      <c r="J231" s="525"/>
      <c r="K231" s="398"/>
      <c r="L231" s="398"/>
      <c r="M231" s="398"/>
      <c r="N231" s="86"/>
    </row>
    <row r="232" spans="1:14" s="616" customFormat="1" ht="15.75" x14ac:dyDescent="0.25">
      <c r="A232" s="523">
        <v>228</v>
      </c>
      <c r="B232" s="523" t="s">
        <v>983</v>
      </c>
      <c r="C232" s="555">
        <v>1126</v>
      </c>
      <c r="D232" s="563">
        <v>25000</v>
      </c>
      <c r="E232" s="87"/>
      <c r="F232" s="573">
        <v>278</v>
      </c>
      <c r="G232" s="573">
        <v>25000</v>
      </c>
      <c r="H232" s="87">
        <f t="shared" si="3"/>
        <v>0</v>
      </c>
      <c r="I232" s="509"/>
      <c r="J232" s="525"/>
      <c r="K232" s="398"/>
      <c r="L232" s="398"/>
      <c r="M232" s="398"/>
      <c r="N232" s="86"/>
    </row>
    <row r="233" spans="1:14" s="616" customFormat="1" ht="15.75" x14ac:dyDescent="0.25">
      <c r="A233" s="523">
        <v>229</v>
      </c>
      <c r="B233" s="523" t="s">
        <v>983</v>
      </c>
      <c r="C233" s="555">
        <v>6764</v>
      </c>
      <c r="D233" s="563">
        <v>25000</v>
      </c>
      <c r="E233" s="87"/>
      <c r="F233" s="573">
        <v>278</v>
      </c>
      <c r="G233" s="573">
        <v>25000</v>
      </c>
      <c r="H233" s="87">
        <f t="shared" si="3"/>
        <v>0</v>
      </c>
      <c r="I233" s="509"/>
      <c r="J233" s="525"/>
      <c r="K233" s="398"/>
      <c r="L233" s="398"/>
      <c r="M233" s="398"/>
      <c r="N233" s="86"/>
    </row>
    <row r="234" spans="1:14" s="616" customFormat="1" ht="15.75" x14ac:dyDescent="0.25">
      <c r="A234" s="523">
        <v>230</v>
      </c>
      <c r="B234" s="523" t="s">
        <v>984</v>
      </c>
      <c r="C234" s="555">
        <v>5385</v>
      </c>
      <c r="D234" s="563">
        <v>20000</v>
      </c>
      <c r="E234" s="87"/>
      <c r="F234" s="573">
        <v>222</v>
      </c>
      <c r="G234" s="573">
        <v>20000</v>
      </c>
      <c r="H234" s="87">
        <f t="shared" si="3"/>
        <v>0</v>
      </c>
      <c r="I234" s="509"/>
      <c r="J234" s="525"/>
      <c r="K234" s="398"/>
      <c r="L234" s="398"/>
      <c r="M234" s="398"/>
      <c r="N234" s="86"/>
    </row>
    <row r="235" spans="1:14" s="616" customFormat="1" ht="15.75" x14ac:dyDescent="0.25">
      <c r="A235" s="523">
        <v>231</v>
      </c>
      <c r="B235" s="523" t="s">
        <v>984</v>
      </c>
      <c r="C235" s="555" t="s">
        <v>30</v>
      </c>
      <c r="D235" s="563">
        <v>5500</v>
      </c>
      <c r="E235" s="87"/>
      <c r="F235" s="573">
        <v>61</v>
      </c>
      <c r="G235" s="573">
        <v>5500</v>
      </c>
      <c r="H235" s="87">
        <f t="shared" si="3"/>
        <v>0</v>
      </c>
      <c r="I235" s="509"/>
      <c r="J235" s="525"/>
      <c r="K235" s="398"/>
      <c r="L235" s="398"/>
      <c r="M235" s="398"/>
      <c r="N235" s="86"/>
    </row>
    <row r="236" spans="1:14" s="616" customFormat="1" ht="15.75" x14ac:dyDescent="0.25">
      <c r="A236" s="523">
        <v>232</v>
      </c>
      <c r="B236" s="523" t="s">
        <v>984</v>
      </c>
      <c r="C236" s="555" t="s">
        <v>30</v>
      </c>
      <c r="D236" s="563">
        <v>10000</v>
      </c>
      <c r="E236" s="87"/>
      <c r="F236" s="573">
        <v>111</v>
      </c>
      <c r="G236" s="573">
        <v>10000</v>
      </c>
      <c r="H236" s="87">
        <f t="shared" si="3"/>
        <v>0</v>
      </c>
      <c r="I236" s="509"/>
      <c r="J236" s="525"/>
      <c r="K236" s="398"/>
      <c r="L236" s="398"/>
      <c r="M236" s="398"/>
      <c r="N236" s="86"/>
    </row>
    <row r="237" spans="1:14" s="616" customFormat="1" ht="15.75" x14ac:dyDescent="0.25">
      <c r="A237" s="523">
        <v>233</v>
      </c>
      <c r="B237" s="523" t="s">
        <v>984</v>
      </c>
      <c r="C237" s="555">
        <v>5413</v>
      </c>
      <c r="D237" s="563">
        <v>20000</v>
      </c>
      <c r="E237" s="87"/>
      <c r="F237" s="573">
        <v>222</v>
      </c>
      <c r="G237" s="573">
        <v>20000</v>
      </c>
      <c r="H237" s="87">
        <f t="shared" si="3"/>
        <v>0</v>
      </c>
      <c r="I237" s="509"/>
      <c r="J237" s="525"/>
      <c r="K237" s="398"/>
      <c r="L237" s="398"/>
      <c r="M237" s="398"/>
      <c r="N237" s="86"/>
    </row>
    <row r="238" spans="1:14" s="616" customFormat="1" ht="15.75" x14ac:dyDescent="0.25">
      <c r="A238" s="523">
        <v>234</v>
      </c>
      <c r="B238" s="523" t="s">
        <v>984</v>
      </c>
      <c r="C238" s="607" t="s">
        <v>991</v>
      </c>
      <c r="D238" s="563">
        <v>20000</v>
      </c>
      <c r="E238" s="87"/>
      <c r="F238" s="573">
        <v>222</v>
      </c>
      <c r="G238" s="573">
        <v>20000</v>
      </c>
      <c r="H238" s="87">
        <f t="shared" si="3"/>
        <v>0</v>
      </c>
      <c r="I238" s="509"/>
      <c r="J238" s="525"/>
      <c r="K238" s="398"/>
      <c r="L238" s="398"/>
      <c r="M238" s="398"/>
      <c r="N238" s="86"/>
    </row>
    <row r="239" spans="1:14" s="616" customFormat="1" ht="15.75" x14ac:dyDescent="0.25">
      <c r="A239" s="523">
        <v>235</v>
      </c>
      <c r="B239" s="523" t="s">
        <v>984</v>
      </c>
      <c r="C239" s="555">
        <v>1526</v>
      </c>
      <c r="D239" s="563">
        <v>30000</v>
      </c>
      <c r="E239" s="87"/>
      <c r="F239" s="573">
        <v>334</v>
      </c>
      <c r="G239" s="573">
        <v>30000</v>
      </c>
      <c r="H239" s="87">
        <f t="shared" si="3"/>
        <v>0</v>
      </c>
      <c r="I239" s="509"/>
      <c r="J239" s="525"/>
      <c r="K239" s="398"/>
      <c r="L239" s="398"/>
      <c r="M239" s="398"/>
      <c r="N239" s="86"/>
    </row>
    <row r="240" spans="1:14" s="616" customFormat="1" ht="15.75" x14ac:dyDescent="0.25">
      <c r="A240" s="523">
        <v>236</v>
      </c>
      <c r="B240" s="523" t="s">
        <v>984</v>
      </c>
      <c r="C240" s="555">
        <v>7217</v>
      </c>
      <c r="D240" s="563">
        <v>27000</v>
      </c>
      <c r="E240" s="87"/>
      <c r="F240" s="573">
        <v>300</v>
      </c>
      <c r="G240" s="573">
        <v>27000</v>
      </c>
      <c r="H240" s="87">
        <f t="shared" si="3"/>
        <v>0</v>
      </c>
      <c r="I240" s="509"/>
      <c r="J240" s="525"/>
      <c r="K240" s="398"/>
      <c r="L240" s="398"/>
      <c r="M240" s="398"/>
      <c r="N240" s="86"/>
    </row>
    <row r="241" spans="1:14" s="616" customFormat="1" ht="15.75" x14ac:dyDescent="0.25">
      <c r="A241" s="523">
        <v>237</v>
      </c>
      <c r="B241" s="523" t="s">
        <v>984</v>
      </c>
      <c r="C241" s="555">
        <v>1322</v>
      </c>
      <c r="D241" s="563">
        <v>9000</v>
      </c>
      <c r="E241" s="87"/>
      <c r="F241" s="573">
        <v>100</v>
      </c>
      <c r="G241" s="573">
        <v>9000</v>
      </c>
      <c r="H241" s="87">
        <f t="shared" si="3"/>
        <v>0</v>
      </c>
      <c r="I241" s="509"/>
      <c r="J241" s="525"/>
      <c r="K241" s="398"/>
      <c r="L241" s="398"/>
      <c r="M241" s="398"/>
      <c r="N241" s="86"/>
    </row>
    <row r="242" spans="1:14" s="616" customFormat="1" ht="15.75" x14ac:dyDescent="0.25">
      <c r="A242" s="523">
        <v>238</v>
      </c>
      <c r="B242" s="523" t="s">
        <v>984</v>
      </c>
      <c r="C242" s="555">
        <v>6042</v>
      </c>
      <c r="D242" s="563">
        <v>22077</v>
      </c>
      <c r="E242" s="87"/>
      <c r="F242" s="573">
        <v>235</v>
      </c>
      <c r="G242" s="573">
        <v>22077</v>
      </c>
      <c r="H242" s="87">
        <f t="shared" si="3"/>
        <v>0</v>
      </c>
      <c r="I242" s="509"/>
      <c r="J242" s="525"/>
      <c r="K242" s="398"/>
      <c r="L242" s="398"/>
      <c r="M242" s="398"/>
      <c r="N242" s="86"/>
    </row>
    <row r="243" spans="1:14" s="616" customFormat="1" ht="15.75" x14ac:dyDescent="0.25">
      <c r="A243" s="523">
        <v>239</v>
      </c>
      <c r="B243" s="523" t="s">
        <v>984</v>
      </c>
      <c r="C243" s="555">
        <v>8399</v>
      </c>
      <c r="D243" s="563">
        <v>28800</v>
      </c>
      <c r="E243" s="87"/>
      <c r="F243" s="573">
        <v>320</v>
      </c>
      <c r="G243" s="573">
        <v>28800</v>
      </c>
      <c r="H243" s="87">
        <f t="shared" si="3"/>
        <v>0</v>
      </c>
      <c r="I243" s="509"/>
      <c r="J243" s="525"/>
      <c r="K243" s="398"/>
      <c r="L243" s="398"/>
      <c r="M243" s="398"/>
      <c r="N243" s="86"/>
    </row>
    <row r="244" spans="1:14" s="616" customFormat="1" ht="15.75" x14ac:dyDescent="0.25">
      <c r="A244" s="523">
        <v>240</v>
      </c>
      <c r="B244" s="523" t="s">
        <v>984</v>
      </c>
      <c r="C244" s="555">
        <v>8579</v>
      </c>
      <c r="D244" s="563">
        <v>28900</v>
      </c>
      <c r="E244" s="87"/>
      <c r="F244" s="573">
        <v>321</v>
      </c>
      <c r="G244" s="573">
        <v>28900</v>
      </c>
      <c r="H244" s="87">
        <f t="shared" si="3"/>
        <v>0</v>
      </c>
      <c r="I244" s="509"/>
      <c r="J244" s="525"/>
      <c r="K244" s="398"/>
      <c r="L244" s="398"/>
      <c r="M244" s="398"/>
      <c r="N244" s="86"/>
    </row>
    <row r="245" spans="1:14" s="616" customFormat="1" ht="15.75" x14ac:dyDescent="0.25">
      <c r="A245" s="523">
        <v>241</v>
      </c>
      <c r="B245" s="523" t="s">
        <v>984</v>
      </c>
      <c r="C245" s="607" t="s">
        <v>992</v>
      </c>
      <c r="D245" s="563">
        <v>20000</v>
      </c>
      <c r="E245" s="87"/>
      <c r="F245" s="573">
        <v>222</v>
      </c>
      <c r="G245" s="573">
        <v>20000</v>
      </c>
      <c r="H245" s="87">
        <f t="shared" si="3"/>
        <v>0</v>
      </c>
      <c r="I245" s="509"/>
      <c r="J245" s="525"/>
      <c r="K245" s="398"/>
      <c r="L245" s="398"/>
      <c r="M245" s="398"/>
      <c r="N245" s="86"/>
    </row>
    <row r="246" spans="1:14" s="616" customFormat="1" ht="15.75" x14ac:dyDescent="0.25">
      <c r="A246" s="523">
        <v>242</v>
      </c>
      <c r="B246" s="523" t="s">
        <v>984</v>
      </c>
      <c r="C246" s="555">
        <v>3558</v>
      </c>
      <c r="D246" s="563">
        <v>26872</v>
      </c>
      <c r="E246" s="87"/>
      <c r="F246" s="573">
        <v>298</v>
      </c>
      <c r="G246" s="573">
        <v>26872</v>
      </c>
      <c r="H246" s="87">
        <f t="shared" si="3"/>
        <v>0</v>
      </c>
      <c r="I246" s="509"/>
      <c r="J246" s="525"/>
      <c r="K246" s="398"/>
      <c r="L246" s="398"/>
      <c r="M246" s="398"/>
      <c r="N246" s="86"/>
    </row>
    <row r="247" spans="1:14" s="616" customFormat="1" ht="15.75" x14ac:dyDescent="0.25">
      <c r="A247" s="523">
        <v>243</v>
      </c>
      <c r="B247" s="523" t="s">
        <v>984</v>
      </c>
      <c r="C247" s="607" t="s">
        <v>993</v>
      </c>
      <c r="D247" s="563">
        <v>34000</v>
      </c>
      <c r="E247" s="87"/>
      <c r="F247" s="573">
        <v>357</v>
      </c>
      <c r="G247" s="573">
        <v>34000</v>
      </c>
      <c r="H247" s="87">
        <f t="shared" si="3"/>
        <v>0</v>
      </c>
      <c r="I247" s="509"/>
      <c r="J247" s="525"/>
      <c r="K247" s="398"/>
      <c r="L247" s="398"/>
      <c r="M247" s="398"/>
      <c r="N247" s="86"/>
    </row>
    <row r="248" spans="1:14" s="616" customFormat="1" ht="15.75" x14ac:dyDescent="0.25">
      <c r="A248" s="523">
        <v>244</v>
      </c>
      <c r="B248" s="523" t="s">
        <v>984</v>
      </c>
      <c r="C248" s="555">
        <v>4744</v>
      </c>
      <c r="D248" s="563">
        <v>33000</v>
      </c>
      <c r="E248" s="87"/>
      <c r="F248" s="573">
        <v>367</v>
      </c>
      <c r="G248" s="573">
        <v>33000</v>
      </c>
      <c r="H248" s="87">
        <f t="shared" si="3"/>
        <v>0</v>
      </c>
      <c r="I248" s="509"/>
      <c r="J248" s="525"/>
      <c r="K248" s="398"/>
      <c r="L248" s="398"/>
      <c r="M248" s="398"/>
      <c r="N248" s="86"/>
    </row>
    <row r="249" spans="1:14" s="616" customFormat="1" ht="15.75" x14ac:dyDescent="0.25">
      <c r="A249" s="523">
        <v>245</v>
      </c>
      <c r="B249" s="523" t="s">
        <v>984</v>
      </c>
      <c r="C249" s="555">
        <v>2509</v>
      </c>
      <c r="D249" s="563">
        <v>30000</v>
      </c>
      <c r="E249" s="87"/>
      <c r="F249" s="573">
        <v>334</v>
      </c>
      <c r="G249" s="573">
        <v>30000</v>
      </c>
      <c r="H249" s="87">
        <f t="shared" si="3"/>
        <v>0</v>
      </c>
      <c r="I249" s="509"/>
      <c r="J249" s="525"/>
      <c r="K249" s="398"/>
      <c r="L249" s="398"/>
      <c r="M249" s="398"/>
      <c r="N249" s="86"/>
    </row>
    <row r="250" spans="1:14" s="616" customFormat="1" ht="15.75" x14ac:dyDescent="0.25">
      <c r="A250" s="523">
        <v>246</v>
      </c>
      <c r="B250" s="523" t="s">
        <v>984</v>
      </c>
      <c r="C250" s="555">
        <v>3727</v>
      </c>
      <c r="D250" s="563">
        <v>20000</v>
      </c>
      <c r="E250" s="87"/>
      <c r="F250" s="573">
        <v>222</v>
      </c>
      <c r="G250" s="573">
        <v>20000</v>
      </c>
      <c r="H250" s="87">
        <f t="shared" si="3"/>
        <v>0</v>
      </c>
      <c r="I250" s="509"/>
      <c r="J250" s="525"/>
      <c r="K250" s="398"/>
      <c r="L250" s="398"/>
      <c r="M250" s="398"/>
      <c r="N250" s="86"/>
    </row>
    <row r="251" spans="1:14" s="616" customFormat="1" ht="15.75" x14ac:dyDescent="0.25">
      <c r="A251" s="523">
        <v>247</v>
      </c>
      <c r="B251" s="523" t="s">
        <v>984</v>
      </c>
      <c r="C251" s="555">
        <v>9312</v>
      </c>
      <c r="D251" s="563">
        <v>20000</v>
      </c>
      <c r="E251" s="87"/>
      <c r="F251" s="573">
        <v>222</v>
      </c>
      <c r="G251" s="573">
        <v>20000</v>
      </c>
      <c r="H251" s="87">
        <f t="shared" si="3"/>
        <v>0</v>
      </c>
      <c r="I251" s="509"/>
      <c r="J251" s="525"/>
      <c r="K251" s="398"/>
      <c r="L251" s="398"/>
      <c r="M251" s="398"/>
      <c r="N251" s="86"/>
    </row>
    <row r="252" spans="1:14" s="616" customFormat="1" ht="15.75" x14ac:dyDescent="0.25">
      <c r="A252" s="523">
        <v>248</v>
      </c>
      <c r="B252" s="523" t="s">
        <v>984</v>
      </c>
      <c r="C252" s="555">
        <v>3965</v>
      </c>
      <c r="D252" s="563">
        <v>25000</v>
      </c>
      <c r="E252" s="87"/>
      <c r="F252" s="573">
        <v>265</v>
      </c>
      <c r="G252" s="573">
        <v>25000</v>
      </c>
      <c r="H252" s="87">
        <f t="shared" si="3"/>
        <v>0</v>
      </c>
      <c r="I252" s="509"/>
      <c r="J252" s="525"/>
      <c r="K252" s="398"/>
      <c r="L252" s="398"/>
      <c r="M252" s="398"/>
      <c r="N252" s="86"/>
    </row>
    <row r="253" spans="1:14" s="616" customFormat="1" ht="15.75" x14ac:dyDescent="0.25">
      <c r="A253" s="523">
        <v>249</v>
      </c>
      <c r="B253" s="523" t="s">
        <v>984</v>
      </c>
      <c r="C253" s="555">
        <v>6797</v>
      </c>
      <c r="D253" s="563">
        <v>37000</v>
      </c>
      <c r="E253" s="87"/>
      <c r="F253" s="573">
        <v>412</v>
      </c>
      <c r="G253" s="573">
        <v>37000</v>
      </c>
      <c r="H253" s="87">
        <f t="shared" si="3"/>
        <v>0</v>
      </c>
      <c r="I253" s="509"/>
      <c r="J253" s="525"/>
      <c r="K253" s="398"/>
      <c r="L253" s="398"/>
      <c r="M253" s="398"/>
      <c r="N253" s="86"/>
    </row>
    <row r="254" spans="1:14" s="616" customFormat="1" ht="15.75" x14ac:dyDescent="0.25">
      <c r="A254" s="523">
        <v>250</v>
      </c>
      <c r="B254" s="523" t="s">
        <v>984</v>
      </c>
      <c r="C254" s="555">
        <v>7364</v>
      </c>
      <c r="D254" s="563">
        <v>28000</v>
      </c>
      <c r="E254" s="87"/>
      <c r="F254" s="573">
        <v>311</v>
      </c>
      <c r="G254" s="573">
        <v>28000</v>
      </c>
      <c r="H254" s="87">
        <f t="shared" si="3"/>
        <v>0</v>
      </c>
      <c r="I254" s="509"/>
      <c r="J254" s="525"/>
      <c r="K254" s="398"/>
      <c r="L254" s="398"/>
      <c r="M254" s="398"/>
      <c r="N254" s="86"/>
    </row>
    <row r="255" spans="1:14" s="616" customFormat="1" ht="15.75" x14ac:dyDescent="0.25">
      <c r="A255" s="523">
        <v>251</v>
      </c>
      <c r="B255" s="523" t="s">
        <v>984</v>
      </c>
      <c r="C255" s="555">
        <v>6333</v>
      </c>
      <c r="D255" s="563">
        <v>25000</v>
      </c>
      <c r="E255" s="87"/>
      <c r="F255" s="573">
        <v>278</v>
      </c>
      <c r="G255" s="573">
        <v>25000</v>
      </c>
      <c r="H255" s="87">
        <f t="shared" si="3"/>
        <v>0</v>
      </c>
      <c r="I255" s="509"/>
      <c r="J255" s="525"/>
      <c r="K255" s="398"/>
      <c r="L255" s="398"/>
      <c r="M255" s="398"/>
      <c r="N255" s="86"/>
    </row>
    <row r="256" spans="1:14" s="616" customFormat="1" ht="15.75" x14ac:dyDescent="0.25">
      <c r="A256" s="523">
        <v>252</v>
      </c>
      <c r="B256" s="523" t="s">
        <v>984</v>
      </c>
      <c r="C256" s="555">
        <v>8361</v>
      </c>
      <c r="D256" s="563">
        <v>30000</v>
      </c>
      <c r="E256" s="87"/>
      <c r="F256" s="573">
        <v>334</v>
      </c>
      <c r="G256" s="573">
        <v>30000</v>
      </c>
      <c r="H256" s="87">
        <f t="shared" si="3"/>
        <v>0</v>
      </c>
      <c r="I256" s="509"/>
      <c r="J256" s="525"/>
      <c r="K256" s="398"/>
      <c r="L256" s="398"/>
      <c r="M256" s="398"/>
      <c r="N256" s="86"/>
    </row>
    <row r="257" spans="1:14" s="616" customFormat="1" ht="15.75" x14ac:dyDescent="0.25">
      <c r="A257" s="523">
        <v>253</v>
      </c>
      <c r="B257" s="523" t="s">
        <v>984</v>
      </c>
      <c r="C257" s="555">
        <v>2021</v>
      </c>
      <c r="D257" s="563">
        <v>7000</v>
      </c>
      <c r="E257" s="87"/>
      <c r="F257" s="573">
        <v>77</v>
      </c>
      <c r="G257" s="573">
        <v>7000</v>
      </c>
      <c r="H257" s="87">
        <f t="shared" si="3"/>
        <v>0</v>
      </c>
      <c r="I257" s="509"/>
      <c r="J257" s="525"/>
      <c r="K257" s="398"/>
      <c r="L257" s="398"/>
      <c r="M257" s="398"/>
      <c r="N257" s="86"/>
    </row>
    <row r="258" spans="1:14" s="616" customFormat="1" ht="15.75" x14ac:dyDescent="0.25">
      <c r="A258" s="523">
        <v>254</v>
      </c>
      <c r="B258" s="523" t="s">
        <v>984</v>
      </c>
      <c r="C258" s="555">
        <v>4030</v>
      </c>
      <c r="D258" s="563">
        <v>30000</v>
      </c>
      <c r="E258" s="87"/>
      <c r="F258" s="573">
        <v>334</v>
      </c>
      <c r="G258" s="573">
        <v>30000</v>
      </c>
      <c r="H258" s="87">
        <f t="shared" si="3"/>
        <v>0</v>
      </c>
      <c r="I258" s="509"/>
      <c r="J258" s="525"/>
      <c r="K258" s="398"/>
      <c r="L258" s="398"/>
      <c r="M258" s="398"/>
      <c r="N258" s="86"/>
    </row>
    <row r="259" spans="1:14" s="616" customFormat="1" ht="15.75" x14ac:dyDescent="0.25">
      <c r="A259" s="523">
        <v>255</v>
      </c>
      <c r="B259" s="523" t="s">
        <v>984</v>
      </c>
      <c r="C259" s="555">
        <v>4792</v>
      </c>
      <c r="D259" s="563">
        <v>21000</v>
      </c>
      <c r="E259" s="87"/>
      <c r="F259" s="573">
        <v>233</v>
      </c>
      <c r="G259" s="573">
        <v>21000</v>
      </c>
      <c r="H259" s="87">
        <f t="shared" si="3"/>
        <v>0</v>
      </c>
      <c r="I259" s="509"/>
      <c r="J259" s="525"/>
      <c r="K259" s="398"/>
      <c r="L259" s="398"/>
      <c r="M259" s="398"/>
      <c r="N259" s="86"/>
    </row>
    <row r="260" spans="1:14" s="616" customFormat="1" ht="15.75" x14ac:dyDescent="0.25">
      <c r="A260" s="523">
        <v>256</v>
      </c>
      <c r="B260" s="523" t="s">
        <v>984</v>
      </c>
      <c r="C260" s="607" t="s">
        <v>902</v>
      </c>
      <c r="D260" s="563">
        <v>34000</v>
      </c>
      <c r="E260" s="87"/>
      <c r="F260" s="573">
        <v>365</v>
      </c>
      <c r="G260" s="573">
        <v>34000</v>
      </c>
      <c r="H260" s="87">
        <f t="shared" si="3"/>
        <v>0</v>
      </c>
      <c r="I260" s="509"/>
      <c r="J260" s="525"/>
      <c r="K260" s="398"/>
      <c r="L260" s="398"/>
      <c r="M260" s="398"/>
      <c r="N260" s="86"/>
    </row>
    <row r="261" spans="1:14" s="616" customFormat="1" ht="15.75" x14ac:dyDescent="0.25">
      <c r="A261" s="523">
        <v>257</v>
      </c>
      <c r="B261" s="523" t="s">
        <v>985</v>
      </c>
      <c r="C261" s="555">
        <v>7109</v>
      </c>
      <c r="D261" s="563">
        <v>4793</v>
      </c>
      <c r="E261" s="87"/>
      <c r="F261" s="573">
        <v>53</v>
      </c>
      <c r="G261" s="573">
        <v>4793</v>
      </c>
      <c r="H261" s="87">
        <f t="shared" si="3"/>
        <v>0</v>
      </c>
      <c r="I261" s="509"/>
      <c r="J261" s="525"/>
      <c r="K261" s="398"/>
      <c r="L261" s="398"/>
      <c r="M261" s="398"/>
      <c r="N261" s="86"/>
    </row>
    <row r="262" spans="1:14" s="616" customFormat="1" ht="15.75" x14ac:dyDescent="0.25">
      <c r="A262" s="523">
        <v>258</v>
      </c>
      <c r="B262" s="523" t="s">
        <v>985</v>
      </c>
      <c r="C262" s="555">
        <v>5152</v>
      </c>
      <c r="D262" s="563">
        <v>15000</v>
      </c>
      <c r="E262" s="87"/>
      <c r="F262" s="573">
        <v>167</v>
      </c>
      <c r="G262" s="573">
        <v>15000</v>
      </c>
      <c r="H262" s="87">
        <f t="shared" si="3"/>
        <v>0</v>
      </c>
      <c r="I262" s="509"/>
      <c r="J262" s="525"/>
      <c r="K262" s="398"/>
      <c r="L262" s="398"/>
      <c r="M262" s="398"/>
      <c r="N262" s="86"/>
    </row>
    <row r="263" spans="1:14" s="616" customFormat="1" ht="15.75" x14ac:dyDescent="0.25">
      <c r="A263" s="523">
        <v>259</v>
      </c>
      <c r="B263" s="523" t="s">
        <v>985</v>
      </c>
      <c r="C263" s="607" t="s">
        <v>890</v>
      </c>
      <c r="D263" s="563">
        <v>14000</v>
      </c>
      <c r="E263" s="87"/>
      <c r="F263" s="573">
        <v>155</v>
      </c>
      <c r="G263" s="573">
        <v>14000</v>
      </c>
      <c r="H263" s="87">
        <f t="shared" si="3"/>
        <v>0</v>
      </c>
      <c r="I263" s="509"/>
      <c r="J263" s="525"/>
      <c r="K263" s="398"/>
      <c r="L263" s="398"/>
      <c r="M263" s="398"/>
      <c r="N263" s="86"/>
    </row>
    <row r="264" spans="1:14" s="616" customFormat="1" ht="15.75" x14ac:dyDescent="0.25">
      <c r="A264" s="523">
        <v>260</v>
      </c>
      <c r="B264" s="523" t="s">
        <v>985</v>
      </c>
      <c r="C264" s="555">
        <v>6133</v>
      </c>
      <c r="D264" s="563">
        <v>16000</v>
      </c>
      <c r="E264" s="87"/>
      <c r="F264" s="573">
        <v>178</v>
      </c>
      <c r="G264" s="573">
        <v>16000</v>
      </c>
      <c r="H264" s="87">
        <f t="shared" si="3"/>
        <v>0</v>
      </c>
      <c r="I264" s="509"/>
      <c r="J264" s="525"/>
      <c r="K264" s="398"/>
      <c r="L264" s="398"/>
      <c r="M264" s="398"/>
      <c r="N264" s="86"/>
    </row>
    <row r="265" spans="1:14" s="616" customFormat="1" ht="15.75" x14ac:dyDescent="0.25">
      <c r="A265" s="523">
        <v>261</v>
      </c>
      <c r="B265" s="523" t="s">
        <v>985</v>
      </c>
      <c r="C265" s="555">
        <v>2847</v>
      </c>
      <c r="D265" s="563">
        <v>20000</v>
      </c>
      <c r="E265" s="87"/>
      <c r="F265" s="573">
        <v>222</v>
      </c>
      <c r="G265" s="573">
        <v>20000</v>
      </c>
      <c r="H265" s="87">
        <f t="shared" si="3"/>
        <v>0</v>
      </c>
      <c r="I265" s="509"/>
      <c r="J265" s="525"/>
      <c r="K265" s="398"/>
      <c r="L265" s="398"/>
      <c r="M265" s="398"/>
      <c r="N265" s="86"/>
    </row>
    <row r="266" spans="1:14" s="616" customFormat="1" ht="15.75" x14ac:dyDescent="0.25">
      <c r="A266" s="523">
        <v>262</v>
      </c>
      <c r="B266" s="523" t="s">
        <v>985</v>
      </c>
      <c r="C266" s="607" t="s">
        <v>936</v>
      </c>
      <c r="D266" s="563">
        <v>20000</v>
      </c>
      <c r="E266" s="87"/>
      <c r="F266" s="573">
        <v>232</v>
      </c>
      <c r="G266" s="573">
        <v>20000</v>
      </c>
      <c r="H266" s="87">
        <f t="shared" si="3"/>
        <v>0</v>
      </c>
      <c r="I266" s="509"/>
      <c r="J266" s="525"/>
      <c r="K266" s="398"/>
      <c r="L266" s="398"/>
      <c r="M266" s="398"/>
      <c r="N266" s="86"/>
    </row>
    <row r="267" spans="1:14" s="616" customFormat="1" ht="15.75" x14ac:dyDescent="0.25">
      <c r="A267" s="523">
        <v>263</v>
      </c>
      <c r="B267" s="523" t="s">
        <v>985</v>
      </c>
      <c r="C267" s="555">
        <v>1318</v>
      </c>
      <c r="D267" s="563">
        <v>20000</v>
      </c>
      <c r="E267" s="87"/>
      <c r="F267" s="573">
        <v>222</v>
      </c>
      <c r="G267" s="573">
        <v>20000</v>
      </c>
      <c r="H267" s="87">
        <f t="shared" si="3"/>
        <v>0</v>
      </c>
      <c r="I267" s="509"/>
      <c r="J267" s="525"/>
      <c r="K267" s="398"/>
      <c r="L267" s="398"/>
      <c r="M267" s="398"/>
      <c r="N267" s="86"/>
    </row>
    <row r="268" spans="1:14" s="616" customFormat="1" ht="15.75" x14ac:dyDescent="0.25">
      <c r="A268" s="523">
        <v>264</v>
      </c>
      <c r="B268" s="523" t="s">
        <v>985</v>
      </c>
      <c r="C268" s="607" t="s">
        <v>978</v>
      </c>
      <c r="D268" s="563">
        <v>20000</v>
      </c>
      <c r="E268" s="87"/>
      <c r="F268" s="573">
        <v>222</v>
      </c>
      <c r="G268" s="573">
        <v>20000</v>
      </c>
      <c r="H268" s="87">
        <f t="shared" si="3"/>
        <v>0</v>
      </c>
      <c r="I268" s="509"/>
      <c r="J268" s="525"/>
      <c r="K268" s="398"/>
      <c r="L268" s="398"/>
      <c r="M268" s="398"/>
      <c r="N268" s="86"/>
    </row>
    <row r="269" spans="1:14" s="616" customFormat="1" ht="15.75" x14ac:dyDescent="0.25">
      <c r="A269" s="523">
        <v>265</v>
      </c>
      <c r="B269" s="523" t="s">
        <v>985</v>
      </c>
      <c r="C269" s="607" t="s">
        <v>994</v>
      </c>
      <c r="D269" s="563">
        <v>20000</v>
      </c>
      <c r="E269" s="87"/>
      <c r="F269" s="573">
        <v>222</v>
      </c>
      <c r="G269" s="573">
        <v>20000</v>
      </c>
      <c r="H269" s="87">
        <f t="shared" si="3"/>
        <v>0</v>
      </c>
      <c r="I269" s="509"/>
      <c r="J269" s="525"/>
      <c r="K269" s="398"/>
      <c r="L269" s="398"/>
      <c r="M269" s="398"/>
      <c r="N269" s="86"/>
    </row>
    <row r="270" spans="1:14" s="616" customFormat="1" ht="15.75" x14ac:dyDescent="0.25">
      <c r="A270" s="523">
        <v>266</v>
      </c>
      <c r="B270" s="523" t="s">
        <v>985</v>
      </c>
      <c r="C270" s="607" t="s">
        <v>995</v>
      </c>
      <c r="D270" s="563">
        <v>20000</v>
      </c>
      <c r="E270" s="87"/>
      <c r="F270" s="573">
        <v>222</v>
      </c>
      <c r="G270" s="573">
        <v>20000</v>
      </c>
      <c r="H270" s="87">
        <f t="shared" si="3"/>
        <v>0</v>
      </c>
      <c r="I270" s="509"/>
      <c r="J270" s="525"/>
      <c r="K270" s="398"/>
      <c r="L270" s="398"/>
      <c r="M270" s="398"/>
      <c r="N270" s="86"/>
    </row>
    <row r="271" spans="1:14" s="616" customFormat="1" ht="15.75" x14ac:dyDescent="0.25">
      <c r="A271" s="523">
        <v>267</v>
      </c>
      <c r="B271" s="523" t="s">
        <v>985</v>
      </c>
      <c r="C271" s="555">
        <v>5492</v>
      </c>
      <c r="D271" s="563">
        <v>20000</v>
      </c>
      <c r="E271" s="87"/>
      <c r="F271" s="573">
        <v>222</v>
      </c>
      <c r="G271" s="573">
        <v>20000</v>
      </c>
      <c r="H271" s="87">
        <f t="shared" si="3"/>
        <v>0</v>
      </c>
      <c r="I271" s="509"/>
      <c r="J271" s="525"/>
      <c r="K271" s="398"/>
      <c r="L271" s="398"/>
      <c r="M271" s="398"/>
      <c r="N271" s="86"/>
    </row>
    <row r="272" spans="1:14" s="616" customFormat="1" ht="15.75" x14ac:dyDescent="0.25">
      <c r="A272" s="523">
        <v>268</v>
      </c>
      <c r="B272" s="523" t="s">
        <v>985</v>
      </c>
      <c r="C272" s="555" t="s">
        <v>30</v>
      </c>
      <c r="D272" s="563">
        <v>4500</v>
      </c>
      <c r="E272" s="87"/>
      <c r="F272" s="573">
        <v>50</v>
      </c>
      <c r="G272" s="573">
        <v>4500</v>
      </c>
      <c r="H272" s="87">
        <f t="shared" si="3"/>
        <v>0</v>
      </c>
      <c r="I272" s="509"/>
      <c r="J272" s="525"/>
      <c r="K272" s="398"/>
      <c r="L272" s="398"/>
      <c r="M272" s="398"/>
      <c r="N272" s="86"/>
    </row>
    <row r="273" spans="1:14" s="616" customFormat="1" ht="15.75" x14ac:dyDescent="0.25">
      <c r="A273" s="523">
        <v>269</v>
      </c>
      <c r="B273" s="523" t="s">
        <v>996</v>
      </c>
      <c r="C273" s="555">
        <v>3037</v>
      </c>
      <c r="D273" s="563">
        <v>30000</v>
      </c>
      <c r="E273" s="87"/>
      <c r="F273" s="573">
        <v>334</v>
      </c>
      <c r="G273" s="573">
        <v>30000</v>
      </c>
      <c r="H273" s="87">
        <f t="shared" si="3"/>
        <v>0</v>
      </c>
      <c r="I273" s="509"/>
      <c r="J273" s="525"/>
      <c r="K273" s="398"/>
      <c r="L273" s="398"/>
      <c r="M273" s="398"/>
      <c r="N273" s="86"/>
    </row>
    <row r="274" spans="1:14" s="616" customFormat="1" ht="15.75" x14ac:dyDescent="0.25">
      <c r="A274" s="523">
        <v>270</v>
      </c>
      <c r="B274" s="523" t="s">
        <v>997</v>
      </c>
      <c r="C274" s="555">
        <v>5306</v>
      </c>
      <c r="D274" s="563">
        <v>24000</v>
      </c>
      <c r="E274" s="87"/>
      <c r="F274" s="573">
        <v>246</v>
      </c>
      <c r="G274" s="573">
        <v>24000</v>
      </c>
      <c r="H274" s="87">
        <f t="shared" si="3"/>
        <v>0</v>
      </c>
      <c r="I274" s="509"/>
      <c r="J274" s="525"/>
      <c r="K274" s="398"/>
      <c r="L274" s="398"/>
      <c r="M274" s="398"/>
      <c r="N274" s="86"/>
    </row>
    <row r="275" spans="1:14" s="616" customFormat="1" ht="15.75" x14ac:dyDescent="0.25">
      <c r="A275" s="523">
        <v>271</v>
      </c>
      <c r="B275" s="523" t="s">
        <v>998</v>
      </c>
      <c r="C275" s="555">
        <v>3665</v>
      </c>
      <c r="D275" s="563">
        <v>19000</v>
      </c>
      <c r="E275" s="87"/>
      <c r="F275" s="573">
        <v>121</v>
      </c>
      <c r="G275" s="573">
        <v>19000</v>
      </c>
      <c r="H275" s="87">
        <f t="shared" si="3"/>
        <v>0</v>
      </c>
      <c r="I275" s="509"/>
      <c r="J275" s="525"/>
      <c r="K275" s="398"/>
      <c r="L275" s="398"/>
      <c r="M275" s="398"/>
      <c r="N275" s="86"/>
    </row>
    <row r="276" spans="1:14" s="616" customFormat="1" ht="15.75" x14ac:dyDescent="0.25">
      <c r="A276" s="523">
        <v>272</v>
      </c>
      <c r="B276" s="523" t="s">
        <v>999</v>
      </c>
      <c r="C276" s="555" t="s">
        <v>30</v>
      </c>
      <c r="D276" s="563">
        <v>5000</v>
      </c>
      <c r="E276" s="87"/>
      <c r="F276" s="573">
        <v>55</v>
      </c>
      <c r="G276" s="573">
        <v>5000</v>
      </c>
      <c r="H276" s="87">
        <f t="shared" si="3"/>
        <v>0</v>
      </c>
      <c r="I276" s="509"/>
      <c r="J276" s="525"/>
      <c r="K276" s="398"/>
      <c r="L276" s="398"/>
      <c r="M276" s="398"/>
      <c r="N276" s="86"/>
    </row>
    <row r="277" spans="1:14" s="616" customFormat="1" ht="15.75" x14ac:dyDescent="0.25">
      <c r="A277" s="523">
        <v>273</v>
      </c>
      <c r="B277" s="523" t="s">
        <v>985</v>
      </c>
      <c r="C277" s="555">
        <v>5133</v>
      </c>
      <c r="D277" s="563">
        <v>10000</v>
      </c>
      <c r="E277" s="87"/>
      <c r="F277" s="573">
        <v>111</v>
      </c>
      <c r="G277" s="573">
        <v>10000</v>
      </c>
      <c r="H277" s="87">
        <f t="shared" si="3"/>
        <v>0</v>
      </c>
      <c r="I277" s="509"/>
      <c r="J277" s="525"/>
      <c r="K277" s="398"/>
      <c r="L277" s="398"/>
      <c r="M277" s="398"/>
      <c r="N277" s="86"/>
    </row>
    <row r="278" spans="1:14" s="616" customFormat="1" ht="15.75" x14ac:dyDescent="0.25">
      <c r="A278" s="523">
        <v>274</v>
      </c>
      <c r="B278" s="523" t="s">
        <v>985</v>
      </c>
      <c r="C278" s="555">
        <v>5801</v>
      </c>
      <c r="D278" s="563">
        <v>18000</v>
      </c>
      <c r="E278" s="87"/>
      <c r="F278" s="573">
        <v>200</v>
      </c>
      <c r="G278" s="573">
        <v>18000</v>
      </c>
      <c r="H278" s="87">
        <f t="shared" si="3"/>
        <v>0</v>
      </c>
      <c r="I278" s="509"/>
      <c r="J278" s="525"/>
      <c r="K278" s="398"/>
      <c r="L278" s="398"/>
      <c r="M278" s="398"/>
      <c r="N278" s="86"/>
    </row>
    <row r="279" spans="1:14" s="616" customFormat="1" ht="15.75" x14ac:dyDescent="0.25">
      <c r="A279" s="523">
        <v>275</v>
      </c>
      <c r="B279" s="523" t="s">
        <v>985</v>
      </c>
      <c r="C279" s="555">
        <v>5485</v>
      </c>
      <c r="D279" s="563">
        <v>28000</v>
      </c>
      <c r="E279" s="87"/>
      <c r="F279" s="573">
        <v>303</v>
      </c>
      <c r="G279" s="573">
        <v>28000</v>
      </c>
      <c r="H279" s="87">
        <f t="shared" si="3"/>
        <v>0</v>
      </c>
      <c r="I279" s="509"/>
      <c r="J279" s="525"/>
      <c r="K279" s="398"/>
      <c r="L279" s="398"/>
      <c r="M279" s="398"/>
      <c r="N279" s="86"/>
    </row>
    <row r="280" spans="1:14" s="616" customFormat="1" ht="15.75" x14ac:dyDescent="0.25">
      <c r="A280" s="523">
        <v>276</v>
      </c>
      <c r="B280" s="523" t="s">
        <v>985</v>
      </c>
      <c r="C280" s="555">
        <v>2777</v>
      </c>
      <c r="D280" s="563">
        <v>25000</v>
      </c>
      <c r="E280" s="87"/>
      <c r="F280" s="573">
        <v>278</v>
      </c>
      <c r="G280" s="573">
        <v>25000</v>
      </c>
      <c r="H280" s="87">
        <f t="shared" si="3"/>
        <v>0</v>
      </c>
      <c r="I280" s="509"/>
      <c r="J280" s="525"/>
      <c r="K280" s="398"/>
      <c r="L280" s="398"/>
      <c r="M280" s="398"/>
      <c r="N280" s="86"/>
    </row>
    <row r="281" spans="1:14" s="616" customFormat="1" ht="15.75" x14ac:dyDescent="0.25">
      <c r="A281" s="523">
        <v>277</v>
      </c>
      <c r="B281" s="523" t="s">
        <v>985</v>
      </c>
      <c r="C281" s="555">
        <v>6135</v>
      </c>
      <c r="D281" s="563">
        <v>16300</v>
      </c>
      <c r="E281" s="87"/>
      <c r="F281" s="573">
        <v>181</v>
      </c>
      <c r="G281" s="573">
        <v>16300</v>
      </c>
      <c r="H281" s="87">
        <f t="shared" si="3"/>
        <v>0</v>
      </c>
      <c r="I281" s="509"/>
      <c r="J281" s="525"/>
      <c r="K281" s="398"/>
      <c r="L281" s="398"/>
      <c r="M281" s="398"/>
      <c r="N281" s="86"/>
    </row>
    <row r="282" spans="1:14" s="616" customFormat="1" ht="15.75" x14ac:dyDescent="0.25">
      <c r="A282" s="523">
        <v>278</v>
      </c>
      <c r="B282" s="523" t="s">
        <v>985</v>
      </c>
      <c r="C282" s="555">
        <v>2036</v>
      </c>
      <c r="D282" s="563">
        <v>5000</v>
      </c>
      <c r="E282" s="87"/>
      <c r="F282" s="573">
        <v>55</v>
      </c>
      <c r="G282" s="573">
        <v>5000</v>
      </c>
      <c r="H282" s="87">
        <f t="shared" si="3"/>
        <v>0</v>
      </c>
      <c r="I282" s="509"/>
      <c r="J282" s="525"/>
      <c r="K282" s="398"/>
      <c r="L282" s="398"/>
      <c r="M282" s="398"/>
      <c r="N282" s="86"/>
    </row>
    <row r="283" spans="1:14" s="616" customFormat="1" ht="15.75" x14ac:dyDescent="0.25">
      <c r="A283" s="523">
        <v>279</v>
      </c>
      <c r="B283" s="523" t="s">
        <v>985</v>
      </c>
      <c r="C283" s="555">
        <v>5626</v>
      </c>
      <c r="D283" s="563">
        <v>29000</v>
      </c>
      <c r="E283" s="87"/>
      <c r="F283" s="573">
        <v>314</v>
      </c>
      <c r="G283" s="573">
        <v>29000</v>
      </c>
      <c r="H283" s="87">
        <f t="shared" si="3"/>
        <v>0</v>
      </c>
      <c r="I283" s="509"/>
      <c r="J283" s="525"/>
      <c r="K283" s="398"/>
      <c r="L283" s="398"/>
      <c r="M283" s="398"/>
      <c r="N283" s="86"/>
    </row>
    <row r="284" spans="1:14" s="616" customFormat="1" ht="15.75" x14ac:dyDescent="0.25">
      <c r="A284" s="523">
        <v>280</v>
      </c>
      <c r="B284" s="523" t="s">
        <v>985</v>
      </c>
      <c r="C284" s="555">
        <v>4267</v>
      </c>
      <c r="D284" s="563">
        <v>20000</v>
      </c>
      <c r="E284" s="87"/>
      <c r="F284" s="573">
        <v>222</v>
      </c>
      <c r="G284" s="573">
        <v>20000</v>
      </c>
      <c r="H284" s="87">
        <f t="shared" si="3"/>
        <v>0</v>
      </c>
      <c r="I284" s="509"/>
      <c r="J284" s="525"/>
      <c r="K284" s="398"/>
      <c r="L284" s="398"/>
      <c r="M284" s="398"/>
      <c r="N284" s="86"/>
    </row>
    <row r="285" spans="1:14" s="616" customFormat="1" ht="15.75" x14ac:dyDescent="0.25">
      <c r="A285" s="523">
        <v>281</v>
      </c>
      <c r="B285" s="523" t="s">
        <v>985</v>
      </c>
      <c r="C285" s="555">
        <v>8254</v>
      </c>
      <c r="D285" s="563">
        <v>15000</v>
      </c>
      <c r="E285" s="87"/>
      <c r="F285" s="573">
        <v>167</v>
      </c>
      <c r="G285" s="573">
        <v>15000</v>
      </c>
      <c r="H285" s="87">
        <f t="shared" si="3"/>
        <v>0</v>
      </c>
      <c r="I285" s="509"/>
      <c r="J285" s="525"/>
      <c r="K285" s="398"/>
      <c r="L285" s="398"/>
      <c r="M285" s="398"/>
      <c r="N285" s="86"/>
    </row>
    <row r="286" spans="1:14" s="616" customFormat="1" ht="15.75" x14ac:dyDescent="0.25">
      <c r="A286" s="523">
        <v>282</v>
      </c>
      <c r="B286" s="523" t="s">
        <v>985</v>
      </c>
      <c r="C286" s="555">
        <v>7886</v>
      </c>
      <c r="D286" s="563">
        <v>26000</v>
      </c>
      <c r="E286" s="87"/>
      <c r="F286" s="573">
        <v>289</v>
      </c>
      <c r="G286" s="573">
        <v>26000</v>
      </c>
      <c r="H286" s="87">
        <f t="shared" si="3"/>
        <v>0</v>
      </c>
      <c r="I286" s="509"/>
      <c r="J286" s="525"/>
      <c r="K286" s="398"/>
      <c r="L286" s="398"/>
      <c r="M286" s="398"/>
      <c r="N286" s="86"/>
    </row>
    <row r="287" spans="1:14" s="616" customFormat="1" ht="15.75" x14ac:dyDescent="0.25">
      <c r="A287" s="523">
        <v>283</v>
      </c>
      <c r="B287" s="523" t="s">
        <v>985</v>
      </c>
      <c r="C287" s="555">
        <v>2320</v>
      </c>
      <c r="D287" s="563">
        <v>27000</v>
      </c>
      <c r="E287" s="87"/>
      <c r="F287" s="573">
        <v>300</v>
      </c>
      <c r="G287" s="573">
        <v>27000</v>
      </c>
      <c r="H287" s="87">
        <f t="shared" si="3"/>
        <v>0</v>
      </c>
      <c r="I287" s="509"/>
      <c r="J287" s="525"/>
      <c r="K287" s="398"/>
      <c r="L287" s="398"/>
      <c r="M287" s="398"/>
      <c r="N287" s="86"/>
    </row>
    <row r="288" spans="1:14" s="616" customFormat="1" ht="15.75" x14ac:dyDescent="0.25">
      <c r="A288" s="523">
        <v>284</v>
      </c>
      <c r="B288" s="523" t="s">
        <v>985</v>
      </c>
      <c r="C288" s="555">
        <v>2498</v>
      </c>
      <c r="D288" s="563">
        <v>21000</v>
      </c>
      <c r="E288" s="87"/>
      <c r="F288" s="573">
        <v>226</v>
      </c>
      <c r="G288" s="573">
        <v>21000</v>
      </c>
      <c r="H288" s="87">
        <f t="shared" si="3"/>
        <v>0</v>
      </c>
      <c r="I288" s="509"/>
      <c r="J288" s="525"/>
      <c r="K288" s="398"/>
      <c r="L288" s="398"/>
      <c r="M288" s="398"/>
      <c r="N288" s="86"/>
    </row>
    <row r="289" spans="1:14" s="616" customFormat="1" ht="15.75" x14ac:dyDescent="0.25">
      <c r="A289" s="523">
        <v>285</v>
      </c>
      <c r="B289" s="523" t="s">
        <v>985</v>
      </c>
      <c r="C289" s="555">
        <v>7258</v>
      </c>
      <c r="D289" s="563">
        <v>29000</v>
      </c>
      <c r="E289" s="87"/>
      <c r="F289" s="573">
        <v>315</v>
      </c>
      <c r="G289" s="573">
        <v>29000</v>
      </c>
      <c r="H289" s="87">
        <f t="shared" ref="H289:H352" si="4">D289-G289</f>
        <v>0</v>
      </c>
      <c r="I289" s="509"/>
      <c r="J289" s="525"/>
      <c r="K289" s="398"/>
      <c r="L289" s="398"/>
      <c r="M289" s="398"/>
      <c r="N289" s="86"/>
    </row>
    <row r="290" spans="1:14" s="616" customFormat="1" ht="15.75" x14ac:dyDescent="0.25">
      <c r="A290" s="523">
        <v>286</v>
      </c>
      <c r="B290" s="523" t="s">
        <v>985</v>
      </c>
      <c r="C290" s="555">
        <v>7196</v>
      </c>
      <c r="D290" s="563">
        <v>20000</v>
      </c>
      <c r="E290" s="87"/>
      <c r="F290" s="573">
        <v>222</v>
      </c>
      <c r="G290" s="573">
        <v>20000</v>
      </c>
      <c r="H290" s="87">
        <f t="shared" si="4"/>
        <v>0</v>
      </c>
      <c r="I290" s="509"/>
      <c r="J290" s="525"/>
      <c r="K290" s="398"/>
      <c r="L290" s="398"/>
      <c r="M290" s="398"/>
      <c r="N290" s="86"/>
    </row>
    <row r="291" spans="1:14" s="616" customFormat="1" ht="15.75" x14ac:dyDescent="0.25">
      <c r="A291" s="523">
        <v>287</v>
      </c>
      <c r="B291" s="523" t="s">
        <v>985</v>
      </c>
      <c r="C291" s="555">
        <v>9021</v>
      </c>
      <c r="D291" s="563">
        <v>24000</v>
      </c>
      <c r="E291" s="87"/>
      <c r="F291" s="573">
        <v>266</v>
      </c>
      <c r="G291" s="573">
        <v>24000</v>
      </c>
      <c r="H291" s="87">
        <f t="shared" si="4"/>
        <v>0</v>
      </c>
      <c r="I291" s="509"/>
      <c r="J291" s="525"/>
      <c r="K291" s="398"/>
      <c r="L291" s="398"/>
      <c r="M291" s="398"/>
      <c r="N291" s="86"/>
    </row>
    <row r="292" spans="1:14" s="616" customFormat="1" ht="15.75" x14ac:dyDescent="0.25">
      <c r="A292" s="523">
        <v>288</v>
      </c>
      <c r="B292" s="523" t="s">
        <v>985</v>
      </c>
      <c r="C292" s="555">
        <v>6464</v>
      </c>
      <c r="D292" s="563">
        <v>24000</v>
      </c>
      <c r="E292" s="87"/>
      <c r="F292" s="573">
        <v>265</v>
      </c>
      <c r="G292" s="573">
        <v>24000</v>
      </c>
      <c r="H292" s="87">
        <f t="shared" si="4"/>
        <v>0</v>
      </c>
      <c r="I292" s="509"/>
      <c r="J292" s="525"/>
      <c r="K292" s="398"/>
      <c r="L292" s="398"/>
      <c r="M292" s="398"/>
      <c r="N292" s="86"/>
    </row>
    <row r="293" spans="1:14" s="617" customFormat="1" ht="15.75" x14ac:dyDescent="0.25">
      <c r="A293" s="523">
        <v>289</v>
      </c>
      <c r="B293" s="523" t="s">
        <v>985</v>
      </c>
      <c r="C293" s="555">
        <v>857</v>
      </c>
      <c r="D293" s="563">
        <v>33000</v>
      </c>
      <c r="E293" s="87"/>
      <c r="F293" s="573">
        <v>357.58</v>
      </c>
      <c r="G293" s="573">
        <v>33000</v>
      </c>
      <c r="H293" s="87">
        <f t="shared" si="4"/>
        <v>0</v>
      </c>
      <c r="I293" s="509"/>
      <c r="J293" s="525"/>
      <c r="K293" s="398"/>
      <c r="L293" s="398"/>
      <c r="M293" s="398"/>
      <c r="N293" s="86"/>
    </row>
    <row r="294" spans="1:14" s="617" customFormat="1" ht="15.75" x14ac:dyDescent="0.25">
      <c r="A294" s="523">
        <v>290</v>
      </c>
      <c r="B294" s="523" t="s">
        <v>985</v>
      </c>
      <c r="C294" s="555">
        <v>9345</v>
      </c>
      <c r="D294" s="563">
        <v>16000</v>
      </c>
      <c r="E294" s="87"/>
      <c r="F294" s="573">
        <v>178.22</v>
      </c>
      <c r="G294" s="573">
        <v>16000</v>
      </c>
      <c r="H294" s="87">
        <f t="shared" si="4"/>
        <v>0</v>
      </c>
      <c r="I294" s="509"/>
      <c r="J294" s="525"/>
      <c r="K294" s="398"/>
      <c r="L294" s="398"/>
      <c r="M294" s="398"/>
      <c r="N294" s="86"/>
    </row>
    <row r="295" spans="1:14" s="616" customFormat="1" ht="15.75" x14ac:dyDescent="0.25">
      <c r="A295" s="523">
        <v>291</v>
      </c>
      <c r="B295" s="523" t="s">
        <v>986</v>
      </c>
      <c r="C295" s="555">
        <v>5750</v>
      </c>
      <c r="D295" s="563">
        <v>23600</v>
      </c>
      <c r="E295" s="87"/>
      <c r="F295" s="573">
        <v>262</v>
      </c>
      <c r="G295" s="573">
        <v>23600</v>
      </c>
      <c r="H295" s="87">
        <f t="shared" si="4"/>
        <v>0</v>
      </c>
      <c r="I295" s="509"/>
      <c r="J295" s="525"/>
      <c r="K295" s="398"/>
      <c r="L295" s="398"/>
      <c r="M295" s="398"/>
      <c r="N295" s="86"/>
    </row>
    <row r="296" spans="1:14" s="616" customFormat="1" ht="15.75" x14ac:dyDescent="0.25">
      <c r="A296" s="523">
        <v>292</v>
      </c>
      <c r="B296" s="523" t="s">
        <v>986</v>
      </c>
      <c r="C296" s="555">
        <v>5652</v>
      </c>
      <c r="D296" s="563">
        <v>22000</v>
      </c>
      <c r="E296" s="87"/>
      <c r="F296" s="573">
        <v>245</v>
      </c>
      <c r="G296" s="573">
        <v>22000</v>
      </c>
      <c r="H296" s="87">
        <f t="shared" si="4"/>
        <v>0</v>
      </c>
      <c r="I296" s="509"/>
      <c r="J296" s="525"/>
      <c r="K296" s="398"/>
      <c r="L296" s="398"/>
      <c r="M296" s="398"/>
      <c r="N296" s="86"/>
    </row>
    <row r="297" spans="1:14" s="616" customFormat="1" ht="15.75" x14ac:dyDescent="0.25">
      <c r="A297" s="523">
        <v>293</v>
      </c>
      <c r="B297" s="523" t="s">
        <v>986</v>
      </c>
      <c r="C297" s="555">
        <v>5907</v>
      </c>
      <c r="D297" s="563">
        <v>23000</v>
      </c>
      <c r="E297" s="87"/>
      <c r="F297" s="573">
        <v>256</v>
      </c>
      <c r="G297" s="573">
        <v>23000</v>
      </c>
      <c r="H297" s="87">
        <f t="shared" si="4"/>
        <v>0</v>
      </c>
      <c r="I297" s="509"/>
      <c r="J297" s="525"/>
      <c r="K297" s="398"/>
      <c r="L297" s="398"/>
      <c r="M297" s="398"/>
      <c r="N297" s="86"/>
    </row>
    <row r="298" spans="1:14" s="616" customFormat="1" ht="15.75" x14ac:dyDescent="0.25">
      <c r="A298" s="523">
        <v>294</v>
      </c>
      <c r="B298" s="523" t="s">
        <v>986</v>
      </c>
      <c r="C298" s="555">
        <v>9644</v>
      </c>
      <c r="D298" s="563">
        <v>15000</v>
      </c>
      <c r="E298" s="87"/>
      <c r="F298" s="573">
        <v>167</v>
      </c>
      <c r="G298" s="573">
        <v>15000</v>
      </c>
      <c r="H298" s="87">
        <f t="shared" si="4"/>
        <v>0</v>
      </c>
      <c r="I298" s="509"/>
      <c r="J298" s="525"/>
      <c r="K298" s="398"/>
      <c r="L298" s="398"/>
      <c r="M298" s="398"/>
      <c r="N298" s="86"/>
    </row>
    <row r="299" spans="1:14" s="616" customFormat="1" ht="15.75" x14ac:dyDescent="0.25">
      <c r="A299" s="523">
        <v>295</v>
      </c>
      <c r="B299" s="523" t="s">
        <v>986</v>
      </c>
      <c r="C299" s="555">
        <v>7087</v>
      </c>
      <c r="D299" s="563">
        <v>15000</v>
      </c>
      <c r="E299" s="87"/>
      <c r="F299" s="573">
        <v>167</v>
      </c>
      <c r="G299" s="573">
        <v>15000</v>
      </c>
      <c r="H299" s="87">
        <f t="shared" si="4"/>
        <v>0</v>
      </c>
      <c r="I299" s="509"/>
      <c r="J299" s="525"/>
      <c r="K299" s="398"/>
      <c r="L299" s="398"/>
      <c r="M299" s="398"/>
      <c r="N299" s="86"/>
    </row>
    <row r="300" spans="1:14" s="616" customFormat="1" ht="15.75" x14ac:dyDescent="0.25">
      <c r="A300" s="523">
        <v>296</v>
      </c>
      <c r="B300" s="523" t="s">
        <v>986</v>
      </c>
      <c r="C300" s="607" t="s">
        <v>873</v>
      </c>
      <c r="D300" s="563">
        <v>15000</v>
      </c>
      <c r="E300" s="87"/>
      <c r="F300" s="573">
        <v>278</v>
      </c>
      <c r="G300" s="573">
        <v>15000</v>
      </c>
      <c r="H300" s="87">
        <f t="shared" si="4"/>
        <v>0</v>
      </c>
      <c r="I300" s="509"/>
      <c r="J300" s="525"/>
      <c r="K300" s="398"/>
      <c r="L300" s="398"/>
      <c r="M300" s="398"/>
      <c r="N300" s="86"/>
    </row>
    <row r="301" spans="1:14" s="616" customFormat="1" ht="15.75" x14ac:dyDescent="0.25">
      <c r="A301" s="523">
        <v>297</v>
      </c>
      <c r="B301" s="523" t="s">
        <v>986</v>
      </c>
      <c r="C301" s="555">
        <v>8273</v>
      </c>
      <c r="D301" s="563">
        <v>25000</v>
      </c>
      <c r="E301" s="87"/>
      <c r="F301" s="573">
        <v>222</v>
      </c>
      <c r="G301" s="573">
        <v>25000</v>
      </c>
      <c r="H301" s="87">
        <f t="shared" si="4"/>
        <v>0</v>
      </c>
      <c r="I301" s="509"/>
      <c r="J301" s="525"/>
      <c r="K301" s="398"/>
      <c r="L301" s="398"/>
      <c r="M301" s="398"/>
      <c r="N301" s="86"/>
    </row>
    <row r="302" spans="1:14" s="616" customFormat="1" ht="15.75" x14ac:dyDescent="0.25">
      <c r="A302" s="523">
        <v>298</v>
      </c>
      <c r="B302" s="523" t="s">
        <v>986</v>
      </c>
      <c r="C302" s="555">
        <v>8022</v>
      </c>
      <c r="D302" s="563">
        <v>20000</v>
      </c>
      <c r="E302" s="87"/>
      <c r="F302" s="573">
        <v>222</v>
      </c>
      <c r="G302" s="573">
        <v>20000</v>
      </c>
      <c r="H302" s="87">
        <f t="shared" si="4"/>
        <v>0</v>
      </c>
      <c r="I302" s="509"/>
      <c r="J302" s="525"/>
      <c r="K302" s="398"/>
      <c r="L302" s="398"/>
      <c r="M302" s="398"/>
      <c r="N302" s="86"/>
    </row>
    <row r="303" spans="1:14" s="616" customFormat="1" ht="15.75" x14ac:dyDescent="0.25">
      <c r="A303" s="523">
        <v>299</v>
      </c>
      <c r="B303" s="523" t="s">
        <v>986</v>
      </c>
      <c r="C303" s="555">
        <v>2711</v>
      </c>
      <c r="D303" s="563">
        <v>10000</v>
      </c>
      <c r="E303" s="87"/>
      <c r="F303" s="573">
        <v>111</v>
      </c>
      <c r="G303" s="573">
        <v>10000</v>
      </c>
      <c r="H303" s="87">
        <f t="shared" si="4"/>
        <v>0</v>
      </c>
      <c r="I303" s="509"/>
      <c r="J303" s="525"/>
      <c r="K303" s="398"/>
      <c r="L303" s="398"/>
      <c r="M303" s="398"/>
      <c r="N303" s="86"/>
    </row>
    <row r="304" spans="1:14" s="616" customFormat="1" ht="15.75" x14ac:dyDescent="0.25">
      <c r="A304" s="523">
        <v>300</v>
      </c>
      <c r="B304" s="523" t="s">
        <v>986</v>
      </c>
      <c r="C304" s="555">
        <v>1693</v>
      </c>
      <c r="D304" s="563">
        <v>10000</v>
      </c>
      <c r="E304" s="87"/>
      <c r="F304" s="573">
        <v>111</v>
      </c>
      <c r="G304" s="573">
        <v>10000</v>
      </c>
      <c r="H304" s="87">
        <f t="shared" si="4"/>
        <v>0</v>
      </c>
      <c r="I304" s="509"/>
      <c r="J304" s="525"/>
      <c r="K304" s="398"/>
      <c r="L304" s="398"/>
      <c r="M304" s="398"/>
      <c r="N304" s="86"/>
    </row>
    <row r="305" spans="1:14" s="616" customFormat="1" ht="15.75" x14ac:dyDescent="0.25">
      <c r="A305" s="523">
        <v>301</v>
      </c>
      <c r="B305" s="523" t="s">
        <v>986</v>
      </c>
      <c r="C305" s="555">
        <v>4705</v>
      </c>
      <c r="D305" s="563">
        <v>10000</v>
      </c>
      <c r="E305" s="87"/>
      <c r="F305" s="573">
        <v>111</v>
      </c>
      <c r="G305" s="573">
        <v>10000</v>
      </c>
      <c r="H305" s="87">
        <f t="shared" si="4"/>
        <v>0</v>
      </c>
      <c r="I305" s="509"/>
      <c r="J305" s="525"/>
      <c r="K305" s="398"/>
      <c r="L305" s="398"/>
      <c r="M305" s="398"/>
      <c r="N305" s="86"/>
    </row>
    <row r="306" spans="1:14" s="616" customFormat="1" ht="15.75" x14ac:dyDescent="0.25">
      <c r="A306" s="523">
        <v>302</v>
      </c>
      <c r="B306" s="523" t="s">
        <v>986</v>
      </c>
      <c r="C306" s="555">
        <v>9457</v>
      </c>
      <c r="D306" s="563">
        <v>30000</v>
      </c>
      <c r="E306" s="87"/>
      <c r="F306" s="573">
        <v>334</v>
      </c>
      <c r="G306" s="573">
        <v>30000</v>
      </c>
      <c r="H306" s="87">
        <f t="shared" si="4"/>
        <v>0</v>
      </c>
      <c r="I306" s="509"/>
      <c r="J306" s="525"/>
      <c r="K306" s="398"/>
      <c r="L306" s="398"/>
      <c r="M306" s="398"/>
      <c r="N306" s="86"/>
    </row>
    <row r="307" spans="1:14" s="616" customFormat="1" ht="15.75" x14ac:dyDescent="0.25">
      <c r="A307" s="523">
        <v>303</v>
      </c>
      <c r="B307" s="523" t="s">
        <v>986</v>
      </c>
      <c r="C307" s="555">
        <v>9733</v>
      </c>
      <c r="D307" s="563">
        <v>15000</v>
      </c>
      <c r="E307" s="87"/>
      <c r="F307" s="573">
        <v>167</v>
      </c>
      <c r="G307" s="573">
        <v>15000</v>
      </c>
      <c r="H307" s="87">
        <f t="shared" si="4"/>
        <v>0</v>
      </c>
      <c r="I307" s="509"/>
      <c r="J307" s="525"/>
      <c r="K307" s="398"/>
      <c r="L307" s="398"/>
      <c r="M307" s="398"/>
      <c r="N307" s="86"/>
    </row>
    <row r="308" spans="1:14" s="616" customFormat="1" ht="15.75" x14ac:dyDescent="0.25">
      <c r="A308" s="523">
        <v>304</v>
      </c>
      <c r="B308" s="523" t="s">
        <v>1000</v>
      </c>
      <c r="C308" s="555" t="s">
        <v>30</v>
      </c>
      <c r="D308" s="563">
        <v>5000</v>
      </c>
      <c r="E308" s="87"/>
      <c r="F308" s="573">
        <v>50</v>
      </c>
      <c r="G308" s="573">
        <v>5000</v>
      </c>
      <c r="H308" s="87">
        <f t="shared" si="4"/>
        <v>0</v>
      </c>
      <c r="I308" s="509"/>
      <c r="J308" s="525"/>
      <c r="K308" s="398"/>
      <c r="L308" s="398"/>
      <c r="M308" s="398"/>
      <c r="N308" s="86"/>
    </row>
    <row r="309" spans="1:14" s="616" customFormat="1" ht="15.75" x14ac:dyDescent="0.25">
      <c r="A309" s="523">
        <v>305</v>
      </c>
      <c r="B309" s="523" t="s">
        <v>1000</v>
      </c>
      <c r="C309" s="555">
        <v>5152</v>
      </c>
      <c r="D309" s="563">
        <v>15000</v>
      </c>
      <c r="E309" s="87"/>
      <c r="F309" s="573">
        <v>167</v>
      </c>
      <c r="G309" s="573">
        <v>15000</v>
      </c>
      <c r="H309" s="87">
        <f t="shared" si="4"/>
        <v>0</v>
      </c>
      <c r="I309" s="509"/>
      <c r="J309" s="525"/>
      <c r="K309" s="398"/>
      <c r="L309" s="398"/>
      <c r="M309" s="398"/>
      <c r="N309" s="86"/>
    </row>
    <row r="310" spans="1:14" s="616" customFormat="1" ht="15.75" x14ac:dyDescent="0.25">
      <c r="A310" s="523">
        <v>306</v>
      </c>
      <c r="B310" s="523" t="s">
        <v>1000</v>
      </c>
      <c r="C310" s="555" t="s">
        <v>66</v>
      </c>
      <c r="D310" s="563">
        <v>100</v>
      </c>
      <c r="E310" s="87"/>
      <c r="F310" s="573">
        <v>2.09</v>
      </c>
      <c r="G310" s="573">
        <v>100</v>
      </c>
      <c r="H310" s="87">
        <f t="shared" si="4"/>
        <v>0</v>
      </c>
      <c r="I310" s="509"/>
      <c r="J310" s="525"/>
      <c r="K310" s="398"/>
      <c r="L310" s="398"/>
      <c r="M310" s="398"/>
      <c r="N310" s="86"/>
    </row>
    <row r="311" spans="1:14" s="616" customFormat="1" ht="15.75" x14ac:dyDescent="0.25">
      <c r="A311" s="523">
        <v>307</v>
      </c>
      <c r="B311" s="523" t="s">
        <v>1001</v>
      </c>
      <c r="C311" s="555" t="s">
        <v>819</v>
      </c>
      <c r="D311" s="563">
        <v>3500</v>
      </c>
      <c r="E311" s="87"/>
      <c r="F311" s="573">
        <v>38</v>
      </c>
      <c r="G311" s="573">
        <v>3500</v>
      </c>
      <c r="H311" s="87">
        <f t="shared" si="4"/>
        <v>0</v>
      </c>
      <c r="I311" s="509"/>
      <c r="J311" s="525"/>
      <c r="K311" s="398"/>
      <c r="L311" s="398"/>
      <c r="M311" s="398"/>
      <c r="N311" s="86"/>
    </row>
    <row r="312" spans="1:14" s="616" customFormat="1" ht="15.75" x14ac:dyDescent="0.25">
      <c r="A312" s="523">
        <v>308</v>
      </c>
      <c r="B312" s="523" t="s">
        <v>1001</v>
      </c>
      <c r="C312" s="555">
        <v>8484</v>
      </c>
      <c r="D312" s="563">
        <v>15000</v>
      </c>
      <c r="E312" s="87"/>
      <c r="F312" s="573">
        <v>167</v>
      </c>
      <c r="G312" s="573">
        <v>15000</v>
      </c>
      <c r="H312" s="87">
        <f t="shared" si="4"/>
        <v>0</v>
      </c>
      <c r="I312" s="509"/>
      <c r="J312" s="525"/>
      <c r="K312" s="398"/>
      <c r="L312" s="398"/>
      <c r="M312" s="398"/>
      <c r="N312" s="86"/>
    </row>
    <row r="313" spans="1:14" s="616" customFormat="1" ht="15.75" x14ac:dyDescent="0.25">
      <c r="A313" s="523">
        <v>309</v>
      </c>
      <c r="B313" s="523" t="s">
        <v>1001</v>
      </c>
      <c r="C313" s="555">
        <v>2284</v>
      </c>
      <c r="D313" s="563">
        <v>15000</v>
      </c>
      <c r="E313" s="87"/>
      <c r="F313" s="573">
        <v>167</v>
      </c>
      <c r="G313" s="573">
        <v>15000</v>
      </c>
      <c r="H313" s="87">
        <f t="shared" si="4"/>
        <v>0</v>
      </c>
      <c r="I313" s="509"/>
      <c r="J313" s="525"/>
      <c r="K313" s="398"/>
      <c r="L313" s="398"/>
      <c r="M313" s="398"/>
      <c r="N313" s="86"/>
    </row>
    <row r="314" spans="1:14" s="616" customFormat="1" ht="15.75" x14ac:dyDescent="0.25">
      <c r="A314" s="523">
        <v>310</v>
      </c>
      <c r="B314" s="523" t="s">
        <v>1001</v>
      </c>
      <c r="C314" s="555">
        <v>5784</v>
      </c>
      <c r="D314" s="563">
        <v>15000</v>
      </c>
      <c r="E314" s="87"/>
      <c r="F314" s="573">
        <v>167</v>
      </c>
      <c r="G314" s="573">
        <v>15000</v>
      </c>
      <c r="H314" s="87">
        <f t="shared" si="4"/>
        <v>0</v>
      </c>
      <c r="I314" s="509"/>
      <c r="J314" s="525"/>
      <c r="K314" s="398"/>
      <c r="L314" s="398"/>
      <c r="M314" s="398"/>
      <c r="N314" s="86"/>
    </row>
    <row r="315" spans="1:14" s="616" customFormat="1" ht="15.75" x14ac:dyDescent="0.25">
      <c r="A315" s="523">
        <v>311</v>
      </c>
      <c r="B315" s="523" t="s">
        <v>1001</v>
      </c>
      <c r="C315" s="555">
        <v>9015</v>
      </c>
      <c r="D315" s="563">
        <v>15000</v>
      </c>
      <c r="E315" s="87"/>
      <c r="F315" s="573">
        <v>167</v>
      </c>
      <c r="G315" s="573">
        <v>15000</v>
      </c>
      <c r="H315" s="87">
        <f t="shared" si="4"/>
        <v>0</v>
      </c>
      <c r="I315" s="509"/>
      <c r="J315" s="525"/>
      <c r="K315" s="398"/>
      <c r="L315" s="398"/>
      <c r="M315" s="398"/>
      <c r="N315" s="86"/>
    </row>
    <row r="316" spans="1:14" s="616" customFormat="1" ht="15.75" x14ac:dyDescent="0.25">
      <c r="A316" s="523">
        <v>312</v>
      </c>
      <c r="B316" s="523" t="s">
        <v>1001</v>
      </c>
      <c r="C316" s="607" t="s">
        <v>1002</v>
      </c>
      <c r="D316" s="563">
        <v>10000</v>
      </c>
      <c r="E316" s="87"/>
      <c r="F316" s="573">
        <v>111</v>
      </c>
      <c r="G316" s="573">
        <v>10000</v>
      </c>
      <c r="H316" s="87">
        <f t="shared" si="4"/>
        <v>0</v>
      </c>
      <c r="I316" s="509"/>
      <c r="J316" s="525"/>
      <c r="K316" s="398"/>
      <c r="L316" s="398"/>
      <c r="M316" s="398"/>
      <c r="N316" s="86"/>
    </row>
    <row r="317" spans="1:14" s="616" customFormat="1" ht="15.75" x14ac:dyDescent="0.25">
      <c r="A317" s="523">
        <v>313</v>
      </c>
      <c r="B317" s="523" t="s">
        <v>1001</v>
      </c>
      <c r="C317" s="555">
        <v>9776</v>
      </c>
      <c r="D317" s="563">
        <v>10000</v>
      </c>
      <c r="E317" s="87"/>
      <c r="F317" s="573">
        <v>111</v>
      </c>
      <c r="G317" s="573">
        <v>10000</v>
      </c>
      <c r="H317" s="87">
        <f t="shared" si="4"/>
        <v>0</v>
      </c>
      <c r="I317" s="509"/>
      <c r="J317" s="525"/>
      <c r="K317" s="398"/>
      <c r="L317" s="398"/>
      <c r="M317" s="398"/>
      <c r="N317" s="86"/>
    </row>
    <row r="318" spans="1:14" s="616" customFormat="1" ht="15.75" x14ac:dyDescent="0.25">
      <c r="A318" s="523">
        <v>314</v>
      </c>
      <c r="B318" s="523" t="s">
        <v>1001</v>
      </c>
      <c r="C318" s="555">
        <v>6133</v>
      </c>
      <c r="D318" s="563">
        <v>16000</v>
      </c>
      <c r="E318" s="87"/>
      <c r="F318" s="573">
        <v>178</v>
      </c>
      <c r="G318" s="573">
        <v>16000</v>
      </c>
      <c r="H318" s="87">
        <f t="shared" si="4"/>
        <v>0</v>
      </c>
      <c r="I318" s="509"/>
      <c r="J318" s="525"/>
      <c r="K318" s="398"/>
      <c r="L318" s="398"/>
      <c r="M318" s="398"/>
      <c r="N318" s="86"/>
    </row>
    <row r="319" spans="1:14" s="616" customFormat="1" ht="15.75" x14ac:dyDescent="0.25">
      <c r="A319" s="523">
        <v>315</v>
      </c>
      <c r="B319" s="523" t="s">
        <v>1001</v>
      </c>
      <c r="C319" s="555">
        <v>2586</v>
      </c>
      <c r="D319" s="563">
        <v>17000</v>
      </c>
      <c r="E319" s="87"/>
      <c r="F319" s="573">
        <v>189</v>
      </c>
      <c r="G319" s="573">
        <v>17000</v>
      </c>
      <c r="H319" s="87">
        <f t="shared" si="4"/>
        <v>0</v>
      </c>
      <c r="I319" s="509"/>
      <c r="J319" s="525"/>
      <c r="K319" s="398"/>
      <c r="L319" s="398"/>
      <c r="M319" s="398"/>
      <c r="N319" s="86"/>
    </row>
    <row r="320" spans="1:14" s="616" customFormat="1" ht="15.75" x14ac:dyDescent="0.25">
      <c r="A320" s="523">
        <v>316</v>
      </c>
      <c r="B320" s="523" t="s">
        <v>1001</v>
      </c>
      <c r="C320" s="555">
        <v>9422</v>
      </c>
      <c r="D320" s="563">
        <v>25000</v>
      </c>
      <c r="E320" s="87"/>
      <c r="F320" s="573">
        <v>278</v>
      </c>
      <c r="G320" s="573">
        <v>25000</v>
      </c>
      <c r="H320" s="87">
        <f t="shared" si="4"/>
        <v>0</v>
      </c>
      <c r="I320" s="509"/>
      <c r="J320" s="525"/>
      <c r="K320" s="398"/>
      <c r="L320" s="398"/>
      <c r="M320" s="398"/>
      <c r="N320" s="86"/>
    </row>
    <row r="321" spans="1:14" s="616" customFormat="1" ht="15.75" x14ac:dyDescent="0.25">
      <c r="A321" s="523">
        <v>317</v>
      </c>
      <c r="B321" s="523" t="s">
        <v>1001</v>
      </c>
      <c r="C321" s="555">
        <v>2220</v>
      </c>
      <c r="D321" s="563">
        <v>25000</v>
      </c>
      <c r="E321" s="87"/>
      <c r="F321" s="573">
        <v>278</v>
      </c>
      <c r="G321" s="573">
        <v>25000</v>
      </c>
      <c r="H321" s="87">
        <f t="shared" si="4"/>
        <v>0</v>
      </c>
      <c r="I321" s="509"/>
      <c r="J321" s="525"/>
      <c r="K321" s="398"/>
      <c r="L321" s="398"/>
      <c r="M321" s="398"/>
      <c r="N321" s="86"/>
    </row>
    <row r="322" spans="1:14" s="616" customFormat="1" ht="15.75" x14ac:dyDescent="0.25">
      <c r="A322" s="523">
        <v>318</v>
      </c>
      <c r="B322" s="523" t="s">
        <v>1001</v>
      </c>
      <c r="C322" s="555">
        <v>2895</v>
      </c>
      <c r="D322" s="563">
        <v>27000</v>
      </c>
      <c r="E322" s="87"/>
      <c r="F322" s="573">
        <v>300</v>
      </c>
      <c r="G322" s="573">
        <v>27000</v>
      </c>
      <c r="H322" s="87">
        <f t="shared" si="4"/>
        <v>0</v>
      </c>
      <c r="I322" s="509"/>
      <c r="J322" s="525"/>
      <c r="K322" s="398"/>
      <c r="L322" s="398"/>
      <c r="M322" s="398"/>
      <c r="N322" s="86"/>
    </row>
    <row r="323" spans="1:14" s="616" customFormat="1" ht="15.75" x14ac:dyDescent="0.25">
      <c r="A323" s="523">
        <v>319</v>
      </c>
      <c r="B323" s="523" t="s">
        <v>1001</v>
      </c>
      <c r="C323" s="607" t="s">
        <v>1003</v>
      </c>
      <c r="D323" s="563">
        <v>30000</v>
      </c>
      <c r="E323" s="87"/>
      <c r="F323" s="573">
        <v>334</v>
      </c>
      <c r="G323" s="573">
        <v>30000</v>
      </c>
      <c r="H323" s="87">
        <f t="shared" si="4"/>
        <v>0</v>
      </c>
      <c r="I323" s="509"/>
      <c r="J323" s="525"/>
      <c r="K323" s="398"/>
      <c r="L323" s="398"/>
      <c r="M323" s="398"/>
      <c r="N323" s="86"/>
    </row>
    <row r="324" spans="1:14" s="616" customFormat="1" ht="15.75" x14ac:dyDescent="0.25">
      <c r="A324" s="523">
        <v>320</v>
      </c>
      <c r="B324" s="523" t="s">
        <v>1001</v>
      </c>
      <c r="C324" s="607" t="s">
        <v>891</v>
      </c>
      <c r="D324" s="563">
        <v>20000</v>
      </c>
      <c r="E324" s="87"/>
      <c r="F324" s="573">
        <v>222</v>
      </c>
      <c r="G324" s="573">
        <v>20000</v>
      </c>
      <c r="H324" s="87">
        <f t="shared" si="4"/>
        <v>0</v>
      </c>
      <c r="I324" s="509"/>
      <c r="J324" s="525"/>
      <c r="K324" s="398"/>
      <c r="L324" s="398"/>
      <c r="M324" s="398"/>
      <c r="N324" s="86"/>
    </row>
    <row r="325" spans="1:14" s="616" customFormat="1" ht="15.75" x14ac:dyDescent="0.25">
      <c r="A325" s="523">
        <v>321</v>
      </c>
      <c r="B325" s="523" t="s">
        <v>1001</v>
      </c>
      <c r="C325" s="555" t="s">
        <v>66</v>
      </c>
      <c r="D325" s="563">
        <v>210</v>
      </c>
      <c r="E325" s="87"/>
      <c r="F325" s="573">
        <v>2.09</v>
      </c>
      <c r="G325" s="573">
        <v>210</v>
      </c>
      <c r="H325" s="87">
        <f t="shared" si="4"/>
        <v>0</v>
      </c>
      <c r="I325" s="509"/>
      <c r="J325" s="525"/>
      <c r="K325" s="398"/>
      <c r="L325" s="398"/>
      <c r="M325" s="398"/>
      <c r="N325" s="86"/>
    </row>
    <row r="326" spans="1:14" s="616" customFormat="1" ht="15.75" x14ac:dyDescent="0.25">
      <c r="A326" s="523">
        <v>322</v>
      </c>
      <c r="B326" s="523" t="s">
        <v>1001</v>
      </c>
      <c r="C326" s="607" t="s">
        <v>1004</v>
      </c>
      <c r="D326" s="563">
        <v>25000</v>
      </c>
      <c r="E326" s="87"/>
      <c r="F326" s="573">
        <v>278</v>
      </c>
      <c r="G326" s="573">
        <v>25000</v>
      </c>
      <c r="H326" s="87">
        <f t="shared" si="4"/>
        <v>0</v>
      </c>
      <c r="I326" s="509"/>
      <c r="J326" s="525"/>
      <c r="K326" s="398"/>
      <c r="L326" s="398"/>
      <c r="M326" s="398"/>
      <c r="N326" s="86"/>
    </row>
    <row r="327" spans="1:14" s="616" customFormat="1" ht="15.75" x14ac:dyDescent="0.25">
      <c r="A327" s="523">
        <v>323</v>
      </c>
      <c r="B327" s="523" t="s">
        <v>1001</v>
      </c>
      <c r="C327" s="555">
        <v>6162</v>
      </c>
      <c r="D327" s="563">
        <v>28000</v>
      </c>
      <c r="E327" s="87"/>
      <c r="F327" s="573">
        <v>311</v>
      </c>
      <c r="G327" s="573">
        <v>28000</v>
      </c>
      <c r="H327" s="87">
        <f t="shared" si="4"/>
        <v>0</v>
      </c>
      <c r="I327" s="509"/>
      <c r="J327" s="525"/>
      <c r="K327" s="398"/>
      <c r="L327" s="398"/>
      <c r="M327" s="398"/>
      <c r="N327" s="86"/>
    </row>
    <row r="328" spans="1:14" s="616" customFormat="1" ht="15.75" x14ac:dyDescent="0.25">
      <c r="A328" s="523">
        <v>324</v>
      </c>
      <c r="B328" s="523" t="s">
        <v>1001</v>
      </c>
      <c r="C328" s="555">
        <v>5995</v>
      </c>
      <c r="D328" s="563">
        <v>30000</v>
      </c>
      <c r="E328" s="87"/>
      <c r="F328" s="573">
        <v>334</v>
      </c>
      <c r="G328" s="573">
        <v>30000</v>
      </c>
      <c r="H328" s="87">
        <f t="shared" si="4"/>
        <v>0</v>
      </c>
      <c r="I328" s="509"/>
      <c r="J328" s="525"/>
      <c r="K328" s="398"/>
      <c r="L328" s="398"/>
      <c r="M328" s="398"/>
      <c r="N328" s="86"/>
    </row>
    <row r="329" spans="1:14" s="616" customFormat="1" ht="15.75" x14ac:dyDescent="0.25">
      <c r="A329" s="523">
        <v>325</v>
      </c>
      <c r="B329" s="523" t="s">
        <v>1001</v>
      </c>
      <c r="C329" s="555">
        <v>4608</v>
      </c>
      <c r="D329" s="563">
        <v>22000</v>
      </c>
      <c r="E329" s="87"/>
      <c r="F329" s="573">
        <v>245</v>
      </c>
      <c r="G329" s="573">
        <v>22000</v>
      </c>
      <c r="H329" s="87">
        <f t="shared" si="4"/>
        <v>0</v>
      </c>
      <c r="I329" s="509"/>
      <c r="J329" s="525"/>
      <c r="K329" s="398"/>
      <c r="L329" s="398"/>
      <c r="M329" s="398"/>
      <c r="N329" s="86"/>
    </row>
    <row r="330" spans="1:14" s="616" customFormat="1" ht="15.75" x14ac:dyDescent="0.25">
      <c r="A330" s="523">
        <v>326</v>
      </c>
      <c r="B330" s="523" t="s">
        <v>1001</v>
      </c>
      <c r="C330" s="555">
        <v>1470</v>
      </c>
      <c r="D330" s="563">
        <v>34000</v>
      </c>
      <c r="E330" s="87"/>
      <c r="F330" s="573">
        <v>355</v>
      </c>
      <c r="G330" s="573">
        <v>34000</v>
      </c>
      <c r="H330" s="87">
        <f t="shared" si="4"/>
        <v>0</v>
      </c>
      <c r="I330" s="509"/>
      <c r="J330" s="525"/>
      <c r="K330" s="398"/>
      <c r="L330" s="398"/>
      <c r="M330" s="398"/>
      <c r="N330" s="86"/>
    </row>
    <row r="331" spans="1:14" s="616" customFormat="1" ht="15.75" x14ac:dyDescent="0.25">
      <c r="A331" s="523">
        <v>327</v>
      </c>
      <c r="B331" s="523" t="s">
        <v>1001</v>
      </c>
      <c r="C331" s="555">
        <v>3367</v>
      </c>
      <c r="D331" s="563">
        <v>20000</v>
      </c>
      <c r="E331" s="87"/>
      <c r="F331" s="573">
        <v>191</v>
      </c>
      <c r="G331" s="573">
        <v>20000</v>
      </c>
      <c r="H331" s="87">
        <f t="shared" si="4"/>
        <v>0</v>
      </c>
      <c r="I331" s="509"/>
      <c r="J331" s="525"/>
      <c r="K331" s="398"/>
      <c r="L331" s="398"/>
      <c r="M331" s="398"/>
      <c r="N331" s="86"/>
    </row>
    <row r="332" spans="1:14" s="616" customFormat="1" ht="15.75" x14ac:dyDescent="0.25">
      <c r="A332" s="523">
        <v>328</v>
      </c>
      <c r="B332" s="523" t="s">
        <v>1001</v>
      </c>
      <c r="C332" s="555">
        <v>8360</v>
      </c>
      <c r="D332" s="563">
        <v>23000</v>
      </c>
      <c r="E332" s="87"/>
      <c r="F332" s="573">
        <v>217</v>
      </c>
      <c r="G332" s="573">
        <v>23000</v>
      </c>
      <c r="H332" s="87">
        <f t="shared" si="4"/>
        <v>0</v>
      </c>
      <c r="I332" s="509"/>
      <c r="J332" s="525"/>
      <c r="K332" s="398"/>
      <c r="L332" s="398"/>
      <c r="M332" s="398"/>
      <c r="N332" s="86"/>
    </row>
    <row r="333" spans="1:14" s="616" customFormat="1" ht="15.75" x14ac:dyDescent="0.25">
      <c r="A333" s="523">
        <v>329</v>
      </c>
      <c r="B333" s="523" t="s">
        <v>1001</v>
      </c>
      <c r="C333" s="555">
        <v>6459</v>
      </c>
      <c r="D333" s="563">
        <v>34000</v>
      </c>
      <c r="E333" s="87"/>
      <c r="F333" s="573">
        <v>330</v>
      </c>
      <c r="G333" s="573">
        <v>34000</v>
      </c>
      <c r="H333" s="87">
        <f t="shared" si="4"/>
        <v>0</v>
      </c>
      <c r="I333" s="509"/>
      <c r="J333" s="525"/>
      <c r="K333" s="398"/>
      <c r="L333" s="398"/>
      <c r="M333" s="398"/>
      <c r="N333" s="86"/>
    </row>
    <row r="334" spans="1:14" s="616" customFormat="1" ht="15.75" x14ac:dyDescent="0.25">
      <c r="A334" s="523">
        <v>330</v>
      </c>
      <c r="B334" s="523" t="s">
        <v>1001</v>
      </c>
      <c r="C334" s="555">
        <v>1822</v>
      </c>
      <c r="D334" s="563">
        <v>35000</v>
      </c>
      <c r="E334" s="87"/>
      <c r="F334" s="573">
        <v>389</v>
      </c>
      <c r="G334" s="573">
        <v>35000</v>
      </c>
      <c r="H334" s="87">
        <f t="shared" si="4"/>
        <v>0</v>
      </c>
      <c r="I334" s="509"/>
      <c r="J334" s="525"/>
      <c r="K334" s="398"/>
      <c r="L334" s="398"/>
      <c r="M334" s="398"/>
      <c r="N334" s="86"/>
    </row>
    <row r="335" spans="1:14" s="616" customFormat="1" ht="15.75" x14ac:dyDescent="0.25">
      <c r="A335" s="523">
        <v>331</v>
      </c>
      <c r="B335" s="523" t="s">
        <v>1001</v>
      </c>
      <c r="C335" s="555">
        <v>3079</v>
      </c>
      <c r="D335" s="563">
        <v>35000</v>
      </c>
      <c r="E335" s="87"/>
      <c r="F335" s="573">
        <v>389</v>
      </c>
      <c r="G335" s="573">
        <v>35000</v>
      </c>
      <c r="H335" s="87">
        <f t="shared" si="4"/>
        <v>0</v>
      </c>
      <c r="I335" s="509"/>
      <c r="J335" s="525"/>
      <c r="K335" s="398"/>
      <c r="L335" s="398"/>
      <c r="M335" s="398"/>
      <c r="N335" s="86"/>
    </row>
    <row r="336" spans="1:14" s="616" customFormat="1" ht="15.75" x14ac:dyDescent="0.25">
      <c r="A336" s="523">
        <v>332</v>
      </c>
      <c r="B336" s="523" t="s">
        <v>1001</v>
      </c>
      <c r="C336" s="555">
        <v>3208</v>
      </c>
      <c r="D336" s="563">
        <v>35000</v>
      </c>
      <c r="E336" s="87"/>
      <c r="F336" s="573">
        <v>389</v>
      </c>
      <c r="G336" s="573">
        <v>35000</v>
      </c>
      <c r="H336" s="87">
        <f t="shared" si="4"/>
        <v>0</v>
      </c>
      <c r="I336" s="509"/>
      <c r="J336" s="525"/>
      <c r="K336" s="398"/>
      <c r="L336" s="398"/>
      <c r="M336" s="398"/>
      <c r="N336" s="86"/>
    </row>
    <row r="337" spans="1:14" s="616" customFormat="1" ht="15.75" x14ac:dyDescent="0.25">
      <c r="A337" s="523">
        <v>333</v>
      </c>
      <c r="B337" s="523" t="s">
        <v>1001</v>
      </c>
      <c r="C337" s="555">
        <v>2920</v>
      </c>
      <c r="D337" s="563">
        <v>20000</v>
      </c>
      <c r="E337" s="87"/>
      <c r="F337" s="573">
        <v>222</v>
      </c>
      <c r="G337" s="573">
        <v>20000</v>
      </c>
      <c r="H337" s="87">
        <f t="shared" si="4"/>
        <v>0</v>
      </c>
      <c r="I337" s="509"/>
      <c r="J337" s="525"/>
      <c r="K337" s="398"/>
      <c r="L337" s="398"/>
      <c r="M337" s="398"/>
      <c r="N337" s="86"/>
    </row>
    <row r="338" spans="1:14" s="616" customFormat="1" ht="15.75" x14ac:dyDescent="0.25">
      <c r="A338" s="523">
        <v>334</v>
      </c>
      <c r="B338" s="523" t="s">
        <v>1001</v>
      </c>
      <c r="C338" s="555">
        <v>2221</v>
      </c>
      <c r="D338" s="563">
        <v>30000</v>
      </c>
      <c r="E338" s="87"/>
      <c r="F338" s="573">
        <v>325</v>
      </c>
      <c r="G338" s="573">
        <v>30000</v>
      </c>
      <c r="H338" s="87">
        <f t="shared" si="4"/>
        <v>0</v>
      </c>
      <c r="I338" s="509"/>
      <c r="J338" s="525"/>
      <c r="K338" s="398"/>
      <c r="L338" s="398"/>
      <c r="M338" s="398"/>
      <c r="N338" s="86"/>
    </row>
    <row r="339" spans="1:14" s="617" customFormat="1" ht="15.75" x14ac:dyDescent="0.25">
      <c r="A339" s="523">
        <v>335</v>
      </c>
      <c r="B339" s="523" t="s">
        <v>989</v>
      </c>
      <c r="C339" s="555">
        <v>6737</v>
      </c>
      <c r="D339" s="563">
        <v>21150</v>
      </c>
      <c r="E339" s="87"/>
      <c r="F339" s="573">
        <v>235</v>
      </c>
      <c r="G339" s="573">
        <v>21150</v>
      </c>
      <c r="H339" s="87">
        <f t="shared" si="4"/>
        <v>0</v>
      </c>
      <c r="I339" s="509"/>
      <c r="J339" s="525"/>
      <c r="K339" s="398"/>
      <c r="L339" s="398"/>
      <c r="M339" s="398"/>
      <c r="N339" s="86"/>
    </row>
    <row r="340" spans="1:14" s="617" customFormat="1" ht="15.75" x14ac:dyDescent="0.25">
      <c r="A340" s="523">
        <v>336</v>
      </c>
      <c r="B340" s="523" t="s">
        <v>989</v>
      </c>
      <c r="C340" s="555">
        <v>1634</v>
      </c>
      <c r="D340" s="563">
        <v>22000</v>
      </c>
      <c r="E340" s="87"/>
      <c r="F340" s="573">
        <v>245</v>
      </c>
      <c r="G340" s="573">
        <v>22000</v>
      </c>
      <c r="H340" s="87">
        <f t="shared" si="4"/>
        <v>0</v>
      </c>
      <c r="I340" s="509"/>
      <c r="J340" s="525"/>
      <c r="K340" s="398"/>
      <c r="L340" s="398"/>
      <c r="M340" s="398"/>
      <c r="N340" s="86"/>
    </row>
    <row r="341" spans="1:14" s="617" customFormat="1" ht="15.75" x14ac:dyDescent="0.25">
      <c r="A341" s="523">
        <v>337</v>
      </c>
      <c r="B341" s="523" t="s">
        <v>989</v>
      </c>
      <c r="C341" s="555">
        <v>1161</v>
      </c>
      <c r="D341" s="563">
        <v>30000</v>
      </c>
      <c r="E341" s="87"/>
      <c r="F341" s="573">
        <v>334</v>
      </c>
      <c r="G341" s="573">
        <v>30000</v>
      </c>
      <c r="H341" s="87">
        <f t="shared" si="4"/>
        <v>0</v>
      </c>
      <c r="I341" s="509"/>
      <c r="J341" s="525"/>
      <c r="K341" s="398"/>
      <c r="L341" s="398"/>
      <c r="M341" s="398"/>
      <c r="N341" s="86"/>
    </row>
    <row r="342" spans="1:14" s="617" customFormat="1" ht="15.75" x14ac:dyDescent="0.25">
      <c r="A342" s="523">
        <v>338</v>
      </c>
      <c r="B342" s="523" t="s">
        <v>989</v>
      </c>
      <c r="C342" s="555">
        <v>2481</v>
      </c>
      <c r="D342" s="563">
        <v>24000</v>
      </c>
      <c r="E342" s="87"/>
      <c r="F342" s="573">
        <v>287</v>
      </c>
      <c r="G342" s="573">
        <v>24000</v>
      </c>
      <c r="H342" s="87">
        <f t="shared" si="4"/>
        <v>0</v>
      </c>
      <c r="I342" s="509"/>
      <c r="J342" s="525"/>
      <c r="K342" s="398"/>
      <c r="L342" s="398"/>
      <c r="M342" s="398"/>
      <c r="N342" s="86"/>
    </row>
    <row r="343" spans="1:14" s="617" customFormat="1" ht="15.75" x14ac:dyDescent="0.25">
      <c r="A343" s="523">
        <v>339</v>
      </c>
      <c r="B343" s="523" t="s">
        <v>989</v>
      </c>
      <c r="C343" s="555">
        <v>3378</v>
      </c>
      <c r="D343" s="563">
        <v>32000</v>
      </c>
      <c r="E343" s="87"/>
      <c r="F343" s="573">
        <v>356</v>
      </c>
      <c r="G343" s="573">
        <v>32000</v>
      </c>
      <c r="H343" s="87">
        <f t="shared" si="4"/>
        <v>0</v>
      </c>
      <c r="I343" s="509"/>
      <c r="J343" s="525"/>
      <c r="K343" s="398"/>
      <c r="L343" s="398"/>
      <c r="M343" s="398"/>
      <c r="N343" s="86"/>
    </row>
    <row r="344" spans="1:14" s="617" customFormat="1" ht="15.75" x14ac:dyDescent="0.25">
      <c r="A344" s="523">
        <v>340</v>
      </c>
      <c r="B344" s="523" t="s">
        <v>989</v>
      </c>
      <c r="C344" s="607" t="s">
        <v>1006</v>
      </c>
      <c r="D344" s="563">
        <v>20000</v>
      </c>
      <c r="E344" s="87"/>
      <c r="F344" s="573">
        <v>222</v>
      </c>
      <c r="G344" s="573">
        <v>20000</v>
      </c>
      <c r="H344" s="87">
        <f t="shared" si="4"/>
        <v>0</v>
      </c>
      <c r="I344" s="509"/>
      <c r="J344" s="525"/>
      <c r="K344" s="398"/>
      <c r="L344" s="398"/>
      <c r="M344" s="398"/>
      <c r="N344" s="86"/>
    </row>
    <row r="345" spans="1:14" s="617" customFormat="1" ht="15.75" x14ac:dyDescent="0.25">
      <c r="A345" s="523">
        <v>341</v>
      </c>
      <c r="B345" s="523" t="s">
        <v>989</v>
      </c>
      <c r="C345" s="555">
        <v>1811</v>
      </c>
      <c r="D345" s="563">
        <v>15000</v>
      </c>
      <c r="E345" s="87"/>
      <c r="F345" s="573">
        <v>167</v>
      </c>
      <c r="G345" s="573">
        <v>15000</v>
      </c>
      <c r="H345" s="87">
        <f t="shared" si="4"/>
        <v>0</v>
      </c>
      <c r="I345" s="509"/>
      <c r="J345" s="525"/>
      <c r="K345" s="398"/>
      <c r="L345" s="398"/>
      <c r="M345" s="398"/>
      <c r="N345" s="86"/>
    </row>
    <row r="346" spans="1:14" s="617" customFormat="1" ht="15.75" x14ac:dyDescent="0.25">
      <c r="A346" s="523">
        <v>342</v>
      </c>
      <c r="B346" s="523" t="s">
        <v>989</v>
      </c>
      <c r="C346" s="607" t="s">
        <v>890</v>
      </c>
      <c r="D346" s="563">
        <v>14000</v>
      </c>
      <c r="E346" s="87"/>
      <c r="F346" s="573">
        <v>155</v>
      </c>
      <c r="G346" s="573">
        <v>14000</v>
      </c>
      <c r="H346" s="87">
        <f t="shared" si="4"/>
        <v>0</v>
      </c>
      <c r="I346" s="509"/>
      <c r="J346" s="525"/>
      <c r="K346" s="398"/>
      <c r="L346" s="398"/>
      <c r="M346" s="398"/>
      <c r="N346" s="86"/>
    </row>
    <row r="347" spans="1:14" s="617" customFormat="1" ht="15.75" x14ac:dyDescent="0.25">
      <c r="A347" s="523">
        <v>343</v>
      </c>
      <c r="B347" s="523" t="s">
        <v>989</v>
      </c>
      <c r="C347" s="555" t="s">
        <v>30</v>
      </c>
      <c r="D347" s="563">
        <v>4500</v>
      </c>
      <c r="E347" s="87"/>
      <c r="F347" s="573">
        <v>50</v>
      </c>
      <c r="G347" s="573">
        <v>4500</v>
      </c>
      <c r="H347" s="87">
        <f t="shared" si="4"/>
        <v>0</v>
      </c>
      <c r="I347" s="509"/>
      <c r="J347" s="525"/>
      <c r="K347" s="398"/>
      <c r="L347" s="398"/>
      <c r="M347" s="398"/>
      <c r="N347" s="86"/>
    </row>
    <row r="348" spans="1:14" s="617" customFormat="1" ht="15.75" x14ac:dyDescent="0.25">
      <c r="A348" s="523">
        <v>344</v>
      </c>
      <c r="B348" s="523" t="s">
        <v>989</v>
      </c>
      <c r="C348" s="555">
        <v>3344</v>
      </c>
      <c r="D348" s="563">
        <v>14000</v>
      </c>
      <c r="E348" s="87"/>
      <c r="F348" s="573">
        <v>153</v>
      </c>
      <c r="G348" s="573">
        <v>14000</v>
      </c>
      <c r="H348" s="87">
        <f t="shared" si="4"/>
        <v>0</v>
      </c>
      <c r="I348" s="509"/>
      <c r="J348" s="525"/>
      <c r="K348" s="398"/>
      <c r="L348" s="398"/>
      <c r="M348" s="398"/>
      <c r="N348" s="86"/>
    </row>
    <row r="349" spans="1:14" s="617" customFormat="1" ht="15.75" x14ac:dyDescent="0.25">
      <c r="A349" s="523">
        <v>345</v>
      </c>
      <c r="B349" s="523" t="s">
        <v>989</v>
      </c>
      <c r="C349" s="555" t="s">
        <v>30</v>
      </c>
      <c r="D349" s="563">
        <v>5000</v>
      </c>
      <c r="E349" s="87"/>
      <c r="F349" s="573">
        <v>55</v>
      </c>
      <c r="G349" s="573">
        <v>5000</v>
      </c>
      <c r="H349" s="87">
        <f t="shared" si="4"/>
        <v>0</v>
      </c>
      <c r="I349" s="509"/>
      <c r="J349" s="525"/>
      <c r="K349" s="398"/>
      <c r="L349" s="398"/>
      <c r="M349" s="398"/>
      <c r="N349" s="86"/>
    </row>
    <row r="350" spans="1:14" s="617" customFormat="1" ht="15.75" x14ac:dyDescent="0.25">
      <c r="A350" s="523">
        <v>346</v>
      </c>
      <c r="B350" s="523" t="s">
        <v>989</v>
      </c>
      <c r="C350" s="555">
        <v>2244</v>
      </c>
      <c r="D350" s="563">
        <v>14000</v>
      </c>
      <c r="E350" s="87"/>
      <c r="F350" s="573">
        <v>155</v>
      </c>
      <c r="G350" s="573">
        <v>14000</v>
      </c>
      <c r="H350" s="87">
        <f t="shared" si="4"/>
        <v>0</v>
      </c>
      <c r="I350" s="509"/>
      <c r="J350" s="525"/>
      <c r="K350" s="398"/>
      <c r="L350" s="398"/>
      <c r="M350" s="398"/>
      <c r="N350" s="86"/>
    </row>
    <row r="351" spans="1:14" s="617" customFormat="1" ht="15.75" x14ac:dyDescent="0.25">
      <c r="A351" s="523">
        <v>347</v>
      </c>
      <c r="B351" s="523" t="s">
        <v>989</v>
      </c>
      <c r="C351" s="555">
        <v>4058</v>
      </c>
      <c r="D351" s="563">
        <v>20000</v>
      </c>
      <c r="E351" s="87"/>
      <c r="F351" s="573">
        <v>222</v>
      </c>
      <c r="G351" s="573">
        <v>20000</v>
      </c>
      <c r="H351" s="87">
        <f t="shared" si="4"/>
        <v>0</v>
      </c>
      <c r="I351" s="509"/>
      <c r="J351" s="525"/>
      <c r="K351" s="398"/>
      <c r="L351" s="398"/>
      <c r="M351" s="398"/>
      <c r="N351" s="86"/>
    </row>
    <row r="352" spans="1:14" s="617" customFormat="1" ht="15.75" x14ac:dyDescent="0.25">
      <c r="A352" s="523">
        <v>348</v>
      </c>
      <c r="B352" s="523" t="s">
        <v>989</v>
      </c>
      <c r="C352" s="555">
        <v>1144</v>
      </c>
      <c r="D352" s="563">
        <v>13000</v>
      </c>
      <c r="E352" s="87"/>
      <c r="F352" s="573">
        <v>144</v>
      </c>
      <c r="G352" s="573">
        <v>13000</v>
      </c>
      <c r="H352" s="87">
        <f t="shared" si="4"/>
        <v>0</v>
      </c>
      <c r="I352" s="509"/>
      <c r="J352" s="525"/>
      <c r="K352" s="398"/>
      <c r="L352" s="398"/>
      <c r="M352" s="398"/>
      <c r="N352" s="86"/>
    </row>
    <row r="353" spans="1:14" s="617" customFormat="1" ht="15.75" x14ac:dyDescent="0.25">
      <c r="A353" s="523">
        <v>349</v>
      </c>
      <c r="B353" s="523" t="s">
        <v>989</v>
      </c>
      <c r="C353" s="555">
        <v>5826</v>
      </c>
      <c r="D353" s="563">
        <v>19000</v>
      </c>
      <c r="E353" s="87"/>
      <c r="F353" s="573">
        <v>211</v>
      </c>
      <c r="G353" s="573">
        <v>19000</v>
      </c>
      <c r="H353" s="87">
        <f t="shared" ref="H353:H365" si="5">D353-G353</f>
        <v>0</v>
      </c>
      <c r="I353" s="509"/>
      <c r="J353" s="525"/>
      <c r="K353" s="398"/>
      <c r="L353" s="398"/>
      <c r="M353" s="398"/>
      <c r="N353" s="86"/>
    </row>
    <row r="354" spans="1:14" s="617" customFormat="1" ht="15.75" x14ac:dyDescent="0.25">
      <c r="A354" s="523">
        <v>350</v>
      </c>
      <c r="B354" s="523" t="s">
        <v>989</v>
      </c>
      <c r="C354" s="555">
        <v>9200</v>
      </c>
      <c r="D354" s="563">
        <v>20000</v>
      </c>
      <c r="E354" s="87"/>
      <c r="F354" s="573">
        <v>222</v>
      </c>
      <c r="G354" s="573">
        <v>20000</v>
      </c>
      <c r="H354" s="87">
        <f t="shared" si="5"/>
        <v>0</v>
      </c>
      <c r="I354" s="509"/>
      <c r="J354" s="525"/>
      <c r="K354" s="398"/>
      <c r="L354" s="398"/>
      <c r="M354" s="398"/>
      <c r="N354" s="86"/>
    </row>
    <row r="355" spans="1:14" s="617" customFormat="1" ht="15.75" x14ac:dyDescent="0.25">
      <c r="A355" s="523">
        <v>351</v>
      </c>
      <c r="B355" s="523" t="s">
        <v>989</v>
      </c>
      <c r="C355" s="555">
        <v>7744</v>
      </c>
      <c r="D355" s="563">
        <v>13000</v>
      </c>
      <c r="E355" s="87"/>
      <c r="F355" s="573">
        <v>144</v>
      </c>
      <c r="G355" s="573">
        <v>13000</v>
      </c>
      <c r="H355" s="87">
        <f t="shared" si="5"/>
        <v>0</v>
      </c>
      <c r="I355" s="509"/>
      <c r="J355" s="525"/>
      <c r="K355" s="398"/>
      <c r="L355" s="398"/>
      <c r="M355" s="398"/>
      <c r="N355" s="86"/>
    </row>
    <row r="356" spans="1:14" s="625" customFormat="1" ht="15.75" x14ac:dyDescent="0.25">
      <c r="A356" s="523">
        <v>352</v>
      </c>
      <c r="B356" s="523" t="s">
        <v>989</v>
      </c>
      <c r="C356" s="555">
        <v>5498</v>
      </c>
      <c r="D356" s="563">
        <v>21000</v>
      </c>
      <c r="E356" s="87"/>
      <c r="F356" s="573">
        <v>245.71</v>
      </c>
      <c r="G356" s="573">
        <v>21000</v>
      </c>
      <c r="H356" s="87">
        <f t="shared" si="5"/>
        <v>0</v>
      </c>
      <c r="I356" s="509"/>
      <c r="J356" s="525"/>
      <c r="K356" s="398"/>
      <c r="L356" s="398"/>
      <c r="M356" s="398"/>
      <c r="N356" s="86"/>
    </row>
    <row r="357" spans="1:14" s="619" customFormat="1" ht="15.75" x14ac:dyDescent="0.25">
      <c r="A357" s="523">
        <v>353</v>
      </c>
      <c r="B357" s="523" t="s">
        <v>1005</v>
      </c>
      <c r="C357" s="555">
        <v>5153</v>
      </c>
      <c r="D357" s="563">
        <v>15000</v>
      </c>
      <c r="E357" s="87"/>
      <c r="F357" s="573">
        <v>167</v>
      </c>
      <c r="G357" s="573">
        <v>15000</v>
      </c>
      <c r="H357" s="87">
        <f t="shared" si="5"/>
        <v>0</v>
      </c>
      <c r="I357" s="509"/>
      <c r="J357" s="525"/>
      <c r="K357" s="398"/>
      <c r="L357" s="398"/>
      <c r="M357" s="398"/>
      <c r="N357" s="86"/>
    </row>
    <row r="358" spans="1:14" s="619" customFormat="1" ht="15.75" x14ac:dyDescent="0.25">
      <c r="A358" s="523">
        <v>354</v>
      </c>
      <c r="B358" s="523" t="s">
        <v>1005</v>
      </c>
      <c r="C358" s="555">
        <v>5711</v>
      </c>
      <c r="D358" s="563">
        <v>11000</v>
      </c>
      <c r="E358" s="87"/>
      <c r="F358" s="573">
        <v>122</v>
      </c>
      <c r="G358" s="573">
        <v>11000</v>
      </c>
      <c r="H358" s="87">
        <f t="shared" si="5"/>
        <v>0</v>
      </c>
      <c r="I358" s="509"/>
      <c r="J358" s="525"/>
      <c r="K358" s="398"/>
      <c r="L358" s="398"/>
      <c r="M358" s="398"/>
      <c r="N358" s="86"/>
    </row>
    <row r="359" spans="1:14" s="619" customFormat="1" ht="15.75" x14ac:dyDescent="0.25">
      <c r="A359" s="523">
        <v>355</v>
      </c>
      <c r="B359" s="523" t="s">
        <v>1005</v>
      </c>
      <c r="C359" s="555">
        <v>5485</v>
      </c>
      <c r="D359" s="563">
        <v>40000</v>
      </c>
      <c r="E359" s="87"/>
      <c r="F359" s="573">
        <v>445</v>
      </c>
      <c r="G359" s="573">
        <v>40000</v>
      </c>
      <c r="H359" s="87">
        <f t="shared" si="5"/>
        <v>0</v>
      </c>
      <c r="I359" s="509"/>
      <c r="J359" s="525"/>
      <c r="K359" s="398"/>
      <c r="L359" s="398"/>
      <c r="M359" s="398"/>
      <c r="N359" s="86"/>
    </row>
    <row r="360" spans="1:14" s="619" customFormat="1" ht="15.75" x14ac:dyDescent="0.25">
      <c r="A360" s="523">
        <v>356</v>
      </c>
      <c r="B360" s="523" t="s">
        <v>1005</v>
      </c>
      <c r="C360" s="555">
        <v>4516</v>
      </c>
      <c r="D360" s="563">
        <v>20000</v>
      </c>
      <c r="E360" s="87"/>
      <c r="F360" s="573">
        <v>199</v>
      </c>
      <c r="G360" s="573">
        <v>20000</v>
      </c>
      <c r="H360" s="87">
        <f t="shared" si="5"/>
        <v>0</v>
      </c>
      <c r="I360" s="509"/>
      <c r="J360" s="525"/>
      <c r="K360" s="398"/>
      <c r="L360" s="398"/>
      <c r="M360" s="398"/>
      <c r="N360" s="86"/>
    </row>
    <row r="361" spans="1:14" s="619" customFormat="1" ht="15.75" x14ac:dyDescent="0.25">
      <c r="A361" s="523">
        <v>357</v>
      </c>
      <c r="B361" s="523" t="s">
        <v>1005</v>
      </c>
      <c r="C361" s="555" t="s">
        <v>30</v>
      </c>
      <c r="D361" s="563">
        <v>5000</v>
      </c>
      <c r="E361" s="87"/>
      <c r="F361" s="573">
        <v>55</v>
      </c>
      <c r="G361" s="573">
        <v>5000</v>
      </c>
      <c r="H361" s="87">
        <f t="shared" si="5"/>
        <v>0</v>
      </c>
      <c r="I361" s="509"/>
      <c r="J361" s="525"/>
      <c r="K361" s="398"/>
      <c r="L361" s="398"/>
      <c r="M361" s="398"/>
      <c r="N361" s="86"/>
    </row>
    <row r="362" spans="1:14" s="619" customFormat="1" ht="15.75" x14ac:dyDescent="0.25">
      <c r="A362" s="523">
        <v>358</v>
      </c>
      <c r="B362" s="523" t="s">
        <v>1005</v>
      </c>
      <c r="C362" s="555">
        <v>3877</v>
      </c>
      <c r="D362" s="563">
        <v>25000</v>
      </c>
      <c r="E362" s="87"/>
      <c r="F362" s="573">
        <v>278</v>
      </c>
      <c r="G362" s="573">
        <v>25000</v>
      </c>
      <c r="H362" s="87">
        <f t="shared" si="5"/>
        <v>0</v>
      </c>
      <c r="I362" s="509"/>
      <c r="J362" s="525"/>
      <c r="K362" s="398"/>
      <c r="L362" s="398"/>
      <c r="M362" s="398"/>
      <c r="N362" s="86"/>
    </row>
    <row r="363" spans="1:14" s="619" customFormat="1" ht="15.75" x14ac:dyDescent="0.25">
      <c r="A363" s="523">
        <v>359</v>
      </c>
      <c r="B363" s="523" t="s">
        <v>1005</v>
      </c>
      <c r="C363" s="555">
        <v>3778</v>
      </c>
      <c r="D363" s="563">
        <v>19000</v>
      </c>
      <c r="E363" s="87"/>
      <c r="F363" s="573">
        <v>211</v>
      </c>
      <c r="G363" s="573">
        <v>19000</v>
      </c>
      <c r="H363" s="87">
        <f t="shared" si="5"/>
        <v>0</v>
      </c>
      <c r="I363" s="509"/>
      <c r="J363" s="525"/>
      <c r="K363" s="398"/>
      <c r="L363" s="398"/>
      <c r="M363" s="398"/>
      <c r="N363" s="86"/>
    </row>
    <row r="364" spans="1:14" s="619" customFormat="1" ht="15.75" x14ac:dyDescent="0.25">
      <c r="A364" s="523">
        <v>360</v>
      </c>
      <c r="B364" s="523" t="s">
        <v>1005</v>
      </c>
      <c r="C364" s="555">
        <v>2001</v>
      </c>
      <c r="D364" s="563">
        <v>23000</v>
      </c>
      <c r="E364" s="87"/>
      <c r="F364" s="573">
        <v>256</v>
      </c>
      <c r="G364" s="573">
        <v>23000</v>
      </c>
      <c r="H364" s="87">
        <f t="shared" si="5"/>
        <v>0</v>
      </c>
      <c r="I364" s="509"/>
      <c r="J364" s="525"/>
      <c r="K364" s="398"/>
      <c r="L364" s="398"/>
      <c r="M364" s="398"/>
      <c r="N364" s="86"/>
    </row>
    <row r="365" spans="1:14" s="619" customFormat="1" ht="15.75" x14ac:dyDescent="0.25">
      <c r="A365" s="523">
        <v>361</v>
      </c>
      <c r="B365" s="523" t="s">
        <v>1005</v>
      </c>
      <c r="C365" s="555">
        <v>5151</v>
      </c>
      <c r="D365" s="563">
        <v>18000</v>
      </c>
      <c r="E365" s="87"/>
      <c r="F365" s="573">
        <v>200</v>
      </c>
      <c r="G365" s="573">
        <v>18000</v>
      </c>
      <c r="H365" s="87">
        <f t="shared" si="5"/>
        <v>0</v>
      </c>
      <c r="I365" s="509"/>
      <c r="J365" s="525"/>
      <c r="K365" s="398"/>
      <c r="L365" s="398"/>
      <c r="M365" s="398"/>
      <c r="N365" s="86"/>
    </row>
    <row r="366" spans="1:14" s="619" customFormat="1" ht="15.75" x14ac:dyDescent="0.25">
      <c r="A366" s="523">
        <v>362</v>
      </c>
      <c r="B366" s="523" t="s">
        <v>1005</v>
      </c>
      <c r="C366" s="555" t="s">
        <v>1008</v>
      </c>
      <c r="D366" s="563">
        <v>16000</v>
      </c>
      <c r="E366" s="87"/>
      <c r="F366" s="573">
        <v>178</v>
      </c>
      <c r="G366" s="573">
        <v>16000</v>
      </c>
      <c r="H366" s="87">
        <f>D366-G366</f>
        <v>0</v>
      </c>
      <c r="I366" s="509"/>
      <c r="J366" s="525"/>
      <c r="K366" s="398"/>
      <c r="L366" s="398"/>
      <c r="M366" s="398"/>
      <c r="N366" s="86"/>
    </row>
    <row r="367" spans="1:14" s="619" customFormat="1" ht="15.75" x14ac:dyDescent="0.25">
      <c r="A367" s="523">
        <v>363</v>
      </c>
      <c r="B367" s="523" t="s">
        <v>1005</v>
      </c>
      <c r="C367" s="555">
        <v>5252</v>
      </c>
      <c r="D367" s="563">
        <v>18000</v>
      </c>
      <c r="E367" s="87"/>
      <c r="F367" s="573">
        <v>200</v>
      </c>
      <c r="G367" s="573">
        <v>18000</v>
      </c>
      <c r="H367" s="87">
        <f t="shared" ref="H367:H386" si="6">D367-G367</f>
        <v>0</v>
      </c>
      <c r="I367" s="509"/>
      <c r="J367" s="525"/>
      <c r="K367" s="398"/>
      <c r="L367" s="398"/>
      <c r="M367" s="398"/>
      <c r="N367" s="86"/>
    </row>
    <row r="368" spans="1:14" s="619" customFormat="1" ht="15.75" x14ac:dyDescent="0.25">
      <c r="A368" s="523">
        <v>364</v>
      </c>
      <c r="B368" s="523" t="s">
        <v>1005</v>
      </c>
      <c r="C368" s="555">
        <v>7441</v>
      </c>
      <c r="D368" s="563">
        <v>37000</v>
      </c>
      <c r="E368" s="87"/>
      <c r="F368" s="573">
        <v>412</v>
      </c>
      <c r="G368" s="573">
        <v>37000</v>
      </c>
      <c r="H368" s="87">
        <f t="shared" si="6"/>
        <v>0</v>
      </c>
      <c r="I368" s="509"/>
      <c r="J368" s="525"/>
      <c r="K368" s="398"/>
      <c r="L368" s="398"/>
      <c r="M368" s="398"/>
      <c r="N368" s="86"/>
    </row>
    <row r="369" spans="1:14" s="619" customFormat="1" ht="15.75" x14ac:dyDescent="0.25">
      <c r="A369" s="523">
        <v>365</v>
      </c>
      <c r="B369" s="523" t="s">
        <v>1005</v>
      </c>
      <c r="C369" s="555">
        <v>2497</v>
      </c>
      <c r="D369" s="563">
        <v>20000</v>
      </c>
      <c r="E369" s="87"/>
      <c r="F369" s="573">
        <v>222</v>
      </c>
      <c r="G369" s="573">
        <v>20000</v>
      </c>
      <c r="H369" s="87">
        <f t="shared" si="6"/>
        <v>0</v>
      </c>
      <c r="I369" s="509"/>
      <c r="J369" s="525"/>
      <c r="K369" s="398"/>
      <c r="L369" s="398"/>
      <c r="M369" s="398"/>
      <c r="N369" s="86"/>
    </row>
    <row r="370" spans="1:14" s="619" customFormat="1" ht="15.75" x14ac:dyDescent="0.25">
      <c r="A370" s="523">
        <v>366</v>
      </c>
      <c r="B370" s="523" t="s">
        <v>1005</v>
      </c>
      <c r="C370" s="555">
        <v>4933</v>
      </c>
      <c r="D370" s="563">
        <v>22000</v>
      </c>
      <c r="E370" s="87"/>
      <c r="F370" s="573">
        <v>245</v>
      </c>
      <c r="G370" s="573">
        <v>22000</v>
      </c>
      <c r="H370" s="87">
        <f t="shared" si="6"/>
        <v>0</v>
      </c>
      <c r="I370" s="509"/>
      <c r="J370" s="525"/>
      <c r="K370" s="398"/>
      <c r="L370" s="398"/>
      <c r="M370" s="398"/>
      <c r="N370" s="86"/>
    </row>
    <row r="371" spans="1:14" s="619" customFormat="1" ht="15.75" x14ac:dyDescent="0.25">
      <c r="A371" s="523">
        <v>367</v>
      </c>
      <c r="B371" s="523" t="s">
        <v>1005</v>
      </c>
      <c r="C371" s="555">
        <v>3510</v>
      </c>
      <c r="D371" s="563">
        <v>25000</v>
      </c>
      <c r="E371" s="87"/>
      <c r="F371" s="573">
        <v>278</v>
      </c>
      <c r="G371" s="573">
        <v>25000</v>
      </c>
      <c r="H371" s="87">
        <f t="shared" si="6"/>
        <v>0</v>
      </c>
      <c r="I371" s="509"/>
      <c r="J371" s="525"/>
      <c r="K371" s="398"/>
      <c r="L371" s="398"/>
      <c r="M371" s="398"/>
      <c r="N371" s="86"/>
    </row>
    <row r="372" spans="1:14" s="619" customFormat="1" ht="15.75" x14ac:dyDescent="0.25">
      <c r="A372" s="523">
        <v>368</v>
      </c>
      <c r="B372" s="523" t="s">
        <v>1005</v>
      </c>
      <c r="C372" s="555">
        <v>8355</v>
      </c>
      <c r="D372" s="563">
        <v>28000</v>
      </c>
      <c r="E372" s="87"/>
      <c r="F372" s="573">
        <v>311</v>
      </c>
      <c r="G372" s="573">
        <v>28000</v>
      </c>
      <c r="H372" s="87">
        <f t="shared" si="6"/>
        <v>0</v>
      </c>
      <c r="I372" s="509"/>
      <c r="J372" s="525"/>
      <c r="K372" s="398"/>
      <c r="L372" s="398"/>
      <c r="M372" s="398"/>
      <c r="N372" s="86"/>
    </row>
    <row r="373" spans="1:14" s="619" customFormat="1" ht="15.75" x14ac:dyDescent="0.25">
      <c r="A373" s="523">
        <v>369</v>
      </c>
      <c r="B373" s="523" t="s">
        <v>1005</v>
      </c>
      <c r="C373" s="555">
        <v>8270</v>
      </c>
      <c r="D373" s="563">
        <v>35000</v>
      </c>
      <c r="E373" s="87"/>
      <c r="F373" s="573">
        <v>389</v>
      </c>
      <c r="G373" s="573">
        <v>35000</v>
      </c>
      <c r="H373" s="87">
        <f t="shared" si="6"/>
        <v>0</v>
      </c>
      <c r="I373" s="509"/>
      <c r="J373" s="525"/>
      <c r="K373" s="398"/>
      <c r="L373" s="398"/>
      <c r="M373" s="398"/>
      <c r="N373" s="86"/>
    </row>
    <row r="374" spans="1:14" s="619" customFormat="1" ht="15.75" x14ac:dyDescent="0.25">
      <c r="A374" s="523">
        <v>370</v>
      </c>
      <c r="B374" s="523" t="s">
        <v>1005</v>
      </c>
      <c r="C374" s="555" t="s">
        <v>30</v>
      </c>
      <c r="D374" s="563">
        <v>10000</v>
      </c>
      <c r="E374" s="87"/>
      <c r="F374" s="573">
        <v>111</v>
      </c>
      <c r="G374" s="573">
        <v>10000</v>
      </c>
      <c r="H374" s="87">
        <f t="shared" si="6"/>
        <v>0</v>
      </c>
      <c r="I374" s="509"/>
      <c r="J374" s="525"/>
      <c r="K374" s="398"/>
      <c r="L374" s="398"/>
      <c r="M374" s="398"/>
      <c r="N374" s="86"/>
    </row>
    <row r="375" spans="1:14" s="619" customFormat="1" ht="15.75" x14ac:dyDescent="0.25">
      <c r="A375" s="523">
        <v>371</v>
      </c>
      <c r="B375" s="523" t="s">
        <v>1005</v>
      </c>
      <c r="C375" s="555">
        <v>3992</v>
      </c>
      <c r="D375" s="563">
        <v>20000</v>
      </c>
      <c r="E375" s="87"/>
      <c r="F375" s="573">
        <v>222</v>
      </c>
      <c r="G375" s="573">
        <v>20000</v>
      </c>
      <c r="H375" s="87">
        <f t="shared" si="6"/>
        <v>0</v>
      </c>
      <c r="I375" s="509"/>
      <c r="J375" s="525"/>
      <c r="K375" s="398"/>
      <c r="L375" s="398"/>
      <c r="M375" s="398"/>
      <c r="N375" s="86"/>
    </row>
    <row r="376" spans="1:14" s="619" customFormat="1" ht="15.75" x14ac:dyDescent="0.25">
      <c r="A376" s="523">
        <v>372</v>
      </c>
      <c r="B376" s="523" t="s">
        <v>1005</v>
      </c>
      <c r="C376" s="555">
        <v>2779</v>
      </c>
      <c r="D376" s="563">
        <v>30000</v>
      </c>
      <c r="E376" s="87"/>
      <c r="F376" s="573">
        <v>334</v>
      </c>
      <c r="G376" s="573">
        <v>30000</v>
      </c>
      <c r="H376" s="87">
        <f t="shared" si="6"/>
        <v>0</v>
      </c>
      <c r="I376" s="509"/>
      <c r="J376" s="525"/>
      <c r="K376" s="398"/>
      <c r="L376" s="398"/>
      <c r="M376" s="398"/>
      <c r="N376" s="86"/>
    </row>
    <row r="377" spans="1:14" s="619" customFormat="1" ht="15.75" x14ac:dyDescent="0.25">
      <c r="A377" s="523">
        <v>373</v>
      </c>
      <c r="B377" s="523" t="s">
        <v>1005</v>
      </c>
      <c r="C377" s="555">
        <v>7862</v>
      </c>
      <c r="D377" s="563">
        <v>3000</v>
      </c>
      <c r="E377" s="87"/>
      <c r="F377" s="573">
        <v>33</v>
      </c>
      <c r="G377" s="573">
        <v>3000</v>
      </c>
      <c r="H377" s="87">
        <f t="shared" si="6"/>
        <v>0</v>
      </c>
      <c r="I377" s="509"/>
      <c r="J377" s="525"/>
      <c r="K377" s="398"/>
      <c r="L377" s="398"/>
      <c r="M377" s="398"/>
      <c r="N377" s="86"/>
    </row>
    <row r="378" spans="1:14" s="619" customFormat="1" ht="15.75" x14ac:dyDescent="0.25">
      <c r="A378" s="523">
        <v>374</v>
      </c>
      <c r="B378" s="523" t="s">
        <v>1005</v>
      </c>
      <c r="C378" s="555">
        <v>5117</v>
      </c>
      <c r="D378" s="563">
        <v>8000</v>
      </c>
      <c r="E378" s="87"/>
      <c r="F378" s="573">
        <v>89</v>
      </c>
      <c r="G378" s="573">
        <v>8000</v>
      </c>
      <c r="H378" s="87">
        <f t="shared" si="6"/>
        <v>0</v>
      </c>
      <c r="I378" s="509"/>
      <c r="J378" s="525"/>
      <c r="K378" s="398"/>
      <c r="L378" s="398"/>
      <c r="M378" s="398"/>
      <c r="N378" s="86"/>
    </row>
    <row r="379" spans="1:14" s="619" customFormat="1" ht="15.75" x14ac:dyDescent="0.25">
      <c r="A379" s="523">
        <v>375</v>
      </c>
      <c r="B379" s="523" t="s">
        <v>1005</v>
      </c>
      <c r="C379" s="555">
        <v>9349</v>
      </c>
      <c r="D379" s="563">
        <v>22000</v>
      </c>
      <c r="E379" s="87"/>
      <c r="F379" s="573">
        <v>245</v>
      </c>
      <c r="G379" s="573">
        <v>22000</v>
      </c>
      <c r="H379" s="87">
        <f t="shared" si="6"/>
        <v>0</v>
      </c>
      <c r="I379" s="509"/>
      <c r="J379" s="525"/>
      <c r="K379" s="398">
        <f>2021002-2011432</f>
        <v>9570</v>
      </c>
      <c r="L379" s="398" t="s">
        <v>956</v>
      </c>
      <c r="M379" s="398" t="s">
        <v>620</v>
      </c>
      <c r="N379" s="86">
        <f>9570-4640</f>
        <v>4930</v>
      </c>
    </row>
    <row r="380" spans="1:14" s="625" customFormat="1" ht="15.75" x14ac:dyDescent="0.25">
      <c r="A380" s="523">
        <v>376</v>
      </c>
      <c r="B380" s="523" t="s">
        <v>1007</v>
      </c>
      <c r="C380" s="555" t="s">
        <v>66</v>
      </c>
      <c r="D380" s="563">
        <v>210</v>
      </c>
      <c r="E380" s="87"/>
      <c r="F380" s="573">
        <v>2.09</v>
      </c>
      <c r="G380" s="573">
        <v>210</v>
      </c>
      <c r="H380" s="87">
        <f t="shared" si="6"/>
        <v>0</v>
      </c>
      <c r="I380" s="509"/>
      <c r="J380" s="525"/>
      <c r="K380" s="398"/>
      <c r="L380" s="398"/>
      <c r="M380" s="398"/>
      <c r="N380" s="86"/>
    </row>
    <row r="381" spans="1:14" s="625" customFormat="1" ht="15.75" x14ac:dyDescent="0.25">
      <c r="A381" s="523">
        <v>377</v>
      </c>
      <c r="B381" s="523" t="s">
        <v>1007</v>
      </c>
      <c r="C381" s="555">
        <v>4204</v>
      </c>
      <c r="D381" s="563">
        <v>14500</v>
      </c>
      <c r="E381" s="87"/>
      <c r="F381" s="573">
        <v>161.47</v>
      </c>
      <c r="G381" s="573">
        <v>14500</v>
      </c>
      <c r="H381" s="87">
        <f t="shared" si="6"/>
        <v>0</v>
      </c>
      <c r="I381" s="509"/>
      <c r="J381" s="525"/>
      <c r="K381" s="398"/>
      <c r="L381" s="398"/>
      <c r="M381" s="398"/>
      <c r="N381" s="86"/>
    </row>
    <row r="382" spans="1:14" s="625" customFormat="1" ht="15.75" x14ac:dyDescent="0.25">
      <c r="A382" s="523">
        <v>378</v>
      </c>
      <c r="B382" s="523" t="s">
        <v>1007</v>
      </c>
      <c r="C382" s="555">
        <v>9544</v>
      </c>
      <c r="D382" s="563">
        <v>13000</v>
      </c>
      <c r="E382" s="87"/>
      <c r="F382" s="573">
        <v>144.13</v>
      </c>
      <c r="G382" s="573">
        <v>13000</v>
      </c>
      <c r="H382" s="87">
        <f t="shared" si="6"/>
        <v>0</v>
      </c>
      <c r="I382" s="509"/>
      <c r="J382" s="525"/>
      <c r="K382" s="398"/>
      <c r="L382" s="398"/>
      <c r="M382" s="398"/>
      <c r="N382" s="86"/>
    </row>
    <row r="383" spans="1:14" s="625" customFormat="1" ht="15.75" x14ac:dyDescent="0.25">
      <c r="A383" s="523">
        <v>379</v>
      </c>
      <c r="B383" s="523" t="s">
        <v>1007</v>
      </c>
      <c r="C383" s="555">
        <v>2705</v>
      </c>
      <c r="D383" s="563">
        <v>13000</v>
      </c>
      <c r="E383" s="87"/>
      <c r="F383" s="573">
        <v>144.13</v>
      </c>
      <c r="G383" s="573">
        <v>13000</v>
      </c>
      <c r="H383" s="87">
        <f t="shared" si="6"/>
        <v>0</v>
      </c>
      <c r="I383" s="509"/>
      <c r="J383" s="525"/>
      <c r="K383" s="398"/>
      <c r="L383" s="398"/>
      <c r="M383" s="398"/>
      <c r="N383" s="86"/>
    </row>
    <row r="384" spans="1:14" s="625" customFormat="1" ht="15.75" x14ac:dyDescent="0.25">
      <c r="A384" s="523">
        <v>380</v>
      </c>
      <c r="B384" s="523" t="s">
        <v>1007</v>
      </c>
      <c r="C384" s="555" t="s">
        <v>819</v>
      </c>
      <c r="D384" s="563">
        <v>3500</v>
      </c>
      <c r="E384" s="87"/>
      <c r="F384" s="573">
        <v>38.15</v>
      </c>
      <c r="G384" s="573">
        <v>3500</v>
      </c>
      <c r="H384" s="87">
        <f t="shared" si="6"/>
        <v>0</v>
      </c>
      <c r="I384" s="509"/>
      <c r="J384" s="525"/>
      <c r="K384" s="398"/>
      <c r="L384" s="398"/>
      <c r="M384" s="398"/>
      <c r="N384" s="86"/>
    </row>
    <row r="385" spans="1:14" s="625" customFormat="1" ht="15.75" x14ac:dyDescent="0.25">
      <c r="A385" s="523">
        <v>381</v>
      </c>
      <c r="B385" s="523" t="s">
        <v>1007</v>
      </c>
      <c r="C385" s="555">
        <v>1266</v>
      </c>
      <c r="D385" s="563">
        <v>14000</v>
      </c>
      <c r="E385" s="87"/>
      <c r="F385" s="573">
        <v>155.44999999999999</v>
      </c>
      <c r="G385" s="573">
        <v>14000</v>
      </c>
      <c r="H385" s="87">
        <f t="shared" si="6"/>
        <v>0</v>
      </c>
      <c r="I385" s="509"/>
      <c r="J385" s="525"/>
      <c r="K385" s="398"/>
      <c r="L385" s="398"/>
      <c r="M385" s="398"/>
      <c r="N385" s="86"/>
    </row>
    <row r="386" spans="1:14" s="625" customFormat="1" ht="15.75" x14ac:dyDescent="0.25">
      <c r="A386" s="523">
        <v>382</v>
      </c>
      <c r="B386" s="523" t="s">
        <v>1007</v>
      </c>
      <c r="C386" s="555" t="s">
        <v>30</v>
      </c>
      <c r="D386" s="563">
        <v>5000</v>
      </c>
      <c r="E386" s="87"/>
      <c r="F386" s="573">
        <v>55.45</v>
      </c>
      <c r="G386" s="573">
        <v>5000</v>
      </c>
      <c r="H386" s="87">
        <f t="shared" si="6"/>
        <v>0</v>
      </c>
      <c r="I386" s="509"/>
      <c r="J386" s="525"/>
      <c r="K386" s="398"/>
      <c r="L386" s="398"/>
      <c r="M386" s="398"/>
      <c r="N386" s="86"/>
    </row>
    <row r="387" spans="1:14" s="620" customFormat="1" ht="15.75" x14ac:dyDescent="0.25">
      <c r="A387" s="523">
        <v>383</v>
      </c>
      <c r="B387" s="523" t="s">
        <v>1007</v>
      </c>
      <c r="C387" s="555">
        <v>9457</v>
      </c>
      <c r="D387" s="563">
        <v>27000</v>
      </c>
      <c r="E387" s="87"/>
      <c r="F387" s="573">
        <v>279</v>
      </c>
      <c r="G387" s="563">
        <v>27000</v>
      </c>
      <c r="H387" s="87">
        <f>D387-G387</f>
        <v>0</v>
      </c>
      <c r="I387" s="509"/>
      <c r="J387" s="525"/>
      <c r="K387" s="398"/>
      <c r="L387" s="398"/>
      <c r="M387" s="398"/>
      <c r="N387" s="86"/>
    </row>
    <row r="388" spans="1:14" s="620" customFormat="1" ht="15.75" x14ac:dyDescent="0.25">
      <c r="A388" s="523">
        <v>384</v>
      </c>
      <c r="B388" s="523" t="s">
        <v>1007</v>
      </c>
      <c r="C388" s="555">
        <v>2744</v>
      </c>
      <c r="D388" s="563">
        <v>28000</v>
      </c>
      <c r="E388" s="87"/>
      <c r="F388" s="573">
        <v>291</v>
      </c>
      <c r="G388" s="563">
        <v>28000</v>
      </c>
      <c r="H388" s="87">
        <f t="shared" ref="H388:H452" si="7">D388-G388</f>
        <v>0</v>
      </c>
      <c r="I388" s="509"/>
      <c r="J388" s="525"/>
      <c r="K388" s="398"/>
      <c r="L388" s="398"/>
      <c r="M388" s="398"/>
      <c r="N388" s="86"/>
    </row>
    <row r="389" spans="1:14" s="620" customFormat="1" ht="15.75" x14ac:dyDescent="0.25">
      <c r="A389" s="523">
        <v>385</v>
      </c>
      <c r="B389" s="523" t="s">
        <v>1007</v>
      </c>
      <c r="C389" s="555">
        <v>9458</v>
      </c>
      <c r="D389" s="563">
        <v>26000</v>
      </c>
      <c r="E389" s="87"/>
      <c r="F389" s="573">
        <v>289</v>
      </c>
      <c r="G389" s="563">
        <v>26000</v>
      </c>
      <c r="H389" s="87">
        <f t="shared" si="7"/>
        <v>0</v>
      </c>
      <c r="I389" s="509"/>
      <c r="J389" s="525"/>
      <c r="K389" s="398"/>
      <c r="L389" s="398"/>
      <c r="M389" s="398"/>
      <c r="N389" s="86"/>
    </row>
    <row r="390" spans="1:14" s="620" customFormat="1" ht="15.75" x14ac:dyDescent="0.25">
      <c r="A390" s="523">
        <v>386</v>
      </c>
      <c r="B390" s="523" t="s">
        <v>1007</v>
      </c>
      <c r="C390" s="555">
        <v>7364</v>
      </c>
      <c r="D390" s="563">
        <v>28000</v>
      </c>
      <c r="E390" s="87"/>
      <c r="F390" s="573">
        <v>308</v>
      </c>
      <c r="G390" s="563">
        <v>28000</v>
      </c>
      <c r="H390" s="87">
        <f t="shared" si="7"/>
        <v>0</v>
      </c>
      <c r="I390" s="509"/>
      <c r="J390" s="525"/>
      <c r="K390" s="398"/>
      <c r="L390" s="398"/>
      <c r="M390" s="398"/>
      <c r="N390" s="86"/>
    </row>
    <row r="391" spans="1:14" s="620" customFormat="1" ht="15.75" x14ac:dyDescent="0.25">
      <c r="A391" s="523">
        <v>387</v>
      </c>
      <c r="B391" s="523" t="s">
        <v>1007</v>
      </c>
      <c r="C391" s="607" t="s">
        <v>945</v>
      </c>
      <c r="D391" s="563">
        <v>30000</v>
      </c>
      <c r="E391" s="87"/>
      <c r="F391" s="573">
        <v>324</v>
      </c>
      <c r="G391" s="563">
        <v>30000</v>
      </c>
      <c r="H391" s="87">
        <f t="shared" si="7"/>
        <v>0</v>
      </c>
      <c r="I391" s="509"/>
      <c r="J391" s="525"/>
      <c r="K391" s="398"/>
      <c r="L391" s="398"/>
      <c r="M391" s="398"/>
      <c r="N391" s="86"/>
    </row>
    <row r="392" spans="1:14" s="620" customFormat="1" ht="15.75" x14ac:dyDescent="0.25">
      <c r="A392" s="523">
        <v>388</v>
      </c>
      <c r="B392" s="523" t="s">
        <v>1007</v>
      </c>
      <c r="C392" s="555">
        <v>9633</v>
      </c>
      <c r="D392" s="563">
        <v>27000</v>
      </c>
      <c r="E392" s="87"/>
      <c r="F392" s="573">
        <v>300</v>
      </c>
      <c r="G392" s="563">
        <v>27000</v>
      </c>
      <c r="H392" s="87">
        <f t="shared" si="7"/>
        <v>0</v>
      </c>
      <c r="I392" s="509"/>
      <c r="J392" s="525"/>
      <c r="K392" s="398"/>
      <c r="L392" s="398"/>
      <c r="M392" s="398"/>
      <c r="N392" s="86"/>
    </row>
    <row r="393" spans="1:14" s="620" customFormat="1" ht="15.75" x14ac:dyDescent="0.25">
      <c r="A393" s="523">
        <v>389</v>
      </c>
      <c r="B393" s="523" t="s">
        <v>1007</v>
      </c>
      <c r="C393" s="607" t="s">
        <v>912</v>
      </c>
      <c r="D393" s="563">
        <v>30000</v>
      </c>
      <c r="E393" s="87"/>
      <c r="F393" s="573">
        <v>334</v>
      </c>
      <c r="G393" s="563">
        <v>30000</v>
      </c>
      <c r="H393" s="87">
        <f t="shared" si="7"/>
        <v>0</v>
      </c>
      <c r="I393" s="509"/>
      <c r="J393" s="525"/>
      <c r="K393" s="398"/>
      <c r="L393" s="398"/>
      <c r="M393" s="398"/>
      <c r="N393" s="86"/>
    </row>
    <row r="394" spans="1:14" s="620" customFormat="1" ht="15.75" x14ac:dyDescent="0.25">
      <c r="A394" s="523">
        <v>390</v>
      </c>
      <c r="B394" s="523" t="s">
        <v>1007</v>
      </c>
      <c r="C394" s="555">
        <v>2764</v>
      </c>
      <c r="D394" s="563">
        <v>30000</v>
      </c>
      <c r="E394" s="87"/>
      <c r="F394" s="573">
        <v>330</v>
      </c>
      <c r="G394" s="563">
        <v>30000</v>
      </c>
      <c r="H394" s="87">
        <f>D394-G394</f>
        <v>0</v>
      </c>
      <c r="I394" s="509"/>
      <c r="J394" s="525"/>
      <c r="K394" s="398"/>
      <c r="L394" s="398"/>
      <c r="M394" s="398"/>
      <c r="N394" s="86"/>
    </row>
    <row r="395" spans="1:14" s="620" customFormat="1" ht="15.75" x14ac:dyDescent="0.25">
      <c r="A395" s="523">
        <v>391</v>
      </c>
      <c r="B395" s="523" t="s">
        <v>1007</v>
      </c>
      <c r="C395" s="555">
        <v>8434</v>
      </c>
      <c r="D395" s="563">
        <v>30000</v>
      </c>
      <c r="E395" s="87"/>
      <c r="F395" s="573">
        <v>313</v>
      </c>
      <c r="G395" s="563">
        <v>30000</v>
      </c>
      <c r="H395" s="87">
        <f t="shared" si="7"/>
        <v>0</v>
      </c>
      <c r="I395" s="509"/>
      <c r="J395" s="525"/>
      <c r="K395" s="398"/>
      <c r="L395" s="398"/>
      <c r="M395" s="398"/>
      <c r="N395" s="86"/>
    </row>
    <row r="396" spans="1:14" s="620" customFormat="1" ht="15.75" x14ac:dyDescent="0.25">
      <c r="A396" s="523">
        <v>392</v>
      </c>
      <c r="B396" s="523" t="s">
        <v>1007</v>
      </c>
      <c r="C396" s="555">
        <v>2299</v>
      </c>
      <c r="D396" s="563">
        <v>11000</v>
      </c>
      <c r="E396" s="87"/>
      <c r="F396" s="573">
        <v>122</v>
      </c>
      <c r="G396" s="563">
        <v>11000</v>
      </c>
      <c r="H396" s="87">
        <f t="shared" si="7"/>
        <v>0</v>
      </c>
      <c r="I396" s="509"/>
      <c r="J396" s="525"/>
      <c r="K396" s="398"/>
      <c r="L396" s="398"/>
      <c r="M396" s="398"/>
      <c r="N396" s="86"/>
    </row>
    <row r="397" spans="1:14" s="620" customFormat="1" ht="15.75" x14ac:dyDescent="0.25">
      <c r="A397" s="523">
        <v>393</v>
      </c>
      <c r="B397" s="523" t="s">
        <v>1007</v>
      </c>
      <c r="C397" s="555">
        <v>8355</v>
      </c>
      <c r="D397" s="563">
        <v>23000</v>
      </c>
      <c r="E397" s="87"/>
      <c r="F397" s="573">
        <v>256</v>
      </c>
      <c r="G397" s="563">
        <v>23000</v>
      </c>
      <c r="H397" s="87">
        <f t="shared" si="7"/>
        <v>0</v>
      </c>
      <c r="I397" s="509"/>
      <c r="J397" s="525"/>
      <c r="K397" s="398"/>
      <c r="L397" s="398"/>
      <c r="M397" s="398"/>
      <c r="N397" s="86"/>
    </row>
    <row r="398" spans="1:14" s="620" customFormat="1" ht="15.75" x14ac:dyDescent="0.25">
      <c r="A398" s="523">
        <v>394</v>
      </c>
      <c r="B398" s="523" t="s">
        <v>1007</v>
      </c>
      <c r="C398" s="555">
        <v>8353</v>
      </c>
      <c r="D398" s="563">
        <v>23000</v>
      </c>
      <c r="E398" s="87"/>
      <c r="F398" s="573">
        <v>256</v>
      </c>
      <c r="G398" s="563">
        <v>23000</v>
      </c>
      <c r="H398" s="87">
        <f t="shared" si="7"/>
        <v>0</v>
      </c>
      <c r="I398" s="509"/>
      <c r="J398" s="525"/>
      <c r="K398" s="398"/>
      <c r="L398" s="398"/>
      <c r="M398" s="398"/>
      <c r="N398" s="86"/>
    </row>
    <row r="399" spans="1:14" s="620" customFormat="1" ht="15.75" x14ac:dyDescent="0.25">
      <c r="A399" s="523">
        <v>395</v>
      </c>
      <c r="B399" s="523" t="s">
        <v>1007</v>
      </c>
      <c r="C399" s="555">
        <v>6464</v>
      </c>
      <c r="D399" s="563">
        <v>24000</v>
      </c>
      <c r="E399" s="87"/>
      <c r="F399" s="573">
        <v>267</v>
      </c>
      <c r="G399" s="563">
        <v>24000</v>
      </c>
      <c r="H399" s="87">
        <f t="shared" si="7"/>
        <v>0</v>
      </c>
      <c r="I399" s="509"/>
      <c r="J399" s="525"/>
      <c r="K399" s="398"/>
      <c r="L399" s="398"/>
      <c r="M399" s="398"/>
      <c r="N399" s="86"/>
    </row>
    <row r="400" spans="1:14" s="620" customFormat="1" ht="15.75" x14ac:dyDescent="0.25">
      <c r="A400" s="523">
        <v>396</v>
      </c>
      <c r="B400" s="523" t="s">
        <v>1007</v>
      </c>
      <c r="C400" s="555">
        <v>9021</v>
      </c>
      <c r="D400" s="563">
        <v>24000</v>
      </c>
      <c r="E400" s="87"/>
      <c r="F400" s="573">
        <v>267</v>
      </c>
      <c r="G400" s="563">
        <v>24000</v>
      </c>
      <c r="H400" s="87">
        <f t="shared" si="7"/>
        <v>0</v>
      </c>
      <c r="I400" s="509"/>
      <c r="J400" s="525"/>
      <c r="K400" s="398"/>
      <c r="L400" s="398"/>
      <c r="M400" s="398"/>
      <c r="N400" s="86"/>
    </row>
    <row r="401" spans="1:14" s="620" customFormat="1" ht="15.75" x14ac:dyDescent="0.25">
      <c r="A401" s="523">
        <v>397</v>
      </c>
      <c r="B401" s="523" t="s">
        <v>1007</v>
      </c>
      <c r="C401" s="555">
        <v>1853</v>
      </c>
      <c r="D401" s="563">
        <v>15000</v>
      </c>
      <c r="E401" s="87"/>
      <c r="F401" s="573">
        <v>167</v>
      </c>
      <c r="G401" s="563">
        <v>15000</v>
      </c>
      <c r="H401" s="87">
        <f t="shared" si="7"/>
        <v>0</v>
      </c>
      <c r="I401" s="509"/>
      <c r="J401" s="525"/>
      <c r="K401" s="398"/>
      <c r="L401" s="398"/>
      <c r="M401" s="398"/>
      <c r="N401" s="86"/>
    </row>
    <row r="402" spans="1:14" s="620" customFormat="1" ht="15.75" x14ac:dyDescent="0.25">
      <c r="A402" s="523">
        <v>398</v>
      </c>
      <c r="B402" s="523" t="s">
        <v>1007</v>
      </c>
      <c r="C402" s="555">
        <v>9038</v>
      </c>
      <c r="D402" s="563">
        <v>15000</v>
      </c>
      <c r="E402" s="87"/>
      <c r="F402" s="573">
        <v>167</v>
      </c>
      <c r="G402" s="563">
        <v>15000</v>
      </c>
      <c r="H402" s="87">
        <f t="shared" si="7"/>
        <v>0</v>
      </c>
      <c r="I402" s="509"/>
      <c r="J402" s="525"/>
      <c r="K402" s="398"/>
      <c r="L402" s="398"/>
      <c r="M402" s="398"/>
      <c r="N402" s="86"/>
    </row>
    <row r="403" spans="1:14" s="620" customFormat="1" ht="15.75" x14ac:dyDescent="0.25">
      <c r="A403" s="523">
        <v>399</v>
      </c>
      <c r="B403" s="523" t="s">
        <v>1007</v>
      </c>
      <c r="C403" s="555">
        <v>7211</v>
      </c>
      <c r="D403" s="563">
        <v>25000</v>
      </c>
      <c r="E403" s="87"/>
      <c r="F403" s="573">
        <v>275</v>
      </c>
      <c r="G403" s="563">
        <v>25000</v>
      </c>
      <c r="H403" s="87">
        <f t="shared" si="7"/>
        <v>0</v>
      </c>
      <c r="I403" s="509"/>
      <c r="J403" s="525"/>
      <c r="K403" s="398"/>
      <c r="L403" s="398"/>
      <c r="M403" s="398"/>
      <c r="N403" s="86"/>
    </row>
    <row r="404" spans="1:14" s="625" customFormat="1" ht="15.75" x14ac:dyDescent="0.25">
      <c r="A404" s="523">
        <v>400</v>
      </c>
      <c r="B404" s="523" t="s">
        <v>1007</v>
      </c>
      <c r="C404" s="555">
        <v>2818</v>
      </c>
      <c r="D404" s="563">
        <v>25000</v>
      </c>
      <c r="E404" s="87"/>
      <c r="F404" s="573">
        <v>278</v>
      </c>
      <c r="G404" s="563">
        <v>25000</v>
      </c>
      <c r="H404" s="87">
        <f t="shared" si="7"/>
        <v>0</v>
      </c>
      <c r="I404" s="509"/>
      <c r="J404" s="525"/>
      <c r="K404" s="398"/>
      <c r="L404" s="398"/>
      <c r="M404" s="398"/>
      <c r="N404" s="86"/>
    </row>
    <row r="405" spans="1:14" s="620" customFormat="1" ht="15.75" x14ac:dyDescent="0.25">
      <c r="A405" s="523">
        <v>401</v>
      </c>
      <c r="B405" s="523" t="s">
        <v>1007</v>
      </c>
      <c r="C405" s="555">
        <v>7258</v>
      </c>
      <c r="D405" s="563">
        <v>30000</v>
      </c>
      <c r="E405" s="87"/>
      <c r="F405" s="573">
        <v>278</v>
      </c>
      <c r="G405" s="563">
        <v>30000</v>
      </c>
      <c r="H405" s="87">
        <f t="shared" si="7"/>
        <v>0</v>
      </c>
      <c r="I405" s="509"/>
      <c r="J405" s="525"/>
      <c r="K405" s="398"/>
      <c r="L405" s="398"/>
      <c r="M405" s="398"/>
      <c r="N405" s="86"/>
    </row>
    <row r="406" spans="1:14" s="620" customFormat="1" ht="15.75" x14ac:dyDescent="0.25">
      <c r="A406" s="523">
        <v>402</v>
      </c>
      <c r="B406" s="523" t="s">
        <v>1007</v>
      </c>
      <c r="C406" s="555">
        <v>2869</v>
      </c>
      <c r="D406" s="563">
        <v>30000</v>
      </c>
      <c r="E406" s="87"/>
      <c r="F406" s="573">
        <v>334</v>
      </c>
      <c r="G406" s="563">
        <v>30000</v>
      </c>
      <c r="H406" s="87">
        <f t="shared" si="7"/>
        <v>0</v>
      </c>
      <c r="I406" s="509"/>
      <c r="J406" s="525"/>
      <c r="K406" s="398"/>
      <c r="L406" s="398"/>
      <c r="M406" s="398"/>
      <c r="N406" s="86"/>
    </row>
    <row r="407" spans="1:14" s="620" customFormat="1" ht="15.75" x14ac:dyDescent="0.25">
      <c r="A407" s="523">
        <v>403</v>
      </c>
      <c r="B407" s="523" t="s">
        <v>1010</v>
      </c>
      <c r="C407" s="555" t="s">
        <v>30</v>
      </c>
      <c r="D407" s="563">
        <v>5000</v>
      </c>
      <c r="E407" s="87"/>
      <c r="F407" s="573">
        <v>55</v>
      </c>
      <c r="G407" s="563">
        <v>5000</v>
      </c>
      <c r="H407" s="87">
        <f t="shared" si="7"/>
        <v>0</v>
      </c>
      <c r="I407" s="509"/>
      <c r="J407" s="525"/>
      <c r="K407" s="398"/>
      <c r="L407" s="398"/>
      <c r="M407" s="398"/>
      <c r="N407" s="86"/>
    </row>
    <row r="408" spans="1:14" s="620" customFormat="1" ht="15.75" x14ac:dyDescent="0.25">
      <c r="A408" s="523">
        <v>404</v>
      </c>
      <c r="B408" s="523" t="s">
        <v>1010</v>
      </c>
      <c r="C408" s="555">
        <v>5963</v>
      </c>
      <c r="D408" s="563">
        <v>10000</v>
      </c>
      <c r="E408" s="87"/>
      <c r="F408" s="573">
        <v>111</v>
      </c>
      <c r="G408" s="563">
        <v>10000</v>
      </c>
      <c r="H408" s="87">
        <f t="shared" si="7"/>
        <v>0</v>
      </c>
      <c r="I408" s="509"/>
      <c r="J408" s="525"/>
      <c r="K408" s="398"/>
      <c r="L408" s="398"/>
      <c r="M408" s="398"/>
      <c r="N408" s="86"/>
    </row>
    <row r="409" spans="1:14" s="620" customFormat="1" ht="15.75" x14ac:dyDescent="0.25">
      <c r="A409" s="523">
        <v>405</v>
      </c>
      <c r="B409" s="523" t="s">
        <v>1010</v>
      </c>
      <c r="C409" s="555">
        <v>3650</v>
      </c>
      <c r="D409" s="563">
        <v>15000</v>
      </c>
      <c r="E409" s="87"/>
      <c r="F409" s="573">
        <v>167</v>
      </c>
      <c r="G409" s="563">
        <v>15000</v>
      </c>
      <c r="H409" s="87">
        <f t="shared" si="7"/>
        <v>0</v>
      </c>
      <c r="I409" s="509"/>
      <c r="J409" s="525"/>
      <c r="K409" s="398"/>
      <c r="L409" s="398"/>
      <c r="M409" s="398"/>
      <c r="N409" s="86"/>
    </row>
    <row r="410" spans="1:14" s="620" customFormat="1" ht="15.75" x14ac:dyDescent="0.25">
      <c r="A410" s="523">
        <v>406</v>
      </c>
      <c r="B410" s="523" t="s">
        <v>1010</v>
      </c>
      <c r="C410" s="555">
        <v>5492</v>
      </c>
      <c r="D410" s="563">
        <v>20000</v>
      </c>
      <c r="E410" s="87"/>
      <c r="F410" s="573">
        <v>222</v>
      </c>
      <c r="G410" s="563">
        <v>20000</v>
      </c>
      <c r="H410" s="87">
        <f t="shared" si="7"/>
        <v>0</v>
      </c>
      <c r="I410" s="509"/>
      <c r="J410" s="525"/>
      <c r="K410" s="398"/>
      <c r="L410" s="398"/>
      <c r="M410" s="398"/>
      <c r="N410" s="86"/>
    </row>
    <row r="411" spans="1:14" s="620" customFormat="1" ht="15.75" x14ac:dyDescent="0.25">
      <c r="A411" s="523">
        <v>407</v>
      </c>
      <c r="B411" s="523" t="s">
        <v>1010</v>
      </c>
      <c r="C411" s="555">
        <v>2847</v>
      </c>
      <c r="D411" s="563">
        <v>20000</v>
      </c>
      <c r="E411" s="87"/>
      <c r="F411" s="573">
        <v>222</v>
      </c>
      <c r="G411" s="563">
        <v>20000</v>
      </c>
      <c r="H411" s="87">
        <f t="shared" si="7"/>
        <v>0</v>
      </c>
      <c r="I411" s="509"/>
      <c r="J411" s="525"/>
      <c r="K411" s="398"/>
      <c r="L411" s="398"/>
      <c r="M411" s="398"/>
      <c r="N411" s="86"/>
    </row>
    <row r="412" spans="1:14" s="620" customFormat="1" ht="15.75" x14ac:dyDescent="0.25">
      <c r="A412" s="523">
        <v>408</v>
      </c>
      <c r="B412" s="523" t="s">
        <v>1010</v>
      </c>
      <c r="C412" s="555">
        <v>1369</v>
      </c>
      <c r="D412" s="563">
        <v>20000</v>
      </c>
      <c r="E412" s="87"/>
      <c r="F412" s="573">
        <v>222</v>
      </c>
      <c r="G412" s="563">
        <v>20000</v>
      </c>
      <c r="H412" s="87">
        <f t="shared" si="7"/>
        <v>0</v>
      </c>
      <c r="I412" s="509"/>
      <c r="J412" s="525"/>
      <c r="K412" s="398"/>
      <c r="L412" s="398"/>
      <c r="M412" s="398"/>
      <c r="N412" s="86"/>
    </row>
    <row r="413" spans="1:14" s="620" customFormat="1" ht="15.75" x14ac:dyDescent="0.25">
      <c r="A413" s="523">
        <v>409</v>
      </c>
      <c r="B413" s="523" t="s">
        <v>1010</v>
      </c>
      <c r="C413" s="555">
        <v>1231</v>
      </c>
      <c r="D413" s="563">
        <v>20000</v>
      </c>
      <c r="E413" s="87"/>
      <c r="F413" s="573">
        <v>222</v>
      </c>
      <c r="G413" s="563">
        <v>20000</v>
      </c>
      <c r="H413" s="87">
        <f t="shared" si="7"/>
        <v>0</v>
      </c>
      <c r="I413" s="509"/>
      <c r="J413" s="525"/>
      <c r="K413" s="398"/>
      <c r="L413" s="398"/>
      <c r="M413" s="398"/>
      <c r="N413" s="86"/>
    </row>
    <row r="414" spans="1:14" s="620" customFormat="1" ht="15.75" x14ac:dyDescent="0.25">
      <c r="A414" s="523">
        <v>410</v>
      </c>
      <c r="B414" s="523" t="s">
        <v>1010</v>
      </c>
      <c r="C414" s="555">
        <v>1318</v>
      </c>
      <c r="D414" s="563">
        <v>20000</v>
      </c>
      <c r="E414" s="87"/>
      <c r="F414" s="573">
        <v>222</v>
      </c>
      <c r="G414" s="563">
        <v>20000</v>
      </c>
      <c r="H414" s="87">
        <f t="shared" si="7"/>
        <v>0</v>
      </c>
      <c r="I414" s="509"/>
      <c r="J414" s="525"/>
      <c r="K414" s="398"/>
      <c r="L414" s="398"/>
      <c r="M414" s="398"/>
      <c r="N414" s="86"/>
    </row>
    <row r="415" spans="1:14" s="620" customFormat="1" ht="15.75" x14ac:dyDescent="0.25">
      <c r="A415" s="523">
        <v>411</v>
      </c>
      <c r="B415" s="523" t="s">
        <v>1010</v>
      </c>
      <c r="C415" s="607" t="s">
        <v>908</v>
      </c>
      <c r="D415" s="563">
        <v>28000</v>
      </c>
      <c r="E415" s="87"/>
      <c r="F415" s="573">
        <v>311</v>
      </c>
      <c r="G415" s="563">
        <v>28000</v>
      </c>
      <c r="H415" s="87">
        <f t="shared" si="7"/>
        <v>0</v>
      </c>
      <c r="I415" s="509"/>
      <c r="J415" s="525"/>
      <c r="K415" s="398"/>
      <c r="L415" s="398"/>
      <c r="M415" s="398"/>
      <c r="N415" s="86"/>
    </row>
    <row r="416" spans="1:14" s="620" customFormat="1" ht="15.75" x14ac:dyDescent="0.25">
      <c r="A416" s="523">
        <v>412</v>
      </c>
      <c r="B416" s="523" t="s">
        <v>1010</v>
      </c>
      <c r="C416" s="555">
        <v>9512</v>
      </c>
      <c r="D416" s="563">
        <v>33000</v>
      </c>
      <c r="E416" s="87"/>
      <c r="F416" s="573">
        <v>364</v>
      </c>
      <c r="G416" s="563">
        <v>33000</v>
      </c>
      <c r="H416" s="87">
        <f t="shared" si="7"/>
        <v>0</v>
      </c>
      <c r="I416" s="509"/>
      <c r="J416" s="525"/>
      <c r="K416" s="398"/>
      <c r="L416" s="398"/>
      <c r="M416" s="398"/>
      <c r="N416" s="86"/>
    </row>
    <row r="417" spans="1:14" s="620" customFormat="1" ht="15.75" x14ac:dyDescent="0.25">
      <c r="A417" s="523">
        <v>413</v>
      </c>
      <c r="B417" s="523" t="s">
        <v>1010</v>
      </c>
      <c r="C417" s="555">
        <v>3907</v>
      </c>
      <c r="D417" s="563">
        <v>31000</v>
      </c>
      <c r="E417" s="87"/>
      <c r="F417" s="573">
        <v>327</v>
      </c>
      <c r="G417" s="563">
        <v>31000</v>
      </c>
      <c r="H417" s="87">
        <f t="shared" si="7"/>
        <v>0</v>
      </c>
      <c r="I417" s="509"/>
      <c r="J417" s="525"/>
      <c r="K417" s="398"/>
      <c r="L417" s="398"/>
      <c r="M417" s="398"/>
      <c r="N417" s="86"/>
    </row>
    <row r="418" spans="1:14" s="620" customFormat="1" ht="15.75" x14ac:dyDescent="0.25">
      <c r="A418" s="523">
        <v>414</v>
      </c>
      <c r="B418" s="523" t="s">
        <v>1010</v>
      </c>
      <c r="C418" s="555" t="s">
        <v>30</v>
      </c>
      <c r="D418" s="563">
        <v>4500</v>
      </c>
      <c r="E418" s="87"/>
      <c r="F418" s="573">
        <v>50</v>
      </c>
      <c r="G418" s="563">
        <v>4500</v>
      </c>
      <c r="H418" s="87">
        <f t="shared" si="7"/>
        <v>0</v>
      </c>
      <c r="I418" s="509"/>
      <c r="J418" s="525"/>
      <c r="K418" s="398"/>
      <c r="L418" s="398"/>
      <c r="M418" s="398"/>
      <c r="N418" s="86"/>
    </row>
    <row r="419" spans="1:14" s="620" customFormat="1" ht="15.75" x14ac:dyDescent="0.25">
      <c r="A419" s="523">
        <v>415</v>
      </c>
      <c r="B419" s="523" t="s">
        <v>1010</v>
      </c>
      <c r="C419" s="555">
        <v>9876</v>
      </c>
      <c r="D419" s="563">
        <v>17000</v>
      </c>
      <c r="E419" s="87"/>
      <c r="F419" s="573">
        <v>189</v>
      </c>
      <c r="G419" s="573">
        <v>17000</v>
      </c>
      <c r="H419" s="87">
        <f t="shared" si="7"/>
        <v>0</v>
      </c>
      <c r="I419" s="509"/>
      <c r="J419" s="525"/>
      <c r="K419" s="398"/>
      <c r="L419" s="398"/>
      <c r="M419" s="398"/>
      <c r="N419" s="86"/>
    </row>
    <row r="420" spans="1:14" s="620" customFormat="1" ht="15.75" x14ac:dyDescent="0.25">
      <c r="A420" s="523">
        <v>416</v>
      </c>
      <c r="B420" s="523" t="s">
        <v>1010</v>
      </c>
      <c r="C420" s="555">
        <v>4010</v>
      </c>
      <c r="D420" s="563">
        <v>15000</v>
      </c>
      <c r="E420" s="87"/>
      <c r="F420" s="573">
        <v>167</v>
      </c>
      <c r="G420" s="573">
        <v>15000</v>
      </c>
      <c r="H420" s="87">
        <f t="shared" si="7"/>
        <v>0</v>
      </c>
      <c r="I420" s="509"/>
      <c r="J420" s="525"/>
      <c r="K420" s="398"/>
      <c r="L420" s="398"/>
      <c r="M420" s="398"/>
      <c r="N420" s="86"/>
    </row>
    <row r="421" spans="1:14" s="620" customFormat="1" ht="15.75" x14ac:dyDescent="0.25">
      <c r="A421" s="523">
        <v>417</v>
      </c>
      <c r="B421" s="523" t="s">
        <v>1010</v>
      </c>
      <c r="C421" s="555">
        <v>8705</v>
      </c>
      <c r="D421" s="563">
        <v>30000</v>
      </c>
      <c r="E421" s="87"/>
      <c r="F421" s="573">
        <v>334</v>
      </c>
      <c r="G421" s="573">
        <v>30000</v>
      </c>
      <c r="H421" s="87">
        <f t="shared" si="7"/>
        <v>0</v>
      </c>
      <c r="I421" s="509"/>
      <c r="J421" s="525"/>
      <c r="K421" s="398"/>
      <c r="L421" s="398"/>
      <c r="M421" s="398"/>
      <c r="N421" s="86"/>
    </row>
    <row r="422" spans="1:14" s="620" customFormat="1" ht="15.75" x14ac:dyDescent="0.25">
      <c r="A422" s="523">
        <v>418</v>
      </c>
      <c r="B422" s="523" t="s">
        <v>1010</v>
      </c>
      <c r="C422" s="555">
        <v>4744</v>
      </c>
      <c r="D422" s="563">
        <v>28000</v>
      </c>
      <c r="E422" s="87"/>
      <c r="F422" s="573">
        <v>311</v>
      </c>
      <c r="G422" s="573">
        <v>28000</v>
      </c>
      <c r="H422" s="87">
        <f t="shared" si="7"/>
        <v>0</v>
      </c>
      <c r="I422" s="509"/>
      <c r="J422" s="525"/>
      <c r="K422" s="398"/>
      <c r="L422" s="398"/>
      <c r="M422" s="398"/>
      <c r="N422" s="86"/>
    </row>
    <row r="423" spans="1:14" s="620" customFormat="1" ht="15.75" x14ac:dyDescent="0.25">
      <c r="A423" s="523">
        <v>419</v>
      </c>
      <c r="B423" s="523" t="s">
        <v>1010</v>
      </c>
      <c r="C423" s="607" t="s">
        <v>945</v>
      </c>
      <c r="D423" s="563">
        <v>29000</v>
      </c>
      <c r="E423" s="87"/>
      <c r="F423" s="573">
        <v>305</v>
      </c>
      <c r="G423" s="573">
        <v>29000</v>
      </c>
      <c r="H423" s="87">
        <f t="shared" si="7"/>
        <v>0</v>
      </c>
      <c r="I423" s="509"/>
      <c r="J423" s="525"/>
      <c r="K423" s="398"/>
      <c r="L423" s="398"/>
      <c r="M423" s="398"/>
      <c r="N423" s="86"/>
    </row>
    <row r="424" spans="1:14" s="620" customFormat="1" ht="15.75" x14ac:dyDescent="0.25">
      <c r="A424" s="523">
        <v>420</v>
      </c>
      <c r="B424" s="523" t="s">
        <v>1010</v>
      </c>
      <c r="C424" s="555">
        <v>5744</v>
      </c>
      <c r="D424" s="563">
        <v>30000</v>
      </c>
      <c r="E424" s="87"/>
      <c r="F424" s="573">
        <v>334</v>
      </c>
      <c r="G424" s="573">
        <v>30000</v>
      </c>
      <c r="H424" s="87">
        <f t="shared" si="7"/>
        <v>0</v>
      </c>
      <c r="I424" s="509"/>
      <c r="J424" s="525"/>
      <c r="K424" s="398"/>
      <c r="L424" s="398"/>
      <c r="M424" s="398"/>
      <c r="N424" s="86"/>
    </row>
    <row r="425" spans="1:14" s="620" customFormat="1" ht="15.75" x14ac:dyDescent="0.25">
      <c r="A425" s="523">
        <v>421</v>
      </c>
      <c r="B425" s="523" t="s">
        <v>1010</v>
      </c>
      <c r="C425" s="555">
        <v>9727</v>
      </c>
      <c r="D425" s="563">
        <v>28000</v>
      </c>
      <c r="E425" s="87"/>
      <c r="F425" s="573">
        <v>311</v>
      </c>
      <c r="G425" s="573">
        <v>28000</v>
      </c>
      <c r="H425" s="87">
        <f t="shared" si="7"/>
        <v>0</v>
      </c>
      <c r="I425" s="509"/>
      <c r="J425" s="525"/>
      <c r="K425" s="398"/>
      <c r="L425" s="398"/>
      <c r="M425" s="398"/>
      <c r="N425" s="86"/>
    </row>
    <row r="426" spans="1:14" s="620" customFormat="1" ht="15.75" x14ac:dyDescent="0.25">
      <c r="A426" s="523">
        <v>422</v>
      </c>
      <c r="B426" s="523" t="s">
        <v>1010</v>
      </c>
      <c r="C426" s="555">
        <v>1783</v>
      </c>
      <c r="D426" s="563">
        <v>35000</v>
      </c>
      <c r="E426" s="87"/>
      <c r="F426" s="573">
        <v>389</v>
      </c>
      <c r="G426" s="573">
        <v>35000</v>
      </c>
      <c r="H426" s="87">
        <f t="shared" si="7"/>
        <v>0</v>
      </c>
      <c r="I426" s="509"/>
      <c r="J426" s="525"/>
      <c r="K426" s="398"/>
      <c r="L426" s="398"/>
      <c r="M426" s="398"/>
      <c r="N426" s="86"/>
    </row>
    <row r="427" spans="1:14" s="620" customFormat="1" ht="15.75" x14ac:dyDescent="0.25">
      <c r="A427" s="523">
        <v>423</v>
      </c>
      <c r="B427" s="523" t="s">
        <v>1010</v>
      </c>
      <c r="C427" s="555">
        <v>1951</v>
      </c>
      <c r="D427" s="563">
        <v>10000</v>
      </c>
      <c r="E427" s="87"/>
      <c r="F427" s="573">
        <v>111</v>
      </c>
      <c r="G427" s="573">
        <v>10000</v>
      </c>
      <c r="H427" s="87">
        <f t="shared" si="7"/>
        <v>0</v>
      </c>
      <c r="I427" s="509"/>
      <c r="J427" s="525"/>
      <c r="K427" s="398"/>
      <c r="L427" s="398"/>
      <c r="M427" s="398"/>
      <c r="N427" s="86"/>
    </row>
    <row r="428" spans="1:14" s="621" customFormat="1" ht="15.75" x14ac:dyDescent="0.25">
      <c r="A428" s="523">
        <v>424</v>
      </c>
      <c r="B428" s="523" t="s">
        <v>1009</v>
      </c>
      <c r="C428" s="555" t="s">
        <v>30</v>
      </c>
      <c r="D428" s="563">
        <v>10000</v>
      </c>
      <c r="E428" s="87"/>
      <c r="F428" s="573">
        <v>111</v>
      </c>
      <c r="G428" s="563">
        <v>10000</v>
      </c>
      <c r="H428" s="87">
        <f t="shared" si="7"/>
        <v>0</v>
      </c>
      <c r="I428" s="509"/>
      <c r="J428" s="525"/>
      <c r="K428" s="398"/>
      <c r="L428" s="398"/>
      <c r="M428" s="398"/>
      <c r="N428" s="86"/>
    </row>
    <row r="429" spans="1:14" s="621" customFormat="1" ht="15.75" x14ac:dyDescent="0.25">
      <c r="A429" s="523">
        <v>425</v>
      </c>
      <c r="B429" s="523" t="s">
        <v>1009</v>
      </c>
      <c r="C429" s="555">
        <v>9880</v>
      </c>
      <c r="D429" s="563">
        <v>25000</v>
      </c>
      <c r="E429" s="87"/>
      <c r="F429" s="573">
        <v>278</v>
      </c>
      <c r="G429" s="563">
        <v>25000</v>
      </c>
      <c r="H429" s="87">
        <f t="shared" si="7"/>
        <v>0</v>
      </c>
      <c r="I429" s="509"/>
      <c r="J429" s="525"/>
      <c r="K429" s="398"/>
      <c r="L429" s="398"/>
      <c r="M429" s="398"/>
      <c r="N429" s="86"/>
    </row>
    <row r="430" spans="1:14" s="621" customFormat="1" ht="15.75" x14ac:dyDescent="0.25">
      <c r="A430" s="523">
        <v>426</v>
      </c>
      <c r="B430" s="523" t="s">
        <v>1009</v>
      </c>
      <c r="C430" s="555" t="s">
        <v>30</v>
      </c>
      <c r="D430" s="563">
        <v>5000</v>
      </c>
      <c r="E430" s="87"/>
      <c r="F430" s="573">
        <v>55</v>
      </c>
      <c r="G430" s="563">
        <v>5000</v>
      </c>
      <c r="H430" s="87">
        <f t="shared" si="7"/>
        <v>0</v>
      </c>
      <c r="I430" s="509"/>
      <c r="J430" s="525"/>
      <c r="K430" s="398"/>
      <c r="L430" s="398"/>
      <c r="M430" s="398"/>
      <c r="N430" s="86"/>
    </row>
    <row r="431" spans="1:14" s="621" customFormat="1" ht="15.75" x14ac:dyDescent="0.25">
      <c r="A431" s="523">
        <v>427</v>
      </c>
      <c r="B431" s="523" t="s">
        <v>1009</v>
      </c>
      <c r="C431" s="555">
        <v>9655</v>
      </c>
      <c r="D431" s="563">
        <v>15000</v>
      </c>
      <c r="E431" s="87"/>
      <c r="F431" s="573">
        <v>167</v>
      </c>
      <c r="G431" s="563">
        <v>15000</v>
      </c>
      <c r="H431" s="87">
        <f t="shared" si="7"/>
        <v>0</v>
      </c>
      <c r="I431" s="509"/>
      <c r="J431" s="525"/>
      <c r="K431" s="398"/>
      <c r="L431" s="398"/>
      <c r="M431" s="398"/>
      <c r="N431" s="86"/>
    </row>
    <row r="432" spans="1:14" s="621" customFormat="1" ht="15.75" x14ac:dyDescent="0.25">
      <c r="A432" s="523">
        <v>428</v>
      </c>
      <c r="B432" s="523" t="s">
        <v>1009</v>
      </c>
      <c r="C432" s="555">
        <v>4615</v>
      </c>
      <c r="D432" s="563">
        <v>29000</v>
      </c>
      <c r="E432" s="87"/>
      <c r="F432" s="573">
        <v>288</v>
      </c>
      <c r="G432" s="563">
        <v>29000</v>
      </c>
      <c r="H432" s="87">
        <f t="shared" si="7"/>
        <v>0</v>
      </c>
      <c r="I432" s="509"/>
      <c r="J432" s="525"/>
      <c r="K432" s="398"/>
      <c r="L432" s="398"/>
      <c r="M432" s="398"/>
      <c r="N432" s="86"/>
    </row>
    <row r="433" spans="1:14" s="621" customFormat="1" ht="15.75" x14ac:dyDescent="0.25">
      <c r="A433" s="523">
        <v>429</v>
      </c>
      <c r="B433" s="523" t="s">
        <v>1009</v>
      </c>
      <c r="C433" s="607" t="s">
        <v>924</v>
      </c>
      <c r="D433" s="563">
        <v>29000</v>
      </c>
      <c r="E433" s="87"/>
      <c r="F433" s="573">
        <v>305</v>
      </c>
      <c r="G433" s="563">
        <v>29000</v>
      </c>
      <c r="H433" s="87">
        <f t="shared" si="7"/>
        <v>0</v>
      </c>
      <c r="I433" s="509"/>
      <c r="J433" s="525"/>
      <c r="K433" s="398"/>
      <c r="L433" s="398"/>
      <c r="M433" s="398"/>
      <c r="N433" s="86"/>
    </row>
    <row r="434" spans="1:14" s="621" customFormat="1" ht="15.75" x14ac:dyDescent="0.25">
      <c r="A434" s="523">
        <v>430</v>
      </c>
      <c r="B434" s="523" t="s">
        <v>1009</v>
      </c>
      <c r="C434" s="555">
        <v>9555</v>
      </c>
      <c r="D434" s="563">
        <v>15000</v>
      </c>
      <c r="E434" s="87"/>
      <c r="F434" s="573">
        <v>167</v>
      </c>
      <c r="G434" s="563">
        <v>15000</v>
      </c>
      <c r="H434" s="87">
        <f t="shared" si="7"/>
        <v>0</v>
      </c>
      <c r="I434" s="509"/>
      <c r="J434" s="525"/>
      <c r="K434" s="398"/>
      <c r="L434" s="398"/>
      <c r="M434" s="398"/>
      <c r="N434" s="86"/>
    </row>
    <row r="435" spans="1:14" s="621" customFormat="1" ht="15.75" x14ac:dyDescent="0.25">
      <c r="A435" s="523">
        <v>431</v>
      </c>
      <c r="B435" s="523" t="s">
        <v>1009</v>
      </c>
      <c r="C435" s="555">
        <v>9755</v>
      </c>
      <c r="D435" s="563">
        <v>15000</v>
      </c>
      <c r="E435" s="87"/>
      <c r="F435" s="573">
        <v>167</v>
      </c>
      <c r="G435" s="563">
        <v>15000</v>
      </c>
      <c r="H435" s="87">
        <f t="shared" si="7"/>
        <v>0</v>
      </c>
      <c r="I435" s="509"/>
      <c r="J435" s="525"/>
      <c r="K435" s="398"/>
      <c r="L435" s="398"/>
      <c r="M435" s="398"/>
      <c r="N435" s="86"/>
    </row>
    <row r="436" spans="1:14" s="621" customFormat="1" ht="15.75" x14ac:dyDescent="0.25">
      <c r="A436" s="523">
        <v>432</v>
      </c>
      <c r="B436" s="523" t="s">
        <v>1009</v>
      </c>
      <c r="C436" s="555" t="s">
        <v>66</v>
      </c>
      <c r="D436" s="563">
        <v>110</v>
      </c>
      <c r="E436" s="87"/>
      <c r="F436" s="573">
        <v>1.06</v>
      </c>
      <c r="G436" s="563">
        <v>110</v>
      </c>
      <c r="H436" s="87">
        <f t="shared" si="7"/>
        <v>0</v>
      </c>
      <c r="I436" s="509"/>
      <c r="J436" s="525"/>
      <c r="K436" s="398"/>
      <c r="L436" s="398"/>
      <c r="M436" s="398"/>
      <c r="N436" s="86"/>
    </row>
    <row r="437" spans="1:14" s="621" customFormat="1" ht="15.75" x14ac:dyDescent="0.25">
      <c r="A437" s="523">
        <v>433</v>
      </c>
      <c r="B437" s="523" t="s">
        <v>1009</v>
      </c>
      <c r="C437" s="555">
        <v>6744</v>
      </c>
      <c r="D437" s="563">
        <v>30000</v>
      </c>
      <c r="E437" s="87"/>
      <c r="F437" s="573">
        <v>326</v>
      </c>
      <c r="G437" s="563">
        <v>30000</v>
      </c>
      <c r="H437" s="87">
        <f t="shared" si="7"/>
        <v>0</v>
      </c>
      <c r="I437" s="509"/>
      <c r="J437" s="525"/>
      <c r="K437" s="398"/>
      <c r="L437" s="398"/>
      <c r="M437" s="398"/>
      <c r="N437" s="86"/>
    </row>
    <row r="438" spans="1:14" s="621" customFormat="1" ht="15.75" x14ac:dyDescent="0.25">
      <c r="A438" s="523">
        <v>434</v>
      </c>
      <c r="B438" s="523" t="s">
        <v>1009</v>
      </c>
      <c r="C438" s="555">
        <v>2744</v>
      </c>
      <c r="D438" s="563">
        <v>26500</v>
      </c>
      <c r="E438" s="87"/>
      <c r="F438" s="573">
        <v>295</v>
      </c>
      <c r="G438" s="563">
        <v>26500</v>
      </c>
      <c r="H438" s="87">
        <f t="shared" si="7"/>
        <v>0</v>
      </c>
      <c r="I438" s="509"/>
      <c r="J438" s="525"/>
      <c r="K438" s="398"/>
      <c r="L438" s="398"/>
      <c r="M438" s="398"/>
      <c r="N438" s="86"/>
    </row>
    <row r="439" spans="1:14" s="621" customFormat="1" ht="15.75" x14ac:dyDescent="0.25">
      <c r="A439" s="523">
        <v>435</v>
      </c>
      <c r="B439" s="523" t="s">
        <v>1009</v>
      </c>
      <c r="C439" s="607" t="s">
        <v>945</v>
      </c>
      <c r="D439" s="563">
        <v>25000</v>
      </c>
      <c r="E439" s="87"/>
      <c r="F439" s="573">
        <v>278</v>
      </c>
      <c r="G439" s="563">
        <v>25000</v>
      </c>
      <c r="H439" s="87">
        <f t="shared" si="7"/>
        <v>0</v>
      </c>
      <c r="I439" s="509"/>
      <c r="J439" s="525"/>
      <c r="K439" s="398"/>
      <c r="L439" s="398"/>
      <c r="M439" s="398"/>
      <c r="N439" s="86"/>
    </row>
    <row r="440" spans="1:14" s="621" customFormat="1" ht="15.75" x14ac:dyDescent="0.25">
      <c r="A440" s="523">
        <v>436</v>
      </c>
      <c r="B440" s="523" t="s">
        <v>1009</v>
      </c>
      <c r="C440" s="555">
        <v>2744</v>
      </c>
      <c r="D440" s="563">
        <v>27000</v>
      </c>
      <c r="E440" s="87"/>
      <c r="F440" s="573">
        <v>300</v>
      </c>
      <c r="G440" s="563">
        <v>27000</v>
      </c>
      <c r="H440" s="87">
        <f t="shared" si="7"/>
        <v>0</v>
      </c>
      <c r="I440" s="509"/>
      <c r="J440" s="525"/>
      <c r="K440" s="398"/>
      <c r="L440" s="398"/>
      <c r="M440" s="398"/>
      <c r="N440" s="86"/>
    </row>
    <row r="441" spans="1:14" s="621" customFormat="1" ht="15.75" x14ac:dyDescent="0.25">
      <c r="A441" s="523">
        <v>437</v>
      </c>
      <c r="B441" s="523" t="s">
        <v>1009</v>
      </c>
      <c r="C441" s="555">
        <v>9866</v>
      </c>
      <c r="D441" s="563">
        <v>18000</v>
      </c>
      <c r="E441" s="87"/>
      <c r="F441" s="573">
        <v>200</v>
      </c>
      <c r="G441" s="563">
        <v>18000</v>
      </c>
      <c r="H441" s="87">
        <f t="shared" si="7"/>
        <v>0</v>
      </c>
      <c r="I441" s="509"/>
      <c r="J441" s="525"/>
      <c r="K441" s="398"/>
      <c r="L441" s="398"/>
      <c r="M441" s="398"/>
      <c r="N441" s="86"/>
    </row>
    <row r="442" spans="1:14" s="621" customFormat="1" ht="15.75" x14ac:dyDescent="0.25">
      <c r="A442" s="523">
        <v>438</v>
      </c>
      <c r="B442" s="523" t="s">
        <v>1009</v>
      </c>
      <c r="C442" s="555">
        <v>5781</v>
      </c>
      <c r="D442" s="563">
        <v>10000</v>
      </c>
      <c r="E442" s="87"/>
      <c r="F442" s="573">
        <v>111</v>
      </c>
      <c r="G442" s="563">
        <v>10000</v>
      </c>
      <c r="H442" s="87">
        <f t="shared" si="7"/>
        <v>0</v>
      </c>
      <c r="I442" s="509"/>
      <c r="J442" s="525"/>
      <c r="K442" s="398"/>
      <c r="L442" s="398"/>
      <c r="M442" s="398"/>
      <c r="N442" s="86"/>
    </row>
    <row r="443" spans="1:14" s="621" customFormat="1" ht="15.75" x14ac:dyDescent="0.25">
      <c r="A443" s="523">
        <v>439</v>
      </c>
      <c r="B443" s="523" t="s">
        <v>1009</v>
      </c>
      <c r="C443" s="607" t="s">
        <v>891</v>
      </c>
      <c r="D443" s="563">
        <v>10000</v>
      </c>
      <c r="E443" s="87"/>
      <c r="F443" s="573">
        <v>111</v>
      </c>
      <c r="G443" s="563">
        <v>10000</v>
      </c>
      <c r="H443" s="87">
        <f t="shared" si="7"/>
        <v>0</v>
      </c>
      <c r="I443" s="509"/>
      <c r="J443" s="525"/>
      <c r="K443" s="398"/>
      <c r="L443" s="398"/>
      <c r="M443" s="398"/>
      <c r="N443" s="86"/>
    </row>
    <row r="444" spans="1:14" s="621" customFormat="1" ht="15.75" x14ac:dyDescent="0.25">
      <c r="A444" s="523">
        <v>440</v>
      </c>
      <c r="B444" s="523" t="s">
        <v>1009</v>
      </c>
      <c r="C444" s="555">
        <v>3356</v>
      </c>
      <c r="D444" s="563">
        <v>29000</v>
      </c>
      <c r="E444" s="87"/>
      <c r="F444" s="573">
        <v>323</v>
      </c>
      <c r="G444" s="563">
        <v>29000</v>
      </c>
      <c r="H444" s="87">
        <f t="shared" si="7"/>
        <v>0</v>
      </c>
      <c r="I444" s="509"/>
      <c r="J444" s="525"/>
      <c r="K444" s="398"/>
      <c r="L444" s="398"/>
      <c r="M444" s="398"/>
      <c r="N444" s="86"/>
    </row>
    <row r="445" spans="1:14" s="621" customFormat="1" ht="15.75" x14ac:dyDescent="0.25">
      <c r="A445" s="523">
        <v>441</v>
      </c>
      <c r="B445" s="523" t="s">
        <v>1009</v>
      </c>
      <c r="C445" s="555">
        <v>6960</v>
      </c>
      <c r="D445" s="563">
        <v>24000</v>
      </c>
      <c r="E445" s="87"/>
      <c r="F445" s="573">
        <v>234</v>
      </c>
      <c r="G445" s="563">
        <v>24000</v>
      </c>
      <c r="H445" s="87">
        <f t="shared" si="7"/>
        <v>0</v>
      </c>
      <c r="I445" s="509"/>
      <c r="J445" s="525"/>
      <c r="K445" s="398"/>
      <c r="L445" s="398"/>
      <c r="M445" s="398"/>
      <c r="N445" s="86"/>
    </row>
    <row r="446" spans="1:14" s="622" customFormat="1" ht="15.75" x14ac:dyDescent="0.25">
      <c r="A446" s="523">
        <v>442</v>
      </c>
      <c r="B446" s="523" t="s">
        <v>1011</v>
      </c>
      <c r="C446" s="555" t="s">
        <v>30</v>
      </c>
      <c r="D446" s="563">
        <v>5000</v>
      </c>
      <c r="E446" s="87"/>
      <c r="F446" s="573">
        <v>55</v>
      </c>
      <c r="G446" s="563">
        <v>5000</v>
      </c>
      <c r="H446" s="87">
        <f t="shared" si="7"/>
        <v>0</v>
      </c>
      <c r="I446" s="509"/>
      <c r="J446" s="525"/>
      <c r="K446" s="398"/>
      <c r="L446" s="398"/>
      <c r="M446" s="398"/>
      <c r="N446" s="86"/>
    </row>
    <row r="447" spans="1:14" s="622" customFormat="1" ht="15.75" x14ac:dyDescent="0.25">
      <c r="A447" s="523">
        <v>443</v>
      </c>
      <c r="B447" s="523" t="s">
        <v>1011</v>
      </c>
      <c r="C447" s="555" t="s">
        <v>819</v>
      </c>
      <c r="D447" s="563">
        <v>3500</v>
      </c>
      <c r="E447" s="87"/>
      <c r="F447" s="573">
        <v>38</v>
      </c>
      <c r="G447" s="563">
        <v>3500</v>
      </c>
      <c r="H447" s="87">
        <f t="shared" si="7"/>
        <v>0</v>
      </c>
      <c r="I447" s="509"/>
      <c r="J447" s="525"/>
      <c r="K447" s="398"/>
      <c r="L447" s="398"/>
      <c r="M447" s="398"/>
      <c r="N447" s="86"/>
    </row>
    <row r="448" spans="1:14" s="622" customFormat="1" ht="15.75" x14ac:dyDescent="0.25">
      <c r="A448" s="523">
        <v>444</v>
      </c>
      <c r="B448" s="523" t="s">
        <v>1011</v>
      </c>
      <c r="C448" s="555">
        <v>5152</v>
      </c>
      <c r="D448" s="563">
        <v>10000</v>
      </c>
      <c r="E448" s="87"/>
      <c r="F448" s="573">
        <v>111</v>
      </c>
      <c r="G448" s="563">
        <v>10000</v>
      </c>
      <c r="H448" s="87">
        <f t="shared" si="7"/>
        <v>0</v>
      </c>
      <c r="I448" s="509"/>
      <c r="J448" s="525"/>
      <c r="K448" s="398"/>
      <c r="L448" s="398"/>
      <c r="M448" s="398"/>
      <c r="N448" s="86"/>
    </row>
    <row r="449" spans="1:14" s="622" customFormat="1" ht="15.75" x14ac:dyDescent="0.25">
      <c r="A449" s="523">
        <v>445</v>
      </c>
      <c r="B449" s="523" t="s">
        <v>1011</v>
      </c>
      <c r="C449" s="555" t="s">
        <v>66</v>
      </c>
      <c r="D449" s="563">
        <v>210</v>
      </c>
      <c r="E449" s="87"/>
      <c r="F449" s="573">
        <v>2.1</v>
      </c>
      <c r="G449" s="563">
        <v>210</v>
      </c>
      <c r="H449" s="87">
        <f t="shared" si="7"/>
        <v>0</v>
      </c>
      <c r="I449" s="509"/>
      <c r="J449" s="525"/>
      <c r="K449" s="398"/>
      <c r="L449" s="398"/>
      <c r="M449" s="398"/>
      <c r="N449" s="86"/>
    </row>
    <row r="450" spans="1:14" s="622" customFormat="1" ht="15.75" x14ac:dyDescent="0.25">
      <c r="A450" s="523">
        <v>446</v>
      </c>
      <c r="B450" s="523" t="s">
        <v>1011</v>
      </c>
      <c r="C450" s="555">
        <v>9250</v>
      </c>
      <c r="D450" s="563">
        <v>20000</v>
      </c>
      <c r="E450" s="87"/>
      <c r="F450" s="573">
        <v>222</v>
      </c>
      <c r="G450" s="563">
        <v>20000</v>
      </c>
      <c r="H450" s="87">
        <f t="shared" si="7"/>
        <v>0</v>
      </c>
      <c r="I450" s="509"/>
      <c r="J450" s="525"/>
      <c r="K450" s="398"/>
      <c r="L450" s="398"/>
      <c r="M450" s="398"/>
      <c r="N450" s="86"/>
    </row>
    <row r="451" spans="1:14" s="622" customFormat="1" ht="15.75" x14ac:dyDescent="0.25">
      <c r="A451" s="523">
        <v>447</v>
      </c>
      <c r="B451" s="523" t="s">
        <v>1011</v>
      </c>
      <c r="C451" s="555">
        <v>9777</v>
      </c>
      <c r="D451" s="563">
        <v>16500</v>
      </c>
      <c r="E451" s="87"/>
      <c r="F451" s="573">
        <v>183</v>
      </c>
      <c r="G451" s="563">
        <v>16500</v>
      </c>
      <c r="H451" s="87">
        <f t="shared" si="7"/>
        <v>0</v>
      </c>
      <c r="I451" s="509"/>
      <c r="J451" s="525"/>
      <c r="K451" s="398"/>
      <c r="L451" s="398"/>
      <c r="M451" s="398"/>
      <c r="N451" s="86"/>
    </row>
    <row r="452" spans="1:14" s="622" customFormat="1" ht="15.75" x14ac:dyDescent="0.25">
      <c r="A452" s="523">
        <v>448</v>
      </c>
      <c r="B452" s="523" t="s">
        <v>1011</v>
      </c>
      <c r="C452" s="555">
        <v>7444</v>
      </c>
      <c r="D452" s="563">
        <v>29000</v>
      </c>
      <c r="E452" s="87"/>
      <c r="F452" s="573">
        <v>323</v>
      </c>
      <c r="G452" s="563">
        <v>29000</v>
      </c>
      <c r="H452" s="87">
        <f t="shared" si="7"/>
        <v>0</v>
      </c>
      <c r="I452" s="509"/>
      <c r="J452" s="525"/>
      <c r="K452" s="398"/>
      <c r="L452" s="398"/>
      <c r="M452" s="398"/>
      <c r="N452" s="86"/>
    </row>
    <row r="453" spans="1:14" s="622" customFormat="1" ht="15.75" x14ac:dyDescent="0.25">
      <c r="A453" s="523">
        <v>449</v>
      </c>
      <c r="B453" s="523" t="s">
        <v>1011</v>
      </c>
      <c r="C453" s="555">
        <v>4744</v>
      </c>
      <c r="D453" s="563">
        <v>32000</v>
      </c>
      <c r="E453" s="87"/>
      <c r="F453" s="573">
        <v>334</v>
      </c>
      <c r="G453" s="563">
        <v>32000</v>
      </c>
      <c r="H453" s="87">
        <f t="shared" ref="H453:H516" si="8">D453-G453</f>
        <v>0</v>
      </c>
      <c r="I453" s="509"/>
      <c r="J453" s="525"/>
      <c r="K453" s="398"/>
      <c r="L453" s="398"/>
      <c r="M453" s="398"/>
      <c r="N453" s="86"/>
    </row>
    <row r="454" spans="1:14" s="622" customFormat="1" ht="15.75" x14ac:dyDescent="0.25">
      <c r="A454" s="523">
        <v>450</v>
      </c>
      <c r="B454" s="523" t="s">
        <v>1011</v>
      </c>
      <c r="C454" s="555">
        <v>1487</v>
      </c>
      <c r="D454" s="563">
        <v>25000</v>
      </c>
      <c r="E454" s="87"/>
      <c r="F454" s="573">
        <v>278</v>
      </c>
      <c r="G454" s="563">
        <v>25000</v>
      </c>
      <c r="H454" s="87">
        <f t="shared" si="8"/>
        <v>0</v>
      </c>
      <c r="I454" s="509"/>
      <c r="J454" s="525"/>
      <c r="K454" s="398"/>
      <c r="L454" s="398"/>
      <c r="M454" s="398"/>
      <c r="N454" s="86"/>
    </row>
    <row r="455" spans="1:14" s="622" customFormat="1" ht="15.75" x14ac:dyDescent="0.25">
      <c r="A455" s="523">
        <v>451</v>
      </c>
      <c r="B455" s="523" t="s">
        <v>1011</v>
      </c>
      <c r="C455" s="555">
        <v>7427</v>
      </c>
      <c r="D455" s="563">
        <v>25000</v>
      </c>
      <c r="E455" s="87"/>
      <c r="F455" s="573">
        <v>278</v>
      </c>
      <c r="G455" s="563">
        <v>25000</v>
      </c>
      <c r="H455" s="87">
        <f t="shared" si="8"/>
        <v>0</v>
      </c>
      <c r="I455" s="509"/>
      <c r="J455" s="525"/>
      <c r="K455" s="398"/>
      <c r="L455" s="398"/>
      <c r="M455" s="398"/>
      <c r="N455" s="86"/>
    </row>
    <row r="456" spans="1:14" s="622" customFormat="1" ht="15.75" x14ac:dyDescent="0.25">
      <c r="A456" s="523">
        <v>452</v>
      </c>
      <c r="B456" s="523" t="s">
        <v>1011</v>
      </c>
      <c r="C456" s="555">
        <v>5306</v>
      </c>
      <c r="D456" s="563">
        <v>20000</v>
      </c>
      <c r="E456" s="87"/>
      <c r="F456" s="573">
        <v>222</v>
      </c>
      <c r="G456" s="563">
        <v>20000</v>
      </c>
      <c r="H456" s="87">
        <f t="shared" si="8"/>
        <v>0</v>
      </c>
      <c r="I456" s="509"/>
      <c r="J456" s="525"/>
      <c r="K456" s="398"/>
      <c r="L456" s="398"/>
      <c r="M456" s="398"/>
      <c r="N456" s="86"/>
    </row>
    <row r="457" spans="1:14" s="622" customFormat="1" ht="15.75" x14ac:dyDescent="0.25">
      <c r="A457" s="523">
        <v>453</v>
      </c>
      <c r="B457" s="523" t="s">
        <v>1011</v>
      </c>
      <c r="C457" s="555">
        <v>3858</v>
      </c>
      <c r="D457" s="563">
        <v>20000</v>
      </c>
      <c r="E457" s="87"/>
      <c r="F457" s="573">
        <v>222</v>
      </c>
      <c r="G457" s="563">
        <v>20000</v>
      </c>
      <c r="H457" s="87">
        <f t="shared" si="8"/>
        <v>0</v>
      </c>
      <c r="I457" s="509"/>
      <c r="J457" s="525"/>
      <c r="K457" s="398"/>
      <c r="L457" s="398"/>
      <c r="M457" s="398"/>
      <c r="N457" s="86"/>
    </row>
    <row r="458" spans="1:14" s="622" customFormat="1" ht="15.75" x14ac:dyDescent="0.25">
      <c r="A458" s="523">
        <v>454</v>
      </c>
      <c r="B458" s="523" t="s">
        <v>1011</v>
      </c>
      <c r="C458" s="555">
        <v>2004</v>
      </c>
      <c r="D458" s="563">
        <v>20000</v>
      </c>
      <c r="E458" s="87"/>
      <c r="F458" s="573">
        <v>201</v>
      </c>
      <c r="G458" s="563">
        <v>20000</v>
      </c>
      <c r="H458" s="87">
        <f t="shared" si="8"/>
        <v>0</v>
      </c>
      <c r="I458" s="509"/>
      <c r="J458" s="525"/>
      <c r="K458" s="398"/>
      <c r="L458" s="398"/>
      <c r="M458" s="398"/>
      <c r="N458" s="86"/>
    </row>
    <row r="459" spans="1:14" s="622" customFormat="1" ht="15.75" x14ac:dyDescent="0.25">
      <c r="A459" s="523">
        <v>455</v>
      </c>
      <c r="B459" s="523" t="s">
        <v>1011</v>
      </c>
      <c r="C459" s="555">
        <v>1109</v>
      </c>
      <c r="D459" s="563">
        <v>28000</v>
      </c>
      <c r="E459" s="87"/>
      <c r="F459" s="573">
        <v>297</v>
      </c>
      <c r="G459" s="563">
        <v>28000</v>
      </c>
      <c r="H459" s="87">
        <f t="shared" si="8"/>
        <v>0</v>
      </c>
      <c r="I459" s="509"/>
      <c r="J459" s="525"/>
      <c r="K459" s="398"/>
      <c r="L459" s="398"/>
      <c r="M459" s="398"/>
      <c r="N459" s="86"/>
    </row>
    <row r="460" spans="1:14" s="622" customFormat="1" ht="15.75" x14ac:dyDescent="0.25">
      <c r="A460" s="523">
        <v>456</v>
      </c>
      <c r="B460" s="523" t="s">
        <v>1011</v>
      </c>
      <c r="C460" s="555">
        <v>5626</v>
      </c>
      <c r="D460" s="563">
        <v>28000</v>
      </c>
      <c r="E460" s="87"/>
      <c r="F460" s="573">
        <v>286</v>
      </c>
      <c r="G460" s="563">
        <v>28000</v>
      </c>
      <c r="H460" s="87">
        <f t="shared" si="8"/>
        <v>0</v>
      </c>
      <c r="I460" s="509"/>
      <c r="J460" s="525"/>
      <c r="K460" s="398"/>
      <c r="L460" s="398"/>
      <c r="M460" s="398"/>
      <c r="N460" s="86"/>
    </row>
    <row r="461" spans="1:14" s="622" customFormat="1" ht="15.75" x14ac:dyDescent="0.25">
      <c r="A461" s="523">
        <v>457</v>
      </c>
      <c r="B461" s="523" t="s">
        <v>1011</v>
      </c>
      <c r="C461" s="555">
        <v>2320</v>
      </c>
      <c r="D461" s="563">
        <v>28000</v>
      </c>
      <c r="E461" s="87"/>
      <c r="F461" s="573">
        <v>289</v>
      </c>
      <c r="G461" s="563">
        <v>28000</v>
      </c>
      <c r="H461" s="87">
        <f t="shared" si="8"/>
        <v>0</v>
      </c>
      <c r="I461" s="509"/>
      <c r="J461" s="525"/>
      <c r="K461" s="398"/>
      <c r="L461" s="398"/>
      <c r="M461" s="398"/>
      <c r="N461" s="86"/>
    </row>
    <row r="462" spans="1:14" s="622" customFormat="1" ht="15.75" x14ac:dyDescent="0.25">
      <c r="A462" s="523">
        <v>458</v>
      </c>
      <c r="B462" s="523" t="s">
        <v>1011</v>
      </c>
      <c r="C462" s="607" t="s">
        <v>906</v>
      </c>
      <c r="D462" s="563">
        <v>23000</v>
      </c>
      <c r="E462" s="87"/>
      <c r="F462" s="573">
        <v>256</v>
      </c>
      <c r="G462" s="563">
        <v>23000</v>
      </c>
      <c r="H462" s="87">
        <f t="shared" si="8"/>
        <v>0</v>
      </c>
      <c r="I462" s="509"/>
      <c r="J462" s="525"/>
      <c r="K462" s="398"/>
      <c r="L462" s="398"/>
      <c r="M462" s="398"/>
      <c r="N462" s="86"/>
    </row>
    <row r="463" spans="1:14" s="622" customFormat="1" ht="15.75" x14ac:dyDescent="0.25">
      <c r="A463" s="523">
        <v>459</v>
      </c>
      <c r="B463" s="523" t="s">
        <v>1011</v>
      </c>
      <c r="C463" s="555">
        <v>5271</v>
      </c>
      <c r="D463" s="563">
        <v>23000</v>
      </c>
      <c r="E463" s="87"/>
      <c r="F463" s="573">
        <v>249</v>
      </c>
      <c r="G463" s="563">
        <v>23000</v>
      </c>
      <c r="H463" s="87">
        <f t="shared" si="8"/>
        <v>0</v>
      </c>
      <c r="I463" s="509"/>
      <c r="J463" s="525"/>
      <c r="K463" s="398"/>
      <c r="L463" s="398"/>
      <c r="M463" s="398"/>
      <c r="N463" s="86"/>
    </row>
    <row r="464" spans="1:14" s="622" customFormat="1" ht="15.75" x14ac:dyDescent="0.25">
      <c r="A464" s="523">
        <v>460</v>
      </c>
      <c r="B464" s="523" t="s">
        <v>1011</v>
      </c>
      <c r="C464" s="555">
        <v>5184</v>
      </c>
      <c r="D464" s="563">
        <v>30000</v>
      </c>
      <c r="E464" s="87"/>
      <c r="F464" s="573">
        <v>326</v>
      </c>
      <c r="G464" s="563">
        <v>30000</v>
      </c>
      <c r="H464" s="87">
        <f t="shared" si="8"/>
        <v>0</v>
      </c>
      <c r="I464" s="509"/>
      <c r="J464" s="525"/>
      <c r="K464" s="398"/>
      <c r="L464" s="398"/>
      <c r="M464" s="398"/>
      <c r="N464" s="86"/>
    </row>
    <row r="465" spans="1:14" s="622" customFormat="1" ht="15.75" x14ac:dyDescent="0.25">
      <c r="A465" s="523">
        <v>461</v>
      </c>
      <c r="B465" s="523" t="s">
        <v>1012</v>
      </c>
      <c r="C465" s="607" t="s">
        <v>890</v>
      </c>
      <c r="D465" s="563">
        <v>14000</v>
      </c>
      <c r="E465" s="87"/>
      <c r="F465" s="573">
        <v>155</v>
      </c>
      <c r="G465" s="563">
        <v>14000</v>
      </c>
      <c r="H465" s="87">
        <f t="shared" si="8"/>
        <v>0</v>
      </c>
      <c r="I465" s="509"/>
      <c r="J465" s="525"/>
      <c r="K465" s="398"/>
      <c r="L465" s="398"/>
      <c r="M465" s="398"/>
      <c r="N465" s="86"/>
    </row>
    <row r="466" spans="1:14" s="622" customFormat="1" ht="15.75" x14ac:dyDescent="0.25">
      <c r="A466" s="523">
        <v>462</v>
      </c>
      <c r="B466" s="523" t="s">
        <v>1012</v>
      </c>
      <c r="C466" s="555">
        <v>6133</v>
      </c>
      <c r="D466" s="563">
        <v>15000</v>
      </c>
      <c r="E466" s="87"/>
      <c r="F466" s="573">
        <v>167</v>
      </c>
      <c r="G466" s="563">
        <v>15000</v>
      </c>
      <c r="H466" s="87">
        <f t="shared" si="8"/>
        <v>0</v>
      </c>
      <c r="I466" s="509"/>
      <c r="J466" s="525"/>
      <c r="K466" s="398"/>
      <c r="L466" s="398"/>
      <c r="M466" s="398"/>
      <c r="N466" s="86"/>
    </row>
    <row r="467" spans="1:14" s="622" customFormat="1" ht="15.75" x14ac:dyDescent="0.25">
      <c r="A467" s="523">
        <v>463</v>
      </c>
      <c r="B467" s="523" t="s">
        <v>1012</v>
      </c>
      <c r="C467" s="555" t="s">
        <v>30</v>
      </c>
      <c r="D467" s="563">
        <v>5000</v>
      </c>
      <c r="E467" s="87"/>
      <c r="F467" s="573">
        <v>55</v>
      </c>
      <c r="G467" s="563">
        <v>5000</v>
      </c>
      <c r="H467" s="87">
        <f t="shared" si="8"/>
        <v>0</v>
      </c>
      <c r="I467" s="509"/>
      <c r="J467" s="525"/>
      <c r="K467" s="398"/>
      <c r="L467" s="398"/>
      <c r="M467" s="398"/>
      <c r="N467" s="86"/>
    </row>
    <row r="468" spans="1:14" s="622" customFormat="1" ht="15.75" x14ac:dyDescent="0.25">
      <c r="A468" s="523">
        <v>464</v>
      </c>
      <c r="B468" s="523" t="s">
        <v>1012</v>
      </c>
      <c r="C468" s="555">
        <v>3425</v>
      </c>
      <c r="D468" s="563">
        <v>20000</v>
      </c>
      <c r="E468" s="87"/>
      <c r="F468" s="573">
        <v>222</v>
      </c>
      <c r="G468" s="563">
        <v>20000</v>
      </c>
      <c r="H468" s="87">
        <f t="shared" si="8"/>
        <v>0</v>
      </c>
      <c r="I468" s="509"/>
      <c r="J468" s="525"/>
      <c r="K468" s="398"/>
      <c r="L468" s="398"/>
      <c r="M468" s="398"/>
      <c r="N468" s="86"/>
    </row>
    <row r="469" spans="1:14" s="622" customFormat="1" ht="15.75" x14ac:dyDescent="0.25">
      <c r="A469" s="523">
        <v>465</v>
      </c>
      <c r="B469" s="523" t="s">
        <v>1012</v>
      </c>
      <c r="C469" s="555">
        <v>9739</v>
      </c>
      <c r="D469" s="563">
        <v>20000</v>
      </c>
      <c r="E469" s="87"/>
      <c r="F469" s="573">
        <v>222</v>
      </c>
      <c r="G469" s="563">
        <v>20000</v>
      </c>
      <c r="H469" s="87">
        <f t="shared" si="8"/>
        <v>0</v>
      </c>
      <c r="I469" s="509"/>
      <c r="J469" s="525"/>
      <c r="K469" s="398"/>
      <c r="L469" s="398"/>
      <c r="M469" s="398"/>
      <c r="N469" s="86"/>
    </row>
    <row r="470" spans="1:14" s="622" customFormat="1" ht="15.75" x14ac:dyDescent="0.25">
      <c r="A470" s="523">
        <v>466</v>
      </c>
      <c r="B470" s="523" t="s">
        <v>1012</v>
      </c>
      <c r="C470" s="555">
        <v>5921</v>
      </c>
      <c r="D470" s="563">
        <v>26325</v>
      </c>
      <c r="E470" s="87"/>
      <c r="F470" s="573">
        <v>293</v>
      </c>
      <c r="G470" s="563">
        <v>26325</v>
      </c>
      <c r="H470" s="87">
        <f t="shared" si="8"/>
        <v>0</v>
      </c>
      <c r="I470" s="509"/>
      <c r="J470" s="525"/>
      <c r="K470" s="398"/>
      <c r="L470" s="398"/>
      <c r="M470" s="398"/>
      <c r="N470" s="86"/>
    </row>
    <row r="471" spans="1:14" s="622" customFormat="1" ht="15.75" x14ac:dyDescent="0.25">
      <c r="A471" s="523">
        <v>467</v>
      </c>
      <c r="B471" s="523" t="s">
        <v>1012</v>
      </c>
      <c r="C471" s="555">
        <v>5748</v>
      </c>
      <c r="D471" s="563">
        <v>20000</v>
      </c>
      <c r="E471" s="87"/>
      <c r="F471" s="573">
        <v>222</v>
      </c>
      <c r="G471" s="563">
        <v>20000</v>
      </c>
      <c r="H471" s="87">
        <f t="shared" si="8"/>
        <v>0</v>
      </c>
      <c r="I471" s="509"/>
      <c r="J471" s="525"/>
      <c r="K471" s="398"/>
      <c r="L471" s="398"/>
      <c r="M471" s="398"/>
      <c r="N471" s="86"/>
    </row>
    <row r="472" spans="1:14" s="622" customFormat="1" ht="15.75" x14ac:dyDescent="0.25">
      <c r="A472" s="523">
        <v>468</v>
      </c>
      <c r="B472" s="523" t="s">
        <v>1012</v>
      </c>
      <c r="C472" s="555">
        <v>7528</v>
      </c>
      <c r="D472" s="563">
        <v>18000</v>
      </c>
      <c r="E472" s="87"/>
      <c r="F472" s="573">
        <v>200</v>
      </c>
      <c r="G472" s="563">
        <v>18000</v>
      </c>
      <c r="H472" s="87">
        <f t="shared" si="8"/>
        <v>0</v>
      </c>
      <c r="I472" s="509"/>
      <c r="J472" s="525"/>
      <c r="K472" s="398"/>
      <c r="L472" s="398"/>
      <c r="M472" s="398"/>
      <c r="N472" s="86"/>
    </row>
    <row r="473" spans="1:14" s="622" customFormat="1" ht="15.75" x14ac:dyDescent="0.25">
      <c r="A473" s="523">
        <v>469</v>
      </c>
      <c r="B473" s="523" t="s">
        <v>1012</v>
      </c>
      <c r="C473" s="555">
        <v>2711</v>
      </c>
      <c r="D473" s="563">
        <v>20000</v>
      </c>
      <c r="E473" s="87"/>
      <c r="F473" s="573">
        <v>222</v>
      </c>
      <c r="G473" s="563">
        <v>20000</v>
      </c>
      <c r="H473" s="87">
        <f t="shared" si="8"/>
        <v>0</v>
      </c>
      <c r="I473" s="509"/>
      <c r="J473" s="525"/>
      <c r="K473" s="398"/>
      <c r="L473" s="398"/>
      <c r="M473" s="398"/>
      <c r="N473" s="86"/>
    </row>
    <row r="474" spans="1:14" s="622" customFormat="1" ht="15.75" x14ac:dyDescent="0.25">
      <c r="A474" s="523">
        <v>470</v>
      </c>
      <c r="B474" s="523" t="s">
        <v>1012</v>
      </c>
      <c r="C474" s="555">
        <v>4176</v>
      </c>
      <c r="D474" s="563">
        <v>18000</v>
      </c>
      <c r="E474" s="87"/>
      <c r="F474" s="573">
        <v>200</v>
      </c>
      <c r="G474" s="563">
        <v>18000</v>
      </c>
      <c r="H474" s="87">
        <f t="shared" si="8"/>
        <v>0</v>
      </c>
      <c r="I474" s="509"/>
      <c r="J474" s="525"/>
      <c r="K474" s="398"/>
      <c r="L474" s="398"/>
      <c r="M474" s="398"/>
      <c r="N474" s="86"/>
    </row>
    <row r="475" spans="1:14" s="622" customFormat="1" ht="15.75" x14ac:dyDescent="0.25">
      <c r="A475" s="523">
        <v>471</v>
      </c>
      <c r="B475" s="523" t="s">
        <v>1012</v>
      </c>
      <c r="C475" s="607" t="s">
        <v>936</v>
      </c>
      <c r="D475" s="563">
        <v>20000</v>
      </c>
      <c r="E475" s="87"/>
      <c r="F475" s="573">
        <v>222</v>
      </c>
      <c r="G475" s="563">
        <v>20000</v>
      </c>
      <c r="H475" s="87">
        <f t="shared" si="8"/>
        <v>0</v>
      </c>
      <c r="I475" s="509"/>
      <c r="J475" s="525"/>
      <c r="K475" s="398"/>
      <c r="L475" s="398"/>
      <c r="M475" s="398"/>
      <c r="N475" s="86"/>
    </row>
    <row r="476" spans="1:14" s="622" customFormat="1" ht="15.75" x14ac:dyDescent="0.25">
      <c r="A476" s="523">
        <v>472</v>
      </c>
      <c r="B476" s="523" t="s">
        <v>1012</v>
      </c>
      <c r="C476" s="555">
        <v>5443</v>
      </c>
      <c r="D476" s="563">
        <v>20000</v>
      </c>
      <c r="E476" s="87"/>
      <c r="F476" s="573">
        <v>222</v>
      </c>
      <c r="G476" s="563">
        <v>20000</v>
      </c>
      <c r="H476" s="87">
        <f t="shared" si="8"/>
        <v>0</v>
      </c>
      <c r="I476" s="509"/>
      <c r="J476" s="525"/>
      <c r="K476" s="398"/>
      <c r="L476" s="398"/>
      <c r="M476" s="398"/>
      <c r="N476" s="86"/>
    </row>
    <row r="477" spans="1:14" s="622" customFormat="1" ht="15.75" x14ac:dyDescent="0.25">
      <c r="A477" s="523">
        <v>473</v>
      </c>
      <c r="B477" s="523" t="s">
        <v>1012</v>
      </c>
      <c r="C477" s="555">
        <v>6311</v>
      </c>
      <c r="D477" s="563">
        <v>22000</v>
      </c>
      <c r="E477" s="87"/>
      <c r="F477" s="573">
        <v>245</v>
      </c>
      <c r="G477" s="563">
        <v>22000</v>
      </c>
      <c r="H477" s="87">
        <f t="shared" si="8"/>
        <v>0</v>
      </c>
      <c r="I477" s="509"/>
      <c r="J477" s="525"/>
      <c r="K477" s="398"/>
      <c r="L477" s="398"/>
      <c r="M477" s="398"/>
      <c r="N477" s="86"/>
    </row>
    <row r="478" spans="1:14" s="622" customFormat="1" ht="15.75" x14ac:dyDescent="0.25">
      <c r="A478" s="523">
        <v>474</v>
      </c>
      <c r="B478" s="523" t="s">
        <v>1012</v>
      </c>
      <c r="C478" s="607" t="s">
        <v>861</v>
      </c>
      <c r="D478" s="563">
        <v>16000</v>
      </c>
      <c r="E478" s="87"/>
      <c r="F478" s="573">
        <v>178</v>
      </c>
      <c r="G478" s="563">
        <v>16000</v>
      </c>
      <c r="H478" s="87">
        <f t="shared" si="8"/>
        <v>0</v>
      </c>
      <c r="I478" s="509"/>
      <c r="J478" s="525"/>
      <c r="K478" s="398"/>
      <c r="L478" s="398"/>
      <c r="M478" s="398"/>
      <c r="N478" s="86"/>
    </row>
    <row r="479" spans="1:14" s="622" customFormat="1" ht="15.75" x14ac:dyDescent="0.25">
      <c r="A479" s="523">
        <v>475</v>
      </c>
      <c r="B479" s="523" t="s">
        <v>1012</v>
      </c>
      <c r="C479" s="555" t="s">
        <v>66</v>
      </c>
      <c r="D479" s="563">
        <v>100</v>
      </c>
      <c r="E479" s="87"/>
      <c r="F479" s="573">
        <v>1.0900000000000001</v>
      </c>
      <c r="G479" s="563">
        <v>100</v>
      </c>
      <c r="H479" s="87">
        <f t="shared" si="8"/>
        <v>0</v>
      </c>
      <c r="I479" s="509"/>
      <c r="J479" s="525"/>
      <c r="K479" s="398"/>
      <c r="L479" s="398"/>
      <c r="M479" s="398"/>
      <c r="N479" s="86"/>
    </row>
    <row r="480" spans="1:14" s="622" customFormat="1" ht="15.75" x14ac:dyDescent="0.25">
      <c r="A480" s="523">
        <v>476</v>
      </c>
      <c r="B480" s="523" t="s">
        <v>1012</v>
      </c>
      <c r="C480" s="555">
        <v>2744</v>
      </c>
      <c r="D480" s="563">
        <v>25000</v>
      </c>
      <c r="E480" s="87"/>
      <c r="F480" s="573">
        <v>278</v>
      </c>
      <c r="G480" s="563">
        <v>25000</v>
      </c>
      <c r="H480" s="87">
        <f t="shared" si="8"/>
        <v>0</v>
      </c>
      <c r="I480" s="509"/>
      <c r="J480" s="525"/>
      <c r="K480" s="398"/>
      <c r="L480" s="398"/>
      <c r="M480" s="398"/>
      <c r="N480" s="86"/>
    </row>
    <row r="481" spans="1:14" s="622" customFormat="1" ht="15.75" x14ac:dyDescent="0.25">
      <c r="A481" s="523">
        <v>477</v>
      </c>
      <c r="B481" s="523" t="s">
        <v>1012</v>
      </c>
      <c r="C481" s="555">
        <v>4744</v>
      </c>
      <c r="D481" s="563">
        <v>30000</v>
      </c>
      <c r="E481" s="87"/>
      <c r="F481" s="573">
        <v>334</v>
      </c>
      <c r="G481" s="563">
        <v>30000</v>
      </c>
      <c r="H481" s="87">
        <f t="shared" si="8"/>
        <v>0</v>
      </c>
      <c r="I481" s="509"/>
      <c r="J481" s="525"/>
      <c r="K481" s="398"/>
      <c r="L481" s="398"/>
      <c r="M481" s="398"/>
      <c r="N481" s="86"/>
    </row>
    <row r="482" spans="1:14" s="622" customFormat="1" ht="15.75" x14ac:dyDescent="0.25">
      <c r="A482" s="523">
        <v>478</v>
      </c>
      <c r="B482" s="523" t="s">
        <v>1012</v>
      </c>
      <c r="C482" s="555">
        <v>3097</v>
      </c>
      <c r="D482" s="563">
        <v>6000</v>
      </c>
      <c r="E482" s="87"/>
      <c r="F482" s="573">
        <v>66</v>
      </c>
      <c r="G482" s="563">
        <v>6000</v>
      </c>
      <c r="H482" s="87">
        <f t="shared" si="8"/>
        <v>0</v>
      </c>
      <c r="I482" s="509"/>
      <c r="J482" s="525"/>
      <c r="K482" s="398"/>
      <c r="L482" s="398"/>
      <c r="M482" s="398"/>
      <c r="N482" s="86"/>
    </row>
    <row r="483" spans="1:14" s="622" customFormat="1" ht="15.75" x14ac:dyDescent="0.25">
      <c r="A483" s="523">
        <v>479</v>
      </c>
      <c r="B483" s="523" t="s">
        <v>1012</v>
      </c>
      <c r="C483" s="555">
        <v>5385</v>
      </c>
      <c r="D483" s="563">
        <v>20000</v>
      </c>
      <c r="E483" s="87"/>
      <c r="F483" s="573">
        <v>222</v>
      </c>
      <c r="G483" s="563">
        <v>20000</v>
      </c>
      <c r="H483" s="87">
        <f t="shared" si="8"/>
        <v>0</v>
      </c>
      <c r="I483" s="509"/>
      <c r="J483" s="525"/>
      <c r="K483" s="398"/>
      <c r="L483" s="398"/>
      <c r="M483" s="398"/>
      <c r="N483" s="86"/>
    </row>
    <row r="484" spans="1:14" s="622" customFormat="1" ht="15.75" x14ac:dyDescent="0.25">
      <c r="A484" s="523">
        <v>480</v>
      </c>
      <c r="B484" s="523" t="s">
        <v>1012</v>
      </c>
      <c r="C484" s="555">
        <v>9832</v>
      </c>
      <c r="D484" s="563">
        <v>22000</v>
      </c>
      <c r="E484" s="87"/>
      <c r="F484" s="573">
        <v>245</v>
      </c>
      <c r="G484" s="563">
        <v>22000</v>
      </c>
      <c r="H484" s="87">
        <f t="shared" si="8"/>
        <v>0</v>
      </c>
      <c r="I484" s="509"/>
      <c r="J484" s="525"/>
      <c r="K484" s="398"/>
      <c r="L484" s="398"/>
      <c r="M484" s="398"/>
      <c r="N484" s="86"/>
    </row>
    <row r="485" spans="1:14" s="622" customFormat="1" ht="15.75" x14ac:dyDescent="0.25">
      <c r="A485" s="523">
        <v>481</v>
      </c>
      <c r="B485" s="523" t="s">
        <v>1012</v>
      </c>
      <c r="C485" s="555">
        <v>8277</v>
      </c>
      <c r="D485" s="563">
        <v>27000</v>
      </c>
      <c r="E485" s="87"/>
      <c r="F485" s="573">
        <v>300</v>
      </c>
      <c r="G485" s="563">
        <v>27000</v>
      </c>
      <c r="H485" s="87">
        <f t="shared" si="8"/>
        <v>0</v>
      </c>
      <c r="I485" s="509"/>
      <c r="J485" s="525"/>
      <c r="K485" s="398"/>
      <c r="L485" s="398"/>
      <c r="M485" s="398"/>
      <c r="N485" s="86"/>
    </row>
    <row r="486" spans="1:14" s="622" customFormat="1" ht="15.75" x14ac:dyDescent="0.25">
      <c r="A486" s="523">
        <v>482</v>
      </c>
      <c r="B486" s="523" t="s">
        <v>1012</v>
      </c>
      <c r="C486" s="555">
        <v>1477</v>
      </c>
      <c r="D486" s="563">
        <v>27000</v>
      </c>
      <c r="E486" s="87"/>
      <c r="F486" s="573">
        <v>300</v>
      </c>
      <c r="G486" s="563">
        <v>27000</v>
      </c>
      <c r="H486" s="87">
        <f t="shared" si="8"/>
        <v>0</v>
      </c>
      <c r="I486" s="509"/>
      <c r="J486" s="525"/>
      <c r="K486" s="398"/>
      <c r="L486" s="398"/>
      <c r="M486" s="398"/>
      <c r="N486" s="86"/>
    </row>
    <row r="487" spans="1:14" s="622" customFormat="1" ht="15.75" x14ac:dyDescent="0.25">
      <c r="A487" s="523">
        <v>483</v>
      </c>
      <c r="B487" s="523" t="s">
        <v>1012</v>
      </c>
      <c r="C487" s="607" t="s">
        <v>1014</v>
      </c>
      <c r="D487" s="563">
        <v>15000</v>
      </c>
      <c r="E487" s="87"/>
      <c r="F487" s="573">
        <v>167</v>
      </c>
      <c r="G487" s="563">
        <v>15000</v>
      </c>
      <c r="H487" s="87">
        <f t="shared" si="8"/>
        <v>0</v>
      </c>
      <c r="I487" s="509"/>
      <c r="J487" s="525"/>
      <c r="K487" s="398"/>
      <c r="L487" s="398"/>
      <c r="M487" s="398"/>
      <c r="N487" s="86"/>
    </row>
    <row r="488" spans="1:14" s="622" customFormat="1" ht="15.75" x14ac:dyDescent="0.25">
      <c r="A488" s="523">
        <v>484</v>
      </c>
      <c r="B488" s="523" t="s">
        <v>1015</v>
      </c>
      <c r="C488" s="607" t="s">
        <v>30</v>
      </c>
      <c r="D488" s="563">
        <v>5000</v>
      </c>
      <c r="E488" s="87"/>
      <c r="F488" s="573">
        <v>55</v>
      </c>
      <c r="G488" s="563">
        <v>5000</v>
      </c>
      <c r="H488" s="87">
        <f t="shared" si="8"/>
        <v>0</v>
      </c>
      <c r="I488" s="509"/>
      <c r="J488" s="525"/>
      <c r="K488" s="398"/>
      <c r="L488" s="398"/>
      <c r="M488" s="398"/>
      <c r="N488" s="86"/>
    </row>
    <row r="489" spans="1:14" s="622" customFormat="1" ht="15.75" x14ac:dyDescent="0.25">
      <c r="A489" s="523">
        <v>485</v>
      </c>
      <c r="B489" s="523" t="s">
        <v>1015</v>
      </c>
      <c r="C489" s="607" t="s">
        <v>1016</v>
      </c>
      <c r="D489" s="563">
        <v>16000</v>
      </c>
      <c r="E489" s="87"/>
      <c r="F489" s="573">
        <v>178</v>
      </c>
      <c r="G489" s="563">
        <v>16000</v>
      </c>
      <c r="H489" s="87">
        <f t="shared" si="8"/>
        <v>0</v>
      </c>
      <c r="I489" s="509"/>
      <c r="J489" s="525"/>
      <c r="K489" s="398"/>
      <c r="L489" s="398"/>
      <c r="M489" s="398"/>
      <c r="N489" s="86"/>
    </row>
    <row r="490" spans="1:14" s="622" customFormat="1" ht="15.75" x14ac:dyDescent="0.25">
      <c r="A490" s="523">
        <v>486</v>
      </c>
      <c r="B490" s="523" t="s">
        <v>1015</v>
      </c>
      <c r="C490" s="607" t="s">
        <v>1017</v>
      </c>
      <c r="D490" s="563">
        <v>24000</v>
      </c>
      <c r="E490" s="87"/>
      <c r="F490" s="573">
        <v>260</v>
      </c>
      <c r="G490" s="563">
        <v>24000</v>
      </c>
      <c r="H490" s="87">
        <f t="shared" si="8"/>
        <v>0</v>
      </c>
      <c r="I490" s="509"/>
      <c r="J490" s="525"/>
      <c r="K490" s="398"/>
      <c r="L490" s="398"/>
      <c r="M490" s="398"/>
      <c r="N490" s="86"/>
    </row>
    <row r="491" spans="1:14" s="623" customFormat="1" ht="15.75" x14ac:dyDescent="0.25">
      <c r="A491" s="523">
        <v>487</v>
      </c>
      <c r="B491" s="523" t="s">
        <v>1015</v>
      </c>
      <c r="C491" s="555" t="s">
        <v>1019</v>
      </c>
      <c r="D491" s="563">
        <v>250</v>
      </c>
      <c r="E491" s="87"/>
      <c r="F491" s="573"/>
      <c r="G491" s="573">
        <v>250</v>
      </c>
      <c r="H491" s="87">
        <f t="shared" si="8"/>
        <v>0</v>
      </c>
      <c r="I491" s="509"/>
      <c r="J491" s="525"/>
      <c r="K491" s="398"/>
      <c r="L491" s="398"/>
      <c r="M491" s="398"/>
      <c r="N491" s="86"/>
    </row>
    <row r="492" spans="1:14" s="623" customFormat="1" ht="15.75" x14ac:dyDescent="0.25">
      <c r="A492" s="523">
        <v>488</v>
      </c>
      <c r="B492" s="523" t="s">
        <v>1013</v>
      </c>
      <c r="C492" s="555">
        <v>3665</v>
      </c>
      <c r="D492" s="563">
        <v>17000</v>
      </c>
      <c r="E492" s="87"/>
      <c r="F492" s="573">
        <v>189</v>
      </c>
      <c r="G492" s="563">
        <v>17000</v>
      </c>
      <c r="H492" s="87">
        <f t="shared" si="8"/>
        <v>0</v>
      </c>
      <c r="I492" s="509"/>
      <c r="J492" s="525"/>
      <c r="K492" s="398"/>
      <c r="L492" s="398"/>
      <c r="M492" s="398"/>
      <c r="N492" s="86"/>
    </row>
    <row r="493" spans="1:14" s="623" customFormat="1" ht="15.75" x14ac:dyDescent="0.25">
      <c r="A493" s="523">
        <v>489</v>
      </c>
      <c r="B493" s="523" t="s">
        <v>1013</v>
      </c>
      <c r="C493" s="555">
        <v>9655</v>
      </c>
      <c r="D493" s="563">
        <v>15000</v>
      </c>
      <c r="E493" s="87"/>
      <c r="F493" s="573">
        <v>167</v>
      </c>
      <c r="G493" s="563">
        <v>15000</v>
      </c>
      <c r="H493" s="87">
        <f t="shared" si="8"/>
        <v>0</v>
      </c>
      <c r="I493" s="509"/>
      <c r="J493" s="525"/>
      <c r="K493" s="398"/>
      <c r="L493" s="398"/>
      <c r="M493" s="398"/>
      <c r="N493" s="86"/>
    </row>
    <row r="494" spans="1:14" s="623" customFormat="1" ht="15.75" x14ac:dyDescent="0.25">
      <c r="A494" s="523">
        <v>490</v>
      </c>
      <c r="B494" s="523" t="s">
        <v>1013</v>
      </c>
      <c r="C494" s="555" t="s">
        <v>30</v>
      </c>
      <c r="D494" s="563">
        <v>10000</v>
      </c>
      <c r="E494" s="87"/>
      <c r="F494" s="573">
        <v>111</v>
      </c>
      <c r="G494" s="563">
        <v>10000</v>
      </c>
      <c r="H494" s="87">
        <f t="shared" si="8"/>
        <v>0</v>
      </c>
      <c r="I494" s="509"/>
      <c r="J494" s="525"/>
      <c r="K494" s="398"/>
      <c r="L494" s="398"/>
      <c r="M494" s="398"/>
      <c r="N494" s="86"/>
    </row>
    <row r="495" spans="1:14" s="623" customFormat="1" ht="15.75" x14ac:dyDescent="0.25">
      <c r="A495" s="523">
        <v>491</v>
      </c>
      <c r="B495" s="523" t="s">
        <v>1013</v>
      </c>
      <c r="C495" s="555" t="s">
        <v>30</v>
      </c>
      <c r="D495" s="563">
        <v>4500</v>
      </c>
      <c r="E495" s="87"/>
      <c r="F495" s="573">
        <v>50</v>
      </c>
      <c r="G495" s="563">
        <v>4500</v>
      </c>
      <c r="H495" s="87">
        <f t="shared" si="8"/>
        <v>0</v>
      </c>
      <c r="I495" s="509"/>
      <c r="J495" s="525"/>
      <c r="K495" s="398"/>
      <c r="L495" s="398"/>
      <c r="M495" s="398"/>
      <c r="N495" s="86"/>
    </row>
    <row r="496" spans="1:14" s="623" customFormat="1" ht="15.75" x14ac:dyDescent="0.25">
      <c r="A496" s="523">
        <v>492</v>
      </c>
      <c r="B496" s="523" t="s">
        <v>1013</v>
      </c>
      <c r="C496" s="555">
        <v>6133</v>
      </c>
      <c r="D496" s="563">
        <v>15000</v>
      </c>
      <c r="E496" s="87"/>
      <c r="F496" s="573">
        <v>167</v>
      </c>
      <c r="G496" s="563">
        <v>15000</v>
      </c>
      <c r="H496" s="87">
        <f t="shared" si="8"/>
        <v>0</v>
      </c>
      <c r="I496" s="509"/>
      <c r="J496" s="525"/>
      <c r="K496" s="398"/>
      <c r="L496" s="398"/>
      <c r="M496" s="398"/>
      <c r="N496" s="86"/>
    </row>
    <row r="497" spans="1:14" s="623" customFormat="1" ht="15.75" x14ac:dyDescent="0.25">
      <c r="A497" s="523">
        <v>493</v>
      </c>
      <c r="B497" s="523" t="s">
        <v>1013</v>
      </c>
      <c r="C497" s="555">
        <v>9555</v>
      </c>
      <c r="D497" s="563">
        <v>15000</v>
      </c>
      <c r="E497" s="87"/>
      <c r="F497" s="573">
        <v>167</v>
      </c>
      <c r="G497" s="563">
        <v>15000</v>
      </c>
      <c r="H497" s="87">
        <f t="shared" si="8"/>
        <v>0</v>
      </c>
      <c r="I497" s="509"/>
      <c r="J497" s="525"/>
      <c r="K497" s="398"/>
      <c r="L497" s="398"/>
      <c r="M497" s="398"/>
      <c r="N497" s="86"/>
    </row>
    <row r="498" spans="1:14" s="623" customFormat="1" ht="15.75" x14ac:dyDescent="0.25">
      <c r="A498" s="523">
        <v>494</v>
      </c>
      <c r="B498" s="523" t="s">
        <v>1013</v>
      </c>
      <c r="C498" s="555">
        <v>9755</v>
      </c>
      <c r="D498" s="563">
        <v>15000</v>
      </c>
      <c r="E498" s="87"/>
      <c r="F498" s="573">
        <v>167</v>
      </c>
      <c r="G498" s="563">
        <v>15000</v>
      </c>
      <c r="H498" s="87">
        <f t="shared" si="8"/>
        <v>0</v>
      </c>
      <c r="I498" s="509"/>
      <c r="J498" s="525"/>
      <c r="K498" s="398"/>
      <c r="L498" s="398"/>
      <c r="M498" s="398"/>
      <c r="N498" s="86"/>
    </row>
    <row r="499" spans="1:14" s="623" customFormat="1" ht="15.75" x14ac:dyDescent="0.25">
      <c r="A499" s="523">
        <v>495</v>
      </c>
      <c r="B499" s="523" t="s">
        <v>1013</v>
      </c>
      <c r="C499" s="555">
        <v>5815</v>
      </c>
      <c r="D499" s="563">
        <v>33000</v>
      </c>
      <c r="E499" s="87"/>
      <c r="F499" s="573">
        <v>329</v>
      </c>
      <c r="G499" s="563">
        <v>33000</v>
      </c>
      <c r="H499" s="87">
        <f t="shared" si="8"/>
        <v>0</v>
      </c>
      <c r="I499" s="509"/>
      <c r="J499" s="525"/>
      <c r="K499" s="398"/>
      <c r="L499" s="398"/>
      <c r="M499" s="398"/>
      <c r="N499" s="86"/>
    </row>
    <row r="500" spans="1:14" s="623" customFormat="1" ht="15.75" x14ac:dyDescent="0.25">
      <c r="A500" s="523">
        <v>496</v>
      </c>
      <c r="B500" s="523" t="s">
        <v>1013</v>
      </c>
      <c r="C500" s="555">
        <v>8361</v>
      </c>
      <c r="D500" s="563">
        <v>30000</v>
      </c>
      <c r="E500" s="87"/>
      <c r="F500" s="573">
        <v>334</v>
      </c>
      <c r="G500" s="563">
        <v>30000</v>
      </c>
      <c r="H500" s="87">
        <f t="shared" si="8"/>
        <v>0</v>
      </c>
      <c r="I500" s="509"/>
      <c r="J500" s="525"/>
      <c r="K500" s="398"/>
      <c r="L500" s="398"/>
      <c r="M500" s="398"/>
      <c r="N500" s="86"/>
    </row>
    <row r="501" spans="1:14" s="623" customFormat="1" ht="15.75" x14ac:dyDescent="0.25">
      <c r="A501" s="523">
        <v>497</v>
      </c>
      <c r="B501" s="523" t="s">
        <v>1013</v>
      </c>
      <c r="C501" s="555">
        <v>2457</v>
      </c>
      <c r="D501" s="563">
        <v>10000</v>
      </c>
      <c r="E501" s="87"/>
      <c r="F501" s="573">
        <v>111</v>
      </c>
      <c r="G501" s="563">
        <v>10000</v>
      </c>
      <c r="H501" s="87">
        <f t="shared" si="8"/>
        <v>0</v>
      </c>
      <c r="I501" s="509"/>
      <c r="J501" s="525"/>
      <c r="K501" s="398"/>
      <c r="L501" s="398"/>
      <c r="M501" s="398"/>
      <c r="N501" s="86"/>
    </row>
    <row r="502" spans="1:14" s="623" customFormat="1" ht="15.75" x14ac:dyDescent="0.25">
      <c r="A502" s="523">
        <v>498</v>
      </c>
      <c r="B502" s="523" t="s">
        <v>1013</v>
      </c>
      <c r="C502" s="555">
        <v>2744</v>
      </c>
      <c r="D502" s="563">
        <v>24267</v>
      </c>
      <c r="E502" s="87"/>
      <c r="F502" s="573">
        <v>270</v>
      </c>
      <c r="G502" s="563">
        <v>24267</v>
      </c>
      <c r="H502" s="87">
        <f t="shared" si="8"/>
        <v>0</v>
      </c>
      <c r="I502" s="509"/>
      <c r="J502" s="525"/>
      <c r="K502" s="398"/>
      <c r="L502" s="398"/>
      <c r="M502" s="398"/>
      <c r="N502" s="86"/>
    </row>
    <row r="503" spans="1:14" s="623" customFormat="1" ht="15.75" x14ac:dyDescent="0.25">
      <c r="A503" s="523">
        <v>499</v>
      </c>
      <c r="B503" s="523" t="s">
        <v>1013</v>
      </c>
      <c r="C503" s="555">
        <v>9677</v>
      </c>
      <c r="D503" s="563">
        <v>30000</v>
      </c>
      <c r="E503" s="87"/>
      <c r="F503" s="573">
        <v>334</v>
      </c>
      <c r="G503" s="563">
        <v>30000</v>
      </c>
      <c r="H503" s="87">
        <f t="shared" si="8"/>
        <v>0</v>
      </c>
      <c r="I503" s="509"/>
      <c r="J503" s="525"/>
      <c r="K503" s="398"/>
      <c r="L503" s="398"/>
      <c r="M503" s="398"/>
      <c r="N503" s="86"/>
    </row>
    <row r="504" spans="1:14" s="623" customFormat="1" ht="15.75" x14ac:dyDescent="0.25">
      <c r="A504" s="523">
        <v>500</v>
      </c>
      <c r="B504" s="523" t="s">
        <v>1013</v>
      </c>
      <c r="C504" s="555">
        <v>5895</v>
      </c>
      <c r="D504" s="563">
        <v>16000</v>
      </c>
      <c r="E504" s="87"/>
      <c r="F504" s="573">
        <v>178</v>
      </c>
      <c r="G504" s="563">
        <v>16000</v>
      </c>
      <c r="H504" s="87">
        <f t="shared" si="8"/>
        <v>0</v>
      </c>
      <c r="I504" s="509"/>
      <c r="J504" s="525"/>
      <c r="K504" s="398"/>
      <c r="L504" s="398"/>
      <c r="M504" s="398"/>
      <c r="N504" s="86"/>
    </row>
    <row r="505" spans="1:14" s="623" customFormat="1" ht="15.75" x14ac:dyDescent="0.25">
      <c r="A505" s="523">
        <v>501</v>
      </c>
      <c r="B505" s="523" t="s">
        <v>1013</v>
      </c>
      <c r="C505" s="555">
        <v>4577</v>
      </c>
      <c r="D505" s="563">
        <v>30000</v>
      </c>
      <c r="E505" s="87"/>
      <c r="F505" s="573">
        <v>334</v>
      </c>
      <c r="G505" s="563">
        <v>30000</v>
      </c>
      <c r="H505" s="87">
        <f t="shared" si="8"/>
        <v>0</v>
      </c>
      <c r="I505" s="509"/>
      <c r="J505" s="525"/>
      <c r="K505" s="398"/>
      <c r="L505" s="398"/>
      <c r="M505" s="398"/>
      <c r="N505" s="86"/>
    </row>
    <row r="506" spans="1:14" s="624" customFormat="1" ht="15.75" x14ac:dyDescent="0.25">
      <c r="A506" s="523">
        <v>502</v>
      </c>
      <c r="B506" s="523" t="s">
        <v>1018</v>
      </c>
      <c r="C506" s="555" t="s">
        <v>30</v>
      </c>
      <c r="D506" s="563">
        <v>3500</v>
      </c>
      <c r="E506" s="87"/>
      <c r="F506" s="573">
        <v>38</v>
      </c>
      <c r="G506" s="563">
        <v>3500</v>
      </c>
      <c r="H506" s="87">
        <f t="shared" si="8"/>
        <v>0</v>
      </c>
      <c r="I506" s="509"/>
      <c r="J506" s="525"/>
      <c r="K506" s="398"/>
      <c r="L506" s="398"/>
      <c r="M506" s="398"/>
      <c r="N506" s="86"/>
    </row>
    <row r="507" spans="1:14" s="624" customFormat="1" ht="15.75" x14ac:dyDescent="0.25">
      <c r="A507" s="523">
        <v>503</v>
      </c>
      <c r="B507" s="523" t="s">
        <v>1018</v>
      </c>
      <c r="C507" s="555" t="s">
        <v>30</v>
      </c>
      <c r="D507" s="563">
        <v>5000</v>
      </c>
      <c r="E507" s="87"/>
      <c r="F507" s="573">
        <v>55</v>
      </c>
      <c r="G507" s="563">
        <v>5000</v>
      </c>
      <c r="H507" s="87">
        <f t="shared" si="8"/>
        <v>0</v>
      </c>
      <c r="I507" s="509"/>
      <c r="J507" s="525"/>
      <c r="K507" s="398"/>
      <c r="L507" s="398"/>
      <c r="M507" s="398"/>
      <c r="N507" s="86"/>
    </row>
    <row r="508" spans="1:14" s="624" customFormat="1" ht="15.75" x14ac:dyDescent="0.25">
      <c r="A508" s="523">
        <v>504</v>
      </c>
      <c r="B508" s="523" t="s">
        <v>1018</v>
      </c>
      <c r="C508" s="555">
        <v>1598</v>
      </c>
      <c r="D508" s="563">
        <v>22000</v>
      </c>
      <c r="E508" s="87"/>
      <c r="F508" s="573">
        <v>245</v>
      </c>
      <c r="G508" s="563">
        <v>22000</v>
      </c>
      <c r="H508" s="87">
        <f t="shared" si="8"/>
        <v>0</v>
      </c>
      <c r="I508" s="509"/>
      <c r="J508" s="525"/>
      <c r="K508" s="398"/>
      <c r="L508" s="398"/>
      <c r="M508" s="398"/>
      <c r="N508" s="86"/>
    </row>
    <row r="509" spans="1:14" s="624" customFormat="1" ht="15.75" x14ac:dyDescent="0.25">
      <c r="A509" s="523">
        <v>505</v>
      </c>
      <c r="B509" s="523" t="s">
        <v>1018</v>
      </c>
      <c r="C509" s="607" t="s">
        <v>890</v>
      </c>
      <c r="D509" s="563">
        <v>14000</v>
      </c>
      <c r="E509" s="87"/>
      <c r="F509" s="573">
        <v>155</v>
      </c>
      <c r="G509" s="563">
        <v>14000</v>
      </c>
      <c r="H509" s="87">
        <f t="shared" si="8"/>
        <v>0</v>
      </c>
      <c r="I509" s="509"/>
      <c r="J509" s="525"/>
      <c r="K509" s="398"/>
      <c r="L509" s="398"/>
      <c r="M509" s="398"/>
      <c r="N509" s="86"/>
    </row>
    <row r="510" spans="1:14" s="624" customFormat="1" ht="15.75" x14ac:dyDescent="0.25">
      <c r="A510" s="523">
        <v>506</v>
      </c>
      <c r="B510" s="523" t="s">
        <v>1018</v>
      </c>
      <c r="C510" s="555">
        <v>3855</v>
      </c>
      <c r="D510" s="563">
        <v>16000</v>
      </c>
      <c r="E510" s="87"/>
      <c r="F510" s="573">
        <v>178</v>
      </c>
      <c r="G510" s="563">
        <v>16000</v>
      </c>
      <c r="H510" s="87">
        <f t="shared" si="8"/>
        <v>0</v>
      </c>
      <c r="I510" s="509"/>
      <c r="J510" s="525"/>
      <c r="K510" s="398"/>
      <c r="L510" s="398"/>
      <c r="M510" s="398"/>
      <c r="N510" s="86"/>
    </row>
    <row r="511" spans="1:14" s="624" customFormat="1" ht="15.75" x14ac:dyDescent="0.25">
      <c r="A511" s="523">
        <v>507</v>
      </c>
      <c r="B511" s="523" t="s">
        <v>1018</v>
      </c>
      <c r="C511" s="555">
        <v>5152</v>
      </c>
      <c r="D511" s="563">
        <v>10000</v>
      </c>
      <c r="E511" s="87"/>
      <c r="F511" s="573">
        <v>111</v>
      </c>
      <c r="G511" s="563">
        <v>10000</v>
      </c>
      <c r="H511" s="87">
        <f t="shared" si="8"/>
        <v>0</v>
      </c>
      <c r="I511" s="509"/>
      <c r="J511" s="525"/>
      <c r="K511" s="398"/>
      <c r="L511" s="398"/>
      <c r="M511" s="398"/>
      <c r="N511" s="86"/>
    </row>
    <row r="512" spans="1:14" s="624" customFormat="1" ht="15.75" x14ac:dyDescent="0.25">
      <c r="A512" s="523">
        <v>508</v>
      </c>
      <c r="B512" s="523" t="s">
        <v>1018</v>
      </c>
      <c r="C512" s="555" t="s">
        <v>66</v>
      </c>
      <c r="D512" s="563">
        <v>210</v>
      </c>
      <c r="E512" s="87"/>
      <c r="F512" s="573">
        <v>2.09</v>
      </c>
      <c r="G512" s="563">
        <v>210</v>
      </c>
      <c r="H512" s="87">
        <f t="shared" si="8"/>
        <v>0</v>
      </c>
      <c r="I512" s="509"/>
      <c r="J512" s="525"/>
      <c r="K512" s="398"/>
      <c r="L512" s="398"/>
      <c r="M512" s="398"/>
      <c r="N512" s="86"/>
    </row>
    <row r="513" spans="1:14" s="624" customFormat="1" ht="15.75" x14ac:dyDescent="0.25">
      <c r="A513" s="523">
        <v>509</v>
      </c>
      <c r="B513" s="523" t="s">
        <v>1018</v>
      </c>
      <c r="C513" s="555">
        <v>6607</v>
      </c>
      <c r="D513" s="563">
        <v>34000</v>
      </c>
      <c r="E513" s="87"/>
      <c r="F513" s="573">
        <v>369</v>
      </c>
      <c r="G513" s="563">
        <v>34000</v>
      </c>
      <c r="H513" s="87">
        <f t="shared" si="8"/>
        <v>0</v>
      </c>
      <c r="I513" s="509"/>
      <c r="J513" s="525"/>
      <c r="K513" s="398"/>
      <c r="L513" s="398"/>
      <c r="M513" s="398"/>
      <c r="N513" s="86"/>
    </row>
    <row r="514" spans="1:14" s="624" customFormat="1" ht="15.75" x14ac:dyDescent="0.25">
      <c r="A514" s="523">
        <v>510</v>
      </c>
      <c r="B514" s="523" t="s">
        <v>1018</v>
      </c>
      <c r="C514" s="555">
        <v>5735</v>
      </c>
      <c r="D514" s="563">
        <v>22000</v>
      </c>
      <c r="E514" s="87"/>
      <c r="F514" s="573">
        <v>245</v>
      </c>
      <c r="G514" s="563">
        <v>22000</v>
      </c>
      <c r="H514" s="87">
        <f t="shared" si="8"/>
        <v>0</v>
      </c>
      <c r="I514" s="509"/>
      <c r="J514" s="525"/>
      <c r="K514" s="398"/>
      <c r="L514" s="398"/>
      <c r="M514" s="398"/>
      <c r="N514" s="86"/>
    </row>
    <row r="515" spans="1:14" s="624" customFormat="1" ht="15.75" x14ac:dyDescent="0.25">
      <c r="A515" s="523">
        <v>511</v>
      </c>
      <c r="B515" s="523" t="s">
        <v>1018</v>
      </c>
      <c r="C515" s="555">
        <v>7086</v>
      </c>
      <c r="D515" s="563">
        <v>30000</v>
      </c>
      <c r="E515" s="87"/>
      <c r="F515" s="573">
        <v>334</v>
      </c>
      <c r="G515" s="563">
        <v>30000</v>
      </c>
      <c r="H515" s="87">
        <f t="shared" si="8"/>
        <v>0</v>
      </c>
      <c r="I515" s="509"/>
      <c r="J515" s="525"/>
      <c r="K515" s="398"/>
      <c r="L515" s="398"/>
      <c r="M515" s="398"/>
      <c r="N515" s="86"/>
    </row>
    <row r="516" spans="1:14" s="624" customFormat="1" ht="15.75" x14ac:dyDescent="0.25">
      <c r="A516" s="523">
        <v>512</v>
      </c>
      <c r="B516" s="523" t="s">
        <v>1018</v>
      </c>
      <c r="C516" s="555">
        <v>7819</v>
      </c>
      <c r="D516" s="563">
        <v>15000</v>
      </c>
      <c r="E516" s="87"/>
      <c r="F516" s="573">
        <v>267</v>
      </c>
      <c r="G516" s="563">
        <v>15000</v>
      </c>
      <c r="H516" s="87">
        <f t="shared" si="8"/>
        <v>0</v>
      </c>
      <c r="I516" s="509"/>
      <c r="J516" s="525"/>
      <c r="K516" s="398"/>
      <c r="L516" s="398"/>
      <c r="M516" s="398"/>
      <c r="N516" s="86"/>
    </row>
    <row r="517" spans="1:14" s="624" customFormat="1" ht="15.75" x14ac:dyDescent="0.25">
      <c r="A517" s="523">
        <v>513</v>
      </c>
      <c r="B517" s="523" t="s">
        <v>1018</v>
      </c>
      <c r="C517" s="555">
        <v>1639</v>
      </c>
      <c r="D517" s="563">
        <v>32000</v>
      </c>
      <c r="E517" s="87"/>
      <c r="F517" s="573">
        <v>356</v>
      </c>
      <c r="G517" s="563">
        <v>32000</v>
      </c>
      <c r="H517" s="87">
        <f t="shared" ref="H517:H580" si="9">D517-G517</f>
        <v>0</v>
      </c>
      <c r="I517" s="509"/>
      <c r="J517" s="525"/>
      <c r="K517" s="398"/>
      <c r="L517" s="398"/>
      <c r="M517" s="398"/>
      <c r="N517" s="86"/>
    </row>
    <row r="518" spans="1:14" s="624" customFormat="1" ht="15.75" x14ac:dyDescent="0.25">
      <c r="A518" s="523">
        <v>514</v>
      </c>
      <c r="B518" s="523" t="s">
        <v>1018</v>
      </c>
      <c r="C518" s="555">
        <v>6777</v>
      </c>
      <c r="D518" s="563">
        <v>26290</v>
      </c>
      <c r="E518" s="87"/>
      <c r="F518" s="573">
        <v>282</v>
      </c>
      <c r="G518" s="563">
        <v>26290</v>
      </c>
      <c r="H518" s="87">
        <f t="shared" si="9"/>
        <v>0</v>
      </c>
      <c r="I518" s="509"/>
      <c r="J518" s="525"/>
      <c r="K518" s="398"/>
      <c r="L518" s="398"/>
      <c r="M518" s="398"/>
      <c r="N518" s="86"/>
    </row>
    <row r="519" spans="1:14" s="624" customFormat="1" ht="15.75" x14ac:dyDescent="0.25">
      <c r="A519" s="523">
        <v>515</v>
      </c>
      <c r="B519" s="523" t="s">
        <v>1021</v>
      </c>
      <c r="C519" s="555">
        <v>6133</v>
      </c>
      <c r="D519" s="563">
        <v>15000</v>
      </c>
      <c r="E519" s="87"/>
      <c r="F519" s="573">
        <v>167</v>
      </c>
      <c r="G519" s="563">
        <v>15000</v>
      </c>
      <c r="H519" s="87">
        <f t="shared" si="9"/>
        <v>0</v>
      </c>
      <c r="I519" s="509"/>
      <c r="J519" s="525"/>
      <c r="K519" s="398"/>
      <c r="L519" s="398"/>
      <c r="M519" s="398"/>
      <c r="N519" s="86"/>
    </row>
    <row r="520" spans="1:14" s="624" customFormat="1" ht="15.75" x14ac:dyDescent="0.25">
      <c r="A520" s="523">
        <v>516</v>
      </c>
      <c r="B520" s="523" t="s">
        <v>1021</v>
      </c>
      <c r="C520" s="555">
        <v>7085</v>
      </c>
      <c r="D520" s="563">
        <v>15000</v>
      </c>
      <c r="E520" s="87"/>
      <c r="F520" s="573">
        <v>167</v>
      </c>
      <c r="G520" s="563">
        <v>15000</v>
      </c>
      <c r="H520" s="87">
        <f t="shared" si="9"/>
        <v>0</v>
      </c>
      <c r="I520" s="509"/>
      <c r="J520" s="525"/>
      <c r="K520" s="398"/>
      <c r="L520" s="398"/>
      <c r="M520" s="398"/>
      <c r="N520" s="86"/>
    </row>
    <row r="521" spans="1:14" s="624" customFormat="1" ht="15.75" x14ac:dyDescent="0.25">
      <c r="A521" s="523">
        <v>517</v>
      </c>
      <c r="B521" s="523" t="s">
        <v>1021</v>
      </c>
      <c r="C521" s="555">
        <v>6487</v>
      </c>
      <c r="D521" s="563">
        <v>15000</v>
      </c>
      <c r="E521" s="87"/>
      <c r="F521" s="574">
        <v>167</v>
      </c>
      <c r="G521" s="563">
        <v>15000</v>
      </c>
      <c r="H521" s="87">
        <f t="shared" si="9"/>
        <v>0</v>
      </c>
      <c r="I521" s="509"/>
      <c r="J521" s="525"/>
      <c r="K521" s="398"/>
      <c r="L521" s="398"/>
      <c r="M521" s="398"/>
      <c r="N521" s="86"/>
    </row>
    <row r="522" spans="1:14" s="624" customFormat="1" ht="15.75" x14ac:dyDescent="0.25">
      <c r="A522" s="523">
        <v>518</v>
      </c>
      <c r="B522" s="523" t="s">
        <v>1021</v>
      </c>
      <c r="C522" s="555">
        <v>4176</v>
      </c>
      <c r="D522" s="563">
        <v>18000</v>
      </c>
      <c r="E522" s="87"/>
      <c r="F522" s="573">
        <v>200</v>
      </c>
      <c r="G522" s="563">
        <v>18000</v>
      </c>
      <c r="H522" s="87">
        <f t="shared" si="9"/>
        <v>0</v>
      </c>
      <c r="I522" s="509"/>
      <c r="J522" s="525"/>
      <c r="K522" s="398"/>
      <c r="L522" s="398"/>
      <c r="M522" s="398"/>
      <c r="N522" s="86"/>
    </row>
    <row r="523" spans="1:14" s="624" customFormat="1" ht="15.75" x14ac:dyDescent="0.25">
      <c r="A523" s="523">
        <v>519</v>
      </c>
      <c r="B523" s="523" t="s">
        <v>1021</v>
      </c>
      <c r="C523" s="555">
        <v>4277</v>
      </c>
      <c r="D523" s="563">
        <v>18000</v>
      </c>
      <c r="E523" s="87"/>
      <c r="F523" s="573">
        <v>200</v>
      </c>
      <c r="G523" s="563">
        <v>18000</v>
      </c>
      <c r="H523" s="87">
        <f t="shared" si="9"/>
        <v>0</v>
      </c>
      <c r="I523" s="509"/>
      <c r="J523" s="525"/>
      <c r="K523" s="398"/>
      <c r="L523" s="398"/>
      <c r="M523" s="398"/>
      <c r="N523" s="86"/>
    </row>
    <row r="524" spans="1:14" s="624" customFormat="1" ht="15.75" x14ac:dyDescent="0.25">
      <c r="A524" s="523">
        <v>520</v>
      </c>
      <c r="B524" s="523" t="s">
        <v>1021</v>
      </c>
      <c r="C524" s="555">
        <v>1356</v>
      </c>
      <c r="D524" s="563">
        <v>28000</v>
      </c>
      <c r="E524" s="87"/>
      <c r="F524" s="573">
        <v>311</v>
      </c>
      <c r="G524" s="563">
        <v>28000</v>
      </c>
      <c r="H524" s="87">
        <f t="shared" si="9"/>
        <v>0</v>
      </c>
      <c r="I524" s="509"/>
      <c r="J524" s="525"/>
      <c r="K524" s="398"/>
      <c r="L524" s="398"/>
      <c r="M524" s="398"/>
      <c r="N524" s="86"/>
    </row>
    <row r="525" spans="1:14" s="624" customFormat="1" ht="15.75" x14ac:dyDescent="0.25">
      <c r="A525" s="523">
        <v>521</v>
      </c>
      <c r="B525" s="523" t="s">
        <v>1021</v>
      </c>
      <c r="C525" s="555">
        <v>6715</v>
      </c>
      <c r="D525" s="563">
        <v>12000</v>
      </c>
      <c r="E525" s="87"/>
      <c r="F525" s="573">
        <v>133</v>
      </c>
      <c r="G525" s="563">
        <v>12000</v>
      </c>
      <c r="H525" s="87">
        <f t="shared" si="9"/>
        <v>0</v>
      </c>
      <c r="I525" s="509"/>
      <c r="J525" s="525"/>
      <c r="K525" s="398"/>
      <c r="L525" s="398"/>
      <c r="M525" s="398"/>
      <c r="N525" s="86"/>
    </row>
    <row r="526" spans="1:14" s="624" customFormat="1" ht="15.75" x14ac:dyDescent="0.25">
      <c r="A526" s="523">
        <v>522</v>
      </c>
      <c r="B526" s="523" t="s">
        <v>1021</v>
      </c>
      <c r="C526" s="555">
        <v>3576</v>
      </c>
      <c r="D526" s="563">
        <v>30000</v>
      </c>
      <c r="E526" s="87"/>
      <c r="F526" s="573">
        <v>334</v>
      </c>
      <c r="G526" s="563">
        <v>30000</v>
      </c>
      <c r="H526" s="87">
        <f t="shared" si="9"/>
        <v>0</v>
      </c>
      <c r="I526" s="509"/>
      <c r="J526" s="525"/>
      <c r="K526" s="398"/>
      <c r="L526" s="398"/>
      <c r="M526" s="398"/>
      <c r="N526" s="86"/>
    </row>
    <row r="527" spans="1:14" s="624" customFormat="1" ht="15.75" x14ac:dyDescent="0.25">
      <c r="A527" s="523">
        <v>523</v>
      </c>
      <c r="B527" s="523" t="s">
        <v>1020</v>
      </c>
      <c r="C527" s="555" t="s">
        <v>30</v>
      </c>
      <c r="D527" s="563">
        <v>5000</v>
      </c>
      <c r="E527" s="87"/>
      <c r="F527" s="573">
        <v>55.38</v>
      </c>
      <c r="G527" s="563">
        <v>5000</v>
      </c>
      <c r="H527" s="87">
        <f t="shared" si="9"/>
        <v>0</v>
      </c>
      <c r="I527" s="509"/>
      <c r="J527" s="525"/>
      <c r="K527" s="398"/>
      <c r="L527" s="398"/>
      <c r="M527" s="398"/>
      <c r="N527" s="86"/>
    </row>
    <row r="528" spans="1:14" s="624" customFormat="1" ht="15.75" x14ac:dyDescent="0.25">
      <c r="A528" s="523">
        <v>524</v>
      </c>
      <c r="B528" s="523" t="s">
        <v>1020</v>
      </c>
      <c r="C528" s="555" t="s">
        <v>66</v>
      </c>
      <c r="D528" s="563">
        <v>100</v>
      </c>
      <c r="E528" s="87"/>
      <c r="F528" s="573">
        <v>1.0900000000000001</v>
      </c>
      <c r="G528" s="563">
        <v>100</v>
      </c>
      <c r="H528" s="87">
        <f t="shared" si="9"/>
        <v>0</v>
      </c>
      <c r="I528" s="509"/>
      <c r="J528" s="525"/>
      <c r="K528" s="398"/>
      <c r="L528" s="398"/>
      <c r="M528" s="398"/>
      <c r="N528" s="86"/>
    </row>
    <row r="529" spans="1:14" s="624" customFormat="1" ht="15.75" x14ac:dyDescent="0.25">
      <c r="A529" s="523">
        <v>525</v>
      </c>
      <c r="B529" s="523" t="s">
        <v>1020</v>
      </c>
      <c r="C529" s="555">
        <v>3377</v>
      </c>
      <c r="D529" s="563">
        <v>19000</v>
      </c>
      <c r="E529" s="87"/>
      <c r="F529" s="573">
        <v>211.84</v>
      </c>
      <c r="G529" s="563">
        <v>19000</v>
      </c>
      <c r="H529" s="87">
        <f t="shared" si="9"/>
        <v>0</v>
      </c>
      <c r="I529" s="509"/>
      <c r="J529" s="525"/>
      <c r="K529" s="398"/>
      <c r="L529" s="398"/>
      <c r="M529" s="398"/>
      <c r="N529" s="86"/>
    </row>
    <row r="530" spans="1:14" s="626" customFormat="1" ht="15.75" x14ac:dyDescent="0.25">
      <c r="A530" s="523">
        <v>526</v>
      </c>
      <c r="B530" s="523" t="s">
        <v>1022</v>
      </c>
      <c r="C530" s="555">
        <v>8399</v>
      </c>
      <c r="D530" s="563">
        <v>34000</v>
      </c>
      <c r="E530" s="87"/>
      <c r="F530" s="573">
        <v>378</v>
      </c>
      <c r="G530" s="563">
        <v>34000</v>
      </c>
      <c r="H530" s="87">
        <f t="shared" si="9"/>
        <v>0</v>
      </c>
      <c r="I530" s="509"/>
      <c r="J530" s="525"/>
      <c r="K530" s="398"/>
      <c r="L530" s="398"/>
      <c r="M530" s="398"/>
      <c r="N530" s="86"/>
    </row>
    <row r="531" spans="1:14" s="626" customFormat="1" ht="15.75" x14ac:dyDescent="0.25">
      <c r="A531" s="523">
        <v>527</v>
      </c>
      <c r="B531" s="523" t="s">
        <v>1022</v>
      </c>
      <c r="C531" s="555">
        <v>8579</v>
      </c>
      <c r="D531" s="563">
        <v>32000</v>
      </c>
      <c r="E531" s="87"/>
      <c r="F531" s="573">
        <v>334</v>
      </c>
      <c r="G531" s="563">
        <v>32000</v>
      </c>
      <c r="H531" s="87">
        <f t="shared" si="9"/>
        <v>0</v>
      </c>
      <c r="I531" s="509"/>
      <c r="J531" s="525"/>
      <c r="K531" s="398"/>
      <c r="L531" s="398"/>
      <c r="M531" s="398"/>
      <c r="N531" s="86"/>
    </row>
    <row r="532" spans="1:14" s="626" customFormat="1" ht="15.75" x14ac:dyDescent="0.25">
      <c r="A532" s="523">
        <v>528</v>
      </c>
      <c r="B532" s="523" t="s">
        <v>1022</v>
      </c>
      <c r="C532" s="607" t="s">
        <v>1024</v>
      </c>
      <c r="D532" s="563">
        <v>10000</v>
      </c>
      <c r="E532" s="87"/>
      <c r="F532" s="573">
        <v>111</v>
      </c>
      <c r="G532" s="563">
        <v>10000</v>
      </c>
      <c r="H532" s="87">
        <f t="shared" si="9"/>
        <v>0</v>
      </c>
      <c r="I532" s="509"/>
      <c r="J532" s="525"/>
      <c r="K532" s="398"/>
      <c r="L532" s="398"/>
      <c r="M532" s="398"/>
      <c r="N532" s="86"/>
    </row>
    <row r="533" spans="1:14" s="626" customFormat="1" ht="15.75" x14ac:dyDescent="0.25">
      <c r="A533" s="523">
        <v>529</v>
      </c>
      <c r="B533" s="523" t="s">
        <v>1022</v>
      </c>
      <c r="C533" s="555">
        <v>5485</v>
      </c>
      <c r="D533" s="563">
        <v>28000</v>
      </c>
      <c r="E533" s="87"/>
      <c r="F533" s="573">
        <v>296</v>
      </c>
      <c r="G533" s="563">
        <v>28000</v>
      </c>
      <c r="H533" s="87">
        <f t="shared" si="9"/>
        <v>0</v>
      </c>
      <c r="I533" s="509"/>
      <c r="J533" s="525"/>
      <c r="K533" s="398"/>
      <c r="L533" s="398"/>
      <c r="M533" s="398"/>
      <c r="N533" s="86"/>
    </row>
    <row r="534" spans="1:14" s="626" customFormat="1" ht="15.75" x14ac:dyDescent="0.25">
      <c r="A534" s="523">
        <v>530</v>
      </c>
      <c r="B534" s="523" t="s">
        <v>1022</v>
      </c>
      <c r="C534" s="555" t="s">
        <v>30</v>
      </c>
      <c r="D534" s="563">
        <v>5000</v>
      </c>
      <c r="E534" s="87"/>
      <c r="F534" s="573">
        <v>55</v>
      </c>
      <c r="G534" s="563">
        <v>5000</v>
      </c>
      <c r="H534" s="87">
        <f t="shared" si="9"/>
        <v>0</v>
      </c>
      <c r="I534" s="509"/>
      <c r="J534" s="525"/>
      <c r="K534" s="398"/>
      <c r="L534" s="398"/>
      <c r="M534" s="398"/>
      <c r="N534" s="86"/>
    </row>
    <row r="535" spans="1:14" s="626" customFormat="1" ht="15.75" x14ac:dyDescent="0.25">
      <c r="A535" s="523">
        <v>531</v>
      </c>
      <c r="B535" s="523" t="s">
        <v>1022</v>
      </c>
      <c r="C535" s="555">
        <v>7129</v>
      </c>
      <c r="D535" s="563">
        <v>18000</v>
      </c>
      <c r="E535" s="87"/>
      <c r="F535" s="573">
        <v>200</v>
      </c>
      <c r="G535" s="563">
        <v>18000</v>
      </c>
      <c r="H535" s="87">
        <f t="shared" si="9"/>
        <v>0</v>
      </c>
      <c r="I535" s="509"/>
      <c r="J535" s="525"/>
      <c r="K535" s="398"/>
      <c r="L535" s="398"/>
      <c r="M535" s="398"/>
      <c r="N535" s="86"/>
    </row>
    <row r="536" spans="1:14" s="626" customFormat="1" ht="15.75" x14ac:dyDescent="0.25">
      <c r="A536" s="523">
        <v>532</v>
      </c>
      <c r="B536" s="523" t="s">
        <v>1022</v>
      </c>
      <c r="C536" s="555">
        <v>3577</v>
      </c>
      <c r="D536" s="563">
        <v>13000</v>
      </c>
      <c r="E536" s="87"/>
      <c r="F536" s="573">
        <v>144</v>
      </c>
      <c r="G536" s="563">
        <v>13000</v>
      </c>
      <c r="H536" s="87">
        <f t="shared" si="9"/>
        <v>0</v>
      </c>
      <c r="I536" s="509"/>
      <c r="J536" s="525"/>
      <c r="K536" s="398"/>
      <c r="L536" s="398"/>
      <c r="M536" s="398"/>
      <c r="N536" s="86"/>
    </row>
    <row r="537" spans="1:14" s="626" customFormat="1" ht="15.75" x14ac:dyDescent="0.25">
      <c r="A537" s="523">
        <v>533</v>
      </c>
      <c r="B537" s="523" t="s">
        <v>1022</v>
      </c>
      <c r="C537" s="555">
        <v>9767</v>
      </c>
      <c r="D537" s="563">
        <v>18000</v>
      </c>
      <c r="E537" s="87"/>
      <c r="F537" s="573">
        <v>200</v>
      </c>
      <c r="G537" s="563">
        <v>18000</v>
      </c>
      <c r="H537" s="87">
        <f t="shared" si="9"/>
        <v>0</v>
      </c>
      <c r="I537" s="509"/>
      <c r="J537" s="525"/>
      <c r="K537" s="398"/>
      <c r="L537" s="398"/>
      <c r="M537" s="398"/>
      <c r="N537" s="86"/>
    </row>
    <row r="538" spans="1:14" s="626" customFormat="1" ht="15.75" x14ac:dyDescent="0.25">
      <c r="A538" s="523">
        <v>534</v>
      </c>
      <c r="B538" s="523" t="s">
        <v>1022</v>
      </c>
      <c r="C538" s="555">
        <v>4167</v>
      </c>
      <c r="D538" s="563">
        <v>16000</v>
      </c>
      <c r="E538" s="87"/>
      <c r="F538" s="573">
        <v>178</v>
      </c>
      <c r="G538" s="563">
        <v>16000</v>
      </c>
      <c r="H538" s="87">
        <f t="shared" si="9"/>
        <v>0</v>
      </c>
      <c r="I538" s="509"/>
      <c r="J538" s="525"/>
      <c r="K538" s="398"/>
      <c r="L538" s="398"/>
      <c r="M538" s="398"/>
      <c r="N538" s="86"/>
    </row>
    <row r="539" spans="1:14" s="626" customFormat="1" ht="15.75" x14ac:dyDescent="0.25">
      <c r="A539" s="523">
        <v>535</v>
      </c>
      <c r="B539" s="523" t="s">
        <v>1022</v>
      </c>
      <c r="C539" s="555">
        <v>9655</v>
      </c>
      <c r="D539" s="563">
        <v>15000</v>
      </c>
      <c r="E539" s="87"/>
      <c r="F539" s="573">
        <v>167</v>
      </c>
      <c r="G539" s="563">
        <v>15000</v>
      </c>
      <c r="H539" s="87">
        <f t="shared" si="9"/>
        <v>0</v>
      </c>
      <c r="I539" s="509"/>
      <c r="J539" s="525"/>
      <c r="K539" s="398"/>
      <c r="L539" s="398"/>
      <c r="M539" s="398"/>
      <c r="N539" s="86"/>
    </row>
    <row r="540" spans="1:14" s="626" customFormat="1" ht="15.75" x14ac:dyDescent="0.25">
      <c r="A540" s="523">
        <v>536</v>
      </c>
      <c r="B540" s="523" t="s">
        <v>1022</v>
      </c>
      <c r="C540" s="555">
        <v>7087</v>
      </c>
      <c r="D540" s="563">
        <v>15000</v>
      </c>
      <c r="E540" s="87"/>
      <c r="F540" s="573">
        <v>167</v>
      </c>
      <c r="G540" s="563">
        <v>15000</v>
      </c>
      <c r="H540" s="87">
        <f t="shared" si="9"/>
        <v>0</v>
      </c>
      <c r="I540" s="509"/>
      <c r="J540" s="525"/>
      <c r="K540" s="398"/>
      <c r="L540" s="398"/>
      <c r="M540" s="398"/>
      <c r="N540" s="86"/>
    </row>
    <row r="541" spans="1:14" s="626" customFormat="1" ht="15.75" x14ac:dyDescent="0.25">
      <c r="A541" s="523">
        <v>537</v>
      </c>
      <c r="B541" s="523" t="s">
        <v>1022</v>
      </c>
      <c r="C541" s="555">
        <v>6487</v>
      </c>
      <c r="D541" s="563">
        <v>15000</v>
      </c>
      <c r="E541" s="87"/>
      <c r="F541" s="573">
        <v>167</v>
      </c>
      <c r="G541" s="563">
        <v>15000</v>
      </c>
      <c r="H541" s="87">
        <f t="shared" si="9"/>
        <v>0</v>
      </c>
      <c r="I541" s="509"/>
      <c r="J541" s="525"/>
      <c r="K541" s="398"/>
      <c r="L541" s="398"/>
      <c r="M541" s="398"/>
      <c r="N541" s="86"/>
    </row>
    <row r="542" spans="1:14" s="626" customFormat="1" ht="15.75" x14ac:dyDescent="0.25">
      <c r="A542" s="523">
        <v>538</v>
      </c>
      <c r="B542" s="523" t="s">
        <v>1022</v>
      </c>
      <c r="C542" s="555">
        <v>9555</v>
      </c>
      <c r="D542" s="563">
        <v>15000</v>
      </c>
      <c r="E542" s="87"/>
      <c r="F542" s="573">
        <v>167</v>
      </c>
      <c r="G542" s="563">
        <v>15000</v>
      </c>
      <c r="H542" s="87">
        <f t="shared" si="9"/>
        <v>0</v>
      </c>
      <c r="I542" s="509"/>
      <c r="J542" s="525"/>
      <c r="K542" s="398"/>
      <c r="L542" s="398"/>
      <c r="M542" s="398"/>
      <c r="N542" s="86"/>
    </row>
    <row r="543" spans="1:14" s="626" customFormat="1" ht="15.75" x14ac:dyDescent="0.25">
      <c r="A543" s="523">
        <v>539</v>
      </c>
      <c r="B543" s="523" t="s">
        <v>1022</v>
      </c>
      <c r="C543" s="607" t="s">
        <v>890</v>
      </c>
      <c r="D543" s="563">
        <v>14000</v>
      </c>
      <c r="E543" s="87"/>
      <c r="F543" s="573">
        <v>155</v>
      </c>
      <c r="G543" s="563">
        <v>14000</v>
      </c>
      <c r="H543" s="87">
        <f t="shared" si="9"/>
        <v>0</v>
      </c>
      <c r="I543" s="509"/>
      <c r="J543" s="525"/>
      <c r="K543" s="398"/>
      <c r="L543" s="398"/>
      <c r="M543" s="398"/>
      <c r="N543" s="86"/>
    </row>
    <row r="544" spans="1:14" s="626" customFormat="1" ht="15.75" x14ac:dyDescent="0.25">
      <c r="A544" s="523">
        <v>540</v>
      </c>
      <c r="B544" s="523" t="s">
        <v>1022</v>
      </c>
      <c r="C544" s="555">
        <v>9755</v>
      </c>
      <c r="D544" s="563">
        <v>17000</v>
      </c>
      <c r="E544" s="87"/>
      <c r="F544" s="573">
        <v>189</v>
      </c>
      <c r="G544" s="563">
        <v>17000</v>
      </c>
      <c r="H544" s="87">
        <f t="shared" si="9"/>
        <v>0</v>
      </c>
      <c r="I544" s="509"/>
      <c r="J544" s="525"/>
      <c r="K544" s="398"/>
      <c r="L544" s="398"/>
      <c r="M544" s="398"/>
      <c r="N544" s="86"/>
    </row>
    <row r="545" spans="1:14" s="626" customFormat="1" ht="15.75" x14ac:dyDescent="0.25">
      <c r="A545" s="523">
        <v>541</v>
      </c>
      <c r="B545" s="523" t="s">
        <v>1022</v>
      </c>
      <c r="C545" s="555">
        <v>3855</v>
      </c>
      <c r="D545" s="563">
        <v>16000</v>
      </c>
      <c r="E545" s="87"/>
      <c r="F545" s="573">
        <v>178</v>
      </c>
      <c r="G545" s="563">
        <v>16000</v>
      </c>
      <c r="H545" s="87">
        <f t="shared" si="9"/>
        <v>0</v>
      </c>
      <c r="I545" s="509"/>
      <c r="J545" s="525"/>
      <c r="K545" s="398"/>
      <c r="L545" s="398"/>
      <c r="M545" s="398"/>
      <c r="N545" s="86"/>
    </row>
    <row r="546" spans="1:14" s="626" customFormat="1" ht="15.75" x14ac:dyDescent="0.25">
      <c r="A546" s="523">
        <v>542</v>
      </c>
      <c r="B546" s="523" t="s">
        <v>1022</v>
      </c>
      <c r="C546" s="555">
        <v>7263</v>
      </c>
      <c r="D546" s="563">
        <v>10000</v>
      </c>
      <c r="E546" s="87"/>
      <c r="F546" s="573">
        <v>111</v>
      </c>
      <c r="G546" s="563">
        <v>10000</v>
      </c>
      <c r="H546" s="87">
        <f t="shared" si="9"/>
        <v>0</v>
      </c>
      <c r="I546" s="509"/>
      <c r="J546" s="525"/>
      <c r="K546" s="398"/>
      <c r="L546" s="398"/>
      <c r="M546" s="398"/>
      <c r="N546" s="86"/>
    </row>
    <row r="547" spans="1:14" s="626" customFormat="1" ht="15.75" x14ac:dyDescent="0.25">
      <c r="A547" s="523">
        <v>543</v>
      </c>
      <c r="B547" s="523" t="s">
        <v>1022</v>
      </c>
      <c r="C547" s="555">
        <v>5152</v>
      </c>
      <c r="D547" s="563">
        <v>10000</v>
      </c>
      <c r="E547" s="87"/>
      <c r="F547" s="573">
        <v>111</v>
      </c>
      <c r="G547" s="563">
        <v>10000</v>
      </c>
      <c r="H547" s="87">
        <f t="shared" si="9"/>
        <v>0</v>
      </c>
      <c r="I547" s="509"/>
      <c r="J547" s="525"/>
      <c r="K547" s="398"/>
      <c r="L547" s="398"/>
      <c r="M547" s="398"/>
      <c r="N547" s="86"/>
    </row>
    <row r="548" spans="1:14" s="626" customFormat="1" ht="15.75" x14ac:dyDescent="0.25">
      <c r="A548" s="523">
        <v>544</v>
      </c>
      <c r="B548" s="523" t="s">
        <v>1022</v>
      </c>
      <c r="C548" s="555">
        <v>7121</v>
      </c>
      <c r="D548" s="563">
        <v>32000</v>
      </c>
      <c r="E548" s="87"/>
      <c r="F548" s="573">
        <v>340</v>
      </c>
      <c r="G548" s="563">
        <v>32000</v>
      </c>
      <c r="H548" s="87">
        <f t="shared" si="9"/>
        <v>0</v>
      </c>
      <c r="I548" s="509"/>
      <c r="J548" s="525"/>
      <c r="K548" s="398"/>
      <c r="L548" s="398"/>
      <c r="M548" s="398"/>
      <c r="N548" s="86"/>
    </row>
    <row r="549" spans="1:14" s="626" customFormat="1" ht="15.75" x14ac:dyDescent="0.25">
      <c r="A549" s="523">
        <v>545</v>
      </c>
      <c r="B549" s="523" t="s">
        <v>1022</v>
      </c>
      <c r="C549" s="555" t="s">
        <v>66</v>
      </c>
      <c r="D549" s="563">
        <v>210</v>
      </c>
      <c r="E549" s="87"/>
      <c r="F549" s="573">
        <v>2.14</v>
      </c>
      <c r="G549" s="563">
        <v>210</v>
      </c>
      <c r="H549" s="87">
        <f t="shared" si="9"/>
        <v>0</v>
      </c>
      <c r="I549" s="509"/>
      <c r="J549" s="525"/>
      <c r="K549" s="398"/>
      <c r="L549" s="398"/>
      <c r="M549" s="398"/>
      <c r="N549" s="86"/>
    </row>
    <row r="550" spans="1:14" s="626" customFormat="1" ht="15.75" x14ac:dyDescent="0.25">
      <c r="A550" s="523">
        <v>546</v>
      </c>
      <c r="B550" s="523" t="s">
        <v>1022</v>
      </c>
      <c r="C550" s="555">
        <v>9705</v>
      </c>
      <c r="D550" s="563">
        <v>30000</v>
      </c>
      <c r="E550" s="87"/>
      <c r="F550" s="573">
        <v>334</v>
      </c>
      <c r="G550" s="563">
        <v>30000</v>
      </c>
      <c r="H550" s="87">
        <f t="shared" si="9"/>
        <v>0</v>
      </c>
      <c r="I550" s="509"/>
      <c r="J550" s="525"/>
      <c r="K550" s="398"/>
      <c r="L550" s="398"/>
      <c r="M550" s="398"/>
      <c r="N550" s="86"/>
    </row>
    <row r="551" spans="1:14" s="626" customFormat="1" ht="15.75" x14ac:dyDescent="0.25">
      <c r="A551" s="523">
        <v>547</v>
      </c>
      <c r="B551" s="523" t="s">
        <v>1022</v>
      </c>
      <c r="C551" s="555">
        <v>2328</v>
      </c>
      <c r="D551" s="563">
        <v>22000</v>
      </c>
      <c r="E551" s="87"/>
      <c r="F551" s="573">
        <v>256</v>
      </c>
      <c r="G551" s="563">
        <v>22000</v>
      </c>
      <c r="H551" s="87">
        <f t="shared" si="9"/>
        <v>0</v>
      </c>
      <c r="I551" s="509"/>
      <c r="J551" s="525"/>
      <c r="K551" s="398"/>
      <c r="L551" s="398"/>
      <c r="M551" s="398"/>
      <c r="N551" s="86"/>
    </row>
    <row r="552" spans="1:14" s="626" customFormat="1" ht="15.75" x14ac:dyDescent="0.25">
      <c r="A552" s="523">
        <v>548</v>
      </c>
      <c r="B552" s="523" t="s">
        <v>1022</v>
      </c>
      <c r="C552" s="555">
        <v>3251</v>
      </c>
      <c r="D552" s="563">
        <v>27000</v>
      </c>
      <c r="E552" s="87"/>
      <c r="F552" s="573">
        <v>300</v>
      </c>
      <c r="G552" s="563">
        <v>27000</v>
      </c>
      <c r="H552" s="87">
        <f t="shared" si="9"/>
        <v>0</v>
      </c>
      <c r="I552" s="509"/>
      <c r="J552" s="525"/>
      <c r="K552" s="398"/>
      <c r="L552" s="398"/>
      <c r="M552" s="398"/>
      <c r="N552" s="86"/>
    </row>
    <row r="553" spans="1:14" s="628" customFormat="1" ht="15.75" x14ac:dyDescent="0.25">
      <c r="A553" s="523">
        <v>549</v>
      </c>
      <c r="B553" s="523" t="s">
        <v>1023</v>
      </c>
      <c r="C553" s="555">
        <v>8392</v>
      </c>
      <c r="D553" s="563">
        <v>10000</v>
      </c>
      <c r="E553" s="87"/>
      <c r="F553" s="573">
        <v>111.41</v>
      </c>
      <c r="G553" s="563">
        <v>10000</v>
      </c>
      <c r="H553" s="87">
        <f t="shared" si="9"/>
        <v>0</v>
      </c>
      <c r="I553" s="509"/>
      <c r="J553" s="525"/>
      <c r="K553" s="398"/>
      <c r="L553" s="398"/>
      <c r="M553" s="398"/>
      <c r="N553" s="86"/>
    </row>
    <row r="554" spans="1:14" s="628" customFormat="1" ht="15.75" x14ac:dyDescent="0.25">
      <c r="A554" s="523">
        <v>550</v>
      </c>
      <c r="B554" s="523" t="s">
        <v>1023</v>
      </c>
      <c r="C554" s="555">
        <v>7360</v>
      </c>
      <c r="D554" s="563">
        <v>15000</v>
      </c>
      <c r="E554" s="87"/>
      <c r="F554" s="573">
        <v>167.15</v>
      </c>
      <c r="G554" s="563">
        <v>15000</v>
      </c>
      <c r="H554" s="87">
        <f t="shared" si="9"/>
        <v>0</v>
      </c>
      <c r="I554" s="509"/>
      <c r="J554" s="525"/>
      <c r="K554" s="398"/>
      <c r="L554" s="398"/>
      <c r="M554" s="398"/>
      <c r="N554" s="86"/>
    </row>
    <row r="555" spans="1:14" s="628" customFormat="1" ht="15.75" x14ac:dyDescent="0.25">
      <c r="A555" s="523">
        <v>551</v>
      </c>
      <c r="B555" s="523" t="s">
        <v>1023</v>
      </c>
      <c r="C555" s="555">
        <v>6133</v>
      </c>
      <c r="D555" s="563">
        <v>16000</v>
      </c>
      <c r="E555" s="87"/>
      <c r="F555" s="573">
        <v>178.22</v>
      </c>
      <c r="G555" s="563">
        <v>16000</v>
      </c>
      <c r="H555" s="87">
        <f t="shared" si="9"/>
        <v>0</v>
      </c>
      <c r="I555" s="509"/>
      <c r="J555" s="525"/>
      <c r="K555" s="398"/>
      <c r="L555" s="398"/>
      <c r="M555" s="398"/>
      <c r="N555" s="86"/>
    </row>
    <row r="556" spans="1:14" s="628" customFormat="1" ht="15.75" x14ac:dyDescent="0.25">
      <c r="A556" s="523">
        <v>552</v>
      </c>
      <c r="B556" s="523" t="s">
        <v>1023</v>
      </c>
      <c r="C556" s="555">
        <v>2867</v>
      </c>
      <c r="D556" s="563">
        <v>17000</v>
      </c>
      <c r="E556" s="87"/>
      <c r="F556" s="573">
        <v>189.47</v>
      </c>
      <c r="G556" s="563">
        <v>17000</v>
      </c>
      <c r="H556" s="87">
        <f t="shared" si="9"/>
        <v>0</v>
      </c>
      <c r="I556" s="509"/>
      <c r="J556" s="525"/>
      <c r="K556" s="398"/>
      <c r="L556" s="398"/>
      <c r="M556" s="398"/>
      <c r="N556" s="86"/>
    </row>
    <row r="557" spans="1:14" s="628" customFormat="1" ht="15.75" x14ac:dyDescent="0.25">
      <c r="A557" s="523">
        <v>553</v>
      </c>
      <c r="B557" s="523" t="s">
        <v>1023</v>
      </c>
      <c r="C557" s="555">
        <v>7744</v>
      </c>
      <c r="D557" s="563">
        <v>13000</v>
      </c>
      <c r="E557" s="87"/>
      <c r="F557" s="573">
        <v>144.13</v>
      </c>
      <c r="G557" s="563">
        <v>13000</v>
      </c>
      <c r="H557" s="87">
        <f t="shared" si="9"/>
        <v>0</v>
      </c>
      <c r="I557" s="509"/>
      <c r="J557" s="525"/>
      <c r="K557" s="398"/>
      <c r="L557" s="398"/>
      <c r="M557" s="398"/>
      <c r="N557" s="86"/>
    </row>
    <row r="558" spans="1:14" s="628" customFormat="1" ht="15.75" x14ac:dyDescent="0.25">
      <c r="A558" s="523">
        <v>554</v>
      </c>
      <c r="B558" s="523" t="s">
        <v>1023</v>
      </c>
      <c r="C558" s="555" t="s">
        <v>819</v>
      </c>
      <c r="D558" s="563">
        <v>3500</v>
      </c>
      <c r="E558" s="87"/>
      <c r="F558" s="573">
        <v>38.549999999999997</v>
      </c>
      <c r="G558" s="563">
        <v>3500</v>
      </c>
      <c r="H558" s="87">
        <f t="shared" si="9"/>
        <v>0</v>
      </c>
      <c r="I558" s="509"/>
      <c r="J558" s="525"/>
      <c r="K558" s="398"/>
      <c r="L558" s="398"/>
      <c r="M558" s="398"/>
      <c r="N558" s="86"/>
    </row>
    <row r="559" spans="1:14" s="628" customFormat="1" ht="15.75" x14ac:dyDescent="0.25">
      <c r="A559" s="523">
        <v>555</v>
      </c>
      <c r="B559" s="523" t="s">
        <v>1023</v>
      </c>
      <c r="C559" s="555">
        <v>8468</v>
      </c>
      <c r="D559" s="563">
        <v>16000</v>
      </c>
      <c r="E559" s="87"/>
      <c r="F559" s="573">
        <v>178.22</v>
      </c>
      <c r="G559" s="563">
        <v>16000</v>
      </c>
      <c r="H559" s="87">
        <f t="shared" si="9"/>
        <v>0</v>
      </c>
      <c r="I559" s="509"/>
      <c r="J559" s="525"/>
      <c r="K559" s="398"/>
      <c r="L559" s="398"/>
      <c r="M559" s="398"/>
      <c r="N559" s="86"/>
    </row>
    <row r="560" spans="1:14" s="628" customFormat="1" ht="15.75" x14ac:dyDescent="0.25">
      <c r="A560" s="523">
        <v>556</v>
      </c>
      <c r="B560" s="523" t="s">
        <v>1023</v>
      </c>
      <c r="C560" s="555">
        <v>8820</v>
      </c>
      <c r="D560" s="563">
        <v>16000</v>
      </c>
      <c r="E560" s="87"/>
      <c r="F560" s="573">
        <v>178.22</v>
      </c>
      <c r="G560" s="563">
        <v>16000</v>
      </c>
      <c r="H560" s="87">
        <f t="shared" si="9"/>
        <v>0</v>
      </c>
      <c r="I560" s="509"/>
      <c r="J560" s="525"/>
      <c r="K560" s="398"/>
      <c r="L560" s="398"/>
      <c r="M560" s="398"/>
      <c r="N560" s="86"/>
    </row>
    <row r="561" spans="1:14" s="628" customFormat="1" ht="15.75" x14ac:dyDescent="0.25">
      <c r="A561" s="523">
        <v>557</v>
      </c>
      <c r="B561" s="523" t="s">
        <v>1023</v>
      </c>
      <c r="C561" s="555">
        <v>5296</v>
      </c>
      <c r="D561" s="563">
        <v>30000</v>
      </c>
      <c r="E561" s="87"/>
      <c r="F561" s="573">
        <v>334.47</v>
      </c>
      <c r="G561" s="563">
        <v>30000</v>
      </c>
      <c r="H561" s="87">
        <f t="shared" si="9"/>
        <v>0</v>
      </c>
      <c r="I561" s="509"/>
      <c r="J561" s="525"/>
      <c r="K561" s="398"/>
      <c r="L561" s="398"/>
      <c r="M561" s="398"/>
      <c r="N561" s="86"/>
    </row>
    <row r="562" spans="1:14" s="628" customFormat="1" ht="15.75" x14ac:dyDescent="0.25">
      <c r="A562" s="523">
        <v>558</v>
      </c>
      <c r="B562" s="523" t="s">
        <v>1023</v>
      </c>
      <c r="C562" s="555">
        <v>5533</v>
      </c>
      <c r="D562" s="563">
        <v>15000</v>
      </c>
      <c r="E562" s="87"/>
      <c r="F562" s="573">
        <v>167.15</v>
      </c>
      <c r="G562" s="563">
        <v>15000</v>
      </c>
      <c r="H562" s="87">
        <f t="shared" si="9"/>
        <v>0</v>
      </c>
      <c r="I562" s="509"/>
      <c r="J562" s="525"/>
      <c r="K562" s="398"/>
      <c r="L562" s="398"/>
      <c r="M562" s="398"/>
      <c r="N562" s="86"/>
    </row>
    <row r="563" spans="1:14" s="628" customFormat="1" ht="15.75" x14ac:dyDescent="0.25">
      <c r="A563" s="523">
        <v>559</v>
      </c>
      <c r="B563" s="523" t="s">
        <v>1023</v>
      </c>
      <c r="C563" s="555">
        <v>3343</v>
      </c>
      <c r="D563" s="563">
        <v>28000</v>
      </c>
      <c r="E563" s="87"/>
      <c r="F563" s="573">
        <v>311.85000000000002</v>
      </c>
      <c r="G563" s="563">
        <v>28000</v>
      </c>
      <c r="H563" s="87">
        <f t="shared" si="9"/>
        <v>0</v>
      </c>
      <c r="I563" s="509"/>
      <c r="J563" s="525"/>
      <c r="K563" s="398"/>
      <c r="L563" s="398"/>
      <c r="M563" s="398"/>
      <c r="N563" s="86"/>
    </row>
    <row r="564" spans="1:14" s="628" customFormat="1" ht="15.75" x14ac:dyDescent="0.25">
      <c r="A564" s="523">
        <v>560</v>
      </c>
      <c r="B564" s="523" t="s">
        <v>1023</v>
      </c>
      <c r="C564" s="555">
        <v>755</v>
      </c>
      <c r="D564" s="563">
        <v>27000</v>
      </c>
      <c r="E564" s="87"/>
      <c r="F564" s="573">
        <v>278.22000000000003</v>
      </c>
      <c r="G564" s="563">
        <v>27000</v>
      </c>
      <c r="H564" s="87">
        <f t="shared" si="9"/>
        <v>0</v>
      </c>
      <c r="I564" s="509"/>
      <c r="J564" s="525"/>
      <c r="K564" s="398"/>
      <c r="L564" s="398"/>
      <c r="M564" s="398"/>
      <c r="N564" s="86"/>
    </row>
    <row r="565" spans="1:14" s="628" customFormat="1" ht="15.75" x14ac:dyDescent="0.25">
      <c r="A565" s="523">
        <v>561</v>
      </c>
      <c r="B565" s="523" t="s">
        <v>1023</v>
      </c>
      <c r="C565" s="555">
        <v>8919</v>
      </c>
      <c r="D565" s="563">
        <v>9000</v>
      </c>
      <c r="E565" s="87"/>
      <c r="F565" s="573">
        <v>93.74</v>
      </c>
      <c r="G565" s="563">
        <v>9000</v>
      </c>
      <c r="H565" s="87">
        <f t="shared" si="9"/>
        <v>0</v>
      </c>
      <c r="I565" s="509"/>
      <c r="J565" s="525"/>
      <c r="K565" s="398"/>
      <c r="L565" s="398"/>
      <c r="M565" s="398"/>
      <c r="N565" s="86"/>
    </row>
    <row r="566" spans="1:14" s="628" customFormat="1" ht="15.75" x14ac:dyDescent="0.25">
      <c r="A566" s="523">
        <v>562</v>
      </c>
      <c r="B566" s="523" t="s">
        <v>1023</v>
      </c>
      <c r="C566" s="555">
        <v>6135</v>
      </c>
      <c r="D566" s="563">
        <v>7000</v>
      </c>
      <c r="E566" s="87"/>
      <c r="F566" s="573">
        <v>74.819999999999993</v>
      </c>
      <c r="G566" s="563">
        <v>7000</v>
      </c>
      <c r="H566" s="87">
        <f t="shared" si="9"/>
        <v>0</v>
      </c>
      <c r="I566" s="509"/>
      <c r="J566" s="525"/>
      <c r="K566" s="398"/>
      <c r="L566" s="398"/>
      <c r="M566" s="398"/>
      <c r="N566" s="86"/>
    </row>
    <row r="567" spans="1:14" s="628" customFormat="1" ht="15.75" x14ac:dyDescent="0.25">
      <c r="A567" s="523">
        <v>563</v>
      </c>
      <c r="B567" s="523" t="s">
        <v>1023</v>
      </c>
      <c r="C567" s="555">
        <v>577</v>
      </c>
      <c r="D567" s="563">
        <v>30000</v>
      </c>
      <c r="E567" s="87"/>
      <c r="F567" s="573">
        <v>334.47</v>
      </c>
      <c r="G567" s="563">
        <v>30000</v>
      </c>
      <c r="H567" s="87">
        <f t="shared" si="9"/>
        <v>0</v>
      </c>
      <c r="I567" s="509"/>
      <c r="J567" s="525"/>
      <c r="K567" s="398"/>
      <c r="L567" s="398"/>
      <c r="M567" s="398"/>
      <c r="N567" s="86"/>
    </row>
    <row r="568" spans="1:14" s="628" customFormat="1" ht="15.75" x14ac:dyDescent="0.25">
      <c r="A568" s="523">
        <v>564</v>
      </c>
      <c r="B568" s="523" t="s">
        <v>1023</v>
      </c>
      <c r="C568" s="555">
        <v>2213</v>
      </c>
      <c r="D568" s="563">
        <v>30000</v>
      </c>
      <c r="E568" s="87"/>
      <c r="F568" s="573">
        <v>334.47</v>
      </c>
      <c r="G568" s="563">
        <v>30000</v>
      </c>
      <c r="H568" s="87">
        <f t="shared" si="9"/>
        <v>0</v>
      </c>
      <c r="I568" s="509"/>
      <c r="J568" s="525"/>
      <c r="K568" s="398"/>
      <c r="L568" s="398"/>
      <c r="M568" s="398"/>
      <c r="N568" s="86"/>
    </row>
    <row r="569" spans="1:14" s="628" customFormat="1" ht="15.75" x14ac:dyDescent="0.25">
      <c r="A569" s="523">
        <v>565</v>
      </c>
      <c r="B569" s="523" t="s">
        <v>1023</v>
      </c>
      <c r="C569" s="555">
        <v>1615</v>
      </c>
      <c r="D569" s="563">
        <v>25000</v>
      </c>
      <c r="E569" s="87"/>
      <c r="F569" s="573">
        <v>278.22000000000003</v>
      </c>
      <c r="G569" s="563">
        <v>25000</v>
      </c>
      <c r="H569" s="87">
        <f t="shared" si="9"/>
        <v>0</v>
      </c>
      <c r="I569" s="509"/>
      <c r="J569" s="525"/>
      <c r="K569" s="398"/>
      <c r="L569" s="398"/>
      <c r="M569" s="398"/>
      <c r="N569" s="86"/>
    </row>
    <row r="570" spans="1:14" s="628" customFormat="1" ht="15.75" x14ac:dyDescent="0.25">
      <c r="A570" s="523">
        <v>566</v>
      </c>
      <c r="B570" s="523" t="s">
        <v>1023</v>
      </c>
      <c r="C570" s="555">
        <v>746</v>
      </c>
      <c r="D570" s="563">
        <v>20000</v>
      </c>
      <c r="E570" s="87"/>
      <c r="F570" s="573">
        <v>222.42</v>
      </c>
      <c r="G570" s="563">
        <v>20000</v>
      </c>
      <c r="H570" s="87">
        <f t="shared" si="9"/>
        <v>0</v>
      </c>
      <c r="I570" s="509"/>
      <c r="J570" s="525"/>
      <c r="K570" s="398"/>
      <c r="L570" s="398"/>
      <c r="M570" s="398"/>
      <c r="N570" s="86"/>
    </row>
    <row r="571" spans="1:14" s="628" customFormat="1" ht="15.75" x14ac:dyDescent="0.25">
      <c r="A571" s="523">
        <v>567</v>
      </c>
      <c r="B571" s="523" t="s">
        <v>1023</v>
      </c>
      <c r="C571" s="555">
        <v>6672</v>
      </c>
      <c r="D571" s="563">
        <v>20000</v>
      </c>
      <c r="E571" s="87"/>
      <c r="F571" s="573">
        <v>222.42</v>
      </c>
      <c r="G571" s="563">
        <v>20000</v>
      </c>
      <c r="H571" s="87">
        <f t="shared" si="9"/>
        <v>0</v>
      </c>
      <c r="I571" s="509"/>
      <c r="J571" s="525"/>
      <c r="K571" s="398"/>
      <c r="L571" s="398"/>
      <c r="M571" s="398"/>
      <c r="N571" s="86"/>
    </row>
    <row r="572" spans="1:14" s="628" customFormat="1" ht="15.75" x14ac:dyDescent="0.25">
      <c r="A572" s="523">
        <v>568</v>
      </c>
      <c r="B572" s="523" t="s">
        <v>1023</v>
      </c>
      <c r="C572" s="555">
        <v>5024</v>
      </c>
      <c r="D572" s="563">
        <v>15000</v>
      </c>
      <c r="E572" s="87"/>
      <c r="F572" s="573">
        <v>167.15</v>
      </c>
      <c r="G572" s="563">
        <v>15000</v>
      </c>
      <c r="H572" s="87">
        <f t="shared" si="9"/>
        <v>0</v>
      </c>
      <c r="I572" s="509"/>
      <c r="J572" s="525"/>
      <c r="K572" s="398"/>
      <c r="L572" s="398"/>
      <c r="M572" s="398"/>
      <c r="N572" s="86"/>
    </row>
    <row r="573" spans="1:14" s="628" customFormat="1" ht="15.75" x14ac:dyDescent="0.25">
      <c r="A573" s="523">
        <v>569</v>
      </c>
      <c r="B573" s="523" t="s">
        <v>1023</v>
      </c>
      <c r="C573" s="555">
        <v>5099</v>
      </c>
      <c r="D573" s="563">
        <v>45000</v>
      </c>
      <c r="E573" s="87"/>
      <c r="F573" s="573">
        <v>500.47</v>
      </c>
      <c r="G573" s="563">
        <v>45000</v>
      </c>
      <c r="H573" s="87">
        <f t="shared" si="9"/>
        <v>0</v>
      </c>
      <c r="I573" s="509"/>
      <c r="J573" s="525"/>
      <c r="K573" s="398"/>
      <c r="L573" s="398"/>
      <c r="M573" s="398"/>
      <c r="N573" s="86"/>
    </row>
    <row r="574" spans="1:14" s="628" customFormat="1" ht="15.75" x14ac:dyDescent="0.25">
      <c r="A574" s="523">
        <v>570</v>
      </c>
      <c r="B574" s="523" t="s">
        <v>1023</v>
      </c>
      <c r="C574" s="555">
        <v>3303</v>
      </c>
      <c r="D574" s="563">
        <v>12061</v>
      </c>
      <c r="E574" s="87"/>
      <c r="F574" s="573">
        <v>134.74</v>
      </c>
      <c r="G574" s="563">
        <v>12061</v>
      </c>
      <c r="H574" s="87">
        <f t="shared" si="9"/>
        <v>0</v>
      </c>
      <c r="I574" s="509"/>
      <c r="J574" s="525"/>
      <c r="K574" s="398"/>
      <c r="L574" s="398"/>
      <c r="M574" s="398"/>
      <c r="N574" s="86"/>
    </row>
    <row r="575" spans="1:14" s="628" customFormat="1" ht="15.75" x14ac:dyDescent="0.25">
      <c r="A575" s="523">
        <v>571</v>
      </c>
      <c r="B575" s="523" t="s">
        <v>1026</v>
      </c>
      <c r="C575" s="555">
        <v>4089</v>
      </c>
      <c r="D575" s="563">
        <v>29000</v>
      </c>
      <c r="E575" s="87"/>
      <c r="F575" s="573">
        <v>323.47000000000003</v>
      </c>
      <c r="G575" s="563">
        <v>29000</v>
      </c>
      <c r="H575" s="87">
        <f t="shared" si="9"/>
        <v>0</v>
      </c>
      <c r="I575" s="509"/>
      <c r="J575" s="525"/>
      <c r="K575" s="398"/>
      <c r="L575" s="398"/>
      <c r="M575" s="398"/>
      <c r="N575" s="86"/>
    </row>
    <row r="576" spans="1:14" s="628" customFormat="1" ht="15.75" x14ac:dyDescent="0.25">
      <c r="A576" s="523">
        <v>572</v>
      </c>
      <c r="B576" s="523" t="s">
        <v>1026</v>
      </c>
      <c r="C576" s="555">
        <v>2497</v>
      </c>
      <c r="D576" s="563">
        <v>18000</v>
      </c>
      <c r="E576" s="87"/>
      <c r="F576" s="573">
        <v>200.47</v>
      </c>
      <c r="G576" s="563">
        <v>18000</v>
      </c>
      <c r="H576" s="87">
        <f t="shared" si="9"/>
        <v>0</v>
      </c>
      <c r="I576" s="509"/>
      <c r="J576" s="525"/>
      <c r="K576" s="398"/>
      <c r="L576" s="398"/>
      <c r="M576" s="398"/>
      <c r="N576" s="86"/>
    </row>
    <row r="577" spans="1:14" s="628" customFormat="1" ht="15.75" x14ac:dyDescent="0.25">
      <c r="A577" s="523">
        <v>573</v>
      </c>
      <c r="B577" s="523" t="s">
        <v>1026</v>
      </c>
      <c r="C577" s="555">
        <v>899</v>
      </c>
      <c r="D577" s="563">
        <v>22000</v>
      </c>
      <c r="E577" s="87"/>
      <c r="F577" s="573">
        <v>245.67</v>
      </c>
      <c r="G577" s="563">
        <v>22000</v>
      </c>
      <c r="H577" s="87">
        <f t="shared" si="9"/>
        <v>0</v>
      </c>
      <c r="I577" s="509"/>
      <c r="J577" s="525"/>
      <c r="K577" s="398"/>
      <c r="L577" s="398"/>
      <c r="M577" s="398"/>
      <c r="N577" s="86"/>
    </row>
    <row r="578" spans="1:14" s="628" customFormat="1" ht="15.75" x14ac:dyDescent="0.25">
      <c r="A578" s="523">
        <v>574</v>
      </c>
      <c r="B578" s="523" t="s">
        <v>1026</v>
      </c>
      <c r="C578" s="555">
        <v>9490</v>
      </c>
      <c r="D578" s="563">
        <v>22000</v>
      </c>
      <c r="E578" s="87"/>
      <c r="F578" s="573">
        <v>245.67</v>
      </c>
      <c r="G578" s="563">
        <v>22000</v>
      </c>
      <c r="H578" s="87">
        <f t="shared" si="9"/>
        <v>0</v>
      </c>
      <c r="I578" s="509"/>
      <c r="J578" s="525"/>
      <c r="K578" s="398"/>
      <c r="L578" s="398"/>
      <c r="M578" s="398"/>
      <c r="N578" s="86"/>
    </row>
    <row r="579" spans="1:14" s="628" customFormat="1" ht="15.75" x14ac:dyDescent="0.25">
      <c r="A579" s="523">
        <v>575</v>
      </c>
      <c r="B579" s="523" t="s">
        <v>1026</v>
      </c>
      <c r="C579" s="555">
        <v>849</v>
      </c>
      <c r="D579" s="563">
        <v>10000</v>
      </c>
      <c r="E579" s="87"/>
      <c r="F579" s="573">
        <v>111.41</v>
      </c>
      <c r="G579" s="563">
        <v>10000</v>
      </c>
      <c r="H579" s="87">
        <f t="shared" si="9"/>
        <v>0</v>
      </c>
      <c r="I579" s="509"/>
      <c r="J579" s="525"/>
      <c r="K579" s="398"/>
      <c r="L579" s="398"/>
      <c r="M579" s="398"/>
      <c r="N579" s="86"/>
    </row>
    <row r="580" spans="1:14" s="628" customFormat="1" ht="15.75" x14ac:dyDescent="0.25">
      <c r="A580" s="523">
        <v>576</v>
      </c>
      <c r="B580" s="523" t="s">
        <v>1026</v>
      </c>
      <c r="C580" s="555">
        <v>7820</v>
      </c>
      <c r="D580" s="563">
        <v>16000</v>
      </c>
      <c r="E580" s="87"/>
      <c r="F580" s="573">
        <v>178.22</v>
      </c>
      <c r="G580" s="563">
        <v>16000</v>
      </c>
      <c r="H580" s="87">
        <f t="shared" si="9"/>
        <v>0</v>
      </c>
      <c r="I580" s="509"/>
      <c r="J580" s="525"/>
      <c r="K580" s="398"/>
      <c r="L580" s="398"/>
      <c r="M580" s="398"/>
      <c r="N580" s="86"/>
    </row>
    <row r="581" spans="1:14" s="628" customFormat="1" ht="15.75" x14ac:dyDescent="0.25">
      <c r="A581" s="523">
        <v>577</v>
      </c>
      <c r="B581" s="523" t="s">
        <v>1026</v>
      </c>
      <c r="C581" s="555">
        <v>2141</v>
      </c>
      <c r="D581" s="563">
        <v>10000</v>
      </c>
      <c r="E581" s="87"/>
      <c r="F581" s="573">
        <v>111.41</v>
      </c>
      <c r="G581" s="563">
        <v>10000</v>
      </c>
      <c r="H581" s="87">
        <f t="shared" ref="H581:H610" si="10">D581-G581</f>
        <v>0</v>
      </c>
      <c r="I581" s="509"/>
      <c r="J581" s="525"/>
      <c r="K581" s="398"/>
      <c r="L581" s="398"/>
      <c r="M581" s="398"/>
      <c r="N581" s="86"/>
    </row>
    <row r="582" spans="1:14" s="628" customFormat="1" ht="15.75" x14ac:dyDescent="0.25">
      <c r="A582" s="523">
        <v>578</v>
      </c>
      <c r="B582" s="523" t="s">
        <v>1026</v>
      </c>
      <c r="C582" s="555">
        <v>3533</v>
      </c>
      <c r="D582" s="563">
        <v>10000</v>
      </c>
      <c r="E582" s="87"/>
      <c r="F582" s="573">
        <v>111.41</v>
      </c>
      <c r="G582" s="563">
        <v>10000</v>
      </c>
      <c r="H582" s="87">
        <f t="shared" si="10"/>
        <v>0</v>
      </c>
      <c r="I582" s="509"/>
      <c r="J582" s="525"/>
      <c r="K582" s="398"/>
      <c r="L582" s="398"/>
      <c r="M582" s="398"/>
      <c r="N582" s="86"/>
    </row>
    <row r="583" spans="1:14" s="628" customFormat="1" ht="15.75" x14ac:dyDescent="0.25">
      <c r="A583" s="523">
        <v>579</v>
      </c>
      <c r="B583" s="523" t="s">
        <v>1026</v>
      </c>
      <c r="C583" s="555">
        <v>1720</v>
      </c>
      <c r="D583" s="563">
        <v>16000</v>
      </c>
      <c r="E583" s="87"/>
      <c r="F583" s="573">
        <v>178.22</v>
      </c>
      <c r="G583" s="563">
        <v>16000</v>
      </c>
      <c r="H583" s="87">
        <f t="shared" si="10"/>
        <v>0</v>
      </c>
      <c r="I583" s="509"/>
      <c r="J583" s="525"/>
      <c r="K583" s="398"/>
      <c r="L583" s="398"/>
      <c r="M583" s="398"/>
      <c r="N583" s="86"/>
    </row>
    <row r="584" spans="1:14" s="628" customFormat="1" ht="15.75" x14ac:dyDescent="0.25">
      <c r="A584" s="523">
        <v>580</v>
      </c>
      <c r="B584" s="523" t="s">
        <v>1026</v>
      </c>
      <c r="C584" s="555">
        <v>833</v>
      </c>
      <c r="D584" s="563">
        <v>14000</v>
      </c>
      <c r="E584" s="87"/>
      <c r="F584" s="573">
        <v>155.44999999999999</v>
      </c>
      <c r="G584" s="563">
        <v>14000</v>
      </c>
      <c r="H584" s="87">
        <f t="shared" si="10"/>
        <v>0</v>
      </c>
      <c r="I584" s="509"/>
      <c r="J584" s="525"/>
      <c r="K584" s="398"/>
      <c r="L584" s="398"/>
      <c r="M584" s="398"/>
      <c r="N584" s="86"/>
    </row>
    <row r="585" spans="1:14" s="628" customFormat="1" ht="15.75" x14ac:dyDescent="0.25">
      <c r="A585" s="523">
        <v>581</v>
      </c>
      <c r="B585" s="523" t="s">
        <v>1026</v>
      </c>
      <c r="C585" s="555">
        <v>6794</v>
      </c>
      <c r="D585" s="563">
        <v>16000</v>
      </c>
      <c r="E585" s="87"/>
      <c r="F585" s="573">
        <v>178.22</v>
      </c>
      <c r="G585" s="563">
        <v>16000</v>
      </c>
      <c r="H585" s="87">
        <f t="shared" si="10"/>
        <v>0</v>
      </c>
      <c r="I585" s="509"/>
      <c r="J585" s="525"/>
      <c r="K585" s="398"/>
      <c r="L585" s="398"/>
      <c r="M585" s="398"/>
      <c r="N585" s="86"/>
    </row>
    <row r="586" spans="1:14" s="628" customFormat="1" ht="15.75" x14ac:dyDescent="0.25">
      <c r="A586" s="523">
        <v>582</v>
      </c>
      <c r="B586" s="523" t="s">
        <v>1026</v>
      </c>
      <c r="C586" s="555">
        <v>9655</v>
      </c>
      <c r="D586" s="563">
        <v>15000</v>
      </c>
      <c r="E586" s="87"/>
      <c r="F586" s="573">
        <v>167.15</v>
      </c>
      <c r="G586" s="563">
        <v>15000</v>
      </c>
      <c r="H586" s="87">
        <f t="shared" si="10"/>
        <v>0</v>
      </c>
      <c r="I586" s="509"/>
      <c r="J586" s="525"/>
      <c r="K586" s="398"/>
      <c r="L586" s="398"/>
      <c r="M586" s="398"/>
      <c r="N586" s="86"/>
    </row>
    <row r="587" spans="1:14" s="628" customFormat="1" ht="15.75" x14ac:dyDescent="0.25">
      <c r="A587" s="523">
        <v>583</v>
      </c>
      <c r="B587" s="523" t="s">
        <v>1026</v>
      </c>
      <c r="C587" s="555">
        <v>9555</v>
      </c>
      <c r="D587" s="563">
        <v>15000</v>
      </c>
      <c r="E587" s="87"/>
      <c r="F587" s="573">
        <v>167.15</v>
      </c>
      <c r="G587" s="563">
        <v>15000</v>
      </c>
      <c r="H587" s="87">
        <f t="shared" si="10"/>
        <v>0</v>
      </c>
      <c r="I587" s="509"/>
      <c r="J587" s="525"/>
      <c r="K587" s="398"/>
      <c r="L587" s="398"/>
      <c r="M587" s="398"/>
      <c r="N587" s="86"/>
    </row>
    <row r="588" spans="1:14" s="628" customFormat="1" ht="15.75" x14ac:dyDescent="0.25">
      <c r="A588" s="523">
        <v>584</v>
      </c>
      <c r="B588" s="523" t="s">
        <v>1026</v>
      </c>
      <c r="C588" s="555" t="s">
        <v>30</v>
      </c>
      <c r="D588" s="563">
        <v>4500</v>
      </c>
      <c r="E588" s="87"/>
      <c r="F588" s="573">
        <v>50.45</v>
      </c>
      <c r="G588" s="563">
        <v>4500</v>
      </c>
      <c r="H588" s="87">
        <f t="shared" si="10"/>
        <v>0</v>
      </c>
      <c r="I588" s="509"/>
      <c r="J588" s="525"/>
      <c r="K588" s="398"/>
      <c r="L588" s="398"/>
      <c r="M588" s="398"/>
      <c r="N588" s="86"/>
    </row>
    <row r="589" spans="1:14" s="628" customFormat="1" ht="15.75" x14ac:dyDescent="0.25">
      <c r="A589" s="523">
        <v>585</v>
      </c>
      <c r="B589" s="523" t="s">
        <v>1026</v>
      </c>
      <c r="C589" s="555" t="s">
        <v>30</v>
      </c>
      <c r="D589" s="563">
        <v>10000</v>
      </c>
      <c r="E589" s="87"/>
      <c r="F589" s="573">
        <v>111.41</v>
      </c>
      <c r="G589" s="563">
        <v>10000</v>
      </c>
      <c r="H589" s="87">
        <f t="shared" si="10"/>
        <v>0</v>
      </c>
      <c r="I589" s="509"/>
      <c r="J589" s="525"/>
      <c r="K589" s="398"/>
      <c r="L589" s="398"/>
      <c r="M589" s="398"/>
      <c r="N589" s="86"/>
    </row>
    <row r="590" spans="1:14" s="628" customFormat="1" ht="15.75" x14ac:dyDescent="0.25">
      <c r="A590" s="523">
        <v>586</v>
      </c>
      <c r="B590" s="523" t="s">
        <v>1026</v>
      </c>
      <c r="C590" s="555">
        <v>6735</v>
      </c>
      <c r="D590" s="563">
        <v>16000</v>
      </c>
      <c r="E590" s="87"/>
      <c r="F590" s="573">
        <v>178.22</v>
      </c>
      <c r="G590" s="563">
        <v>16000</v>
      </c>
      <c r="H590" s="87">
        <f t="shared" si="10"/>
        <v>0</v>
      </c>
      <c r="I590" s="509"/>
      <c r="J590" s="525"/>
      <c r="K590" s="398"/>
      <c r="L590" s="398"/>
      <c r="M590" s="398"/>
      <c r="N590" s="86"/>
    </row>
    <row r="591" spans="1:14" s="628" customFormat="1" ht="15.75" x14ac:dyDescent="0.25">
      <c r="A591" s="523">
        <v>587</v>
      </c>
      <c r="B591" s="523" t="s">
        <v>1026</v>
      </c>
      <c r="C591" s="555">
        <v>8085</v>
      </c>
      <c r="D591" s="563">
        <v>12000</v>
      </c>
      <c r="E591" s="87"/>
      <c r="F591" s="573">
        <v>122.47</v>
      </c>
      <c r="G591" s="563">
        <v>12000</v>
      </c>
      <c r="H591" s="87">
        <f t="shared" si="10"/>
        <v>0</v>
      </c>
      <c r="I591" s="509"/>
      <c r="J591" s="525"/>
      <c r="K591" s="398"/>
      <c r="L591" s="398"/>
      <c r="M591" s="398"/>
      <c r="N591" s="86"/>
    </row>
    <row r="592" spans="1:14" s="628" customFormat="1" ht="15.75" x14ac:dyDescent="0.25">
      <c r="A592" s="523">
        <v>588</v>
      </c>
      <c r="B592" s="523" t="s">
        <v>1026</v>
      </c>
      <c r="C592" s="555">
        <v>2082</v>
      </c>
      <c r="D592" s="563">
        <v>20000</v>
      </c>
      <c r="E592" s="87"/>
      <c r="F592" s="573">
        <v>222.82</v>
      </c>
      <c r="G592" s="563">
        <v>20000</v>
      </c>
      <c r="H592" s="87">
        <f t="shared" si="10"/>
        <v>0</v>
      </c>
      <c r="I592" s="509"/>
      <c r="J592" s="525"/>
      <c r="K592" s="398"/>
      <c r="L592" s="398"/>
      <c r="M592" s="398"/>
      <c r="N592" s="86"/>
    </row>
    <row r="593" spans="1:14" s="628" customFormat="1" ht="15.75" x14ac:dyDescent="0.25">
      <c r="A593" s="523">
        <v>589</v>
      </c>
      <c r="B593" s="523" t="s">
        <v>1026</v>
      </c>
      <c r="C593" s="555">
        <v>3727</v>
      </c>
      <c r="D593" s="563">
        <v>30000</v>
      </c>
      <c r="E593" s="87"/>
      <c r="F593" s="573">
        <v>326.47000000000003</v>
      </c>
      <c r="G593" s="563">
        <v>30000</v>
      </c>
      <c r="H593" s="87">
        <f t="shared" si="10"/>
        <v>0</v>
      </c>
      <c r="I593" s="509"/>
      <c r="J593" s="525"/>
      <c r="K593" s="398"/>
      <c r="L593" s="398"/>
      <c r="M593" s="398"/>
      <c r="N593" s="86"/>
    </row>
    <row r="594" spans="1:14" s="628" customFormat="1" ht="15.75" x14ac:dyDescent="0.25">
      <c r="A594" s="523">
        <v>590</v>
      </c>
      <c r="B594" s="523" t="s">
        <v>1026</v>
      </c>
      <c r="C594" s="555">
        <v>8445</v>
      </c>
      <c r="D594" s="563">
        <v>25000</v>
      </c>
      <c r="E594" s="87"/>
      <c r="F594" s="573">
        <v>278.22000000000003</v>
      </c>
      <c r="G594" s="563">
        <v>25000</v>
      </c>
      <c r="H594" s="87">
        <f t="shared" si="10"/>
        <v>0</v>
      </c>
      <c r="I594" s="509"/>
      <c r="J594" s="525"/>
      <c r="K594" s="398"/>
      <c r="L594" s="398"/>
      <c r="M594" s="398"/>
      <c r="N594" s="86"/>
    </row>
    <row r="595" spans="1:14" s="628" customFormat="1" ht="15.75" x14ac:dyDescent="0.25">
      <c r="A595" s="523">
        <v>591</v>
      </c>
      <c r="B595" s="523" t="s">
        <v>1026</v>
      </c>
      <c r="C595" s="555">
        <v>4529</v>
      </c>
      <c r="D595" s="563">
        <v>27000</v>
      </c>
      <c r="E595" s="87"/>
      <c r="F595" s="573">
        <v>300.57</v>
      </c>
      <c r="G595" s="563">
        <v>27000</v>
      </c>
      <c r="H595" s="87">
        <f t="shared" si="10"/>
        <v>0</v>
      </c>
      <c r="I595" s="509"/>
      <c r="J595" s="525"/>
      <c r="K595" s="398"/>
      <c r="L595" s="398"/>
      <c r="M595" s="398"/>
      <c r="N595" s="86"/>
    </row>
    <row r="596" spans="1:14" s="628" customFormat="1" ht="15.75" x14ac:dyDescent="0.25">
      <c r="A596" s="523">
        <v>592</v>
      </c>
      <c r="B596" s="523" t="s">
        <v>1026</v>
      </c>
      <c r="C596" s="555">
        <v>5381</v>
      </c>
      <c r="D596" s="563">
        <v>20000</v>
      </c>
      <c r="E596" s="87"/>
      <c r="F596" s="573">
        <v>222.42</v>
      </c>
      <c r="G596" s="563">
        <v>20000</v>
      </c>
      <c r="H596" s="87">
        <f t="shared" si="10"/>
        <v>0</v>
      </c>
      <c r="I596" s="509"/>
      <c r="J596" s="525"/>
      <c r="K596" s="398"/>
      <c r="L596" s="398"/>
      <c r="M596" s="398"/>
      <c r="N596" s="86"/>
    </row>
    <row r="597" spans="1:14" s="628" customFormat="1" ht="15.75" x14ac:dyDescent="0.25">
      <c r="A597" s="523">
        <v>593</v>
      </c>
      <c r="B597" s="523" t="s">
        <v>1026</v>
      </c>
      <c r="C597" s="555">
        <v>2618</v>
      </c>
      <c r="D597" s="563">
        <v>20000</v>
      </c>
      <c r="E597" s="87"/>
      <c r="F597" s="573">
        <v>222.42</v>
      </c>
      <c r="G597" s="563">
        <v>20000</v>
      </c>
      <c r="H597" s="87">
        <f t="shared" si="10"/>
        <v>0</v>
      </c>
      <c r="I597" s="509"/>
      <c r="J597" s="525"/>
      <c r="K597" s="398"/>
      <c r="L597" s="398"/>
      <c r="M597" s="398"/>
      <c r="N597" s="86"/>
    </row>
    <row r="598" spans="1:14" s="628" customFormat="1" ht="15.75" x14ac:dyDescent="0.25">
      <c r="A598" s="523">
        <v>594</v>
      </c>
      <c r="B598" s="523" t="s">
        <v>1026</v>
      </c>
      <c r="C598" s="555">
        <v>2244</v>
      </c>
      <c r="D598" s="563">
        <v>14000</v>
      </c>
      <c r="E598" s="87"/>
      <c r="F598" s="573">
        <v>155.37</v>
      </c>
      <c r="G598" s="563">
        <v>14000</v>
      </c>
      <c r="H598" s="87">
        <f t="shared" si="10"/>
        <v>0</v>
      </c>
      <c r="I598" s="509"/>
      <c r="J598" s="525"/>
      <c r="K598" s="398"/>
      <c r="L598" s="398"/>
      <c r="M598" s="398"/>
      <c r="N598" s="86"/>
    </row>
    <row r="599" spans="1:14" s="628" customFormat="1" ht="15.75" x14ac:dyDescent="0.25">
      <c r="A599" s="523">
        <v>595</v>
      </c>
      <c r="B599" s="523" t="s">
        <v>1026</v>
      </c>
      <c r="C599" s="555">
        <v>9978</v>
      </c>
      <c r="D599" s="563">
        <v>25000</v>
      </c>
      <c r="E599" s="87"/>
      <c r="F599" s="573">
        <v>278.22000000000003</v>
      </c>
      <c r="G599" s="563">
        <v>25000</v>
      </c>
      <c r="H599" s="87">
        <f t="shared" si="10"/>
        <v>0</v>
      </c>
      <c r="I599" s="509"/>
      <c r="J599" s="525"/>
      <c r="K599" s="398"/>
      <c r="L599" s="398"/>
      <c r="M599" s="398"/>
      <c r="N599" s="86"/>
    </row>
    <row r="600" spans="1:14" s="628" customFormat="1" ht="15.75" x14ac:dyDescent="0.25">
      <c r="A600" s="523">
        <v>596</v>
      </c>
      <c r="B600" s="523" t="s">
        <v>1026</v>
      </c>
      <c r="C600" s="555">
        <v>44</v>
      </c>
      <c r="D600" s="563">
        <v>20000</v>
      </c>
      <c r="E600" s="87"/>
      <c r="F600" s="573">
        <v>222.82</v>
      </c>
      <c r="G600" s="563">
        <v>20000</v>
      </c>
      <c r="H600" s="87">
        <f t="shared" si="10"/>
        <v>0</v>
      </c>
      <c r="I600" s="509"/>
      <c r="J600" s="525"/>
      <c r="K600" s="398"/>
      <c r="L600" s="398"/>
      <c r="M600" s="398"/>
      <c r="N600" s="86"/>
    </row>
    <row r="601" spans="1:14" s="628" customFormat="1" ht="15.75" x14ac:dyDescent="0.25">
      <c r="A601" s="523">
        <v>597</v>
      </c>
      <c r="B601" s="523" t="s">
        <v>1026</v>
      </c>
      <c r="C601" s="555">
        <v>2667</v>
      </c>
      <c r="D601" s="563">
        <v>21000</v>
      </c>
      <c r="E601" s="87"/>
      <c r="F601" s="573">
        <v>233.57</v>
      </c>
      <c r="G601" s="563">
        <v>21000</v>
      </c>
      <c r="H601" s="87">
        <f t="shared" si="10"/>
        <v>0</v>
      </c>
      <c r="I601" s="509"/>
      <c r="J601" s="525"/>
      <c r="K601" s="398"/>
      <c r="L601" s="398"/>
      <c r="M601" s="398"/>
      <c r="N601" s="86"/>
    </row>
    <row r="602" spans="1:14" s="628" customFormat="1" ht="15.75" x14ac:dyDescent="0.25">
      <c r="A602" s="523">
        <v>598</v>
      </c>
      <c r="B602" s="523" t="s">
        <v>1026</v>
      </c>
      <c r="C602" s="555">
        <v>1174</v>
      </c>
      <c r="D602" s="563">
        <v>10000</v>
      </c>
      <c r="E602" s="87"/>
      <c r="F602" s="573">
        <v>111.42</v>
      </c>
      <c r="G602" s="563">
        <v>10000</v>
      </c>
      <c r="H602" s="87">
        <f t="shared" si="10"/>
        <v>0</v>
      </c>
      <c r="I602" s="509"/>
      <c r="J602" s="525"/>
      <c r="K602" s="398"/>
      <c r="L602" s="398"/>
      <c r="M602" s="398"/>
      <c r="N602" s="86"/>
    </row>
    <row r="603" spans="1:14" s="628" customFormat="1" ht="15.75" x14ac:dyDescent="0.25">
      <c r="A603" s="523">
        <v>599</v>
      </c>
      <c r="B603" s="523" t="s">
        <v>1026</v>
      </c>
      <c r="C603" s="555">
        <v>1537</v>
      </c>
      <c r="D603" s="563">
        <v>10000</v>
      </c>
      <c r="E603" s="87"/>
      <c r="F603" s="573">
        <v>111.42</v>
      </c>
      <c r="G603" s="563">
        <v>10000</v>
      </c>
      <c r="H603" s="87">
        <f t="shared" si="10"/>
        <v>0</v>
      </c>
      <c r="I603" s="509"/>
      <c r="J603" s="525"/>
      <c r="K603" s="398"/>
      <c r="L603" s="398"/>
      <c r="M603" s="398"/>
      <c r="N603" s="86"/>
    </row>
    <row r="604" spans="1:14" s="628" customFormat="1" ht="15.75" x14ac:dyDescent="0.25">
      <c r="A604" s="523">
        <v>600</v>
      </c>
      <c r="B604" s="523" t="s">
        <v>1026</v>
      </c>
      <c r="C604" s="555">
        <v>7073</v>
      </c>
      <c r="D604" s="563">
        <v>17000</v>
      </c>
      <c r="E604" s="87"/>
      <c r="F604" s="573">
        <v>189.47</v>
      </c>
      <c r="G604" s="563">
        <v>17000</v>
      </c>
      <c r="H604" s="87">
        <f t="shared" si="10"/>
        <v>0</v>
      </c>
      <c r="I604" s="509"/>
      <c r="J604" s="525"/>
      <c r="K604" s="398"/>
      <c r="L604" s="398"/>
      <c r="M604" s="398"/>
      <c r="N604" s="86"/>
    </row>
    <row r="605" spans="1:14" s="628" customFormat="1" ht="15.75" x14ac:dyDescent="0.25">
      <c r="A605" s="523">
        <v>601</v>
      </c>
      <c r="B605" s="523" t="s">
        <v>1026</v>
      </c>
      <c r="C605" s="555">
        <v>9944</v>
      </c>
      <c r="D605" s="563">
        <v>14000</v>
      </c>
      <c r="E605" s="87"/>
      <c r="F605" s="573">
        <v>155.94</v>
      </c>
      <c r="G605" s="563">
        <v>14000</v>
      </c>
      <c r="H605" s="87">
        <f t="shared" si="10"/>
        <v>0</v>
      </c>
      <c r="I605" s="509"/>
      <c r="J605" s="525"/>
      <c r="K605" s="398"/>
      <c r="L605" s="398"/>
      <c r="M605" s="398"/>
      <c r="N605" s="86"/>
    </row>
    <row r="606" spans="1:14" s="628" customFormat="1" ht="15.75" x14ac:dyDescent="0.25">
      <c r="A606" s="523">
        <v>602</v>
      </c>
      <c r="B606" s="523" t="s">
        <v>1026</v>
      </c>
      <c r="C606" s="555">
        <v>4584</v>
      </c>
      <c r="D606" s="563">
        <v>7000</v>
      </c>
      <c r="E606" s="87"/>
      <c r="F606" s="573">
        <v>77.8</v>
      </c>
      <c r="G606" s="563">
        <v>7000</v>
      </c>
      <c r="H606" s="87">
        <f t="shared" si="10"/>
        <v>0</v>
      </c>
      <c r="I606" s="509"/>
      <c r="J606" s="525"/>
      <c r="K606" s="398"/>
      <c r="L606" s="398"/>
      <c r="M606" s="398"/>
      <c r="N606" s="86"/>
    </row>
    <row r="607" spans="1:14" s="628" customFormat="1" ht="15.75" x14ac:dyDescent="0.25">
      <c r="A607" s="523">
        <v>603</v>
      </c>
      <c r="B607" s="523" t="s">
        <v>1026</v>
      </c>
      <c r="C607" s="555">
        <v>2752</v>
      </c>
      <c r="D607" s="563">
        <v>25000</v>
      </c>
      <c r="E607" s="87"/>
      <c r="F607" s="573">
        <v>278.22000000000003</v>
      </c>
      <c r="G607" s="563">
        <v>25000</v>
      </c>
      <c r="H607" s="87">
        <f t="shared" si="10"/>
        <v>0</v>
      </c>
      <c r="I607" s="509"/>
      <c r="J607" s="525"/>
      <c r="K607" s="398"/>
      <c r="L607" s="398"/>
      <c r="M607" s="398"/>
      <c r="N607" s="86"/>
    </row>
    <row r="608" spans="1:14" s="628" customFormat="1" ht="15.75" x14ac:dyDescent="0.25">
      <c r="A608" s="523">
        <v>604</v>
      </c>
      <c r="B608" s="523" t="s">
        <v>1026</v>
      </c>
      <c r="C608" s="555">
        <v>7631</v>
      </c>
      <c r="D608" s="563">
        <v>23000</v>
      </c>
      <c r="E608" s="87"/>
      <c r="F608" s="573">
        <v>256.27999999999997</v>
      </c>
      <c r="G608" s="563">
        <v>23000</v>
      </c>
      <c r="H608" s="87">
        <f t="shared" si="10"/>
        <v>0</v>
      </c>
      <c r="I608" s="509"/>
      <c r="J608" s="525"/>
      <c r="K608" s="398"/>
      <c r="L608" s="398"/>
      <c r="M608" s="398"/>
      <c r="N608" s="86"/>
    </row>
    <row r="609" spans="1:18" s="628" customFormat="1" ht="15.75" x14ac:dyDescent="0.25">
      <c r="A609" s="523">
        <v>605</v>
      </c>
      <c r="B609" s="523" t="s">
        <v>1026</v>
      </c>
      <c r="C609" s="555">
        <v>5321</v>
      </c>
      <c r="D609" s="563">
        <v>12000</v>
      </c>
      <c r="E609" s="87"/>
      <c r="F609" s="573">
        <v>133.41999999999999</v>
      </c>
      <c r="G609" s="563">
        <v>12000</v>
      </c>
      <c r="H609" s="87">
        <f t="shared" si="10"/>
        <v>0</v>
      </c>
      <c r="I609" s="509"/>
      <c r="J609" s="525"/>
      <c r="K609" s="398"/>
      <c r="L609" s="398"/>
      <c r="M609" s="398"/>
      <c r="N609" s="86"/>
    </row>
    <row r="610" spans="1:18" s="628" customFormat="1" ht="15.75" x14ac:dyDescent="0.25">
      <c r="A610" s="523">
        <v>606</v>
      </c>
      <c r="B610" s="523" t="s">
        <v>1026</v>
      </c>
      <c r="C610" s="555" t="s">
        <v>66</v>
      </c>
      <c r="D610" s="563">
        <v>210</v>
      </c>
      <c r="E610" s="87"/>
      <c r="F610" s="573">
        <v>2.09</v>
      </c>
      <c r="G610" s="563">
        <v>210</v>
      </c>
      <c r="H610" s="87">
        <f t="shared" si="10"/>
        <v>0</v>
      </c>
      <c r="I610" s="509"/>
      <c r="J610" s="525"/>
      <c r="K610" s="398"/>
      <c r="L610" s="398"/>
      <c r="M610" s="398"/>
      <c r="N610" s="86"/>
    </row>
    <row r="611" spans="1:18" ht="15" x14ac:dyDescent="0.25">
      <c r="A611" s="87" t="s">
        <v>75</v>
      </c>
      <c r="B611" s="87"/>
      <c r="C611" s="602" t="s">
        <v>9</v>
      </c>
      <c r="D611" s="569">
        <v>14690738</v>
      </c>
      <c r="E611" s="603"/>
      <c r="F611" s="569">
        <f>SUM(F5:F610)</f>
        <v>130185.32000000002</v>
      </c>
      <c r="G611" s="569">
        <v>14690738</v>
      </c>
      <c r="H611" s="603"/>
      <c r="I611" s="24">
        <f>SUM(I5:I338)</f>
        <v>12054000</v>
      </c>
      <c r="J611" s="398"/>
      <c r="K611" s="605"/>
      <c r="L611" s="605"/>
      <c r="M611" s="605"/>
      <c r="N611" s="605"/>
      <c r="O611" s="605"/>
      <c r="P611" s="605"/>
      <c r="Q611" s="605"/>
      <c r="R611" s="605"/>
    </row>
    <row r="612" spans="1:18" ht="15.75" x14ac:dyDescent="0.25">
      <c r="A612" s="87"/>
      <c r="B612" s="87"/>
      <c r="C612" s="602" t="s">
        <v>10</v>
      </c>
      <c r="D612" s="601">
        <v>2636738</v>
      </c>
      <c r="E612" s="603"/>
      <c r="F612" s="569"/>
      <c r="G612" s="569" t="s">
        <v>10</v>
      </c>
      <c r="H612" s="601">
        <v>2636738</v>
      </c>
      <c r="I612" s="25"/>
      <c r="J612" s="398"/>
      <c r="K612" s="605"/>
      <c r="L612" s="605"/>
      <c r="M612" s="605"/>
      <c r="N612" s="605"/>
      <c r="O612" s="605"/>
      <c r="P612" s="605"/>
      <c r="Q612" s="605"/>
      <c r="R612" s="605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2"/>
  <sheetViews>
    <sheetView workbookViewId="0">
      <selection activeCell="G610" sqref="G610"/>
    </sheetView>
  </sheetViews>
  <sheetFormatPr defaultRowHeight="14.25" x14ac:dyDescent="0.2"/>
  <cols>
    <col min="1" max="1" width="5.5" customWidth="1"/>
    <col min="3" max="3" width="17.625" customWidth="1"/>
    <col min="4" max="4" width="15.125" customWidth="1"/>
    <col min="5" max="5" width="10.375" customWidth="1"/>
    <col min="6" max="6" width="15.25" customWidth="1"/>
    <col min="7" max="7" width="10.625" customWidth="1"/>
    <col min="8" max="8" width="16.125" style="631" customWidth="1"/>
    <col min="11" max="11" width="16.25" customWidth="1"/>
    <col min="12" max="12" width="11.375" customWidth="1"/>
  </cols>
  <sheetData>
    <row r="1" spans="1:13" ht="20.25" x14ac:dyDescent="0.3">
      <c r="A1" s="510"/>
      <c r="B1" s="510"/>
      <c r="C1" s="557"/>
      <c r="D1" s="565" t="s">
        <v>1028</v>
      </c>
      <c r="E1" s="565"/>
      <c r="F1" s="565"/>
      <c r="G1" s="510"/>
      <c r="H1" s="510"/>
      <c r="I1" s="510"/>
      <c r="J1" s="1"/>
      <c r="K1" s="629"/>
      <c r="L1" s="629"/>
      <c r="M1" s="629"/>
    </row>
    <row r="2" spans="1:13" ht="18" x14ac:dyDescent="0.25">
      <c r="A2" s="510"/>
      <c r="B2" s="510"/>
      <c r="C2" s="557"/>
      <c r="D2" s="630" t="s">
        <v>1029</v>
      </c>
      <c r="E2" s="637"/>
      <c r="F2" s="566"/>
      <c r="G2" s="510"/>
      <c r="H2" s="510"/>
      <c r="I2" s="510"/>
      <c r="J2" s="1"/>
      <c r="K2" s="629"/>
      <c r="L2" s="629"/>
      <c r="M2" s="629"/>
    </row>
    <row r="3" spans="1:13" ht="15.75" x14ac:dyDescent="0.25">
      <c r="A3" s="30" t="s">
        <v>1</v>
      </c>
      <c r="B3" s="30" t="s">
        <v>2</v>
      </c>
      <c r="C3" s="558" t="s">
        <v>97</v>
      </c>
      <c r="D3" s="567" t="s">
        <v>4</v>
      </c>
      <c r="E3" s="567" t="s">
        <v>5</v>
      </c>
      <c r="F3" s="567" t="s">
        <v>4</v>
      </c>
      <c r="G3" s="30" t="s">
        <v>98</v>
      </c>
      <c r="H3" s="417" t="s">
        <v>8</v>
      </c>
      <c r="I3" s="417" t="s">
        <v>2</v>
      </c>
      <c r="J3" s="1"/>
      <c r="K3" s="629"/>
      <c r="L3" s="629"/>
      <c r="M3" s="629"/>
    </row>
    <row r="4" spans="1:13" ht="15.75" x14ac:dyDescent="0.25">
      <c r="A4" s="42"/>
      <c r="B4" s="108" t="s">
        <v>1026</v>
      </c>
      <c r="C4" s="559" t="s">
        <v>374</v>
      </c>
      <c r="D4" s="568">
        <v>2636738</v>
      </c>
      <c r="E4" s="572"/>
      <c r="F4" s="568">
        <v>2636738</v>
      </c>
      <c r="G4" s="568"/>
      <c r="H4" s="107"/>
      <c r="I4" s="107"/>
      <c r="J4" s="1"/>
      <c r="K4" s="629"/>
      <c r="L4" s="629"/>
      <c r="M4" s="629"/>
    </row>
    <row r="5" spans="1:13" ht="15.75" x14ac:dyDescent="0.25">
      <c r="A5" s="523">
        <v>1</v>
      </c>
      <c r="B5" s="523" t="s">
        <v>1027</v>
      </c>
      <c r="C5" s="553">
        <v>5327</v>
      </c>
      <c r="D5" s="563">
        <v>5000</v>
      </c>
      <c r="E5" s="573">
        <v>55</v>
      </c>
      <c r="F5" s="563">
        <v>5000</v>
      </c>
      <c r="G5" s="87">
        <f t="shared" ref="G5:G68" si="0">D5-F5</f>
        <v>0</v>
      </c>
      <c r="H5" s="509">
        <v>600000</v>
      </c>
      <c r="I5" s="509" t="s">
        <v>1027</v>
      </c>
      <c r="J5" s="89" t="s">
        <v>482</v>
      </c>
      <c r="K5" s="522"/>
      <c r="L5" s="204"/>
      <c r="M5" s="629"/>
    </row>
    <row r="6" spans="1:13" ht="15.75" x14ac:dyDescent="0.25">
      <c r="A6" s="523">
        <v>2</v>
      </c>
      <c r="B6" s="523" t="s">
        <v>1027</v>
      </c>
      <c r="C6" s="553" t="s">
        <v>30</v>
      </c>
      <c r="D6" s="563">
        <v>5000</v>
      </c>
      <c r="E6" s="573">
        <v>55</v>
      </c>
      <c r="F6" s="563">
        <v>5000</v>
      </c>
      <c r="G6" s="87">
        <f t="shared" si="0"/>
        <v>0</v>
      </c>
      <c r="H6" s="509">
        <v>700000</v>
      </c>
      <c r="I6" s="509" t="s">
        <v>1030</v>
      </c>
      <c r="J6" s="89" t="s">
        <v>482</v>
      </c>
      <c r="K6" s="522"/>
      <c r="L6" s="204"/>
      <c r="M6" s="629"/>
    </row>
    <row r="7" spans="1:13" ht="15.75" x14ac:dyDescent="0.25">
      <c r="A7" s="523">
        <v>3</v>
      </c>
      <c r="B7" s="523" t="s">
        <v>1027</v>
      </c>
      <c r="C7" s="553" t="s">
        <v>30</v>
      </c>
      <c r="D7" s="563">
        <v>5000</v>
      </c>
      <c r="E7" s="573">
        <v>55</v>
      </c>
      <c r="F7" s="563">
        <v>5000</v>
      </c>
      <c r="G7" s="87">
        <f t="shared" si="0"/>
        <v>0</v>
      </c>
      <c r="H7" s="509">
        <v>1400000</v>
      </c>
      <c r="I7" s="509" t="s">
        <v>1031</v>
      </c>
      <c r="J7" s="89" t="s">
        <v>482</v>
      </c>
      <c r="K7" s="522"/>
      <c r="L7" s="204"/>
      <c r="M7" s="629"/>
    </row>
    <row r="8" spans="1:13" ht="15.75" x14ac:dyDescent="0.25">
      <c r="A8" s="523">
        <v>4</v>
      </c>
      <c r="B8" s="523" t="s">
        <v>1027</v>
      </c>
      <c r="C8" s="553">
        <v>5780</v>
      </c>
      <c r="D8" s="563">
        <v>10000</v>
      </c>
      <c r="E8" s="573">
        <v>111</v>
      </c>
      <c r="F8" s="563">
        <v>10000</v>
      </c>
      <c r="G8" s="87">
        <f t="shared" si="0"/>
        <v>0</v>
      </c>
      <c r="H8" s="509">
        <v>400000</v>
      </c>
      <c r="I8" s="509" t="s">
        <v>1041</v>
      </c>
      <c r="J8" s="89" t="s">
        <v>482</v>
      </c>
      <c r="K8" s="522"/>
      <c r="L8" s="204"/>
      <c r="M8" s="629"/>
    </row>
    <row r="9" spans="1:13" ht="15.75" x14ac:dyDescent="0.25">
      <c r="A9" s="523">
        <v>5</v>
      </c>
      <c r="B9" s="523" t="s">
        <v>1027</v>
      </c>
      <c r="C9" s="553">
        <v>5152</v>
      </c>
      <c r="D9" s="563">
        <v>10000</v>
      </c>
      <c r="E9" s="573">
        <v>111</v>
      </c>
      <c r="F9" s="563">
        <v>10000</v>
      </c>
      <c r="G9" s="87">
        <f t="shared" si="0"/>
        <v>0</v>
      </c>
      <c r="H9" s="509">
        <v>600000</v>
      </c>
      <c r="I9" s="509" t="s">
        <v>1042</v>
      </c>
      <c r="J9" s="89" t="s">
        <v>482</v>
      </c>
      <c r="K9" s="522"/>
      <c r="L9" s="204"/>
      <c r="M9" s="629"/>
    </row>
    <row r="10" spans="1:13" ht="15.75" x14ac:dyDescent="0.25">
      <c r="A10" s="523">
        <v>6</v>
      </c>
      <c r="B10" s="523" t="s">
        <v>1027</v>
      </c>
      <c r="C10" s="553">
        <v>4513</v>
      </c>
      <c r="D10" s="563">
        <v>12000</v>
      </c>
      <c r="E10" s="573">
        <v>133</v>
      </c>
      <c r="F10" s="563">
        <v>12000</v>
      </c>
      <c r="G10" s="87">
        <f t="shared" si="0"/>
        <v>0</v>
      </c>
      <c r="H10" s="509">
        <v>600000</v>
      </c>
      <c r="I10" s="509" t="s">
        <v>1043</v>
      </c>
      <c r="J10" s="89" t="s">
        <v>482</v>
      </c>
      <c r="K10" s="522"/>
      <c r="L10" s="204"/>
      <c r="M10" s="629"/>
    </row>
    <row r="11" spans="1:13" ht="15.75" x14ac:dyDescent="0.25">
      <c r="A11" s="523">
        <v>7</v>
      </c>
      <c r="B11" s="523" t="s">
        <v>1027</v>
      </c>
      <c r="C11" s="553">
        <v>4371</v>
      </c>
      <c r="D11" s="563">
        <v>13000</v>
      </c>
      <c r="E11" s="573">
        <v>144</v>
      </c>
      <c r="F11" s="563">
        <v>13000</v>
      </c>
      <c r="G11" s="87">
        <f t="shared" si="0"/>
        <v>0</v>
      </c>
      <c r="H11" s="509">
        <v>500000</v>
      </c>
      <c r="I11" s="509" t="s">
        <v>1044</v>
      </c>
      <c r="J11" s="89" t="s">
        <v>482</v>
      </c>
      <c r="K11" s="522"/>
      <c r="L11" s="204"/>
      <c r="M11" s="629"/>
    </row>
    <row r="12" spans="1:13" ht="15.75" x14ac:dyDescent="0.25">
      <c r="A12" s="523">
        <v>8</v>
      </c>
      <c r="B12" s="523" t="s">
        <v>1027</v>
      </c>
      <c r="C12" s="554" t="s">
        <v>1032</v>
      </c>
      <c r="D12" s="563">
        <v>14000</v>
      </c>
      <c r="E12" s="573">
        <v>155</v>
      </c>
      <c r="F12" s="563">
        <v>14000</v>
      </c>
      <c r="G12" s="87">
        <f t="shared" si="0"/>
        <v>0</v>
      </c>
      <c r="H12" s="509">
        <v>400000</v>
      </c>
      <c r="I12" s="509" t="s">
        <v>1052</v>
      </c>
      <c r="J12" s="89" t="s">
        <v>482</v>
      </c>
      <c r="K12" s="522"/>
      <c r="L12" s="204"/>
      <c r="M12" s="629"/>
    </row>
    <row r="13" spans="1:13" ht="15.75" x14ac:dyDescent="0.25">
      <c r="A13" s="523">
        <v>9</v>
      </c>
      <c r="B13" s="523" t="s">
        <v>1027</v>
      </c>
      <c r="C13" s="553">
        <v>7468</v>
      </c>
      <c r="D13" s="563">
        <v>14000</v>
      </c>
      <c r="E13" s="573">
        <v>155</v>
      </c>
      <c r="F13" s="563">
        <v>14000</v>
      </c>
      <c r="G13" s="87">
        <f t="shared" si="0"/>
        <v>0</v>
      </c>
      <c r="H13" s="509">
        <v>1100000</v>
      </c>
      <c r="I13" s="509" t="s">
        <v>1053</v>
      </c>
      <c r="J13" s="89" t="s">
        <v>482</v>
      </c>
      <c r="K13" s="522"/>
      <c r="L13" s="204"/>
      <c r="M13" s="629"/>
    </row>
    <row r="14" spans="1:13" ht="15.75" x14ac:dyDescent="0.25">
      <c r="A14" s="523">
        <v>10</v>
      </c>
      <c r="B14" s="523" t="s">
        <v>1027</v>
      </c>
      <c r="C14" s="607" t="s">
        <v>1033</v>
      </c>
      <c r="D14" s="563">
        <v>14000</v>
      </c>
      <c r="E14" s="573">
        <v>155</v>
      </c>
      <c r="F14" s="563">
        <v>14000</v>
      </c>
      <c r="G14" s="87">
        <f t="shared" si="0"/>
        <v>0</v>
      </c>
      <c r="H14" s="509">
        <v>700000</v>
      </c>
      <c r="I14" s="509" t="s">
        <v>1058</v>
      </c>
      <c r="J14" s="89" t="s">
        <v>482</v>
      </c>
      <c r="K14" s="522"/>
      <c r="L14" s="204"/>
      <c r="M14" s="629"/>
    </row>
    <row r="15" spans="1:13" ht="15.75" x14ac:dyDescent="0.25">
      <c r="A15" s="523">
        <v>11</v>
      </c>
      <c r="B15" s="523" t="s">
        <v>1027</v>
      </c>
      <c r="C15" s="607" t="s">
        <v>1034</v>
      </c>
      <c r="D15" s="563">
        <v>14000</v>
      </c>
      <c r="E15" s="573">
        <v>155</v>
      </c>
      <c r="F15" s="563">
        <v>14000</v>
      </c>
      <c r="G15" s="87">
        <f t="shared" si="0"/>
        <v>0</v>
      </c>
      <c r="H15" s="509">
        <v>800000</v>
      </c>
      <c r="I15" s="509" t="s">
        <v>1059</v>
      </c>
      <c r="J15" s="89" t="s">
        <v>482</v>
      </c>
      <c r="K15" s="522"/>
      <c r="L15" s="204"/>
      <c r="M15" s="629"/>
    </row>
    <row r="16" spans="1:13" ht="15.75" x14ac:dyDescent="0.25">
      <c r="A16" s="523">
        <v>12</v>
      </c>
      <c r="B16" s="523" t="s">
        <v>1027</v>
      </c>
      <c r="C16" s="555">
        <v>4032</v>
      </c>
      <c r="D16" s="563">
        <v>14000</v>
      </c>
      <c r="E16" s="573">
        <v>155</v>
      </c>
      <c r="F16" s="563">
        <v>14000</v>
      </c>
      <c r="G16" s="87">
        <f t="shared" si="0"/>
        <v>0</v>
      </c>
      <c r="H16" s="509">
        <v>1100000</v>
      </c>
      <c r="I16" s="509" t="s">
        <v>1067</v>
      </c>
      <c r="J16" s="89" t="s">
        <v>482</v>
      </c>
      <c r="K16" s="522"/>
      <c r="L16" s="204"/>
      <c r="M16" s="629"/>
    </row>
    <row r="17" spans="1:17" ht="15.75" x14ac:dyDescent="0.25">
      <c r="A17" s="523">
        <v>13</v>
      </c>
      <c r="B17" s="523" t="s">
        <v>1027</v>
      </c>
      <c r="C17" s="555">
        <v>1220</v>
      </c>
      <c r="D17" s="563">
        <v>14000</v>
      </c>
      <c r="E17" s="573">
        <v>155</v>
      </c>
      <c r="F17" s="563">
        <v>14000</v>
      </c>
      <c r="G17" s="87">
        <f t="shared" si="0"/>
        <v>0</v>
      </c>
      <c r="H17" s="509">
        <v>1000000</v>
      </c>
      <c r="I17" s="509" t="s">
        <v>1072</v>
      </c>
      <c r="J17" s="89" t="s">
        <v>482</v>
      </c>
      <c r="K17" s="522"/>
      <c r="L17" s="204"/>
      <c r="M17" s="629"/>
    </row>
    <row r="18" spans="1:17" ht="15.75" x14ac:dyDescent="0.25">
      <c r="A18" s="523">
        <v>14</v>
      </c>
      <c r="B18" s="523" t="s">
        <v>1027</v>
      </c>
      <c r="C18" s="607" t="s">
        <v>890</v>
      </c>
      <c r="D18" s="563">
        <v>14000</v>
      </c>
      <c r="E18" s="573">
        <v>155</v>
      </c>
      <c r="F18" s="563">
        <v>14000</v>
      </c>
      <c r="G18" s="87">
        <f t="shared" si="0"/>
        <v>0</v>
      </c>
      <c r="H18" s="509">
        <v>1100000</v>
      </c>
      <c r="I18" s="509" t="s">
        <v>1073</v>
      </c>
      <c r="J18" s="89" t="s">
        <v>482</v>
      </c>
      <c r="K18" s="522"/>
      <c r="L18" s="204"/>
      <c r="M18" s="629"/>
    </row>
    <row r="19" spans="1:17" ht="15.75" x14ac:dyDescent="0.25">
      <c r="A19" s="523">
        <v>15</v>
      </c>
      <c r="B19" s="523" t="s">
        <v>1027</v>
      </c>
      <c r="C19" s="607" t="s">
        <v>895</v>
      </c>
      <c r="D19" s="563">
        <v>15000</v>
      </c>
      <c r="E19" s="573">
        <v>167</v>
      </c>
      <c r="F19" s="563">
        <v>15000</v>
      </c>
      <c r="G19" s="87">
        <f t="shared" si="0"/>
        <v>0</v>
      </c>
      <c r="H19" s="509">
        <v>1000000</v>
      </c>
      <c r="I19" s="509" t="s">
        <v>1074</v>
      </c>
      <c r="J19" s="89" t="s">
        <v>482</v>
      </c>
      <c r="K19" s="522"/>
      <c r="L19" s="204"/>
      <c r="M19" s="629"/>
    </row>
    <row r="20" spans="1:17" ht="15.75" x14ac:dyDescent="0.25">
      <c r="A20" s="523">
        <v>16</v>
      </c>
      <c r="B20" s="523" t="s">
        <v>1027</v>
      </c>
      <c r="C20" s="555">
        <v>9755</v>
      </c>
      <c r="D20" s="563">
        <v>15000</v>
      </c>
      <c r="E20" s="573">
        <v>167</v>
      </c>
      <c r="F20" s="563">
        <v>15000</v>
      </c>
      <c r="G20" s="87">
        <f t="shared" si="0"/>
        <v>0</v>
      </c>
      <c r="H20" s="509">
        <v>700000</v>
      </c>
      <c r="I20" s="509" t="s">
        <v>1075</v>
      </c>
      <c r="J20" s="89" t="s">
        <v>482</v>
      </c>
      <c r="K20" s="522"/>
      <c r="L20" s="204"/>
      <c r="M20" s="629"/>
    </row>
    <row r="21" spans="1:17" ht="18.75" x14ac:dyDescent="0.3">
      <c r="A21" s="523">
        <v>17</v>
      </c>
      <c r="B21" s="523" t="s">
        <v>1027</v>
      </c>
      <c r="C21" s="555">
        <v>6487</v>
      </c>
      <c r="D21" s="563">
        <v>15000</v>
      </c>
      <c r="E21" s="573">
        <v>167</v>
      </c>
      <c r="F21" s="563">
        <v>15000</v>
      </c>
      <c r="G21" s="87">
        <f t="shared" si="0"/>
        <v>0</v>
      </c>
      <c r="H21" s="550">
        <v>100000</v>
      </c>
      <c r="I21" s="550" t="s">
        <v>1084</v>
      </c>
      <c r="J21" s="196" t="s">
        <v>751</v>
      </c>
      <c r="K21" s="196"/>
      <c r="L21" s="196"/>
      <c r="M21" s="398" t="s">
        <v>1075</v>
      </c>
    </row>
    <row r="22" spans="1:17" ht="15.75" x14ac:dyDescent="0.25">
      <c r="A22" s="523">
        <v>18</v>
      </c>
      <c r="B22" s="523" t="s">
        <v>1027</v>
      </c>
      <c r="C22" s="555">
        <v>7263</v>
      </c>
      <c r="D22" s="563">
        <v>15000</v>
      </c>
      <c r="E22" s="573">
        <v>167</v>
      </c>
      <c r="F22" s="563">
        <v>15000</v>
      </c>
      <c r="G22" s="87">
        <f t="shared" si="0"/>
        <v>0</v>
      </c>
      <c r="H22" s="509">
        <v>900000</v>
      </c>
      <c r="I22" s="509" t="s">
        <v>1085</v>
      </c>
      <c r="J22" s="89" t="s">
        <v>482</v>
      </c>
      <c r="K22" s="522"/>
      <c r="L22" s="204"/>
      <c r="M22" s="629"/>
    </row>
    <row r="23" spans="1:17" ht="15.75" x14ac:dyDescent="0.25">
      <c r="A23" s="523">
        <v>19</v>
      </c>
      <c r="B23" s="523" t="s">
        <v>1027</v>
      </c>
      <c r="C23" s="555">
        <v>4167</v>
      </c>
      <c r="D23" s="563">
        <v>16000</v>
      </c>
      <c r="E23" s="573">
        <v>178</v>
      </c>
      <c r="F23" s="563">
        <v>16000</v>
      </c>
      <c r="G23" s="87">
        <f t="shared" si="0"/>
        <v>0</v>
      </c>
      <c r="H23" s="509">
        <v>800000</v>
      </c>
      <c r="I23" s="509" t="s">
        <v>1086</v>
      </c>
      <c r="J23" s="89" t="s">
        <v>482</v>
      </c>
      <c r="K23" s="522"/>
      <c r="L23" s="204"/>
      <c r="M23" s="629"/>
    </row>
    <row r="24" spans="1:17" ht="15.75" x14ac:dyDescent="0.25">
      <c r="A24" s="523">
        <v>20</v>
      </c>
      <c r="B24" s="523" t="s">
        <v>1027</v>
      </c>
      <c r="C24" s="607" t="s">
        <v>873</v>
      </c>
      <c r="D24" s="563">
        <v>18000</v>
      </c>
      <c r="E24" s="573">
        <v>200</v>
      </c>
      <c r="F24" s="563">
        <v>18000</v>
      </c>
      <c r="G24" s="87">
        <f t="shared" si="0"/>
        <v>0</v>
      </c>
      <c r="H24" s="509">
        <v>900000</v>
      </c>
      <c r="I24" s="509" t="s">
        <v>1089</v>
      </c>
      <c r="J24" s="89" t="s">
        <v>482</v>
      </c>
      <c r="K24" s="522"/>
      <c r="L24" s="204"/>
      <c r="M24" s="629"/>
    </row>
    <row r="25" spans="1:17" ht="15.75" x14ac:dyDescent="0.25">
      <c r="A25" s="523">
        <v>21</v>
      </c>
      <c r="B25" s="523" t="s">
        <v>1027</v>
      </c>
      <c r="C25" s="607" t="s">
        <v>1035</v>
      </c>
      <c r="D25" s="563">
        <v>20000</v>
      </c>
      <c r="E25" s="573">
        <v>222</v>
      </c>
      <c r="F25" s="563">
        <v>20000</v>
      </c>
      <c r="G25" s="87">
        <f t="shared" si="0"/>
        <v>0</v>
      </c>
      <c r="H25" s="509">
        <v>600000</v>
      </c>
      <c r="I25" s="509" t="s">
        <v>1090</v>
      </c>
      <c r="J25" s="89" t="s">
        <v>482</v>
      </c>
      <c r="K25" s="522"/>
      <c r="L25" s="204"/>
      <c r="M25" s="629"/>
    </row>
    <row r="26" spans="1:17" ht="15.75" x14ac:dyDescent="0.25">
      <c r="A26" s="523">
        <v>22</v>
      </c>
      <c r="B26" s="523" t="s">
        <v>1027</v>
      </c>
      <c r="C26" s="555">
        <v>8148</v>
      </c>
      <c r="D26" s="563">
        <v>21281</v>
      </c>
      <c r="E26" s="573">
        <v>237</v>
      </c>
      <c r="F26" s="563">
        <v>21281</v>
      </c>
      <c r="G26" s="87">
        <f t="shared" si="0"/>
        <v>0</v>
      </c>
      <c r="H26" s="509">
        <v>900000</v>
      </c>
      <c r="I26" s="509" t="s">
        <v>1091</v>
      </c>
      <c r="J26" s="89" t="s">
        <v>482</v>
      </c>
      <c r="K26" s="522"/>
      <c r="L26" s="204"/>
      <c r="M26" s="629"/>
    </row>
    <row r="27" spans="1:17" ht="15.75" x14ac:dyDescent="0.25">
      <c r="A27" s="523">
        <v>23</v>
      </c>
      <c r="B27" s="523" t="s">
        <v>1027</v>
      </c>
      <c r="C27" s="555">
        <v>5420</v>
      </c>
      <c r="D27" s="563">
        <v>25000</v>
      </c>
      <c r="E27" s="573">
        <v>278</v>
      </c>
      <c r="F27" s="563">
        <v>25000</v>
      </c>
      <c r="G27" s="87">
        <f t="shared" si="0"/>
        <v>0</v>
      </c>
      <c r="H27" s="509">
        <v>1300000</v>
      </c>
      <c r="I27" s="509" t="s">
        <v>1102</v>
      </c>
      <c r="J27" s="89" t="s">
        <v>482</v>
      </c>
      <c r="K27" s="522"/>
      <c r="L27" s="204"/>
      <c r="M27" s="629"/>
    </row>
    <row r="28" spans="1:17" ht="15.75" x14ac:dyDescent="0.25">
      <c r="A28" s="523">
        <v>24</v>
      </c>
      <c r="B28" s="523" t="s">
        <v>1027</v>
      </c>
      <c r="C28" s="555">
        <v>5411</v>
      </c>
      <c r="D28" s="563">
        <v>25000</v>
      </c>
      <c r="E28" s="573">
        <v>278</v>
      </c>
      <c r="F28" s="563">
        <v>25000</v>
      </c>
      <c r="G28" s="87">
        <f t="shared" si="0"/>
        <v>0</v>
      </c>
      <c r="H28" s="509">
        <v>900000</v>
      </c>
      <c r="I28" s="509" t="s">
        <v>1103</v>
      </c>
      <c r="J28" s="515" t="s">
        <v>809</v>
      </c>
      <c r="K28" s="515"/>
      <c r="L28" s="515"/>
      <c r="M28" s="516"/>
      <c r="N28" s="517"/>
      <c r="O28" s="517"/>
      <c r="P28" s="517"/>
      <c r="Q28" s="398"/>
    </row>
    <row r="29" spans="1:17" ht="15.75" x14ac:dyDescent="0.25">
      <c r="A29" s="523">
        <v>25</v>
      </c>
      <c r="B29" s="523" t="s">
        <v>1027</v>
      </c>
      <c r="C29" s="555">
        <v>5152</v>
      </c>
      <c r="D29" s="563">
        <v>25000</v>
      </c>
      <c r="E29" s="573">
        <v>278</v>
      </c>
      <c r="F29" s="563">
        <v>25000</v>
      </c>
      <c r="G29" s="87">
        <f t="shared" si="0"/>
        <v>0</v>
      </c>
      <c r="H29" s="509">
        <v>600000</v>
      </c>
      <c r="I29" s="509" t="s">
        <v>1112</v>
      </c>
      <c r="J29" s="515" t="s">
        <v>809</v>
      </c>
      <c r="K29" s="515"/>
      <c r="L29" s="515"/>
      <c r="M29" s="516"/>
      <c r="N29" s="517"/>
      <c r="O29" s="517"/>
      <c r="P29" s="517"/>
      <c r="Q29" s="398"/>
    </row>
    <row r="30" spans="1:17" ht="15.75" x14ac:dyDescent="0.25">
      <c r="A30" s="523">
        <v>26</v>
      </c>
      <c r="B30" s="523" t="s">
        <v>1027</v>
      </c>
      <c r="C30" s="555">
        <v>7951</v>
      </c>
      <c r="D30" s="563">
        <v>25000</v>
      </c>
      <c r="E30" s="573">
        <v>278</v>
      </c>
      <c r="F30" s="563">
        <v>25000</v>
      </c>
      <c r="G30" s="87">
        <f t="shared" si="0"/>
        <v>0</v>
      </c>
      <c r="H30" s="509">
        <v>300000</v>
      </c>
      <c r="I30" s="509" t="s">
        <v>1113</v>
      </c>
      <c r="J30" s="515" t="s">
        <v>809</v>
      </c>
      <c r="K30" s="515"/>
      <c r="L30" s="515"/>
      <c r="M30" s="516"/>
      <c r="N30" s="517"/>
      <c r="O30" s="517"/>
      <c r="P30" s="517"/>
      <c r="Q30" s="398"/>
    </row>
    <row r="31" spans="1:17" ht="15.75" x14ac:dyDescent="0.25">
      <c r="A31" s="523">
        <v>27</v>
      </c>
      <c r="B31" s="523" t="s">
        <v>1027</v>
      </c>
      <c r="C31" s="555">
        <v>2911</v>
      </c>
      <c r="D31" s="563">
        <v>27000</v>
      </c>
      <c r="E31" s="573">
        <v>300</v>
      </c>
      <c r="F31" s="563">
        <v>27000</v>
      </c>
      <c r="G31" s="87">
        <f t="shared" si="0"/>
        <v>0</v>
      </c>
      <c r="H31" s="509">
        <v>200000</v>
      </c>
      <c r="I31" s="509" t="s">
        <v>1114</v>
      </c>
      <c r="J31" s="89" t="s">
        <v>482</v>
      </c>
      <c r="K31" s="522"/>
      <c r="L31" s="204"/>
      <c r="M31" s="398" t="s">
        <v>1115</v>
      </c>
      <c r="N31" s="398"/>
    </row>
    <row r="32" spans="1:17" ht="15.75" x14ac:dyDescent="0.25">
      <c r="A32" s="523">
        <v>28</v>
      </c>
      <c r="B32" s="523" t="s">
        <v>1027</v>
      </c>
      <c r="C32" s="555">
        <v>2880</v>
      </c>
      <c r="D32" s="563">
        <v>27000</v>
      </c>
      <c r="E32" s="573">
        <v>300</v>
      </c>
      <c r="F32" s="563">
        <v>27000</v>
      </c>
      <c r="G32" s="87">
        <f t="shared" si="0"/>
        <v>0</v>
      </c>
      <c r="H32" s="509">
        <v>500000</v>
      </c>
      <c r="I32" s="509" t="s">
        <v>1116</v>
      </c>
      <c r="J32" s="89" t="s">
        <v>482</v>
      </c>
      <c r="K32" s="522"/>
      <c r="L32" s="204"/>
      <c r="M32" s="398" t="s">
        <v>1115</v>
      </c>
    </row>
    <row r="33" spans="1:13" ht="15.75" x14ac:dyDescent="0.25">
      <c r="A33" s="523">
        <v>29</v>
      </c>
      <c r="B33" s="523" t="s">
        <v>1027</v>
      </c>
      <c r="C33" s="555">
        <v>1126</v>
      </c>
      <c r="D33" s="563">
        <v>27000</v>
      </c>
      <c r="E33" s="573">
        <v>300</v>
      </c>
      <c r="F33" s="563">
        <v>27000</v>
      </c>
      <c r="G33" s="87">
        <f t="shared" si="0"/>
        <v>0</v>
      </c>
      <c r="H33" s="509"/>
      <c r="I33" s="509"/>
      <c r="J33" s="89"/>
      <c r="K33" s="522"/>
      <c r="L33" s="204"/>
      <c r="M33" s="398" t="s">
        <v>1115</v>
      </c>
    </row>
    <row r="34" spans="1:13" ht="15.75" x14ac:dyDescent="0.25">
      <c r="A34" s="523">
        <v>30</v>
      </c>
      <c r="B34" s="523" t="s">
        <v>1027</v>
      </c>
      <c r="C34" s="555">
        <v>3344</v>
      </c>
      <c r="D34" s="563">
        <v>14000</v>
      </c>
      <c r="E34" s="573">
        <v>155</v>
      </c>
      <c r="F34" s="563">
        <v>14000</v>
      </c>
      <c r="G34" s="87">
        <f t="shared" si="0"/>
        <v>0</v>
      </c>
      <c r="H34" s="509"/>
      <c r="I34" s="509"/>
      <c r="J34" s="89"/>
      <c r="K34" s="522"/>
      <c r="L34" s="204"/>
      <c r="M34" s="644"/>
    </row>
    <row r="35" spans="1:13" ht="15.75" x14ac:dyDescent="0.25">
      <c r="A35" s="523">
        <v>31</v>
      </c>
      <c r="B35" s="523" t="s">
        <v>1027</v>
      </c>
      <c r="C35" s="555">
        <v>7472</v>
      </c>
      <c r="D35" s="563">
        <v>13000</v>
      </c>
      <c r="E35" s="573">
        <v>144</v>
      </c>
      <c r="F35" s="563">
        <v>13000</v>
      </c>
      <c r="G35" s="87">
        <f t="shared" si="0"/>
        <v>0</v>
      </c>
      <c r="H35" s="509"/>
      <c r="I35" s="509"/>
      <c r="J35" s="89"/>
      <c r="K35" s="522"/>
      <c r="L35" s="204"/>
      <c r="M35" s="644"/>
    </row>
    <row r="36" spans="1:13" ht="15.75" x14ac:dyDescent="0.25">
      <c r="A36" s="523">
        <v>32</v>
      </c>
      <c r="B36" s="523" t="s">
        <v>1027</v>
      </c>
      <c r="C36" s="555">
        <v>3377</v>
      </c>
      <c r="D36" s="563">
        <v>20000</v>
      </c>
      <c r="E36" s="573">
        <v>222</v>
      </c>
      <c r="F36" s="563">
        <v>20000</v>
      </c>
      <c r="G36" s="87">
        <f t="shared" si="0"/>
        <v>0</v>
      </c>
      <c r="H36" s="509"/>
      <c r="I36" s="509"/>
      <c r="J36" s="89"/>
      <c r="K36" s="522"/>
      <c r="L36" s="204"/>
      <c r="M36" s="644"/>
    </row>
    <row r="37" spans="1:13" ht="15.75" x14ac:dyDescent="0.25">
      <c r="A37" s="523">
        <v>33</v>
      </c>
      <c r="B37" s="523" t="s">
        <v>1027</v>
      </c>
      <c r="C37" s="555">
        <v>9544</v>
      </c>
      <c r="D37" s="563">
        <v>13000</v>
      </c>
      <c r="E37" s="573">
        <v>144</v>
      </c>
      <c r="F37" s="563">
        <v>13000</v>
      </c>
      <c r="G37" s="87">
        <f t="shared" si="0"/>
        <v>0</v>
      </c>
      <c r="H37" s="509"/>
      <c r="I37" s="509"/>
      <c r="J37" s="89"/>
      <c r="K37" s="522"/>
      <c r="L37" s="204"/>
      <c r="M37" s="644"/>
    </row>
    <row r="38" spans="1:13" ht="15.75" x14ac:dyDescent="0.25">
      <c r="A38" s="523">
        <v>34</v>
      </c>
      <c r="B38" s="523" t="s">
        <v>1027</v>
      </c>
      <c r="C38" s="555">
        <v>9426</v>
      </c>
      <c r="D38" s="563">
        <v>19000</v>
      </c>
      <c r="E38" s="573">
        <v>211</v>
      </c>
      <c r="F38" s="563">
        <v>19000</v>
      </c>
      <c r="G38" s="87">
        <f t="shared" si="0"/>
        <v>0</v>
      </c>
      <c r="H38" s="509"/>
      <c r="I38" s="509"/>
      <c r="J38" s="89"/>
      <c r="K38" s="522"/>
      <c r="L38" s="204"/>
      <c r="M38" s="644"/>
    </row>
    <row r="39" spans="1:13" ht="15.75" x14ac:dyDescent="0.25">
      <c r="A39" s="523">
        <v>35</v>
      </c>
      <c r="B39" s="523" t="s">
        <v>1027</v>
      </c>
      <c r="C39" s="555">
        <v>7715</v>
      </c>
      <c r="D39" s="563">
        <v>35000</v>
      </c>
      <c r="E39" s="573">
        <v>377</v>
      </c>
      <c r="F39" s="563">
        <v>35000</v>
      </c>
      <c r="G39" s="87">
        <f t="shared" si="0"/>
        <v>0</v>
      </c>
      <c r="H39" s="509"/>
      <c r="I39" s="509"/>
      <c r="J39" s="89"/>
      <c r="K39" s="522"/>
      <c r="L39" s="204"/>
      <c r="M39" s="629"/>
    </row>
    <row r="40" spans="1:13" ht="15.75" x14ac:dyDescent="0.25">
      <c r="A40" s="523">
        <v>36</v>
      </c>
      <c r="B40" s="523" t="s">
        <v>1027</v>
      </c>
      <c r="C40" s="555">
        <v>9581</v>
      </c>
      <c r="D40" s="563">
        <v>30000</v>
      </c>
      <c r="E40" s="573">
        <v>334</v>
      </c>
      <c r="F40" s="563">
        <v>30000</v>
      </c>
      <c r="G40" s="87">
        <f t="shared" si="0"/>
        <v>0</v>
      </c>
      <c r="H40" s="509"/>
      <c r="I40" s="509"/>
      <c r="J40" s="89"/>
      <c r="K40" s="522"/>
      <c r="L40" s="204"/>
      <c r="M40" s="629"/>
    </row>
    <row r="41" spans="1:13" ht="15.75" x14ac:dyDescent="0.25">
      <c r="A41" s="523">
        <v>37</v>
      </c>
      <c r="B41" s="523" t="s">
        <v>1027</v>
      </c>
      <c r="C41" s="555">
        <v>1192</v>
      </c>
      <c r="D41" s="563">
        <v>10000</v>
      </c>
      <c r="E41" s="573">
        <v>111</v>
      </c>
      <c r="F41" s="563">
        <v>10000</v>
      </c>
      <c r="G41" s="87">
        <f t="shared" si="0"/>
        <v>0</v>
      </c>
      <c r="H41" s="509"/>
      <c r="I41" s="509"/>
      <c r="J41" s="89"/>
      <c r="K41" s="522"/>
      <c r="L41" s="204"/>
      <c r="M41" s="629"/>
    </row>
    <row r="42" spans="1:13" ht="15.75" x14ac:dyDescent="0.25">
      <c r="A42" s="523">
        <v>38</v>
      </c>
      <c r="B42" s="523" t="s">
        <v>1027</v>
      </c>
      <c r="C42" s="555">
        <v>1168</v>
      </c>
      <c r="D42" s="563">
        <v>25000</v>
      </c>
      <c r="E42" s="573">
        <v>278</v>
      </c>
      <c r="F42" s="563">
        <v>25000</v>
      </c>
      <c r="G42" s="87">
        <f t="shared" si="0"/>
        <v>0</v>
      </c>
      <c r="H42" s="509"/>
      <c r="I42" s="509"/>
      <c r="J42" s="89"/>
      <c r="K42" s="522"/>
      <c r="L42" s="204"/>
      <c r="M42" s="654"/>
    </row>
    <row r="43" spans="1:13" ht="15.75" x14ac:dyDescent="0.25">
      <c r="A43" s="523">
        <v>39</v>
      </c>
      <c r="B43" s="523" t="s">
        <v>1027</v>
      </c>
      <c r="C43" s="555">
        <v>1144</v>
      </c>
      <c r="D43" s="563">
        <v>14000</v>
      </c>
      <c r="E43" s="573">
        <v>155</v>
      </c>
      <c r="F43" s="563">
        <v>14000</v>
      </c>
      <c r="G43" s="87">
        <f t="shared" si="0"/>
        <v>0</v>
      </c>
      <c r="H43" s="509"/>
      <c r="I43" s="509"/>
      <c r="J43" s="89"/>
      <c r="K43" s="522"/>
      <c r="L43" s="204"/>
      <c r="M43" s="654"/>
    </row>
    <row r="44" spans="1:13" ht="15.75" x14ac:dyDescent="0.25">
      <c r="A44" s="523">
        <v>40</v>
      </c>
      <c r="B44" s="523" t="s">
        <v>1027</v>
      </c>
      <c r="C44" s="555">
        <v>1266</v>
      </c>
      <c r="D44" s="563">
        <v>14000</v>
      </c>
      <c r="E44" s="573">
        <v>155</v>
      </c>
      <c r="F44" s="563">
        <v>14000</v>
      </c>
      <c r="G44" s="87">
        <f t="shared" si="0"/>
        <v>0</v>
      </c>
      <c r="H44" s="509"/>
      <c r="I44" s="509"/>
      <c r="J44" s="89"/>
      <c r="K44" s="522"/>
      <c r="L44" s="204"/>
      <c r="M44" s="655"/>
    </row>
    <row r="45" spans="1:13" ht="15.75" x14ac:dyDescent="0.25">
      <c r="A45" s="523">
        <v>41</v>
      </c>
      <c r="B45" s="523" t="s">
        <v>1027</v>
      </c>
      <c r="C45" s="555">
        <v>2435</v>
      </c>
      <c r="D45" s="563">
        <v>14000</v>
      </c>
      <c r="E45" s="573">
        <v>149</v>
      </c>
      <c r="F45" s="563">
        <v>14000</v>
      </c>
      <c r="G45" s="87">
        <f t="shared" si="0"/>
        <v>0</v>
      </c>
      <c r="H45" s="509"/>
      <c r="I45" s="509"/>
      <c r="J45" s="89"/>
      <c r="K45" s="522"/>
      <c r="L45" s="204"/>
      <c r="M45" s="655"/>
    </row>
    <row r="46" spans="1:13" ht="15.75" x14ac:dyDescent="0.25">
      <c r="A46" s="523">
        <v>42</v>
      </c>
      <c r="B46" s="523" t="s">
        <v>1027</v>
      </c>
      <c r="C46" s="555">
        <v>3877</v>
      </c>
      <c r="D46" s="563">
        <v>25000</v>
      </c>
      <c r="E46" s="573">
        <v>296</v>
      </c>
      <c r="F46" s="563">
        <v>25000</v>
      </c>
      <c r="G46" s="87">
        <f t="shared" si="0"/>
        <v>0</v>
      </c>
      <c r="H46" s="509"/>
      <c r="I46" s="509"/>
      <c r="J46" s="89"/>
      <c r="K46" s="522"/>
      <c r="L46" s="204"/>
      <c r="M46" s="655"/>
    </row>
    <row r="47" spans="1:13" ht="15.75" x14ac:dyDescent="0.25">
      <c r="A47" s="523">
        <v>43</v>
      </c>
      <c r="B47" s="523" t="s">
        <v>1027</v>
      </c>
      <c r="C47" s="555">
        <v>2191</v>
      </c>
      <c r="D47" s="563">
        <v>15000</v>
      </c>
      <c r="E47" s="573">
        <v>167</v>
      </c>
      <c r="F47" s="563">
        <v>15000</v>
      </c>
      <c r="G47" s="87">
        <f t="shared" si="0"/>
        <v>0</v>
      </c>
      <c r="H47" s="509"/>
      <c r="I47" s="509"/>
      <c r="J47" s="89"/>
      <c r="K47" s="522"/>
      <c r="L47" s="204"/>
      <c r="M47" s="655"/>
    </row>
    <row r="48" spans="1:13" ht="15.75" x14ac:dyDescent="0.25">
      <c r="A48" s="523">
        <v>44</v>
      </c>
      <c r="B48" s="523" t="s">
        <v>1030</v>
      </c>
      <c r="C48" s="607" t="s">
        <v>1036</v>
      </c>
      <c r="D48" s="563">
        <v>16000</v>
      </c>
      <c r="E48" s="573">
        <v>178</v>
      </c>
      <c r="F48" s="563">
        <v>16000</v>
      </c>
      <c r="G48" s="87">
        <f t="shared" si="0"/>
        <v>0</v>
      </c>
      <c r="H48" s="509"/>
      <c r="I48" s="509"/>
      <c r="J48" s="89"/>
      <c r="K48" s="522"/>
      <c r="L48" s="204"/>
      <c r="M48" s="656"/>
    </row>
    <row r="49" spans="1:13" ht="15.75" x14ac:dyDescent="0.25">
      <c r="A49" s="523">
        <v>45</v>
      </c>
      <c r="B49" s="523" t="s">
        <v>1030</v>
      </c>
      <c r="C49" s="555">
        <v>3855</v>
      </c>
      <c r="D49" s="563">
        <v>16000</v>
      </c>
      <c r="E49" s="573">
        <v>178</v>
      </c>
      <c r="F49" s="563">
        <v>16000</v>
      </c>
      <c r="G49" s="87">
        <f t="shared" si="0"/>
        <v>0</v>
      </c>
      <c r="H49" s="509"/>
      <c r="I49" s="509"/>
      <c r="J49" s="89"/>
      <c r="K49" s="522"/>
      <c r="L49" s="204"/>
      <c r="M49" s="656"/>
    </row>
    <row r="50" spans="1:13" ht="15.75" x14ac:dyDescent="0.25">
      <c r="A50" s="523">
        <v>46</v>
      </c>
      <c r="B50" s="523" t="s">
        <v>1030</v>
      </c>
      <c r="C50" s="555">
        <v>8392</v>
      </c>
      <c r="D50" s="563">
        <v>16000</v>
      </c>
      <c r="E50" s="573">
        <v>178</v>
      </c>
      <c r="F50" s="563">
        <v>16000</v>
      </c>
      <c r="G50" s="87">
        <f t="shared" si="0"/>
        <v>0</v>
      </c>
      <c r="H50" s="509"/>
      <c r="I50" s="509"/>
      <c r="J50" s="89"/>
      <c r="K50" s="522"/>
      <c r="L50" s="204"/>
      <c r="M50" s="656"/>
    </row>
    <row r="51" spans="1:13" ht="15.75" x14ac:dyDescent="0.25">
      <c r="A51" s="523">
        <v>47</v>
      </c>
      <c r="B51" s="523" t="s">
        <v>1030</v>
      </c>
      <c r="C51" s="555">
        <v>6133</v>
      </c>
      <c r="D51" s="563">
        <v>16000</v>
      </c>
      <c r="E51" s="573">
        <v>178</v>
      </c>
      <c r="F51" s="563">
        <v>16000</v>
      </c>
      <c r="G51" s="87">
        <f t="shared" si="0"/>
        <v>0</v>
      </c>
      <c r="H51" s="509"/>
      <c r="I51" s="509"/>
      <c r="J51" s="89"/>
      <c r="K51" s="522"/>
      <c r="L51" s="204"/>
      <c r="M51" s="656"/>
    </row>
    <row r="52" spans="1:13" ht="15.75" x14ac:dyDescent="0.25">
      <c r="A52" s="523">
        <v>48</v>
      </c>
      <c r="B52" s="523" t="s">
        <v>1030</v>
      </c>
      <c r="C52" s="555">
        <v>7360</v>
      </c>
      <c r="D52" s="563">
        <v>16000</v>
      </c>
      <c r="E52" s="573">
        <v>178</v>
      </c>
      <c r="F52" s="563">
        <v>16000</v>
      </c>
      <c r="G52" s="87">
        <f t="shared" si="0"/>
        <v>0</v>
      </c>
      <c r="H52" s="509"/>
      <c r="I52" s="509"/>
      <c r="J52" s="89"/>
      <c r="K52" s="522"/>
      <c r="L52" s="204"/>
      <c r="M52" s="656"/>
    </row>
    <row r="53" spans="1:13" ht="15.75" x14ac:dyDescent="0.25">
      <c r="A53" s="523">
        <v>49</v>
      </c>
      <c r="B53" s="523" t="s">
        <v>1030</v>
      </c>
      <c r="C53" s="555">
        <v>8820</v>
      </c>
      <c r="D53" s="563">
        <v>16000</v>
      </c>
      <c r="E53" s="573">
        <v>178</v>
      </c>
      <c r="F53" s="563">
        <v>16000</v>
      </c>
      <c r="G53" s="87">
        <f t="shared" si="0"/>
        <v>0</v>
      </c>
      <c r="H53" s="509"/>
      <c r="I53" s="509"/>
      <c r="J53" s="89"/>
      <c r="K53" s="522"/>
      <c r="L53" s="204"/>
      <c r="M53" s="656"/>
    </row>
    <row r="54" spans="1:13" ht="15.75" x14ac:dyDescent="0.25">
      <c r="A54" s="523">
        <v>50</v>
      </c>
      <c r="B54" s="523" t="s">
        <v>1030</v>
      </c>
      <c r="C54" s="555">
        <v>7671</v>
      </c>
      <c r="D54" s="563">
        <v>25000</v>
      </c>
      <c r="E54" s="573">
        <v>278</v>
      </c>
      <c r="F54" s="563">
        <v>25000</v>
      </c>
      <c r="G54" s="87">
        <f t="shared" si="0"/>
        <v>0</v>
      </c>
      <c r="H54" s="509"/>
      <c r="I54" s="509"/>
      <c r="J54" s="89"/>
      <c r="K54" s="522"/>
      <c r="L54" s="204"/>
      <c r="M54" s="656"/>
    </row>
    <row r="55" spans="1:13" ht="15.75" x14ac:dyDescent="0.25">
      <c r="A55" s="523">
        <v>51</v>
      </c>
      <c r="B55" s="523" t="s">
        <v>1030</v>
      </c>
      <c r="C55" s="555">
        <v>5385</v>
      </c>
      <c r="D55" s="563">
        <v>25000</v>
      </c>
      <c r="E55" s="573">
        <v>278</v>
      </c>
      <c r="F55" s="563">
        <v>25000</v>
      </c>
      <c r="G55" s="87">
        <f t="shared" si="0"/>
        <v>0</v>
      </c>
      <c r="H55" s="509"/>
      <c r="I55" s="509"/>
      <c r="J55" s="89"/>
      <c r="K55" s="522"/>
      <c r="L55" s="204"/>
      <c r="M55" s="656"/>
    </row>
    <row r="56" spans="1:13" ht="15.75" x14ac:dyDescent="0.25">
      <c r="A56" s="523">
        <v>52</v>
      </c>
      <c r="B56" s="523" t="s">
        <v>1030</v>
      </c>
      <c r="C56" s="555">
        <v>1994</v>
      </c>
      <c r="D56" s="563">
        <v>15000</v>
      </c>
      <c r="E56" s="573">
        <v>167</v>
      </c>
      <c r="F56" s="563">
        <v>15000</v>
      </c>
      <c r="G56" s="87">
        <f t="shared" si="0"/>
        <v>0</v>
      </c>
      <c r="H56" s="509"/>
      <c r="I56" s="509"/>
      <c r="J56" s="89"/>
      <c r="K56" s="522"/>
      <c r="L56" s="204"/>
      <c r="M56" s="656"/>
    </row>
    <row r="57" spans="1:13" ht="15.75" x14ac:dyDescent="0.25">
      <c r="A57" s="523">
        <v>53</v>
      </c>
      <c r="B57" s="523" t="s">
        <v>1030</v>
      </c>
      <c r="C57" s="555">
        <v>7085</v>
      </c>
      <c r="D57" s="563">
        <v>15000</v>
      </c>
      <c r="E57" s="573">
        <v>167</v>
      </c>
      <c r="F57" s="563">
        <v>15000</v>
      </c>
      <c r="G57" s="87">
        <f t="shared" si="0"/>
        <v>0</v>
      </c>
      <c r="H57" s="509"/>
      <c r="I57" s="509"/>
      <c r="J57" s="89"/>
      <c r="K57" s="522"/>
      <c r="L57" s="204"/>
      <c r="M57" s="656"/>
    </row>
    <row r="58" spans="1:13" ht="15.75" x14ac:dyDescent="0.25">
      <c r="A58" s="523">
        <v>54</v>
      </c>
      <c r="B58" s="523" t="s">
        <v>1030</v>
      </c>
      <c r="C58" s="555">
        <v>4137</v>
      </c>
      <c r="D58" s="563">
        <v>21000</v>
      </c>
      <c r="E58" s="573">
        <v>233</v>
      </c>
      <c r="F58" s="563">
        <v>21000</v>
      </c>
      <c r="G58" s="87">
        <f t="shared" si="0"/>
        <v>0</v>
      </c>
      <c r="H58" s="509"/>
      <c r="I58" s="509"/>
      <c r="J58" s="89"/>
      <c r="K58" s="522"/>
      <c r="L58" s="204"/>
      <c r="M58" s="656"/>
    </row>
    <row r="59" spans="1:13" ht="15.75" x14ac:dyDescent="0.25">
      <c r="A59" s="523">
        <v>55</v>
      </c>
      <c r="B59" s="523" t="s">
        <v>1030</v>
      </c>
      <c r="C59" s="555">
        <v>1543</v>
      </c>
      <c r="D59" s="563">
        <v>17000</v>
      </c>
      <c r="E59" s="573">
        <v>172</v>
      </c>
      <c r="F59" s="563">
        <v>17000</v>
      </c>
      <c r="G59" s="87">
        <f t="shared" si="0"/>
        <v>0</v>
      </c>
      <c r="H59" s="509"/>
      <c r="I59" s="509"/>
      <c r="J59" s="89"/>
      <c r="K59" s="522"/>
      <c r="L59" s="204"/>
      <c r="M59" s="656"/>
    </row>
    <row r="60" spans="1:13" ht="15.75" x14ac:dyDescent="0.25">
      <c r="A60" s="523">
        <v>56</v>
      </c>
      <c r="B60" s="523" t="s">
        <v>1030</v>
      </c>
      <c r="C60" s="555">
        <v>7744</v>
      </c>
      <c r="D60" s="563">
        <v>13000</v>
      </c>
      <c r="E60" s="573">
        <v>144</v>
      </c>
      <c r="F60" s="563">
        <v>13000</v>
      </c>
      <c r="G60" s="87">
        <f t="shared" si="0"/>
        <v>0</v>
      </c>
      <c r="H60" s="509">
        <v>1000000</v>
      </c>
      <c r="I60" s="509" t="s">
        <v>1146</v>
      </c>
      <c r="J60" s="89" t="s">
        <v>482</v>
      </c>
      <c r="K60" s="522"/>
      <c r="L60" s="204"/>
      <c r="M60" s="656"/>
    </row>
    <row r="61" spans="1:13" ht="15.75" x14ac:dyDescent="0.25">
      <c r="A61" s="523">
        <v>57</v>
      </c>
      <c r="B61" s="523" t="s">
        <v>1030</v>
      </c>
      <c r="C61" s="555">
        <v>3665</v>
      </c>
      <c r="D61" s="563">
        <v>19000</v>
      </c>
      <c r="E61" s="573">
        <v>211</v>
      </c>
      <c r="F61" s="563">
        <v>19000</v>
      </c>
      <c r="G61" s="87">
        <f t="shared" si="0"/>
        <v>0</v>
      </c>
      <c r="H61" s="509">
        <v>600000</v>
      </c>
      <c r="I61" s="509" t="s">
        <v>1147</v>
      </c>
      <c r="J61" s="89" t="s">
        <v>482</v>
      </c>
      <c r="K61" s="522"/>
      <c r="L61" s="204"/>
      <c r="M61" s="656"/>
    </row>
    <row r="62" spans="1:13" ht="15.75" x14ac:dyDescent="0.25">
      <c r="A62" s="523">
        <v>58</v>
      </c>
      <c r="B62" s="523" t="s">
        <v>1030</v>
      </c>
      <c r="C62" s="555">
        <v>8105</v>
      </c>
      <c r="D62" s="563">
        <v>18000</v>
      </c>
      <c r="E62" s="573">
        <v>200</v>
      </c>
      <c r="F62" s="563">
        <v>18000</v>
      </c>
      <c r="G62" s="87">
        <f t="shared" si="0"/>
        <v>0</v>
      </c>
      <c r="H62" s="509">
        <v>500000</v>
      </c>
      <c r="I62" s="509" t="s">
        <v>1148</v>
      </c>
      <c r="J62" s="89" t="s">
        <v>482</v>
      </c>
      <c r="K62" s="522"/>
      <c r="L62" s="204"/>
      <c r="M62" s="656"/>
    </row>
    <row r="63" spans="1:13" ht="15.75" x14ac:dyDescent="0.25">
      <c r="A63" s="523">
        <v>59</v>
      </c>
      <c r="B63" s="523" t="s">
        <v>1030</v>
      </c>
      <c r="C63" s="555" t="s">
        <v>30</v>
      </c>
      <c r="D63" s="563">
        <v>4500</v>
      </c>
      <c r="E63" s="573">
        <v>50</v>
      </c>
      <c r="F63" s="563">
        <v>4500</v>
      </c>
      <c r="G63" s="87">
        <f t="shared" si="0"/>
        <v>0</v>
      </c>
      <c r="H63" s="509">
        <v>1000000</v>
      </c>
      <c r="I63" s="509" t="s">
        <v>1149</v>
      </c>
      <c r="J63" s="89" t="s">
        <v>482</v>
      </c>
      <c r="K63" s="522"/>
      <c r="L63" s="204"/>
      <c r="M63" s="656"/>
    </row>
    <row r="64" spans="1:13" ht="15.75" x14ac:dyDescent="0.25">
      <c r="A64" s="523">
        <v>60</v>
      </c>
      <c r="B64" s="523" t="s">
        <v>1030</v>
      </c>
      <c r="C64" s="555" t="s">
        <v>30</v>
      </c>
      <c r="D64" s="563">
        <v>5000</v>
      </c>
      <c r="E64" s="573">
        <v>55</v>
      </c>
      <c r="F64" s="563">
        <v>5000</v>
      </c>
      <c r="G64" s="87">
        <f t="shared" si="0"/>
        <v>0</v>
      </c>
      <c r="H64" s="509">
        <v>300000</v>
      </c>
      <c r="I64" s="509" t="s">
        <v>1151</v>
      </c>
      <c r="J64" s="1"/>
      <c r="K64" s="629"/>
      <c r="L64" s="629"/>
      <c r="M64" s="629"/>
    </row>
    <row r="65" spans="1:13" ht="15.75" x14ac:dyDescent="0.25">
      <c r="A65" s="523">
        <v>61</v>
      </c>
      <c r="B65" s="523" t="s">
        <v>1030</v>
      </c>
      <c r="C65" s="555" t="s">
        <v>819</v>
      </c>
      <c r="D65" s="563">
        <v>3500</v>
      </c>
      <c r="E65" s="573">
        <v>38</v>
      </c>
      <c r="F65" s="563">
        <v>3500</v>
      </c>
      <c r="G65" s="87">
        <f t="shared" si="0"/>
        <v>0</v>
      </c>
      <c r="H65" s="509"/>
      <c r="I65" s="509"/>
      <c r="J65" s="1"/>
      <c r="K65" s="629"/>
      <c r="L65" s="629"/>
      <c r="M65" s="629"/>
    </row>
    <row r="66" spans="1:13" ht="15.75" x14ac:dyDescent="0.25">
      <c r="A66" s="523">
        <v>62</v>
      </c>
      <c r="B66" s="523" t="s">
        <v>1030</v>
      </c>
      <c r="C66" s="555">
        <v>1593</v>
      </c>
      <c r="D66" s="563">
        <v>12000</v>
      </c>
      <c r="E66" s="573">
        <v>133</v>
      </c>
      <c r="F66" s="563">
        <v>12000</v>
      </c>
      <c r="G66" s="87">
        <f t="shared" si="0"/>
        <v>0</v>
      </c>
      <c r="H66" s="509"/>
      <c r="I66" s="509"/>
      <c r="J66" s="1"/>
      <c r="K66" s="629"/>
      <c r="L66" s="629"/>
      <c r="M66" s="629"/>
    </row>
    <row r="67" spans="1:13" ht="15.75" x14ac:dyDescent="0.25">
      <c r="A67" s="523">
        <v>63</v>
      </c>
      <c r="B67" s="523" t="s">
        <v>1030</v>
      </c>
      <c r="C67" s="555">
        <v>7932</v>
      </c>
      <c r="D67" s="563">
        <v>40000</v>
      </c>
      <c r="E67" s="573">
        <v>413</v>
      </c>
      <c r="F67" s="563">
        <v>40000</v>
      </c>
      <c r="G67" s="87">
        <f t="shared" si="0"/>
        <v>0</v>
      </c>
      <c r="H67" s="509"/>
      <c r="I67" s="509"/>
      <c r="J67" s="1"/>
      <c r="K67" s="629"/>
      <c r="L67" s="629"/>
      <c r="M67" s="629"/>
    </row>
    <row r="68" spans="1:13" ht="15.75" x14ac:dyDescent="0.25">
      <c r="A68" s="523">
        <v>64</v>
      </c>
      <c r="B68" s="523" t="s">
        <v>1030</v>
      </c>
      <c r="C68" s="555" t="s">
        <v>66</v>
      </c>
      <c r="D68" s="563">
        <v>210</v>
      </c>
      <c r="E68" s="573">
        <v>230</v>
      </c>
      <c r="F68" s="563">
        <v>210</v>
      </c>
      <c r="G68" s="87">
        <f t="shared" si="0"/>
        <v>0</v>
      </c>
      <c r="H68" s="514"/>
      <c r="I68" s="509"/>
      <c r="J68" s="1"/>
      <c r="K68" s="629"/>
      <c r="L68" s="629"/>
      <c r="M68" s="629"/>
    </row>
    <row r="69" spans="1:13" ht="15.75" x14ac:dyDescent="0.25">
      <c r="A69" s="523">
        <v>65</v>
      </c>
      <c r="B69" s="523" t="s">
        <v>1030</v>
      </c>
      <c r="C69" s="555">
        <v>1033</v>
      </c>
      <c r="D69" s="563">
        <v>20650</v>
      </c>
      <c r="E69" s="573">
        <v>215</v>
      </c>
      <c r="F69" s="563">
        <v>20650</v>
      </c>
      <c r="G69" s="87">
        <f t="shared" ref="G69:G132" si="1">D69-F69</f>
        <v>0</v>
      </c>
      <c r="H69" s="514"/>
      <c r="I69" s="509"/>
      <c r="J69" s="1"/>
      <c r="K69" s="629"/>
      <c r="L69" s="629"/>
      <c r="M69" s="629"/>
    </row>
    <row r="70" spans="1:13" ht="15.75" x14ac:dyDescent="0.25">
      <c r="A70" s="523">
        <v>66</v>
      </c>
      <c r="B70" s="523" t="s">
        <v>1030</v>
      </c>
      <c r="C70" s="555">
        <v>1028</v>
      </c>
      <c r="D70" s="563">
        <v>19384</v>
      </c>
      <c r="E70" s="573">
        <v>155</v>
      </c>
      <c r="F70" s="563">
        <v>19384</v>
      </c>
      <c r="G70" s="87">
        <f t="shared" si="1"/>
        <v>0</v>
      </c>
      <c r="H70" s="514"/>
      <c r="I70" s="509"/>
      <c r="J70" s="1"/>
      <c r="K70" s="629"/>
      <c r="L70" s="629"/>
      <c r="M70" s="629"/>
    </row>
    <row r="71" spans="1:13" ht="15.75" x14ac:dyDescent="0.25">
      <c r="A71" s="523">
        <v>67</v>
      </c>
      <c r="B71" s="523" t="s">
        <v>1030</v>
      </c>
      <c r="C71" s="555">
        <v>2973</v>
      </c>
      <c r="D71" s="563">
        <v>14000</v>
      </c>
      <c r="E71" s="573">
        <v>167</v>
      </c>
      <c r="F71" s="563">
        <v>14000</v>
      </c>
      <c r="G71" s="87">
        <f t="shared" si="1"/>
        <v>0</v>
      </c>
      <c r="H71" s="514"/>
      <c r="I71" s="509"/>
      <c r="J71" s="1"/>
      <c r="K71" s="629"/>
      <c r="L71" s="629"/>
      <c r="M71" s="629"/>
    </row>
    <row r="72" spans="1:13" ht="15.75" x14ac:dyDescent="0.25">
      <c r="A72" s="523">
        <v>68</v>
      </c>
      <c r="B72" s="523" t="s">
        <v>1030</v>
      </c>
      <c r="C72" s="555">
        <v>7087</v>
      </c>
      <c r="D72" s="563">
        <v>15000</v>
      </c>
      <c r="E72" s="573">
        <v>189</v>
      </c>
      <c r="F72" s="563">
        <v>15000</v>
      </c>
      <c r="G72" s="87">
        <f t="shared" si="1"/>
        <v>0</v>
      </c>
      <c r="H72" s="514"/>
      <c r="I72" s="509"/>
      <c r="J72" s="1"/>
      <c r="K72" s="629"/>
      <c r="L72" s="629"/>
      <c r="M72" s="629"/>
    </row>
    <row r="73" spans="1:13" ht="15.75" x14ac:dyDescent="0.25">
      <c r="A73" s="523">
        <v>69</v>
      </c>
      <c r="B73" s="523" t="s">
        <v>1030</v>
      </c>
      <c r="C73" s="555">
        <v>5988</v>
      </c>
      <c r="D73" s="563">
        <v>17000</v>
      </c>
      <c r="E73" s="573">
        <v>278</v>
      </c>
      <c r="F73" s="563">
        <v>17000</v>
      </c>
      <c r="G73" s="87">
        <f t="shared" si="1"/>
        <v>0</v>
      </c>
      <c r="H73" s="514"/>
      <c r="I73" s="509"/>
      <c r="J73" s="1"/>
      <c r="K73" s="629"/>
      <c r="L73" s="629"/>
      <c r="M73" s="629"/>
    </row>
    <row r="74" spans="1:13" ht="15.75" x14ac:dyDescent="0.25">
      <c r="A74" s="523">
        <v>70</v>
      </c>
      <c r="B74" s="523" t="s">
        <v>1030</v>
      </c>
      <c r="C74" s="555">
        <v>8589</v>
      </c>
      <c r="D74" s="563">
        <v>25000</v>
      </c>
      <c r="E74" s="573">
        <v>289</v>
      </c>
      <c r="F74" s="563">
        <v>25000</v>
      </c>
      <c r="G74" s="87">
        <f t="shared" si="1"/>
        <v>0</v>
      </c>
      <c r="H74" s="514"/>
      <c r="I74" s="509"/>
      <c r="J74" s="1"/>
      <c r="K74" s="629"/>
      <c r="L74" s="629"/>
      <c r="M74" s="629"/>
    </row>
    <row r="75" spans="1:13" ht="15.75" x14ac:dyDescent="0.25">
      <c r="A75" s="523">
        <v>71</v>
      </c>
      <c r="B75" s="523" t="s">
        <v>1030</v>
      </c>
      <c r="C75" s="607" t="s">
        <v>1037</v>
      </c>
      <c r="D75" s="563">
        <v>26000</v>
      </c>
      <c r="E75" s="573">
        <v>189</v>
      </c>
      <c r="F75" s="563">
        <v>26000</v>
      </c>
      <c r="G75" s="87">
        <f t="shared" si="1"/>
        <v>0</v>
      </c>
      <c r="H75" s="514"/>
      <c r="I75" s="509"/>
      <c r="J75" s="1"/>
      <c r="K75" s="629"/>
      <c r="L75" s="629"/>
      <c r="M75" s="629"/>
    </row>
    <row r="76" spans="1:13" ht="15.75" x14ac:dyDescent="0.25">
      <c r="A76" s="523">
        <v>72</v>
      </c>
      <c r="B76" s="523" t="s">
        <v>1030</v>
      </c>
      <c r="C76" s="555">
        <v>5367</v>
      </c>
      <c r="D76" s="563">
        <v>17000</v>
      </c>
      <c r="E76" s="573">
        <v>334</v>
      </c>
      <c r="F76" s="563">
        <v>17000</v>
      </c>
      <c r="G76" s="87">
        <f t="shared" si="1"/>
        <v>0</v>
      </c>
      <c r="H76" s="514"/>
      <c r="I76" s="509"/>
      <c r="J76" s="1"/>
      <c r="K76" s="629"/>
      <c r="L76" s="629"/>
      <c r="M76" s="629"/>
    </row>
    <row r="77" spans="1:13" ht="15.75" x14ac:dyDescent="0.25">
      <c r="A77" s="523">
        <v>73</v>
      </c>
      <c r="B77" s="523" t="s">
        <v>1030</v>
      </c>
      <c r="C77" s="555">
        <v>9934</v>
      </c>
      <c r="D77" s="563">
        <v>30000</v>
      </c>
      <c r="E77" s="573">
        <v>267</v>
      </c>
      <c r="F77" s="563">
        <v>30000</v>
      </c>
      <c r="G77" s="87">
        <f t="shared" si="1"/>
        <v>0</v>
      </c>
      <c r="H77" s="514"/>
      <c r="I77" s="509"/>
      <c r="J77" s="1"/>
      <c r="K77" s="629"/>
      <c r="L77" s="629"/>
      <c r="M77" s="629"/>
    </row>
    <row r="78" spans="1:13" ht="15.75" x14ac:dyDescent="0.25">
      <c r="A78" s="523">
        <v>74</v>
      </c>
      <c r="B78" s="523" t="s">
        <v>1030</v>
      </c>
      <c r="C78" s="555">
        <v>3001</v>
      </c>
      <c r="D78" s="563">
        <v>24000</v>
      </c>
      <c r="E78" s="573">
        <v>229</v>
      </c>
      <c r="F78" s="563">
        <v>24000</v>
      </c>
      <c r="G78" s="87">
        <f t="shared" si="1"/>
        <v>0</v>
      </c>
      <c r="H78" s="514"/>
      <c r="I78" s="509"/>
      <c r="J78" s="1"/>
      <c r="K78" s="629"/>
      <c r="L78" s="629"/>
      <c r="M78" s="629"/>
    </row>
    <row r="79" spans="1:13" ht="15.75" x14ac:dyDescent="0.25">
      <c r="A79" s="523">
        <v>75</v>
      </c>
      <c r="B79" s="523" t="s">
        <v>1030</v>
      </c>
      <c r="C79" s="555">
        <v>2342</v>
      </c>
      <c r="D79" s="563">
        <v>22000</v>
      </c>
      <c r="E79" s="573">
        <v>355</v>
      </c>
      <c r="F79" s="563">
        <v>22000</v>
      </c>
      <c r="G79" s="87">
        <f t="shared" si="1"/>
        <v>0</v>
      </c>
      <c r="H79" s="514"/>
      <c r="I79" s="509"/>
      <c r="J79" s="1"/>
      <c r="K79" s="629"/>
      <c r="L79" s="629"/>
      <c r="M79" s="629"/>
    </row>
    <row r="80" spans="1:13" ht="15.75" x14ac:dyDescent="0.25">
      <c r="A80" s="523">
        <v>76</v>
      </c>
      <c r="B80" s="523" t="s">
        <v>1030</v>
      </c>
      <c r="C80" s="555">
        <v>9881</v>
      </c>
      <c r="D80" s="563">
        <v>33000</v>
      </c>
      <c r="E80" s="573">
        <v>266</v>
      </c>
      <c r="F80" s="563">
        <v>33000</v>
      </c>
      <c r="G80" s="87">
        <f t="shared" si="1"/>
        <v>0</v>
      </c>
      <c r="H80" s="514"/>
      <c r="I80" s="509"/>
      <c r="J80" s="1"/>
      <c r="K80" s="629"/>
      <c r="L80" s="629"/>
      <c r="M80" s="629"/>
    </row>
    <row r="81" spans="1:13" ht="15.75" x14ac:dyDescent="0.25">
      <c r="A81" s="523">
        <v>77</v>
      </c>
      <c r="B81" s="523" t="s">
        <v>1030</v>
      </c>
      <c r="C81" s="555">
        <v>7677</v>
      </c>
      <c r="D81" s="563">
        <v>25000</v>
      </c>
      <c r="E81" s="573">
        <v>266</v>
      </c>
      <c r="F81" s="563">
        <v>25000</v>
      </c>
      <c r="G81" s="87">
        <f t="shared" si="1"/>
        <v>0</v>
      </c>
      <c r="H81" s="514"/>
      <c r="I81" s="509"/>
      <c r="J81" s="1"/>
      <c r="K81" s="629"/>
      <c r="L81" s="629"/>
      <c r="M81" s="629"/>
    </row>
    <row r="82" spans="1:13" ht="15.75" x14ac:dyDescent="0.25">
      <c r="A82" s="523">
        <v>78</v>
      </c>
      <c r="B82" s="523" t="s">
        <v>1038</v>
      </c>
      <c r="C82" s="555">
        <v>9525</v>
      </c>
      <c r="D82" s="563">
        <v>20000</v>
      </c>
      <c r="E82" s="573">
        <v>222</v>
      </c>
      <c r="F82" s="563">
        <v>20000</v>
      </c>
      <c r="G82" s="87">
        <f t="shared" si="1"/>
        <v>0</v>
      </c>
      <c r="H82" s="514"/>
      <c r="I82" s="509"/>
      <c r="J82" s="1"/>
      <c r="K82" s="629"/>
      <c r="L82" s="629"/>
      <c r="M82" s="629"/>
    </row>
    <row r="83" spans="1:13" ht="15.75" x14ac:dyDescent="0.25">
      <c r="A83" s="523">
        <v>79</v>
      </c>
      <c r="B83" s="523" t="s">
        <v>1038</v>
      </c>
      <c r="C83" s="555">
        <v>6735</v>
      </c>
      <c r="D83" s="563">
        <v>16000</v>
      </c>
      <c r="E83" s="573">
        <v>178</v>
      </c>
      <c r="F83" s="563">
        <v>16000</v>
      </c>
      <c r="G83" s="87">
        <f t="shared" si="1"/>
        <v>0</v>
      </c>
      <c r="H83" s="514"/>
      <c r="I83" s="509"/>
      <c r="J83" s="1"/>
      <c r="K83" s="629"/>
      <c r="L83" s="629"/>
      <c r="M83" s="629"/>
    </row>
    <row r="84" spans="1:13" ht="15.75" x14ac:dyDescent="0.25">
      <c r="A84" s="523">
        <v>80</v>
      </c>
      <c r="B84" s="523" t="s">
        <v>1038</v>
      </c>
      <c r="C84" s="555">
        <v>6975</v>
      </c>
      <c r="D84" s="563">
        <v>15000</v>
      </c>
      <c r="E84" s="573">
        <v>167</v>
      </c>
      <c r="F84" s="563">
        <v>15000</v>
      </c>
      <c r="G84" s="87">
        <f t="shared" si="1"/>
        <v>0</v>
      </c>
      <c r="H84" s="514"/>
      <c r="I84" s="509"/>
      <c r="J84" s="1"/>
      <c r="K84" s="629"/>
      <c r="L84" s="629"/>
      <c r="M84" s="629"/>
    </row>
    <row r="85" spans="1:13" ht="15.75" x14ac:dyDescent="0.25">
      <c r="A85" s="523">
        <v>81</v>
      </c>
      <c r="B85" s="523" t="s">
        <v>1038</v>
      </c>
      <c r="C85" s="555">
        <v>7820</v>
      </c>
      <c r="D85" s="563">
        <v>16000</v>
      </c>
      <c r="E85" s="573">
        <v>178</v>
      </c>
      <c r="F85" s="563">
        <v>16000</v>
      </c>
      <c r="G85" s="87">
        <f t="shared" si="1"/>
        <v>0</v>
      </c>
      <c r="H85" s="514"/>
      <c r="I85" s="509"/>
      <c r="J85" s="1"/>
      <c r="K85" s="629"/>
      <c r="L85" s="629"/>
      <c r="M85" s="629"/>
    </row>
    <row r="86" spans="1:13" ht="15.75" x14ac:dyDescent="0.25">
      <c r="A86" s="523">
        <v>82</v>
      </c>
      <c r="B86" s="523" t="s">
        <v>1038</v>
      </c>
      <c r="C86" s="555">
        <v>2867</v>
      </c>
      <c r="D86" s="563">
        <v>17000</v>
      </c>
      <c r="E86" s="573">
        <v>189</v>
      </c>
      <c r="F86" s="563">
        <v>17000</v>
      </c>
      <c r="G86" s="87">
        <f t="shared" si="1"/>
        <v>0</v>
      </c>
      <c r="H86" s="514"/>
      <c r="I86" s="509"/>
      <c r="J86" s="1"/>
      <c r="K86" s="629"/>
      <c r="L86" s="629"/>
      <c r="M86" s="629"/>
    </row>
    <row r="87" spans="1:13" ht="15.75" x14ac:dyDescent="0.25">
      <c r="A87" s="523">
        <v>83</v>
      </c>
      <c r="B87" s="523" t="s">
        <v>1038</v>
      </c>
      <c r="C87" s="555">
        <v>1720</v>
      </c>
      <c r="D87" s="563">
        <v>16000</v>
      </c>
      <c r="E87" s="573">
        <v>178</v>
      </c>
      <c r="F87" s="563">
        <v>16000</v>
      </c>
      <c r="G87" s="87">
        <f t="shared" si="1"/>
        <v>0</v>
      </c>
      <c r="H87" s="514"/>
      <c r="I87" s="509"/>
      <c r="J87" s="1"/>
      <c r="K87" s="629"/>
      <c r="L87" s="629"/>
      <c r="M87" s="629"/>
    </row>
    <row r="88" spans="1:13" ht="15.75" x14ac:dyDescent="0.25">
      <c r="A88" s="523">
        <v>84</v>
      </c>
      <c r="B88" s="523" t="s">
        <v>1038</v>
      </c>
      <c r="C88" s="555">
        <v>3776</v>
      </c>
      <c r="D88" s="563">
        <v>19180</v>
      </c>
      <c r="E88" s="573">
        <v>213</v>
      </c>
      <c r="F88" s="563">
        <v>19180</v>
      </c>
      <c r="G88" s="87">
        <f t="shared" si="1"/>
        <v>0</v>
      </c>
      <c r="H88" s="514"/>
      <c r="I88" s="509"/>
      <c r="J88" s="1"/>
      <c r="K88" s="629"/>
      <c r="L88" s="629"/>
      <c r="M88" s="629"/>
    </row>
    <row r="89" spans="1:13" ht="15.75" x14ac:dyDescent="0.25">
      <c r="A89" s="523">
        <v>85</v>
      </c>
      <c r="B89" s="523" t="s">
        <v>1038</v>
      </c>
      <c r="C89" s="555">
        <v>6794</v>
      </c>
      <c r="D89" s="563">
        <v>16000</v>
      </c>
      <c r="E89" s="573">
        <v>178</v>
      </c>
      <c r="F89" s="563">
        <v>16000</v>
      </c>
      <c r="G89" s="87">
        <f t="shared" si="1"/>
        <v>0</v>
      </c>
      <c r="H89" s="514"/>
      <c r="I89" s="509"/>
      <c r="J89" s="1"/>
      <c r="K89" s="629"/>
      <c r="L89" s="629"/>
      <c r="M89" s="629"/>
    </row>
    <row r="90" spans="1:13" ht="15.75" x14ac:dyDescent="0.25">
      <c r="A90" s="523">
        <v>86</v>
      </c>
      <c r="B90" s="523" t="s">
        <v>1038</v>
      </c>
      <c r="C90" s="555" t="s">
        <v>30</v>
      </c>
      <c r="D90" s="563">
        <v>10000</v>
      </c>
      <c r="E90" s="573">
        <v>111</v>
      </c>
      <c r="F90" s="563">
        <v>10000</v>
      </c>
      <c r="G90" s="87">
        <f t="shared" si="1"/>
        <v>0</v>
      </c>
      <c r="H90" s="514"/>
      <c r="I90" s="509"/>
      <c r="J90" s="1"/>
      <c r="K90" s="629"/>
      <c r="L90" s="629"/>
      <c r="M90" s="629"/>
    </row>
    <row r="91" spans="1:13" ht="15.75" x14ac:dyDescent="0.25">
      <c r="A91" s="523">
        <v>87</v>
      </c>
      <c r="B91" s="523" t="s">
        <v>1038</v>
      </c>
      <c r="C91" s="555">
        <v>4820</v>
      </c>
      <c r="D91" s="563">
        <v>16000</v>
      </c>
      <c r="E91" s="573">
        <v>178</v>
      </c>
      <c r="F91" s="563">
        <v>16000</v>
      </c>
      <c r="G91" s="87">
        <f t="shared" si="1"/>
        <v>0</v>
      </c>
      <c r="H91" s="514"/>
      <c r="I91" s="509"/>
      <c r="J91" s="1"/>
      <c r="K91" s="629"/>
      <c r="L91" s="629"/>
      <c r="M91" s="629"/>
    </row>
    <row r="92" spans="1:13" ht="15.75" x14ac:dyDescent="0.25">
      <c r="A92" s="523">
        <v>88</v>
      </c>
      <c r="B92" s="523" t="s">
        <v>1038</v>
      </c>
      <c r="C92" s="555">
        <v>5964</v>
      </c>
      <c r="D92" s="563">
        <v>10000</v>
      </c>
      <c r="E92" s="573">
        <v>111</v>
      </c>
      <c r="F92" s="563">
        <v>10000</v>
      </c>
      <c r="G92" s="87">
        <f t="shared" si="1"/>
        <v>0</v>
      </c>
      <c r="H92" s="514"/>
      <c r="I92" s="509"/>
      <c r="J92" s="1"/>
      <c r="K92" s="629"/>
      <c r="L92" s="629"/>
      <c r="M92" s="629"/>
    </row>
    <row r="93" spans="1:13" ht="15.75" x14ac:dyDescent="0.25">
      <c r="A93" s="523">
        <v>89</v>
      </c>
      <c r="B93" s="523" t="s">
        <v>1038</v>
      </c>
      <c r="C93" s="555">
        <v>4961</v>
      </c>
      <c r="D93" s="563">
        <v>16000</v>
      </c>
      <c r="E93" s="573">
        <v>178</v>
      </c>
      <c r="F93" s="563">
        <v>16000</v>
      </c>
      <c r="G93" s="87">
        <f t="shared" si="1"/>
        <v>0</v>
      </c>
      <c r="H93" s="514"/>
      <c r="I93" s="509"/>
      <c r="J93" s="1"/>
      <c r="K93" s="629"/>
      <c r="L93" s="629"/>
      <c r="M93" s="629"/>
    </row>
    <row r="94" spans="1:13" ht="15.75" x14ac:dyDescent="0.25">
      <c r="A94" s="523">
        <v>90</v>
      </c>
      <c r="B94" s="523" t="s">
        <v>1038</v>
      </c>
      <c r="C94" s="555">
        <v>4024</v>
      </c>
      <c r="D94" s="563">
        <v>20000</v>
      </c>
      <c r="E94" s="573">
        <v>222</v>
      </c>
      <c r="F94" s="563">
        <v>20000</v>
      </c>
      <c r="G94" s="87">
        <f t="shared" si="1"/>
        <v>0</v>
      </c>
      <c r="H94" s="514"/>
      <c r="I94" s="509"/>
      <c r="J94" s="1"/>
      <c r="K94" s="629"/>
      <c r="L94" s="629"/>
      <c r="M94" s="629"/>
    </row>
    <row r="95" spans="1:13" ht="15.75" x14ac:dyDescent="0.25">
      <c r="A95" s="523">
        <v>91</v>
      </c>
      <c r="B95" s="523" t="s">
        <v>1038</v>
      </c>
      <c r="C95" s="555">
        <v>4229</v>
      </c>
      <c r="D95" s="563">
        <v>15000</v>
      </c>
      <c r="E95" s="573">
        <v>167</v>
      </c>
      <c r="F95" s="563">
        <v>15000</v>
      </c>
      <c r="G95" s="87">
        <f t="shared" si="1"/>
        <v>0</v>
      </c>
      <c r="H95" s="514"/>
      <c r="I95" s="509"/>
      <c r="J95" s="1"/>
      <c r="K95" s="629"/>
      <c r="L95" s="629"/>
      <c r="M95" s="629"/>
    </row>
    <row r="96" spans="1:13" ht="15.75" x14ac:dyDescent="0.25">
      <c r="A96" s="523">
        <v>92</v>
      </c>
      <c r="B96" s="523" t="s">
        <v>1038</v>
      </c>
      <c r="C96" s="555">
        <v>8291</v>
      </c>
      <c r="D96" s="563">
        <v>30000</v>
      </c>
      <c r="E96" s="573">
        <v>334</v>
      </c>
      <c r="F96" s="563">
        <v>30000</v>
      </c>
      <c r="G96" s="87">
        <f t="shared" si="1"/>
        <v>0</v>
      </c>
      <c r="H96" s="514"/>
      <c r="I96" s="509"/>
      <c r="J96" s="1"/>
      <c r="K96" s="629"/>
      <c r="L96" s="629"/>
      <c r="M96" s="629"/>
    </row>
    <row r="97" spans="1:13" ht="15.75" x14ac:dyDescent="0.25">
      <c r="A97" s="523">
        <v>93</v>
      </c>
      <c r="B97" s="523" t="s">
        <v>1038</v>
      </c>
      <c r="C97" s="555">
        <v>5477</v>
      </c>
      <c r="D97" s="563">
        <v>25000</v>
      </c>
      <c r="E97" s="573">
        <v>278</v>
      </c>
      <c r="F97" s="563">
        <v>25000</v>
      </c>
      <c r="G97" s="87">
        <f t="shared" si="1"/>
        <v>0</v>
      </c>
      <c r="H97" s="514"/>
      <c r="I97" s="509"/>
      <c r="J97" s="1"/>
      <c r="K97" s="629"/>
      <c r="L97" s="629"/>
      <c r="M97" s="629"/>
    </row>
    <row r="98" spans="1:13" ht="15.75" x14ac:dyDescent="0.25">
      <c r="A98" s="523">
        <v>94</v>
      </c>
      <c r="B98" s="523" t="s">
        <v>1038</v>
      </c>
      <c r="C98" s="555">
        <v>5478</v>
      </c>
      <c r="D98" s="563">
        <v>25000</v>
      </c>
      <c r="E98" s="573">
        <v>278</v>
      </c>
      <c r="F98" s="563">
        <v>25000</v>
      </c>
      <c r="G98" s="87">
        <f t="shared" si="1"/>
        <v>0</v>
      </c>
      <c r="H98" s="514"/>
      <c r="I98" s="509"/>
      <c r="J98" s="1"/>
      <c r="K98" s="629"/>
      <c r="L98" s="629"/>
      <c r="M98" s="629"/>
    </row>
    <row r="99" spans="1:13" ht="15.75" x14ac:dyDescent="0.25">
      <c r="A99" s="523">
        <v>95</v>
      </c>
      <c r="B99" s="523" t="s">
        <v>1038</v>
      </c>
      <c r="C99" s="555">
        <v>5383</v>
      </c>
      <c r="D99" s="563">
        <v>28000</v>
      </c>
      <c r="E99" s="573">
        <v>311</v>
      </c>
      <c r="F99" s="563">
        <v>28000</v>
      </c>
      <c r="G99" s="87">
        <f t="shared" si="1"/>
        <v>0</v>
      </c>
      <c r="H99" s="514"/>
      <c r="I99" s="509"/>
      <c r="J99" s="1"/>
      <c r="K99" s="629"/>
      <c r="L99" s="629"/>
      <c r="M99" s="629"/>
    </row>
    <row r="100" spans="1:13" ht="15.75" x14ac:dyDescent="0.25">
      <c r="A100" s="523">
        <v>96</v>
      </c>
      <c r="B100" s="523" t="s">
        <v>1038</v>
      </c>
      <c r="C100" s="555">
        <v>9655</v>
      </c>
      <c r="D100" s="563">
        <v>15000</v>
      </c>
      <c r="E100" s="573">
        <v>167</v>
      </c>
      <c r="F100" s="563">
        <v>15000</v>
      </c>
      <c r="G100" s="87">
        <f t="shared" si="1"/>
        <v>0</v>
      </c>
      <c r="H100" s="514"/>
      <c r="I100" s="509"/>
      <c r="J100" s="1"/>
      <c r="K100" s="629"/>
      <c r="L100" s="629"/>
      <c r="M100" s="629"/>
    </row>
    <row r="101" spans="1:13" ht="15.75" x14ac:dyDescent="0.25">
      <c r="A101" s="523">
        <v>97</v>
      </c>
      <c r="B101" s="523" t="s">
        <v>1038</v>
      </c>
      <c r="C101" s="555">
        <v>4676</v>
      </c>
      <c r="D101" s="563">
        <v>10000</v>
      </c>
      <c r="E101" s="573">
        <v>111</v>
      </c>
      <c r="F101" s="563">
        <v>10000</v>
      </c>
      <c r="G101" s="87">
        <f t="shared" si="1"/>
        <v>0</v>
      </c>
      <c r="H101" s="514"/>
      <c r="I101" s="509"/>
      <c r="J101" s="1"/>
      <c r="K101" s="629"/>
      <c r="L101" s="629"/>
      <c r="M101" s="629"/>
    </row>
    <row r="102" spans="1:13" ht="15.75" x14ac:dyDescent="0.25">
      <c r="A102" s="523">
        <v>98</v>
      </c>
      <c r="B102" s="523" t="s">
        <v>1038</v>
      </c>
      <c r="C102" s="555" t="s">
        <v>30</v>
      </c>
      <c r="D102" s="563">
        <v>5500</v>
      </c>
      <c r="E102" s="573">
        <v>61</v>
      </c>
      <c r="F102" s="563">
        <v>5500</v>
      </c>
      <c r="G102" s="87">
        <f t="shared" si="1"/>
        <v>0</v>
      </c>
      <c r="H102" s="514"/>
      <c r="I102" s="509"/>
      <c r="J102" s="1"/>
      <c r="K102" s="629"/>
      <c r="L102" s="629"/>
      <c r="M102" s="629"/>
    </row>
    <row r="103" spans="1:13" ht="15.75" x14ac:dyDescent="0.25">
      <c r="A103" s="523">
        <v>99</v>
      </c>
      <c r="B103" s="523" t="s">
        <v>1038</v>
      </c>
      <c r="C103" s="555">
        <v>1693</v>
      </c>
      <c r="D103" s="563">
        <v>10000</v>
      </c>
      <c r="E103" s="573">
        <v>111</v>
      </c>
      <c r="F103" s="563">
        <v>10000</v>
      </c>
      <c r="G103" s="87">
        <f t="shared" si="1"/>
        <v>0</v>
      </c>
      <c r="H103" s="514"/>
      <c r="I103" s="509"/>
      <c r="J103" s="1"/>
      <c r="K103" s="629"/>
      <c r="L103" s="629"/>
      <c r="M103" s="629"/>
    </row>
    <row r="104" spans="1:13" ht="15.75" x14ac:dyDescent="0.25">
      <c r="A104" s="523">
        <v>100</v>
      </c>
      <c r="B104" s="523" t="s">
        <v>1038</v>
      </c>
      <c r="C104" s="555">
        <v>9402</v>
      </c>
      <c r="D104" s="563">
        <v>8000</v>
      </c>
      <c r="E104" s="573">
        <v>89</v>
      </c>
      <c r="F104" s="563">
        <v>8000</v>
      </c>
      <c r="G104" s="87">
        <f t="shared" si="1"/>
        <v>0</v>
      </c>
      <c r="H104" s="514"/>
      <c r="I104" s="509"/>
      <c r="J104" s="1"/>
      <c r="K104" s="629"/>
      <c r="L104" s="629"/>
      <c r="M104" s="629"/>
    </row>
    <row r="105" spans="1:13" ht="15.75" x14ac:dyDescent="0.25">
      <c r="A105" s="523">
        <v>101</v>
      </c>
      <c r="B105" s="523" t="s">
        <v>1038</v>
      </c>
      <c r="C105" s="607" t="s">
        <v>1039</v>
      </c>
      <c r="D105" s="563">
        <v>18000</v>
      </c>
      <c r="E105" s="573">
        <v>200</v>
      </c>
      <c r="F105" s="563">
        <v>18000</v>
      </c>
      <c r="G105" s="87">
        <f t="shared" si="1"/>
        <v>0</v>
      </c>
      <c r="H105" s="514"/>
      <c r="I105" s="509"/>
      <c r="J105" s="1"/>
      <c r="K105" s="629"/>
      <c r="L105" s="629"/>
      <c r="M105" s="629"/>
    </row>
    <row r="106" spans="1:13" ht="15.75" x14ac:dyDescent="0.25">
      <c r="A106" s="523">
        <v>102</v>
      </c>
      <c r="B106" s="523" t="s">
        <v>1038</v>
      </c>
      <c r="C106" s="555">
        <v>4744</v>
      </c>
      <c r="D106" s="563">
        <v>30000</v>
      </c>
      <c r="E106" s="573">
        <v>334</v>
      </c>
      <c r="F106" s="563">
        <v>30000</v>
      </c>
      <c r="G106" s="87">
        <f t="shared" si="1"/>
        <v>0</v>
      </c>
      <c r="H106" s="514"/>
      <c r="I106" s="509"/>
      <c r="J106" s="1"/>
      <c r="K106" s="629"/>
      <c r="L106" s="629"/>
      <c r="M106" s="629"/>
    </row>
    <row r="107" spans="1:13" ht="15.75" x14ac:dyDescent="0.25">
      <c r="A107" s="523">
        <v>103</v>
      </c>
      <c r="B107" s="523" t="s">
        <v>1038</v>
      </c>
      <c r="C107" s="555">
        <v>2764</v>
      </c>
      <c r="D107" s="563">
        <v>25000</v>
      </c>
      <c r="E107" s="573">
        <v>278</v>
      </c>
      <c r="F107" s="563">
        <v>25000</v>
      </c>
      <c r="G107" s="87">
        <f t="shared" si="1"/>
        <v>0</v>
      </c>
      <c r="H107" s="514"/>
      <c r="I107" s="509"/>
      <c r="J107" s="1"/>
      <c r="K107" s="629"/>
      <c r="L107" s="629"/>
      <c r="M107" s="629"/>
    </row>
    <row r="108" spans="1:13" ht="15.75" x14ac:dyDescent="0.25">
      <c r="A108" s="523">
        <v>104</v>
      </c>
      <c r="B108" s="523" t="s">
        <v>1038</v>
      </c>
      <c r="C108" s="555">
        <v>8468</v>
      </c>
      <c r="D108" s="563">
        <v>16000</v>
      </c>
      <c r="E108" s="573">
        <v>178</v>
      </c>
      <c r="F108" s="563">
        <v>16000</v>
      </c>
      <c r="G108" s="87">
        <f t="shared" si="1"/>
        <v>0</v>
      </c>
      <c r="H108" s="514"/>
      <c r="I108" s="509"/>
      <c r="J108" s="1"/>
      <c r="K108" s="629"/>
      <c r="L108" s="629"/>
      <c r="M108" s="629"/>
    </row>
    <row r="109" spans="1:13" ht="15.75" x14ac:dyDescent="0.25">
      <c r="A109" s="523">
        <v>105</v>
      </c>
      <c r="B109" s="523" t="s">
        <v>1038</v>
      </c>
      <c r="C109" s="555">
        <v>9941</v>
      </c>
      <c r="D109" s="563">
        <v>25000</v>
      </c>
      <c r="E109" s="573">
        <v>278</v>
      </c>
      <c r="F109" s="563">
        <v>25000</v>
      </c>
      <c r="G109" s="87">
        <f t="shared" si="1"/>
        <v>0</v>
      </c>
      <c r="H109" s="514"/>
      <c r="I109" s="509"/>
      <c r="J109" s="1"/>
      <c r="K109" s="629"/>
      <c r="L109" s="629"/>
      <c r="M109" s="629"/>
    </row>
    <row r="110" spans="1:13" ht="15.75" x14ac:dyDescent="0.25">
      <c r="A110" s="523">
        <v>106</v>
      </c>
      <c r="B110" s="523" t="s">
        <v>1038</v>
      </c>
      <c r="C110" s="555">
        <v>3875</v>
      </c>
      <c r="D110" s="563">
        <v>20000</v>
      </c>
      <c r="E110" s="573">
        <v>222</v>
      </c>
      <c r="F110" s="563">
        <v>20000</v>
      </c>
      <c r="G110" s="87">
        <f t="shared" si="1"/>
        <v>0</v>
      </c>
      <c r="H110" s="514"/>
      <c r="I110" s="509"/>
      <c r="J110" s="1"/>
      <c r="K110" s="629"/>
      <c r="L110" s="629"/>
      <c r="M110" s="629"/>
    </row>
    <row r="111" spans="1:13" ht="15.75" x14ac:dyDescent="0.25">
      <c r="A111" s="523">
        <v>107</v>
      </c>
      <c r="B111" s="523" t="s">
        <v>1038</v>
      </c>
      <c r="C111" s="555">
        <v>2711</v>
      </c>
      <c r="D111" s="563">
        <v>10000</v>
      </c>
      <c r="E111" s="573">
        <v>111</v>
      </c>
      <c r="F111" s="563">
        <v>10000</v>
      </c>
      <c r="G111" s="87">
        <f t="shared" si="1"/>
        <v>0</v>
      </c>
      <c r="H111" s="514"/>
      <c r="I111" s="509"/>
      <c r="J111" s="1"/>
      <c r="K111" s="629"/>
      <c r="L111" s="629"/>
      <c r="M111" s="629"/>
    </row>
    <row r="112" spans="1:13" ht="15.75" x14ac:dyDescent="0.25">
      <c r="A112" s="523">
        <v>108</v>
      </c>
      <c r="B112" s="523" t="s">
        <v>1038</v>
      </c>
      <c r="C112" s="555">
        <v>5411</v>
      </c>
      <c r="D112" s="563">
        <v>29000</v>
      </c>
      <c r="E112" s="573">
        <v>308</v>
      </c>
      <c r="F112" s="563">
        <v>29000</v>
      </c>
      <c r="G112" s="87">
        <f t="shared" si="1"/>
        <v>0</v>
      </c>
      <c r="H112" s="514"/>
      <c r="I112" s="509"/>
      <c r="J112" s="1"/>
      <c r="K112" s="629"/>
      <c r="L112" s="629"/>
      <c r="M112" s="629"/>
    </row>
    <row r="113" spans="1:13" ht="15.75" x14ac:dyDescent="0.25">
      <c r="A113" s="523">
        <v>109</v>
      </c>
      <c r="B113" s="523" t="s">
        <v>1038</v>
      </c>
      <c r="C113" s="555">
        <v>2731</v>
      </c>
      <c r="D113" s="563">
        <v>20000</v>
      </c>
      <c r="E113" s="573">
        <v>222</v>
      </c>
      <c r="F113" s="563">
        <v>20000</v>
      </c>
      <c r="G113" s="87">
        <f t="shared" si="1"/>
        <v>0</v>
      </c>
      <c r="H113" s="514"/>
      <c r="I113" s="509"/>
      <c r="J113" s="1"/>
      <c r="K113" s="629"/>
      <c r="L113" s="629"/>
      <c r="M113" s="629"/>
    </row>
    <row r="114" spans="1:13" ht="15.75" x14ac:dyDescent="0.25">
      <c r="A114" s="523">
        <v>110</v>
      </c>
      <c r="B114" s="523" t="s">
        <v>1038</v>
      </c>
      <c r="C114" s="555">
        <v>4268</v>
      </c>
      <c r="D114" s="563">
        <v>15000</v>
      </c>
      <c r="E114" s="573">
        <v>162</v>
      </c>
      <c r="F114" s="563">
        <v>15000</v>
      </c>
      <c r="G114" s="87">
        <f t="shared" si="1"/>
        <v>0</v>
      </c>
      <c r="H114" s="514"/>
      <c r="I114" s="509"/>
      <c r="J114" s="1"/>
      <c r="K114" s="629"/>
      <c r="L114" s="629"/>
      <c r="M114" s="629"/>
    </row>
    <row r="115" spans="1:13" ht="15.75" x14ac:dyDescent="0.25">
      <c r="A115" s="523">
        <v>111</v>
      </c>
      <c r="B115" s="523" t="s">
        <v>1038</v>
      </c>
      <c r="C115" s="555">
        <v>2244</v>
      </c>
      <c r="D115" s="563">
        <v>14000</v>
      </c>
      <c r="E115" s="573">
        <v>155</v>
      </c>
      <c r="F115" s="563">
        <v>14000</v>
      </c>
      <c r="G115" s="87">
        <f t="shared" si="1"/>
        <v>0</v>
      </c>
      <c r="H115" s="514"/>
      <c r="I115" s="509"/>
      <c r="J115" s="1"/>
      <c r="K115" s="629"/>
      <c r="L115" s="629"/>
      <c r="M115" s="629"/>
    </row>
    <row r="116" spans="1:13" ht="15.75" x14ac:dyDescent="0.25">
      <c r="A116" s="523">
        <v>112</v>
      </c>
      <c r="B116" s="523" t="s">
        <v>1038</v>
      </c>
      <c r="C116" s="555">
        <v>9490</v>
      </c>
      <c r="D116" s="563">
        <v>21000</v>
      </c>
      <c r="E116" s="573">
        <v>233</v>
      </c>
      <c r="F116" s="563">
        <v>21000</v>
      </c>
      <c r="G116" s="87">
        <f t="shared" si="1"/>
        <v>0</v>
      </c>
      <c r="H116" s="514"/>
      <c r="I116" s="509"/>
      <c r="J116" s="1"/>
      <c r="K116" s="629"/>
      <c r="L116" s="629"/>
      <c r="M116" s="629"/>
    </row>
    <row r="117" spans="1:13" ht="15.75" x14ac:dyDescent="0.25">
      <c r="A117" s="523">
        <v>113</v>
      </c>
      <c r="B117" s="523" t="s">
        <v>1038</v>
      </c>
      <c r="C117" s="555">
        <v>1197</v>
      </c>
      <c r="D117" s="563">
        <v>15000</v>
      </c>
      <c r="E117" s="573">
        <v>167</v>
      </c>
      <c r="F117" s="563">
        <v>15000</v>
      </c>
      <c r="G117" s="87">
        <f t="shared" si="1"/>
        <v>0</v>
      </c>
      <c r="H117" s="514"/>
      <c r="I117" s="509"/>
      <c r="J117" s="1"/>
      <c r="K117" s="629"/>
      <c r="L117" s="629"/>
      <c r="M117" s="629"/>
    </row>
    <row r="118" spans="1:13" ht="15.75" x14ac:dyDescent="0.25">
      <c r="A118" s="523">
        <v>114</v>
      </c>
      <c r="B118" s="523" t="s">
        <v>1031</v>
      </c>
      <c r="C118" s="555" t="s">
        <v>819</v>
      </c>
      <c r="D118" s="563">
        <v>3500</v>
      </c>
      <c r="E118" s="573">
        <v>38</v>
      </c>
      <c r="F118" s="563">
        <v>3500</v>
      </c>
      <c r="G118" s="87">
        <f t="shared" si="1"/>
        <v>0</v>
      </c>
      <c r="H118" s="514"/>
      <c r="I118" s="509"/>
      <c r="J118" s="1"/>
      <c r="K118" s="629"/>
      <c r="L118" s="629"/>
      <c r="M118" s="629"/>
    </row>
    <row r="119" spans="1:13" ht="15.75" x14ac:dyDescent="0.25">
      <c r="A119" s="523">
        <v>115</v>
      </c>
      <c r="B119" s="523" t="s">
        <v>1031</v>
      </c>
      <c r="C119" s="555" t="s">
        <v>30</v>
      </c>
      <c r="D119" s="563">
        <v>4500</v>
      </c>
      <c r="E119" s="573">
        <v>50</v>
      </c>
      <c r="F119" s="563">
        <v>4500</v>
      </c>
      <c r="G119" s="87">
        <f t="shared" si="1"/>
        <v>0</v>
      </c>
      <c r="H119" s="514"/>
      <c r="I119" s="509"/>
      <c r="J119" s="1"/>
      <c r="K119" s="629"/>
      <c r="L119" s="629"/>
      <c r="M119" s="629"/>
    </row>
    <row r="120" spans="1:13" ht="15.75" x14ac:dyDescent="0.25">
      <c r="A120" s="523">
        <v>116</v>
      </c>
      <c r="B120" s="523" t="s">
        <v>1031</v>
      </c>
      <c r="C120" s="555" t="s">
        <v>30</v>
      </c>
      <c r="D120" s="563">
        <v>5000</v>
      </c>
      <c r="E120" s="573">
        <v>55</v>
      </c>
      <c r="F120" s="563">
        <v>5000</v>
      </c>
      <c r="G120" s="87">
        <f t="shared" si="1"/>
        <v>0</v>
      </c>
      <c r="H120" s="514"/>
      <c r="I120" s="509"/>
      <c r="J120" s="1"/>
      <c r="K120" s="629"/>
      <c r="L120" s="629"/>
      <c r="M120" s="629"/>
    </row>
    <row r="121" spans="1:13" ht="15.75" x14ac:dyDescent="0.25">
      <c r="A121" s="523">
        <v>117</v>
      </c>
      <c r="B121" s="523" t="s">
        <v>1031</v>
      </c>
      <c r="C121" s="555">
        <v>5152</v>
      </c>
      <c r="D121" s="563">
        <v>10000</v>
      </c>
      <c r="E121" s="573">
        <v>111</v>
      </c>
      <c r="F121" s="563">
        <v>10000</v>
      </c>
      <c r="G121" s="87">
        <f t="shared" si="1"/>
        <v>0</v>
      </c>
      <c r="H121" s="514"/>
      <c r="I121" s="509"/>
      <c r="J121" s="1"/>
      <c r="K121" s="629"/>
      <c r="L121" s="629"/>
      <c r="M121" s="629"/>
    </row>
    <row r="122" spans="1:13" ht="15.75" x14ac:dyDescent="0.25">
      <c r="A122" s="523">
        <v>118</v>
      </c>
      <c r="B122" s="523" t="s">
        <v>1031</v>
      </c>
      <c r="C122" s="555">
        <v>9767</v>
      </c>
      <c r="D122" s="563">
        <v>16000</v>
      </c>
      <c r="E122" s="573">
        <v>178</v>
      </c>
      <c r="F122" s="563">
        <v>16000</v>
      </c>
      <c r="G122" s="87">
        <f t="shared" si="1"/>
        <v>0</v>
      </c>
      <c r="H122" s="514"/>
      <c r="I122" s="509"/>
      <c r="J122" s="1"/>
      <c r="K122" s="629"/>
      <c r="L122" s="629"/>
      <c r="M122" s="629"/>
    </row>
    <row r="123" spans="1:13" ht="15.75" x14ac:dyDescent="0.25">
      <c r="A123" s="523">
        <v>119</v>
      </c>
      <c r="B123" s="523" t="s">
        <v>1031</v>
      </c>
      <c r="C123" s="607" t="s">
        <v>890</v>
      </c>
      <c r="D123" s="563">
        <v>14000</v>
      </c>
      <c r="E123" s="573">
        <v>155</v>
      </c>
      <c r="F123" s="563">
        <v>14000</v>
      </c>
      <c r="G123" s="87">
        <f t="shared" si="1"/>
        <v>0</v>
      </c>
      <c r="H123" s="514"/>
      <c r="I123" s="509"/>
      <c r="J123" s="1"/>
      <c r="K123" s="629"/>
      <c r="L123" s="629"/>
      <c r="M123" s="629"/>
    </row>
    <row r="124" spans="1:13" ht="15.75" x14ac:dyDescent="0.25">
      <c r="A124" s="523">
        <v>120</v>
      </c>
      <c r="B124" s="523" t="s">
        <v>1031</v>
      </c>
      <c r="C124" s="555">
        <v>4176</v>
      </c>
      <c r="D124" s="563">
        <v>13000</v>
      </c>
      <c r="E124" s="573">
        <v>144</v>
      </c>
      <c r="F124" s="563">
        <v>13000</v>
      </c>
      <c r="G124" s="87">
        <f t="shared" si="1"/>
        <v>0</v>
      </c>
      <c r="H124" s="514"/>
      <c r="I124" s="509"/>
      <c r="J124" s="1"/>
      <c r="K124" s="629"/>
      <c r="L124" s="629"/>
      <c r="M124" s="629"/>
    </row>
    <row r="125" spans="1:13" ht="15.75" x14ac:dyDescent="0.25">
      <c r="A125" s="523">
        <v>121</v>
      </c>
      <c r="B125" s="523" t="s">
        <v>1031</v>
      </c>
      <c r="C125" s="555">
        <v>5801</v>
      </c>
      <c r="D125" s="563">
        <v>20000</v>
      </c>
      <c r="E125" s="573">
        <v>222</v>
      </c>
      <c r="F125" s="563">
        <v>20000</v>
      </c>
      <c r="G125" s="87">
        <f t="shared" si="1"/>
        <v>0</v>
      </c>
      <c r="H125" s="514"/>
      <c r="I125" s="509"/>
      <c r="J125" s="1"/>
      <c r="K125" s="629"/>
      <c r="L125" s="629"/>
      <c r="M125" s="629"/>
    </row>
    <row r="126" spans="1:13" ht="15.75" x14ac:dyDescent="0.25">
      <c r="A126" s="523">
        <v>122</v>
      </c>
      <c r="B126" s="523" t="s">
        <v>1031</v>
      </c>
      <c r="C126" s="555">
        <v>2774</v>
      </c>
      <c r="D126" s="563">
        <v>15000</v>
      </c>
      <c r="E126" s="573">
        <v>167</v>
      </c>
      <c r="F126" s="563">
        <v>15000</v>
      </c>
      <c r="G126" s="87">
        <f t="shared" si="1"/>
        <v>0</v>
      </c>
      <c r="H126" s="514"/>
      <c r="I126" s="509"/>
      <c r="J126" s="1"/>
      <c r="K126" s="629"/>
      <c r="L126" s="629"/>
      <c r="M126" s="629"/>
    </row>
    <row r="127" spans="1:13" ht="15.75" x14ac:dyDescent="0.25">
      <c r="A127" s="523">
        <v>123</v>
      </c>
      <c r="B127" s="523" t="s">
        <v>1031</v>
      </c>
      <c r="C127" s="555">
        <v>9944</v>
      </c>
      <c r="D127" s="563">
        <v>14000</v>
      </c>
      <c r="E127" s="573">
        <v>155</v>
      </c>
      <c r="F127" s="563">
        <v>14000</v>
      </c>
      <c r="G127" s="87">
        <f t="shared" si="1"/>
        <v>0</v>
      </c>
      <c r="H127" s="514"/>
      <c r="I127" s="509"/>
      <c r="J127" s="1"/>
      <c r="K127" s="629"/>
      <c r="L127" s="629"/>
      <c r="M127" s="629"/>
    </row>
    <row r="128" spans="1:13" ht="15.75" x14ac:dyDescent="0.25">
      <c r="A128" s="523">
        <v>124</v>
      </c>
      <c r="B128" s="523" t="s">
        <v>1031</v>
      </c>
      <c r="C128" s="555">
        <v>2847</v>
      </c>
      <c r="D128" s="563">
        <v>15000</v>
      </c>
      <c r="E128" s="573">
        <v>167</v>
      </c>
      <c r="F128" s="563">
        <v>15000</v>
      </c>
      <c r="G128" s="87">
        <f t="shared" si="1"/>
        <v>0</v>
      </c>
      <c r="H128" s="514"/>
      <c r="I128" s="509"/>
      <c r="J128" s="1"/>
      <c r="K128" s="629"/>
      <c r="L128" s="629"/>
      <c r="M128" s="629"/>
    </row>
    <row r="129" spans="1:13" ht="15.75" x14ac:dyDescent="0.25">
      <c r="A129" s="523">
        <v>125</v>
      </c>
      <c r="B129" s="523" t="s">
        <v>1031</v>
      </c>
      <c r="C129" s="555">
        <v>2656</v>
      </c>
      <c r="D129" s="563">
        <v>22000</v>
      </c>
      <c r="E129" s="573">
        <v>245</v>
      </c>
      <c r="F129" s="563">
        <v>22000</v>
      </c>
      <c r="G129" s="87">
        <f t="shared" si="1"/>
        <v>0</v>
      </c>
      <c r="H129" s="514"/>
      <c r="I129" s="509"/>
      <c r="J129" s="1"/>
      <c r="K129" s="629"/>
      <c r="L129" s="629"/>
      <c r="M129" s="629"/>
    </row>
    <row r="130" spans="1:13" ht="15.75" x14ac:dyDescent="0.25">
      <c r="A130" s="523">
        <v>126</v>
      </c>
      <c r="B130" s="523" t="s">
        <v>1031</v>
      </c>
      <c r="C130" s="555">
        <v>3572</v>
      </c>
      <c r="D130" s="563">
        <v>35000</v>
      </c>
      <c r="E130" s="573">
        <v>386</v>
      </c>
      <c r="F130" s="563">
        <v>35000</v>
      </c>
      <c r="G130" s="87">
        <f t="shared" si="1"/>
        <v>0</v>
      </c>
      <c r="H130" s="514"/>
      <c r="I130" s="509"/>
      <c r="J130" s="1"/>
      <c r="K130" s="629"/>
      <c r="L130" s="629"/>
      <c r="M130" s="629"/>
    </row>
    <row r="131" spans="1:13" ht="15.75" x14ac:dyDescent="0.25">
      <c r="A131" s="523">
        <v>127</v>
      </c>
      <c r="B131" s="523" t="s">
        <v>1031</v>
      </c>
      <c r="C131" s="555">
        <v>2972</v>
      </c>
      <c r="D131" s="563">
        <v>15000</v>
      </c>
      <c r="E131" s="573">
        <v>167</v>
      </c>
      <c r="F131" s="563">
        <v>15000</v>
      </c>
      <c r="G131" s="87">
        <f t="shared" si="1"/>
        <v>0</v>
      </c>
      <c r="H131" s="514"/>
      <c r="I131" s="509"/>
      <c r="J131" s="1"/>
      <c r="K131" s="629"/>
      <c r="L131" s="629"/>
      <c r="M131" s="629"/>
    </row>
    <row r="132" spans="1:13" ht="15.75" x14ac:dyDescent="0.25">
      <c r="A132" s="523">
        <v>128</v>
      </c>
      <c r="B132" s="523" t="s">
        <v>1031</v>
      </c>
      <c r="C132" s="555">
        <v>1071</v>
      </c>
      <c r="D132" s="563">
        <v>20000</v>
      </c>
      <c r="E132" s="573">
        <v>222</v>
      </c>
      <c r="F132" s="563">
        <v>20000</v>
      </c>
      <c r="G132" s="87">
        <f t="shared" si="1"/>
        <v>0</v>
      </c>
      <c r="H132" s="514"/>
      <c r="I132" s="509"/>
      <c r="J132" s="1"/>
      <c r="K132" s="629"/>
      <c r="L132" s="629"/>
      <c r="M132" s="629"/>
    </row>
    <row r="133" spans="1:13" ht="15.75" x14ac:dyDescent="0.25">
      <c r="A133" s="523">
        <v>129</v>
      </c>
      <c r="B133" s="523" t="s">
        <v>1031</v>
      </c>
      <c r="C133" s="555">
        <v>1343</v>
      </c>
      <c r="D133" s="563">
        <v>26000</v>
      </c>
      <c r="E133" s="573">
        <v>289</v>
      </c>
      <c r="F133" s="563">
        <v>26000</v>
      </c>
      <c r="G133" s="87">
        <f t="shared" ref="G133:G196" si="2">D133-F133</f>
        <v>0</v>
      </c>
      <c r="H133" s="514"/>
      <c r="I133" s="509"/>
      <c r="J133" s="1"/>
      <c r="K133" s="629"/>
      <c r="L133" s="629"/>
      <c r="M133" s="629"/>
    </row>
    <row r="134" spans="1:13" ht="15.75" x14ac:dyDescent="0.25">
      <c r="A134" s="523">
        <v>130</v>
      </c>
      <c r="B134" s="523" t="s">
        <v>1031</v>
      </c>
      <c r="C134" s="555" t="s">
        <v>66</v>
      </c>
      <c r="D134" s="563">
        <v>210</v>
      </c>
      <c r="E134" s="573" t="s">
        <v>66</v>
      </c>
      <c r="F134" s="563">
        <v>210</v>
      </c>
      <c r="G134" s="87">
        <f t="shared" si="2"/>
        <v>0</v>
      </c>
      <c r="H134" s="514"/>
      <c r="I134" s="509"/>
      <c r="J134" s="1"/>
      <c r="K134" s="629"/>
      <c r="L134" s="629"/>
      <c r="M134" s="629"/>
    </row>
    <row r="135" spans="1:13" ht="15.75" x14ac:dyDescent="0.25">
      <c r="A135" s="523">
        <v>131</v>
      </c>
      <c r="B135" s="523" t="s">
        <v>1031</v>
      </c>
      <c r="C135" s="555" t="s">
        <v>66</v>
      </c>
      <c r="D135" s="563">
        <v>100</v>
      </c>
      <c r="E135" s="573" t="s">
        <v>66</v>
      </c>
      <c r="F135" s="563">
        <v>100</v>
      </c>
      <c r="G135" s="87">
        <f t="shared" si="2"/>
        <v>0</v>
      </c>
      <c r="H135" s="514"/>
      <c r="I135" s="509"/>
      <c r="J135" s="1"/>
      <c r="K135" s="629"/>
      <c r="L135" s="629"/>
      <c r="M135" s="629"/>
    </row>
    <row r="136" spans="1:13" ht="15.75" x14ac:dyDescent="0.25">
      <c r="A136" s="523">
        <v>132</v>
      </c>
      <c r="B136" s="523" t="s">
        <v>1031</v>
      </c>
      <c r="C136" s="607" t="s">
        <v>1040</v>
      </c>
      <c r="D136" s="563">
        <v>35000</v>
      </c>
      <c r="E136" s="573">
        <v>351</v>
      </c>
      <c r="F136" s="563">
        <v>35000</v>
      </c>
      <c r="G136" s="87">
        <f t="shared" si="2"/>
        <v>0</v>
      </c>
      <c r="H136" s="514"/>
      <c r="I136" s="509"/>
      <c r="J136" s="1"/>
      <c r="K136" s="629"/>
      <c r="L136" s="629"/>
      <c r="M136" s="629"/>
    </row>
    <row r="137" spans="1:13" ht="15.75" x14ac:dyDescent="0.25">
      <c r="A137" s="523">
        <v>133</v>
      </c>
      <c r="B137" s="523" t="s">
        <v>1031</v>
      </c>
      <c r="C137" s="555">
        <v>1477</v>
      </c>
      <c r="D137" s="563">
        <v>30000</v>
      </c>
      <c r="E137" s="573">
        <v>334</v>
      </c>
      <c r="F137" s="563">
        <v>30000</v>
      </c>
      <c r="G137" s="87">
        <f t="shared" si="2"/>
        <v>0</v>
      </c>
      <c r="H137" s="514"/>
      <c r="I137" s="509"/>
      <c r="J137" s="1"/>
      <c r="K137" s="629"/>
      <c r="L137" s="629"/>
      <c r="M137" s="629"/>
    </row>
    <row r="138" spans="1:13" ht="15.75" x14ac:dyDescent="0.25">
      <c r="A138" s="523">
        <v>134</v>
      </c>
      <c r="B138" s="523" t="s">
        <v>1031</v>
      </c>
      <c r="C138" s="555">
        <v>2928</v>
      </c>
      <c r="D138" s="563">
        <v>25000</v>
      </c>
      <c r="E138" s="573">
        <v>278</v>
      </c>
      <c r="F138" s="563">
        <v>25000</v>
      </c>
      <c r="G138" s="87">
        <f t="shared" si="2"/>
        <v>0</v>
      </c>
      <c r="H138" s="514"/>
      <c r="I138" s="509"/>
      <c r="J138" s="1"/>
      <c r="K138" s="629"/>
      <c r="L138" s="629"/>
      <c r="M138" s="629"/>
    </row>
    <row r="139" spans="1:13" ht="15.75" x14ac:dyDescent="0.25">
      <c r="A139" s="523">
        <v>135</v>
      </c>
      <c r="B139" s="523" t="s">
        <v>1031</v>
      </c>
      <c r="C139" s="607" t="s">
        <v>895</v>
      </c>
      <c r="D139" s="563">
        <v>15000</v>
      </c>
      <c r="E139" s="573">
        <v>167</v>
      </c>
      <c r="F139" s="563">
        <v>15000</v>
      </c>
      <c r="G139" s="87">
        <f t="shared" si="2"/>
        <v>0</v>
      </c>
      <c r="H139" s="514"/>
      <c r="I139" s="509"/>
      <c r="J139" s="1"/>
      <c r="K139" s="629"/>
      <c r="L139" s="629"/>
      <c r="M139" s="629"/>
    </row>
    <row r="140" spans="1:13" ht="15.75" x14ac:dyDescent="0.25">
      <c r="A140" s="523">
        <v>136</v>
      </c>
      <c r="B140" s="523" t="s">
        <v>1031</v>
      </c>
      <c r="C140" s="555">
        <v>1144</v>
      </c>
      <c r="D140" s="563">
        <v>14000</v>
      </c>
      <c r="E140" s="573">
        <v>155</v>
      </c>
      <c r="F140" s="563">
        <v>14000</v>
      </c>
      <c r="G140" s="87">
        <f t="shared" si="2"/>
        <v>0</v>
      </c>
      <c r="H140" s="514"/>
      <c r="I140" s="509"/>
      <c r="J140" s="1"/>
      <c r="K140" s="629"/>
      <c r="L140" s="629"/>
      <c r="M140" s="629"/>
    </row>
    <row r="141" spans="1:13" ht="15.75" x14ac:dyDescent="0.25">
      <c r="A141" s="523">
        <v>137</v>
      </c>
      <c r="B141" s="523" t="s">
        <v>1031</v>
      </c>
      <c r="C141" s="555">
        <v>3344</v>
      </c>
      <c r="D141" s="563">
        <v>14000</v>
      </c>
      <c r="E141" s="573">
        <v>155</v>
      </c>
      <c r="F141" s="563">
        <v>14000</v>
      </c>
      <c r="G141" s="87">
        <f t="shared" si="2"/>
        <v>0</v>
      </c>
      <c r="H141" s="514"/>
      <c r="I141" s="509"/>
      <c r="J141" s="1"/>
      <c r="K141" s="629"/>
      <c r="L141" s="629"/>
      <c r="M141" s="629"/>
    </row>
    <row r="142" spans="1:13" ht="15.75" x14ac:dyDescent="0.25">
      <c r="A142" s="523">
        <v>138</v>
      </c>
      <c r="B142" s="523" t="s">
        <v>1031</v>
      </c>
      <c r="C142" s="555">
        <v>8145</v>
      </c>
      <c r="D142" s="563">
        <v>30000</v>
      </c>
      <c r="E142" s="573">
        <v>334</v>
      </c>
      <c r="F142" s="563">
        <v>30000</v>
      </c>
      <c r="G142" s="87">
        <f t="shared" si="2"/>
        <v>0</v>
      </c>
      <c r="H142" s="514"/>
      <c r="I142" s="509"/>
      <c r="J142" s="1"/>
      <c r="K142" s="629"/>
      <c r="L142" s="629"/>
      <c r="M142" s="629"/>
    </row>
    <row r="143" spans="1:13" ht="15.75" x14ac:dyDescent="0.25">
      <c r="A143" s="523">
        <v>139</v>
      </c>
      <c r="B143" s="523" t="s">
        <v>1031</v>
      </c>
      <c r="C143" s="555">
        <v>2497</v>
      </c>
      <c r="D143" s="563">
        <v>19000</v>
      </c>
      <c r="E143" s="573">
        <v>211</v>
      </c>
      <c r="F143" s="563">
        <v>19000</v>
      </c>
      <c r="G143" s="87">
        <f t="shared" si="2"/>
        <v>0</v>
      </c>
      <c r="H143" s="514"/>
      <c r="I143" s="509"/>
      <c r="J143" s="1"/>
      <c r="K143" s="629"/>
      <c r="L143" s="629"/>
      <c r="M143" s="629"/>
    </row>
    <row r="144" spans="1:13" ht="15.75" x14ac:dyDescent="0.25">
      <c r="A144" s="523">
        <v>140</v>
      </c>
      <c r="B144" s="523" t="s">
        <v>1031</v>
      </c>
      <c r="C144" s="555">
        <v>2136</v>
      </c>
      <c r="D144" s="563">
        <v>10000</v>
      </c>
      <c r="E144" s="573">
        <v>111</v>
      </c>
      <c r="F144" s="563">
        <v>10000</v>
      </c>
      <c r="G144" s="87">
        <f t="shared" si="2"/>
        <v>0</v>
      </c>
      <c r="H144" s="514"/>
      <c r="I144" s="509"/>
      <c r="J144" s="1"/>
      <c r="K144" s="629"/>
      <c r="L144" s="629"/>
      <c r="M144" s="629"/>
    </row>
    <row r="145" spans="1:13" ht="15.75" x14ac:dyDescent="0.25">
      <c r="A145" s="523">
        <v>141</v>
      </c>
      <c r="B145" s="523" t="s">
        <v>1031</v>
      </c>
      <c r="C145" s="555">
        <v>1266</v>
      </c>
      <c r="D145" s="563">
        <v>14000</v>
      </c>
      <c r="E145" s="573">
        <v>155</v>
      </c>
      <c r="F145" s="563">
        <v>14000</v>
      </c>
      <c r="G145" s="87">
        <f t="shared" si="2"/>
        <v>0</v>
      </c>
      <c r="H145" s="514"/>
      <c r="I145" s="509"/>
      <c r="J145" s="1"/>
      <c r="K145" s="629"/>
      <c r="L145" s="629"/>
      <c r="M145" s="629"/>
    </row>
    <row r="146" spans="1:13" ht="15.75" x14ac:dyDescent="0.25">
      <c r="A146" s="523">
        <v>142</v>
      </c>
      <c r="B146" s="523" t="s">
        <v>1031</v>
      </c>
      <c r="C146" s="555">
        <v>9422</v>
      </c>
      <c r="D146" s="563">
        <v>10000</v>
      </c>
      <c r="E146" s="573">
        <v>111</v>
      </c>
      <c r="F146" s="563">
        <v>10000</v>
      </c>
      <c r="G146" s="87">
        <f t="shared" si="2"/>
        <v>0</v>
      </c>
      <c r="H146" s="514"/>
      <c r="I146" s="509"/>
      <c r="J146" s="1"/>
      <c r="K146" s="629"/>
      <c r="L146" s="629"/>
      <c r="M146" s="629"/>
    </row>
    <row r="147" spans="1:13" ht="15.75" x14ac:dyDescent="0.25">
      <c r="A147" s="523">
        <v>143</v>
      </c>
      <c r="B147" s="523" t="s">
        <v>1031</v>
      </c>
      <c r="C147" s="555">
        <v>1433</v>
      </c>
      <c r="D147" s="563">
        <v>15000</v>
      </c>
      <c r="E147" s="573">
        <v>167</v>
      </c>
      <c r="F147" s="563">
        <v>15000</v>
      </c>
      <c r="G147" s="87">
        <f t="shared" si="2"/>
        <v>0</v>
      </c>
      <c r="H147" s="514"/>
      <c r="I147" s="509"/>
      <c r="J147" s="42"/>
      <c r="K147" s="398"/>
      <c r="L147" s="398"/>
      <c r="M147" s="86"/>
    </row>
    <row r="148" spans="1:13" s="632" customFormat="1" ht="15.75" x14ac:dyDescent="0.25">
      <c r="A148" s="523">
        <v>144</v>
      </c>
      <c r="B148" s="523" t="s">
        <v>1041</v>
      </c>
      <c r="C148" s="555">
        <v>7171</v>
      </c>
      <c r="D148" s="563">
        <v>20000</v>
      </c>
      <c r="E148" s="573">
        <v>222</v>
      </c>
      <c r="F148" s="563">
        <v>20000</v>
      </c>
      <c r="G148" s="87">
        <f t="shared" si="2"/>
        <v>0</v>
      </c>
      <c r="H148" s="514"/>
      <c r="I148" s="509"/>
      <c r="J148" s="42"/>
      <c r="K148" s="398"/>
      <c r="L148" s="398"/>
      <c r="M148" s="86"/>
    </row>
    <row r="149" spans="1:13" s="632" customFormat="1" ht="15.75" x14ac:dyDescent="0.25">
      <c r="A149" s="523">
        <v>145</v>
      </c>
      <c r="B149" s="523" t="s">
        <v>1041</v>
      </c>
      <c r="C149" s="555">
        <v>5413</v>
      </c>
      <c r="D149" s="563">
        <v>22000</v>
      </c>
      <c r="E149" s="573">
        <v>245</v>
      </c>
      <c r="F149" s="563">
        <v>22000</v>
      </c>
      <c r="G149" s="87">
        <f t="shared" si="2"/>
        <v>0</v>
      </c>
      <c r="H149" s="514"/>
      <c r="I149" s="509"/>
      <c r="J149" s="42"/>
      <c r="K149" s="398"/>
      <c r="L149" s="398"/>
      <c r="M149" s="86"/>
    </row>
    <row r="150" spans="1:13" s="632" customFormat="1" ht="15.75" x14ac:dyDescent="0.25">
      <c r="A150" s="523">
        <v>146</v>
      </c>
      <c r="B150" s="523" t="s">
        <v>1041</v>
      </c>
      <c r="C150" s="555">
        <v>1543</v>
      </c>
      <c r="D150" s="563">
        <v>16000</v>
      </c>
      <c r="E150" s="573">
        <v>178</v>
      </c>
      <c r="F150" s="563">
        <v>16000</v>
      </c>
      <c r="G150" s="87">
        <f t="shared" si="2"/>
        <v>0</v>
      </c>
      <c r="H150" s="514"/>
      <c r="I150" s="509"/>
      <c r="J150" s="42"/>
      <c r="K150" s="398"/>
      <c r="L150" s="398"/>
      <c r="M150" s="86"/>
    </row>
    <row r="151" spans="1:13" s="632" customFormat="1" ht="15.75" x14ac:dyDescent="0.25">
      <c r="A151" s="523">
        <v>147</v>
      </c>
      <c r="B151" s="523" t="s">
        <v>1041</v>
      </c>
      <c r="C151" s="555">
        <v>7073</v>
      </c>
      <c r="D151" s="563">
        <v>22000</v>
      </c>
      <c r="E151" s="573">
        <v>245</v>
      </c>
      <c r="F151" s="563">
        <v>22000</v>
      </c>
      <c r="G151" s="87">
        <f t="shared" si="2"/>
        <v>0</v>
      </c>
      <c r="H151" s="514"/>
      <c r="I151" s="509"/>
      <c r="J151" s="42"/>
      <c r="K151" s="398"/>
      <c r="L151" s="398"/>
      <c r="M151" s="86"/>
    </row>
    <row r="152" spans="1:13" s="632" customFormat="1" ht="15.75" x14ac:dyDescent="0.25">
      <c r="A152" s="523">
        <v>148</v>
      </c>
      <c r="B152" s="523" t="s">
        <v>1041</v>
      </c>
      <c r="C152" s="607" t="s">
        <v>873</v>
      </c>
      <c r="D152" s="563">
        <v>17000</v>
      </c>
      <c r="E152" s="573">
        <v>189</v>
      </c>
      <c r="F152" s="563">
        <v>17000</v>
      </c>
      <c r="G152" s="87">
        <f t="shared" si="2"/>
        <v>0</v>
      </c>
      <c r="H152" s="514"/>
      <c r="I152" s="509"/>
      <c r="J152" s="42"/>
      <c r="K152" s="398"/>
      <c r="L152" s="398"/>
      <c r="M152" s="86"/>
    </row>
    <row r="153" spans="1:13" s="632" customFormat="1" ht="15.75" x14ac:dyDescent="0.25">
      <c r="A153" s="523">
        <v>149</v>
      </c>
      <c r="B153" s="523" t="s">
        <v>1041</v>
      </c>
      <c r="C153" s="555" t="s">
        <v>30</v>
      </c>
      <c r="D153" s="563">
        <v>5000</v>
      </c>
      <c r="E153" s="573">
        <v>55</v>
      </c>
      <c r="F153" s="563">
        <v>5000</v>
      </c>
      <c r="G153" s="87">
        <f t="shared" si="2"/>
        <v>0</v>
      </c>
      <c r="H153" s="514"/>
      <c r="I153" s="509"/>
      <c r="J153" s="42"/>
      <c r="K153" s="398"/>
      <c r="L153" s="398"/>
      <c r="M153" s="86"/>
    </row>
    <row r="154" spans="1:13" s="632" customFormat="1" ht="15.75" x14ac:dyDescent="0.25">
      <c r="A154" s="523">
        <v>150</v>
      </c>
      <c r="B154" s="523" t="s">
        <v>1041</v>
      </c>
      <c r="C154" s="555">
        <v>1593</v>
      </c>
      <c r="D154" s="563">
        <v>12000</v>
      </c>
      <c r="E154" s="573">
        <v>133</v>
      </c>
      <c r="F154" s="563">
        <v>12000</v>
      </c>
      <c r="G154" s="87">
        <f t="shared" si="2"/>
        <v>0</v>
      </c>
      <c r="H154" s="514"/>
      <c r="I154" s="509"/>
      <c r="J154" s="42"/>
      <c r="K154" s="398"/>
      <c r="L154" s="398"/>
      <c r="M154" s="86"/>
    </row>
    <row r="155" spans="1:13" s="632" customFormat="1" ht="15.75" x14ac:dyDescent="0.25">
      <c r="A155" s="523">
        <v>151</v>
      </c>
      <c r="B155" s="523" t="s">
        <v>1041</v>
      </c>
      <c r="C155" s="555">
        <v>1934</v>
      </c>
      <c r="D155" s="563">
        <v>11000</v>
      </c>
      <c r="E155" s="573">
        <v>122</v>
      </c>
      <c r="F155" s="563">
        <v>11000</v>
      </c>
      <c r="G155" s="87">
        <f t="shared" si="2"/>
        <v>0</v>
      </c>
      <c r="H155" s="514"/>
      <c r="I155" s="509"/>
      <c r="J155" s="42"/>
      <c r="K155" s="398"/>
      <c r="L155" s="398"/>
      <c r="M155" s="86"/>
    </row>
    <row r="156" spans="1:13" s="632" customFormat="1" ht="15.75" x14ac:dyDescent="0.25">
      <c r="A156" s="523">
        <v>152</v>
      </c>
      <c r="B156" s="523" t="s">
        <v>1041</v>
      </c>
      <c r="C156" s="555">
        <v>2973</v>
      </c>
      <c r="D156" s="563">
        <v>15000</v>
      </c>
      <c r="E156" s="573">
        <v>167</v>
      </c>
      <c r="F156" s="563">
        <v>15000</v>
      </c>
      <c r="G156" s="87">
        <f t="shared" si="2"/>
        <v>0</v>
      </c>
      <c r="H156" s="514"/>
      <c r="I156" s="509"/>
      <c r="J156" s="42"/>
      <c r="K156" s="398"/>
      <c r="L156" s="398"/>
      <c r="M156" s="86"/>
    </row>
    <row r="157" spans="1:13" s="632" customFormat="1" ht="15.75" x14ac:dyDescent="0.25">
      <c r="A157" s="523">
        <v>153</v>
      </c>
      <c r="B157" s="523" t="s">
        <v>1041</v>
      </c>
      <c r="C157" s="555">
        <v>2394</v>
      </c>
      <c r="D157" s="563">
        <v>23000</v>
      </c>
      <c r="E157" s="573">
        <v>256</v>
      </c>
      <c r="F157" s="563">
        <v>23000</v>
      </c>
      <c r="G157" s="87">
        <f t="shared" si="2"/>
        <v>0</v>
      </c>
      <c r="H157" s="514"/>
      <c r="I157" s="509"/>
      <c r="J157" s="42"/>
      <c r="K157" s="398"/>
      <c r="L157" s="398"/>
      <c r="M157" s="86"/>
    </row>
    <row r="158" spans="1:13" s="632" customFormat="1" ht="15.75" x14ac:dyDescent="0.25">
      <c r="A158" s="523">
        <v>154</v>
      </c>
      <c r="B158" s="523" t="s">
        <v>1041</v>
      </c>
      <c r="C158" s="555">
        <v>8079</v>
      </c>
      <c r="D158" s="563">
        <v>10000</v>
      </c>
      <c r="E158" s="573">
        <v>111</v>
      </c>
      <c r="F158" s="563">
        <v>10000</v>
      </c>
      <c r="G158" s="87">
        <f t="shared" si="2"/>
        <v>0</v>
      </c>
      <c r="H158" s="514"/>
      <c r="I158" s="509"/>
      <c r="J158" s="42"/>
      <c r="K158" s="398"/>
      <c r="L158" s="398"/>
      <c r="M158" s="86"/>
    </row>
    <row r="159" spans="1:13" s="632" customFormat="1" ht="15.75" x14ac:dyDescent="0.25">
      <c r="A159" s="523">
        <v>155</v>
      </c>
      <c r="B159" s="523" t="s">
        <v>1041</v>
      </c>
      <c r="C159" s="555">
        <v>2244</v>
      </c>
      <c r="D159" s="563">
        <v>14000</v>
      </c>
      <c r="E159" s="573">
        <v>155</v>
      </c>
      <c r="F159" s="563">
        <v>14000</v>
      </c>
      <c r="G159" s="87">
        <f t="shared" si="2"/>
        <v>0</v>
      </c>
      <c r="H159" s="514"/>
      <c r="I159" s="509"/>
      <c r="J159" s="42"/>
      <c r="K159" s="398"/>
      <c r="L159" s="398"/>
      <c r="M159" s="86"/>
    </row>
    <row r="160" spans="1:13" s="632" customFormat="1" ht="15.75" x14ac:dyDescent="0.25">
      <c r="A160" s="523">
        <v>156</v>
      </c>
      <c r="B160" s="523" t="s">
        <v>1041</v>
      </c>
      <c r="C160" s="555">
        <v>5389</v>
      </c>
      <c r="D160" s="563">
        <v>15000</v>
      </c>
      <c r="E160" s="573">
        <v>167</v>
      </c>
      <c r="F160" s="563">
        <v>15000</v>
      </c>
      <c r="G160" s="87">
        <f t="shared" si="2"/>
        <v>0</v>
      </c>
      <c r="H160" s="514"/>
      <c r="I160" s="509"/>
      <c r="J160" s="42"/>
      <c r="K160" s="398"/>
      <c r="L160" s="398"/>
      <c r="M160" s="86"/>
    </row>
    <row r="161" spans="1:13" s="632" customFormat="1" ht="15.75" x14ac:dyDescent="0.25">
      <c r="A161" s="523">
        <v>157</v>
      </c>
      <c r="B161" s="523" t="s">
        <v>1041</v>
      </c>
      <c r="C161" s="555">
        <v>9806</v>
      </c>
      <c r="D161" s="563">
        <v>20000</v>
      </c>
      <c r="E161" s="573">
        <v>197</v>
      </c>
      <c r="F161" s="563">
        <v>20000</v>
      </c>
      <c r="G161" s="87">
        <f t="shared" si="2"/>
        <v>0</v>
      </c>
      <c r="H161" s="514"/>
      <c r="I161" s="509"/>
      <c r="J161" s="42"/>
      <c r="K161" s="398"/>
      <c r="L161" s="398"/>
      <c r="M161" s="86"/>
    </row>
    <row r="162" spans="1:13" s="632" customFormat="1" ht="15.75" x14ac:dyDescent="0.25">
      <c r="A162" s="523">
        <v>158</v>
      </c>
      <c r="B162" s="523" t="s">
        <v>1041</v>
      </c>
      <c r="C162" s="555">
        <v>4608</v>
      </c>
      <c r="D162" s="563">
        <v>22500</v>
      </c>
      <c r="E162" s="573">
        <v>250</v>
      </c>
      <c r="F162" s="563">
        <v>22500</v>
      </c>
      <c r="G162" s="87">
        <f t="shared" si="2"/>
        <v>0</v>
      </c>
      <c r="H162" s="514"/>
      <c r="I162" s="509"/>
      <c r="J162" s="42"/>
      <c r="K162" s="398"/>
      <c r="L162" s="398"/>
      <c r="M162" s="86"/>
    </row>
    <row r="163" spans="1:13" s="632" customFormat="1" ht="15.75" x14ac:dyDescent="0.25">
      <c r="A163" s="523">
        <v>159</v>
      </c>
      <c r="B163" s="523" t="s">
        <v>1041</v>
      </c>
      <c r="C163" s="555">
        <v>8077</v>
      </c>
      <c r="D163" s="563">
        <v>25000</v>
      </c>
      <c r="E163" s="573">
        <v>278</v>
      </c>
      <c r="F163" s="563">
        <v>25000</v>
      </c>
      <c r="G163" s="87">
        <f t="shared" si="2"/>
        <v>0</v>
      </c>
      <c r="H163" s="514"/>
      <c r="I163" s="509"/>
      <c r="J163" s="42"/>
      <c r="K163" s="398"/>
      <c r="L163" s="398"/>
      <c r="M163" s="86"/>
    </row>
    <row r="164" spans="1:13" s="632" customFormat="1" ht="15.75" x14ac:dyDescent="0.25">
      <c r="A164" s="523">
        <v>160</v>
      </c>
      <c r="B164" s="523" t="s">
        <v>1041</v>
      </c>
      <c r="C164" s="555">
        <v>8484</v>
      </c>
      <c r="D164" s="563">
        <v>27000</v>
      </c>
      <c r="E164" s="573">
        <v>300</v>
      </c>
      <c r="F164" s="563">
        <v>27000</v>
      </c>
      <c r="G164" s="87">
        <f t="shared" si="2"/>
        <v>0</v>
      </c>
      <c r="H164" s="514"/>
      <c r="I164" s="509"/>
      <c r="J164" s="42"/>
      <c r="K164" s="398"/>
      <c r="L164" s="398"/>
      <c r="M164" s="86"/>
    </row>
    <row r="165" spans="1:13" s="632" customFormat="1" ht="15.75" x14ac:dyDescent="0.25">
      <c r="A165" s="523">
        <v>161</v>
      </c>
      <c r="B165" s="523" t="s">
        <v>1041</v>
      </c>
      <c r="C165" s="555">
        <v>9693</v>
      </c>
      <c r="D165" s="563">
        <v>32000</v>
      </c>
      <c r="E165" s="573">
        <v>350</v>
      </c>
      <c r="F165" s="563">
        <v>32000</v>
      </c>
      <c r="G165" s="87">
        <f t="shared" si="2"/>
        <v>0</v>
      </c>
      <c r="H165" s="514"/>
      <c r="I165" s="509"/>
      <c r="J165" s="42"/>
      <c r="K165" s="398"/>
      <c r="L165" s="398"/>
      <c r="M165" s="86"/>
    </row>
    <row r="166" spans="1:13" s="632" customFormat="1" ht="15.75" x14ac:dyDescent="0.25">
      <c r="A166" s="523">
        <v>162</v>
      </c>
      <c r="B166" s="523" t="s">
        <v>1041</v>
      </c>
      <c r="C166" s="555">
        <v>5532</v>
      </c>
      <c r="D166" s="563">
        <v>45000</v>
      </c>
      <c r="E166" s="573">
        <v>501</v>
      </c>
      <c r="F166" s="563">
        <v>45000</v>
      </c>
      <c r="G166" s="87">
        <f t="shared" si="2"/>
        <v>0</v>
      </c>
      <c r="H166" s="514"/>
      <c r="I166" s="509"/>
      <c r="J166" s="42"/>
      <c r="K166" s="398"/>
      <c r="L166" s="398"/>
      <c r="M166" s="86"/>
    </row>
    <row r="167" spans="1:13" s="632" customFormat="1" ht="15.75" x14ac:dyDescent="0.25">
      <c r="A167" s="523">
        <v>163</v>
      </c>
      <c r="B167" s="523" t="s">
        <v>1041</v>
      </c>
      <c r="C167" s="555">
        <v>7444</v>
      </c>
      <c r="D167" s="563">
        <v>30000</v>
      </c>
      <c r="E167" s="573">
        <v>334</v>
      </c>
      <c r="F167" s="563">
        <v>30000</v>
      </c>
      <c r="G167" s="87">
        <f t="shared" si="2"/>
        <v>0</v>
      </c>
      <c r="H167" s="514"/>
      <c r="I167" s="509"/>
      <c r="J167" s="42"/>
      <c r="K167" s="398"/>
      <c r="L167" s="398"/>
      <c r="M167" s="86"/>
    </row>
    <row r="168" spans="1:13" s="632" customFormat="1" ht="15.75" x14ac:dyDescent="0.25">
      <c r="A168" s="523">
        <v>164</v>
      </c>
      <c r="B168" s="523" t="s">
        <v>1041</v>
      </c>
      <c r="C168" s="555">
        <v>2744</v>
      </c>
      <c r="D168" s="563">
        <v>30000</v>
      </c>
      <c r="E168" s="573">
        <v>319</v>
      </c>
      <c r="F168" s="563">
        <v>30000</v>
      </c>
      <c r="G168" s="87">
        <f t="shared" si="2"/>
        <v>0</v>
      </c>
      <c r="H168" s="514"/>
      <c r="I168" s="509"/>
      <c r="J168" s="42"/>
      <c r="K168" s="398"/>
      <c r="L168" s="398"/>
      <c r="M168" s="86"/>
    </row>
    <row r="169" spans="1:13" s="632" customFormat="1" ht="15.75" x14ac:dyDescent="0.25">
      <c r="A169" s="523">
        <v>165</v>
      </c>
      <c r="B169" s="523" t="s">
        <v>1041</v>
      </c>
      <c r="C169" s="555">
        <v>4963</v>
      </c>
      <c r="D169" s="563">
        <v>30000</v>
      </c>
      <c r="E169" s="573">
        <v>334</v>
      </c>
      <c r="F169" s="563">
        <v>30000</v>
      </c>
      <c r="G169" s="87">
        <f t="shared" si="2"/>
        <v>0</v>
      </c>
      <c r="H169" s="514"/>
      <c r="I169" s="509"/>
      <c r="J169" s="42"/>
      <c r="K169" s="398"/>
      <c r="L169" s="398"/>
      <c r="M169" s="86"/>
    </row>
    <row r="170" spans="1:13" s="632" customFormat="1" ht="15.75" x14ac:dyDescent="0.25">
      <c r="A170" s="523">
        <v>166</v>
      </c>
      <c r="B170" s="523" t="s">
        <v>1041</v>
      </c>
      <c r="C170" s="555">
        <v>1522</v>
      </c>
      <c r="D170" s="563">
        <v>30000</v>
      </c>
      <c r="E170" s="573">
        <v>334</v>
      </c>
      <c r="F170" s="563">
        <v>30000</v>
      </c>
      <c r="G170" s="87">
        <f t="shared" si="2"/>
        <v>0</v>
      </c>
      <c r="H170" s="514"/>
      <c r="I170" s="509"/>
      <c r="J170" s="42"/>
      <c r="K170" s="398"/>
      <c r="L170" s="398"/>
      <c r="M170" s="86"/>
    </row>
    <row r="171" spans="1:13" s="632" customFormat="1" ht="15.75" x14ac:dyDescent="0.25">
      <c r="A171" s="523">
        <v>167</v>
      </c>
      <c r="B171" s="523" t="s">
        <v>1041</v>
      </c>
      <c r="C171" s="555">
        <v>4744</v>
      </c>
      <c r="D171" s="563">
        <v>30000</v>
      </c>
      <c r="E171" s="573">
        <v>334</v>
      </c>
      <c r="F171" s="563">
        <v>30000</v>
      </c>
      <c r="G171" s="87">
        <f t="shared" si="2"/>
        <v>0</v>
      </c>
      <c r="H171" s="514"/>
      <c r="I171" s="509"/>
      <c r="J171" s="42"/>
      <c r="K171" s="398"/>
      <c r="L171" s="398"/>
      <c r="M171" s="86"/>
    </row>
    <row r="172" spans="1:13" s="632" customFormat="1" ht="15.75" x14ac:dyDescent="0.25">
      <c r="A172" s="523">
        <v>168</v>
      </c>
      <c r="B172" s="523" t="s">
        <v>1041</v>
      </c>
      <c r="C172" s="555">
        <v>9633</v>
      </c>
      <c r="D172" s="563">
        <v>30000</v>
      </c>
      <c r="E172" s="573">
        <v>334</v>
      </c>
      <c r="F172" s="563">
        <v>30000</v>
      </c>
      <c r="G172" s="87">
        <f t="shared" si="2"/>
        <v>0</v>
      </c>
      <c r="H172" s="514"/>
      <c r="I172" s="509"/>
      <c r="J172" s="42"/>
      <c r="K172" s="398"/>
      <c r="L172" s="398"/>
      <c r="M172" s="86"/>
    </row>
    <row r="173" spans="1:13" s="633" customFormat="1" ht="15.75" x14ac:dyDescent="0.25">
      <c r="A173" s="523">
        <v>169</v>
      </c>
      <c r="B173" s="523" t="s">
        <v>1042</v>
      </c>
      <c r="C173" s="555">
        <v>7468</v>
      </c>
      <c r="D173" s="563">
        <v>14000</v>
      </c>
      <c r="E173" s="573">
        <v>155</v>
      </c>
      <c r="F173" s="563">
        <v>14000</v>
      </c>
      <c r="G173" s="87">
        <f t="shared" si="2"/>
        <v>0</v>
      </c>
      <c r="H173" s="514"/>
      <c r="I173" s="509"/>
      <c r="J173" s="42"/>
      <c r="K173" s="398"/>
      <c r="L173" s="398"/>
      <c r="M173" s="86"/>
    </row>
    <row r="174" spans="1:13" s="633" customFormat="1" ht="15.75" x14ac:dyDescent="0.25">
      <c r="A174" s="523">
        <v>170</v>
      </c>
      <c r="B174" s="523" t="s">
        <v>1042</v>
      </c>
      <c r="C174" s="607" t="s">
        <v>1045</v>
      </c>
      <c r="D174" s="563">
        <v>25000</v>
      </c>
      <c r="E174" s="573">
        <v>278</v>
      </c>
      <c r="F174" s="563">
        <v>25000</v>
      </c>
      <c r="G174" s="87">
        <f t="shared" si="2"/>
        <v>0</v>
      </c>
      <c r="H174" s="514"/>
      <c r="I174" s="509"/>
      <c r="J174" s="42"/>
      <c r="K174" s="398"/>
      <c r="L174" s="398"/>
      <c r="M174" s="86"/>
    </row>
    <row r="175" spans="1:13" s="633" customFormat="1" ht="15.75" x14ac:dyDescent="0.25">
      <c r="A175" s="523">
        <v>171</v>
      </c>
      <c r="B175" s="523" t="s">
        <v>1042</v>
      </c>
      <c r="C175" s="607" t="s">
        <v>994</v>
      </c>
      <c r="D175" s="563">
        <v>25000</v>
      </c>
      <c r="E175" s="573">
        <v>278</v>
      </c>
      <c r="F175" s="563">
        <v>25000</v>
      </c>
      <c r="G175" s="87">
        <f t="shared" si="2"/>
        <v>0</v>
      </c>
      <c r="H175" s="514"/>
      <c r="I175" s="509"/>
      <c r="J175" s="42"/>
      <c r="K175" s="398"/>
      <c r="L175" s="398"/>
      <c r="M175" s="86"/>
    </row>
    <row r="176" spans="1:13" s="633" customFormat="1" ht="15.75" x14ac:dyDescent="0.25">
      <c r="A176" s="523">
        <v>172</v>
      </c>
      <c r="B176" s="523" t="s">
        <v>1042</v>
      </c>
      <c r="C176" s="555">
        <v>2819</v>
      </c>
      <c r="D176" s="563">
        <v>30000</v>
      </c>
      <c r="E176" s="573">
        <v>334</v>
      </c>
      <c r="F176" s="563">
        <v>30000</v>
      </c>
      <c r="G176" s="87">
        <f t="shared" si="2"/>
        <v>0</v>
      </c>
      <c r="H176" s="514"/>
      <c r="I176" s="509"/>
      <c r="J176" s="42"/>
      <c r="K176" s="398"/>
      <c r="L176" s="398"/>
      <c r="M176" s="86"/>
    </row>
    <row r="177" spans="1:13" s="633" customFormat="1" ht="15.75" x14ac:dyDescent="0.25">
      <c r="A177" s="523">
        <v>173</v>
      </c>
      <c r="B177" s="523" t="s">
        <v>1042</v>
      </c>
      <c r="C177" s="555">
        <v>9727</v>
      </c>
      <c r="D177" s="563">
        <v>23000</v>
      </c>
      <c r="E177" s="573">
        <v>256</v>
      </c>
      <c r="F177" s="563">
        <v>23000</v>
      </c>
      <c r="G177" s="87">
        <f t="shared" si="2"/>
        <v>0</v>
      </c>
      <c r="H177" s="514"/>
      <c r="I177" s="509"/>
      <c r="J177" s="42"/>
      <c r="K177" s="398"/>
      <c r="L177" s="398"/>
      <c r="M177" s="86"/>
    </row>
    <row r="178" spans="1:13" s="633" customFormat="1" ht="15.75" x14ac:dyDescent="0.25">
      <c r="A178" s="523">
        <v>174</v>
      </c>
      <c r="B178" s="523" t="s">
        <v>1042</v>
      </c>
      <c r="C178" s="555">
        <v>6487</v>
      </c>
      <c r="D178" s="563">
        <v>15000</v>
      </c>
      <c r="E178" s="573">
        <v>167</v>
      </c>
      <c r="F178" s="563">
        <v>15000</v>
      </c>
      <c r="G178" s="87">
        <f t="shared" si="2"/>
        <v>0</v>
      </c>
      <c r="H178" s="514"/>
      <c r="I178" s="509"/>
      <c r="J178" s="42"/>
      <c r="K178" s="398"/>
      <c r="L178" s="398"/>
      <c r="M178" s="86"/>
    </row>
    <row r="179" spans="1:13" s="633" customFormat="1" ht="15.75" x14ac:dyDescent="0.25">
      <c r="A179" s="523">
        <v>175</v>
      </c>
      <c r="B179" s="523" t="s">
        <v>1042</v>
      </c>
      <c r="C179" s="607" t="s">
        <v>1046</v>
      </c>
      <c r="D179" s="563">
        <v>17000</v>
      </c>
      <c r="E179" s="573">
        <v>189</v>
      </c>
      <c r="F179" s="563">
        <v>17000</v>
      </c>
      <c r="G179" s="87">
        <f t="shared" si="2"/>
        <v>0</v>
      </c>
      <c r="H179" s="514"/>
      <c r="I179" s="509"/>
      <c r="J179" s="42"/>
      <c r="K179" s="398"/>
      <c r="L179" s="398"/>
      <c r="M179" s="86"/>
    </row>
    <row r="180" spans="1:13" s="633" customFormat="1" ht="15.75" x14ac:dyDescent="0.25">
      <c r="A180" s="523">
        <v>176</v>
      </c>
      <c r="B180" s="523" t="s">
        <v>1042</v>
      </c>
      <c r="C180" s="607" t="s">
        <v>1033</v>
      </c>
      <c r="D180" s="563">
        <v>17000</v>
      </c>
      <c r="E180" s="573">
        <v>189</v>
      </c>
      <c r="F180" s="563">
        <v>17000</v>
      </c>
      <c r="G180" s="87">
        <f t="shared" si="2"/>
        <v>0</v>
      </c>
      <c r="H180" s="514"/>
      <c r="I180" s="509"/>
      <c r="J180" s="42"/>
      <c r="K180" s="398"/>
      <c r="L180" s="398"/>
      <c r="M180" s="86"/>
    </row>
    <row r="181" spans="1:13" s="633" customFormat="1" ht="15.75" x14ac:dyDescent="0.25">
      <c r="A181" s="523">
        <v>177</v>
      </c>
      <c r="B181" s="523" t="s">
        <v>1042</v>
      </c>
      <c r="C181" s="555">
        <v>6734</v>
      </c>
      <c r="D181" s="563">
        <v>16000</v>
      </c>
      <c r="E181" s="573">
        <v>178</v>
      </c>
      <c r="F181" s="563">
        <v>16000</v>
      </c>
      <c r="G181" s="87">
        <f t="shared" si="2"/>
        <v>0</v>
      </c>
      <c r="H181" s="514"/>
      <c r="I181" s="509"/>
      <c r="J181" s="42"/>
      <c r="K181" s="398"/>
      <c r="L181" s="398"/>
      <c r="M181" s="86"/>
    </row>
    <row r="182" spans="1:13" s="633" customFormat="1" ht="15.75" x14ac:dyDescent="0.25">
      <c r="A182" s="523">
        <v>178</v>
      </c>
      <c r="B182" s="523" t="s">
        <v>1042</v>
      </c>
      <c r="C182" s="555">
        <v>8820</v>
      </c>
      <c r="D182" s="563">
        <v>16000</v>
      </c>
      <c r="E182" s="573">
        <v>178</v>
      </c>
      <c r="F182" s="563">
        <v>16000</v>
      </c>
      <c r="G182" s="87">
        <f t="shared" si="2"/>
        <v>0</v>
      </c>
      <c r="H182" s="514"/>
      <c r="I182" s="509"/>
      <c r="J182" s="42"/>
      <c r="K182" s="398"/>
      <c r="L182" s="398"/>
      <c r="M182" s="86"/>
    </row>
    <row r="183" spans="1:13" s="633" customFormat="1" ht="15.75" x14ac:dyDescent="0.25">
      <c r="A183" s="523">
        <v>179</v>
      </c>
      <c r="B183" s="523" t="s">
        <v>1042</v>
      </c>
      <c r="C183" s="555">
        <v>9312</v>
      </c>
      <c r="D183" s="563">
        <v>30000</v>
      </c>
      <c r="E183" s="573">
        <v>334</v>
      </c>
      <c r="F183" s="563">
        <v>30000</v>
      </c>
      <c r="G183" s="87">
        <f t="shared" si="2"/>
        <v>0</v>
      </c>
      <c r="H183" s="514"/>
      <c r="I183" s="509"/>
      <c r="J183" s="42"/>
      <c r="K183" s="398"/>
      <c r="L183" s="398"/>
      <c r="M183" s="86"/>
    </row>
    <row r="184" spans="1:13" s="633" customFormat="1" ht="15.75" x14ac:dyDescent="0.25">
      <c r="A184" s="523">
        <v>180</v>
      </c>
      <c r="B184" s="523" t="s">
        <v>1042</v>
      </c>
      <c r="C184" s="555">
        <v>3982</v>
      </c>
      <c r="D184" s="563">
        <v>17000</v>
      </c>
      <c r="E184" s="573">
        <v>189</v>
      </c>
      <c r="F184" s="563">
        <v>17000</v>
      </c>
      <c r="G184" s="87">
        <f t="shared" si="2"/>
        <v>0</v>
      </c>
      <c r="H184" s="514"/>
      <c r="I184" s="509"/>
      <c r="J184" s="42"/>
      <c r="K184" s="398"/>
      <c r="L184" s="398"/>
      <c r="M184" s="86"/>
    </row>
    <row r="185" spans="1:13" s="633" customFormat="1" ht="15.75" x14ac:dyDescent="0.25">
      <c r="A185" s="523">
        <v>181</v>
      </c>
      <c r="B185" s="523" t="s">
        <v>1042</v>
      </c>
      <c r="C185" s="607" t="s">
        <v>1008</v>
      </c>
      <c r="D185" s="563">
        <v>16000</v>
      </c>
      <c r="E185" s="573">
        <v>174</v>
      </c>
      <c r="F185" s="563">
        <v>16000</v>
      </c>
      <c r="G185" s="87">
        <f t="shared" si="2"/>
        <v>0</v>
      </c>
      <c r="H185" s="514"/>
      <c r="I185" s="509"/>
      <c r="J185" s="42"/>
      <c r="K185" s="398"/>
      <c r="L185" s="398"/>
      <c r="M185" s="86"/>
    </row>
    <row r="186" spans="1:13" s="633" customFormat="1" ht="15.75" x14ac:dyDescent="0.25">
      <c r="A186" s="523">
        <v>182</v>
      </c>
      <c r="B186" s="523" t="s">
        <v>1042</v>
      </c>
      <c r="C186" s="555">
        <v>2635</v>
      </c>
      <c r="D186" s="563">
        <v>30000</v>
      </c>
      <c r="E186" s="573">
        <v>334</v>
      </c>
      <c r="F186" s="563">
        <v>30000</v>
      </c>
      <c r="G186" s="87">
        <f t="shared" si="2"/>
        <v>0</v>
      </c>
      <c r="H186" s="514"/>
      <c r="I186" s="509"/>
      <c r="J186" s="42"/>
      <c r="K186" s="398"/>
      <c r="L186" s="398"/>
      <c r="M186" s="86"/>
    </row>
    <row r="187" spans="1:13" s="633" customFormat="1" ht="15.75" x14ac:dyDescent="0.25">
      <c r="A187" s="523">
        <v>183</v>
      </c>
      <c r="B187" s="523" t="s">
        <v>1042</v>
      </c>
      <c r="C187" s="555">
        <v>6957</v>
      </c>
      <c r="D187" s="563">
        <v>20000</v>
      </c>
      <c r="E187" s="573">
        <v>222</v>
      </c>
      <c r="F187" s="563">
        <v>20000</v>
      </c>
      <c r="G187" s="87">
        <f t="shared" si="2"/>
        <v>0</v>
      </c>
      <c r="H187" s="514"/>
      <c r="I187" s="509"/>
      <c r="J187" s="42"/>
      <c r="K187" s="398"/>
      <c r="L187" s="398"/>
      <c r="M187" s="86"/>
    </row>
    <row r="188" spans="1:13" s="633" customFormat="1" ht="15.75" x14ac:dyDescent="0.25">
      <c r="A188" s="523">
        <v>184</v>
      </c>
      <c r="B188" s="523" t="s">
        <v>1042</v>
      </c>
      <c r="C188" s="607" t="s">
        <v>1047</v>
      </c>
      <c r="D188" s="563">
        <v>14000</v>
      </c>
      <c r="E188" s="573">
        <v>155</v>
      </c>
      <c r="F188" s="563">
        <v>14000</v>
      </c>
      <c r="G188" s="87">
        <f t="shared" si="2"/>
        <v>0</v>
      </c>
      <c r="H188" s="514"/>
      <c r="I188" s="509"/>
      <c r="J188" s="42"/>
      <c r="K188" s="398"/>
      <c r="L188" s="398"/>
      <c r="M188" s="86"/>
    </row>
    <row r="189" spans="1:13" s="633" customFormat="1" ht="15.75" x14ac:dyDescent="0.25">
      <c r="A189" s="523">
        <v>185</v>
      </c>
      <c r="B189" s="523" t="s">
        <v>1042</v>
      </c>
      <c r="C189" s="607" t="s">
        <v>1034</v>
      </c>
      <c r="D189" s="563">
        <v>14000</v>
      </c>
      <c r="E189" s="573">
        <v>155</v>
      </c>
      <c r="F189" s="563">
        <v>14000</v>
      </c>
      <c r="G189" s="87">
        <f t="shared" si="2"/>
        <v>0</v>
      </c>
      <c r="H189" s="514"/>
      <c r="I189" s="509"/>
      <c r="J189" s="42"/>
      <c r="K189" s="398"/>
      <c r="L189" s="398"/>
      <c r="M189" s="86"/>
    </row>
    <row r="190" spans="1:13" s="633" customFormat="1" ht="15.75" x14ac:dyDescent="0.25">
      <c r="A190" s="523">
        <v>186</v>
      </c>
      <c r="B190" s="523" t="s">
        <v>1042</v>
      </c>
      <c r="C190" s="555">
        <v>8105</v>
      </c>
      <c r="D190" s="563">
        <v>20000</v>
      </c>
      <c r="E190" s="573">
        <v>222</v>
      </c>
      <c r="F190" s="563">
        <v>20000</v>
      </c>
      <c r="G190" s="87">
        <f t="shared" si="2"/>
        <v>0</v>
      </c>
      <c r="H190" s="514"/>
      <c r="I190" s="509"/>
      <c r="J190" s="42"/>
      <c r="K190" s="398"/>
      <c r="L190" s="398"/>
      <c r="M190" s="86"/>
    </row>
    <row r="191" spans="1:13" s="633" customFormat="1" ht="15.75" x14ac:dyDescent="0.25">
      <c r="A191" s="523">
        <v>187</v>
      </c>
      <c r="B191" s="523" t="s">
        <v>1042</v>
      </c>
      <c r="C191" s="555" t="s">
        <v>30</v>
      </c>
      <c r="D191" s="563">
        <v>10000</v>
      </c>
      <c r="E191" s="573">
        <v>111</v>
      </c>
      <c r="F191" s="563">
        <v>10000</v>
      </c>
      <c r="G191" s="87">
        <f t="shared" si="2"/>
        <v>0</v>
      </c>
      <c r="H191" s="514"/>
      <c r="I191" s="509"/>
      <c r="J191" s="42"/>
      <c r="K191" s="398"/>
      <c r="L191" s="398"/>
      <c r="M191" s="86"/>
    </row>
    <row r="192" spans="1:13" s="633" customFormat="1" ht="15.75" x14ac:dyDescent="0.25">
      <c r="A192" s="523">
        <v>188</v>
      </c>
      <c r="B192" s="523" t="s">
        <v>1042</v>
      </c>
      <c r="C192" s="555">
        <v>5044</v>
      </c>
      <c r="D192" s="563">
        <v>25000</v>
      </c>
      <c r="E192" s="573">
        <v>278</v>
      </c>
      <c r="F192" s="563">
        <v>25000</v>
      </c>
      <c r="G192" s="87">
        <f t="shared" si="2"/>
        <v>0</v>
      </c>
      <c r="H192" s="514"/>
      <c r="I192" s="509"/>
      <c r="J192" s="42"/>
      <c r="K192" s="398"/>
      <c r="L192" s="398"/>
      <c r="M192" s="86"/>
    </row>
    <row r="193" spans="1:13" s="633" customFormat="1" ht="15.75" x14ac:dyDescent="0.25">
      <c r="A193" s="523">
        <v>189</v>
      </c>
      <c r="B193" s="523" t="s">
        <v>1042</v>
      </c>
      <c r="C193" s="555">
        <v>1302</v>
      </c>
      <c r="D193" s="563">
        <v>20000</v>
      </c>
      <c r="E193" s="573">
        <v>222</v>
      </c>
      <c r="F193" s="563">
        <v>20000</v>
      </c>
      <c r="G193" s="87">
        <f t="shared" si="2"/>
        <v>0</v>
      </c>
      <c r="H193" s="514"/>
      <c r="I193" s="509"/>
      <c r="J193" s="42"/>
      <c r="K193" s="398"/>
      <c r="L193" s="398"/>
      <c r="M193" s="86"/>
    </row>
    <row r="194" spans="1:13" s="633" customFormat="1" ht="15.75" x14ac:dyDescent="0.25">
      <c r="A194" s="523">
        <v>190</v>
      </c>
      <c r="B194" s="523" t="s">
        <v>1042</v>
      </c>
      <c r="C194" s="555" t="s">
        <v>66</v>
      </c>
      <c r="D194" s="563">
        <v>210</v>
      </c>
      <c r="E194" s="573" t="s">
        <v>66</v>
      </c>
      <c r="F194" s="563">
        <v>210</v>
      </c>
      <c r="G194" s="87">
        <f t="shared" si="2"/>
        <v>0</v>
      </c>
      <c r="H194" s="514"/>
      <c r="I194" s="509"/>
      <c r="J194" s="42"/>
      <c r="K194" s="398"/>
      <c r="L194" s="398"/>
      <c r="M194" s="86"/>
    </row>
    <row r="195" spans="1:13" s="633" customFormat="1" ht="15.75" x14ac:dyDescent="0.25">
      <c r="A195" s="523">
        <v>191</v>
      </c>
      <c r="B195" s="523" t="s">
        <v>1042</v>
      </c>
      <c r="C195" s="555">
        <v>9194</v>
      </c>
      <c r="D195" s="563">
        <v>25000</v>
      </c>
      <c r="E195" s="573">
        <v>278</v>
      </c>
      <c r="F195" s="563">
        <v>25000</v>
      </c>
      <c r="G195" s="87">
        <f t="shared" si="2"/>
        <v>0</v>
      </c>
      <c r="H195" s="514"/>
      <c r="I195" s="509"/>
      <c r="J195" s="42"/>
      <c r="K195" s="398"/>
      <c r="L195" s="398"/>
      <c r="M195" s="86"/>
    </row>
    <row r="196" spans="1:13" s="633" customFormat="1" ht="15.75" x14ac:dyDescent="0.25">
      <c r="A196" s="523">
        <v>192</v>
      </c>
      <c r="B196" s="523" t="s">
        <v>1042</v>
      </c>
      <c r="C196" s="607" t="s">
        <v>1048</v>
      </c>
      <c r="D196" s="563">
        <v>10000</v>
      </c>
      <c r="E196" s="573">
        <v>111</v>
      </c>
      <c r="F196" s="563">
        <v>10000</v>
      </c>
      <c r="G196" s="87">
        <f t="shared" si="2"/>
        <v>0</v>
      </c>
      <c r="H196" s="514"/>
      <c r="I196" s="509"/>
      <c r="J196" s="42"/>
      <c r="K196" s="398"/>
      <c r="L196" s="398"/>
      <c r="M196" s="86"/>
    </row>
    <row r="197" spans="1:13" s="633" customFormat="1" ht="15.75" x14ac:dyDescent="0.25">
      <c r="A197" s="523">
        <v>193</v>
      </c>
      <c r="B197" s="523" t="s">
        <v>1042</v>
      </c>
      <c r="C197" s="555">
        <v>6216</v>
      </c>
      <c r="D197" s="563">
        <v>25000</v>
      </c>
      <c r="E197" s="573">
        <v>278</v>
      </c>
      <c r="F197" s="563">
        <v>25000</v>
      </c>
      <c r="G197" s="87">
        <f t="shared" ref="G197:G260" si="3">D197-F197</f>
        <v>0</v>
      </c>
      <c r="H197" s="514"/>
      <c r="I197" s="509"/>
      <c r="J197" s="42"/>
      <c r="K197" s="398"/>
      <c r="L197" s="398"/>
      <c r="M197" s="86"/>
    </row>
    <row r="198" spans="1:13" s="633" customFormat="1" ht="15.75" x14ac:dyDescent="0.25">
      <c r="A198" s="523">
        <v>194</v>
      </c>
      <c r="B198" s="523" t="s">
        <v>1042</v>
      </c>
      <c r="C198" s="607" t="s">
        <v>1039</v>
      </c>
      <c r="D198" s="563">
        <v>18000</v>
      </c>
      <c r="E198" s="573">
        <v>200</v>
      </c>
      <c r="F198" s="563">
        <v>18000</v>
      </c>
      <c r="G198" s="87">
        <f t="shared" si="3"/>
        <v>0</v>
      </c>
      <c r="H198" s="514"/>
      <c r="I198" s="509"/>
      <c r="J198" s="42"/>
      <c r="K198" s="398"/>
      <c r="L198" s="398"/>
      <c r="M198" s="86"/>
    </row>
    <row r="199" spans="1:13" s="633" customFormat="1" ht="15.75" x14ac:dyDescent="0.25">
      <c r="A199" s="523">
        <v>195</v>
      </c>
      <c r="B199" s="523" t="s">
        <v>1042</v>
      </c>
      <c r="C199" s="555">
        <v>2590</v>
      </c>
      <c r="D199" s="563">
        <v>30000</v>
      </c>
      <c r="E199" s="573">
        <v>334</v>
      </c>
      <c r="F199" s="563">
        <v>30000</v>
      </c>
      <c r="G199" s="87">
        <f t="shared" si="3"/>
        <v>0</v>
      </c>
      <c r="H199" s="514"/>
      <c r="I199" s="509"/>
      <c r="J199" s="42"/>
      <c r="K199" s="398"/>
      <c r="L199" s="398"/>
      <c r="M199" s="86"/>
    </row>
    <row r="200" spans="1:13" s="633" customFormat="1" ht="15.75" x14ac:dyDescent="0.25">
      <c r="A200" s="523">
        <v>196</v>
      </c>
      <c r="B200" s="523" t="s">
        <v>1042</v>
      </c>
      <c r="C200" s="607" t="s">
        <v>949</v>
      </c>
      <c r="D200" s="563">
        <v>25000</v>
      </c>
      <c r="E200" s="573">
        <v>278</v>
      </c>
      <c r="F200" s="563">
        <v>25000</v>
      </c>
      <c r="G200" s="87">
        <f t="shared" si="3"/>
        <v>0</v>
      </c>
      <c r="H200" s="514"/>
      <c r="I200" s="509"/>
      <c r="J200" s="42"/>
      <c r="K200" s="398"/>
      <c r="L200" s="398"/>
      <c r="M200" s="86"/>
    </row>
    <row r="201" spans="1:13" s="633" customFormat="1" ht="15.75" x14ac:dyDescent="0.25">
      <c r="A201" s="523">
        <v>197</v>
      </c>
      <c r="B201" s="523" t="s">
        <v>1042</v>
      </c>
      <c r="C201" s="555">
        <v>3377</v>
      </c>
      <c r="D201" s="563">
        <v>20000</v>
      </c>
      <c r="E201" s="573">
        <v>217</v>
      </c>
      <c r="F201" s="563">
        <v>20000</v>
      </c>
      <c r="G201" s="87">
        <f t="shared" si="3"/>
        <v>0</v>
      </c>
      <c r="H201" s="514"/>
      <c r="I201" s="509"/>
      <c r="J201" s="42"/>
      <c r="K201" s="398"/>
      <c r="L201" s="398"/>
      <c r="M201" s="86"/>
    </row>
    <row r="202" spans="1:13" s="633" customFormat="1" ht="15.75" x14ac:dyDescent="0.25">
      <c r="A202" s="523">
        <v>198</v>
      </c>
      <c r="B202" s="523" t="s">
        <v>1042</v>
      </c>
      <c r="C202" s="607" t="s">
        <v>1049</v>
      </c>
      <c r="D202" s="563">
        <v>30000</v>
      </c>
      <c r="E202" s="573">
        <v>334</v>
      </c>
      <c r="F202" s="563">
        <v>30000</v>
      </c>
      <c r="G202" s="87">
        <f t="shared" si="3"/>
        <v>0</v>
      </c>
      <c r="H202" s="514"/>
      <c r="I202" s="509"/>
      <c r="J202" s="42"/>
      <c r="K202" s="398"/>
      <c r="L202" s="398"/>
      <c r="M202" s="86"/>
    </row>
    <row r="203" spans="1:13" s="633" customFormat="1" ht="15.75" x14ac:dyDescent="0.25">
      <c r="A203" s="523">
        <v>199</v>
      </c>
      <c r="B203" s="523" t="s">
        <v>1043</v>
      </c>
      <c r="C203" s="555">
        <v>4514</v>
      </c>
      <c r="D203" s="563">
        <v>16000</v>
      </c>
      <c r="E203" s="573">
        <v>167</v>
      </c>
      <c r="F203" s="563">
        <v>16000</v>
      </c>
      <c r="G203" s="87">
        <f t="shared" si="3"/>
        <v>0</v>
      </c>
      <c r="H203" s="87"/>
      <c r="I203" s="509"/>
      <c r="J203" s="42"/>
      <c r="K203" s="398"/>
      <c r="L203" s="398"/>
      <c r="M203" s="86"/>
    </row>
    <row r="204" spans="1:13" s="633" customFormat="1" ht="15.75" x14ac:dyDescent="0.25">
      <c r="A204" s="523">
        <v>200</v>
      </c>
      <c r="B204" s="523" t="s">
        <v>1043</v>
      </c>
      <c r="C204" s="607" t="s">
        <v>890</v>
      </c>
      <c r="D204" s="563">
        <v>14000</v>
      </c>
      <c r="E204" s="573">
        <v>155</v>
      </c>
      <c r="F204" s="563">
        <v>14000</v>
      </c>
      <c r="G204" s="87">
        <f t="shared" si="3"/>
        <v>0</v>
      </c>
      <c r="H204" s="87"/>
      <c r="I204" s="509"/>
      <c r="J204" s="42"/>
      <c r="K204" s="398"/>
      <c r="L204" s="398"/>
      <c r="M204" s="86"/>
    </row>
    <row r="205" spans="1:13" s="633" customFormat="1" ht="15.75" x14ac:dyDescent="0.25">
      <c r="A205" s="523">
        <v>201</v>
      </c>
      <c r="B205" s="523" t="s">
        <v>1043</v>
      </c>
      <c r="C205" s="555">
        <v>3176</v>
      </c>
      <c r="D205" s="563">
        <v>17000</v>
      </c>
      <c r="E205" s="573">
        <v>189</v>
      </c>
      <c r="F205" s="563">
        <v>17000</v>
      </c>
      <c r="G205" s="87">
        <f t="shared" si="3"/>
        <v>0</v>
      </c>
      <c r="H205" s="87"/>
      <c r="I205" s="509"/>
      <c r="J205" s="42"/>
      <c r="K205" s="398"/>
      <c r="L205" s="398"/>
      <c r="M205" s="86"/>
    </row>
    <row r="206" spans="1:13" s="633" customFormat="1" ht="15.75" x14ac:dyDescent="0.25">
      <c r="A206" s="523">
        <v>202</v>
      </c>
      <c r="B206" s="523" t="s">
        <v>1043</v>
      </c>
      <c r="C206" s="607" t="s">
        <v>995</v>
      </c>
      <c r="D206" s="563">
        <v>25000</v>
      </c>
      <c r="E206" s="573">
        <v>273</v>
      </c>
      <c r="F206" s="563">
        <v>25000</v>
      </c>
      <c r="G206" s="87">
        <f t="shared" si="3"/>
        <v>0</v>
      </c>
      <c r="H206" s="87"/>
      <c r="I206" s="509"/>
      <c r="J206" s="42"/>
      <c r="K206" s="398"/>
      <c r="L206" s="398"/>
      <c r="M206" s="86"/>
    </row>
    <row r="207" spans="1:13" s="633" customFormat="1" ht="15.75" x14ac:dyDescent="0.25">
      <c r="A207" s="523">
        <v>203</v>
      </c>
      <c r="B207" s="523" t="s">
        <v>1043</v>
      </c>
      <c r="C207" s="555">
        <v>5413</v>
      </c>
      <c r="D207" s="563">
        <v>25000</v>
      </c>
      <c r="E207" s="573">
        <v>273</v>
      </c>
      <c r="F207" s="563">
        <v>25000</v>
      </c>
      <c r="G207" s="87">
        <f t="shared" si="3"/>
        <v>0</v>
      </c>
      <c r="H207" s="87"/>
      <c r="I207" s="509"/>
      <c r="J207" s="42"/>
      <c r="K207" s="398"/>
      <c r="L207" s="398"/>
      <c r="M207" s="86"/>
    </row>
    <row r="208" spans="1:13" s="633" customFormat="1" ht="15.75" x14ac:dyDescent="0.25">
      <c r="A208" s="523">
        <v>204</v>
      </c>
      <c r="B208" s="523" t="s">
        <v>1043</v>
      </c>
      <c r="C208" s="555">
        <v>2371</v>
      </c>
      <c r="D208" s="563">
        <v>20000</v>
      </c>
      <c r="E208" s="573">
        <v>204</v>
      </c>
      <c r="F208" s="563">
        <v>20000</v>
      </c>
      <c r="G208" s="87">
        <f t="shared" si="3"/>
        <v>0</v>
      </c>
      <c r="H208" s="87"/>
      <c r="I208" s="509"/>
      <c r="J208" s="42"/>
      <c r="K208" s="398"/>
      <c r="L208" s="398"/>
      <c r="M208" s="86"/>
    </row>
    <row r="209" spans="1:13" s="633" customFormat="1" ht="15.75" x14ac:dyDescent="0.25">
      <c r="A209" s="523">
        <v>205</v>
      </c>
      <c r="B209" s="523" t="s">
        <v>1043</v>
      </c>
      <c r="C209" s="555">
        <v>3533</v>
      </c>
      <c r="D209" s="563">
        <v>10000</v>
      </c>
      <c r="E209" s="573">
        <v>111</v>
      </c>
      <c r="F209" s="563">
        <v>10000</v>
      </c>
      <c r="G209" s="87">
        <f t="shared" si="3"/>
        <v>0</v>
      </c>
      <c r="H209" s="87"/>
      <c r="I209" s="509"/>
      <c r="J209" s="42"/>
      <c r="K209" s="398"/>
      <c r="L209" s="398"/>
      <c r="M209" s="86"/>
    </row>
    <row r="210" spans="1:13" s="633" customFormat="1" ht="15.75" x14ac:dyDescent="0.25">
      <c r="A210" s="523">
        <v>206</v>
      </c>
      <c r="B210" s="523" t="s">
        <v>1043</v>
      </c>
      <c r="C210" s="555">
        <v>2246</v>
      </c>
      <c r="D210" s="563">
        <v>13000</v>
      </c>
      <c r="E210" s="573">
        <v>144</v>
      </c>
      <c r="F210" s="563">
        <v>13000</v>
      </c>
      <c r="G210" s="87">
        <f t="shared" si="3"/>
        <v>0</v>
      </c>
      <c r="H210" s="87"/>
      <c r="I210" s="509"/>
      <c r="J210" s="42"/>
      <c r="K210" s="398"/>
      <c r="L210" s="398"/>
      <c r="M210" s="86"/>
    </row>
    <row r="211" spans="1:13" s="633" customFormat="1" ht="15.75" x14ac:dyDescent="0.25">
      <c r="A211" s="523">
        <v>207</v>
      </c>
      <c r="B211" s="523" t="s">
        <v>1043</v>
      </c>
      <c r="C211" s="555" t="s">
        <v>30</v>
      </c>
      <c r="D211" s="563">
        <v>5000</v>
      </c>
      <c r="E211" s="573">
        <v>55</v>
      </c>
      <c r="F211" s="563">
        <v>5000</v>
      </c>
      <c r="G211" s="87">
        <f t="shared" si="3"/>
        <v>0</v>
      </c>
      <c r="H211" s="87"/>
      <c r="I211" s="509"/>
      <c r="J211" s="42"/>
      <c r="K211" s="398"/>
      <c r="L211" s="398"/>
      <c r="M211" s="86"/>
    </row>
    <row r="212" spans="1:13" s="633" customFormat="1" ht="15.75" x14ac:dyDescent="0.25">
      <c r="A212" s="523">
        <v>208</v>
      </c>
      <c r="B212" s="523" t="s">
        <v>1043</v>
      </c>
      <c r="C212" s="555">
        <v>3108</v>
      </c>
      <c r="D212" s="563">
        <v>20000</v>
      </c>
      <c r="E212" s="573">
        <v>222</v>
      </c>
      <c r="F212" s="563">
        <v>20000</v>
      </c>
      <c r="G212" s="87">
        <f t="shared" si="3"/>
        <v>0</v>
      </c>
      <c r="H212" s="87"/>
      <c r="I212" s="509"/>
      <c r="J212" s="42"/>
      <c r="K212" s="398"/>
      <c r="L212" s="398"/>
      <c r="M212" s="86"/>
    </row>
    <row r="213" spans="1:13" s="633" customFormat="1" ht="15.75" x14ac:dyDescent="0.25">
      <c r="A213" s="523">
        <v>209</v>
      </c>
      <c r="B213" s="523" t="s">
        <v>1043</v>
      </c>
      <c r="C213" s="555" t="s">
        <v>819</v>
      </c>
      <c r="D213" s="563">
        <v>3500</v>
      </c>
      <c r="E213" s="573">
        <v>38</v>
      </c>
      <c r="F213" s="563">
        <v>3500</v>
      </c>
      <c r="G213" s="87">
        <f t="shared" si="3"/>
        <v>0</v>
      </c>
      <c r="H213" s="87"/>
      <c r="I213" s="509"/>
      <c r="J213" s="42"/>
      <c r="K213" s="398"/>
      <c r="L213" s="398"/>
      <c r="M213" s="86"/>
    </row>
    <row r="214" spans="1:13" s="633" customFormat="1" ht="15.75" x14ac:dyDescent="0.25">
      <c r="A214" s="523">
        <v>210</v>
      </c>
      <c r="B214" s="523" t="s">
        <v>1043</v>
      </c>
      <c r="C214" s="555">
        <v>9880</v>
      </c>
      <c r="D214" s="563">
        <v>25000</v>
      </c>
      <c r="E214" s="573">
        <v>278</v>
      </c>
      <c r="F214" s="563">
        <v>25000</v>
      </c>
      <c r="G214" s="87">
        <f t="shared" si="3"/>
        <v>0</v>
      </c>
      <c r="H214" s="87"/>
      <c r="I214" s="509"/>
      <c r="J214" s="42"/>
      <c r="K214" s="398"/>
      <c r="L214" s="398"/>
      <c r="M214" s="86"/>
    </row>
    <row r="215" spans="1:13" s="633" customFormat="1" ht="15.75" x14ac:dyDescent="0.25">
      <c r="A215" s="523">
        <v>211</v>
      </c>
      <c r="B215" s="523" t="s">
        <v>1043</v>
      </c>
      <c r="C215" s="555">
        <v>3653</v>
      </c>
      <c r="D215" s="563">
        <v>20000</v>
      </c>
      <c r="E215" s="573">
        <v>222</v>
      </c>
      <c r="F215" s="563">
        <v>20000</v>
      </c>
      <c r="G215" s="87">
        <f t="shared" si="3"/>
        <v>0</v>
      </c>
      <c r="H215" s="87"/>
      <c r="I215" s="509"/>
      <c r="J215" s="42"/>
      <c r="K215" s="398"/>
      <c r="L215" s="398"/>
      <c r="M215" s="86"/>
    </row>
    <row r="216" spans="1:13" s="633" customFormat="1" ht="15.75" x14ac:dyDescent="0.25">
      <c r="A216" s="523">
        <v>212</v>
      </c>
      <c r="B216" s="523" t="s">
        <v>1043</v>
      </c>
      <c r="C216" s="555" t="s">
        <v>30</v>
      </c>
      <c r="D216" s="563">
        <v>5500</v>
      </c>
      <c r="E216" s="573">
        <v>66</v>
      </c>
      <c r="F216" s="563">
        <v>5500</v>
      </c>
      <c r="G216" s="87">
        <f t="shared" si="3"/>
        <v>0</v>
      </c>
      <c r="H216" s="87"/>
      <c r="I216" s="509"/>
      <c r="J216" s="42"/>
      <c r="K216" s="398"/>
      <c r="L216" s="398"/>
      <c r="M216" s="86"/>
    </row>
    <row r="217" spans="1:13" s="633" customFormat="1" ht="15.75" x14ac:dyDescent="0.25">
      <c r="A217" s="523">
        <v>213</v>
      </c>
      <c r="B217" s="523" t="s">
        <v>1043</v>
      </c>
      <c r="C217" s="555" t="s">
        <v>30</v>
      </c>
      <c r="D217" s="563">
        <v>4500</v>
      </c>
      <c r="E217" s="573">
        <v>50</v>
      </c>
      <c r="F217" s="563">
        <v>4500</v>
      </c>
      <c r="G217" s="87">
        <f t="shared" si="3"/>
        <v>0</v>
      </c>
      <c r="H217" s="87"/>
      <c r="I217" s="509"/>
      <c r="J217" s="42"/>
      <c r="K217" s="398"/>
      <c r="L217" s="398"/>
      <c r="M217" s="86"/>
    </row>
    <row r="218" spans="1:13" s="633" customFormat="1" ht="15.75" x14ac:dyDescent="0.25">
      <c r="A218" s="523">
        <v>214</v>
      </c>
      <c r="B218" s="523" t="s">
        <v>1043</v>
      </c>
      <c r="C218" s="555">
        <v>7087</v>
      </c>
      <c r="D218" s="563">
        <v>15000</v>
      </c>
      <c r="E218" s="573">
        <v>167</v>
      </c>
      <c r="F218" s="563">
        <v>15000</v>
      </c>
      <c r="G218" s="87">
        <f t="shared" si="3"/>
        <v>0</v>
      </c>
      <c r="H218" s="87"/>
      <c r="I218" s="509"/>
      <c r="J218" s="42"/>
      <c r="K218" s="398"/>
      <c r="L218" s="398"/>
      <c r="M218" s="86"/>
    </row>
    <row r="219" spans="1:13" s="633" customFormat="1" ht="15.75" x14ac:dyDescent="0.25">
      <c r="A219" s="523">
        <v>215</v>
      </c>
      <c r="B219" s="523" t="s">
        <v>1043</v>
      </c>
      <c r="C219" s="555" t="s">
        <v>66</v>
      </c>
      <c r="D219" s="563">
        <v>120</v>
      </c>
      <c r="E219" s="573" t="s">
        <v>66</v>
      </c>
      <c r="F219" s="563">
        <v>120</v>
      </c>
      <c r="G219" s="87">
        <f t="shared" si="3"/>
        <v>0</v>
      </c>
      <c r="H219" s="87"/>
      <c r="I219" s="509"/>
      <c r="J219" s="42"/>
      <c r="K219" s="398"/>
      <c r="L219" s="398"/>
      <c r="M219" s="86"/>
    </row>
    <row r="220" spans="1:13" s="633" customFormat="1" ht="15.75" x14ac:dyDescent="0.25">
      <c r="A220" s="523">
        <v>216</v>
      </c>
      <c r="B220" s="523" t="s">
        <v>1043</v>
      </c>
      <c r="C220" s="555">
        <v>8919</v>
      </c>
      <c r="D220" s="563">
        <v>7000</v>
      </c>
      <c r="E220" s="573">
        <v>72</v>
      </c>
      <c r="F220" s="563">
        <v>7000</v>
      </c>
      <c r="G220" s="87">
        <f t="shared" si="3"/>
        <v>0</v>
      </c>
      <c r="H220" s="87"/>
      <c r="I220" s="509"/>
      <c r="J220" s="42"/>
      <c r="K220" s="398"/>
      <c r="L220" s="398"/>
      <c r="M220" s="86"/>
    </row>
    <row r="221" spans="1:13" s="633" customFormat="1" ht="15.75" x14ac:dyDescent="0.25">
      <c r="A221" s="523">
        <v>217</v>
      </c>
      <c r="B221" s="523" t="s">
        <v>1043</v>
      </c>
      <c r="C221" s="607" t="s">
        <v>1050</v>
      </c>
      <c r="D221" s="563">
        <v>7000</v>
      </c>
      <c r="E221" s="573">
        <v>77</v>
      </c>
      <c r="F221" s="563">
        <v>7000</v>
      </c>
      <c r="G221" s="87">
        <f t="shared" si="3"/>
        <v>0</v>
      </c>
      <c r="H221" s="87"/>
      <c r="I221" s="509"/>
      <c r="J221" s="42"/>
      <c r="K221" s="398"/>
      <c r="L221" s="398"/>
      <c r="M221" s="86"/>
    </row>
    <row r="222" spans="1:13" s="633" customFormat="1" ht="15.75" x14ac:dyDescent="0.25">
      <c r="A222" s="523">
        <v>218</v>
      </c>
      <c r="B222" s="523" t="s">
        <v>1043</v>
      </c>
      <c r="C222" s="607" t="s">
        <v>1051</v>
      </c>
      <c r="D222" s="563">
        <v>20000</v>
      </c>
      <c r="E222" s="573">
        <v>219</v>
      </c>
      <c r="F222" s="563">
        <v>20000</v>
      </c>
      <c r="G222" s="87">
        <f t="shared" si="3"/>
        <v>0</v>
      </c>
      <c r="H222" s="87"/>
      <c r="I222" s="509"/>
      <c r="J222" s="42"/>
      <c r="K222" s="398"/>
      <c r="L222" s="398"/>
      <c r="M222" s="86"/>
    </row>
    <row r="223" spans="1:13" s="633" customFormat="1" ht="15.75" x14ac:dyDescent="0.25">
      <c r="A223" s="523">
        <v>219</v>
      </c>
      <c r="B223" s="523" t="s">
        <v>1043</v>
      </c>
      <c r="C223" s="555">
        <v>1422</v>
      </c>
      <c r="D223" s="563">
        <v>25000</v>
      </c>
      <c r="E223" s="573">
        <v>278</v>
      </c>
      <c r="F223" s="563">
        <v>25000</v>
      </c>
      <c r="G223" s="87">
        <f t="shared" si="3"/>
        <v>0</v>
      </c>
      <c r="H223" s="87"/>
      <c r="I223" s="509"/>
      <c r="J223" s="42"/>
      <c r="K223" s="398"/>
      <c r="L223" s="398"/>
      <c r="M223" s="86"/>
    </row>
    <row r="224" spans="1:13" s="633" customFormat="1" ht="15.75" x14ac:dyDescent="0.25">
      <c r="A224" s="523">
        <v>220</v>
      </c>
      <c r="B224" s="523" t="s">
        <v>1043</v>
      </c>
      <c r="C224" s="555">
        <v>8522</v>
      </c>
      <c r="D224" s="563">
        <v>25000</v>
      </c>
      <c r="E224" s="573">
        <v>278</v>
      </c>
      <c r="F224" s="563">
        <v>25000</v>
      </c>
      <c r="G224" s="87">
        <f t="shared" si="3"/>
        <v>0</v>
      </c>
      <c r="H224" s="87"/>
      <c r="I224" s="509"/>
      <c r="J224" s="42"/>
      <c r="K224" s="398"/>
      <c r="L224" s="398"/>
      <c r="M224" s="86"/>
    </row>
    <row r="225" spans="1:13" s="633" customFormat="1" ht="15.75" x14ac:dyDescent="0.25">
      <c r="A225" s="523">
        <v>221</v>
      </c>
      <c r="B225" s="523" t="s">
        <v>1043</v>
      </c>
      <c r="C225" s="555">
        <v>1856</v>
      </c>
      <c r="D225" s="563">
        <v>15000</v>
      </c>
      <c r="E225" s="573">
        <v>167</v>
      </c>
      <c r="F225" s="563">
        <v>15000</v>
      </c>
      <c r="G225" s="87">
        <f t="shared" si="3"/>
        <v>0</v>
      </c>
      <c r="H225" s="87"/>
      <c r="I225" s="509"/>
      <c r="J225" s="42"/>
      <c r="K225" s="398"/>
      <c r="L225" s="398"/>
      <c r="M225" s="86"/>
    </row>
    <row r="226" spans="1:13" s="633" customFormat="1" ht="15.75" x14ac:dyDescent="0.25">
      <c r="A226" s="523">
        <v>220</v>
      </c>
      <c r="B226" s="523" t="s">
        <v>1043</v>
      </c>
      <c r="C226" s="555">
        <v>6222</v>
      </c>
      <c r="D226" s="563">
        <v>30000</v>
      </c>
      <c r="E226" s="573">
        <v>334</v>
      </c>
      <c r="F226" s="563">
        <v>30000</v>
      </c>
      <c r="G226" s="87">
        <f t="shared" si="3"/>
        <v>0</v>
      </c>
      <c r="H226" s="87"/>
      <c r="I226" s="509"/>
      <c r="J226" s="42"/>
      <c r="K226" s="398"/>
      <c r="L226" s="398"/>
      <c r="M226" s="86"/>
    </row>
    <row r="227" spans="1:13" s="633" customFormat="1" ht="15.75" x14ac:dyDescent="0.25">
      <c r="A227" s="523">
        <v>221</v>
      </c>
      <c r="B227" s="523" t="s">
        <v>1043</v>
      </c>
      <c r="C227" s="555">
        <v>9903</v>
      </c>
      <c r="D227" s="563">
        <v>20000</v>
      </c>
      <c r="E227" s="573">
        <v>222</v>
      </c>
      <c r="F227" s="563">
        <v>20000</v>
      </c>
      <c r="G227" s="87">
        <f t="shared" si="3"/>
        <v>0</v>
      </c>
      <c r="H227" s="87"/>
      <c r="I227" s="509"/>
      <c r="J227" s="42"/>
      <c r="K227" s="398"/>
      <c r="L227" s="398"/>
      <c r="M227" s="86"/>
    </row>
    <row r="228" spans="1:13" s="633" customFormat="1" ht="15.75" x14ac:dyDescent="0.25">
      <c r="A228" s="523">
        <v>220</v>
      </c>
      <c r="B228" s="523" t="s">
        <v>1043</v>
      </c>
      <c r="C228" s="555">
        <v>5553</v>
      </c>
      <c r="D228" s="563">
        <v>25000</v>
      </c>
      <c r="E228" s="573">
        <v>278</v>
      </c>
      <c r="F228" s="563">
        <v>25000</v>
      </c>
      <c r="G228" s="87">
        <f t="shared" si="3"/>
        <v>0</v>
      </c>
      <c r="H228" s="87"/>
      <c r="I228" s="509"/>
      <c r="J228" s="42"/>
      <c r="K228" s="398"/>
      <c r="L228" s="398"/>
      <c r="M228" s="86"/>
    </row>
    <row r="229" spans="1:13" s="633" customFormat="1" ht="15.75" x14ac:dyDescent="0.25">
      <c r="A229" s="523">
        <v>221</v>
      </c>
      <c r="B229" s="523" t="s">
        <v>1043</v>
      </c>
      <c r="C229" s="555">
        <v>3343</v>
      </c>
      <c r="D229" s="563">
        <v>30000</v>
      </c>
      <c r="E229" s="573">
        <v>334</v>
      </c>
      <c r="F229" s="563">
        <v>30000</v>
      </c>
      <c r="G229" s="87">
        <f t="shared" si="3"/>
        <v>0</v>
      </c>
      <c r="H229" s="87"/>
      <c r="I229" s="509"/>
      <c r="J229" s="42"/>
      <c r="K229" s="398"/>
      <c r="L229" s="398"/>
      <c r="M229" s="86"/>
    </row>
    <row r="230" spans="1:13" s="633" customFormat="1" ht="15.75" x14ac:dyDescent="0.25">
      <c r="A230" s="523">
        <v>220</v>
      </c>
      <c r="B230" s="523" t="s">
        <v>1043</v>
      </c>
      <c r="C230" s="555">
        <v>4822</v>
      </c>
      <c r="D230" s="563">
        <v>35000</v>
      </c>
      <c r="E230" s="573">
        <v>351</v>
      </c>
      <c r="F230" s="563">
        <v>35000</v>
      </c>
      <c r="G230" s="87">
        <f t="shared" si="3"/>
        <v>0</v>
      </c>
      <c r="H230" s="87"/>
      <c r="I230" s="509"/>
      <c r="J230" s="42"/>
      <c r="K230" s="398"/>
      <c r="L230" s="398"/>
      <c r="M230" s="86"/>
    </row>
    <row r="231" spans="1:13" s="633" customFormat="1" ht="15.75" x14ac:dyDescent="0.25">
      <c r="A231" s="523">
        <v>221</v>
      </c>
      <c r="B231" s="523" t="s">
        <v>1043</v>
      </c>
      <c r="C231" s="555">
        <v>8977</v>
      </c>
      <c r="D231" s="563">
        <v>25000</v>
      </c>
      <c r="E231" s="573">
        <v>278</v>
      </c>
      <c r="F231" s="563">
        <v>25000</v>
      </c>
      <c r="G231" s="87">
        <f t="shared" si="3"/>
        <v>0</v>
      </c>
      <c r="H231" s="87"/>
      <c r="I231" s="509"/>
      <c r="J231" s="42"/>
      <c r="K231" s="398"/>
      <c r="L231" s="398"/>
      <c r="M231" s="86"/>
    </row>
    <row r="232" spans="1:13" s="633" customFormat="1" ht="15.75" x14ac:dyDescent="0.25">
      <c r="A232" s="523">
        <v>220</v>
      </c>
      <c r="B232" s="523" t="s">
        <v>1043</v>
      </c>
      <c r="C232" s="555">
        <v>3933</v>
      </c>
      <c r="D232" s="563">
        <v>20000</v>
      </c>
      <c r="E232" s="573">
        <v>222</v>
      </c>
      <c r="F232" s="563">
        <v>20000</v>
      </c>
      <c r="G232" s="87">
        <f t="shared" si="3"/>
        <v>0</v>
      </c>
      <c r="H232" s="87"/>
      <c r="I232" s="509"/>
      <c r="J232" s="42"/>
      <c r="K232" s="398"/>
      <c r="L232" s="398"/>
      <c r="M232" s="86"/>
    </row>
    <row r="233" spans="1:13" s="633" customFormat="1" ht="15.75" x14ac:dyDescent="0.25">
      <c r="A233" s="523">
        <v>221</v>
      </c>
      <c r="B233" s="523" t="s">
        <v>1044</v>
      </c>
      <c r="C233" s="555" t="s">
        <v>66</v>
      </c>
      <c r="D233" s="563">
        <v>210</v>
      </c>
      <c r="E233" s="573" t="s">
        <v>66</v>
      </c>
      <c r="F233" s="563">
        <v>210</v>
      </c>
      <c r="G233" s="87">
        <f t="shared" si="3"/>
        <v>0</v>
      </c>
      <c r="H233" s="87"/>
      <c r="I233" s="509"/>
      <c r="J233" s="42"/>
      <c r="K233" s="398"/>
      <c r="L233" s="398"/>
      <c r="M233" s="86"/>
    </row>
    <row r="234" spans="1:13" s="633" customFormat="1" ht="15.75" x14ac:dyDescent="0.25">
      <c r="A234" s="523">
        <v>222</v>
      </c>
      <c r="B234" s="523" t="s">
        <v>1044</v>
      </c>
      <c r="C234" s="555" t="s">
        <v>30</v>
      </c>
      <c r="D234" s="563">
        <v>4500</v>
      </c>
      <c r="E234" s="573">
        <v>50</v>
      </c>
      <c r="F234" s="563">
        <v>4500</v>
      </c>
      <c r="G234" s="87">
        <f t="shared" si="3"/>
        <v>0</v>
      </c>
      <c r="H234" s="87"/>
      <c r="I234" s="509"/>
      <c r="J234" s="42"/>
      <c r="K234" s="398"/>
      <c r="L234" s="398"/>
      <c r="M234" s="86"/>
    </row>
    <row r="235" spans="1:13" s="633" customFormat="1" ht="15.75" x14ac:dyDescent="0.25">
      <c r="A235" s="523">
        <v>223</v>
      </c>
      <c r="B235" s="523" t="s">
        <v>1044</v>
      </c>
      <c r="C235" s="555">
        <v>1531</v>
      </c>
      <c r="D235" s="563">
        <v>20000</v>
      </c>
      <c r="E235" s="573">
        <v>220</v>
      </c>
      <c r="F235" s="563">
        <v>20000</v>
      </c>
      <c r="G235" s="87">
        <f t="shared" si="3"/>
        <v>0</v>
      </c>
      <c r="H235" s="87"/>
      <c r="I235" s="509"/>
      <c r="J235" s="42"/>
      <c r="K235" s="398"/>
      <c r="L235" s="398"/>
      <c r="M235" s="86"/>
    </row>
    <row r="236" spans="1:13" s="633" customFormat="1" ht="15.75" x14ac:dyDescent="0.25">
      <c r="A236" s="523">
        <v>224</v>
      </c>
      <c r="B236" s="523" t="s">
        <v>1044</v>
      </c>
      <c r="C236" s="555">
        <v>5780</v>
      </c>
      <c r="D236" s="563">
        <v>10000</v>
      </c>
      <c r="E236" s="573">
        <v>111</v>
      </c>
      <c r="F236" s="563">
        <v>10000</v>
      </c>
      <c r="G236" s="87">
        <f t="shared" si="3"/>
        <v>0</v>
      </c>
      <c r="H236" s="87"/>
      <c r="I236" s="509"/>
      <c r="J236" s="42"/>
      <c r="K236" s="398"/>
      <c r="L236" s="398"/>
      <c r="M236" s="86"/>
    </row>
    <row r="237" spans="1:13" s="633" customFormat="1" ht="15.75" x14ac:dyDescent="0.25">
      <c r="A237" s="523">
        <v>225</v>
      </c>
      <c r="B237" s="523" t="s">
        <v>1044</v>
      </c>
      <c r="C237" s="607" t="s">
        <v>891</v>
      </c>
      <c r="D237" s="563">
        <v>10000</v>
      </c>
      <c r="E237" s="573">
        <v>111</v>
      </c>
      <c r="F237" s="563">
        <v>10000</v>
      </c>
      <c r="G237" s="87">
        <f t="shared" si="3"/>
        <v>0</v>
      </c>
      <c r="H237" s="87"/>
      <c r="I237" s="509"/>
      <c r="J237" s="42"/>
      <c r="K237" s="398"/>
      <c r="L237" s="398"/>
      <c r="M237" s="86"/>
    </row>
    <row r="238" spans="1:13" s="633" customFormat="1" ht="15.75" x14ac:dyDescent="0.25">
      <c r="A238" s="523">
        <v>226</v>
      </c>
      <c r="B238" s="523" t="s">
        <v>1044</v>
      </c>
      <c r="C238" s="555">
        <v>2693</v>
      </c>
      <c r="D238" s="563">
        <v>10000</v>
      </c>
      <c r="E238" s="573">
        <v>111</v>
      </c>
      <c r="F238" s="563">
        <v>10000</v>
      </c>
      <c r="G238" s="87">
        <f t="shared" si="3"/>
        <v>0</v>
      </c>
      <c r="H238" s="87"/>
      <c r="I238" s="509"/>
      <c r="J238" s="42"/>
      <c r="K238" s="398"/>
      <c r="L238" s="398"/>
      <c r="M238" s="86"/>
    </row>
    <row r="239" spans="1:13" s="633" customFormat="1" ht="15.75" x14ac:dyDescent="0.25">
      <c r="A239" s="523">
        <v>227</v>
      </c>
      <c r="B239" s="523" t="s">
        <v>1044</v>
      </c>
      <c r="C239" s="555">
        <v>9088</v>
      </c>
      <c r="D239" s="563">
        <v>40000</v>
      </c>
      <c r="E239" s="573">
        <v>445</v>
      </c>
      <c r="F239" s="563">
        <v>40000</v>
      </c>
      <c r="G239" s="87">
        <f t="shared" si="3"/>
        <v>0</v>
      </c>
      <c r="H239" s="87"/>
      <c r="I239" s="509"/>
      <c r="J239" s="42"/>
      <c r="K239" s="398"/>
      <c r="L239" s="398"/>
      <c r="M239" s="86"/>
    </row>
    <row r="240" spans="1:13" s="633" customFormat="1" ht="15.75" x14ac:dyDescent="0.25">
      <c r="A240" s="523">
        <v>228</v>
      </c>
      <c r="B240" s="523" t="s">
        <v>1044</v>
      </c>
      <c r="C240" s="555">
        <v>2082</v>
      </c>
      <c r="D240" s="563">
        <v>25000</v>
      </c>
      <c r="E240" s="573">
        <v>278</v>
      </c>
      <c r="F240" s="563">
        <v>25000</v>
      </c>
      <c r="G240" s="87">
        <f t="shared" si="3"/>
        <v>0</v>
      </c>
      <c r="H240" s="87"/>
      <c r="I240" s="509"/>
      <c r="J240" s="42"/>
      <c r="K240" s="398"/>
      <c r="L240" s="398"/>
      <c r="M240" s="86"/>
    </row>
    <row r="241" spans="1:13" s="633" customFormat="1" ht="15.75" x14ac:dyDescent="0.25">
      <c r="A241" s="523">
        <v>229</v>
      </c>
      <c r="B241" s="523" t="s">
        <v>1044</v>
      </c>
      <c r="C241" s="555" t="s">
        <v>30</v>
      </c>
      <c r="D241" s="563">
        <v>5000</v>
      </c>
      <c r="E241" s="573">
        <v>55</v>
      </c>
      <c r="F241" s="563">
        <v>5000</v>
      </c>
      <c r="G241" s="87">
        <f t="shared" si="3"/>
        <v>0</v>
      </c>
      <c r="H241" s="87"/>
      <c r="I241" s="509"/>
      <c r="J241" s="42"/>
      <c r="K241" s="398"/>
      <c r="L241" s="398"/>
      <c r="M241" s="86"/>
    </row>
    <row r="242" spans="1:13" s="633" customFormat="1" ht="15.75" x14ac:dyDescent="0.25">
      <c r="A242" s="523">
        <v>230</v>
      </c>
      <c r="B242" s="523" t="s">
        <v>1044</v>
      </c>
      <c r="C242" s="555">
        <v>1545</v>
      </c>
      <c r="D242" s="563">
        <v>15000</v>
      </c>
      <c r="E242" s="573">
        <v>167</v>
      </c>
      <c r="F242" s="563">
        <v>15000</v>
      </c>
      <c r="G242" s="87">
        <f t="shared" si="3"/>
        <v>0</v>
      </c>
      <c r="H242" s="87"/>
      <c r="I242" s="509"/>
      <c r="J242" s="42"/>
      <c r="K242" s="398"/>
      <c r="L242" s="398"/>
      <c r="M242" s="86"/>
    </row>
    <row r="243" spans="1:13" s="633" customFormat="1" ht="15.75" x14ac:dyDescent="0.25">
      <c r="A243" s="523">
        <v>231</v>
      </c>
      <c r="B243" s="523" t="s">
        <v>1044</v>
      </c>
      <c r="C243" s="555">
        <v>4961</v>
      </c>
      <c r="D243" s="563">
        <v>16000</v>
      </c>
      <c r="E243" s="573">
        <v>178</v>
      </c>
      <c r="F243" s="563">
        <v>16000</v>
      </c>
      <c r="G243" s="87">
        <f t="shared" si="3"/>
        <v>0</v>
      </c>
      <c r="H243" s="87"/>
      <c r="I243" s="509"/>
      <c r="J243" s="42"/>
      <c r="K243" s="398"/>
      <c r="L243" s="398"/>
      <c r="M243" s="86"/>
    </row>
    <row r="244" spans="1:13" s="633" customFormat="1" ht="15.75" x14ac:dyDescent="0.25">
      <c r="A244" s="523">
        <v>232</v>
      </c>
      <c r="B244" s="523" t="s">
        <v>1044</v>
      </c>
      <c r="C244" s="555">
        <v>5780</v>
      </c>
      <c r="D244" s="563">
        <v>32000</v>
      </c>
      <c r="E244" s="573">
        <v>354</v>
      </c>
      <c r="F244" s="563">
        <v>32000</v>
      </c>
      <c r="G244" s="87">
        <f t="shared" si="3"/>
        <v>0</v>
      </c>
      <c r="H244" s="87"/>
      <c r="I244" s="509"/>
      <c r="J244" s="42"/>
      <c r="K244" s="398"/>
      <c r="L244" s="398"/>
      <c r="M244" s="86"/>
    </row>
    <row r="245" spans="1:13" s="633" customFormat="1" ht="15.75" x14ac:dyDescent="0.25">
      <c r="A245" s="523">
        <v>233</v>
      </c>
      <c r="B245" s="523" t="s">
        <v>1044</v>
      </c>
      <c r="C245" s="555">
        <v>6835</v>
      </c>
      <c r="D245" s="563">
        <v>25000</v>
      </c>
      <c r="E245" s="573">
        <v>278</v>
      </c>
      <c r="F245" s="563">
        <v>25000</v>
      </c>
      <c r="G245" s="87">
        <f t="shared" si="3"/>
        <v>0</v>
      </c>
      <c r="H245" s="87"/>
      <c r="I245" s="509"/>
      <c r="J245" s="42"/>
      <c r="K245" s="398"/>
      <c r="L245" s="398"/>
      <c r="M245" s="86"/>
    </row>
    <row r="246" spans="1:13" s="633" customFormat="1" ht="15.75" x14ac:dyDescent="0.25">
      <c r="A246" s="523">
        <v>234</v>
      </c>
      <c r="B246" s="523" t="s">
        <v>1044</v>
      </c>
      <c r="C246" s="555">
        <v>8046</v>
      </c>
      <c r="D246" s="563">
        <v>15000</v>
      </c>
      <c r="E246" s="573">
        <v>167</v>
      </c>
      <c r="F246" s="563">
        <v>15000</v>
      </c>
      <c r="G246" s="87">
        <f t="shared" si="3"/>
        <v>0</v>
      </c>
      <c r="H246" s="87"/>
      <c r="I246" s="509"/>
      <c r="J246" s="42"/>
      <c r="K246" s="398"/>
      <c r="L246" s="398"/>
      <c r="M246" s="86"/>
    </row>
    <row r="247" spans="1:13" s="633" customFormat="1" ht="15.75" x14ac:dyDescent="0.25">
      <c r="A247" s="523">
        <v>235</v>
      </c>
      <c r="B247" s="523" t="s">
        <v>1044</v>
      </c>
      <c r="C247" s="555">
        <v>4584</v>
      </c>
      <c r="D247" s="563">
        <v>5000</v>
      </c>
      <c r="E247" s="573">
        <v>42</v>
      </c>
      <c r="F247" s="563">
        <v>5000</v>
      </c>
      <c r="G247" s="87">
        <f t="shared" si="3"/>
        <v>0</v>
      </c>
      <c r="H247" s="87"/>
      <c r="I247" s="509"/>
      <c r="J247" s="42"/>
      <c r="K247" s="398"/>
      <c r="L247" s="398"/>
      <c r="M247" s="86"/>
    </row>
    <row r="248" spans="1:13" s="633" customFormat="1" ht="15.75" x14ac:dyDescent="0.25">
      <c r="A248" s="523">
        <v>236</v>
      </c>
      <c r="B248" s="523" t="s">
        <v>1044</v>
      </c>
      <c r="C248" s="555" t="s">
        <v>30</v>
      </c>
      <c r="D248" s="563">
        <v>10000</v>
      </c>
      <c r="E248" s="573">
        <v>111</v>
      </c>
      <c r="F248" s="563">
        <v>10000</v>
      </c>
      <c r="G248" s="87">
        <f t="shared" si="3"/>
        <v>0</v>
      </c>
      <c r="H248" s="87"/>
      <c r="I248" s="509"/>
      <c r="J248" s="42"/>
      <c r="K248" s="398"/>
      <c r="L248" s="398"/>
      <c r="M248" s="86"/>
    </row>
    <row r="249" spans="1:13" s="633" customFormat="1" ht="15.75" x14ac:dyDescent="0.25">
      <c r="A249" s="523">
        <v>237</v>
      </c>
      <c r="B249" s="523" t="s">
        <v>1044</v>
      </c>
      <c r="C249" s="555">
        <v>7444</v>
      </c>
      <c r="D249" s="563">
        <v>38000</v>
      </c>
      <c r="E249" s="573">
        <v>423</v>
      </c>
      <c r="F249" s="563">
        <v>38000</v>
      </c>
      <c r="G249" s="87">
        <f t="shared" si="3"/>
        <v>0</v>
      </c>
      <c r="H249" s="87"/>
      <c r="I249" s="509"/>
      <c r="J249" s="42"/>
      <c r="K249" s="398"/>
      <c r="L249" s="398"/>
      <c r="M249" s="86"/>
    </row>
    <row r="250" spans="1:13" s="633" customFormat="1" ht="15.75" x14ac:dyDescent="0.25">
      <c r="A250" s="523">
        <v>238</v>
      </c>
      <c r="B250" s="523" t="s">
        <v>1044</v>
      </c>
      <c r="C250" s="555">
        <v>9459</v>
      </c>
      <c r="D250" s="563">
        <v>25000</v>
      </c>
      <c r="E250" s="573">
        <v>278</v>
      </c>
      <c r="F250" s="563">
        <v>25000</v>
      </c>
      <c r="G250" s="87">
        <f t="shared" si="3"/>
        <v>0</v>
      </c>
      <c r="H250" s="87"/>
      <c r="I250" s="509"/>
      <c r="J250" s="42"/>
      <c r="K250" s="398"/>
      <c r="L250" s="398"/>
      <c r="M250" s="86"/>
    </row>
    <row r="251" spans="1:13" s="633" customFormat="1" ht="15.75" x14ac:dyDescent="0.25">
      <c r="A251" s="523">
        <v>239</v>
      </c>
      <c r="B251" s="523" t="s">
        <v>1044</v>
      </c>
      <c r="C251" s="555">
        <v>9547</v>
      </c>
      <c r="D251" s="563">
        <v>26000</v>
      </c>
      <c r="E251" s="573">
        <v>289</v>
      </c>
      <c r="F251" s="563">
        <v>26000</v>
      </c>
      <c r="G251" s="87">
        <f t="shared" si="3"/>
        <v>0</v>
      </c>
      <c r="H251" s="87"/>
      <c r="I251" s="509"/>
      <c r="J251" s="42"/>
      <c r="K251" s="398"/>
      <c r="L251" s="398"/>
      <c r="M251" s="86"/>
    </row>
    <row r="252" spans="1:13" s="633" customFormat="1" ht="15.75" x14ac:dyDescent="0.25">
      <c r="A252" s="523">
        <v>240</v>
      </c>
      <c r="B252" s="523" t="s">
        <v>1044</v>
      </c>
      <c r="C252" s="555">
        <v>8669</v>
      </c>
      <c r="D252" s="563">
        <v>10000</v>
      </c>
      <c r="E252" s="573">
        <v>111</v>
      </c>
      <c r="F252" s="563">
        <v>10000</v>
      </c>
      <c r="G252" s="87">
        <f t="shared" si="3"/>
        <v>0</v>
      </c>
      <c r="H252" s="87"/>
      <c r="I252" s="509"/>
      <c r="J252" s="42"/>
      <c r="K252" s="398"/>
      <c r="L252" s="398"/>
      <c r="M252" s="86"/>
    </row>
    <row r="253" spans="1:13" s="633" customFormat="1" ht="15.75" x14ac:dyDescent="0.25">
      <c r="A253" s="523">
        <v>241</v>
      </c>
      <c r="B253" s="523" t="s">
        <v>1044</v>
      </c>
      <c r="C253" s="555">
        <v>2264</v>
      </c>
      <c r="D253" s="563">
        <v>10000</v>
      </c>
      <c r="E253" s="573">
        <v>111</v>
      </c>
      <c r="F253" s="563">
        <v>10000</v>
      </c>
      <c r="G253" s="87">
        <f t="shared" si="3"/>
        <v>0</v>
      </c>
      <c r="H253" s="87"/>
      <c r="I253" s="509"/>
      <c r="J253" s="42"/>
      <c r="K253" s="398"/>
      <c r="L253" s="398"/>
      <c r="M253" s="86"/>
    </row>
    <row r="254" spans="1:13" s="634" customFormat="1" ht="15.75" x14ac:dyDescent="0.25">
      <c r="A254" s="523">
        <v>242</v>
      </c>
      <c r="B254" s="523" t="s">
        <v>1052</v>
      </c>
      <c r="C254" s="555">
        <v>5152</v>
      </c>
      <c r="D254" s="563">
        <v>15000</v>
      </c>
      <c r="E254" s="573">
        <v>167</v>
      </c>
      <c r="F254" s="563">
        <v>15000</v>
      </c>
      <c r="G254" s="87">
        <f t="shared" si="3"/>
        <v>0</v>
      </c>
      <c r="H254" s="87"/>
      <c r="I254" s="509"/>
      <c r="J254" s="42"/>
      <c r="K254" s="398"/>
      <c r="L254" s="398"/>
      <c r="M254" s="86"/>
    </row>
    <row r="255" spans="1:13" s="634" customFormat="1" ht="15.75" x14ac:dyDescent="0.25">
      <c r="A255" s="523">
        <v>243</v>
      </c>
      <c r="B255" s="523" t="s">
        <v>1052</v>
      </c>
      <c r="C255" s="555">
        <v>6133</v>
      </c>
      <c r="D255" s="563">
        <v>16000</v>
      </c>
      <c r="E255" s="573">
        <v>178</v>
      </c>
      <c r="F255" s="563">
        <v>16000</v>
      </c>
      <c r="G255" s="87">
        <f t="shared" si="3"/>
        <v>0</v>
      </c>
      <c r="H255" s="87"/>
      <c r="I255" s="509"/>
      <c r="J255" s="42"/>
      <c r="K255" s="398"/>
      <c r="L255" s="398"/>
      <c r="M255" s="86"/>
    </row>
    <row r="256" spans="1:13" s="634" customFormat="1" ht="15.75" x14ac:dyDescent="0.25">
      <c r="A256" s="523">
        <v>244</v>
      </c>
      <c r="B256" s="523" t="s">
        <v>1052</v>
      </c>
      <c r="C256" s="555">
        <v>8010</v>
      </c>
      <c r="D256" s="563">
        <v>24000</v>
      </c>
      <c r="E256" s="573">
        <v>245</v>
      </c>
      <c r="F256" s="563">
        <v>24000</v>
      </c>
      <c r="G256" s="87">
        <f t="shared" si="3"/>
        <v>0</v>
      </c>
      <c r="H256" s="87"/>
      <c r="I256" s="509"/>
      <c r="J256" s="42"/>
      <c r="K256" s="398"/>
      <c r="L256" s="398"/>
      <c r="M256" s="86"/>
    </row>
    <row r="257" spans="1:13" s="634" customFormat="1" ht="15.75" x14ac:dyDescent="0.25">
      <c r="A257" s="523">
        <v>245</v>
      </c>
      <c r="B257" s="523" t="s">
        <v>1052</v>
      </c>
      <c r="C257" s="555">
        <v>4059</v>
      </c>
      <c r="D257" s="563">
        <v>6000</v>
      </c>
      <c r="E257" s="573">
        <v>66</v>
      </c>
      <c r="F257" s="563">
        <v>6000</v>
      </c>
      <c r="G257" s="87">
        <f t="shared" si="3"/>
        <v>0</v>
      </c>
      <c r="H257" s="87"/>
      <c r="I257" s="509"/>
      <c r="J257" s="42"/>
      <c r="K257" s="398"/>
      <c r="L257" s="398"/>
      <c r="M257" s="86"/>
    </row>
    <row r="258" spans="1:13" s="634" customFormat="1" ht="15.75" x14ac:dyDescent="0.25">
      <c r="A258" s="523">
        <v>246</v>
      </c>
      <c r="B258" s="523" t="s">
        <v>1052</v>
      </c>
      <c r="C258" s="555">
        <v>6573</v>
      </c>
      <c r="D258" s="563">
        <v>6000</v>
      </c>
      <c r="E258" s="573">
        <v>66</v>
      </c>
      <c r="F258" s="563">
        <v>6000</v>
      </c>
      <c r="G258" s="87">
        <f t="shared" si="3"/>
        <v>0</v>
      </c>
      <c r="H258" s="87"/>
      <c r="I258" s="509"/>
      <c r="J258" s="42"/>
      <c r="K258" s="398"/>
      <c r="L258" s="398"/>
      <c r="M258" s="86"/>
    </row>
    <row r="259" spans="1:13" s="634" customFormat="1" ht="15.75" x14ac:dyDescent="0.25">
      <c r="A259" s="523">
        <v>247</v>
      </c>
      <c r="B259" s="523" t="s">
        <v>1052</v>
      </c>
      <c r="C259" s="555">
        <v>8434</v>
      </c>
      <c r="D259" s="563">
        <v>24000</v>
      </c>
      <c r="E259" s="573">
        <v>267</v>
      </c>
      <c r="F259" s="563">
        <v>24000</v>
      </c>
      <c r="G259" s="87">
        <f t="shared" si="3"/>
        <v>0</v>
      </c>
      <c r="H259" s="87"/>
      <c r="I259" s="509"/>
      <c r="J259" s="42"/>
      <c r="K259" s="398"/>
      <c r="L259" s="398"/>
      <c r="M259" s="86"/>
    </row>
    <row r="260" spans="1:13" s="634" customFormat="1" ht="15.75" x14ac:dyDescent="0.25">
      <c r="A260" s="523">
        <v>248</v>
      </c>
      <c r="B260" s="523" t="s">
        <v>1052</v>
      </c>
      <c r="C260" s="555">
        <v>6797</v>
      </c>
      <c r="D260" s="563">
        <v>40000</v>
      </c>
      <c r="E260" s="573">
        <v>445</v>
      </c>
      <c r="F260" s="563">
        <v>40000</v>
      </c>
      <c r="G260" s="87">
        <f t="shared" si="3"/>
        <v>0</v>
      </c>
      <c r="H260" s="87"/>
      <c r="I260" s="509"/>
      <c r="J260" s="42"/>
      <c r="K260" s="398"/>
      <c r="L260" s="398"/>
      <c r="M260" s="86"/>
    </row>
    <row r="261" spans="1:13" s="634" customFormat="1" ht="15.75" x14ac:dyDescent="0.25">
      <c r="A261" s="523">
        <v>249</v>
      </c>
      <c r="B261" s="523" t="s">
        <v>1052</v>
      </c>
      <c r="C261" s="555">
        <v>9457</v>
      </c>
      <c r="D261" s="563">
        <v>27000</v>
      </c>
      <c r="E261" s="573">
        <v>275</v>
      </c>
      <c r="F261" s="563">
        <v>27000</v>
      </c>
      <c r="G261" s="87">
        <f t="shared" ref="G261:G324" si="4">D261-F261</f>
        <v>0</v>
      </c>
      <c r="H261" s="87"/>
      <c r="I261" s="509"/>
      <c r="J261" s="42"/>
      <c r="K261" s="398"/>
      <c r="L261" s="398"/>
      <c r="M261" s="86"/>
    </row>
    <row r="262" spans="1:13" s="634" customFormat="1" ht="15.75" x14ac:dyDescent="0.25">
      <c r="A262" s="523">
        <v>250</v>
      </c>
      <c r="B262" s="523" t="s">
        <v>1052</v>
      </c>
      <c r="C262" s="555">
        <v>2004</v>
      </c>
      <c r="D262" s="563">
        <v>22000</v>
      </c>
      <c r="E262" s="573">
        <v>245</v>
      </c>
      <c r="F262" s="563">
        <v>22000</v>
      </c>
      <c r="G262" s="87">
        <f t="shared" si="4"/>
        <v>0</v>
      </c>
      <c r="H262" s="87"/>
      <c r="I262" s="509"/>
      <c r="J262" s="42"/>
      <c r="K262" s="398"/>
      <c r="L262" s="398"/>
      <c r="M262" s="86"/>
    </row>
    <row r="263" spans="1:13" s="634" customFormat="1" ht="15.75" x14ac:dyDescent="0.25">
      <c r="A263" s="523">
        <v>251</v>
      </c>
      <c r="B263" s="523" t="s">
        <v>1052</v>
      </c>
      <c r="C263" s="555" t="s">
        <v>66</v>
      </c>
      <c r="D263" s="563">
        <v>200</v>
      </c>
      <c r="E263" s="573">
        <v>2</v>
      </c>
      <c r="F263" s="563">
        <v>200</v>
      </c>
      <c r="G263" s="87">
        <f t="shared" si="4"/>
        <v>0</v>
      </c>
      <c r="H263" s="87"/>
      <c r="I263" s="509"/>
      <c r="J263" s="42"/>
      <c r="K263" s="398"/>
      <c r="L263" s="398"/>
      <c r="M263" s="86"/>
    </row>
    <row r="264" spans="1:13" s="634" customFormat="1" ht="15.75" x14ac:dyDescent="0.25">
      <c r="A264" s="523">
        <v>252</v>
      </c>
      <c r="B264" s="523" t="s">
        <v>1052</v>
      </c>
      <c r="C264" s="555">
        <v>8879</v>
      </c>
      <c r="D264" s="563">
        <v>23000</v>
      </c>
      <c r="E264" s="573">
        <v>233</v>
      </c>
      <c r="F264" s="563">
        <v>23000</v>
      </c>
      <c r="G264" s="87">
        <f t="shared" si="4"/>
        <v>0</v>
      </c>
      <c r="H264" s="87"/>
      <c r="I264" s="509"/>
      <c r="J264" s="42"/>
      <c r="K264" s="398"/>
      <c r="L264" s="398"/>
      <c r="M264" s="86"/>
    </row>
    <row r="265" spans="1:13" s="634" customFormat="1" ht="15.75" x14ac:dyDescent="0.25">
      <c r="A265" s="523">
        <v>253</v>
      </c>
      <c r="B265" s="523" t="s">
        <v>1052</v>
      </c>
      <c r="C265" s="555">
        <v>9680</v>
      </c>
      <c r="D265" s="563">
        <v>30000</v>
      </c>
      <c r="E265" s="573">
        <v>334</v>
      </c>
      <c r="F265" s="563">
        <v>30000</v>
      </c>
      <c r="G265" s="87">
        <f t="shared" si="4"/>
        <v>0</v>
      </c>
      <c r="H265" s="87"/>
      <c r="I265" s="509"/>
      <c r="J265" s="42"/>
      <c r="K265" s="398"/>
      <c r="L265" s="398"/>
      <c r="M265" s="86"/>
    </row>
    <row r="266" spans="1:13" s="634" customFormat="1" ht="15.75" x14ac:dyDescent="0.25">
      <c r="A266" s="523">
        <v>254</v>
      </c>
      <c r="B266" s="523" t="s">
        <v>1052</v>
      </c>
      <c r="C266" s="555">
        <v>4224</v>
      </c>
      <c r="D266" s="563">
        <v>15000</v>
      </c>
      <c r="E266" s="573">
        <v>167</v>
      </c>
      <c r="F266" s="563">
        <v>15000</v>
      </c>
      <c r="G266" s="87">
        <f t="shared" si="4"/>
        <v>0</v>
      </c>
      <c r="H266" s="87"/>
      <c r="I266" s="509"/>
      <c r="J266" s="42"/>
      <c r="K266" s="398"/>
      <c r="L266" s="398"/>
      <c r="M266" s="86"/>
    </row>
    <row r="267" spans="1:13" s="634" customFormat="1" ht="15.75" x14ac:dyDescent="0.25">
      <c r="A267" s="523">
        <v>255</v>
      </c>
      <c r="B267" s="523" t="s">
        <v>1052</v>
      </c>
      <c r="C267" s="607" t="s">
        <v>1054</v>
      </c>
      <c r="D267" s="563">
        <v>30000</v>
      </c>
      <c r="E267" s="573">
        <v>334</v>
      </c>
      <c r="F267" s="563">
        <v>30000</v>
      </c>
      <c r="G267" s="87">
        <f t="shared" si="4"/>
        <v>0</v>
      </c>
      <c r="H267" s="87"/>
      <c r="I267" s="509"/>
      <c r="J267" s="42"/>
      <c r="K267" s="398"/>
      <c r="L267" s="398"/>
      <c r="M267" s="86"/>
    </row>
    <row r="268" spans="1:13" s="634" customFormat="1" ht="15.75" x14ac:dyDescent="0.25">
      <c r="A268" s="523">
        <v>256</v>
      </c>
      <c r="B268" s="523" t="s">
        <v>1052</v>
      </c>
      <c r="C268" s="555">
        <v>9380</v>
      </c>
      <c r="D268" s="563">
        <v>18000</v>
      </c>
      <c r="E268" s="573">
        <v>192</v>
      </c>
      <c r="F268" s="563">
        <v>18000</v>
      </c>
      <c r="G268" s="87">
        <f t="shared" si="4"/>
        <v>0</v>
      </c>
      <c r="H268" s="87"/>
      <c r="I268" s="509"/>
      <c r="J268" s="42"/>
      <c r="K268" s="398"/>
      <c r="L268" s="398"/>
      <c r="M268" s="86"/>
    </row>
    <row r="269" spans="1:13" s="634" customFormat="1" ht="15.75" x14ac:dyDescent="0.25">
      <c r="A269" s="523">
        <v>257</v>
      </c>
      <c r="B269" s="523" t="s">
        <v>1052</v>
      </c>
      <c r="C269" s="555">
        <v>3209</v>
      </c>
      <c r="D269" s="563">
        <v>9000</v>
      </c>
      <c r="E269" s="573">
        <v>100</v>
      </c>
      <c r="F269" s="563">
        <v>9000</v>
      </c>
      <c r="G269" s="87">
        <f t="shared" si="4"/>
        <v>0</v>
      </c>
      <c r="H269" s="87"/>
      <c r="I269" s="509"/>
      <c r="J269" s="42"/>
      <c r="K269" s="398"/>
      <c r="L269" s="398"/>
      <c r="M269" s="86"/>
    </row>
    <row r="270" spans="1:13" s="634" customFormat="1" ht="15.75" x14ac:dyDescent="0.25">
      <c r="A270" s="523">
        <v>258</v>
      </c>
      <c r="B270" s="523" t="s">
        <v>1052</v>
      </c>
      <c r="C270" s="555">
        <v>5196</v>
      </c>
      <c r="D270" s="563">
        <v>30000</v>
      </c>
      <c r="E270" s="573">
        <v>311</v>
      </c>
      <c r="F270" s="563">
        <v>30000</v>
      </c>
      <c r="G270" s="87">
        <f t="shared" si="4"/>
        <v>0</v>
      </c>
      <c r="H270" s="87"/>
      <c r="I270" s="509"/>
      <c r="J270" s="42"/>
      <c r="K270" s="398"/>
      <c r="L270" s="398"/>
      <c r="M270" s="86"/>
    </row>
    <row r="271" spans="1:13" s="634" customFormat="1" ht="15.75" x14ac:dyDescent="0.25">
      <c r="A271" s="523">
        <v>259</v>
      </c>
      <c r="B271" s="523" t="s">
        <v>1055</v>
      </c>
      <c r="C271" s="555">
        <v>2867</v>
      </c>
      <c r="D271" s="563">
        <v>18000</v>
      </c>
      <c r="E271" s="573">
        <v>200</v>
      </c>
      <c r="F271" s="563">
        <v>18000</v>
      </c>
      <c r="G271" s="87">
        <f t="shared" si="4"/>
        <v>0</v>
      </c>
      <c r="H271" s="87"/>
      <c r="I271" s="509"/>
      <c r="J271" s="42"/>
      <c r="K271" s="398"/>
      <c r="L271" s="398"/>
      <c r="M271" s="86"/>
    </row>
    <row r="272" spans="1:13" s="634" customFormat="1" ht="15.75" x14ac:dyDescent="0.25">
      <c r="A272" s="523">
        <v>260</v>
      </c>
      <c r="B272" s="523" t="s">
        <v>1055</v>
      </c>
      <c r="C272" s="555">
        <v>8468</v>
      </c>
      <c r="D272" s="563">
        <v>16000</v>
      </c>
      <c r="E272" s="573">
        <v>178</v>
      </c>
      <c r="F272" s="563">
        <v>16000</v>
      </c>
      <c r="G272" s="87">
        <f t="shared" si="4"/>
        <v>0</v>
      </c>
      <c r="H272" s="87"/>
      <c r="I272" s="509"/>
      <c r="J272" s="42"/>
      <c r="K272" s="398"/>
      <c r="L272" s="398"/>
      <c r="M272" s="86"/>
    </row>
    <row r="273" spans="1:13" s="634" customFormat="1" ht="15.75" x14ac:dyDescent="0.25">
      <c r="A273" s="523">
        <v>261</v>
      </c>
      <c r="B273" s="523" t="s">
        <v>1055</v>
      </c>
      <c r="C273" s="555" t="s">
        <v>30</v>
      </c>
      <c r="D273" s="563">
        <v>4500</v>
      </c>
      <c r="E273" s="573">
        <v>50</v>
      </c>
      <c r="F273" s="563">
        <v>4500</v>
      </c>
      <c r="G273" s="87">
        <f t="shared" si="4"/>
        <v>0</v>
      </c>
      <c r="H273" s="87"/>
      <c r="I273" s="509"/>
      <c r="J273" s="42"/>
      <c r="K273" s="398"/>
      <c r="L273" s="398"/>
      <c r="M273" s="86"/>
    </row>
    <row r="274" spans="1:13" s="634" customFormat="1" ht="15.75" x14ac:dyDescent="0.25">
      <c r="A274" s="523">
        <v>262</v>
      </c>
      <c r="B274" s="523" t="s">
        <v>1055</v>
      </c>
      <c r="C274" s="555" t="s">
        <v>819</v>
      </c>
      <c r="D274" s="563">
        <v>3500</v>
      </c>
      <c r="E274" s="573">
        <v>38</v>
      </c>
      <c r="F274" s="563">
        <v>3500</v>
      </c>
      <c r="G274" s="87">
        <f t="shared" si="4"/>
        <v>0</v>
      </c>
      <c r="H274" s="87"/>
      <c r="I274" s="509"/>
      <c r="J274" s="42"/>
      <c r="K274" s="398"/>
      <c r="L274" s="398"/>
      <c r="M274" s="86"/>
    </row>
    <row r="275" spans="1:13" s="634" customFormat="1" ht="15.75" x14ac:dyDescent="0.25">
      <c r="A275" s="523">
        <v>263</v>
      </c>
      <c r="B275" s="523" t="s">
        <v>1055</v>
      </c>
      <c r="C275" s="555">
        <v>5690</v>
      </c>
      <c r="D275" s="563">
        <v>20000</v>
      </c>
      <c r="E275" s="573">
        <v>222</v>
      </c>
      <c r="F275" s="563">
        <v>20000</v>
      </c>
      <c r="G275" s="87">
        <f t="shared" si="4"/>
        <v>0</v>
      </c>
      <c r="H275" s="87"/>
      <c r="I275" s="509"/>
      <c r="J275" s="42"/>
      <c r="K275" s="398"/>
      <c r="L275" s="398"/>
      <c r="M275" s="86"/>
    </row>
    <row r="276" spans="1:13" s="634" customFormat="1" ht="15.75" x14ac:dyDescent="0.25">
      <c r="A276" s="523">
        <v>264</v>
      </c>
      <c r="B276" s="523" t="s">
        <v>1055</v>
      </c>
      <c r="C276" s="555">
        <v>6957</v>
      </c>
      <c r="D276" s="563">
        <v>20000</v>
      </c>
      <c r="E276" s="573">
        <v>222</v>
      </c>
      <c r="F276" s="563">
        <v>20000</v>
      </c>
      <c r="G276" s="87">
        <f t="shared" si="4"/>
        <v>0</v>
      </c>
      <c r="H276" s="87"/>
      <c r="I276" s="509"/>
      <c r="J276" s="42"/>
      <c r="K276" s="398"/>
      <c r="L276" s="398"/>
      <c r="M276" s="86"/>
    </row>
    <row r="277" spans="1:13" s="634" customFormat="1" ht="15.75" x14ac:dyDescent="0.25">
      <c r="A277" s="523">
        <v>265</v>
      </c>
      <c r="B277" s="523" t="s">
        <v>1055</v>
      </c>
      <c r="C277" s="607" t="s">
        <v>1056</v>
      </c>
      <c r="D277" s="563">
        <v>15000</v>
      </c>
      <c r="E277" s="573">
        <v>167</v>
      </c>
      <c r="F277" s="563">
        <v>15000</v>
      </c>
      <c r="G277" s="87">
        <f t="shared" si="4"/>
        <v>0</v>
      </c>
      <c r="H277" s="87"/>
      <c r="I277" s="509"/>
      <c r="J277" s="42"/>
      <c r="K277" s="398"/>
      <c r="L277" s="398"/>
      <c r="M277" s="86"/>
    </row>
    <row r="278" spans="1:13" s="634" customFormat="1" ht="15.75" x14ac:dyDescent="0.25">
      <c r="A278" s="523">
        <v>266</v>
      </c>
      <c r="B278" s="523" t="s">
        <v>1055</v>
      </c>
      <c r="C278" s="555">
        <v>5420</v>
      </c>
      <c r="D278" s="563">
        <v>25000</v>
      </c>
      <c r="E278" s="573">
        <v>278</v>
      </c>
      <c r="F278" s="563">
        <v>25000</v>
      </c>
      <c r="G278" s="87">
        <f t="shared" si="4"/>
        <v>0</v>
      </c>
      <c r="H278" s="87"/>
      <c r="I278" s="509"/>
      <c r="J278" s="42"/>
      <c r="K278" s="398"/>
      <c r="L278" s="398"/>
      <c r="M278" s="86"/>
    </row>
    <row r="279" spans="1:13" s="634" customFormat="1" ht="15.75" x14ac:dyDescent="0.25">
      <c r="A279" s="523">
        <v>267</v>
      </c>
      <c r="B279" s="523" t="s">
        <v>1055</v>
      </c>
      <c r="C279" s="555">
        <v>5411</v>
      </c>
      <c r="D279" s="563">
        <v>25000</v>
      </c>
      <c r="E279" s="573">
        <v>278</v>
      </c>
      <c r="F279" s="563">
        <v>25000</v>
      </c>
      <c r="G279" s="87">
        <f t="shared" si="4"/>
        <v>0</v>
      </c>
      <c r="H279" s="87"/>
      <c r="I279" s="509"/>
      <c r="J279" s="42"/>
      <c r="K279" s="398"/>
      <c r="L279" s="398"/>
      <c r="M279" s="86"/>
    </row>
    <row r="280" spans="1:13" s="634" customFormat="1" ht="15.75" x14ac:dyDescent="0.25">
      <c r="A280" s="523">
        <v>268</v>
      </c>
      <c r="B280" s="523" t="s">
        <v>1055</v>
      </c>
      <c r="C280" s="555">
        <v>9655</v>
      </c>
      <c r="D280" s="563">
        <v>10000</v>
      </c>
      <c r="E280" s="573">
        <v>111</v>
      </c>
      <c r="F280" s="563">
        <v>10000</v>
      </c>
      <c r="G280" s="87">
        <f t="shared" si="4"/>
        <v>0</v>
      </c>
      <c r="H280" s="87"/>
      <c r="I280" s="509"/>
      <c r="J280" s="42"/>
      <c r="K280" s="398"/>
      <c r="L280" s="398"/>
      <c r="M280" s="86"/>
    </row>
    <row r="281" spans="1:13" s="634" customFormat="1" ht="15.75" x14ac:dyDescent="0.25">
      <c r="A281" s="523">
        <v>269</v>
      </c>
      <c r="B281" s="523" t="s">
        <v>1055</v>
      </c>
      <c r="C281" s="555">
        <v>2141</v>
      </c>
      <c r="D281" s="563">
        <v>10000</v>
      </c>
      <c r="E281" s="573">
        <v>111</v>
      </c>
      <c r="F281" s="563">
        <v>10000</v>
      </c>
      <c r="G281" s="87">
        <f t="shared" si="4"/>
        <v>0</v>
      </c>
      <c r="H281" s="87"/>
      <c r="I281" s="509"/>
      <c r="J281" s="42"/>
      <c r="K281" s="398"/>
      <c r="L281" s="398"/>
      <c r="M281" s="86"/>
    </row>
    <row r="282" spans="1:13" s="634" customFormat="1" ht="15.75" x14ac:dyDescent="0.25">
      <c r="A282" s="523">
        <v>270</v>
      </c>
      <c r="B282" s="523" t="s">
        <v>1055</v>
      </c>
      <c r="C282" s="555">
        <v>1771</v>
      </c>
      <c r="D282" s="563">
        <v>18000</v>
      </c>
      <c r="E282" s="573">
        <v>200</v>
      </c>
      <c r="F282" s="563">
        <v>18000</v>
      </c>
      <c r="G282" s="87">
        <f t="shared" si="4"/>
        <v>0</v>
      </c>
      <c r="H282" s="87"/>
      <c r="I282" s="509"/>
      <c r="J282" s="42"/>
      <c r="K282" s="398"/>
      <c r="L282" s="398"/>
      <c r="M282" s="86"/>
    </row>
    <row r="283" spans="1:13" s="634" customFormat="1" ht="15.75" x14ac:dyDescent="0.25">
      <c r="A283" s="523">
        <v>271</v>
      </c>
      <c r="B283" s="523" t="s">
        <v>1055</v>
      </c>
      <c r="C283" s="555">
        <v>6071</v>
      </c>
      <c r="D283" s="563">
        <v>18000</v>
      </c>
      <c r="E283" s="573">
        <v>200</v>
      </c>
      <c r="F283" s="563">
        <v>18000</v>
      </c>
      <c r="G283" s="87">
        <f t="shared" si="4"/>
        <v>0</v>
      </c>
      <c r="H283" s="87"/>
      <c r="I283" s="509"/>
      <c r="J283" s="42"/>
      <c r="K283" s="398"/>
      <c r="L283" s="398"/>
      <c r="M283" s="86"/>
    </row>
    <row r="284" spans="1:13" s="634" customFormat="1" ht="15.75" x14ac:dyDescent="0.25">
      <c r="A284" s="523">
        <v>272</v>
      </c>
      <c r="B284" s="523" t="s">
        <v>1055</v>
      </c>
      <c r="C284" s="555">
        <v>6471</v>
      </c>
      <c r="D284" s="563">
        <v>18000</v>
      </c>
      <c r="E284" s="573">
        <v>200</v>
      </c>
      <c r="F284" s="563">
        <v>18000</v>
      </c>
      <c r="G284" s="87">
        <f t="shared" si="4"/>
        <v>0</v>
      </c>
      <c r="H284" s="87"/>
      <c r="I284" s="509"/>
      <c r="J284" s="42"/>
      <c r="K284" s="398"/>
      <c r="L284" s="398"/>
      <c r="M284" s="86"/>
    </row>
    <row r="285" spans="1:13" s="634" customFormat="1" ht="15.75" x14ac:dyDescent="0.25">
      <c r="A285" s="523">
        <v>273</v>
      </c>
      <c r="B285" s="523" t="s">
        <v>1055</v>
      </c>
      <c r="C285" s="555">
        <v>6271</v>
      </c>
      <c r="D285" s="563">
        <v>18000</v>
      </c>
      <c r="E285" s="573">
        <v>200</v>
      </c>
      <c r="F285" s="563">
        <v>18000</v>
      </c>
      <c r="G285" s="87">
        <f t="shared" si="4"/>
        <v>0</v>
      </c>
      <c r="H285" s="87"/>
      <c r="I285" s="509"/>
      <c r="J285" s="42"/>
      <c r="K285" s="398"/>
      <c r="L285" s="398"/>
      <c r="M285" s="86"/>
    </row>
    <row r="286" spans="1:13" s="634" customFormat="1" ht="15.75" x14ac:dyDescent="0.25">
      <c r="A286" s="523">
        <v>274</v>
      </c>
      <c r="B286" s="523" t="s">
        <v>1055</v>
      </c>
      <c r="C286" s="555">
        <v>2972</v>
      </c>
      <c r="D286" s="563">
        <v>18000</v>
      </c>
      <c r="E286" s="573">
        <v>167</v>
      </c>
      <c r="F286" s="563">
        <v>18000</v>
      </c>
      <c r="G286" s="87">
        <f t="shared" si="4"/>
        <v>0</v>
      </c>
      <c r="H286" s="87"/>
      <c r="I286" s="509"/>
      <c r="J286" s="42"/>
      <c r="K286" s="398"/>
      <c r="L286" s="398"/>
      <c r="M286" s="86"/>
    </row>
    <row r="287" spans="1:13" s="634" customFormat="1" ht="15.75" x14ac:dyDescent="0.25">
      <c r="A287" s="523">
        <v>275</v>
      </c>
      <c r="B287" s="523" t="s">
        <v>1055</v>
      </c>
      <c r="C287" s="555">
        <v>2752</v>
      </c>
      <c r="D287" s="563">
        <v>18000</v>
      </c>
      <c r="E287" s="573">
        <v>278</v>
      </c>
      <c r="F287" s="563">
        <v>18000</v>
      </c>
      <c r="G287" s="87">
        <f t="shared" si="4"/>
        <v>0</v>
      </c>
      <c r="H287" s="87"/>
      <c r="I287" s="509"/>
      <c r="J287" s="42"/>
      <c r="K287" s="398"/>
      <c r="L287" s="398"/>
      <c r="M287" s="86"/>
    </row>
    <row r="288" spans="1:13" s="634" customFormat="1" ht="15.75" x14ac:dyDescent="0.25">
      <c r="A288" s="523">
        <v>276</v>
      </c>
      <c r="B288" s="523" t="s">
        <v>1055</v>
      </c>
      <c r="C288" s="555">
        <v>5796</v>
      </c>
      <c r="D288" s="563">
        <v>15000</v>
      </c>
      <c r="E288" s="573">
        <v>167</v>
      </c>
      <c r="F288" s="563">
        <v>15000</v>
      </c>
      <c r="G288" s="87">
        <f t="shared" si="4"/>
        <v>0</v>
      </c>
      <c r="H288" s="87"/>
      <c r="I288" s="509"/>
      <c r="J288" s="42"/>
      <c r="K288" s="398"/>
      <c r="L288" s="398"/>
      <c r="M288" s="86"/>
    </row>
    <row r="289" spans="1:13" s="634" customFormat="1" ht="15.75" x14ac:dyDescent="0.25">
      <c r="A289" s="523">
        <v>277</v>
      </c>
      <c r="B289" s="523" t="s">
        <v>1055</v>
      </c>
      <c r="C289" s="555">
        <v>2618</v>
      </c>
      <c r="D289" s="563">
        <v>20000</v>
      </c>
      <c r="E289" s="573">
        <v>222</v>
      </c>
      <c r="F289" s="563">
        <v>20000</v>
      </c>
      <c r="G289" s="87">
        <f t="shared" si="4"/>
        <v>0</v>
      </c>
      <c r="H289" s="87"/>
      <c r="I289" s="509"/>
      <c r="J289" s="42"/>
      <c r="K289" s="398"/>
      <c r="L289" s="398"/>
      <c r="M289" s="86"/>
    </row>
    <row r="290" spans="1:13" s="634" customFormat="1" ht="15.75" x14ac:dyDescent="0.25">
      <c r="A290" s="523">
        <v>278</v>
      </c>
      <c r="B290" s="523" t="s">
        <v>1055</v>
      </c>
      <c r="C290" s="555">
        <v>2233</v>
      </c>
      <c r="D290" s="563">
        <v>14000</v>
      </c>
      <c r="E290" s="573">
        <v>155</v>
      </c>
      <c r="F290" s="563">
        <v>14000</v>
      </c>
      <c r="G290" s="87">
        <f t="shared" si="4"/>
        <v>0</v>
      </c>
      <c r="H290" s="87"/>
      <c r="I290" s="509"/>
      <c r="J290" s="42"/>
      <c r="K290" s="398"/>
      <c r="L290" s="398"/>
      <c r="M290" s="86"/>
    </row>
    <row r="291" spans="1:13" s="634" customFormat="1" ht="15.75" x14ac:dyDescent="0.25">
      <c r="A291" s="523">
        <v>279</v>
      </c>
      <c r="B291" s="523" t="s">
        <v>1055</v>
      </c>
      <c r="C291" s="555">
        <v>5626</v>
      </c>
      <c r="D291" s="563">
        <v>26000</v>
      </c>
      <c r="E291" s="573">
        <v>264</v>
      </c>
      <c r="F291" s="563">
        <v>26000</v>
      </c>
      <c r="G291" s="87">
        <f t="shared" si="4"/>
        <v>0</v>
      </c>
      <c r="H291" s="87"/>
      <c r="I291" s="509"/>
      <c r="J291" s="42"/>
      <c r="K291" s="398"/>
      <c r="L291" s="398"/>
      <c r="M291" s="86"/>
    </row>
    <row r="292" spans="1:13" s="634" customFormat="1" ht="15.75" x14ac:dyDescent="0.25">
      <c r="A292" s="523">
        <v>280</v>
      </c>
      <c r="B292" s="523" t="s">
        <v>1055</v>
      </c>
      <c r="C292" s="555">
        <v>9021</v>
      </c>
      <c r="D292" s="563">
        <v>24000</v>
      </c>
      <c r="E292" s="573">
        <v>267</v>
      </c>
      <c r="F292" s="563">
        <v>24000</v>
      </c>
      <c r="G292" s="87">
        <f t="shared" si="4"/>
        <v>0</v>
      </c>
      <c r="H292" s="87"/>
      <c r="I292" s="509"/>
      <c r="J292" s="42"/>
      <c r="K292" s="398"/>
      <c r="L292" s="398"/>
      <c r="M292" s="86"/>
    </row>
    <row r="293" spans="1:13" s="634" customFormat="1" ht="15.75" x14ac:dyDescent="0.25">
      <c r="A293" s="523">
        <v>281</v>
      </c>
      <c r="B293" s="523" t="s">
        <v>1055</v>
      </c>
      <c r="C293" s="555">
        <v>6500</v>
      </c>
      <c r="D293" s="563">
        <v>31000</v>
      </c>
      <c r="E293" s="573">
        <v>328</v>
      </c>
      <c r="F293" s="563">
        <v>31000</v>
      </c>
      <c r="G293" s="87">
        <f t="shared" si="4"/>
        <v>0</v>
      </c>
      <c r="H293" s="87"/>
      <c r="I293" s="509"/>
      <c r="J293" s="42"/>
      <c r="K293" s="398"/>
      <c r="L293" s="398"/>
      <c r="M293" s="86"/>
    </row>
    <row r="294" spans="1:13" s="634" customFormat="1" ht="15.75" x14ac:dyDescent="0.25">
      <c r="A294" s="523">
        <v>282</v>
      </c>
      <c r="B294" s="523" t="s">
        <v>1055</v>
      </c>
      <c r="C294" s="607" t="s">
        <v>895</v>
      </c>
      <c r="D294" s="563">
        <v>13000</v>
      </c>
      <c r="E294" s="573">
        <v>144</v>
      </c>
      <c r="F294" s="563">
        <v>13000</v>
      </c>
      <c r="G294" s="87">
        <f t="shared" si="4"/>
        <v>0</v>
      </c>
      <c r="H294" s="87"/>
      <c r="I294" s="509"/>
      <c r="J294" s="42"/>
      <c r="K294" s="398"/>
      <c r="L294" s="398"/>
      <c r="M294" s="86"/>
    </row>
    <row r="295" spans="1:13" s="634" customFormat="1" ht="15.75" x14ac:dyDescent="0.25">
      <c r="A295" s="523">
        <v>283</v>
      </c>
      <c r="B295" s="523" t="s">
        <v>1055</v>
      </c>
      <c r="C295" s="555" t="s">
        <v>30</v>
      </c>
      <c r="D295" s="563">
        <v>8000</v>
      </c>
      <c r="E295" s="573">
        <v>89</v>
      </c>
      <c r="F295" s="563">
        <v>8000</v>
      </c>
      <c r="G295" s="87">
        <f t="shared" si="4"/>
        <v>0</v>
      </c>
      <c r="H295" s="87"/>
      <c r="I295" s="509"/>
      <c r="J295" s="42"/>
      <c r="K295" s="398"/>
      <c r="L295" s="398"/>
      <c r="M295" s="86"/>
    </row>
    <row r="296" spans="1:13" s="634" customFormat="1" ht="15.75" x14ac:dyDescent="0.25">
      <c r="A296" s="523">
        <v>284</v>
      </c>
      <c r="B296" s="523" t="s">
        <v>1055</v>
      </c>
      <c r="C296" s="555">
        <v>9412</v>
      </c>
      <c r="D296" s="563">
        <v>27000</v>
      </c>
      <c r="E296" s="573">
        <v>300</v>
      </c>
      <c r="F296" s="563">
        <v>27000</v>
      </c>
      <c r="G296" s="87">
        <f t="shared" si="4"/>
        <v>0</v>
      </c>
      <c r="H296" s="87"/>
      <c r="I296" s="509"/>
      <c r="J296" s="42"/>
      <c r="K296" s="398"/>
      <c r="L296" s="398"/>
      <c r="M296" s="86"/>
    </row>
    <row r="297" spans="1:13" s="634" customFormat="1" ht="15.75" x14ac:dyDescent="0.25">
      <c r="A297" s="523">
        <v>285</v>
      </c>
      <c r="B297" s="523" t="s">
        <v>1055</v>
      </c>
      <c r="C297" s="555">
        <v>6744</v>
      </c>
      <c r="D297" s="563">
        <v>28000</v>
      </c>
      <c r="E297" s="573">
        <v>311</v>
      </c>
      <c r="F297" s="563">
        <v>28000</v>
      </c>
      <c r="G297" s="87">
        <f t="shared" si="4"/>
        <v>0</v>
      </c>
      <c r="H297" s="87"/>
      <c r="I297" s="509"/>
      <c r="J297" s="42"/>
      <c r="K297" s="398"/>
      <c r="L297" s="398"/>
      <c r="M297" s="86"/>
    </row>
    <row r="298" spans="1:13" s="634" customFormat="1" ht="15.75" x14ac:dyDescent="0.25">
      <c r="A298" s="523">
        <v>286</v>
      </c>
      <c r="B298" s="523" t="s">
        <v>1055</v>
      </c>
      <c r="C298" s="555">
        <v>8070</v>
      </c>
      <c r="D298" s="563">
        <v>21000</v>
      </c>
      <c r="E298" s="573">
        <v>233</v>
      </c>
      <c r="F298" s="563">
        <v>21000</v>
      </c>
      <c r="G298" s="87">
        <f t="shared" si="4"/>
        <v>0</v>
      </c>
      <c r="H298" s="87"/>
      <c r="I298" s="509"/>
      <c r="J298" s="42"/>
      <c r="K298" s="398"/>
      <c r="L298" s="398"/>
      <c r="M298" s="86"/>
    </row>
    <row r="299" spans="1:13" s="634" customFormat="1" ht="15.75" x14ac:dyDescent="0.25">
      <c r="A299" s="523">
        <v>287</v>
      </c>
      <c r="B299" s="523" t="s">
        <v>1055</v>
      </c>
      <c r="C299" s="555">
        <v>3286</v>
      </c>
      <c r="D299" s="563">
        <v>26000</v>
      </c>
      <c r="E299" s="573">
        <v>289</v>
      </c>
      <c r="F299" s="563">
        <v>26000</v>
      </c>
      <c r="G299" s="87">
        <f t="shared" si="4"/>
        <v>0</v>
      </c>
      <c r="H299" s="87"/>
      <c r="I299" s="509"/>
      <c r="J299" s="42"/>
      <c r="K299" s="398"/>
      <c r="L299" s="398"/>
      <c r="M299" s="86"/>
    </row>
    <row r="300" spans="1:13" s="634" customFormat="1" ht="15.75" x14ac:dyDescent="0.25">
      <c r="A300" s="523">
        <v>288</v>
      </c>
      <c r="B300" s="523" t="s">
        <v>1055</v>
      </c>
      <c r="C300" s="555">
        <v>4724</v>
      </c>
      <c r="D300" s="563">
        <v>20000</v>
      </c>
      <c r="E300" s="573">
        <v>217</v>
      </c>
      <c r="F300" s="563">
        <v>20000</v>
      </c>
      <c r="G300" s="87">
        <f t="shared" si="4"/>
        <v>0</v>
      </c>
      <c r="H300" s="87"/>
      <c r="I300" s="509"/>
      <c r="J300" s="42"/>
      <c r="K300" s="398"/>
      <c r="L300" s="398"/>
      <c r="M300" s="86"/>
    </row>
    <row r="301" spans="1:13" s="634" customFormat="1" ht="15.75" x14ac:dyDescent="0.25">
      <c r="A301" s="523">
        <v>289</v>
      </c>
      <c r="B301" s="523" t="s">
        <v>1055</v>
      </c>
      <c r="C301" s="607" t="s">
        <v>877</v>
      </c>
      <c r="D301" s="563">
        <v>10000</v>
      </c>
      <c r="E301" s="573">
        <v>111</v>
      </c>
      <c r="F301" s="563">
        <v>10000</v>
      </c>
      <c r="G301" s="87">
        <f t="shared" si="4"/>
        <v>0</v>
      </c>
      <c r="H301" s="87"/>
      <c r="I301" s="509"/>
      <c r="J301" s="42"/>
      <c r="K301" s="398"/>
      <c r="L301" s="398"/>
      <c r="M301" s="86"/>
    </row>
    <row r="302" spans="1:13" s="634" customFormat="1" ht="15.75" x14ac:dyDescent="0.25">
      <c r="A302" s="523">
        <v>290</v>
      </c>
      <c r="B302" s="523" t="s">
        <v>1055</v>
      </c>
      <c r="C302" s="555">
        <v>6199</v>
      </c>
      <c r="D302" s="563">
        <v>23000</v>
      </c>
      <c r="E302" s="573">
        <v>242</v>
      </c>
      <c r="F302" s="563">
        <v>23000</v>
      </c>
      <c r="G302" s="87">
        <f t="shared" si="4"/>
        <v>0</v>
      </c>
      <c r="H302" s="87"/>
      <c r="I302" s="509"/>
      <c r="J302" s="42"/>
      <c r="K302" s="398"/>
      <c r="L302" s="398"/>
      <c r="M302" s="86"/>
    </row>
    <row r="303" spans="1:13" s="634" customFormat="1" ht="15.75" x14ac:dyDescent="0.25">
      <c r="A303" s="523">
        <v>291</v>
      </c>
      <c r="B303" s="523" t="s">
        <v>1055</v>
      </c>
      <c r="C303" s="607" t="s">
        <v>1057</v>
      </c>
      <c r="D303" s="563">
        <v>23400</v>
      </c>
      <c r="E303" s="573">
        <v>260</v>
      </c>
      <c r="F303" s="563">
        <v>23400</v>
      </c>
      <c r="G303" s="87">
        <f t="shared" si="4"/>
        <v>0</v>
      </c>
      <c r="H303" s="87"/>
      <c r="I303" s="509"/>
      <c r="J303" s="42"/>
      <c r="K303" s="398"/>
      <c r="L303" s="398"/>
      <c r="M303" s="86"/>
    </row>
    <row r="304" spans="1:13" s="634" customFormat="1" ht="15.75" x14ac:dyDescent="0.25">
      <c r="A304" s="523">
        <v>292</v>
      </c>
      <c r="B304" s="523" t="s">
        <v>1055</v>
      </c>
      <c r="C304" s="555">
        <v>4654</v>
      </c>
      <c r="D304" s="563">
        <v>23910</v>
      </c>
      <c r="E304" s="573">
        <v>266</v>
      </c>
      <c r="F304" s="563">
        <v>23910</v>
      </c>
      <c r="G304" s="87">
        <f t="shared" si="4"/>
        <v>0</v>
      </c>
      <c r="H304" s="87"/>
      <c r="I304" s="509"/>
      <c r="J304" s="42"/>
      <c r="K304" s="398"/>
      <c r="L304" s="398"/>
      <c r="M304" s="86"/>
    </row>
    <row r="305" spans="1:13" s="634" customFormat="1" ht="15.75" x14ac:dyDescent="0.25">
      <c r="A305" s="523">
        <v>293</v>
      </c>
      <c r="B305" s="523" t="s">
        <v>1055</v>
      </c>
      <c r="C305" s="555">
        <v>2329</v>
      </c>
      <c r="D305" s="563">
        <v>27000</v>
      </c>
      <c r="E305" s="573">
        <v>300</v>
      </c>
      <c r="F305" s="563">
        <v>27000</v>
      </c>
      <c r="G305" s="87">
        <f t="shared" si="4"/>
        <v>0</v>
      </c>
      <c r="H305" s="87"/>
      <c r="I305" s="509"/>
      <c r="J305" s="42"/>
      <c r="K305" s="398"/>
      <c r="L305" s="398"/>
      <c r="M305" s="86"/>
    </row>
    <row r="306" spans="1:13" s="634" customFormat="1" ht="15.75" x14ac:dyDescent="0.25">
      <c r="A306" s="523">
        <v>294</v>
      </c>
      <c r="B306" s="523" t="s">
        <v>1055</v>
      </c>
      <c r="C306" s="555">
        <v>4829</v>
      </c>
      <c r="D306" s="563">
        <v>28800</v>
      </c>
      <c r="E306" s="573">
        <v>320</v>
      </c>
      <c r="F306" s="563">
        <v>28800</v>
      </c>
      <c r="G306" s="87">
        <f t="shared" si="4"/>
        <v>0</v>
      </c>
      <c r="H306" s="87"/>
      <c r="I306" s="509"/>
      <c r="J306" s="42"/>
      <c r="K306" s="398"/>
      <c r="L306" s="398"/>
      <c r="M306" s="86"/>
    </row>
    <row r="307" spans="1:13" s="634" customFormat="1" ht="15.75" x14ac:dyDescent="0.25">
      <c r="A307" s="523">
        <v>295</v>
      </c>
      <c r="B307" s="523" t="s">
        <v>1055</v>
      </c>
      <c r="C307" s="555">
        <v>7715</v>
      </c>
      <c r="D307" s="563">
        <v>40000</v>
      </c>
      <c r="E307" s="573">
        <v>445</v>
      </c>
      <c r="F307" s="563">
        <v>40000</v>
      </c>
      <c r="G307" s="87">
        <f t="shared" si="4"/>
        <v>0</v>
      </c>
      <c r="H307" s="87"/>
      <c r="I307" s="509"/>
      <c r="J307" s="42"/>
      <c r="K307" s="398"/>
      <c r="L307" s="398"/>
      <c r="M307" s="86"/>
    </row>
    <row r="308" spans="1:13" s="634" customFormat="1" ht="15.75" x14ac:dyDescent="0.25">
      <c r="A308" s="523">
        <v>296</v>
      </c>
      <c r="B308" s="523" t="s">
        <v>1055</v>
      </c>
      <c r="C308" s="555">
        <v>9915</v>
      </c>
      <c r="D308" s="563">
        <v>10000</v>
      </c>
      <c r="E308" s="573">
        <v>111</v>
      </c>
      <c r="F308" s="563">
        <v>10000</v>
      </c>
      <c r="G308" s="87">
        <f t="shared" si="4"/>
        <v>0</v>
      </c>
      <c r="H308" s="87"/>
      <c r="I308" s="509"/>
      <c r="J308" s="42"/>
      <c r="K308" s="398"/>
      <c r="L308" s="398"/>
      <c r="M308" s="86"/>
    </row>
    <row r="309" spans="1:13" s="634" customFormat="1" ht="15.75" x14ac:dyDescent="0.25">
      <c r="A309" s="523">
        <v>297</v>
      </c>
      <c r="B309" s="523" t="s">
        <v>1055</v>
      </c>
      <c r="C309" s="555">
        <v>8363</v>
      </c>
      <c r="D309" s="563">
        <v>10000</v>
      </c>
      <c r="E309" s="573">
        <v>111</v>
      </c>
      <c r="F309" s="563">
        <v>10000</v>
      </c>
      <c r="G309" s="87">
        <f t="shared" si="4"/>
        <v>0</v>
      </c>
      <c r="H309" s="87"/>
      <c r="I309" s="509"/>
      <c r="J309" s="42"/>
      <c r="K309" s="398"/>
      <c r="L309" s="398"/>
      <c r="M309" s="86"/>
    </row>
    <row r="310" spans="1:13" s="634" customFormat="1" ht="15.75" x14ac:dyDescent="0.25">
      <c r="A310" s="523">
        <v>298</v>
      </c>
      <c r="B310" s="523" t="s">
        <v>1055</v>
      </c>
      <c r="C310" s="555">
        <v>9184</v>
      </c>
      <c r="D310" s="563">
        <v>30000</v>
      </c>
      <c r="E310" s="574">
        <v>334</v>
      </c>
      <c r="F310" s="563">
        <v>30000</v>
      </c>
      <c r="G310" s="87">
        <f t="shared" si="4"/>
        <v>0</v>
      </c>
      <c r="H310" s="87"/>
      <c r="I310" s="509"/>
      <c r="J310" s="42"/>
      <c r="K310" s="398"/>
      <c r="L310" s="398"/>
      <c r="M310" s="86"/>
    </row>
    <row r="311" spans="1:13" s="638" customFormat="1" ht="15.75" x14ac:dyDescent="0.25">
      <c r="A311" s="523">
        <v>299</v>
      </c>
      <c r="B311" s="523" t="s">
        <v>1053</v>
      </c>
      <c r="C311" s="555">
        <v>5353</v>
      </c>
      <c r="D311" s="563">
        <v>16800</v>
      </c>
      <c r="E311" s="573">
        <v>178</v>
      </c>
      <c r="F311" s="563">
        <v>16800</v>
      </c>
      <c r="G311" s="87">
        <f t="shared" si="4"/>
        <v>0</v>
      </c>
      <c r="H311" s="87"/>
      <c r="I311" s="636"/>
      <c r="J311" s="48"/>
      <c r="K311" s="398"/>
      <c r="L311" s="398"/>
      <c r="M311" s="86"/>
    </row>
    <row r="312" spans="1:13" s="635" customFormat="1" ht="15.75" x14ac:dyDescent="0.25">
      <c r="A312" s="523">
        <v>300</v>
      </c>
      <c r="B312" s="523" t="s">
        <v>1053</v>
      </c>
      <c r="C312" s="555">
        <v>3194</v>
      </c>
      <c r="D312" s="563">
        <v>17000</v>
      </c>
      <c r="E312" s="573">
        <v>189</v>
      </c>
      <c r="F312" s="563">
        <v>17000</v>
      </c>
      <c r="G312" s="87">
        <f t="shared" si="4"/>
        <v>0</v>
      </c>
      <c r="H312" s="87"/>
      <c r="I312" s="636"/>
      <c r="J312" s="398"/>
      <c r="K312" s="398"/>
      <c r="L312" s="398"/>
      <c r="M312" s="86"/>
    </row>
    <row r="313" spans="1:13" s="635" customFormat="1" ht="15.75" x14ac:dyDescent="0.25">
      <c r="A313" s="523">
        <v>301</v>
      </c>
      <c r="B313" s="523" t="s">
        <v>1053</v>
      </c>
      <c r="C313" s="607" t="s">
        <v>1036</v>
      </c>
      <c r="D313" s="563">
        <v>17000</v>
      </c>
      <c r="E313" s="573">
        <v>189</v>
      </c>
      <c r="F313" s="563">
        <v>17000</v>
      </c>
      <c r="G313" s="87">
        <f t="shared" si="4"/>
        <v>0</v>
      </c>
      <c r="H313" s="87"/>
      <c r="I313" s="509"/>
      <c r="J313" s="398"/>
      <c r="K313" s="398"/>
      <c r="L313" s="398"/>
      <c r="M313" s="86"/>
    </row>
    <row r="314" spans="1:13" s="635" customFormat="1" ht="15.75" x14ac:dyDescent="0.25">
      <c r="A314" s="523">
        <v>303</v>
      </c>
      <c r="B314" s="523" t="s">
        <v>1053</v>
      </c>
      <c r="C314" s="555">
        <v>4820</v>
      </c>
      <c r="D314" s="563">
        <v>16000</v>
      </c>
      <c r="E314" s="573">
        <v>170</v>
      </c>
      <c r="F314" s="563">
        <v>16000</v>
      </c>
      <c r="G314" s="87">
        <f t="shared" si="4"/>
        <v>0</v>
      </c>
      <c r="H314" s="87"/>
      <c r="I314" s="509"/>
      <c r="J314" s="398"/>
      <c r="K314" s="398"/>
      <c r="L314" s="398"/>
      <c r="M314" s="86"/>
    </row>
    <row r="315" spans="1:13" s="635" customFormat="1" ht="15.75" x14ac:dyDescent="0.25">
      <c r="A315" s="523">
        <v>304</v>
      </c>
      <c r="B315" s="523" t="s">
        <v>1053</v>
      </c>
      <c r="C315" s="607" t="s">
        <v>890</v>
      </c>
      <c r="D315" s="563">
        <v>14000</v>
      </c>
      <c r="E315" s="573">
        <v>155</v>
      </c>
      <c r="F315" s="563">
        <v>14000</v>
      </c>
      <c r="G315" s="87">
        <f t="shared" si="4"/>
        <v>0</v>
      </c>
      <c r="H315" s="87"/>
      <c r="I315" s="509"/>
      <c r="J315" s="398"/>
      <c r="K315" s="398"/>
      <c r="L315" s="398"/>
      <c r="M315" s="86"/>
    </row>
    <row r="316" spans="1:13" s="635" customFormat="1" ht="15.75" x14ac:dyDescent="0.25">
      <c r="A316" s="523">
        <v>305</v>
      </c>
      <c r="B316" s="523" t="s">
        <v>1053</v>
      </c>
      <c r="C316" s="555">
        <v>7820</v>
      </c>
      <c r="D316" s="563">
        <v>16000</v>
      </c>
      <c r="E316" s="573">
        <v>178</v>
      </c>
      <c r="F316" s="563">
        <v>16000</v>
      </c>
      <c r="G316" s="87">
        <f t="shared" si="4"/>
        <v>0</v>
      </c>
      <c r="H316" s="87"/>
      <c r="I316" s="509"/>
      <c r="J316" s="398"/>
      <c r="K316" s="398"/>
      <c r="L316" s="398"/>
      <c r="M316" s="86"/>
    </row>
    <row r="317" spans="1:13" s="635" customFormat="1" ht="15.75" x14ac:dyDescent="0.25">
      <c r="A317" s="523">
        <v>306</v>
      </c>
      <c r="B317" s="523" t="s">
        <v>1053</v>
      </c>
      <c r="C317" s="555">
        <v>7360</v>
      </c>
      <c r="D317" s="563">
        <v>15000</v>
      </c>
      <c r="E317" s="573">
        <v>167</v>
      </c>
      <c r="F317" s="563">
        <v>15000</v>
      </c>
      <c r="G317" s="87">
        <f t="shared" si="4"/>
        <v>0</v>
      </c>
      <c r="H317" s="87"/>
      <c r="I317" s="509"/>
      <c r="J317" s="398"/>
      <c r="K317" s="398"/>
      <c r="L317" s="398"/>
      <c r="M317" s="86"/>
    </row>
    <row r="318" spans="1:13" s="635" customFormat="1" ht="15.75" x14ac:dyDescent="0.25">
      <c r="A318" s="523">
        <v>307</v>
      </c>
      <c r="B318" s="523" t="s">
        <v>1053</v>
      </c>
      <c r="C318" s="555">
        <v>1720</v>
      </c>
      <c r="D318" s="563">
        <v>16000</v>
      </c>
      <c r="E318" s="573">
        <v>178</v>
      </c>
      <c r="F318" s="563">
        <v>16000</v>
      </c>
      <c r="G318" s="87">
        <f t="shared" si="4"/>
        <v>0</v>
      </c>
      <c r="H318" s="87"/>
      <c r="I318" s="509"/>
      <c r="J318" s="398"/>
      <c r="K318" s="398"/>
      <c r="L318" s="398"/>
      <c r="M318" s="86"/>
    </row>
    <row r="319" spans="1:13" s="635" customFormat="1" ht="15.75" x14ac:dyDescent="0.25">
      <c r="A319" s="523">
        <v>308</v>
      </c>
      <c r="B319" s="523" t="s">
        <v>1053</v>
      </c>
      <c r="C319" s="607" t="s">
        <v>935</v>
      </c>
      <c r="D319" s="563">
        <v>17000</v>
      </c>
      <c r="E319" s="573">
        <v>164</v>
      </c>
      <c r="F319" s="563">
        <v>17000</v>
      </c>
      <c r="G319" s="87">
        <f t="shared" si="4"/>
        <v>0</v>
      </c>
      <c r="H319" s="87"/>
      <c r="I319" s="509"/>
      <c r="J319" s="398"/>
      <c r="K319" s="398"/>
      <c r="L319" s="398"/>
      <c r="M319" s="86"/>
    </row>
    <row r="320" spans="1:13" s="635" customFormat="1" ht="15.75" x14ac:dyDescent="0.25">
      <c r="A320" s="523">
        <v>309</v>
      </c>
      <c r="B320" s="523" t="s">
        <v>1053</v>
      </c>
      <c r="C320" s="555">
        <v>1797</v>
      </c>
      <c r="D320" s="563">
        <v>15000</v>
      </c>
      <c r="E320" s="573">
        <v>154</v>
      </c>
      <c r="F320" s="563">
        <v>15000</v>
      </c>
      <c r="G320" s="87">
        <f t="shared" si="4"/>
        <v>0</v>
      </c>
      <c r="H320" s="87"/>
      <c r="I320" s="509"/>
      <c r="J320" s="398"/>
      <c r="K320" s="398"/>
      <c r="L320" s="398"/>
      <c r="M320" s="86"/>
    </row>
    <row r="321" spans="1:13" s="635" customFormat="1" ht="15.75" x14ac:dyDescent="0.25">
      <c r="A321" s="523">
        <v>310</v>
      </c>
      <c r="B321" s="523" t="s">
        <v>1053</v>
      </c>
      <c r="C321" s="555">
        <v>6133</v>
      </c>
      <c r="D321" s="563">
        <v>17000</v>
      </c>
      <c r="E321" s="573">
        <v>181</v>
      </c>
      <c r="F321" s="563">
        <v>17000</v>
      </c>
      <c r="G321" s="87">
        <f t="shared" si="4"/>
        <v>0</v>
      </c>
      <c r="H321" s="87"/>
      <c r="I321" s="509"/>
      <c r="J321" s="398"/>
      <c r="K321" s="398"/>
      <c r="L321" s="398"/>
      <c r="M321" s="86"/>
    </row>
    <row r="322" spans="1:13" s="635" customFormat="1" ht="15.75" x14ac:dyDescent="0.25">
      <c r="A322" s="523">
        <v>311</v>
      </c>
      <c r="B322" s="523" t="s">
        <v>1053</v>
      </c>
      <c r="C322" s="555">
        <v>5152</v>
      </c>
      <c r="D322" s="563">
        <v>15000</v>
      </c>
      <c r="E322" s="573">
        <v>159</v>
      </c>
      <c r="F322" s="563">
        <v>15000</v>
      </c>
      <c r="G322" s="87">
        <f t="shared" si="4"/>
        <v>0</v>
      </c>
      <c r="H322" s="87"/>
      <c r="I322" s="509"/>
      <c r="J322" s="398"/>
      <c r="K322" s="398"/>
      <c r="L322" s="398"/>
      <c r="M322" s="86"/>
    </row>
    <row r="323" spans="1:13" s="635" customFormat="1" ht="15.75" x14ac:dyDescent="0.25">
      <c r="A323" s="523">
        <v>312</v>
      </c>
      <c r="B323" s="523" t="s">
        <v>1053</v>
      </c>
      <c r="C323" s="607" t="s">
        <v>946</v>
      </c>
      <c r="D323" s="563">
        <v>5000</v>
      </c>
      <c r="E323" s="573">
        <v>53</v>
      </c>
      <c r="F323" s="563">
        <v>5000</v>
      </c>
      <c r="G323" s="87">
        <f t="shared" si="4"/>
        <v>0</v>
      </c>
      <c r="H323" s="87"/>
      <c r="I323" s="509"/>
      <c r="J323" s="398"/>
      <c r="K323" s="398"/>
      <c r="L323" s="398"/>
      <c r="M323" s="86"/>
    </row>
    <row r="324" spans="1:13" s="635" customFormat="1" ht="15.75" x14ac:dyDescent="0.25">
      <c r="A324" s="523">
        <v>313</v>
      </c>
      <c r="B324" s="523" t="s">
        <v>1053</v>
      </c>
      <c r="C324" s="555">
        <v>1139</v>
      </c>
      <c r="D324" s="563">
        <v>20000</v>
      </c>
      <c r="E324" s="573">
        <v>222</v>
      </c>
      <c r="F324" s="563">
        <v>20000</v>
      </c>
      <c r="G324" s="87">
        <f t="shared" si="4"/>
        <v>0</v>
      </c>
      <c r="H324" s="87"/>
      <c r="I324" s="509"/>
      <c r="J324" s="398"/>
      <c r="K324" s="398"/>
      <c r="L324" s="398"/>
      <c r="M324" s="86"/>
    </row>
    <row r="325" spans="1:13" s="635" customFormat="1" ht="15.75" x14ac:dyDescent="0.25">
      <c r="A325" s="523">
        <v>314</v>
      </c>
      <c r="B325" s="523" t="s">
        <v>1053</v>
      </c>
      <c r="C325" s="555">
        <v>8291</v>
      </c>
      <c r="D325" s="563">
        <v>22000</v>
      </c>
      <c r="E325" s="573">
        <v>245</v>
      </c>
      <c r="F325" s="563">
        <v>22000</v>
      </c>
      <c r="G325" s="87">
        <f t="shared" ref="G325:G388" si="5">D325-F325</f>
        <v>0</v>
      </c>
      <c r="H325" s="87"/>
      <c r="I325" s="509"/>
      <c r="J325" s="398"/>
      <c r="K325" s="398"/>
      <c r="L325" s="398"/>
      <c r="M325" s="86"/>
    </row>
    <row r="326" spans="1:13" s="635" customFormat="1" ht="15.75" x14ac:dyDescent="0.25">
      <c r="A326" s="523">
        <v>315</v>
      </c>
      <c r="B326" s="523" t="s">
        <v>1053</v>
      </c>
      <c r="C326" s="555">
        <v>2569</v>
      </c>
      <c r="D326" s="563">
        <v>10000</v>
      </c>
      <c r="E326" s="573">
        <v>111</v>
      </c>
      <c r="F326" s="563">
        <v>10000</v>
      </c>
      <c r="G326" s="87">
        <f t="shared" si="5"/>
        <v>0</v>
      </c>
      <c r="H326" s="87"/>
      <c r="I326" s="509"/>
      <c r="J326" s="398"/>
      <c r="K326" s="398"/>
      <c r="L326" s="398"/>
      <c r="M326" s="86"/>
    </row>
    <row r="327" spans="1:13" s="635" customFormat="1" ht="15.75" x14ac:dyDescent="0.25">
      <c r="A327" s="523">
        <v>316</v>
      </c>
      <c r="B327" s="523" t="s">
        <v>1053</v>
      </c>
      <c r="C327" s="555" t="s">
        <v>819</v>
      </c>
      <c r="D327" s="563">
        <v>3500</v>
      </c>
      <c r="E327" s="573">
        <v>38</v>
      </c>
      <c r="F327" s="563">
        <v>3500</v>
      </c>
      <c r="G327" s="87">
        <f t="shared" si="5"/>
        <v>0</v>
      </c>
      <c r="H327" s="87"/>
      <c r="I327" s="509"/>
      <c r="J327" s="398"/>
      <c r="K327" s="398"/>
      <c r="L327" s="398"/>
      <c r="M327" s="86"/>
    </row>
    <row r="328" spans="1:13" s="635" customFormat="1" ht="15.75" x14ac:dyDescent="0.25">
      <c r="A328" s="523">
        <v>317</v>
      </c>
      <c r="B328" s="523" t="s">
        <v>1053</v>
      </c>
      <c r="C328" s="555" t="s">
        <v>30</v>
      </c>
      <c r="D328" s="563">
        <v>4500</v>
      </c>
      <c r="E328" s="573">
        <v>50</v>
      </c>
      <c r="F328" s="563">
        <v>4500</v>
      </c>
      <c r="G328" s="87">
        <f t="shared" si="5"/>
        <v>0</v>
      </c>
      <c r="H328" s="87"/>
      <c r="I328" s="509"/>
      <c r="J328" s="398"/>
      <c r="K328" s="398"/>
      <c r="L328" s="398"/>
      <c r="M328" s="86"/>
    </row>
    <row r="329" spans="1:13" s="635" customFormat="1" ht="15.75" x14ac:dyDescent="0.25">
      <c r="A329" s="523">
        <v>318</v>
      </c>
      <c r="B329" s="523" t="s">
        <v>1053</v>
      </c>
      <c r="C329" s="555" t="s">
        <v>30</v>
      </c>
      <c r="D329" s="563">
        <v>1800</v>
      </c>
      <c r="E329" s="573">
        <v>20</v>
      </c>
      <c r="F329" s="563">
        <v>1800</v>
      </c>
      <c r="G329" s="87">
        <f t="shared" si="5"/>
        <v>0</v>
      </c>
      <c r="H329" s="87"/>
      <c r="I329" s="509"/>
      <c r="J329" s="398"/>
      <c r="K329" s="398"/>
      <c r="L329" s="398"/>
      <c r="M329" s="86"/>
    </row>
    <row r="330" spans="1:13" s="635" customFormat="1" ht="15.75" x14ac:dyDescent="0.25">
      <c r="A330" s="523">
        <v>319</v>
      </c>
      <c r="B330" s="523" t="s">
        <v>1053</v>
      </c>
      <c r="C330" s="555">
        <v>3878</v>
      </c>
      <c r="D330" s="563">
        <v>10000</v>
      </c>
      <c r="E330" s="573">
        <v>111</v>
      </c>
      <c r="F330" s="563">
        <v>10000</v>
      </c>
      <c r="G330" s="87">
        <f t="shared" si="5"/>
        <v>0</v>
      </c>
      <c r="H330" s="87"/>
      <c r="I330" s="509"/>
      <c r="J330" s="398"/>
      <c r="K330" s="398"/>
      <c r="L330" s="398"/>
      <c r="M330" s="86"/>
    </row>
    <row r="331" spans="1:13" s="635" customFormat="1" ht="15.75" x14ac:dyDescent="0.25">
      <c r="A331" s="523">
        <v>320</v>
      </c>
      <c r="B331" s="523" t="s">
        <v>1053</v>
      </c>
      <c r="C331" s="555">
        <v>7497</v>
      </c>
      <c r="D331" s="563">
        <v>20000</v>
      </c>
      <c r="E331" s="573">
        <v>222</v>
      </c>
      <c r="F331" s="563">
        <v>20000</v>
      </c>
      <c r="G331" s="87">
        <f t="shared" si="5"/>
        <v>0</v>
      </c>
      <c r="H331" s="87"/>
      <c r="I331" s="509"/>
      <c r="J331" s="398"/>
      <c r="K331" s="398"/>
      <c r="L331" s="398"/>
      <c r="M331" s="86"/>
    </row>
    <row r="332" spans="1:13" s="635" customFormat="1" ht="15.75" x14ac:dyDescent="0.25">
      <c r="A332" s="523">
        <v>321</v>
      </c>
      <c r="B332" s="523" t="s">
        <v>1053</v>
      </c>
      <c r="C332" s="555">
        <v>3988</v>
      </c>
      <c r="D332" s="563">
        <v>24000</v>
      </c>
      <c r="E332" s="573">
        <v>261</v>
      </c>
      <c r="F332" s="563">
        <v>24000</v>
      </c>
      <c r="G332" s="87">
        <f t="shared" si="5"/>
        <v>0</v>
      </c>
      <c r="H332" s="87"/>
      <c r="I332" s="509"/>
      <c r="J332" s="398"/>
      <c r="K332" s="398"/>
      <c r="L332" s="398"/>
      <c r="M332" s="86"/>
    </row>
    <row r="333" spans="1:13" s="635" customFormat="1" ht="15.75" x14ac:dyDescent="0.25">
      <c r="A333" s="523">
        <v>322</v>
      </c>
      <c r="B333" s="523" t="s">
        <v>1053</v>
      </c>
      <c r="C333" s="555">
        <v>3377</v>
      </c>
      <c r="D333" s="563">
        <v>20000</v>
      </c>
      <c r="E333" s="573">
        <v>222</v>
      </c>
      <c r="F333" s="563">
        <v>20000</v>
      </c>
      <c r="G333" s="87">
        <f t="shared" si="5"/>
        <v>0</v>
      </c>
      <c r="H333" s="87"/>
      <c r="I333" s="509"/>
      <c r="J333" s="398"/>
      <c r="K333" s="398"/>
      <c r="L333" s="398"/>
      <c r="M333" s="86"/>
    </row>
    <row r="334" spans="1:13" s="635" customFormat="1" ht="15.75" x14ac:dyDescent="0.25">
      <c r="A334" s="523">
        <v>323</v>
      </c>
      <c r="B334" s="523" t="s">
        <v>1053</v>
      </c>
      <c r="C334" s="555">
        <v>3521</v>
      </c>
      <c r="D334" s="563">
        <v>15000</v>
      </c>
      <c r="E334" s="573">
        <v>167</v>
      </c>
      <c r="F334" s="563">
        <v>15000</v>
      </c>
      <c r="G334" s="87">
        <f t="shared" si="5"/>
        <v>0</v>
      </c>
      <c r="H334" s="87"/>
      <c r="I334" s="509"/>
      <c r="J334" s="398"/>
      <c r="K334" s="398"/>
      <c r="L334" s="398"/>
      <c r="M334" s="86"/>
    </row>
    <row r="335" spans="1:13" s="635" customFormat="1" ht="15.75" x14ac:dyDescent="0.25">
      <c r="A335" s="523">
        <v>324</v>
      </c>
      <c r="B335" s="523" t="s">
        <v>1053</v>
      </c>
      <c r="C335" s="555">
        <v>3953</v>
      </c>
      <c r="D335" s="563">
        <v>10000</v>
      </c>
      <c r="E335" s="573">
        <v>111</v>
      </c>
      <c r="F335" s="563">
        <v>10000</v>
      </c>
      <c r="G335" s="87">
        <f t="shared" si="5"/>
        <v>0</v>
      </c>
      <c r="H335" s="87"/>
      <c r="I335" s="509"/>
      <c r="J335" s="398"/>
      <c r="K335" s="398"/>
      <c r="L335" s="398"/>
      <c r="M335" s="86"/>
    </row>
    <row r="336" spans="1:13" s="635" customFormat="1" ht="15.75" x14ac:dyDescent="0.25">
      <c r="A336" s="523">
        <v>325</v>
      </c>
      <c r="B336" s="523" t="s">
        <v>1053</v>
      </c>
      <c r="C336" s="555">
        <v>8319</v>
      </c>
      <c r="D336" s="563">
        <v>10000</v>
      </c>
      <c r="E336" s="573">
        <v>111</v>
      </c>
      <c r="F336" s="563">
        <v>10000</v>
      </c>
      <c r="G336" s="87">
        <f t="shared" si="5"/>
        <v>0</v>
      </c>
      <c r="H336" s="87"/>
      <c r="I336" s="509"/>
      <c r="J336" s="398"/>
      <c r="K336" s="398"/>
      <c r="L336" s="398"/>
      <c r="M336" s="86"/>
    </row>
    <row r="337" spans="1:13" s="635" customFormat="1" ht="15.75" x14ac:dyDescent="0.25">
      <c r="A337" s="523">
        <v>326</v>
      </c>
      <c r="B337" s="523" t="s">
        <v>1053</v>
      </c>
      <c r="C337" s="555">
        <v>9894</v>
      </c>
      <c r="D337" s="563">
        <v>25000</v>
      </c>
      <c r="E337" s="573">
        <v>278</v>
      </c>
      <c r="F337" s="563">
        <v>25000</v>
      </c>
      <c r="G337" s="87">
        <f t="shared" si="5"/>
        <v>0</v>
      </c>
      <c r="H337" s="87"/>
      <c r="I337" s="509"/>
      <c r="J337" s="398"/>
      <c r="K337" s="398"/>
      <c r="L337" s="398"/>
      <c r="M337" s="86"/>
    </row>
    <row r="338" spans="1:13" s="635" customFormat="1" ht="15.75" x14ac:dyDescent="0.25">
      <c r="A338" s="523">
        <v>327</v>
      </c>
      <c r="B338" s="523" t="s">
        <v>1053</v>
      </c>
      <c r="C338" s="555">
        <v>7117</v>
      </c>
      <c r="D338" s="563">
        <v>30000</v>
      </c>
      <c r="E338" s="573">
        <v>334</v>
      </c>
      <c r="F338" s="563">
        <v>30000</v>
      </c>
      <c r="G338" s="87">
        <f t="shared" si="5"/>
        <v>0</v>
      </c>
      <c r="H338" s="87"/>
      <c r="I338" s="509"/>
      <c r="J338" s="398"/>
      <c r="K338" s="398"/>
      <c r="L338" s="398"/>
      <c r="M338" s="86"/>
    </row>
    <row r="339" spans="1:13" s="635" customFormat="1" ht="15.75" x14ac:dyDescent="0.25">
      <c r="A339" s="523">
        <v>328</v>
      </c>
      <c r="B339" s="523" t="s">
        <v>1053</v>
      </c>
      <c r="C339" s="555">
        <v>1356</v>
      </c>
      <c r="D339" s="563">
        <v>25000</v>
      </c>
      <c r="E339" s="573">
        <v>278</v>
      </c>
      <c r="F339" s="563">
        <v>25000</v>
      </c>
      <c r="G339" s="87">
        <f t="shared" si="5"/>
        <v>0</v>
      </c>
      <c r="H339" s="87"/>
      <c r="I339" s="509"/>
      <c r="J339" s="398"/>
      <c r="K339" s="398"/>
      <c r="L339" s="398"/>
      <c r="M339" s="86"/>
    </row>
    <row r="340" spans="1:13" s="635" customFormat="1" ht="15.75" x14ac:dyDescent="0.25">
      <c r="A340" s="523">
        <v>329</v>
      </c>
      <c r="B340" s="523" t="s">
        <v>1053</v>
      </c>
      <c r="C340" s="555">
        <v>1306</v>
      </c>
      <c r="D340" s="563">
        <v>21000</v>
      </c>
      <c r="E340" s="573">
        <v>233</v>
      </c>
      <c r="F340" s="563">
        <v>21000</v>
      </c>
      <c r="G340" s="87">
        <f t="shared" si="5"/>
        <v>0</v>
      </c>
      <c r="H340" s="87"/>
      <c r="I340" s="509"/>
      <c r="J340" s="398"/>
      <c r="K340" s="398"/>
      <c r="L340" s="398"/>
      <c r="M340" s="86"/>
    </row>
    <row r="341" spans="1:13" s="635" customFormat="1" ht="15.75" x14ac:dyDescent="0.25">
      <c r="A341" s="523">
        <v>330</v>
      </c>
      <c r="B341" s="523" t="s">
        <v>1053</v>
      </c>
      <c r="C341" s="607" t="s">
        <v>1060</v>
      </c>
      <c r="D341" s="563">
        <v>17000</v>
      </c>
      <c r="E341" s="573">
        <v>189</v>
      </c>
      <c r="F341" s="563">
        <v>17000</v>
      </c>
      <c r="G341" s="87">
        <f t="shared" si="5"/>
        <v>0</v>
      </c>
      <c r="H341" s="87"/>
      <c r="I341" s="509"/>
      <c r="J341" s="398"/>
      <c r="K341" s="398"/>
      <c r="L341" s="398"/>
      <c r="M341" s="86"/>
    </row>
    <row r="342" spans="1:13" s="638" customFormat="1" ht="15.75" x14ac:dyDescent="0.25">
      <c r="A342" s="523">
        <v>331</v>
      </c>
      <c r="B342" s="523" t="s">
        <v>1053</v>
      </c>
      <c r="C342" s="555">
        <v>5271</v>
      </c>
      <c r="D342" s="563">
        <v>22000</v>
      </c>
      <c r="E342" s="573">
        <v>224</v>
      </c>
      <c r="F342" s="563">
        <v>22000</v>
      </c>
      <c r="G342" s="87">
        <f t="shared" si="5"/>
        <v>0</v>
      </c>
      <c r="H342" s="87"/>
      <c r="I342" s="509"/>
      <c r="J342" s="398"/>
      <c r="K342" s="398"/>
      <c r="L342" s="398"/>
      <c r="M342" s="86"/>
    </row>
    <row r="343" spans="1:13" s="638" customFormat="1" ht="15.75" x14ac:dyDescent="0.25">
      <c r="A343" s="523">
        <v>332</v>
      </c>
      <c r="B343" s="523" t="s">
        <v>1053</v>
      </c>
      <c r="C343" s="555">
        <v>2618</v>
      </c>
      <c r="D343" s="563">
        <v>15000</v>
      </c>
      <c r="E343" s="573">
        <v>167</v>
      </c>
      <c r="F343" s="563">
        <v>15000</v>
      </c>
      <c r="G343" s="87">
        <f t="shared" si="5"/>
        <v>0</v>
      </c>
      <c r="H343" s="87"/>
      <c r="I343" s="509"/>
      <c r="J343" s="398"/>
      <c r="K343" s="398"/>
      <c r="L343" s="398"/>
      <c r="M343" s="86"/>
    </row>
    <row r="344" spans="1:13" s="638" customFormat="1" ht="15.75" x14ac:dyDescent="0.25">
      <c r="A344" s="523">
        <v>333</v>
      </c>
      <c r="B344" s="523" t="s">
        <v>1053</v>
      </c>
      <c r="C344" s="555">
        <v>9692</v>
      </c>
      <c r="D344" s="563">
        <v>18000</v>
      </c>
      <c r="E344" s="573">
        <v>200</v>
      </c>
      <c r="F344" s="563">
        <v>18000</v>
      </c>
      <c r="G344" s="87">
        <f t="shared" si="5"/>
        <v>0</v>
      </c>
      <c r="H344" s="87"/>
      <c r="I344" s="509"/>
      <c r="J344" s="398"/>
      <c r="K344" s="398"/>
      <c r="L344" s="398"/>
      <c r="M344" s="86"/>
    </row>
    <row r="345" spans="1:13" s="638" customFormat="1" ht="15.75" x14ac:dyDescent="0.25">
      <c r="A345" s="523">
        <v>334</v>
      </c>
      <c r="B345" s="523" t="s">
        <v>1053</v>
      </c>
      <c r="C345" s="607" t="s">
        <v>1061</v>
      </c>
      <c r="D345" s="563">
        <v>17000</v>
      </c>
      <c r="E345" s="573">
        <v>189</v>
      </c>
      <c r="F345" s="563">
        <v>17000</v>
      </c>
      <c r="G345" s="87">
        <f t="shared" si="5"/>
        <v>0</v>
      </c>
      <c r="H345" s="87"/>
      <c r="I345" s="509"/>
      <c r="J345" s="398"/>
      <c r="K345" s="398"/>
      <c r="L345" s="398"/>
      <c r="M345" s="86"/>
    </row>
    <row r="346" spans="1:13" s="638" customFormat="1" ht="15.75" x14ac:dyDescent="0.25">
      <c r="A346" s="523">
        <v>335</v>
      </c>
      <c r="B346" s="523" t="s">
        <v>1053</v>
      </c>
      <c r="C346" s="555">
        <v>1085</v>
      </c>
      <c r="D346" s="563">
        <v>30000</v>
      </c>
      <c r="E346" s="573">
        <v>334</v>
      </c>
      <c r="F346" s="563">
        <v>30000</v>
      </c>
      <c r="G346" s="87">
        <f t="shared" si="5"/>
        <v>0</v>
      </c>
      <c r="H346" s="87"/>
      <c r="I346" s="509"/>
      <c r="J346" s="398"/>
      <c r="K346" s="398"/>
      <c r="L346" s="398"/>
      <c r="M346" s="86"/>
    </row>
    <row r="347" spans="1:13" s="638" customFormat="1" ht="15.75" x14ac:dyDescent="0.25">
      <c r="A347" s="523">
        <v>336</v>
      </c>
      <c r="B347" s="523" t="s">
        <v>1053</v>
      </c>
      <c r="C347" s="555">
        <v>6456</v>
      </c>
      <c r="D347" s="563">
        <v>18000</v>
      </c>
      <c r="E347" s="573">
        <v>200</v>
      </c>
      <c r="F347" s="563">
        <v>18000</v>
      </c>
      <c r="G347" s="87">
        <f t="shared" si="5"/>
        <v>0</v>
      </c>
      <c r="H347" s="87"/>
      <c r="I347" s="509"/>
      <c r="J347" s="398"/>
      <c r="K347" s="398"/>
      <c r="L347" s="398"/>
      <c r="M347" s="86"/>
    </row>
    <row r="348" spans="1:13" s="638" customFormat="1" ht="15.75" x14ac:dyDescent="0.25">
      <c r="A348" s="523">
        <v>337</v>
      </c>
      <c r="B348" s="523" t="s">
        <v>1053</v>
      </c>
      <c r="C348" s="555">
        <v>5259</v>
      </c>
      <c r="D348" s="563">
        <v>18000</v>
      </c>
      <c r="E348" s="573">
        <v>200</v>
      </c>
      <c r="F348" s="563">
        <v>18000</v>
      </c>
      <c r="G348" s="87">
        <f t="shared" si="5"/>
        <v>0</v>
      </c>
      <c r="H348" s="87"/>
      <c r="I348" s="509"/>
      <c r="J348" s="398"/>
      <c r="K348" s="398"/>
      <c r="L348" s="398"/>
      <c r="M348" s="86"/>
    </row>
    <row r="349" spans="1:13" s="638" customFormat="1" ht="15.75" x14ac:dyDescent="0.25">
      <c r="A349" s="523">
        <v>338</v>
      </c>
      <c r="B349" s="523" t="s">
        <v>1053</v>
      </c>
      <c r="C349" s="555">
        <v>3295</v>
      </c>
      <c r="D349" s="563">
        <v>15000</v>
      </c>
      <c r="E349" s="573">
        <v>167</v>
      </c>
      <c r="F349" s="563">
        <v>15000</v>
      </c>
      <c r="G349" s="87">
        <f t="shared" si="5"/>
        <v>0</v>
      </c>
      <c r="H349" s="87"/>
      <c r="I349" s="509"/>
      <c r="J349" s="398"/>
      <c r="K349" s="398"/>
      <c r="L349" s="398"/>
      <c r="M349" s="86"/>
    </row>
    <row r="350" spans="1:13" s="638" customFormat="1" ht="15.75" x14ac:dyDescent="0.25">
      <c r="A350" s="523">
        <v>339</v>
      </c>
      <c r="B350" s="523" t="s">
        <v>1053</v>
      </c>
      <c r="C350" s="555">
        <v>3869</v>
      </c>
      <c r="D350" s="563">
        <v>15000</v>
      </c>
      <c r="E350" s="573">
        <v>167</v>
      </c>
      <c r="F350" s="563">
        <v>15000</v>
      </c>
      <c r="G350" s="87">
        <f t="shared" si="5"/>
        <v>0</v>
      </c>
      <c r="H350" s="87"/>
      <c r="I350" s="509"/>
      <c r="J350" s="398"/>
      <c r="K350" s="398"/>
      <c r="L350" s="398"/>
      <c r="M350" s="86"/>
    </row>
    <row r="351" spans="1:13" s="638" customFormat="1" ht="15.75" x14ac:dyDescent="0.25">
      <c r="A351" s="523">
        <v>340</v>
      </c>
      <c r="B351" s="523" t="s">
        <v>1053</v>
      </c>
      <c r="C351" s="555" t="s">
        <v>30</v>
      </c>
      <c r="D351" s="563">
        <v>5000</v>
      </c>
      <c r="E351" s="573">
        <v>55</v>
      </c>
      <c r="F351" s="563">
        <v>5000</v>
      </c>
      <c r="G351" s="87">
        <f t="shared" si="5"/>
        <v>0</v>
      </c>
      <c r="H351" s="87"/>
      <c r="I351" s="509"/>
      <c r="J351" s="398"/>
      <c r="K351" s="398"/>
      <c r="L351" s="398"/>
      <c r="M351" s="86"/>
    </row>
    <row r="352" spans="1:13" s="638" customFormat="1" ht="15.75" x14ac:dyDescent="0.25">
      <c r="A352" s="523">
        <v>341</v>
      </c>
      <c r="B352" s="523" t="s">
        <v>1058</v>
      </c>
      <c r="C352" s="607" t="s">
        <v>1048</v>
      </c>
      <c r="D352" s="563">
        <v>12000</v>
      </c>
      <c r="E352" s="573">
        <v>133</v>
      </c>
      <c r="F352" s="563">
        <v>12000</v>
      </c>
      <c r="G352" s="87">
        <f t="shared" si="5"/>
        <v>0</v>
      </c>
      <c r="H352" s="87"/>
      <c r="I352" s="509"/>
      <c r="J352" s="398"/>
      <c r="K352" s="398"/>
      <c r="L352" s="398"/>
      <c r="M352" s="86"/>
    </row>
    <row r="353" spans="1:13" s="641" customFormat="1" ht="15.75" x14ac:dyDescent="0.25">
      <c r="A353" s="523">
        <v>342</v>
      </c>
      <c r="B353" s="523" t="s">
        <v>1058</v>
      </c>
      <c r="C353" s="555">
        <v>8502</v>
      </c>
      <c r="D353" s="563">
        <v>35000</v>
      </c>
      <c r="E353" s="573">
        <v>373</v>
      </c>
      <c r="F353" s="563">
        <v>35000</v>
      </c>
      <c r="G353" s="87">
        <f t="shared" si="5"/>
        <v>0</v>
      </c>
      <c r="H353" s="87"/>
      <c r="I353" s="509"/>
      <c r="J353" s="398"/>
      <c r="K353" s="398"/>
      <c r="L353" s="398"/>
      <c r="M353" s="86"/>
    </row>
    <row r="354" spans="1:13" s="638" customFormat="1" ht="15.75" x14ac:dyDescent="0.25">
      <c r="A354" s="523">
        <v>343</v>
      </c>
      <c r="B354" s="523" t="s">
        <v>1058</v>
      </c>
      <c r="C354" s="555">
        <v>4162</v>
      </c>
      <c r="D354" s="563">
        <v>32000</v>
      </c>
      <c r="E354" s="573">
        <v>352</v>
      </c>
      <c r="F354" s="563">
        <v>32000</v>
      </c>
      <c r="G354" s="87">
        <f t="shared" si="5"/>
        <v>0</v>
      </c>
      <c r="H354" s="87"/>
      <c r="I354" s="509"/>
      <c r="J354" s="398"/>
      <c r="K354" s="398"/>
      <c r="L354" s="398"/>
      <c r="M354" s="86"/>
    </row>
    <row r="355" spans="1:13" s="641" customFormat="1" ht="15.75" x14ac:dyDescent="0.25">
      <c r="A355" s="523">
        <v>344</v>
      </c>
      <c r="B355" s="523" t="s">
        <v>1058</v>
      </c>
      <c r="C355" s="555">
        <v>7258</v>
      </c>
      <c r="D355" s="563">
        <v>27000</v>
      </c>
      <c r="E355" s="573">
        <v>300</v>
      </c>
      <c r="F355" s="563">
        <v>27000</v>
      </c>
      <c r="G355" s="87">
        <f t="shared" si="5"/>
        <v>0</v>
      </c>
      <c r="H355" s="87"/>
      <c r="I355" s="509"/>
      <c r="J355" s="398"/>
      <c r="K355" s="398"/>
      <c r="L355" s="398"/>
      <c r="M355" s="86"/>
    </row>
    <row r="356" spans="1:13" s="638" customFormat="1" ht="15.75" x14ac:dyDescent="0.25">
      <c r="A356" s="523">
        <v>345</v>
      </c>
      <c r="B356" s="523" t="s">
        <v>1058</v>
      </c>
      <c r="C356" s="555">
        <v>7085</v>
      </c>
      <c r="D356" s="563">
        <v>15000</v>
      </c>
      <c r="E356" s="573">
        <v>167</v>
      </c>
      <c r="F356" s="563">
        <v>15000</v>
      </c>
      <c r="G356" s="87">
        <f t="shared" si="5"/>
        <v>0</v>
      </c>
      <c r="H356" s="87"/>
      <c r="I356" s="509"/>
      <c r="J356" s="398"/>
      <c r="K356" s="398"/>
      <c r="L356" s="398"/>
      <c r="M356" s="86"/>
    </row>
    <row r="357" spans="1:13" s="638" customFormat="1" ht="15.75" x14ac:dyDescent="0.25">
      <c r="A357" s="523">
        <v>346</v>
      </c>
      <c r="B357" s="523" t="s">
        <v>1058</v>
      </c>
      <c r="C357" s="555">
        <v>9556</v>
      </c>
      <c r="D357" s="563">
        <v>24000</v>
      </c>
      <c r="E357" s="573">
        <v>267</v>
      </c>
      <c r="F357" s="563">
        <v>24000</v>
      </c>
      <c r="G357" s="87">
        <f t="shared" si="5"/>
        <v>0</v>
      </c>
      <c r="H357" s="87"/>
      <c r="I357" s="509"/>
      <c r="J357" s="398"/>
      <c r="K357" s="398"/>
      <c r="L357" s="398"/>
      <c r="M357" s="86"/>
    </row>
    <row r="358" spans="1:13" s="638" customFormat="1" ht="15.75" x14ac:dyDescent="0.25">
      <c r="A358" s="523">
        <v>347</v>
      </c>
      <c r="B358" s="523" t="s">
        <v>1058</v>
      </c>
      <c r="C358" s="607" t="s">
        <v>1062</v>
      </c>
      <c r="D358" s="563">
        <v>5000</v>
      </c>
      <c r="E358" s="573">
        <v>55</v>
      </c>
      <c r="F358" s="563">
        <v>5000</v>
      </c>
      <c r="G358" s="87">
        <f t="shared" si="5"/>
        <v>0</v>
      </c>
      <c r="H358" s="87"/>
      <c r="I358" s="509"/>
      <c r="J358" s="398"/>
      <c r="K358" s="398"/>
      <c r="L358" s="398"/>
      <c r="M358" s="86"/>
    </row>
    <row r="359" spans="1:13" s="641" customFormat="1" ht="15.75" x14ac:dyDescent="0.25">
      <c r="A359" s="523">
        <v>348</v>
      </c>
      <c r="B359" s="523" t="s">
        <v>1058</v>
      </c>
      <c r="C359" s="607" t="s">
        <v>1063</v>
      </c>
      <c r="D359" s="563">
        <v>32000</v>
      </c>
      <c r="E359" s="573">
        <v>352</v>
      </c>
      <c r="F359" s="563">
        <v>32000</v>
      </c>
      <c r="G359" s="87">
        <f t="shared" si="5"/>
        <v>0</v>
      </c>
      <c r="H359" s="87"/>
      <c r="I359" s="509"/>
      <c r="J359" s="398"/>
      <c r="K359" s="398"/>
      <c r="L359" s="398"/>
      <c r="M359" s="86"/>
    </row>
    <row r="360" spans="1:13" s="638" customFormat="1" ht="15.75" x14ac:dyDescent="0.25">
      <c r="A360" s="523">
        <v>349</v>
      </c>
      <c r="B360" s="523" t="s">
        <v>1058</v>
      </c>
      <c r="C360" s="555">
        <v>1192</v>
      </c>
      <c r="D360" s="563">
        <v>20000</v>
      </c>
      <c r="E360" s="573">
        <v>222</v>
      </c>
      <c r="F360" s="563">
        <v>20000</v>
      </c>
      <c r="G360" s="87">
        <f t="shared" si="5"/>
        <v>0</v>
      </c>
      <c r="H360" s="87"/>
      <c r="I360" s="509"/>
      <c r="J360" s="398"/>
      <c r="K360" s="398"/>
      <c r="L360" s="398"/>
      <c r="M360" s="86"/>
    </row>
    <row r="361" spans="1:13" s="638" customFormat="1" ht="15.75" x14ac:dyDescent="0.25">
      <c r="A361" s="523">
        <v>350</v>
      </c>
      <c r="B361" s="523" t="s">
        <v>1058</v>
      </c>
      <c r="C361" s="555">
        <v>9934</v>
      </c>
      <c r="D361" s="563">
        <v>10000</v>
      </c>
      <c r="E361" s="573">
        <v>111</v>
      </c>
      <c r="F361" s="563">
        <v>10000</v>
      </c>
      <c r="G361" s="87">
        <f t="shared" si="5"/>
        <v>0</v>
      </c>
      <c r="H361" s="87"/>
      <c r="I361" s="509"/>
      <c r="J361" s="398"/>
      <c r="K361" s="398"/>
      <c r="L361" s="398"/>
      <c r="M361" s="86"/>
    </row>
    <row r="362" spans="1:13" s="638" customFormat="1" ht="15.75" x14ac:dyDescent="0.25">
      <c r="A362" s="523">
        <v>351</v>
      </c>
      <c r="B362" s="523" t="s">
        <v>1058</v>
      </c>
      <c r="C362" s="555">
        <v>9935</v>
      </c>
      <c r="D362" s="563">
        <v>30000</v>
      </c>
      <c r="E362" s="573">
        <v>334</v>
      </c>
      <c r="F362" s="563">
        <v>30000</v>
      </c>
      <c r="G362" s="87">
        <f t="shared" si="5"/>
        <v>0</v>
      </c>
      <c r="H362" s="87"/>
      <c r="I362" s="509"/>
      <c r="J362" s="398"/>
      <c r="K362" s="398"/>
      <c r="L362" s="398"/>
      <c r="M362" s="86"/>
    </row>
    <row r="363" spans="1:13" s="641" customFormat="1" ht="15.75" x14ac:dyDescent="0.25">
      <c r="A363" s="523">
        <v>352</v>
      </c>
      <c r="B363" s="523" t="s">
        <v>1058</v>
      </c>
      <c r="C363" s="607" t="s">
        <v>1064</v>
      </c>
      <c r="D363" s="563">
        <v>34000</v>
      </c>
      <c r="E363" s="573">
        <v>378</v>
      </c>
      <c r="F363" s="563">
        <v>34000</v>
      </c>
      <c r="G363" s="87">
        <f t="shared" si="5"/>
        <v>0</v>
      </c>
      <c r="H363" s="87"/>
      <c r="I363" s="509"/>
      <c r="J363" s="398"/>
      <c r="K363" s="398"/>
      <c r="L363" s="398"/>
      <c r="M363" s="86"/>
    </row>
    <row r="364" spans="1:13" s="638" customFormat="1" ht="15.75" x14ac:dyDescent="0.25">
      <c r="A364" s="523">
        <v>353</v>
      </c>
      <c r="B364" s="523" t="s">
        <v>1058</v>
      </c>
      <c r="C364" s="555" t="s">
        <v>30</v>
      </c>
      <c r="D364" s="563">
        <v>10000</v>
      </c>
      <c r="E364" s="573">
        <v>111</v>
      </c>
      <c r="F364" s="563">
        <v>10000</v>
      </c>
      <c r="G364" s="87">
        <f t="shared" si="5"/>
        <v>0</v>
      </c>
      <c r="H364" s="87"/>
      <c r="I364" s="509"/>
      <c r="J364" s="398"/>
      <c r="K364" s="398"/>
      <c r="L364" s="398"/>
      <c r="M364" s="86"/>
    </row>
    <row r="365" spans="1:13" s="638" customFormat="1" ht="15.75" x14ac:dyDescent="0.25">
      <c r="A365" s="523">
        <v>354</v>
      </c>
      <c r="B365" s="523" t="s">
        <v>1058</v>
      </c>
      <c r="C365" s="555">
        <v>9798</v>
      </c>
      <c r="D365" s="563">
        <v>35000</v>
      </c>
      <c r="E365" s="573">
        <v>389</v>
      </c>
      <c r="F365" s="563">
        <v>35000</v>
      </c>
      <c r="G365" s="87">
        <f t="shared" si="5"/>
        <v>0</v>
      </c>
      <c r="H365" s="87"/>
      <c r="I365" s="509"/>
      <c r="J365" s="398"/>
      <c r="K365" s="398"/>
      <c r="L365" s="398"/>
      <c r="M365" s="86"/>
    </row>
    <row r="366" spans="1:13" s="638" customFormat="1" ht="15.75" x14ac:dyDescent="0.25">
      <c r="A366" s="523">
        <v>355</v>
      </c>
      <c r="B366" s="523" t="s">
        <v>1058</v>
      </c>
      <c r="C366" s="555">
        <v>6246</v>
      </c>
      <c r="D366" s="563">
        <v>18000</v>
      </c>
      <c r="E366" s="573">
        <v>300</v>
      </c>
      <c r="F366" s="563">
        <v>18000</v>
      </c>
      <c r="G366" s="87">
        <f t="shared" si="5"/>
        <v>0</v>
      </c>
      <c r="H366" s="87"/>
      <c r="I366" s="509"/>
      <c r="J366" s="398"/>
      <c r="K366" s="398"/>
      <c r="L366" s="398"/>
      <c r="M366" s="86"/>
    </row>
    <row r="367" spans="1:13" s="638" customFormat="1" ht="15.75" x14ac:dyDescent="0.25">
      <c r="A367" s="523">
        <v>356</v>
      </c>
      <c r="B367" s="523" t="s">
        <v>1058</v>
      </c>
      <c r="C367" s="607" t="s">
        <v>1065</v>
      </c>
      <c r="D367" s="563">
        <v>32000</v>
      </c>
      <c r="E367" s="573">
        <v>356</v>
      </c>
      <c r="F367" s="563">
        <v>32000</v>
      </c>
      <c r="G367" s="87">
        <f t="shared" si="5"/>
        <v>0</v>
      </c>
      <c r="H367" s="87"/>
      <c r="I367" s="509"/>
      <c r="J367" s="398"/>
      <c r="K367" s="398"/>
      <c r="L367" s="398"/>
      <c r="M367" s="86"/>
    </row>
    <row r="368" spans="1:13" s="641" customFormat="1" ht="15.75" x14ac:dyDescent="0.25">
      <c r="A368" s="523">
        <v>357</v>
      </c>
      <c r="B368" s="523" t="s">
        <v>1058</v>
      </c>
      <c r="C368" s="555">
        <v>7873</v>
      </c>
      <c r="D368" s="563">
        <v>23000</v>
      </c>
      <c r="E368" s="573">
        <v>256</v>
      </c>
      <c r="F368" s="563">
        <v>23000</v>
      </c>
      <c r="G368" s="87">
        <f t="shared" si="5"/>
        <v>0</v>
      </c>
      <c r="H368" s="87"/>
      <c r="I368" s="509"/>
      <c r="J368" s="398"/>
      <c r="K368" s="398"/>
      <c r="L368" s="398"/>
      <c r="M368" s="86"/>
    </row>
    <row r="369" spans="1:13" s="638" customFormat="1" ht="15.75" x14ac:dyDescent="0.25">
      <c r="A369" s="523">
        <v>358</v>
      </c>
      <c r="B369" s="523" t="s">
        <v>1058</v>
      </c>
      <c r="C369" s="555">
        <v>7765</v>
      </c>
      <c r="D369" s="563">
        <v>30000</v>
      </c>
      <c r="E369" s="573">
        <v>334</v>
      </c>
      <c r="F369" s="563">
        <v>30000</v>
      </c>
      <c r="G369" s="87">
        <f t="shared" si="5"/>
        <v>0</v>
      </c>
      <c r="H369" s="87"/>
      <c r="I369" s="509"/>
      <c r="J369" s="398"/>
      <c r="K369" s="398"/>
      <c r="L369" s="398"/>
      <c r="M369" s="86"/>
    </row>
    <row r="370" spans="1:13" s="638" customFormat="1" ht="15.75" x14ac:dyDescent="0.25">
      <c r="A370" s="523">
        <v>359</v>
      </c>
      <c r="B370" s="523" t="s">
        <v>1058</v>
      </c>
      <c r="C370" s="555">
        <v>5301</v>
      </c>
      <c r="D370" s="563">
        <v>22000</v>
      </c>
      <c r="E370" s="573">
        <v>245</v>
      </c>
      <c r="F370" s="563">
        <v>22000</v>
      </c>
      <c r="G370" s="87">
        <f t="shared" si="5"/>
        <v>0</v>
      </c>
      <c r="H370" s="87"/>
      <c r="I370" s="509"/>
      <c r="J370" s="398"/>
      <c r="K370" s="398"/>
      <c r="L370" s="398"/>
      <c r="M370" s="86"/>
    </row>
    <row r="371" spans="1:13" s="638" customFormat="1" ht="15.75" x14ac:dyDescent="0.25">
      <c r="A371" s="523">
        <v>360</v>
      </c>
      <c r="B371" s="523" t="s">
        <v>1058</v>
      </c>
      <c r="C371" s="555">
        <v>4027</v>
      </c>
      <c r="D371" s="563">
        <v>20000</v>
      </c>
      <c r="E371" s="573">
        <v>222</v>
      </c>
      <c r="F371" s="563">
        <v>20000</v>
      </c>
      <c r="G371" s="87">
        <f t="shared" si="5"/>
        <v>0</v>
      </c>
      <c r="H371" s="87"/>
      <c r="I371" s="509"/>
      <c r="J371" s="398"/>
      <c r="K371" s="398"/>
      <c r="L371" s="398"/>
      <c r="M371" s="86"/>
    </row>
    <row r="372" spans="1:13" s="638" customFormat="1" ht="15.75" x14ac:dyDescent="0.25">
      <c r="A372" s="523">
        <v>361</v>
      </c>
      <c r="B372" s="523" t="s">
        <v>1058</v>
      </c>
      <c r="C372" s="607" t="s">
        <v>1066</v>
      </c>
      <c r="D372" s="563">
        <v>24000</v>
      </c>
      <c r="E372" s="573">
        <v>267</v>
      </c>
      <c r="F372" s="563">
        <v>24000</v>
      </c>
      <c r="G372" s="87">
        <f t="shared" si="5"/>
        <v>0</v>
      </c>
      <c r="H372" s="87"/>
      <c r="I372" s="509"/>
      <c r="J372" s="398"/>
      <c r="K372" s="398"/>
      <c r="L372" s="398"/>
      <c r="M372" s="86"/>
    </row>
    <row r="373" spans="1:13" s="638" customFormat="1" ht="15.75" x14ac:dyDescent="0.25">
      <c r="A373" s="523">
        <v>362</v>
      </c>
      <c r="B373" s="523" t="s">
        <v>1058</v>
      </c>
      <c r="C373" s="555">
        <v>8255</v>
      </c>
      <c r="D373" s="563">
        <v>24000</v>
      </c>
      <c r="E373" s="573">
        <v>267</v>
      </c>
      <c r="F373" s="563">
        <v>24000</v>
      </c>
      <c r="G373" s="87">
        <f t="shared" si="5"/>
        <v>0</v>
      </c>
      <c r="H373" s="87"/>
      <c r="I373" s="509"/>
      <c r="J373" s="398"/>
      <c r="K373" s="398"/>
      <c r="L373" s="398"/>
      <c r="M373" s="86"/>
    </row>
    <row r="374" spans="1:13" s="638" customFormat="1" ht="15.75" x14ac:dyDescent="0.25">
      <c r="A374" s="523">
        <v>363</v>
      </c>
      <c r="B374" s="523" t="s">
        <v>1058</v>
      </c>
      <c r="C374" s="555">
        <v>4893</v>
      </c>
      <c r="D374" s="563">
        <v>25000</v>
      </c>
      <c r="E374" s="573">
        <v>278</v>
      </c>
      <c r="F374" s="563">
        <v>25000</v>
      </c>
      <c r="G374" s="87">
        <f t="shared" si="5"/>
        <v>0</v>
      </c>
      <c r="H374" s="87"/>
      <c r="I374" s="509"/>
      <c r="J374" s="398"/>
      <c r="K374" s="398"/>
      <c r="L374" s="398"/>
      <c r="M374" s="86"/>
    </row>
    <row r="375" spans="1:13" s="638" customFormat="1" ht="15.75" x14ac:dyDescent="0.25">
      <c r="A375" s="523">
        <v>364</v>
      </c>
      <c r="B375" s="523" t="s">
        <v>1059</v>
      </c>
      <c r="C375" s="555">
        <v>9944</v>
      </c>
      <c r="D375" s="563">
        <v>14000</v>
      </c>
      <c r="E375" s="573">
        <v>155</v>
      </c>
      <c r="F375" s="563">
        <v>14000</v>
      </c>
      <c r="G375" s="87">
        <f t="shared" si="5"/>
        <v>0</v>
      </c>
      <c r="H375" s="87"/>
      <c r="I375" s="509"/>
      <c r="J375" s="398"/>
      <c r="K375" s="398"/>
      <c r="L375" s="398"/>
      <c r="M375" s="86"/>
    </row>
    <row r="376" spans="1:13" s="638" customFormat="1" ht="15.75" x14ac:dyDescent="0.25">
      <c r="A376" s="523">
        <v>365</v>
      </c>
      <c r="B376" s="523" t="s">
        <v>1059</v>
      </c>
      <c r="C376" s="555">
        <v>7217</v>
      </c>
      <c r="D376" s="563">
        <v>30000</v>
      </c>
      <c r="E376" s="573">
        <v>325</v>
      </c>
      <c r="F376" s="563">
        <v>30000</v>
      </c>
      <c r="G376" s="87">
        <f t="shared" si="5"/>
        <v>0</v>
      </c>
      <c r="H376" s="87"/>
      <c r="I376" s="509"/>
      <c r="J376" s="398"/>
      <c r="K376" s="398"/>
      <c r="L376" s="398"/>
      <c r="M376" s="86"/>
    </row>
    <row r="377" spans="1:13" s="641" customFormat="1" ht="15.75" x14ac:dyDescent="0.25">
      <c r="A377" s="523">
        <v>366</v>
      </c>
      <c r="B377" s="523" t="s">
        <v>1059</v>
      </c>
      <c r="C377" s="555">
        <v>9555</v>
      </c>
      <c r="D377" s="563">
        <v>15000</v>
      </c>
      <c r="E377" s="573">
        <v>167</v>
      </c>
      <c r="F377" s="563">
        <v>15000</v>
      </c>
      <c r="G377" s="87">
        <f t="shared" si="5"/>
        <v>0</v>
      </c>
      <c r="H377" s="87"/>
      <c r="I377" s="509"/>
      <c r="J377" s="398"/>
      <c r="K377" s="398"/>
      <c r="L377" s="398"/>
      <c r="M377" s="86"/>
    </row>
    <row r="378" spans="1:13" s="638" customFormat="1" ht="15.75" x14ac:dyDescent="0.25">
      <c r="A378" s="523">
        <v>367</v>
      </c>
      <c r="B378" s="523" t="s">
        <v>1059</v>
      </c>
      <c r="C378" s="555">
        <v>8579</v>
      </c>
      <c r="D378" s="563">
        <v>30000</v>
      </c>
      <c r="E378" s="573">
        <v>334</v>
      </c>
      <c r="F378" s="563">
        <v>30000</v>
      </c>
      <c r="G378" s="87">
        <f t="shared" si="5"/>
        <v>0</v>
      </c>
      <c r="H378" s="87"/>
      <c r="I378" s="509"/>
      <c r="J378" s="398"/>
      <c r="K378" s="398"/>
      <c r="L378" s="398"/>
      <c r="M378" s="86"/>
    </row>
    <row r="379" spans="1:13" s="641" customFormat="1" ht="15.75" x14ac:dyDescent="0.25">
      <c r="A379" s="523">
        <v>368</v>
      </c>
      <c r="B379" s="523" t="s">
        <v>1059</v>
      </c>
      <c r="C379" s="555">
        <v>3662</v>
      </c>
      <c r="D379" s="563">
        <v>18000</v>
      </c>
      <c r="E379" s="573">
        <v>200</v>
      </c>
      <c r="F379" s="563">
        <v>18000</v>
      </c>
      <c r="G379" s="87">
        <f t="shared" si="5"/>
        <v>0</v>
      </c>
      <c r="H379" s="87"/>
      <c r="I379" s="509"/>
      <c r="J379" s="398"/>
      <c r="K379" s="398"/>
      <c r="L379" s="398"/>
      <c r="M379" s="86"/>
    </row>
    <row r="380" spans="1:13" s="641" customFormat="1" ht="15.75" x14ac:dyDescent="0.25">
      <c r="A380" s="523">
        <v>369</v>
      </c>
      <c r="B380" s="523" t="s">
        <v>1059</v>
      </c>
      <c r="C380" s="555">
        <v>4805</v>
      </c>
      <c r="D380" s="563">
        <v>18000</v>
      </c>
      <c r="E380" s="573">
        <v>200</v>
      </c>
      <c r="F380" s="563">
        <v>18000</v>
      </c>
      <c r="G380" s="87">
        <f t="shared" si="5"/>
        <v>0</v>
      </c>
      <c r="H380" s="87"/>
      <c r="I380" s="509"/>
      <c r="J380" s="398"/>
      <c r="K380" s="398"/>
      <c r="L380" s="398"/>
      <c r="M380" s="86"/>
    </row>
    <row r="381" spans="1:13" s="638" customFormat="1" ht="15.75" x14ac:dyDescent="0.25">
      <c r="A381" s="523">
        <v>370</v>
      </c>
      <c r="B381" s="523" t="s">
        <v>1059</v>
      </c>
      <c r="C381" s="555">
        <v>2962</v>
      </c>
      <c r="D381" s="563">
        <v>25000</v>
      </c>
      <c r="E381" s="573">
        <v>278</v>
      </c>
      <c r="F381" s="563">
        <v>25000</v>
      </c>
      <c r="G381" s="87">
        <f t="shared" si="5"/>
        <v>0</v>
      </c>
      <c r="H381" s="87"/>
      <c r="I381" s="509"/>
      <c r="J381" s="398"/>
      <c r="K381" s="398"/>
      <c r="L381" s="398"/>
      <c r="M381" s="86"/>
    </row>
    <row r="382" spans="1:13" s="640" customFormat="1" ht="15.75" x14ac:dyDescent="0.25">
      <c r="A382" s="523">
        <v>371</v>
      </c>
      <c r="B382" s="523" t="s">
        <v>1059</v>
      </c>
      <c r="C382" s="607" t="s">
        <v>890</v>
      </c>
      <c r="D382" s="563">
        <v>14000</v>
      </c>
      <c r="E382" s="573">
        <v>155</v>
      </c>
      <c r="F382" s="563">
        <v>14000</v>
      </c>
      <c r="G382" s="87">
        <f t="shared" si="5"/>
        <v>0</v>
      </c>
      <c r="H382" s="87"/>
      <c r="I382" s="509"/>
      <c r="J382" s="398"/>
      <c r="K382" s="398"/>
      <c r="L382" s="398"/>
      <c r="M382" s="86"/>
    </row>
    <row r="383" spans="1:13" s="641" customFormat="1" ht="15.75" x14ac:dyDescent="0.25">
      <c r="A383" s="523">
        <v>372</v>
      </c>
      <c r="B383" s="523" t="s">
        <v>1059</v>
      </c>
      <c r="C383" s="555">
        <v>2963</v>
      </c>
      <c r="D383" s="563">
        <v>24000</v>
      </c>
      <c r="E383" s="573">
        <v>267</v>
      </c>
      <c r="F383" s="563">
        <v>24000</v>
      </c>
      <c r="G383" s="87">
        <f t="shared" si="5"/>
        <v>0</v>
      </c>
      <c r="H383" s="87"/>
      <c r="I383" s="509"/>
      <c r="J383" s="398"/>
      <c r="K383" s="398"/>
      <c r="L383" s="398"/>
      <c r="M383" s="86"/>
    </row>
    <row r="384" spans="1:13" s="638" customFormat="1" ht="15.75" x14ac:dyDescent="0.25">
      <c r="A384" s="523">
        <v>373</v>
      </c>
      <c r="B384" s="523" t="s">
        <v>1059</v>
      </c>
      <c r="C384" s="555">
        <v>6133</v>
      </c>
      <c r="D384" s="563">
        <v>17000</v>
      </c>
      <c r="E384" s="573">
        <v>189</v>
      </c>
      <c r="F384" s="563">
        <v>17000</v>
      </c>
      <c r="G384" s="87">
        <f t="shared" si="5"/>
        <v>0</v>
      </c>
      <c r="H384" s="87"/>
      <c r="I384" s="509"/>
      <c r="J384" s="398"/>
      <c r="K384" s="398"/>
      <c r="L384" s="398"/>
      <c r="M384" s="86"/>
    </row>
    <row r="385" spans="1:13" s="641" customFormat="1" ht="15.75" x14ac:dyDescent="0.25">
      <c r="A385" s="523">
        <v>374</v>
      </c>
      <c r="B385" s="523" t="s">
        <v>1059</v>
      </c>
      <c r="C385" s="555" t="s">
        <v>30</v>
      </c>
      <c r="D385" s="563">
        <v>4500</v>
      </c>
      <c r="E385" s="573">
        <v>50</v>
      </c>
      <c r="F385" s="563">
        <v>4500</v>
      </c>
      <c r="G385" s="87">
        <f t="shared" si="5"/>
        <v>0</v>
      </c>
      <c r="H385" s="87"/>
      <c r="I385" s="509"/>
      <c r="J385" s="398"/>
      <c r="K385" s="398"/>
      <c r="L385" s="398"/>
      <c r="M385" s="86"/>
    </row>
    <row r="386" spans="1:13" s="641" customFormat="1" ht="15.75" x14ac:dyDescent="0.25">
      <c r="A386" s="523">
        <v>375</v>
      </c>
      <c r="B386" s="523" t="s">
        <v>1059</v>
      </c>
      <c r="C386" s="555" t="s">
        <v>30</v>
      </c>
      <c r="D386" s="563">
        <v>5000</v>
      </c>
      <c r="E386" s="573">
        <v>55</v>
      </c>
      <c r="F386" s="563">
        <v>5000</v>
      </c>
      <c r="G386" s="87">
        <f t="shared" si="5"/>
        <v>0</v>
      </c>
      <c r="H386" s="87"/>
      <c r="I386" s="509"/>
      <c r="J386" s="398"/>
      <c r="K386" s="398"/>
      <c r="L386" s="398"/>
      <c r="M386" s="86"/>
    </row>
    <row r="387" spans="1:13" s="641" customFormat="1" ht="15.75" x14ac:dyDescent="0.25">
      <c r="A387" s="523">
        <v>376</v>
      </c>
      <c r="B387" s="523" t="s">
        <v>1059</v>
      </c>
      <c r="C387" s="555">
        <v>7820</v>
      </c>
      <c r="D387" s="563">
        <v>16000</v>
      </c>
      <c r="E387" s="573">
        <v>178</v>
      </c>
      <c r="F387" s="563">
        <v>16000</v>
      </c>
      <c r="G387" s="87">
        <f t="shared" si="5"/>
        <v>0</v>
      </c>
      <c r="H387" s="87"/>
      <c r="I387" s="509"/>
      <c r="J387" s="398"/>
      <c r="K387" s="398"/>
      <c r="L387" s="398"/>
      <c r="M387" s="86"/>
    </row>
    <row r="388" spans="1:13" s="641" customFormat="1" ht="15.75" x14ac:dyDescent="0.25">
      <c r="A388" s="523">
        <v>377</v>
      </c>
      <c r="B388" s="523" t="s">
        <v>1059</v>
      </c>
      <c r="C388" s="555">
        <v>4820</v>
      </c>
      <c r="D388" s="563">
        <v>16000</v>
      </c>
      <c r="E388" s="573">
        <v>178</v>
      </c>
      <c r="F388" s="563">
        <v>16000</v>
      </c>
      <c r="G388" s="87">
        <f t="shared" si="5"/>
        <v>0</v>
      </c>
      <c r="H388" s="87"/>
      <c r="I388" s="509"/>
      <c r="J388" s="398"/>
      <c r="K388" s="398"/>
      <c r="L388" s="398"/>
      <c r="M388" s="86"/>
    </row>
    <row r="389" spans="1:13" s="640" customFormat="1" ht="15.75" x14ac:dyDescent="0.25">
      <c r="A389" s="523">
        <v>378</v>
      </c>
      <c r="B389" s="523" t="s">
        <v>1059</v>
      </c>
      <c r="C389" s="555">
        <v>3887</v>
      </c>
      <c r="D389" s="563">
        <v>16000</v>
      </c>
      <c r="E389" s="573">
        <v>178</v>
      </c>
      <c r="F389" s="563">
        <v>16000</v>
      </c>
      <c r="G389" s="87">
        <f t="shared" ref="G389:G452" si="6">D389-F389</f>
        <v>0</v>
      </c>
      <c r="H389" s="87"/>
      <c r="I389" s="509"/>
      <c r="J389" s="398"/>
      <c r="K389" s="398"/>
      <c r="L389" s="398"/>
      <c r="M389" s="86"/>
    </row>
    <row r="390" spans="1:13" s="640" customFormat="1" ht="15.75" x14ac:dyDescent="0.25">
      <c r="A390" s="523">
        <v>379</v>
      </c>
      <c r="B390" s="523" t="s">
        <v>1059</v>
      </c>
      <c r="C390" s="607" t="s">
        <v>981</v>
      </c>
      <c r="D390" s="563">
        <v>16000</v>
      </c>
      <c r="E390" s="573">
        <v>178</v>
      </c>
      <c r="F390" s="563">
        <v>16000</v>
      </c>
      <c r="G390" s="87">
        <f t="shared" si="6"/>
        <v>0</v>
      </c>
      <c r="H390" s="87"/>
      <c r="I390" s="509"/>
      <c r="J390" s="398"/>
      <c r="K390" s="398"/>
      <c r="L390" s="398"/>
      <c r="M390" s="86"/>
    </row>
    <row r="391" spans="1:13" s="640" customFormat="1" ht="15.75" x14ac:dyDescent="0.25">
      <c r="A391" s="523">
        <v>380</v>
      </c>
      <c r="B391" s="523" t="s">
        <v>1059</v>
      </c>
      <c r="C391" s="555">
        <v>1720</v>
      </c>
      <c r="D391" s="563">
        <v>16000</v>
      </c>
      <c r="E391" s="573">
        <v>178</v>
      </c>
      <c r="F391" s="563">
        <v>16000</v>
      </c>
      <c r="G391" s="87">
        <f t="shared" si="6"/>
        <v>0</v>
      </c>
      <c r="H391" s="87"/>
      <c r="I391" s="509"/>
      <c r="J391" s="398"/>
      <c r="K391" s="398"/>
      <c r="L391" s="398"/>
      <c r="M391" s="86"/>
    </row>
    <row r="392" spans="1:13" s="640" customFormat="1" ht="15.75" x14ac:dyDescent="0.25">
      <c r="A392" s="523">
        <v>381</v>
      </c>
      <c r="B392" s="523" t="s">
        <v>1059</v>
      </c>
      <c r="C392" s="555">
        <v>4167</v>
      </c>
      <c r="D392" s="563">
        <v>16000</v>
      </c>
      <c r="E392" s="573">
        <v>178</v>
      </c>
      <c r="F392" s="563">
        <v>16000</v>
      </c>
      <c r="G392" s="87">
        <f t="shared" si="6"/>
        <v>0</v>
      </c>
      <c r="H392" s="87"/>
      <c r="I392" s="509"/>
      <c r="J392" s="398"/>
      <c r="K392" s="398"/>
      <c r="L392" s="398"/>
      <c r="M392" s="86"/>
    </row>
    <row r="393" spans="1:13" s="640" customFormat="1" ht="15.75" x14ac:dyDescent="0.25">
      <c r="A393" s="523">
        <v>382</v>
      </c>
      <c r="B393" s="523" t="s">
        <v>1059</v>
      </c>
      <c r="C393" s="555">
        <v>9876</v>
      </c>
      <c r="D393" s="563">
        <v>17000</v>
      </c>
      <c r="E393" s="573">
        <v>189</v>
      </c>
      <c r="F393" s="563">
        <v>17000</v>
      </c>
      <c r="G393" s="87">
        <f t="shared" si="6"/>
        <v>0</v>
      </c>
      <c r="H393" s="87"/>
      <c r="I393" s="509"/>
      <c r="J393" s="398"/>
      <c r="K393" s="398"/>
      <c r="L393" s="398"/>
      <c r="M393" s="86"/>
    </row>
    <row r="394" spans="1:13" s="640" customFormat="1" ht="15.75" x14ac:dyDescent="0.25">
      <c r="A394" s="523">
        <v>383</v>
      </c>
      <c r="B394" s="523" t="s">
        <v>1059</v>
      </c>
      <c r="C394" s="555">
        <v>2149</v>
      </c>
      <c r="D394" s="563">
        <v>10000</v>
      </c>
      <c r="E394" s="573">
        <v>111</v>
      </c>
      <c r="F394" s="563">
        <v>10000</v>
      </c>
      <c r="G394" s="87">
        <f t="shared" si="6"/>
        <v>0</v>
      </c>
      <c r="H394" s="87"/>
      <c r="I394" s="509"/>
      <c r="J394" s="398"/>
      <c r="K394" s="398"/>
      <c r="L394" s="398"/>
      <c r="M394" s="86"/>
    </row>
    <row r="395" spans="1:13" s="640" customFormat="1" ht="15.75" x14ac:dyDescent="0.25">
      <c r="A395" s="523">
        <v>384</v>
      </c>
      <c r="B395" s="523" t="s">
        <v>1059</v>
      </c>
      <c r="C395" s="555">
        <v>1598</v>
      </c>
      <c r="D395" s="563">
        <v>10000</v>
      </c>
      <c r="E395" s="573">
        <v>111</v>
      </c>
      <c r="F395" s="563">
        <v>10000</v>
      </c>
      <c r="G395" s="87">
        <f t="shared" si="6"/>
        <v>0</v>
      </c>
      <c r="H395" s="87"/>
      <c r="I395" s="509"/>
      <c r="J395" s="398"/>
      <c r="K395" s="398"/>
      <c r="L395" s="398"/>
      <c r="M395" s="86"/>
    </row>
    <row r="396" spans="1:13" s="640" customFormat="1" ht="15.75" x14ac:dyDescent="0.25">
      <c r="A396" s="523">
        <v>385</v>
      </c>
      <c r="B396" s="523" t="s">
        <v>1059</v>
      </c>
      <c r="C396" s="555">
        <v>7360</v>
      </c>
      <c r="D396" s="563">
        <v>16000</v>
      </c>
      <c r="E396" s="573">
        <v>178</v>
      </c>
      <c r="F396" s="563">
        <v>16000</v>
      </c>
      <c r="G396" s="87">
        <f t="shared" si="6"/>
        <v>0</v>
      </c>
      <c r="H396" s="87"/>
      <c r="I396" s="509"/>
      <c r="J396" s="398"/>
      <c r="K396" s="398"/>
      <c r="L396" s="398"/>
      <c r="M396" s="86"/>
    </row>
    <row r="397" spans="1:13" s="640" customFormat="1" ht="15.75" x14ac:dyDescent="0.25">
      <c r="A397" s="523">
        <v>386</v>
      </c>
      <c r="B397" s="523" t="s">
        <v>1059</v>
      </c>
      <c r="C397" s="555">
        <v>2961</v>
      </c>
      <c r="D397" s="563">
        <v>25000</v>
      </c>
      <c r="E397" s="573">
        <v>278</v>
      </c>
      <c r="F397" s="563">
        <v>25000</v>
      </c>
      <c r="G397" s="87">
        <f t="shared" si="6"/>
        <v>0</v>
      </c>
      <c r="H397" s="87"/>
      <c r="I397" s="509"/>
      <c r="J397" s="398"/>
      <c r="K397" s="398"/>
      <c r="L397" s="398"/>
      <c r="M397" s="86"/>
    </row>
    <row r="398" spans="1:13" s="640" customFormat="1" ht="15.75" x14ac:dyDescent="0.25">
      <c r="A398" s="523">
        <v>387</v>
      </c>
      <c r="B398" s="523" t="s">
        <v>1059</v>
      </c>
      <c r="C398" s="555">
        <v>5152</v>
      </c>
      <c r="D398" s="563">
        <v>15000</v>
      </c>
      <c r="E398" s="573">
        <v>167</v>
      </c>
      <c r="F398" s="563">
        <v>15000</v>
      </c>
      <c r="G398" s="87">
        <f t="shared" si="6"/>
        <v>0</v>
      </c>
      <c r="H398" s="87"/>
      <c r="I398" s="509"/>
      <c r="J398" s="398"/>
      <c r="K398" s="398"/>
      <c r="L398" s="398"/>
      <c r="M398" s="86"/>
    </row>
    <row r="399" spans="1:13" s="640" customFormat="1" ht="15.75" x14ac:dyDescent="0.25">
      <c r="A399" s="523">
        <v>388</v>
      </c>
      <c r="B399" s="523" t="s">
        <v>1059</v>
      </c>
      <c r="C399" s="555" t="s">
        <v>1068</v>
      </c>
      <c r="D399" s="563">
        <v>100</v>
      </c>
      <c r="E399" s="573">
        <v>1</v>
      </c>
      <c r="F399" s="563">
        <v>100</v>
      </c>
      <c r="G399" s="87">
        <f t="shared" si="6"/>
        <v>0</v>
      </c>
      <c r="H399" s="87"/>
      <c r="I399" s="509"/>
      <c r="J399" s="398"/>
      <c r="K399" s="398"/>
      <c r="L399" s="398"/>
      <c r="M399" s="86"/>
    </row>
    <row r="400" spans="1:13" s="640" customFormat="1" ht="15.75" x14ac:dyDescent="0.25">
      <c r="A400" s="523">
        <v>389</v>
      </c>
      <c r="B400" s="523" t="s">
        <v>1059</v>
      </c>
      <c r="C400" s="555">
        <v>2117</v>
      </c>
      <c r="D400" s="563">
        <v>19000</v>
      </c>
      <c r="E400" s="573">
        <v>211</v>
      </c>
      <c r="F400" s="563">
        <v>19000</v>
      </c>
      <c r="G400" s="87">
        <f t="shared" si="6"/>
        <v>0</v>
      </c>
      <c r="H400" s="87"/>
      <c r="I400" s="509"/>
      <c r="J400" s="398"/>
      <c r="K400" s="398"/>
      <c r="L400" s="398"/>
      <c r="M400" s="86"/>
    </row>
    <row r="401" spans="1:13" s="640" customFormat="1" ht="15.75" x14ac:dyDescent="0.25">
      <c r="A401" s="523">
        <v>390</v>
      </c>
      <c r="B401" s="523" t="s">
        <v>1059</v>
      </c>
      <c r="C401" s="555">
        <v>2518</v>
      </c>
      <c r="D401" s="563">
        <v>29000</v>
      </c>
      <c r="E401" s="573">
        <v>323</v>
      </c>
      <c r="F401" s="563">
        <v>29000</v>
      </c>
      <c r="G401" s="87">
        <f t="shared" si="6"/>
        <v>0</v>
      </c>
      <c r="H401" s="87"/>
      <c r="I401" s="509"/>
      <c r="J401" s="398"/>
      <c r="K401" s="398"/>
      <c r="L401" s="398"/>
      <c r="M401" s="86"/>
    </row>
    <row r="402" spans="1:13" s="640" customFormat="1" ht="15.75" x14ac:dyDescent="0.25">
      <c r="A402" s="523">
        <v>391</v>
      </c>
      <c r="B402" s="523" t="s">
        <v>1059</v>
      </c>
      <c r="C402" s="555">
        <v>9626</v>
      </c>
      <c r="D402" s="563">
        <v>28000</v>
      </c>
      <c r="E402" s="573">
        <v>311</v>
      </c>
      <c r="F402" s="563">
        <v>28000</v>
      </c>
      <c r="G402" s="87">
        <f t="shared" si="6"/>
        <v>0</v>
      </c>
      <c r="H402" s="87"/>
      <c r="I402" s="509"/>
      <c r="J402" s="398"/>
      <c r="K402" s="398"/>
      <c r="L402" s="398"/>
      <c r="M402" s="86"/>
    </row>
    <row r="403" spans="1:13" s="640" customFormat="1" ht="15.75" x14ac:dyDescent="0.25">
      <c r="A403" s="523">
        <v>392</v>
      </c>
      <c r="B403" s="523" t="s">
        <v>1059</v>
      </c>
      <c r="C403" s="555">
        <v>5184</v>
      </c>
      <c r="D403" s="563">
        <v>30000</v>
      </c>
      <c r="E403" s="573">
        <v>308</v>
      </c>
      <c r="F403" s="563">
        <v>30000</v>
      </c>
      <c r="G403" s="87">
        <f t="shared" si="6"/>
        <v>0</v>
      </c>
      <c r="H403" s="87"/>
      <c r="I403" s="509"/>
      <c r="J403" s="398"/>
      <c r="K403" s="398"/>
      <c r="L403" s="398"/>
      <c r="M403" s="86"/>
    </row>
    <row r="404" spans="1:13" s="640" customFormat="1" ht="15.75" x14ac:dyDescent="0.25">
      <c r="A404" s="523">
        <v>393</v>
      </c>
      <c r="B404" s="523" t="s">
        <v>1059</v>
      </c>
      <c r="C404" s="555">
        <v>9806</v>
      </c>
      <c r="D404" s="563">
        <v>45000</v>
      </c>
      <c r="E404" s="573">
        <v>501</v>
      </c>
      <c r="F404" s="563">
        <v>45000</v>
      </c>
      <c r="G404" s="87">
        <f t="shared" si="6"/>
        <v>0</v>
      </c>
      <c r="H404" s="87"/>
      <c r="I404" s="509"/>
      <c r="J404" s="398"/>
      <c r="K404" s="398"/>
      <c r="L404" s="398"/>
      <c r="M404" s="86"/>
    </row>
    <row r="405" spans="1:13" s="640" customFormat="1" ht="15.75" x14ac:dyDescent="0.25">
      <c r="A405" s="523">
        <v>394</v>
      </c>
      <c r="B405" s="523" t="s">
        <v>1059</v>
      </c>
      <c r="C405" s="555">
        <v>6777</v>
      </c>
      <c r="D405" s="563">
        <v>23000</v>
      </c>
      <c r="E405" s="573">
        <v>256</v>
      </c>
      <c r="F405" s="563">
        <v>23000</v>
      </c>
      <c r="G405" s="87">
        <f t="shared" si="6"/>
        <v>0</v>
      </c>
      <c r="H405" s="87"/>
      <c r="I405" s="509"/>
      <c r="J405" s="398"/>
      <c r="K405" s="398"/>
      <c r="L405" s="398"/>
      <c r="M405" s="86"/>
    </row>
    <row r="406" spans="1:13" s="640" customFormat="1" ht="15.75" x14ac:dyDescent="0.25">
      <c r="A406" s="523">
        <v>395</v>
      </c>
      <c r="B406" s="523" t="s">
        <v>1059</v>
      </c>
      <c r="C406" s="555">
        <v>4584</v>
      </c>
      <c r="D406" s="563">
        <v>8000</v>
      </c>
      <c r="E406" s="573">
        <v>89</v>
      </c>
      <c r="F406" s="563">
        <v>8000</v>
      </c>
      <c r="G406" s="87">
        <f t="shared" si="6"/>
        <v>0</v>
      </c>
      <c r="H406" s="87"/>
      <c r="I406" s="509"/>
      <c r="J406" s="398"/>
      <c r="K406" s="398"/>
      <c r="L406" s="398"/>
      <c r="M406" s="86"/>
    </row>
    <row r="407" spans="1:13" s="640" customFormat="1" ht="15.75" x14ac:dyDescent="0.25">
      <c r="A407" s="523">
        <v>396</v>
      </c>
      <c r="B407" s="523" t="s">
        <v>1059</v>
      </c>
      <c r="C407" s="555" t="s">
        <v>30</v>
      </c>
      <c r="D407" s="563">
        <v>5500</v>
      </c>
      <c r="E407" s="573">
        <v>61</v>
      </c>
      <c r="F407" s="563">
        <v>5500</v>
      </c>
      <c r="G407" s="87">
        <f t="shared" si="6"/>
        <v>0</v>
      </c>
      <c r="H407" s="87"/>
      <c r="I407" s="509"/>
      <c r="J407" s="398"/>
      <c r="K407" s="398"/>
      <c r="L407" s="398"/>
      <c r="M407" s="86"/>
    </row>
    <row r="408" spans="1:13" s="640" customFormat="1" ht="15.75" x14ac:dyDescent="0.25">
      <c r="A408" s="523">
        <v>397</v>
      </c>
      <c r="B408" s="523" t="s">
        <v>1059</v>
      </c>
      <c r="C408" s="555">
        <v>9744</v>
      </c>
      <c r="D408" s="563">
        <v>5000</v>
      </c>
      <c r="E408" s="573">
        <v>55</v>
      </c>
      <c r="F408" s="563">
        <v>5000</v>
      </c>
      <c r="G408" s="87">
        <f t="shared" si="6"/>
        <v>0</v>
      </c>
      <c r="H408" s="87"/>
      <c r="I408" s="509"/>
      <c r="J408" s="398"/>
      <c r="K408" s="398"/>
      <c r="L408" s="398"/>
      <c r="M408" s="86"/>
    </row>
    <row r="409" spans="1:13" s="640" customFormat="1" ht="15.75" x14ac:dyDescent="0.25">
      <c r="A409" s="523">
        <v>398</v>
      </c>
      <c r="B409" s="523" t="s">
        <v>1059</v>
      </c>
      <c r="C409" s="555">
        <v>8296</v>
      </c>
      <c r="D409" s="563">
        <v>25000</v>
      </c>
      <c r="E409" s="573">
        <v>278</v>
      </c>
      <c r="F409" s="563">
        <v>25000</v>
      </c>
      <c r="G409" s="87">
        <f t="shared" si="6"/>
        <v>0</v>
      </c>
      <c r="H409" s="87"/>
      <c r="I409" s="509"/>
      <c r="J409" s="398"/>
      <c r="K409" s="398"/>
      <c r="L409" s="398"/>
      <c r="M409" s="86"/>
    </row>
    <row r="410" spans="1:13" s="640" customFormat="1" ht="15.75" x14ac:dyDescent="0.25">
      <c r="A410" s="523">
        <v>399</v>
      </c>
      <c r="B410" s="523" t="s">
        <v>1059</v>
      </c>
      <c r="C410" s="555">
        <v>8361</v>
      </c>
      <c r="D410" s="563">
        <v>30000</v>
      </c>
      <c r="E410" s="573">
        <v>324</v>
      </c>
      <c r="F410" s="563">
        <v>30000</v>
      </c>
      <c r="G410" s="87">
        <f t="shared" si="6"/>
        <v>0</v>
      </c>
      <c r="H410" s="87"/>
      <c r="I410" s="509"/>
      <c r="J410" s="398"/>
      <c r="K410" s="398"/>
      <c r="L410" s="398"/>
      <c r="M410" s="86"/>
    </row>
    <row r="411" spans="1:13" s="640" customFormat="1" ht="15.75" x14ac:dyDescent="0.25">
      <c r="A411" s="523">
        <v>400</v>
      </c>
      <c r="B411" s="523" t="s">
        <v>1059</v>
      </c>
      <c r="C411" s="555">
        <v>9694</v>
      </c>
      <c r="D411" s="563">
        <v>30000</v>
      </c>
      <c r="E411" s="573">
        <v>317</v>
      </c>
      <c r="F411" s="563">
        <v>30000</v>
      </c>
      <c r="G411" s="87">
        <f t="shared" si="6"/>
        <v>0</v>
      </c>
      <c r="H411" s="87"/>
      <c r="I411" s="509"/>
      <c r="J411" s="398"/>
      <c r="K411" s="398"/>
      <c r="L411" s="398"/>
      <c r="M411" s="86"/>
    </row>
    <row r="412" spans="1:13" s="640" customFormat="1" ht="15.75" x14ac:dyDescent="0.25">
      <c r="A412" s="523">
        <v>401</v>
      </c>
      <c r="B412" s="523" t="s">
        <v>1059</v>
      </c>
      <c r="C412" s="555">
        <v>9873</v>
      </c>
      <c r="D412" s="563">
        <v>20000</v>
      </c>
      <c r="E412" s="573">
        <v>217</v>
      </c>
      <c r="F412" s="563">
        <v>20000</v>
      </c>
      <c r="G412" s="87">
        <f t="shared" si="6"/>
        <v>0</v>
      </c>
      <c r="H412" s="87"/>
      <c r="I412" s="509"/>
      <c r="J412" s="398"/>
      <c r="K412" s="398"/>
      <c r="L412" s="398"/>
      <c r="M412" s="86"/>
    </row>
    <row r="413" spans="1:13" s="640" customFormat="1" ht="15.75" x14ac:dyDescent="0.25">
      <c r="A413" s="523">
        <v>402</v>
      </c>
      <c r="B413" s="523" t="s">
        <v>1059</v>
      </c>
      <c r="C413" s="555">
        <v>1343</v>
      </c>
      <c r="D413" s="563">
        <v>26000</v>
      </c>
      <c r="E413" s="573">
        <v>289</v>
      </c>
      <c r="F413" s="563">
        <v>26000</v>
      </c>
      <c r="G413" s="87">
        <f t="shared" si="6"/>
        <v>0</v>
      </c>
      <c r="H413" s="87"/>
      <c r="I413" s="509"/>
      <c r="J413" s="398"/>
      <c r="K413" s="398"/>
      <c r="L413" s="398"/>
      <c r="M413" s="86"/>
    </row>
    <row r="414" spans="1:13" s="640" customFormat="1" ht="15.75" x14ac:dyDescent="0.25">
      <c r="A414" s="523">
        <v>403</v>
      </c>
      <c r="B414" s="523" t="s">
        <v>1059</v>
      </c>
      <c r="C414" s="555">
        <v>8906</v>
      </c>
      <c r="D414" s="563">
        <v>24350</v>
      </c>
      <c r="E414" s="573">
        <v>271</v>
      </c>
      <c r="F414" s="563">
        <v>24350</v>
      </c>
      <c r="G414" s="87">
        <f t="shared" si="6"/>
        <v>0</v>
      </c>
      <c r="H414" s="87"/>
      <c r="I414" s="509"/>
      <c r="J414" s="398"/>
      <c r="K414" s="398"/>
      <c r="L414" s="398"/>
      <c r="M414" s="86"/>
    </row>
    <row r="415" spans="1:13" s="640" customFormat="1" ht="15.75" x14ac:dyDescent="0.25">
      <c r="A415" s="523">
        <v>404</v>
      </c>
      <c r="B415" s="523" t="s">
        <v>1059</v>
      </c>
      <c r="C415" s="607" t="s">
        <v>1069</v>
      </c>
      <c r="D415" s="563">
        <v>28050</v>
      </c>
      <c r="E415" s="573">
        <v>312</v>
      </c>
      <c r="F415" s="563">
        <v>28050</v>
      </c>
      <c r="G415" s="87">
        <f t="shared" si="6"/>
        <v>0</v>
      </c>
      <c r="H415" s="87"/>
      <c r="I415" s="509"/>
      <c r="J415" s="398"/>
      <c r="K415" s="398"/>
      <c r="L415" s="398"/>
      <c r="M415" s="86"/>
    </row>
    <row r="416" spans="1:13" s="640" customFormat="1" ht="15.75" x14ac:dyDescent="0.25">
      <c r="A416" s="523">
        <v>405</v>
      </c>
      <c r="B416" s="523" t="s">
        <v>1059</v>
      </c>
      <c r="C416" s="555" t="s">
        <v>1070</v>
      </c>
      <c r="D416" s="563">
        <v>25000</v>
      </c>
      <c r="E416" s="573">
        <v>278</v>
      </c>
      <c r="F416" s="563">
        <v>25000</v>
      </c>
      <c r="G416" s="87">
        <f t="shared" si="6"/>
        <v>0</v>
      </c>
      <c r="H416" s="87"/>
      <c r="I416" s="509"/>
      <c r="J416" s="398"/>
      <c r="K416" s="398"/>
      <c r="L416" s="398"/>
      <c r="M416" s="86"/>
    </row>
    <row r="417" spans="1:13" s="640" customFormat="1" ht="15.75" x14ac:dyDescent="0.25">
      <c r="A417" s="523">
        <v>406</v>
      </c>
      <c r="B417" s="523" t="s">
        <v>1059</v>
      </c>
      <c r="C417" s="555" t="s">
        <v>1071</v>
      </c>
      <c r="D417" s="563">
        <v>25000</v>
      </c>
      <c r="E417" s="573">
        <v>278</v>
      </c>
      <c r="F417" s="563">
        <v>25000</v>
      </c>
      <c r="G417" s="87">
        <f t="shared" si="6"/>
        <v>0</v>
      </c>
      <c r="H417" s="87"/>
      <c r="I417" s="509"/>
      <c r="J417" s="398"/>
      <c r="K417" s="398"/>
      <c r="L417" s="398"/>
      <c r="M417" s="86"/>
    </row>
    <row r="418" spans="1:13" s="640" customFormat="1" ht="15.75" x14ac:dyDescent="0.25">
      <c r="A418" s="523">
        <v>407</v>
      </c>
      <c r="B418" s="523" t="s">
        <v>1059</v>
      </c>
      <c r="C418" s="555">
        <v>1006</v>
      </c>
      <c r="D418" s="563">
        <v>30000</v>
      </c>
      <c r="E418" s="573">
        <v>317</v>
      </c>
      <c r="F418" s="563">
        <v>30000</v>
      </c>
      <c r="G418" s="87">
        <f t="shared" si="6"/>
        <v>0</v>
      </c>
      <c r="H418" s="87"/>
      <c r="I418" s="509"/>
      <c r="J418" s="398"/>
      <c r="K418" s="398"/>
      <c r="L418" s="398"/>
      <c r="M418" s="86"/>
    </row>
    <row r="419" spans="1:13" s="640" customFormat="1" ht="15.75" x14ac:dyDescent="0.25">
      <c r="A419" s="523">
        <v>408</v>
      </c>
      <c r="B419" s="523" t="s">
        <v>1059</v>
      </c>
      <c r="C419" s="555">
        <v>5485</v>
      </c>
      <c r="D419" s="563">
        <v>30000</v>
      </c>
      <c r="E419" s="573">
        <v>334</v>
      </c>
      <c r="F419" s="563">
        <v>30000</v>
      </c>
      <c r="G419" s="87">
        <f t="shared" si="6"/>
        <v>0</v>
      </c>
      <c r="H419" s="87"/>
      <c r="I419" s="509"/>
      <c r="J419" s="398"/>
      <c r="K419" s="398"/>
      <c r="L419" s="398"/>
      <c r="M419" s="86"/>
    </row>
    <row r="420" spans="1:13" s="640" customFormat="1" ht="15.75" x14ac:dyDescent="0.25">
      <c r="A420" s="523">
        <v>409</v>
      </c>
      <c r="B420" s="523" t="s">
        <v>1059</v>
      </c>
      <c r="C420" s="555">
        <v>1477</v>
      </c>
      <c r="D420" s="563">
        <v>32000</v>
      </c>
      <c r="E420" s="573">
        <v>356</v>
      </c>
      <c r="F420" s="563">
        <v>32000</v>
      </c>
      <c r="G420" s="87">
        <f t="shared" si="6"/>
        <v>0</v>
      </c>
      <c r="H420" s="87"/>
      <c r="I420" s="509"/>
      <c r="J420" s="398"/>
      <c r="K420" s="398"/>
      <c r="L420" s="398"/>
      <c r="M420" s="86"/>
    </row>
    <row r="421" spans="1:13" s="640" customFormat="1" ht="15.75" x14ac:dyDescent="0.25">
      <c r="A421" s="523">
        <v>410</v>
      </c>
      <c r="B421" s="523" t="s">
        <v>1059</v>
      </c>
      <c r="C421" s="555">
        <v>6607</v>
      </c>
      <c r="D421" s="563">
        <v>36000</v>
      </c>
      <c r="E421" s="573">
        <v>401</v>
      </c>
      <c r="F421" s="563">
        <v>36000</v>
      </c>
      <c r="G421" s="87">
        <f t="shared" si="6"/>
        <v>0</v>
      </c>
      <c r="H421" s="87"/>
      <c r="I421" s="509"/>
      <c r="J421" s="398"/>
      <c r="K421" s="398"/>
      <c r="L421" s="398"/>
      <c r="M421" s="86"/>
    </row>
    <row r="422" spans="1:13" s="640" customFormat="1" ht="15.75" x14ac:dyDescent="0.25">
      <c r="A422" s="523">
        <v>411</v>
      </c>
      <c r="B422" s="523" t="s">
        <v>1059</v>
      </c>
      <c r="C422" s="555">
        <v>5047</v>
      </c>
      <c r="D422" s="563">
        <v>18500</v>
      </c>
      <c r="E422" s="573">
        <v>206</v>
      </c>
      <c r="F422" s="563">
        <v>18500</v>
      </c>
      <c r="G422" s="87">
        <f t="shared" si="6"/>
        <v>0</v>
      </c>
      <c r="H422" s="87"/>
      <c r="I422" s="509"/>
      <c r="J422" s="398"/>
      <c r="K422" s="398"/>
      <c r="L422" s="398"/>
      <c r="M422" s="86"/>
    </row>
    <row r="423" spans="1:13" s="640" customFormat="1" ht="15.75" x14ac:dyDescent="0.25">
      <c r="A423" s="523">
        <v>412</v>
      </c>
      <c r="B423" s="523" t="s">
        <v>1059</v>
      </c>
      <c r="C423" s="555" t="s">
        <v>66</v>
      </c>
      <c r="D423" s="563">
        <v>120</v>
      </c>
      <c r="E423" s="573" t="s">
        <v>66</v>
      </c>
      <c r="F423" s="563">
        <v>120</v>
      </c>
      <c r="G423" s="87">
        <f t="shared" si="6"/>
        <v>0</v>
      </c>
      <c r="H423" s="87"/>
      <c r="I423" s="509"/>
      <c r="J423" s="398"/>
      <c r="K423" s="398"/>
      <c r="L423" s="398"/>
      <c r="M423" s="86"/>
    </row>
    <row r="424" spans="1:13" s="640" customFormat="1" ht="15.75" x14ac:dyDescent="0.25">
      <c r="A424" s="523">
        <v>413</v>
      </c>
      <c r="B424" s="523" t="s">
        <v>1067</v>
      </c>
      <c r="C424" s="607" t="s">
        <v>1076</v>
      </c>
      <c r="D424" s="563">
        <v>17000</v>
      </c>
      <c r="E424" s="573">
        <v>189</v>
      </c>
      <c r="F424" s="563">
        <v>17000</v>
      </c>
      <c r="G424" s="87">
        <f t="shared" si="6"/>
        <v>0</v>
      </c>
      <c r="H424" s="87"/>
      <c r="I424" s="509"/>
      <c r="J424" s="398"/>
      <c r="K424" s="398"/>
      <c r="L424" s="398"/>
      <c r="M424" s="86"/>
    </row>
    <row r="425" spans="1:13" s="640" customFormat="1" ht="15.75" x14ac:dyDescent="0.25">
      <c r="A425" s="523">
        <v>414</v>
      </c>
      <c r="B425" s="523" t="s">
        <v>1067</v>
      </c>
      <c r="C425" s="555">
        <v>8726</v>
      </c>
      <c r="D425" s="563">
        <v>15000</v>
      </c>
      <c r="E425" s="573">
        <v>167</v>
      </c>
      <c r="F425" s="563">
        <v>15000</v>
      </c>
      <c r="G425" s="87">
        <f t="shared" si="6"/>
        <v>0</v>
      </c>
      <c r="H425" s="87"/>
      <c r="I425" s="509"/>
      <c r="J425" s="398"/>
      <c r="K425" s="398"/>
      <c r="L425" s="398"/>
      <c r="M425" s="86"/>
    </row>
    <row r="426" spans="1:13" s="640" customFormat="1" ht="15.75" x14ac:dyDescent="0.25">
      <c r="A426" s="523">
        <v>415</v>
      </c>
      <c r="B426" s="523" t="s">
        <v>1067</v>
      </c>
      <c r="C426" s="555">
        <v>9426</v>
      </c>
      <c r="D426" s="563">
        <v>15000</v>
      </c>
      <c r="E426" s="573">
        <v>167</v>
      </c>
      <c r="F426" s="563">
        <v>15000</v>
      </c>
      <c r="G426" s="87">
        <f t="shared" si="6"/>
        <v>0</v>
      </c>
      <c r="H426" s="87"/>
      <c r="I426" s="509"/>
      <c r="J426" s="398"/>
      <c r="K426" s="398"/>
      <c r="L426" s="398"/>
      <c r="M426" s="86"/>
    </row>
    <row r="427" spans="1:13" s="640" customFormat="1" ht="15.75" x14ac:dyDescent="0.25">
      <c r="A427" s="523">
        <v>416</v>
      </c>
      <c r="B427" s="523" t="s">
        <v>1067</v>
      </c>
      <c r="C427" s="555">
        <v>1738</v>
      </c>
      <c r="D427" s="563">
        <v>16000</v>
      </c>
      <c r="E427" s="573">
        <v>188</v>
      </c>
      <c r="F427" s="563">
        <v>16000</v>
      </c>
      <c r="G427" s="87">
        <f t="shared" si="6"/>
        <v>0</v>
      </c>
      <c r="H427" s="87"/>
      <c r="I427" s="509"/>
      <c r="J427" s="398"/>
      <c r="K427" s="398"/>
      <c r="L427" s="398"/>
      <c r="M427" s="86"/>
    </row>
    <row r="428" spans="1:13" s="640" customFormat="1" ht="15.75" x14ac:dyDescent="0.25">
      <c r="A428" s="523">
        <v>417</v>
      </c>
      <c r="B428" s="523" t="s">
        <v>1067</v>
      </c>
      <c r="C428" s="555">
        <v>8326</v>
      </c>
      <c r="D428" s="563">
        <v>15000</v>
      </c>
      <c r="E428" s="573">
        <v>167</v>
      </c>
      <c r="F428" s="563">
        <v>15000</v>
      </c>
      <c r="G428" s="87">
        <f t="shared" si="6"/>
        <v>0</v>
      </c>
      <c r="H428" s="87"/>
      <c r="I428" s="509"/>
      <c r="J428" s="398"/>
      <c r="K428" s="398"/>
      <c r="L428" s="398"/>
      <c r="M428" s="86"/>
    </row>
    <row r="429" spans="1:13" s="640" customFormat="1" ht="15.75" x14ac:dyDescent="0.25">
      <c r="A429" s="523">
        <v>418</v>
      </c>
      <c r="B429" s="523" t="s">
        <v>1067</v>
      </c>
      <c r="C429" s="555">
        <v>6735</v>
      </c>
      <c r="D429" s="563">
        <v>16000</v>
      </c>
      <c r="E429" s="573">
        <v>167</v>
      </c>
      <c r="F429" s="563">
        <v>16000</v>
      </c>
      <c r="G429" s="87">
        <f t="shared" si="6"/>
        <v>0</v>
      </c>
      <c r="H429" s="87"/>
      <c r="I429" s="509"/>
      <c r="J429" s="398"/>
      <c r="K429" s="398"/>
      <c r="L429" s="398"/>
      <c r="M429" s="86"/>
    </row>
    <row r="430" spans="1:13" s="640" customFormat="1" ht="15.75" x14ac:dyDescent="0.25">
      <c r="A430" s="523">
        <v>419</v>
      </c>
      <c r="B430" s="523" t="s">
        <v>1067</v>
      </c>
      <c r="C430" s="555">
        <v>9655</v>
      </c>
      <c r="D430" s="563">
        <v>15000</v>
      </c>
      <c r="E430" s="573">
        <v>167</v>
      </c>
      <c r="F430" s="563">
        <v>15000</v>
      </c>
      <c r="G430" s="87">
        <f t="shared" si="6"/>
        <v>0</v>
      </c>
      <c r="H430" s="87"/>
      <c r="I430" s="509"/>
      <c r="J430" s="398"/>
      <c r="K430" s="398"/>
      <c r="L430" s="398"/>
      <c r="M430" s="86"/>
    </row>
    <row r="431" spans="1:13" s="640" customFormat="1" ht="15.75" x14ac:dyDescent="0.25">
      <c r="A431" s="523">
        <v>420</v>
      </c>
      <c r="B431" s="523" t="s">
        <v>1067</v>
      </c>
      <c r="C431" s="555">
        <v>9481</v>
      </c>
      <c r="D431" s="563">
        <v>14000</v>
      </c>
      <c r="E431" s="573">
        <v>155</v>
      </c>
      <c r="F431" s="563">
        <v>14000</v>
      </c>
      <c r="G431" s="87">
        <f t="shared" si="6"/>
        <v>0</v>
      </c>
      <c r="H431" s="87"/>
      <c r="I431" s="509"/>
      <c r="J431" s="398"/>
      <c r="K431" s="398"/>
      <c r="L431" s="398"/>
      <c r="M431" s="86"/>
    </row>
    <row r="432" spans="1:13" s="640" customFormat="1" ht="15.75" x14ac:dyDescent="0.25">
      <c r="A432" s="523">
        <v>421</v>
      </c>
      <c r="B432" s="523" t="s">
        <v>1067</v>
      </c>
      <c r="C432" s="555">
        <v>3855</v>
      </c>
      <c r="D432" s="563">
        <v>16000</v>
      </c>
      <c r="E432" s="573">
        <v>178</v>
      </c>
      <c r="F432" s="563">
        <v>16000</v>
      </c>
      <c r="G432" s="87">
        <f t="shared" si="6"/>
        <v>0</v>
      </c>
      <c r="H432" s="87"/>
      <c r="I432" s="509"/>
      <c r="J432" s="398"/>
      <c r="K432" s="398"/>
      <c r="L432" s="398"/>
      <c r="M432" s="86"/>
    </row>
    <row r="433" spans="1:13" s="640" customFormat="1" ht="15.75" x14ac:dyDescent="0.25">
      <c r="A433" s="523">
        <v>422</v>
      </c>
      <c r="B433" s="523" t="s">
        <v>1067</v>
      </c>
      <c r="C433" s="555">
        <v>8468</v>
      </c>
      <c r="D433" s="563">
        <v>16000</v>
      </c>
      <c r="E433" s="573">
        <v>178</v>
      </c>
      <c r="F433" s="563">
        <v>16000</v>
      </c>
      <c r="G433" s="87">
        <f t="shared" si="6"/>
        <v>0</v>
      </c>
      <c r="H433" s="87"/>
      <c r="I433" s="509"/>
      <c r="J433" s="398"/>
      <c r="K433" s="398"/>
      <c r="L433" s="398"/>
      <c r="M433" s="86"/>
    </row>
    <row r="434" spans="1:13" s="640" customFormat="1" ht="15.75" x14ac:dyDescent="0.25">
      <c r="A434" s="523">
        <v>423</v>
      </c>
      <c r="B434" s="523" t="s">
        <v>1067</v>
      </c>
      <c r="C434" s="555" t="s">
        <v>30</v>
      </c>
      <c r="D434" s="563">
        <v>5000</v>
      </c>
      <c r="E434" s="573">
        <v>55</v>
      </c>
      <c r="F434" s="563">
        <v>5000</v>
      </c>
      <c r="G434" s="87">
        <f t="shared" si="6"/>
        <v>0</v>
      </c>
      <c r="H434" s="87"/>
      <c r="I434" s="509"/>
      <c r="J434" s="398"/>
      <c r="K434" s="398"/>
      <c r="L434" s="398"/>
      <c r="M434" s="86"/>
    </row>
    <row r="435" spans="1:13" s="640" customFormat="1" ht="15.75" x14ac:dyDescent="0.25">
      <c r="A435" s="523">
        <v>424</v>
      </c>
      <c r="B435" s="523" t="s">
        <v>1067</v>
      </c>
      <c r="C435" s="555">
        <v>9755</v>
      </c>
      <c r="D435" s="563">
        <v>15000</v>
      </c>
      <c r="E435" s="573">
        <v>167</v>
      </c>
      <c r="F435" s="563">
        <v>15000</v>
      </c>
      <c r="G435" s="87">
        <f t="shared" si="6"/>
        <v>0</v>
      </c>
      <c r="H435" s="87"/>
      <c r="I435" s="509"/>
      <c r="J435" s="398"/>
      <c r="K435" s="398"/>
      <c r="L435" s="398"/>
      <c r="M435" s="86"/>
    </row>
    <row r="436" spans="1:13" s="640" customFormat="1" ht="15.75" x14ac:dyDescent="0.25">
      <c r="A436" s="523">
        <v>425</v>
      </c>
      <c r="B436" s="523" t="s">
        <v>1067</v>
      </c>
      <c r="C436" s="555">
        <v>7071</v>
      </c>
      <c r="D436" s="563">
        <v>28000</v>
      </c>
      <c r="E436" s="573">
        <v>311</v>
      </c>
      <c r="F436" s="563">
        <v>28000</v>
      </c>
      <c r="G436" s="87">
        <f t="shared" si="6"/>
        <v>0</v>
      </c>
      <c r="H436" s="87"/>
      <c r="I436" s="509"/>
      <c r="J436" s="398"/>
      <c r="K436" s="398"/>
      <c r="L436" s="398"/>
      <c r="M436" s="86"/>
    </row>
    <row r="437" spans="1:13" s="640" customFormat="1" ht="15.75" x14ac:dyDescent="0.25">
      <c r="A437" s="523">
        <v>426</v>
      </c>
      <c r="B437" s="523" t="s">
        <v>1067</v>
      </c>
      <c r="C437" s="555" t="s">
        <v>66</v>
      </c>
      <c r="D437" s="563">
        <v>210</v>
      </c>
      <c r="E437" s="573" t="s">
        <v>66</v>
      </c>
      <c r="F437" s="563">
        <v>210</v>
      </c>
      <c r="G437" s="87">
        <f t="shared" si="6"/>
        <v>0</v>
      </c>
      <c r="H437" s="87"/>
      <c r="I437" s="509"/>
      <c r="J437" s="398"/>
      <c r="K437" s="398"/>
      <c r="L437" s="398"/>
      <c r="M437" s="86"/>
    </row>
    <row r="438" spans="1:13" s="640" customFormat="1" ht="15.75" x14ac:dyDescent="0.25">
      <c r="A438" s="523">
        <v>427</v>
      </c>
      <c r="B438" s="523" t="s">
        <v>1067</v>
      </c>
      <c r="C438" s="555">
        <v>6955</v>
      </c>
      <c r="D438" s="563">
        <v>15000</v>
      </c>
      <c r="E438" s="573">
        <v>167</v>
      </c>
      <c r="F438" s="563">
        <v>15000</v>
      </c>
      <c r="G438" s="87">
        <f t="shared" si="6"/>
        <v>0</v>
      </c>
      <c r="H438" s="87"/>
      <c r="I438" s="509"/>
      <c r="J438" s="398"/>
      <c r="K438" s="398"/>
      <c r="L438" s="398"/>
      <c r="M438" s="86"/>
    </row>
    <row r="439" spans="1:13" s="640" customFormat="1" ht="15.75" x14ac:dyDescent="0.25">
      <c r="A439" s="523">
        <v>428</v>
      </c>
      <c r="B439" s="523" t="s">
        <v>1067</v>
      </c>
      <c r="C439" s="555" t="s">
        <v>30</v>
      </c>
      <c r="D439" s="563">
        <v>4500</v>
      </c>
      <c r="E439" s="573">
        <v>50</v>
      </c>
      <c r="F439" s="563">
        <v>4500</v>
      </c>
      <c r="G439" s="87">
        <f t="shared" si="6"/>
        <v>0</v>
      </c>
      <c r="H439" s="87"/>
      <c r="I439" s="509"/>
      <c r="J439" s="398"/>
      <c r="K439" s="398"/>
      <c r="L439" s="398"/>
      <c r="M439" s="86"/>
    </row>
    <row r="440" spans="1:13" s="640" customFormat="1" ht="15.75" x14ac:dyDescent="0.25">
      <c r="A440" s="523">
        <v>429</v>
      </c>
      <c r="B440" s="523" t="s">
        <v>1067</v>
      </c>
      <c r="C440" s="555">
        <v>9702</v>
      </c>
      <c r="D440" s="563">
        <v>18000</v>
      </c>
      <c r="E440" s="573">
        <v>200</v>
      </c>
      <c r="F440" s="563">
        <v>18000</v>
      </c>
      <c r="G440" s="87">
        <f t="shared" si="6"/>
        <v>0</v>
      </c>
      <c r="H440" s="87"/>
      <c r="I440" s="509"/>
      <c r="J440" s="398"/>
      <c r="K440" s="398"/>
      <c r="L440" s="398"/>
      <c r="M440" s="86"/>
    </row>
    <row r="441" spans="1:13" s="640" customFormat="1" ht="15.75" x14ac:dyDescent="0.25">
      <c r="A441" s="523">
        <v>430</v>
      </c>
      <c r="B441" s="523" t="s">
        <v>1067</v>
      </c>
      <c r="C441" s="555">
        <v>7159</v>
      </c>
      <c r="D441" s="563">
        <v>20000</v>
      </c>
      <c r="E441" s="573">
        <v>222</v>
      </c>
      <c r="F441" s="563">
        <v>20000</v>
      </c>
      <c r="G441" s="87">
        <f t="shared" si="6"/>
        <v>0</v>
      </c>
      <c r="H441" s="87"/>
      <c r="I441" s="509"/>
      <c r="J441" s="398"/>
      <c r="K441" s="398"/>
      <c r="L441" s="398"/>
      <c r="M441" s="86"/>
    </row>
    <row r="442" spans="1:13" s="640" customFormat="1" ht="15.75" x14ac:dyDescent="0.25">
      <c r="A442" s="523">
        <v>431</v>
      </c>
      <c r="B442" s="523" t="s">
        <v>1067</v>
      </c>
      <c r="C442" s="607" t="s">
        <v>891</v>
      </c>
      <c r="D442" s="563">
        <v>10000</v>
      </c>
      <c r="E442" s="573">
        <v>111</v>
      </c>
      <c r="F442" s="563">
        <v>10000</v>
      </c>
      <c r="G442" s="87">
        <f t="shared" si="6"/>
        <v>0</v>
      </c>
      <c r="H442" s="87"/>
      <c r="I442" s="509"/>
      <c r="J442" s="398"/>
      <c r="K442" s="398"/>
      <c r="L442" s="398"/>
      <c r="M442" s="86"/>
    </row>
    <row r="443" spans="1:13" s="640" customFormat="1" ht="15.75" x14ac:dyDescent="0.25">
      <c r="A443" s="523">
        <v>432</v>
      </c>
      <c r="B443" s="523" t="s">
        <v>1067</v>
      </c>
      <c r="C443" s="555" t="s">
        <v>819</v>
      </c>
      <c r="D443" s="563">
        <v>3500</v>
      </c>
      <c r="E443" s="573">
        <v>38</v>
      </c>
      <c r="F443" s="563">
        <v>3500</v>
      </c>
      <c r="G443" s="87">
        <f t="shared" si="6"/>
        <v>0</v>
      </c>
      <c r="H443" s="87"/>
      <c r="I443" s="509"/>
      <c r="J443" s="398"/>
      <c r="K443" s="398"/>
      <c r="L443" s="398"/>
      <c r="M443" s="86"/>
    </row>
    <row r="444" spans="1:13" s="640" customFormat="1" ht="15.75" x14ac:dyDescent="0.25">
      <c r="A444" s="523">
        <v>433</v>
      </c>
      <c r="B444" s="523" t="s">
        <v>1067</v>
      </c>
      <c r="C444" s="555">
        <v>8909</v>
      </c>
      <c r="D444" s="563">
        <v>22000</v>
      </c>
      <c r="E444" s="573">
        <v>241</v>
      </c>
      <c r="F444" s="563">
        <v>22000</v>
      </c>
      <c r="G444" s="87">
        <f t="shared" si="6"/>
        <v>0</v>
      </c>
      <c r="H444" s="87"/>
      <c r="I444" s="509"/>
      <c r="J444" s="398"/>
      <c r="K444" s="398"/>
      <c r="L444" s="398"/>
      <c r="M444" s="86"/>
    </row>
    <row r="445" spans="1:13" s="640" customFormat="1" ht="15.75" x14ac:dyDescent="0.25">
      <c r="A445" s="523">
        <v>434</v>
      </c>
      <c r="B445" s="523" t="s">
        <v>1067</v>
      </c>
      <c r="C445" s="555">
        <v>6393</v>
      </c>
      <c r="D445" s="563">
        <v>15000</v>
      </c>
      <c r="E445" s="573">
        <v>167</v>
      </c>
      <c r="F445" s="563">
        <v>15000</v>
      </c>
      <c r="G445" s="87">
        <f t="shared" si="6"/>
        <v>0</v>
      </c>
      <c r="H445" s="87"/>
      <c r="I445" s="509"/>
      <c r="J445" s="398"/>
      <c r="K445" s="398"/>
      <c r="L445" s="398"/>
      <c r="M445" s="86"/>
    </row>
    <row r="446" spans="1:13" s="640" customFormat="1" ht="15.75" x14ac:dyDescent="0.25">
      <c r="A446" s="523">
        <v>435</v>
      </c>
      <c r="B446" s="523" t="s">
        <v>1067</v>
      </c>
      <c r="C446" s="555">
        <v>8549</v>
      </c>
      <c r="D446" s="563">
        <v>16000</v>
      </c>
      <c r="E446" s="573">
        <v>178</v>
      </c>
      <c r="F446" s="563">
        <v>16000</v>
      </c>
      <c r="G446" s="87">
        <f t="shared" si="6"/>
        <v>0</v>
      </c>
      <c r="H446" s="87"/>
      <c r="I446" s="509"/>
      <c r="J446" s="398"/>
      <c r="K446" s="398"/>
      <c r="L446" s="398"/>
      <c r="M446" s="86"/>
    </row>
    <row r="447" spans="1:13" s="642" customFormat="1" ht="15.75" x14ac:dyDescent="0.25">
      <c r="A447" s="523">
        <v>436</v>
      </c>
      <c r="B447" s="523" t="s">
        <v>1067</v>
      </c>
      <c r="C447" s="555">
        <v>3038</v>
      </c>
      <c r="D447" s="563">
        <v>18000</v>
      </c>
      <c r="E447" s="573">
        <v>200</v>
      </c>
      <c r="F447" s="563">
        <v>18000</v>
      </c>
      <c r="G447" s="87">
        <f t="shared" si="6"/>
        <v>0</v>
      </c>
      <c r="H447" s="87"/>
      <c r="I447" s="509"/>
      <c r="J447" s="398"/>
      <c r="K447" s="398"/>
      <c r="L447" s="398"/>
      <c r="M447" s="86"/>
    </row>
    <row r="448" spans="1:13" s="642" customFormat="1" ht="15.75" x14ac:dyDescent="0.25">
      <c r="A448" s="523">
        <v>437</v>
      </c>
      <c r="B448" s="523" t="s">
        <v>1067</v>
      </c>
      <c r="C448" s="607" t="s">
        <v>1077</v>
      </c>
      <c r="D448" s="563">
        <v>18000</v>
      </c>
      <c r="E448" s="573">
        <v>200</v>
      </c>
      <c r="F448" s="563">
        <v>18000</v>
      </c>
      <c r="G448" s="87">
        <f t="shared" si="6"/>
        <v>0</v>
      </c>
      <c r="H448" s="87"/>
      <c r="I448" s="509"/>
      <c r="J448" s="398"/>
      <c r="K448" s="398"/>
      <c r="L448" s="398"/>
      <c r="M448" s="86"/>
    </row>
    <row r="449" spans="1:13" s="642" customFormat="1" ht="15.75" x14ac:dyDescent="0.25">
      <c r="A449" s="523">
        <v>438</v>
      </c>
      <c r="B449" s="523" t="s">
        <v>1067</v>
      </c>
      <c r="C449" s="555">
        <v>5151</v>
      </c>
      <c r="D449" s="563">
        <v>16000</v>
      </c>
      <c r="E449" s="573">
        <v>170</v>
      </c>
      <c r="F449" s="563">
        <v>16000</v>
      </c>
      <c r="G449" s="87">
        <f t="shared" si="6"/>
        <v>0</v>
      </c>
      <c r="H449" s="87"/>
      <c r="I449" s="509"/>
      <c r="J449" s="398"/>
      <c r="K449" s="398"/>
      <c r="L449" s="398"/>
      <c r="M449" s="86"/>
    </row>
    <row r="450" spans="1:13" s="642" customFormat="1" ht="15.75" x14ac:dyDescent="0.25">
      <c r="A450" s="523">
        <v>439</v>
      </c>
      <c r="B450" s="523" t="s">
        <v>1067</v>
      </c>
      <c r="C450" s="555">
        <v>5252</v>
      </c>
      <c r="D450" s="563">
        <v>17000</v>
      </c>
      <c r="E450" s="573">
        <v>181</v>
      </c>
      <c r="F450" s="563">
        <v>17000</v>
      </c>
      <c r="G450" s="87">
        <f t="shared" si="6"/>
        <v>0</v>
      </c>
      <c r="H450" s="87"/>
      <c r="I450" s="509"/>
      <c r="J450" s="398"/>
      <c r="K450" s="398"/>
      <c r="L450" s="398"/>
      <c r="M450" s="86"/>
    </row>
    <row r="451" spans="1:13" s="642" customFormat="1" ht="15.75" x14ac:dyDescent="0.25">
      <c r="A451" s="523">
        <v>440</v>
      </c>
      <c r="B451" s="523" t="s">
        <v>1067</v>
      </c>
      <c r="C451" s="555">
        <v>9255</v>
      </c>
      <c r="D451" s="563">
        <v>29000</v>
      </c>
      <c r="E451" s="573">
        <v>323</v>
      </c>
      <c r="F451" s="563">
        <v>29000</v>
      </c>
      <c r="G451" s="87">
        <f t="shared" si="6"/>
        <v>0</v>
      </c>
      <c r="H451" s="87"/>
      <c r="I451" s="509"/>
      <c r="J451" s="398"/>
      <c r="K451" s="398"/>
      <c r="L451" s="398"/>
      <c r="M451" s="86"/>
    </row>
    <row r="452" spans="1:13" s="642" customFormat="1" ht="15.75" x14ac:dyDescent="0.25">
      <c r="A452" s="523">
        <v>441</v>
      </c>
      <c r="B452" s="523" t="s">
        <v>1067</v>
      </c>
      <c r="C452" s="555">
        <v>1545</v>
      </c>
      <c r="D452" s="563">
        <v>20000</v>
      </c>
      <c r="E452" s="573">
        <v>222</v>
      </c>
      <c r="F452" s="563">
        <v>20000</v>
      </c>
      <c r="G452" s="87">
        <f t="shared" si="6"/>
        <v>0</v>
      </c>
      <c r="H452" s="87"/>
      <c r="I452" s="509"/>
      <c r="J452" s="398"/>
      <c r="K452" s="398"/>
      <c r="L452" s="398"/>
      <c r="M452" s="86"/>
    </row>
    <row r="453" spans="1:13" s="642" customFormat="1" ht="15.75" x14ac:dyDescent="0.25">
      <c r="A453" s="523">
        <v>442</v>
      </c>
      <c r="B453" s="523" t="s">
        <v>1067</v>
      </c>
      <c r="C453" s="555">
        <v>9457</v>
      </c>
      <c r="D453" s="563">
        <v>28000</v>
      </c>
      <c r="E453" s="573">
        <v>311</v>
      </c>
      <c r="F453" s="563">
        <v>28000</v>
      </c>
      <c r="G453" s="87">
        <f t="shared" ref="G453:G516" si="7">D453-F453</f>
        <v>0</v>
      </c>
      <c r="H453" s="87"/>
      <c r="I453" s="509"/>
      <c r="J453" s="398"/>
      <c r="K453" s="398"/>
      <c r="L453" s="398"/>
      <c r="M453" s="86"/>
    </row>
    <row r="454" spans="1:13" s="642" customFormat="1" ht="15.75" x14ac:dyDescent="0.25">
      <c r="A454" s="523">
        <v>443</v>
      </c>
      <c r="B454" s="523" t="s">
        <v>1067</v>
      </c>
      <c r="C454" s="555">
        <v>9458</v>
      </c>
      <c r="D454" s="563">
        <v>28000</v>
      </c>
      <c r="E454" s="573">
        <v>305</v>
      </c>
      <c r="F454" s="563">
        <v>28000</v>
      </c>
      <c r="G454" s="87">
        <f t="shared" si="7"/>
        <v>0</v>
      </c>
      <c r="H454" s="87"/>
      <c r="I454" s="509"/>
      <c r="J454" s="398"/>
      <c r="K454" s="398"/>
      <c r="L454" s="398"/>
      <c r="M454" s="86"/>
    </row>
    <row r="455" spans="1:13" s="642" customFormat="1" ht="15.75" x14ac:dyDescent="0.25">
      <c r="A455" s="523">
        <v>444</v>
      </c>
      <c r="B455" s="523" t="s">
        <v>1067</v>
      </c>
      <c r="C455" s="555">
        <v>2320</v>
      </c>
      <c r="D455" s="563">
        <v>28000</v>
      </c>
      <c r="E455" s="573">
        <v>311</v>
      </c>
      <c r="F455" s="563">
        <v>28000</v>
      </c>
      <c r="G455" s="87">
        <f t="shared" si="7"/>
        <v>0</v>
      </c>
      <c r="H455" s="87"/>
      <c r="I455" s="509"/>
      <c r="J455" s="398"/>
      <c r="K455" s="398"/>
      <c r="L455" s="398"/>
      <c r="M455" s="86"/>
    </row>
    <row r="456" spans="1:13" s="642" customFormat="1" ht="15.75" x14ac:dyDescent="0.25">
      <c r="A456" s="523">
        <v>445</v>
      </c>
      <c r="B456" s="523" t="s">
        <v>1067</v>
      </c>
      <c r="C456" s="555">
        <v>4776</v>
      </c>
      <c r="D456" s="563">
        <v>30000</v>
      </c>
      <c r="E456" s="573">
        <v>334</v>
      </c>
      <c r="F456" s="563">
        <v>30000</v>
      </c>
      <c r="G456" s="87">
        <f t="shared" si="7"/>
        <v>0</v>
      </c>
      <c r="H456" s="87"/>
      <c r="I456" s="509"/>
      <c r="J456" s="398"/>
      <c r="K456" s="398"/>
      <c r="L456" s="398"/>
      <c r="M456" s="86"/>
    </row>
    <row r="457" spans="1:13" s="642" customFormat="1" ht="15.75" x14ac:dyDescent="0.25">
      <c r="A457" s="523">
        <v>446</v>
      </c>
      <c r="B457" s="523" t="s">
        <v>1067</v>
      </c>
      <c r="C457" s="555">
        <v>8820</v>
      </c>
      <c r="D457" s="563">
        <v>16000</v>
      </c>
      <c r="E457" s="573">
        <v>178</v>
      </c>
      <c r="F457" s="563">
        <v>16000</v>
      </c>
      <c r="G457" s="87">
        <f t="shared" si="7"/>
        <v>0</v>
      </c>
      <c r="H457" s="87"/>
      <c r="I457" s="509"/>
      <c r="J457" s="398"/>
      <c r="K457" s="398"/>
      <c r="L457" s="398"/>
      <c r="M457" s="86"/>
    </row>
    <row r="458" spans="1:13" s="642" customFormat="1" ht="15.75" x14ac:dyDescent="0.25">
      <c r="A458" s="523">
        <v>447</v>
      </c>
      <c r="B458" s="523" t="s">
        <v>1067</v>
      </c>
      <c r="C458" s="555">
        <v>3754</v>
      </c>
      <c r="D458" s="563">
        <v>28000</v>
      </c>
      <c r="E458" s="573">
        <v>311</v>
      </c>
      <c r="F458" s="563">
        <v>28000</v>
      </c>
      <c r="G458" s="87">
        <f t="shared" si="7"/>
        <v>0</v>
      </c>
      <c r="H458" s="87"/>
      <c r="I458" s="509"/>
      <c r="J458" s="398"/>
      <c r="K458" s="398"/>
      <c r="L458" s="398"/>
      <c r="M458" s="86"/>
    </row>
    <row r="459" spans="1:13" s="642" customFormat="1" ht="15.75" x14ac:dyDescent="0.25">
      <c r="A459" s="523">
        <v>448</v>
      </c>
      <c r="B459" s="523" t="s">
        <v>1067</v>
      </c>
      <c r="C459" s="555">
        <v>2882</v>
      </c>
      <c r="D459" s="563">
        <v>28000</v>
      </c>
      <c r="E459" s="573">
        <v>311</v>
      </c>
      <c r="F459" s="563">
        <v>28000</v>
      </c>
      <c r="G459" s="87">
        <f t="shared" si="7"/>
        <v>0</v>
      </c>
      <c r="H459" s="87"/>
      <c r="I459" s="509"/>
      <c r="J459" s="398"/>
      <c r="K459" s="398"/>
      <c r="L459" s="398"/>
      <c r="M459" s="86"/>
    </row>
    <row r="460" spans="1:13" s="642" customFormat="1" ht="15.75" x14ac:dyDescent="0.25">
      <c r="A460" s="523">
        <v>449</v>
      </c>
      <c r="B460" s="523" t="s">
        <v>1067</v>
      </c>
      <c r="C460" s="555">
        <v>7364</v>
      </c>
      <c r="D460" s="563">
        <v>30000</v>
      </c>
      <c r="E460" s="573">
        <v>334</v>
      </c>
      <c r="F460" s="563">
        <v>30000</v>
      </c>
      <c r="G460" s="87">
        <f t="shared" si="7"/>
        <v>0</v>
      </c>
      <c r="H460" s="87"/>
      <c r="I460" s="509"/>
      <c r="J460" s="398"/>
      <c r="K460" s="398"/>
      <c r="L460" s="398"/>
      <c r="M460" s="86"/>
    </row>
    <row r="461" spans="1:13" s="642" customFormat="1" ht="15.75" x14ac:dyDescent="0.25">
      <c r="A461" s="523">
        <v>450</v>
      </c>
      <c r="B461" s="523" t="s">
        <v>1067</v>
      </c>
      <c r="C461" s="555">
        <v>8109</v>
      </c>
      <c r="D461" s="563">
        <v>30000</v>
      </c>
      <c r="E461" s="573">
        <v>334</v>
      </c>
      <c r="F461" s="563">
        <v>30000</v>
      </c>
      <c r="G461" s="87">
        <f t="shared" si="7"/>
        <v>0</v>
      </c>
      <c r="H461" s="87"/>
      <c r="I461" s="509"/>
      <c r="J461" s="398"/>
      <c r="K461" s="398"/>
      <c r="L461" s="398"/>
      <c r="M461" s="86"/>
    </row>
    <row r="462" spans="1:13" s="642" customFormat="1" ht="15.75" x14ac:dyDescent="0.25">
      <c r="A462" s="523">
        <v>451</v>
      </c>
      <c r="B462" s="523" t="s">
        <v>1067</v>
      </c>
      <c r="C462" s="555">
        <v>2481</v>
      </c>
      <c r="D462" s="563">
        <v>22000</v>
      </c>
      <c r="E462" s="573">
        <v>245</v>
      </c>
      <c r="F462" s="563">
        <v>22000</v>
      </c>
      <c r="G462" s="87">
        <f t="shared" si="7"/>
        <v>0</v>
      </c>
      <c r="H462" s="87"/>
      <c r="I462" s="509"/>
      <c r="J462" s="398"/>
      <c r="K462" s="398"/>
      <c r="L462" s="398"/>
      <c r="M462" s="86"/>
    </row>
    <row r="463" spans="1:13" s="642" customFormat="1" ht="15.75" x14ac:dyDescent="0.25">
      <c r="A463" s="523">
        <v>452</v>
      </c>
      <c r="B463" s="523" t="s">
        <v>1067</v>
      </c>
      <c r="C463" s="555" t="s">
        <v>30</v>
      </c>
      <c r="D463" s="563">
        <v>9000</v>
      </c>
      <c r="E463" s="573">
        <v>100</v>
      </c>
      <c r="F463" s="563">
        <v>9000</v>
      </c>
      <c r="G463" s="87">
        <f t="shared" si="7"/>
        <v>0</v>
      </c>
      <c r="H463" s="87"/>
      <c r="I463" s="509"/>
      <c r="J463" s="398"/>
      <c r="K463" s="398"/>
      <c r="L463" s="398"/>
      <c r="M463" s="86"/>
    </row>
    <row r="464" spans="1:13" s="642" customFormat="1" ht="15.75" x14ac:dyDescent="0.25">
      <c r="A464" s="523">
        <v>453</v>
      </c>
      <c r="B464" s="523" t="s">
        <v>1067</v>
      </c>
      <c r="C464" s="555">
        <v>7271</v>
      </c>
      <c r="D464" s="563">
        <v>30000</v>
      </c>
      <c r="E464" s="573">
        <v>334</v>
      </c>
      <c r="F464" s="563">
        <v>30000</v>
      </c>
      <c r="G464" s="87">
        <f t="shared" si="7"/>
        <v>0</v>
      </c>
      <c r="H464" s="87"/>
      <c r="I464" s="509"/>
      <c r="J464" s="398"/>
      <c r="K464" s="398"/>
      <c r="L464" s="398"/>
      <c r="M464" s="86"/>
    </row>
    <row r="465" spans="1:13" s="642" customFormat="1" ht="15.75" x14ac:dyDescent="0.25">
      <c r="A465" s="523">
        <v>454</v>
      </c>
      <c r="B465" s="523" t="s">
        <v>1067</v>
      </c>
      <c r="C465" s="555">
        <v>7880</v>
      </c>
      <c r="D465" s="563">
        <v>28000</v>
      </c>
      <c r="E465" s="573">
        <v>311</v>
      </c>
      <c r="F465" s="563">
        <v>28000</v>
      </c>
      <c r="G465" s="87">
        <f t="shared" si="7"/>
        <v>0</v>
      </c>
      <c r="H465" s="87"/>
      <c r="I465" s="509"/>
      <c r="J465" s="398"/>
      <c r="K465" s="398"/>
      <c r="L465" s="398"/>
      <c r="M465" s="86"/>
    </row>
    <row r="466" spans="1:13" s="642" customFormat="1" ht="15.75" x14ac:dyDescent="0.25">
      <c r="A466" s="523">
        <v>455</v>
      </c>
      <c r="B466" s="523" t="s">
        <v>1067</v>
      </c>
      <c r="C466" s="555">
        <v>4839</v>
      </c>
      <c r="D466" s="563">
        <v>25000</v>
      </c>
      <c r="E466" s="573">
        <v>278</v>
      </c>
      <c r="F466" s="563">
        <v>25000</v>
      </c>
      <c r="G466" s="87">
        <f t="shared" si="7"/>
        <v>0</v>
      </c>
      <c r="H466" s="87"/>
      <c r="I466" s="509"/>
      <c r="J466" s="398"/>
      <c r="K466" s="398"/>
      <c r="L466" s="398"/>
      <c r="M466" s="86"/>
    </row>
    <row r="467" spans="1:13" s="642" customFormat="1" ht="15.75" x14ac:dyDescent="0.25">
      <c r="A467" s="523">
        <v>456</v>
      </c>
      <c r="B467" s="523" t="s">
        <v>1067</v>
      </c>
      <c r="C467" s="607" t="s">
        <v>1078</v>
      </c>
      <c r="D467" s="563">
        <v>28000</v>
      </c>
      <c r="E467" s="573">
        <v>311</v>
      </c>
      <c r="F467" s="563">
        <v>28000</v>
      </c>
      <c r="G467" s="87">
        <f t="shared" si="7"/>
        <v>0</v>
      </c>
      <c r="H467" s="87"/>
      <c r="I467" s="509"/>
      <c r="J467" s="398"/>
      <c r="K467" s="398"/>
      <c r="L467" s="398"/>
      <c r="M467" s="86"/>
    </row>
    <row r="468" spans="1:13" s="642" customFormat="1" ht="15.75" x14ac:dyDescent="0.25">
      <c r="A468" s="523">
        <v>457</v>
      </c>
      <c r="B468" s="523" t="s">
        <v>1067</v>
      </c>
      <c r="C468" s="555">
        <v>4030</v>
      </c>
      <c r="D468" s="563">
        <v>20000</v>
      </c>
      <c r="E468" s="573">
        <v>272</v>
      </c>
      <c r="F468" s="563">
        <v>20000</v>
      </c>
      <c r="G468" s="87">
        <f t="shared" si="7"/>
        <v>0</v>
      </c>
      <c r="H468" s="87"/>
      <c r="I468" s="509"/>
      <c r="J468" s="398"/>
      <c r="K468" s="398"/>
      <c r="L468" s="398"/>
      <c r="M468" s="86"/>
    </row>
    <row r="469" spans="1:13" s="642" customFormat="1" ht="15.75" x14ac:dyDescent="0.25">
      <c r="A469" s="523">
        <v>458</v>
      </c>
      <c r="B469" s="523" t="s">
        <v>1067</v>
      </c>
      <c r="C469" s="555">
        <v>8399</v>
      </c>
      <c r="D469" s="563">
        <v>33000</v>
      </c>
      <c r="E469" s="573">
        <v>356</v>
      </c>
      <c r="F469" s="563">
        <v>33000</v>
      </c>
      <c r="G469" s="87">
        <f t="shared" si="7"/>
        <v>0</v>
      </c>
      <c r="H469" s="87"/>
      <c r="I469" s="509"/>
      <c r="J469" s="398"/>
      <c r="K469" s="398"/>
      <c r="L469" s="398"/>
      <c r="M469" s="86"/>
    </row>
    <row r="470" spans="1:13" s="642" customFormat="1" ht="15.75" x14ac:dyDescent="0.25">
      <c r="A470" s="523">
        <v>459</v>
      </c>
      <c r="B470" s="523" t="s">
        <v>1067</v>
      </c>
      <c r="C470" s="555">
        <v>3585</v>
      </c>
      <c r="D470" s="563">
        <v>57000</v>
      </c>
      <c r="E470" s="573">
        <v>635</v>
      </c>
      <c r="F470" s="563">
        <v>57000</v>
      </c>
      <c r="G470" s="87">
        <f t="shared" si="7"/>
        <v>0</v>
      </c>
      <c r="H470" s="87"/>
      <c r="I470" s="509"/>
      <c r="J470" s="398"/>
      <c r="K470" s="398"/>
      <c r="L470" s="398"/>
      <c r="M470" s="86"/>
    </row>
    <row r="471" spans="1:13" s="642" customFormat="1" ht="15.75" x14ac:dyDescent="0.25">
      <c r="A471" s="523">
        <v>460</v>
      </c>
      <c r="B471" s="523" t="s">
        <v>1067</v>
      </c>
      <c r="C471" s="555">
        <v>1090</v>
      </c>
      <c r="D471" s="563">
        <v>25000</v>
      </c>
      <c r="E471" s="573">
        <v>278</v>
      </c>
      <c r="F471" s="563">
        <v>25000</v>
      </c>
      <c r="G471" s="87">
        <f t="shared" si="7"/>
        <v>0</v>
      </c>
      <c r="H471" s="87"/>
      <c r="I471" s="509"/>
      <c r="J471" s="398"/>
      <c r="K471" s="398"/>
      <c r="L471" s="398"/>
      <c r="M471" s="86"/>
    </row>
    <row r="472" spans="1:13" s="642" customFormat="1" ht="15.75" x14ac:dyDescent="0.25">
      <c r="A472" s="523">
        <v>461</v>
      </c>
      <c r="B472" s="523" t="s">
        <v>1067</v>
      </c>
      <c r="C472" s="555">
        <v>2345</v>
      </c>
      <c r="D472" s="563">
        <v>25000</v>
      </c>
      <c r="E472" s="573">
        <v>278</v>
      </c>
      <c r="F472" s="563">
        <v>25000</v>
      </c>
      <c r="G472" s="87">
        <f t="shared" si="7"/>
        <v>0</v>
      </c>
      <c r="H472" s="87"/>
      <c r="I472" s="509"/>
      <c r="J472" s="398"/>
      <c r="K472" s="398"/>
      <c r="L472" s="398"/>
      <c r="M472" s="86"/>
    </row>
    <row r="473" spans="1:13" s="642" customFormat="1" ht="15.75" x14ac:dyDescent="0.25">
      <c r="A473" s="523">
        <v>462</v>
      </c>
      <c r="B473" s="523" t="s">
        <v>1072</v>
      </c>
      <c r="C473" s="555">
        <v>9194</v>
      </c>
      <c r="D473" s="563">
        <v>27500</v>
      </c>
      <c r="E473" s="573">
        <v>306</v>
      </c>
      <c r="F473" s="563">
        <v>27500</v>
      </c>
      <c r="G473" s="87">
        <f t="shared" si="7"/>
        <v>0</v>
      </c>
      <c r="H473" s="87"/>
      <c r="I473" s="509"/>
      <c r="J473" s="398"/>
      <c r="K473" s="398"/>
      <c r="L473" s="398"/>
      <c r="M473" s="86"/>
    </row>
    <row r="474" spans="1:13" s="642" customFormat="1" ht="15.75" x14ac:dyDescent="0.25">
      <c r="A474" s="523">
        <v>463</v>
      </c>
      <c r="B474" s="523" t="s">
        <v>1072</v>
      </c>
      <c r="C474" s="555">
        <v>6671</v>
      </c>
      <c r="D474" s="563">
        <v>20000</v>
      </c>
      <c r="E474" s="573">
        <v>222</v>
      </c>
      <c r="F474" s="563">
        <v>20000</v>
      </c>
      <c r="G474" s="87">
        <f t="shared" si="7"/>
        <v>0</v>
      </c>
      <c r="H474" s="87"/>
      <c r="I474" s="509"/>
      <c r="J474" s="398"/>
      <c r="K474" s="398"/>
      <c r="L474" s="398"/>
      <c r="M474" s="86"/>
    </row>
    <row r="475" spans="1:13" s="642" customFormat="1" ht="15.75" x14ac:dyDescent="0.25">
      <c r="A475" s="523">
        <v>464</v>
      </c>
      <c r="B475" s="523" t="s">
        <v>1072</v>
      </c>
      <c r="C475" s="555">
        <v>3856</v>
      </c>
      <c r="D475" s="563">
        <v>15000</v>
      </c>
      <c r="E475" s="573">
        <v>167</v>
      </c>
      <c r="F475" s="563">
        <v>15000</v>
      </c>
      <c r="G475" s="87">
        <f t="shared" si="7"/>
        <v>0</v>
      </c>
      <c r="H475" s="87"/>
      <c r="I475" s="509"/>
      <c r="J475" s="398"/>
      <c r="K475" s="398"/>
      <c r="L475" s="398"/>
      <c r="M475" s="86"/>
    </row>
    <row r="476" spans="1:13" s="642" customFormat="1" ht="15.75" x14ac:dyDescent="0.25">
      <c r="A476" s="523">
        <v>465</v>
      </c>
      <c r="B476" s="523" t="s">
        <v>1072</v>
      </c>
      <c r="C476" s="555">
        <v>2693</v>
      </c>
      <c r="D476" s="563">
        <v>15000</v>
      </c>
      <c r="E476" s="573">
        <v>167</v>
      </c>
      <c r="F476" s="563">
        <v>15000</v>
      </c>
      <c r="G476" s="87">
        <f t="shared" si="7"/>
        <v>0</v>
      </c>
      <c r="H476" s="87"/>
      <c r="I476" s="509"/>
      <c r="J476" s="398"/>
      <c r="K476" s="398"/>
      <c r="L476" s="398"/>
      <c r="M476" s="86"/>
    </row>
    <row r="477" spans="1:13" s="642" customFormat="1" ht="15.75" x14ac:dyDescent="0.25">
      <c r="A477" s="523">
        <v>466</v>
      </c>
      <c r="B477" s="523" t="s">
        <v>1072</v>
      </c>
      <c r="C477" s="555">
        <v>4523</v>
      </c>
      <c r="D477" s="563">
        <v>20000</v>
      </c>
      <c r="E477" s="573">
        <v>222</v>
      </c>
      <c r="F477" s="563">
        <v>20000</v>
      </c>
      <c r="G477" s="87">
        <f t="shared" si="7"/>
        <v>0</v>
      </c>
      <c r="H477" s="87"/>
      <c r="I477" s="509"/>
      <c r="J477" s="398"/>
      <c r="K477" s="398"/>
      <c r="L477" s="398"/>
      <c r="M477" s="86"/>
    </row>
    <row r="478" spans="1:13" s="642" customFormat="1" ht="15.75" x14ac:dyDescent="0.25">
      <c r="A478" s="523">
        <v>467</v>
      </c>
      <c r="B478" s="523" t="s">
        <v>1072</v>
      </c>
      <c r="C478" s="607" t="s">
        <v>1079</v>
      </c>
      <c r="D478" s="563">
        <v>20000</v>
      </c>
      <c r="E478" s="573">
        <v>222</v>
      </c>
      <c r="F478" s="563">
        <v>20000</v>
      </c>
      <c r="G478" s="87">
        <f t="shared" si="7"/>
        <v>0</v>
      </c>
      <c r="H478" s="87"/>
      <c r="I478" s="509"/>
      <c r="J478" s="398"/>
      <c r="K478" s="398"/>
      <c r="L478" s="398"/>
      <c r="M478" s="86"/>
    </row>
    <row r="479" spans="1:13" s="642" customFormat="1" ht="15.75" x14ac:dyDescent="0.25">
      <c r="A479" s="523">
        <v>468</v>
      </c>
      <c r="B479" s="523" t="s">
        <v>1072</v>
      </c>
      <c r="C479" s="555">
        <v>3175</v>
      </c>
      <c r="D479" s="563">
        <v>16000</v>
      </c>
      <c r="E479" s="573">
        <v>178</v>
      </c>
      <c r="F479" s="563">
        <v>16000</v>
      </c>
      <c r="G479" s="87">
        <f t="shared" si="7"/>
        <v>0</v>
      </c>
      <c r="H479" s="87"/>
      <c r="I479" s="509"/>
      <c r="J479" s="398"/>
      <c r="K479" s="398"/>
      <c r="L479" s="398"/>
      <c r="M479" s="86"/>
    </row>
    <row r="480" spans="1:13" s="642" customFormat="1" ht="15.75" x14ac:dyDescent="0.25">
      <c r="A480" s="523">
        <v>469</v>
      </c>
      <c r="B480" s="523" t="s">
        <v>1072</v>
      </c>
      <c r="C480" s="555">
        <v>2867</v>
      </c>
      <c r="D480" s="563">
        <v>17000</v>
      </c>
      <c r="E480" s="573">
        <v>189</v>
      </c>
      <c r="F480" s="563">
        <v>17000</v>
      </c>
      <c r="G480" s="87">
        <f t="shared" si="7"/>
        <v>0</v>
      </c>
      <c r="H480" s="87"/>
      <c r="I480" s="509"/>
      <c r="J480" s="398"/>
      <c r="K480" s="398"/>
      <c r="L480" s="398"/>
      <c r="M480" s="86"/>
    </row>
    <row r="481" spans="1:13" s="642" customFormat="1" ht="15.75" x14ac:dyDescent="0.25">
      <c r="A481" s="523">
        <v>470</v>
      </c>
      <c r="B481" s="523" t="s">
        <v>1072</v>
      </c>
      <c r="C481" s="555">
        <v>4820</v>
      </c>
      <c r="D481" s="563">
        <v>16000</v>
      </c>
      <c r="E481" s="573">
        <v>156</v>
      </c>
      <c r="F481" s="563">
        <v>16000</v>
      </c>
      <c r="G481" s="87">
        <f t="shared" si="7"/>
        <v>0</v>
      </c>
      <c r="H481" s="87"/>
      <c r="I481" s="509"/>
      <c r="J481" s="398"/>
      <c r="K481" s="398"/>
      <c r="L481" s="398"/>
      <c r="M481" s="86"/>
    </row>
    <row r="482" spans="1:13" s="642" customFormat="1" ht="15.75" x14ac:dyDescent="0.25">
      <c r="A482" s="523">
        <v>471</v>
      </c>
      <c r="B482" s="523" t="s">
        <v>1072</v>
      </c>
      <c r="C482" s="555">
        <v>5397</v>
      </c>
      <c r="D482" s="563">
        <v>15000</v>
      </c>
      <c r="E482" s="573">
        <v>167</v>
      </c>
      <c r="F482" s="563">
        <v>15000</v>
      </c>
      <c r="G482" s="87">
        <f t="shared" si="7"/>
        <v>0</v>
      </c>
      <c r="H482" s="87"/>
      <c r="I482" s="509"/>
      <c r="J482" s="398"/>
      <c r="K482" s="398"/>
      <c r="L482" s="398"/>
      <c r="M482" s="86"/>
    </row>
    <row r="483" spans="1:13" s="642" customFormat="1" ht="15.75" x14ac:dyDescent="0.25">
      <c r="A483" s="523">
        <v>472</v>
      </c>
      <c r="B483" s="523" t="s">
        <v>1072</v>
      </c>
      <c r="C483" s="555">
        <v>3848</v>
      </c>
      <c r="D483" s="563">
        <v>20000</v>
      </c>
      <c r="E483" s="573">
        <v>222</v>
      </c>
      <c r="F483" s="563">
        <v>20000</v>
      </c>
      <c r="G483" s="87">
        <f t="shared" si="7"/>
        <v>0</v>
      </c>
      <c r="H483" s="87"/>
      <c r="I483" s="509"/>
      <c r="J483" s="398"/>
      <c r="K483" s="398"/>
      <c r="L483" s="398"/>
      <c r="M483" s="86"/>
    </row>
    <row r="484" spans="1:13" s="642" customFormat="1" ht="15.75" x14ac:dyDescent="0.25">
      <c r="A484" s="523">
        <v>473</v>
      </c>
      <c r="B484" s="523" t="s">
        <v>1072</v>
      </c>
      <c r="C484" s="555">
        <v>8981</v>
      </c>
      <c r="D484" s="563">
        <v>27000</v>
      </c>
      <c r="E484" s="573">
        <v>272</v>
      </c>
      <c r="F484" s="563">
        <v>27000</v>
      </c>
      <c r="G484" s="87">
        <f t="shared" si="7"/>
        <v>0</v>
      </c>
      <c r="H484" s="87"/>
      <c r="I484" s="509"/>
      <c r="J484" s="398"/>
      <c r="K484" s="398"/>
      <c r="L484" s="398"/>
      <c r="M484" s="86"/>
    </row>
    <row r="485" spans="1:13" s="642" customFormat="1" ht="15.75" x14ac:dyDescent="0.25">
      <c r="A485" s="523">
        <v>474</v>
      </c>
      <c r="B485" s="523" t="s">
        <v>1072</v>
      </c>
      <c r="C485" s="555">
        <v>2402</v>
      </c>
      <c r="D485" s="563">
        <v>20000</v>
      </c>
      <c r="E485" s="573">
        <v>222</v>
      </c>
      <c r="F485" s="563">
        <v>20000</v>
      </c>
      <c r="G485" s="87">
        <f t="shared" si="7"/>
        <v>0</v>
      </c>
      <c r="H485" s="87"/>
      <c r="I485" s="509"/>
      <c r="J485" s="398"/>
      <c r="K485" s="398"/>
      <c r="L485" s="398"/>
      <c r="M485" s="86"/>
    </row>
    <row r="486" spans="1:13" s="642" customFormat="1" ht="15.75" x14ac:dyDescent="0.25">
      <c r="A486" s="523">
        <v>475</v>
      </c>
      <c r="B486" s="523" t="s">
        <v>1072</v>
      </c>
      <c r="C486" s="555">
        <v>8248</v>
      </c>
      <c r="D486" s="563">
        <v>36000</v>
      </c>
      <c r="E486" s="573">
        <v>334</v>
      </c>
      <c r="F486" s="563">
        <v>36000</v>
      </c>
      <c r="G486" s="87">
        <f t="shared" si="7"/>
        <v>0</v>
      </c>
      <c r="H486" s="87"/>
      <c r="I486" s="509"/>
      <c r="J486" s="398"/>
      <c r="K486" s="398"/>
      <c r="L486" s="398"/>
      <c r="M486" s="86"/>
    </row>
    <row r="487" spans="1:13" s="642" customFormat="1" ht="15.75" x14ac:dyDescent="0.25">
      <c r="A487" s="523">
        <v>476</v>
      </c>
      <c r="B487" s="523" t="s">
        <v>1072</v>
      </c>
      <c r="C487" s="555">
        <v>8246</v>
      </c>
      <c r="D487" s="563">
        <v>36000</v>
      </c>
      <c r="E487" s="573">
        <v>334</v>
      </c>
      <c r="F487" s="563">
        <v>36000</v>
      </c>
      <c r="G487" s="87">
        <f t="shared" si="7"/>
        <v>0</v>
      </c>
      <c r="H487" s="87"/>
      <c r="I487" s="509"/>
      <c r="J487" s="398"/>
      <c r="K487" s="398"/>
      <c r="L487" s="398"/>
      <c r="M487" s="86"/>
    </row>
    <row r="488" spans="1:13" s="642" customFormat="1" ht="15.75" x14ac:dyDescent="0.25">
      <c r="A488" s="523">
        <v>477</v>
      </c>
      <c r="B488" s="523" t="s">
        <v>1072</v>
      </c>
      <c r="C488" s="555">
        <v>5152</v>
      </c>
      <c r="D488" s="563">
        <v>15000</v>
      </c>
      <c r="E488" s="573">
        <v>167</v>
      </c>
      <c r="F488" s="563">
        <v>15000</v>
      </c>
      <c r="G488" s="87">
        <f t="shared" si="7"/>
        <v>0</v>
      </c>
      <c r="H488" s="87"/>
      <c r="I488" s="509"/>
      <c r="J488" s="398"/>
      <c r="K488" s="398"/>
      <c r="L488" s="398"/>
      <c r="M488" s="86"/>
    </row>
    <row r="489" spans="1:13" s="642" customFormat="1" ht="15.75" x14ac:dyDescent="0.25">
      <c r="A489" s="523">
        <v>478</v>
      </c>
      <c r="B489" s="523" t="s">
        <v>1072</v>
      </c>
      <c r="C489" s="555">
        <v>6573</v>
      </c>
      <c r="D489" s="563">
        <v>17000</v>
      </c>
      <c r="E489" s="573">
        <v>168</v>
      </c>
      <c r="F489" s="563">
        <v>17000</v>
      </c>
      <c r="G489" s="87">
        <f t="shared" si="7"/>
        <v>0</v>
      </c>
      <c r="H489" s="87"/>
      <c r="I489" s="509"/>
      <c r="J489" s="398"/>
      <c r="K489" s="398"/>
      <c r="L489" s="398"/>
      <c r="M489" s="86"/>
    </row>
    <row r="490" spans="1:13" s="642" customFormat="1" ht="15.75" x14ac:dyDescent="0.25">
      <c r="A490" s="523">
        <v>479</v>
      </c>
      <c r="B490" s="523" t="s">
        <v>1072</v>
      </c>
      <c r="C490" s="607" t="s">
        <v>1008</v>
      </c>
      <c r="D490" s="563">
        <v>17000</v>
      </c>
      <c r="E490" s="573">
        <v>189</v>
      </c>
      <c r="F490" s="563">
        <v>17000</v>
      </c>
      <c r="G490" s="87">
        <f t="shared" si="7"/>
        <v>0</v>
      </c>
      <c r="H490" s="87"/>
      <c r="I490" s="509"/>
      <c r="J490" s="398"/>
      <c r="K490" s="398"/>
      <c r="L490" s="398"/>
      <c r="M490" s="86"/>
    </row>
    <row r="491" spans="1:13" s="642" customFormat="1" ht="15.75" x14ac:dyDescent="0.25">
      <c r="A491" s="523">
        <v>480</v>
      </c>
      <c r="B491" s="523" t="s">
        <v>1072</v>
      </c>
      <c r="C491" s="555" t="s">
        <v>66</v>
      </c>
      <c r="D491" s="563">
        <v>100</v>
      </c>
      <c r="E491" s="573" t="s">
        <v>66</v>
      </c>
      <c r="F491" s="563">
        <v>100</v>
      </c>
      <c r="G491" s="87">
        <f t="shared" si="7"/>
        <v>0</v>
      </c>
      <c r="H491" s="87"/>
      <c r="I491" s="509"/>
      <c r="J491" s="398"/>
      <c r="K491" s="398"/>
      <c r="L491" s="398"/>
      <c r="M491" s="86"/>
    </row>
    <row r="492" spans="1:13" s="642" customFormat="1" ht="15.75" x14ac:dyDescent="0.25">
      <c r="A492" s="523">
        <v>481</v>
      </c>
      <c r="B492" s="523" t="s">
        <v>1072</v>
      </c>
      <c r="C492" s="555">
        <v>6734</v>
      </c>
      <c r="D492" s="563">
        <v>17000</v>
      </c>
      <c r="E492" s="573">
        <v>159</v>
      </c>
      <c r="F492" s="563">
        <v>17000</v>
      </c>
      <c r="G492" s="87">
        <f t="shared" si="7"/>
        <v>0</v>
      </c>
      <c r="H492" s="87"/>
      <c r="I492" s="509"/>
      <c r="J492" s="398"/>
      <c r="K492" s="398"/>
      <c r="L492" s="398"/>
      <c r="M492" s="86"/>
    </row>
    <row r="493" spans="1:13" s="642" customFormat="1" ht="15.75" x14ac:dyDescent="0.25">
      <c r="A493" s="523">
        <v>482</v>
      </c>
      <c r="B493" s="523" t="s">
        <v>1072</v>
      </c>
      <c r="C493" s="555">
        <v>8595</v>
      </c>
      <c r="D493" s="563">
        <v>14000</v>
      </c>
      <c r="E493" s="573">
        <v>149</v>
      </c>
      <c r="F493" s="563">
        <v>14000</v>
      </c>
      <c r="G493" s="87">
        <f t="shared" si="7"/>
        <v>0</v>
      </c>
      <c r="H493" s="87"/>
      <c r="I493" s="509"/>
      <c r="J493" s="398"/>
      <c r="K493" s="398"/>
      <c r="L493" s="398"/>
      <c r="M493" s="86"/>
    </row>
    <row r="494" spans="1:13" s="642" customFormat="1" ht="15.75" x14ac:dyDescent="0.25">
      <c r="A494" s="523">
        <v>483</v>
      </c>
      <c r="B494" s="523" t="s">
        <v>1072</v>
      </c>
      <c r="C494" s="555">
        <v>4518</v>
      </c>
      <c r="D494" s="563">
        <v>18000</v>
      </c>
      <c r="E494" s="573">
        <v>200</v>
      </c>
      <c r="F494" s="563">
        <v>18000</v>
      </c>
      <c r="G494" s="87">
        <f t="shared" si="7"/>
        <v>0</v>
      </c>
      <c r="H494" s="87"/>
      <c r="I494" s="509"/>
      <c r="J494" s="398"/>
      <c r="K494" s="398"/>
      <c r="L494" s="398"/>
      <c r="M494" s="86"/>
    </row>
    <row r="495" spans="1:13" s="642" customFormat="1" ht="15.75" x14ac:dyDescent="0.25">
      <c r="A495" s="523">
        <v>484</v>
      </c>
      <c r="B495" s="523" t="s">
        <v>1072</v>
      </c>
      <c r="C495" s="555">
        <v>4167</v>
      </c>
      <c r="D495" s="563">
        <v>16000</v>
      </c>
      <c r="E495" s="573">
        <v>178</v>
      </c>
      <c r="F495" s="563">
        <v>16000</v>
      </c>
      <c r="G495" s="87">
        <f t="shared" si="7"/>
        <v>0</v>
      </c>
      <c r="H495" s="87"/>
      <c r="I495" s="509"/>
      <c r="J495" s="398"/>
      <c r="K495" s="398"/>
      <c r="L495" s="398"/>
      <c r="M495" s="86"/>
    </row>
    <row r="496" spans="1:13" s="642" customFormat="1" ht="15.75" x14ac:dyDescent="0.25">
      <c r="A496" s="523">
        <v>485</v>
      </c>
      <c r="B496" s="523" t="s">
        <v>1072</v>
      </c>
      <c r="C496" s="555">
        <v>1720</v>
      </c>
      <c r="D496" s="563">
        <v>16000</v>
      </c>
      <c r="E496" s="573">
        <v>178</v>
      </c>
      <c r="F496" s="563">
        <v>16000</v>
      </c>
      <c r="G496" s="87">
        <f t="shared" si="7"/>
        <v>0</v>
      </c>
      <c r="H496" s="87"/>
      <c r="I496" s="509"/>
      <c r="J496" s="398"/>
      <c r="K496" s="398"/>
      <c r="L496" s="398"/>
      <c r="M496" s="86"/>
    </row>
    <row r="497" spans="1:13" s="642" customFormat="1" ht="15.75" x14ac:dyDescent="0.25">
      <c r="A497" s="523">
        <v>486</v>
      </c>
      <c r="B497" s="523" t="s">
        <v>1072</v>
      </c>
      <c r="C497" s="555">
        <v>6794</v>
      </c>
      <c r="D497" s="563">
        <v>16000</v>
      </c>
      <c r="E497" s="573">
        <v>178</v>
      </c>
      <c r="F497" s="563">
        <v>16000</v>
      </c>
      <c r="G497" s="87">
        <f t="shared" si="7"/>
        <v>0</v>
      </c>
      <c r="H497" s="87"/>
      <c r="I497" s="509"/>
      <c r="J497" s="398"/>
      <c r="K497" s="398"/>
      <c r="L497" s="398"/>
      <c r="M497" s="86"/>
    </row>
    <row r="498" spans="1:13" s="642" customFormat="1" ht="15.75" x14ac:dyDescent="0.25">
      <c r="A498" s="523">
        <v>487</v>
      </c>
      <c r="B498" s="523" t="s">
        <v>1072</v>
      </c>
      <c r="C498" s="555">
        <v>7820</v>
      </c>
      <c r="D498" s="563">
        <v>16000</v>
      </c>
      <c r="E498" s="573">
        <v>159</v>
      </c>
      <c r="F498" s="563">
        <v>16000</v>
      </c>
      <c r="G498" s="87">
        <f t="shared" si="7"/>
        <v>0</v>
      </c>
      <c r="H498" s="87"/>
      <c r="I498" s="509"/>
      <c r="J498" s="398"/>
      <c r="K498" s="398"/>
      <c r="L498" s="398"/>
      <c r="M498" s="86"/>
    </row>
    <row r="499" spans="1:13" s="642" customFormat="1" ht="15.75" x14ac:dyDescent="0.25">
      <c r="A499" s="523">
        <v>488</v>
      </c>
      <c r="B499" s="523" t="s">
        <v>1072</v>
      </c>
      <c r="C499" s="555">
        <v>5921</v>
      </c>
      <c r="D499" s="563">
        <v>27000</v>
      </c>
      <c r="E499" s="573">
        <v>300</v>
      </c>
      <c r="F499" s="563">
        <v>27000</v>
      </c>
      <c r="G499" s="87">
        <f t="shared" si="7"/>
        <v>0</v>
      </c>
      <c r="H499" s="87"/>
      <c r="I499" s="509"/>
      <c r="J499" s="398"/>
      <c r="K499" s="398"/>
      <c r="L499" s="398"/>
      <c r="M499" s="86"/>
    </row>
    <row r="500" spans="1:13" s="642" customFormat="1" ht="15.75" x14ac:dyDescent="0.25">
      <c r="A500" s="523">
        <v>489</v>
      </c>
      <c r="B500" s="523" t="s">
        <v>1072</v>
      </c>
      <c r="C500" s="555">
        <v>9021</v>
      </c>
      <c r="D500" s="563">
        <v>24000</v>
      </c>
      <c r="E500" s="573">
        <v>267</v>
      </c>
      <c r="F500" s="563">
        <v>24000</v>
      </c>
      <c r="G500" s="87">
        <f t="shared" si="7"/>
        <v>0</v>
      </c>
      <c r="H500" s="87"/>
      <c r="I500" s="509"/>
      <c r="J500" s="398"/>
      <c r="K500" s="398"/>
      <c r="L500" s="398"/>
      <c r="M500" s="86"/>
    </row>
    <row r="501" spans="1:13" s="642" customFormat="1" ht="15.75" x14ac:dyDescent="0.25">
      <c r="A501" s="523">
        <v>490</v>
      </c>
      <c r="B501" s="523" t="s">
        <v>1072</v>
      </c>
      <c r="C501" s="555">
        <v>6464</v>
      </c>
      <c r="D501" s="563">
        <v>30000</v>
      </c>
      <c r="E501" s="573">
        <v>334</v>
      </c>
      <c r="F501" s="563">
        <v>30000</v>
      </c>
      <c r="G501" s="87">
        <f t="shared" si="7"/>
        <v>0</v>
      </c>
      <c r="H501" s="87"/>
      <c r="I501" s="509"/>
      <c r="J501" s="398"/>
      <c r="K501" s="398"/>
      <c r="L501" s="398"/>
      <c r="M501" s="86"/>
    </row>
    <row r="502" spans="1:13" s="642" customFormat="1" ht="15.75" x14ac:dyDescent="0.25">
      <c r="A502" s="523">
        <v>491</v>
      </c>
      <c r="B502" s="523" t="s">
        <v>1072</v>
      </c>
      <c r="C502" s="555">
        <v>2273</v>
      </c>
      <c r="D502" s="563">
        <v>28200</v>
      </c>
      <c r="E502" s="573">
        <v>314</v>
      </c>
      <c r="F502" s="563">
        <v>28200</v>
      </c>
      <c r="G502" s="87">
        <f t="shared" si="7"/>
        <v>0</v>
      </c>
      <c r="H502" s="87"/>
      <c r="I502" s="509"/>
      <c r="J502" s="398"/>
      <c r="K502" s="398"/>
      <c r="L502" s="398"/>
      <c r="M502" s="86"/>
    </row>
    <row r="503" spans="1:13" s="642" customFormat="1" ht="15.75" x14ac:dyDescent="0.25">
      <c r="A503" s="523">
        <v>492</v>
      </c>
      <c r="B503" s="523" t="s">
        <v>1072</v>
      </c>
      <c r="C503" s="555">
        <v>9963</v>
      </c>
      <c r="D503" s="563">
        <v>18300</v>
      </c>
      <c r="E503" s="573">
        <v>203</v>
      </c>
      <c r="F503" s="563">
        <v>18300</v>
      </c>
      <c r="G503" s="87">
        <f t="shared" si="7"/>
        <v>0</v>
      </c>
      <c r="H503" s="87"/>
      <c r="I503" s="509"/>
      <c r="J503" s="398"/>
      <c r="K503" s="398"/>
      <c r="L503" s="398"/>
      <c r="M503" s="86"/>
    </row>
    <row r="504" spans="1:13" s="642" customFormat="1" ht="15.75" x14ac:dyDescent="0.25">
      <c r="A504" s="523">
        <v>493</v>
      </c>
      <c r="B504" s="523" t="s">
        <v>1072</v>
      </c>
      <c r="C504" s="555">
        <v>1639</v>
      </c>
      <c r="D504" s="563">
        <v>14000</v>
      </c>
      <c r="E504" s="573">
        <v>155</v>
      </c>
      <c r="F504" s="563">
        <v>14000</v>
      </c>
      <c r="G504" s="87">
        <f t="shared" si="7"/>
        <v>0</v>
      </c>
      <c r="H504" s="87"/>
      <c r="I504" s="509"/>
      <c r="J504" s="398"/>
      <c r="K504" s="398"/>
      <c r="L504" s="398"/>
      <c r="M504" s="86"/>
    </row>
    <row r="505" spans="1:13" s="642" customFormat="1" ht="15.75" x14ac:dyDescent="0.25">
      <c r="A505" s="523">
        <v>494</v>
      </c>
      <c r="B505" s="523" t="s">
        <v>1072</v>
      </c>
      <c r="C505" s="555">
        <v>3738</v>
      </c>
      <c r="D505" s="563">
        <v>36000</v>
      </c>
      <c r="E505" s="573">
        <v>401</v>
      </c>
      <c r="F505" s="563">
        <v>36000</v>
      </c>
      <c r="G505" s="87">
        <f t="shared" si="7"/>
        <v>0</v>
      </c>
      <c r="H505" s="87"/>
      <c r="I505" s="509"/>
      <c r="J505" s="398"/>
      <c r="K505" s="398"/>
      <c r="L505" s="398"/>
      <c r="M505" s="86"/>
    </row>
    <row r="506" spans="1:13" s="642" customFormat="1" ht="15.75" x14ac:dyDescent="0.25">
      <c r="A506" s="523">
        <v>495</v>
      </c>
      <c r="B506" s="523" t="s">
        <v>1072</v>
      </c>
      <c r="C506" s="555">
        <v>5626</v>
      </c>
      <c r="D506" s="563">
        <v>29000</v>
      </c>
      <c r="E506" s="573">
        <v>323</v>
      </c>
      <c r="F506" s="563">
        <v>29000</v>
      </c>
      <c r="G506" s="87">
        <f t="shared" si="7"/>
        <v>0</v>
      </c>
      <c r="H506" s="87"/>
      <c r="I506" s="509"/>
      <c r="J506" s="398"/>
      <c r="K506" s="398"/>
      <c r="L506" s="398"/>
      <c r="M506" s="86"/>
    </row>
    <row r="507" spans="1:13" s="642" customFormat="1" ht="15.75" x14ac:dyDescent="0.25">
      <c r="A507" s="523">
        <v>496</v>
      </c>
      <c r="B507" s="523" t="s">
        <v>1072</v>
      </c>
      <c r="C507" s="555">
        <v>6408</v>
      </c>
      <c r="D507" s="563">
        <v>10000</v>
      </c>
      <c r="E507" s="573">
        <v>111</v>
      </c>
      <c r="F507" s="563">
        <v>10000</v>
      </c>
      <c r="G507" s="87">
        <f t="shared" si="7"/>
        <v>0</v>
      </c>
      <c r="H507" s="87"/>
      <c r="I507" s="509"/>
      <c r="J507" s="398"/>
      <c r="K507" s="398"/>
      <c r="L507" s="398"/>
      <c r="M507" s="86"/>
    </row>
    <row r="508" spans="1:13" s="642" customFormat="1" ht="15.75" x14ac:dyDescent="0.25">
      <c r="A508" s="523">
        <v>497</v>
      </c>
      <c r="B508" s="523" t="s">
        <v>1072</v>
      </c>
      <c r="C508" s="555">
        <v>3377</v>
      </c>
      <c r="D508" s="563">
        <v>20000</v>
      </c>
      <c r="E508" s="573">
        <v>222</v>
      </c>
      <c r="F508" s="563">
        <v>20000</v>
      </c>
      <c r="G508" s="87">
        <f t="shared" si="7"/>
        <v>0</v>
      </c>
      <c r="H508" s="87"/>
      <c r="I508" s="509"/>
      <c r="J508" s="398"/>
      <c r="K508" s="398"/>
      <c r="L508" s="398"/>
      <c r="M508" s="86"/>
    </row>
    <row r="509" spans="1:13" s="642" customFormat="1" ht="15.75" x14ac:dyDescent="0.25">
      <c r="A509" s="523">
        <v>498</v>
      </c>
      <c r="B509" s="523" t="s">
        <v>1072</v>
      </c>
      <c r="C509" s="555">
        <v>4741</v>
      </c>
      <c r="D509" s="563">
        <v>14000</v>
      </c>
      <c r="E509" s="573">
        <v>155</v>
      </c>
      <c r="F509" s="563">
        <v>14000</v>
      </c>
      <c r="G509" s="87">
        <f t="shared" si="7"/>
        <v>0</v>
      </c>
      <c r="H509" s="87"/>
      <c r="I509" s="509"/>
      <c r="J509" s="398"/>
      <c r="K509" s="398"/>
      <c r="L509" s="398"/>
      <c r="M509" s="86"/>
    </row>
    <row r="510" spans="1:13" s="642" customFormat="1" ht="15.75" x14ac:dyDescent="0.25">
      <c r="A510" s="523">
        <v>499</v>
      </c>
      <c r="B510" s="523" t="s">
        <v>1072</v>
      </c>
      <c r="C510" s="555">
        <v>5735</v>
      </c>
      <c r="D510" s="563">
        <v>14000</v>
      </c>
      <c r="E510" s="573">
        <v>155</v>
      </c>
      <c r="F510" s="563">
        <v>14000</v>
      </c>
      <c r="G510" s="87">
        <f t="shared" si="7"/>
        <v>0</v>
      </c>
      <c r="H510" s="87"/>
      <c r="I510" s="509"/>
      <c r="J510" s="398"/>
      <c r="K510" s="398"/>
      <c r="L510" s="398"/>
      <c r="M510" s="86"/>
    </row>
    <row r="511" spans="1:13" s="642" customFormat="1" ht="15.75" x14ac:dyDescent="0.25">
      <c r="A511" s="523">
        <v>500</v>
      </c>
      <c r="B511" s="523" t="s">
        <v>1072</v>
      </c>
      <c r="C511" s="555">
        <v>2516</v>
      </c>
      <c r="D511" s="563">
        <v>24000</v>
      </c>
      <c r="E511" s="573">
        <v>235</v>
      </c>
      <c r="F511" s="563">
        <v>24000</v>
      </c>
      <c r="G511" s="87">
        <f t="shared" si="7"/>
        <v>0</v>
      </c>
      <c r="H511" s="87"/>
      <c r="I511" s="509"/>
      <c r="J511" s="398"/>
      <c r="K511" s="398"/>
      <c r="L511" s="398"/>
      <c r="M511" s="86"/>
    </row>
    <row r="512" spans="1:13" s="642" customFormat="1" ht="15.75" x14ac:dyDescent="0.25">
      <c r="A512" s="523">
        <v>501</v>
      </c>
      <c r="B512" s="523" t="s">
        <v>1072</v>
      </c>
      <c r="C512" s="555">
        <v>1932</v>
      </c>
      <c r="D512" s="563">
        <v>24000</v>
      </c>
      <c r="E512" s="573">
        <v>267</v>
      </c>
      <c r="F512" s="563">
        <v>24000</v>
      </c>
      <c r="G512" s="87">
        <f t="shared" si="7"/>
        <v>0</v>
      </c>
      <c r="H512" s="87"/>
      <c r="I512" s="509"/>
      <c r="J512" s="398"/>
      <c r="K512" s="398"/>
      <c r="L512" s="398"/>
      <c r="M512" s="86"/>
    </row>
    <row r="513" spans="1:13" s="642" customFormat="1" ht="15.75" x14ac:dyDescent="0.25">
      <c r="A513" s="523">
        <v>502</v>
      </c>
      <c r="B513" s="523" t="s">
        <v>1072</v>
      </c>
      <c r="C513" s="555">
        <v>4513</v>
      </c>
      <c r="D513" s="563">
        <v>15000</v>
      </c>
      <c r="E513" s="573">
        <v>167</v>
      </c>
      <c r="F513" s="563">
        <v>15000</v>
      </c>
      <c r="G513" s="87">
        <f t="shared" si="7"/>
        <v>0</v>
      </c>
      <c r="H513" s="87"/>
      <c r="I513" s="509"/>
      <c r="J513" s="398"/>
      <c r="K513" s="398"/>
      <c r="L513" s="398"/>
      <c r="M513" s="86"/>
    </row>
    <row r="514" spans="1:13" s="642" customFormat="1" ht="15.75" x14ac:dyDescent="0.25">
      <c r="A514" s="523">
        <v>503</v>
      </c>
      <c r="B514" s="523" t="s">
        <v>1072</v>
      </c>
      <c r="C514" s="555">
        <v>4083</v>
      </c>
      <c r="D514" s="563">
        <v>15000</v>
      </c>
      <c r="E514" s="573">
        <v>167</v>
      </c>
      <c r="F514" s="563">
        <v>15000</v>
      </c>
      <c r="G514" s="87">
        <f t="shared" si="7"/>
        <v>0</v>
      </c>
      <c r="H514" s="87"/>
      <c r="I514" s="509"/>
      <c r="J514" s="398"/>
      <c r="K514" s="398"/>
      <c r="L514" s="398"/>
      <c r="M514" s="86"/>
    </row>
    <row r="515" spans="1:13" s="642" customFormat="1" ht="15.75" x14ac:dyDescent="0.25">
      <c r="A515" s="523">
        <v>504</v>
      </c>
      <c r="B515" s="523" t="s">
        <v>1072</v>
      </c>
      <c r="C515" s="555">
        <v>2507</v>
      </c>
      <c r="D515" s="563">
        <v>20000</v>
      </c>
      <c r="E515" s="573">
        <v>222</v>
      </c>
      <c r="F515" s="563">
        <v>20000</v>
      </c>
      <c r="G515" s="87">
        <f t="shared" si="7"/>
        <v>0</v>
      </c>
      <c r="H515" s="87"/>
      <c r="I515" s="509"/>
      <c r="J515" s="398"/>
      <c r="K515" s="398"/>
      <c r="L515" s="398"/>
      <c r="M515" s="86"/>
    </row>
    <row r="516" spans="1:13" s="642" customFormat="1" ht="15.75" x14ac:dyDescent="0.25">
      <c r="A516" s="523">
        <v>505</v>
      </c>
      <c r="B516" s="523" t="s">
        <v>1072</v>
      </c>
      <c r="C516" s="555">
        <v>5607</v>
      </c>
      <c r="D516" s="563">
        <v>20000</v>
      </c>
      <c r="E516" s="573">
        <v>222</v>
      </c>
      <c r="F516" s="563">
        <v>20000</v>
      </c>
      <c r="G516" s="87">
        <f t="shared" si="7"/>
        <v>0</v>
      </c>
      <c r="H516" s="87"/>
      <c r="I516" s="509"/>
      <c r="J516" s="398"/>
      <c r="K516" s="398"/>
      <c r="L516" s="398"/>
      <c r="M516" s="86"/>
    </row>
    <row r="517" spans="1:13" s="642" customFormat="1" ht="15.75" x14ac:dyDescent="0.25">
      <c r="A517" s="523">
        <v>506</v>
      </c>
      <c r="B517" s="523" t="s">
        <v>1072</v>
      </c>
      <c r="C517" s="555">
        <v>7171</v>
      </c>
      <c r="D517" s="563">
        <v>20000</v>
      </c>
      <c r="E517" s="573">
        <v>222</v>
      </c>
      <c r="F517" s="563">
        <v>20000</v>
      </c>
      <c r="G517" s="87">
        <f t="shared" ref="G517:G533" si="8">D517-F517</f>
        <v>0</v>
      </c>
      <c r="H517" s="87"/>
      <c r="I517" s="509"/>
      <c r="J517" s="398"/>
      <c r="K517" s="398"/>
      <c r="L517" s="398"/>
      <c r="M517" s="86"/>
    </row>
    <row r="518" spans="1:13" s="642" customFormat="1" ht="15.75" x14ac:dyDescent="0.25">
      <c r="A518" s="523">
        <v>507</v>
      </c>
      <c r="B518" s="523" t="s">
        <v>1072</v>
      </c>
      <c r="C518" s="555">
        <v>3870</v>
      </c>
      <c r="D518" s="563">
        <v>18000</v>
      </c>
      <c r="E518" s="573">
        <v>200</v>
      </c>
      <c r="F518" s="563">
        <v>18000</v>
      </c>
      <c r="G518" s="87">
        <f t="shared" si="8"/>
        <v>0</v>
      </c>
      <c r="H518" s="87"/>
      <c r="I518" s="509"/>
      <c r="J518" s="398"/>
      <c r="K518" s="398"/>
      <c r="L518" s="398"/>
      <c r="M518" s="86"/>
    </row>
    <row r="519" spans="1:13" s="642" customFormat="1" ht="15.75" x14ac:dyDescent="0.25">
      <c r="A519" s="523">
        <v>508</v>
      </c>
      <c r="B519" s="523" t="s">
        <v>1072</v>
      </c>
      <c r="C519" s="555">
        <v>3445</v>
      </c>
      <c r="D519" s="563">
        <v>15000</v>
      </c>
      <c r="E519" s="573">
        <v>167</v>
      </c>
      <c r="F519" s="563">
        <v>15000</v>
      </c>
      <c r="G519" s="87">
        <f t="shared" si="8"/>
        <v>0</v>
      </c>
      <c r="H519" s="87"/>
      <c r="I519" s="509"/>
      <c r="J519" s="398"/>
      <c r="K519" s="398"/>
      <c r="L519" s="398"/>
      <c r="M519" s="86"/>
    </row>
    <row r="520" spans="1:13" s="642" customFormat="1" ht="15.75" x14ac:dyDescent="0.25">
      <c r="A520" s="523">
        <v>509</v>
      </c>
      <c r="B520" s="523" t="s">
        <v>1072</v>
      </c>
      <c r="C520" s="555">
        <v>5949</v>
      </c>
      <c r="D520" s="563">
        <v>50000</v>
      </c>
      <c r="E520" s="573">
        <v>524</v>
      </c>
      <c r="F520" s="563">
        <v>50000</v>
      </c>
      <c r="G520" s="87">
        <f t="shared" si="8"/>
        <v>0</v>
      </c>
      <c r="H520" s="87"/>
      <c r="I520" s="509"/>
      <c r="J520" s="398"/>
      <c r="K520" s="398"/>
      <c r="L520" s="398"/>
      <c r="M520" s="86"/>
    </row>
    <row r="521" spans="1:13" s="642" customFormat="1" ht="15.75" x14ac:dyDescent="0.25">
      <c r="A521" s="523">
        <v>510</v>
      </c>
      <c r="B521" s="523" t="s">
        <v>1073</v>
      </c>
      <c r="C521" s="607" t="s">
        <v>1080</v>
      </c>
      <c r="D521" s="563">
        <v>10000</v>
      </c>
      <c r="E521" s="573">
        <v>111</v>
      </c>
      <c r="F521" s="563">
        <v>10000</v>
      </c>
      <c r="G521" s="87">
        <f t="shared" si="8"/>
        <v>0</v>
      </c>
      <c r="H521" s="87"/>
      <c r="I521" s="509"/>
      <c r="J521" s="398"/>
      <c r="K521" s="398"/>
      <c r="L521" s="398"/>
      <c r="M521" s="86"/>
    </row>
    <row r="522" spans="1:13" s="642" customFormat="1" ht="15.75" x14ac:dyDescent="0.25">
      <c r="A522" s="523">
        <v>511</v>
      </c>
      <c r="B522" s="523" t="s">
        <v>1073</v>
      </c>
      <c r="C522" s="607" t="s">
        <v>1081</v>
      </c>
      <c r="D522" s="563">
        <v>15000</v>
      </c>
      <c r="E522" s="573">
        <v>167</v>
      </c>
      <c r="F522" s="563">
        <v>15000</v>
      </c>
      <c r="G522" s="87">
        <f t="shared" si="8"/>
        <v>0</v>
      </c>
      <c r="H522" s="87"/>
      <c r="I522" s="509"/>
      <c r="J522" s="398"/>
      <c r="K522" s="398"/>
      <c r="L522" s="398"/>
      <c r="M522" s="86"/>
    </row>
    <row r="523" spans="1:13" s="642" customFormat="1" ht="15.75" x14ac:dyDescent="0.25">
      <c r="A523" s="523">
        <v>512</v>
      </c>
      <c r="B523" s="523" t="s">
        <v>1073</v>
      </c>
      <c r="C523" s="555">
        <v>1059</v>
      </c>
      <c r="D523" s="563">
        <v>10000</v>
      </c>
      <c r="E523" s="573">
        <v>111</v>
      </c>
      <c r="F523" s="563">
        <v>10000</v>
      </c>
      <c r="G523" s="87">
        <f t="shared" si="8"/>
        <v>0</v>
      </c>
      <c r="H523" s="87"/>
      <c r="I523" s="509"/>
      <c r="J523" s="398"/>
      <c r="K523" s="398"/>
      <c r="L523" s="398"/>
      <c r="M523" s="86"/>
    </row>
    <row r="524" spans="1:13" s="642" customFormat="1" ht="15.75" x14ac:dyDescent="0.25">
      <c r="A524" s="523">
        <v>513</v>
      </c>
      <c r="B524" s="523" t="s">
        <v>1073</v>
      </c>
      <c r="C524" s="555">
        <v>3245</v>
      </c>
      <c r="D524" s="563">
        <v>17300</v>
      </c>
      <c r="E524" s="573">
        <v>192</v>
      </c>
      <c r="F524" s="563">
        <v>17300</v>
      </c>
      <c r="G524" s="87">
        <f t="shared" si="8"/>
        <v>0</v>
      </c>
      <c r="H524" s="87"/>
      <c r="I524" s="509"/>
      <c r="J524" s="398"/>
      <c r="K524" s="398"/>
      <c r="L524" s="398"/>
      <c r="M524" s="86"/>
    </row>
    <row r="525" spans="1:13" s="642" customFormat="1" ht="15.75" x14ac:dyDescent="0.25">
      <c r="A525" s="523">
        <v>514</v>
      </c>
      <c r="B525" s="523" t="s">
        <v>1073</v>
      </c>
      <c r="C525" s="555">
        <v>3730</v>
      </c>
      <c r="D525" s="563">
        <v>13500</v>
      </c>
      <c r="E525" s="573">
        <v>150</v>
      </c>
      <c r="F525" s="563">
        <v>13500</v>
      </c>
      <c r="G525" s="87">
        <f t="shared" si="8"/>
        <v>0</v>
      </c>
      <c r="H525" s="87"/>
      <c r="I525" s="509"/>
      <c r="J525" s="398"/>
      <c r="K525" s="398"/>
      <c r="L525" s="398"/>
      <c r="M525" s="86"/>
    </row>
    <row r="526" spans="1:13" s="642" customFormat="1" ht="15.75" x14ac:dyDescent="0.25">
      <c r="A526" s="523">
        <v>515</v>
      </c>
      <c r="B526" s="523" t="s">
        <v>1073</v>
      </c>
      <c r="C526" s="607" t="s">
        <v>1081</v>
      </c>
      <c r="D526" s="563">
        <v>23000</v>
      </c>
      <c r="E526" s="573">
        <v>256</v>
      </c>
      <c r="F526" s="563">
        <v>23000</v>
      </c>
      <c r="G526" s="87">
        <f t="shared" si="8"/>
        <v>0</v>
      </c>
      <c r="H526" s="87"/>
      <c r="I526" s="509"/>
      <c r="J526" s="398"/>
      <c r="K526" s="398"/>
      <c r="L526" s="398"/>
      <c r="M526" s="86"/>
    </row>
    <row r="527" spans="1:13" s="642" customFormat="1" ht="15.75" x14ac:dyDescent="0.25">
      <c r="A527" s="523">
        <v>516</v>
      </c>
      <c r="B527" s="523" t="s">
        <v>1073</v>
      </c>
      <c r="C527" s="554" t="s">
        <v>1082</v>
      </c>
      <c r="D527" s="87">
        <v>32000</v>
      </c>
      <c r="E527" s="573">
        <v>356</v>
      </c>
      <c r="F527" s="87">
        <v>32000</v>
      </c>
      <c r="G527" s="87">
        <f t="shared" si="8"/>
        <v>0</v>
      </c>
      <c r="H527" s="87"/>
      <c r="I527" s="509"/>
      <c r="J527" s="398"/>
      <c r="K527" s="398"/>
      <c r="L527" s="398"/>
      <c r="M527" s="86"/>
    </row>
    <row r="528" spans="1:13" s="642" customFormat="1" ht="15.75" x14ac:dyDescent="0.25">
      <c r="A528" s="523">
        <v>517</v>
      </c>
      <c r="B528" s="523" t="s">
        <v>1073</v>
      </c>
      <c r="C528" s="555">
        <v>5532</v>
      </c>
      <c r="D528" s="563">
        <v>50000</v>
      </c>
      <c r="E528" s="573">
        <v>557</v>
      </c>
      <c r="F528" s="563">
        <v>50000</v>
      </c>
      <c r="G528" s="87">
        <f t="shared" si="8"/>
        <v>0</v>
      </c>
      <c r="H528" s="87"/>
      <c r="I528" s="509"/>
      <c r="J528" s="398"/>
      <c r="K528" s="398"/>
      <c r="L528" s="398"/>
      <c r="M528" s="86"/>
    </row>
    <row r="529" spans="1:13" s="642" customFormat="1" ht="15.75" x14ac:dyDescent="0.25">
      <c r="A529" s="523">
        <v>518</v>
      </c>
      <c r="B529" s="523" t="s">
        <v>1073</v>
      </c>
      <c r="C529" s="555">
        <v>2555</v>
      </c>
      <c r="D529" s="563">
        <v>30000</v>
      </c>
      <c r="E529" s="573">
        <v>334</v>
      </c>
      <c r="F529" s="563">
        <v>30000</v>
      </c>
      <c r="G529" s="87">
        <f t="shared" si="8"/>
        <v>0</v>
      </c>
      <c r="H529" s="87"/>
      <c r="I529" s="509"/>
      <c r="J529" s="398"/>
      <c r="K529" s="398"/>
      <c r="L529" s="398"/>
      <c r="M529" s="86"/>
    </row>
    <row r="530" spans="1:13" s="642" customFormat="1" ht="15.75" x14ac:dyDescent="0.25">
      <c r="A530" s="523">
        <v>519</v>
      </c>
      <c r="B530" s="523" t="s">
        <v>1073</v>
      </c>
      <c r="C530" s="555">
        <v>2796</v>
      </c>
      <c r="D530" s="563">
        <v>29000</v>
      </c>
      <c r="E530" s="573">
        <v>311</v>
      </c>
      <c r="F530" s="563">
        <v>29000</v>
      </c>
      <c r="G530" s="87">
        <f t="shared" si="8"/>
        <v>0</v>
      </c>
      <c r="H530" s="87"/>
      <c r="I530" s="509"/>
      <c r="J530" s="398"/>
      <c r="K530" s="398"/>
      <c r="L530" s="398"/>
      <c r="M530" s="86"/>
    </row>
    <row r="531" spans="1:13" s="642" customFormat="1" ht="15.75" x14ac:dyDescent="0.25">
      <c r="A531" s="523">
        <v>520</v>
      </c>
      <c r="B531" s="523" t="s">
        <v>1073</v>
      </c>
      <c r="C531" s="555">
        <v>3662</v>
      </c>
      <c r="D531" s="563">
        <v>22000</v>
      </c>
      <c r="E531" s="573">
        <v>245</v>
      </c>
      <c r="F531" s="563">
        <v>22000</v>
      </c>
      <c r="G531" s="87">
        <f t="shared" si="8"/>
        <v>0</v>
      </c>
      <c r="H531" s="87"/>
      <c r="I531" s="509"/>
      <c r="J531" s="398"/>
      <c r="K531" s="398"/>
      <c r="L531" s="398"/>
      <c r="M531" s="86"/>
    </row>
    <row r="532" spans="1:13" s="642" customFormat="1" ht="15.75" x14ac:dyDescent="0.25">
      <c r="A532" s="523">
        <v>521</v>
      </c>
      <c r="B532" s="523" t="s">
        <v>1073</v>
      </c>
      <c r="C532" s="555">
        <v>9099</v>
      </c>
      <c r="D532" s="563">
        <v>25000</v>
      </c>
      <c r="E532" s="573">
        <v>278</v>
      </c>
      <c r="F532" s="563">
        <v>25000</v>
      </c>
      <c r="G532" s="87">
        <f t="shared" si="8"/>
        <v>0</v>
      </c>
      <c r="H532" s="87"/>
      <c r="I532" s="509"/>
      <c r="J532" s="398"/>
      <c r="K532" s="398"/>
      <c r="L532" s="398"/>
      <c r="M532" s="86"/>
    </row>
    <row r="533" spans="1:13" s="642" customFormat="1" ht="15.75" x14ac:dyDescent="0.25">
      <c r="A533" s="523">
        <v>522</v>
      </c>
      <c r="B533" s="523" t="s">
        <v>1073</v>
      </c>
      <c r="C533" s="555">
        <v>6521</v>
      </c>
      <c r="D533" s="563">
        <v>27000</v>
      </c>
      <c r="E533" s="573">
        <v>300</v>
      </c>
      <c r="F533" s="563">
        <v>27000</v>
      </c>
      <c r="G533" s="87">
        <f t="shared" si="8"/>
        <v>0</v>
      </c>
      <c r="H533" s="87"/>
      <c r="I533" s="509"/>
      <c r="J533" s="398"/>
      <c r="K533" s="398"/>
      <c r="L533" s="398"/>
      <c r="M533" s="86"/>
    </row>
    <row r="534" spans="1:13" s="642" customFormat="1" ht="15.75" x14ac:dyDescent="0.25">
      <c r="A534" s="523">
        <v>523</v>
      </c>
      <c r="B534" s="523" t="s">
        <v>1073</v>
      </c>
      <c r="C534" s="555">
        <v>8784</v>
      </c>
      <c r="D534" s="563">
        <v>20000</v>
      </c>
      <c r="E534" s="573">
        <v>222</v>
      </c>
      <c r="F534" s="563">
        <v>20000</v>
      </c>
      <c r="G534" s="87">
        <f>D535-F534</f>
        <v>0</v>
      </c>
      <c r="H534" s="87"/>
      <c r="I534" s="509"/>
      <c r="J534" s="398"/>
      <c r="K534" s="398"/>
      <c r="L534" s="398"/>
      <c r="M534" s="86"/>
    </row>
    <row r="535" spans="1:13" s="642" customFormat="1" ht="15.75" x14ac:dyDescent="0.25">
      <c r="A535" s="523">
        <v>524</v>
      </c>
      <c r="B535" s="523" t="s">
        <v>1074</v>
      </c>
      <c r="C535" s="555">
        <v>7709</v>
      </c>
      <c r="D535" s="563">
        <v>20000</v>
      </c>
      <c r="E535" s="573">
        <v>222</v>
      </c>
      <c r="F535" s="563">
        <v>20000</v>
      </c>
      <c r="G535" s="87">
        <f t="shared" ref="G535:G598" si="9">D535-F535</f>
        <v>0</v>
      </c>
      <c r="H535" s="87"/>
      <c r="I535" s="509"/>
      <c r="J535" s="398"/>
      <c r="K535" s="398"/>
      <c r="L535" s="398"/>
      <c r="M535" s="86"/>
    </row>
    <row r="536" spans="1:13" s="642" customFormat="1" ht="15.75" x14ac:dyDescent="0.25">
      <c r="A536" s="523">
        <v>525</v>
      </c>
      <c r="B536" s="523" t="s">
        <v>1074</v>
      </c>
      <c r="C536" s="555">
        <v>7471</v>
      </c>
      <c r="D536" s="563">
        <v>20000</v>
      </c>
      <c r="E536" s="573">
        <v>222</v>
      </c>
      <c r="F536" s="563">
        <v>20000</v>
      </c>
      <c r="G536" s="87">
        <f t="shared" si="9"/>
        <v>0</v>
      </c>
      <c r="H536" s="87"/>
      <c r="I536" s="509"/>
      <c r="J536" s="398"/>
      <c r="K536" s="398"/>
      <c r="L536" s="398"/>
      <c r="M536" s="86"/>
    </row>
    <row r="537" spans="1:13" s="642" customFormat="1" ht="15.75" x14ac:dyDescent="0.25">
      <c r="A537" s="523">
        <v>526</v>
      </c>
      <c r="B537" s="523" t="s">
        <v>1074</v>
      </c>
      <c r="C537" s="555">
        <v>3636</v>
      </c>
      <c r="D537" s="563">
        <v>20000</v>
      </c>
      <c r="E537" s="573">
        <v>222</v>
      </c>
      <c r="F537" s="563">
        <v>20000</v>
      </c>
      <c r="G537" s="87">
        <f t="shared" si="9"/>
        <v>0</v>
      </c>
      <c r="H537" s="87"/>
      <c r="I537" s="509"/>
      <c r="J537" s="398"/>
      <c r="K537" s="398"/>
      <c r="L537" s="398"/>
      <c r="M537" s="86"/>
    </row>
    <row r="538" spans="1:13" s="642" customFormat="1" ht="15.75" x14ac:dyDescent="0.25">
      <c r="A538" s="523">
        <v>527</v>
      </c>
      <c r="B538" s="523" t="s">
        <v>1074</v>
      </c>
      <c r="C538" s="555">
        <v>6957</v>
      </c>
      <c r="D538" s="563">
        <v>20000</v>
      </c>
      <c r="E538" s="573">
        <v>222</v>
      </c>
      <c r="F538" s="563">
        <v>20000</v>
      </c>
      <c r="G538" s="87">
        <f t="shared" si="9"/>
        <v>0</v>
      </c>
      <c r="H538" s="87"/>
      <c r="I538" s="509"/>
      <c r="J538" s="398"/>
      <c r="K538" s="398"/>
      <c r="L538" s="398"/>
      <c r="M538" s="86"/>
    </row>
    <row r="539" spans="1:13" s="642" customFormat="1" ht="15.75" x14ac:dyDescent="0.25">
      <c r="A539" s="523">
        <v>528</v>
      </c>
      <c r="B539" s="523" t="s">
        <v>1074</v>
      </c>
      <c r="C539" s="555">
        <v>4071</v>
      </c>
      <c r="D539" s="563">
        <v>20000</v>
      </c>
      <c r="E539" s="573">
        <v>222</v>
      </c>
      <c r="F539" s="563">
        <v>20000</v>
      </c>
      <c r="G539" s="87">
        <f t="shared" si="9"/>
        <v>0</v>
      </c>
      <c r="H539" s="87"/>
      <c r="I539" s="509"/>
      <c r="J539" s="398"/>
      <c r="K539" s="398"/>
      <c r="L539" s="398"/>
      <c r="M539" s="86"/>
    </row>
    <row r="540" spans="1:13" s="642" customFormat="1" ht="15.75" x14ac:dyDescent="0.25">
      <c r="A540" s="523">
        <v>529</v>
      </c>
      <c r="B540" s="523" t="s">
        <v>1074</v>
      </c>
      <c r="C540" s="555">
        <v>3037</v>
      </c>
      <c r="D540" s="563">
        <v>20000</v>
      </c>
      <c r="E540" s="573">
        <v>222</v>
      </c>
      <c r="F540" s="563">
        <v>20000</v>
      </c>
      <c r="G540" s="87">
        <f t="shared" si="9"/>
        <v>0</v>
      </c>
      <c r="H540" s="87"/>
      <c r="I540" s="509"/>
      <c r="J540" s="398"/>
      <c r="K540" s="398"/>
      <c r="L540" s="398"/>
      <c r="M540" s="86"/>
    </row>
    <row r="541" spans="1:13" s="642" customFormat="1" ht="15.75" x14ac:dyDescent="0.25">
      <c r="A541" s="523">
        <v>530</v>
      </c>
      <c r="B541" s="523" t="s">
        <v>1074</v>
      </c>
      <c r="C541" s="555">
        <v>2371</v>
      </c>
      <c r="D541" s="563">
        <v>20000</v>
      </c>
      <c r="E541" s="573">
        <v>222</v>
      </c>
      <c r="F541" s="563">
        <v>20000</v>
      </c>
      <c r="G541" s="87">
        <f t="shared" si="9"/>
        <v>0</v>
      </c>
      <c r="H541" s="87"/>
      <c r="I541" s="509"/>
      <c r="J541" s="398"/>
      <c r="K541" s="398"/>
      <c r="L541" s="398"/>
      <c r="M541" s="86"/>
    </row>
    <row r="542" spans="1:13" s="642" customFormat="1" ht="15.75" x14ac:dyDescent="0.25">
      <c r="A542" s="523">
        <v>531</v>
      </c>
      <c r="B542" s="523" t="s">
        <v>1074</v>
      </c>
      <c r="C542" s="555">
        <v>6871</v>
      </c>
      <c r="D542" s="563">
        <v>20000</v>
      </c>
      <c r="E542" s="573">
        <v>222</v>
      </c>
      <c r="F542" s="563">
        <v>20000</v>
      </c>
      <c r="G542" s="87">
        <f t="shared" si="9"/>
        <v>0</v>
      </c>
      <c r="H542" s="87"/>
      <c r="I542" s="509"/>
      <c r="J542" s="398"/>
      <c r="K542" s="398"/>
      <c r="L542" s="398"/>
      <c r="M542" s="86"/>
    </row>
    <row r="543" spans="1:13" s="642" customFormat="1" ht="15.75" x14ac:dyDescent="0.25">
      <c r="A543" s="523">
        <v>532</v>
      </c>
      <c r="B543" s="523" t="s">
        <v>1074</v>
      </c>
      <c r="C543" s="607" t="s">
        <v>873</v>
      </c>
      <c r="D543" s="563">
        <v>15000</v>
      </c>
      <c r="E543" s="573">
        <v>167</v>
      </c>
      <c r="F543" s="563">
        <v>15000</v>
      </c>
      <c r="G543" s="87">
        <f t="shared" si="9"/>
        <v>0</v>
      </c>
      <c r="H543" s="87"/>
      <c r="I543" s="509"/>
      <c r="J543" s="398"/>
      <c r="K543" s="398"/>
      <c r="L543" s="398"/>
      <c r="M543" s="86"/>
    </row>
    <row r="544" spans="1:13" s="643" customFormat="1" ht="15.75" x14ac:dyDescent="0.25">
      <c r="A544" s="523">
        <v>533</v>
      </c>
      <c r="B544" s="523" t="s">
        <v>1074</v>
      </c>
      <c r="C544" s="555">
        <v>6555</v>
      </c>
      <c r="D544" s="563">
        <v>15000</v>
      </c>
      <c r="E544" s="573">
        <v>167</v>
      </c>
      <c r="F544" s="563">
        <v>15000</v>
      </c>
      <c r="G544" s="87">
        <f t="shared" si="9"/>
        <v>0</v>
      </c>
      <c r="H544" s="87"/>
      <c r="I544" s="509"/>
      <c r="J544" s="398"/>
      <c r="K544" s="398"/>
      <c r="L544" s="398"/>
      <c r="M544" s="86"/>
    </row>
    <row r="545" spans="1:13" s="643" customFormat="1" ht="15.75" x14ac:dyDescent="0.25">
      <c r="A545" s="523">
        <v>534</v>
      </c>
      <c r="B545" s="523" t="s">
        <v>1074</v>
      </c>
      <c r="C545" s="555">
        <v>7677</v>
      </c>
      <c r="D545" s="563">
        <v>15000</v>
      </c>
      <c r="E545" s="573">
        <v>167</v>
      </c>
      <c r="F545" s="563">
        <v>15000</v>
      </c>
      <c r="G545" s="87">
        <f t="shared" si="9"/>
        <v>0</v>
      </c>
      <c r="H545" s="87"/>
      <c r="I545" s="509"/>
      <c r="J545" s="398"/>
      <c r="K545" s="398"/>
      <c r="L545" s="398"/>
      <c r="M545" s="86"/>
    </row>
    <row r="546" spans="1:13" s="643" customFormat="1" ht="15.75" x14ac:dyDescent="0.25">
      <c r="A546" s="523">
        <v>535</v>
      </c>
      <c r="B546" s="523" t="s">
        <v>1074</v>
      </c>
      <c r="C546" s="555">
        <v>3855</v>
      </c>
      <c r="D546" s="563">
        <v>16000</v>
      </c>
      <c r="E546" s="573">
        <v>178</v>
      </c>
      <c r="F546" s="563">
        <v>16000</v>
      </c>
      <c r="G546" s="87">
        <f t="shared" si="9"/>
        <v>0</v>
      </c>
      <c r="H546" s="87"/>
      <c r="I546" s="509"/>
      <c r="J546" s="398"/>
      <c r="K546" s="398"/>
      <c r="L546" s="398"/>
      <c r="M546" s="86"/>
    </row>
    <row r="547" spans="1:13" s="643" customFormat="1" ht="15.75" x14ac:dyDescent="0.25">
      <c r="A547" s="523">
        <v>536</v>
      </c>
      <c r="B547" s="523" t="s">
        <v>1074</v>
      </c>
      <c r="C547" s="555">
        <v>6735</v>
      </c>
      <c r="D547" s="563">
        <v>16000</v>
      </c>
      <c r="E547" s="573">
        <v>178</v>
      </c>
      <c r="F547" s="563">
        <v>16000</v>
      </c>
      <c r="G547" s="87">
        <f t="shared" si="9"/>
        <v>0</v>
      </c>
      <c r="H547" s="87"/>
      <c r="I547" s="509"/>
      <c r="J547" s="398"/>
      <c r="K547" s="398"/>
      <c r="L547" s="398"/>
      <c r="M547" s="86"/>
    </row>
    <row r="548" spans="1:13" s="643" customFormat="1" ht="15.75" x14ac:dyDescent="0.25">
      <c r="A548" s="523">
        <v>537</v>
      </c>
      <c r="B548" s="523" t="s">
        <v>1074</v>
      </c>
      <c r="C548" s="555">
        <v>1738</v>
      </c>
      <c r="D548" s="563">
        <v>16000</v>
      </c>
      <c r="E548" s="573">
        <v>178</v>
      </c>
      <c r="F548" s="563">
        <v>16000</v>
      </c>
      <c r="G548" s="87">
        <f t="shared" si="9"/>
        <v>0</v>
      </c>
      <c r="H548" s="87"/>
      <c r="I548" s="509"/>
      <c r="J548" s="398"/>
      <c r="K548" s="398"/>
      <c r="L548" s="398"/>
      <c r="M548" s="86"/>
    </row>
    <row r="549" spans="1:13" s="643" customFormat="1" ht="15.75" x14ac:dyDescent="0.25">
      <c r="A549" s="523">
        <v>538</v>
      </c>
      <c r="B549" s="523" t="s">
        <v>1074</v>
      </c>
      <c r="C549" s="555">
        <v>8820</v>
      </c>
      <c r="D549" s="563">
        <v>16000</v>
      </c>
      <c r="E549" s="573">
        <v>178</v>
      </c>
      <c r="F549" s="573">
        <v>16000</v>
      </c>
      <c r="G549" s="87">
        <f t="shared" si="9"/>
        <v>0</v>
      </c>
      <c r="H549" s="87"/>
      <c r="I549" s="509"/>
      <c r="J549" s="398"/>
      <c r="K549" s="398"/>
      <c r="L549" s="398"/>
      <c r="M549" s="86"/>
    </row>
    <row r="550" spans="1:13" s="643" customFormat="1" ht="15.75" x14ac:dyDescent="0.25">
      <c r="A550" s="523">
        <v>539</v>
      </c>
      <c r="B550" s="523" t="s">
        <v>1074</v>
      </c>
      <c r="C550" s="555">
        <v>8371</v>
      </c>
      <c r="D550" s="563">
        <v>25000</v>
      </c>
      <c r="E550" s="573">
        <v>278</v>
      </c>
      <c r="F550" s="563">
        <v>25000</v>
      </c>
      <c r="G550" s="87">
        <f t="shared" si="9"/>
        <v>0</v>
      </c>
      <c r="H550" s="87"/>
      <c r="I550" s="509"/>
      <c r="J550" s="398"/>
      <c r="K550" s="398"/>
      <c r="L550" s="398"/>
      <c r="M550" s="86"/>
    </row>
    <row r="551" spans="1:13" s="643" customFormat="1" ht="15.75" x14ac:dyDescent="0.25">
      <c r="A551" s="523">
        <v>540</v>
      </c>
      <c r="B551" s="523" t="s">
        <v>1074</v>
      </c>
      <c r="C551" s="555">
        <v>8171</v>
      </c>
      <c r="D551" s="563">
        <v>25000</v>
      </c>
      <c r="E551" s="573">
        <v>278</v>
      </c>
      <c r="F551" s="563">
        <v>25000</v>
      </c>
      <c r="G551" s="87">
        <f t="shared" si="9"/>
        <v>0</v>
      </c>
      <c r="H551" s="87"/>
      <c r="I551" s="509"/>
      <c r="J551" s="398"/>
      <c r="K551" s="398"/>
      <c r="L551" s="398"/>
      <c r="M551" s="86"/>
    </row>
    <row r="552" spans="1:13" s="643" customFormat="1" ht="15.75" x14ac:dyDescent="0.25">
      <c r="A552" s="523">
        <v>541</v>
      </c>
      <c r="B552" s="523" t="s">
        <v>1074</v>
      </c>
      <c r="C552" s="555">
        <v>8105</v>
      </c>
      <c r="D552" s="563">
        <v>19000</v>
      </c>
      <c r="E552" s="573">
        <v>211</v>
      </c>
      <c r="F552" s="563">
        <v>19000</v>
      </c>
      <c r="G552" s="87">
        <f t="shared" si="9"/>
        <v>0</v>
      </c>
      <c r="H552" s="87"/>
      <c r="I552" s="509"/>
      <c r="J552" s="398"/>
      <c r="K552" s="398"/>
      <c r="L552" s="398"/>
      <c r="M552" s="86"/>
    </row>
    <row r="553" spans="1:13" s="643" customFormat="1" ht="15.75" x14ac:dyDescent="0.25">
      <c r="A553" s="523">
        <v>542</v>
      </c>
      <c r="B553" s="523" t="s">
        <v>1074</v>
      </c>
      <c r="C553" s="555">
        <v>3665</v>
      </c>
      <c r="D553" s="563">
        <v>19000</v>
      </c>
      <c r="E553" s="573">
        <v>211</v>
      </c>
      <c r="F553" s="563">
        <v>19000</v>
      </c>
      <c r="G553" s="87">
        <f t="shared" si="9"/>
        <v>0</v>
      </c>
      <c r="H553" s="87"/>
      <c r="I553" s="509"/>
      <c r="J553" s="398"/>
      <c r="K553" s="398"/>
      <c r="L553" s="398"/>
      <c r="M553" s="86"/>
    </row>
    <row r="554" spans="1:13" s="643" customFormat="1" ht="15.75" x14ac:dyDescent="0.25">
      <c r="A554" s="523">
        <v>543</v>
      </c>
      <c r="B554" s="523" t="s">
        <v>1074</v>
      </c>
      <c r="C554" s="555">
        <v>5780</v>
      </c>
      <c r="D554" s="563">
        <v>10000</v>
      </c>
      <c r="E554" s="573">
        <v>111</v>
      </c>
      <c r="F554" s="563">
        <v>10000</v>
      </c>
      <c r="G554" s="87">
        <f t="shared" si="9"/>
        <v>0</v>
      </c>
      <c r="H554" s="87"/>
      <c r="I554" s="509"/>
      <c r="J554" s="398"/>
      <c r="K554" s="398"/>
      <c r="L554" s="398"/>
      <c r="M554" s="86"/>
    </row>
    <row r="555" spans="1:13" s="643" customFormat="1" ht="15.75" x14ac:dyDescent="0.25">
      <c r="A555" s="523">
        <v>544</v>
      </c>
      <c r="B555" s="523" t="s">
        <v>1074</v>
      </c>
      <c r="C555" s="555">
        <v>2969</v>
      </c>
      <c r="D555" s="563">
        <v>9000</v>
      </c>
      <c r="E555" s="573">
        <v>100</v>
      </c>
      <c r="F555" s="563">
        <v>9000</v>
      </c>
      <c r="G555" s="87">
        <f t="shared" si="9"/>
        <v>0</v>
      </c>
      <c r="H555" s="87"/>
      <c r="I555" s="509"/>
      <c r="J555" s="398"/>
      <c r="K555" s="398"/>
      <c r="L555" s="398"/>
      <c r="M555" s="86"/>
    </row>
    <row r="556" spans="1:13" s="643" customFormat="1" ht="15.75" x14ac:dyDescent="0.25">
      <c r="A556" s="523">
        <v>545</v>
      </c>
      <c r="B556" s="523" t="s">
        <v>1074</v>
      </c>
      <c r="C556" s="555">
        <v>8549</v>
      </c>
      <c r="D556" s="563">
        <v>16500</v>
      </c>
      <c r="E556" s="573">
        <v>183</v>
      </c>
      <c r="F556" s="563">
        <v>16500</v>
      </c>
      <c r="G556" s="87">
        <f t="shared" si="9"/>
        <v>0</v>
      </c>
      <c r="H556" s="87"/>
      <c r="I556" s="509"/>
      <c r="J556" s="398"/>
      <c r="K556" s="398"/>
      <c r="L556" s="398"/>
      <c r="M556" s="86"/>
    </row>
    <row r="557" spans="1:13" s="643" customFormat="1" ht="15.75" x14ac:dyDescent="0.25">
      <c r="A557" s="523">
        <v>546</v>
      </c>
      <c r="B557" s="523" t="s">
        <v>1074</v>
      </c>
      <c r="C557" s="555" t="s">
        <v>30</v>
      </c>
      <c r="D557" s="563">
        <v>5500</v>
      </c>
      <c r="E557" s="573">
        <v>61</v>
      </c>
      <c r="F557" s="563">
        <v>5500</v>
      </c>
      <c r="G557" s="87">
        <f t="shared" si="9"/>
        <v>0</v>
      </c>
      <c r="H557" s="87"/>
      <c r="I557" s="509"/>
      <c r="J557" s="398"/>
      <c r="K557" s="398"/>
      <c r="L557" s="398"/>
      <c r="M557" s="86"/>
    </row>
    <row r="558" spans="1:13" s="643" customFormat="1" ht="15.75" x14ac:dyDescent="0.25">
      <c r="A558" s="523">
        <v>547</v>
      </c>
      <c r="B558" s="523" t="s">
        <v>1074</v>
      </c>
      <c r="C558" s="555" t="s">
        <v>30</v>
      </c>
      <c r="D558" s="563">
        <v>5000</v>
      </c>
      <c r="E558" s="573">
        <v>55</v>
      </c>
      <c r="F558" s="563">
        <v>5000</v>
      </c>
      <c r="G558" s="87">
        <f t="shared" si="9"/>
        <v>0</v>
      </c>
      <c r="H558" s="87"/>
      <c r="I558" s="509"/>
      <c r="J558" s="398"/>
      <c r="K558" s="398"/>
      <c r="L558" s="398"/>
      <c r="M558" s="86"/>
    </row>
    <row r="559" spans="1:13" s="643" customFormat="1" ht="15.75" x14ac:dyDescent="0.25">
      <c r="A559" s="523">
        <v>548</v>
      </c>
      <c r="B559" s="523" t="s">
        <v>1074</v>
      </c>
      <c r="C559" s="555">
        <v>4725</v>
      </c>
      <c r="D559" s="563">
        <v>12000</v>
      </c>
      <c r="E559" s="573">
        <v>133</v>
      </c>
      <c r="F559" s="563">
        <v>12000</v>
      </c>
      <c r="G559" s="87">
        <f t="shared" si="9"/>
        <v>0</v>
      </c>
      <c r="H559" s="87"/>
      <c r="I559" s="509"/>
      <c r="J559" s="398"/>
      <c r="K559" s="398"/>
      <c r="L559" s="398"/>
      <c r="M559" s="86"/>
    </row>
    <row r="560" spans="1:13" s="643" customFormat="1" ht="15.75" x14ac:dyDescent="0.25">
      <c r="A560" s="523">
        <v>549</v>
      </c>
      <c r="B560" s="523" t="s">
        <v>1074</v>
      </c>
      <c r="C560" s="555">
        <v>3572</v>
      </c>
      <c r="D560" s="563">
        <v>37000</v>
      </c>
      <c r="E560" s="573">
        <v>384</v>
      </c>
      <c r="F560" s="563">
        <v>37000</v>
      </c>
      <c r="G560" s="87">
        <f t="shared" si="9"/>
        <v>0</v>
      </c>
      <c r="H560" s="87"/>
      <c r="I560" s="509"/>
      <c r="J560" s="398"/>
      <c r="K560" s="398"/>
      <c r="L560" s="398"/>
      <c r="M560" s="86"/>
    </row>
    <row r="561" spans="1:13" s="643" customFormat="1" ht="15.75" x14ac:dyDescent="0.25">
      <c r="A561" s="523">
        <v>550</v>
      </c>
      <c r="B561" s="523" t="s">
        <v>1074</v>
      </c>
      <c r="C561" s="555">
        <v>1389</v>
      </c>
      <c r="D561" s="563">
        <v>30000</v>
      </c>
      <c r="E561" s="573">
        <v>297</v>
      </c>
      <c r="F561" s="563">
        <v>30000</v>
      </c>
      <c r="G561" s="87">
        <f t="shared" si="9"/>
        <v>0</v>
      </c>
      <c r="H561" s="87"/>
      <c r="I561" s="509"/>
      <c r="J561" s="398"/>
      <c r="K561" s="398"/>
      <c r="L561" s="398"/>
      <c r="M561" s="86"/>
    </row>
    <row r="562" spans="1:13" s="643" customFormat="1" ht="15.75" x14ac:dyDescent="0.25">
      <c r="A562" s="523">
        <v>551</v>
      </c>
      <c r="B562" s="523" t="s">
        <v>1074</v>
      </c>
      <c r="C562" s="555">
        <v>5786</v>
      </c>
      <c r="D562" s="563">
        <v>30000</v>
      </c>
      <c r="E562" s="573">
        <v>325</v>
      </c>
      <c r="F562" s="563">
        <v>30000</v>
      </c>
      <c r="G562" s="87">
        <f t="shared" si="9"/>
        <v>0</v>
      </c>
      <c r="H562" s="87"/>
      <c r="I562" s="509"/>
      <c r="J562" s="398"/>
      <c r="K562" s="398"/>
      <c r="L562" s="398"/>
      <c r="M562" s="86"/>
    </row>
    <row r="563" spans="1:13" s="643" customFormat="1" ht="15.75" x14ac:dyDescent="0.25">
      <c r="A563" s="523">
        <v>552</v>
      </c>
      <c r="B563" s="523" t="s">
        <v>1074</v>
      </c>
      <c r="C563" s="607" t="s">
        <v>1096</v>
      </c>
      <c r="D563" s="563">
        <v>18000</v>
      </c>
      <c r="E563" s="573">
        <v>200</v>
      </c>
      <c r="F563" s="563">
        <v>18000</v>
      </c>
      <c r="G563" s="87">
        <f t="shared" si="9"/>
        <v>0</v>
      </c>
      <c r="H563" s="87"/>
      <c r="I563" s="509"/>
      <c r="J563" s="398"/>
      <c r="K563" s="398"/>
      <c r="L563" s="398"/>
      <c r="M563" s="86"/>
    </row>
    <row r="564" spans="1:13" s="643" customFormat="1" ht="15.75" x14ac:dyDescent="0.25">
      <c r="A564" s="523">
        <v>553</v>
      </c>
      <c r="B564" s="523" t="s">
        <v>1074</v>
      </c>
      <c r="C564" s="555">
        <v>1855</v>
      </c>
      <c r="D564" s="563">
        <v>15000</v>
      </c>
      <c r="E564" s="573">
        <v>167</v>
      </c>
      <c r="F564" s="563">
        <v>15000</v>
      </c>
      <c r="G564" s="87">
        <f t="shared" si="9"/>
        <v>0</v>
      </c>
      <c r="H564" s="87"/>
      <c r="I564" s="509"/>
      <c r="J564" s="398"/>
      <c r="K564" s="398"/>
      <c r="L564" s="398"/>
      <c r="M564" s="86"/>
    </row>
    <row r="565" spans="1:13" s="643" customFormat="1" ht="15.75" x14ac:dyDescent="0.25">
      <c r="A565" s="523">
        <v>554</v>
      </c>
      <c r="B565" s="523" t="s">
        <v>1074</v>
      </c>
      <c r="C565" s="555">
        <v>7446</v>
      </c>
      <c r="D565" s="563">
        <v>40000</v>
      </c>
      <c r="E565" s="573">
        <v>445</v>
      </c>
      <c r="F565" s="563">
        <v>40000</v>
      </c>
      <c r="G565" s="87">
        <f t="shared" si="9"/>
        <v>0</v>
      </c>
      <c r="H565" s="87"/>
      <c r="I565" s="509"/>
      <c r="J565" s="398"/>
      <c r="K565" s="398"/>
      <c r="L565" s="398"/>
      <c r="M565" s="86"/>
    </row>
    <row r="566" spans="1:13" s="643" customFormat="1" ht="15.75" x14ac:dyDescent="0.25">
      <c r="A566" s="523">
        <v>555</v>
      </c>
      <c r="B566" s="523" t="s">
        <v>1074</v>
      </c>
      <c r="C566" s="555">
        <v>5027</v>
      </c>
      <c r="D566" s="563">
        <v>15000</v>
      </c>
      <c r="E566" s="573">
        <v>167</v>
      </c>
      <c r="F566" s="563">
        <v>15000</v>
      </c>
      <c r="G566" s="87">
        <f t="shared" si="9"/>
        <v>0</v>
      </c>
      <c r="H566" s="87"/>
      <c r="I566" s="509"/>
      <c r="J566" s="398"/>
      <c r="K566" s="398"/>
      <c r="L566" s="398"/>
      <c r="M566" s="86"/>
    </row>
    <row r="567" spans="1:13" s="643" customFormat="1" ht="15.75" x14ac:dyDescent="0.25">
      <c r="A567" s="523">
        <v>556</v>
      </c>
      <c r="B567" s="523" t="s">
        <v>1074</v>
      </c>
      <c r="C567" s="555">
        <v>7761</v>
      </c>
      <c r="D567" s="563">
        <v>33000</v>
      </c>
      <c r="E567" s="573">
        <v>347</v>
      </c>
      <c r="F567" s="563">
        <v>33000</v>
      </c>
      <c r="G567" s="87">
        <f t="shared" si="9"/>
        <v>0</v>
      </c>
      <c r="H567" s="87"/>
      <c r="I567" s="509"/>
      <c r="J567" s="398"/>
      <c r="K567" s="398"/>
      <c r="L567" s="398"/>
      <c r="M567" s="86"/>
    </row>
    <row r="568" spans="1:13" s="643" customFormat="1" ht="15.75" x14ac:dyDescent="0.25">
      <c r="A568" s="523">
        <v>557</v>
      </c>
      <c r="B568" s="523" t="s">
        <v>1074</v>
      </c>
      <c r="C568" s="607" t="s">
        <v>1083</v>
      </c>
      <c r="D568" s="563">
        <v>27000</v>
      </c>
      <c r="E568" s="573">
        <v>300</v>
      </c>
      <c r="F568" s="563">
        <v>27000</v>
      </c>
      <c r="G568" s="87">
        <f t="shared" si="9"/>
        <v>0</v>
      </c>
      <c r="H568" s="87"/>
      <c r="I568" s="509"/>
      <c r="J568" s="398"/>
      <c r="K568" s="398"/>
      <c r="L568" s="398"/>
      <c r="M568" s="86"/>
    </row>
    <row r="569" spans="1:13" s="643" customFormat="1" ht="15.75" x14ac:dyDescent="0.25">
      <c r="A569" s="523">
        <v>558</v>
      </c>
      <c r="B569" s="523" t="s">
        <v>1074</v>
      </c>
      <c r="C569" s="555">
        <v>3992</v>
      </c>
      <c r="D569" s="563">
        <v>20000</v>
      </c>
      <c r="E569" s="573">
        <v>222</v>
      </c>
      <c r="F569" s="563">
        <v>20000</v>
      </c>
      <c r="G569" s="87">
        <f t="shared" si="9"/>
        <v>0</v>
      </c>
      <c r="H569" s="87"/>
      <c r="I569" s="509"/>
      <c r="J569" s="398"/>
      <c r="K569" s="398"/>
      <c r="L569" s="398"/>
      <c r="M569" s="86"/>
    </row>
    <row r="570" spans="1:13" s="643" customFormat="1" ht="15.75" x14ac:dyDescent="0.25">
      <c r="A570" s="523">
        <v>559</v>
      </c>
      <c r="B570" s="523" t="s">
        <v>1074</v>
      </c>
      <c r="C570" s="555">
        <v>5945</v>
      </c>
      <c r="D570" s="563">
        <v>20000</v>
      </c>
      <c r="E570" s="573">
        <v>222</v>
      </c>
      <c r="F570" s="563">
        <v>20000</v>
      </c>
      <c r="G570" s="87">
        <f t="shared" si="9"/>
        <v>0</v>
      </c>
      <c r="H570" s="87"/>
      <c r="I570" s="509"/>
      <c r="J570" s="398"/>
      <c r="K570" s="398"/>
      <c r="L570" s="398"/>
      <c r="M570" s="86"/>
    </row>
    <row r="571" spans="1:13" s="643" customFormat="1" ht="15.75" x14ac:dyDescent="0.25">
      <c r="A571" s="523">
        <v>560</v>
      </c>
      <c r="B571" s="523" t="s">
        <v>1074</v>
      </c>
      <c r="C571" s="555">
        <v>1692</v>
      </c>
      <c r="D571" s="563">
        <v>25000</v>
      </c>
      <c r="E571" s="573">
        <v>278</v>
      </c>
      <c r="F571" s="563">
        <v>25000</v>
      </c>
      <c r="G571" s="87">
        <f t="shared" si="9"/>
        <v>0</v>
      </c>
      <c r="H571" s="87"/>
      <c r="I571" s="509"/>
      <c r="J571" s="398"/>
      <c r="K571" s="398"/>
      <c r="L571" s="398"/>
      <c r="M571" s="86"/>
    </row>
    <row r="572" spans="1:13" s="643" customFormat="1" ht="15.75" x14ac:dyDescent="0.25">
      <c r="A572" s="523">
        <v>561</v>
      </c>
      <c r="B572" s="523" t="s">
        <v>1074</v>
      </c>
      <c r="C572" s="555">
        <v>5614</v>
      </c>
      <c r="D572" s="563">
        <v>32000</v>
      </c>
      <c r="E572" s="573">
        <v>323</v>
      </c>
      <c r="F572" s="563">
        <v>32000</v>
      </c>
      <c r="G572" s="87">
        <f t="shared" si="9"/>
        <v>0</v>
      </c>
      <c r="H572" s="87"/>
      <c r="I572" s="509"/>
      <c r="J572" s="398"/>
      <c r="K572" s="398"/>
      <c r="L572" s="398"/>
      <c r="M572" s="86"/>
    </row>
    <row r="573" spans="1:13" s="643" customFormat="1" ht="15.75" x14ac:dyDescent="0.25">
      <c r="A573" s="523">
        <v>562</v>
      </c>
      <c r="B573" s="523" t="s">
        <v>1074</v>
      </c>
      <c r="C573" s="555">
        <v>2895</v>
      </c>
      <c r="D573" s="563">
        <v>30000</v>
      </c>
      <c r="E573" s="573">
        <v>334</v>
      </c>
      <c r="F573" s="563">
        <v>30000</v>
      </c>
      <c r="G573" s="87">
        <f t="shared" si="9"/>
        <v>0</v>
      </c>
      <c r="H573" s="87"/>
      <c r="I573" s="509"/>
      <c r="J573" s="398"/>
      <c r="K573" s="398"/>
      <c r="L573" s="398"/>
      <c r="M573" s="86"/>
    </row>
    <row r="574" spans="1:13" s="643" customFormat="1" ht="15.75" x14ac:dyDescent="0.25">
      <c r="A574" s="523">
        <v>563</v>
      </c>
      <c r="B574" s="523" t="s">
        <v>1074</v>
      </c>
      <c r="C574" s="555">
        <v>7194</v>
      </c>
      <c r="D574" s="563">
        <v>35000</v>
      </c>
      <c r="E574" s="573">
        <v>387</v>
      </c>
      <c r="F574" s="563">
        <v>35000</v>
      </c>
      <c r="G574" s="87">
        <f t="shared" si="9"/>
        <v>0</v>
      </c>
      <c r="H574" s="87"/>
      <c r="I574" s="509"/>
      <c r="J574" s="398"/>
      <c r="K574" s="398"/>
      <c r="L574" s="398"/>
      <c r="M574" s="86"/>
    </row>
    <row r="575" spans="1:13" s="643" customFormat="1" ht="15.75" x14ac:dyDescent="0.25">
      <c r="A575" s="523">
        <v>564</v>
      </c>
      <c r="B575" s="523" t="s">
        <v>1074</v>
      </c>
      <c r="C575" s="555">
        <v>2155</v>
      </c>
      <c r="D575" s="563">
        <v>25000</v>
      </c>
      <c r="E575" s="573">
        <v>278</v>
      </c>
      <c r="F575" s="563">
        <v>25000</v>
      </c>
      <c r="G575" s="87">
        <f t="shared" si="9"/>
        <v>0</v>
      </c>
      <c r="H575" s="87"/>
      <c r="I575" s="509"/>
      <c r="J575" s="398"/>
      <c r="K575" s="398"/>
      <c r="L575" s="398"/>
      <c r="M575" s="86"/>
    </row>
    <row r="576" spans="1:13" s="643" customFormat="1" ht="15.75" x14ac:dyDescent="0.25">
      <c r="A576" s="523">
        <v>565</v>
      </c>
      <c r="B576" s="523" t="s">
        <v>1074</v>
      </c>
      <c r="C576" s="555">
        <v>2868</v>
      </c>
      <c r="D576" s="563">
        <v>30000</v>
      </c>
      <c r="E576" s="573">
        <v>334</v>
      </c>
      <c r="F576" s="563">
        <v>30000</v>
      </c>
      <c r="G576" s="87">
        <f t="shared" si="9"/>
        <v>0</v>
      </c>
      <c r="H576" s="87"/>
      <c r="I576" s="509"/>
      <c r="J576" s="398"/>
      <c r="K576" s="398"/>
      <c r="L576" s="398"/>
      <c r="M576" s="86"/>
    </row>
    <row r="577" spans="1:13" s="643" customFormat="1" ht="15.75" x14ac:dyDescent="0.25">
      <c r="A577" s="523">
        <v>566</v>
      </c>
      <c r="B577" s="523" t="s">
        <v>1074</v>
      </c>
      <c r="C577" s="555">
        <v>9777</v>
      </c>
      <c r="D577" s="563">
        <v>16000</v>
      </c>
      <c r="E577" s="573">
        <v>178</v>
      </c>
      <c r="F577" s="563">
        <v>16000</v>
      </c>
      <c r="G577" s="87">
        <f t="shared" si="9"/>
        <v>0</v>
      </c>
      <c r="H577" s="87"/>
      <c r="I577" s="509"/>
      <c r="J577" s="398"/>
      <c r="K577" s="398"/>
      <c r="L577" s="398"/>
      <c r="M577" s="86"/>
    </row>
    <row r="578" spans="1:13" s="643" customFormat="1" ht="15.75" x14ac:dyDescent="0.25">
      <c r="A578" s="523">
        <v>567</v>
      </c>
      <c r="B578" s="523" t="s">
        <v>1074</v>
      </c>
      <c r="C578" s="607" t="s">
        <v>861</v>
      </c>
      <c r="D578" s="563">
        <v>16000</v>
      </c>
      <c r="E578" s="573">
        <v>178</v>
      </c>
      <c r="F578" s="563">
        <v>16000</v>
      </c>
      <c r="G578" s="87">
        <f t="shared" si="9"/>
        <v>0</v>
      </c>
      <c r="H578" s="87"/>
      <c r="I578" s="509"/>
      <c r="J578" s="398"/>
      <c r="K578" s="398"/>
      <c r="L578" s="398"/>
      <c r="M578" s="86"/>
    </row>
    <row r="579" spans="1:13" s="642" customFormat="1" ht="15.75" x14ac:dyDescent="0.25">
      <c r="A579" s="523">
        <v>568</v>
      </c>
      <c r="B579" s="523" t="s">
        <v>1074</v>
      </c>
      <c r="C579" s="555" t="s">
        <v>66</v>
      </c>
      <c r="D579" s="563">
        <v>100</v>
      </c>
      <c r="E579" s="573" t="s">
        <v>66</v>
      </c>
      <c r="F579" s="563">
        <v>100</v>
      </c>
      <c r="G579" s="87">
        <f t="shared" si="9"/>
        <v>0</v>
      </c>
      <c r="H579" s="87"/>
      <c r="I579" s="509"/>
      <c r="J579" s="398"/>
      <c r="K579" s="398"/>
      <c r="L579" s="398"/>
      <c r="M579" s="86"/>
    </row>
    <row r="580" spans="1:13" s="642" customFormat="1" ht="15.75" x14ac:dyDescent="0.25">
      <c r="A580" s="523">
        <v>569</v>
      </c>
      <c r="B580" s="523" t="s">
        <v>1075</v>
      </c>
      <c r="C580" s="555">
        <v>5420</v>
      </c>
      <c r="D580" s="563">
        <v>25000</v>
      </c>
      <c r="E580" s="573">
        <v>278</v>
      </c>
      <c r="F580" s="563">
        <v>25000</v>
      </c>
      <c r="G580" s="87">
        <f t="shared" si="9"/>
        <v>0</v>
      </c>
      <c r="H580" s="87"/>
      <c r="I580" s="509"/>
      <c r="J580" s="398"/>
      <c r="K580" s="398"/>
      <c r="L580" s="398"/>
      <c r="M580" s="86"/>
    </row>
    <row r="581" spans="1:13" s="642" customFormat="1" ht="15.75" x14ac:dyDescent="0.25">
      <c r="A581" s="523">
        <v>570</v>
      </c>
      <c r="B581" s="523" t="s">
        <v>1075</v>
      </c>
      <c r="C581" s="555">
        <v>5411</v>
      </c>
      <c r="D581" s="563">
        <v>25000</v>
      </c>
      <c r="E581" s="573">
        <v>278</v>
      </c>
      <c r="F581" s="563">
        <v>25000</v>
      </c>
      <c r="G581" s="87">
        <f t="shared" si="9"/>
        <v>0</v>
      </c>
      <c r="H581" s="87"/>
      <c r="I581" s="509"/>
      <c r="J581" s="398"/>
      <c r="K581" s="398"/>
      <c r="L581" s="398"/>
      <c r="M581" s="86"/>
    </row>
    <row r="582" spans="1:13" s="642" customFormat="1" ht="15.75" x14ac:dyDescent="0.25">
      <c r="A582" s="523">
        <v>571</v>
      </c>
      <c r="B582" s="523" t="s">
        <v>1075</v>
      </c>
      <c r="C582" s="555" t="s">
        <v>30</v>
      </c>
      <c r="D582" s="563">
        <v>5000</v>
      </c>
      <c r="E582" s="573">
        <v>55</v>
      </c>
      <c r="F582" s="563">
        <v>5000</v>
      </c>
      <c r="G582" s="87">
        <f t="shared" si="9"/>
        <v>0</v>
      </c>
      <c r="H582" s="87"/>
      <c r="I582" s="509"/>
      <c r="J582" s="398"/>
      <c r="K582" s="398"/>
      <c r="L582" s="398"/>
      <c r="M582" s="86"/>
    </row>
    <row r="583" spans="1:13" s="642" customFormat="1" ht="15.75" x14ac:dyDescent="0.25">
      <c r="A583" s="523">
        <v>572</v>
      </c>
      <c r="B583" s="523" t="s">
        <v>1075</v>
      </c>
      <c r="C583" s="555">
        <v>9755</v>
      </c>
      <c r="D583" s="563">
        <v>16000</v>
      </c>
      <c r="E583" s="573">
        <v>178</v>
      </c>
      <c r="F583" s="563">
        <v>16000</v>
      </c>
      <c r="G583" s="87">
        <f t="shared" si="9"/>
        <v>0</v>
      </c>
      <c r="H583" s="87"/>
      <c r="I583" s="509"/>
      <c r="J583" s="398"/>
      <c r="K583" s="398"/>
      <c r="L583" s="398"/>
      <c r="M583" s="86"/>
    </row>
    <row r="584" spans="1:13" s="642" customFormat="1" ht="15.75" x14ac:dyDescent="0.25">
      <c r="A584" s="523">
        <v>573</v>
      </c>
      <c r="B584" s="523" t="s">
        <v>1075</v>
      </c>
      <c r="C584" s="555">
        <v>6573</v>
      </c>
      <c r="D584" s="563">
        <v>16000</v>
      </c>
      <c r="E584" s="573">
        <v>178</v>
      </c>
      <c r="F584" s="563">
        <v>16000</v>
      </c>
      <c r="G584" s="87">
        <f t="shared" si="9"/>
        <v>0</v>
      </c>
      <c r="H584" s="87"/>
      <c r="I584" s="509"/>
      <c r="J584" s="398"/>
      <c r="K584" s="398"/>
      <c r="L584" s="398"/>
      <c r="M584" s="86"/>
    </row>
    <row r="585" spans="1:13" s="642" customFormat="1" ht="15.75" x14ac:dyDescent="0.25">
      <c r="A585" s="523">
        <v>574</v>
      </c>
      <c r="B585" s="523" t="s">
        <v>1075</v>
      </c>
      <c r="C585" s="555">
        <v>4820</v>
      </c>
      <c r="D585" s="563">
        <v>16000</v>
      </c>
      <c r="E585" s="573">
        <v>178</v>
      </c>
      <c r="F585" s="563">
        <v>16000</v>
      </c>
      <c r="G585" s="87">
        <f t="shared" si="9"/>
        <v>0</v>
      </c>
      <c r="H585" s="87"/>
      <c r="I585" s="509"/>
      <c r="J585" s="398"/>
      <c r="K585" s="398"/>
      <c r="L585" s="398"/>
      <c r="M585" s="86"/>
    </row>
    <row r="586" spans="1:13" s="642" customFormat="1" ht="15.75" x14ac:dyDescent="0.25">
      <c r="A586" s="523">
        <v>575</v>
      </c>
      <c r="B586" s="523" t="s">
        <v>1075</v>
      </c>
      <c r="C586" s="555">
        <v>7820</v>
      </c>
      <c r="D586" s="563">
        <v>16000</v>
      </c>
      <c r="E586" s="573">
        <v>178</v>
      </c>
      <c r="F586" s="563">
        <v>16000</v>
      </c>
      <c r="G586" s="87">
        <f t="shared" si="9"/>
        <v>0</v>
      </c>
      <c r="H586" s="87"/>
      <c r="I586" s="509"/>
      <c r="J586" s="398"/>
      <c r="K586" s="398"/>
      <c r="L586" s="398"/>
      <c r="M586" s="86"/>
    </row>
    <row r="587" spans="1:13" s="642" customFormat="1" ht="15.75" x14ac:dyDescent="0.25">
      <c r="A587" s="523">
        <v>576</v>
      </c>
      <c r="B587" s="523" t="s">
        <v>1075</v>
      </c>
      <c r="C587" s="555">
        <v>6734</v>
      </c>
      <c r="D587" s="563">
        <v>16000</v>
      </c>
      <c r="E587" s="573">
        <v>178</v>
      </c>
      <c r="F587" s="563">
        <v>16000</v>
      </c>
      <c r="G587" s="87">
        <f t="shared" si="9"/>
        <v>0</v>
      </c>
      <c r="H587" s="87"/>
      <c r="I587" s="509"/>
      <c r="J587" s="398"/>
      <c r="K587" s="398"/>
      <c r="L587" s="398"/>
      <c r="M587" s="86"/>
    </row>
    <row r="588" spans="1:13" s="642" customFormat="1" ht="15.75" x14ac:dyDescent="0.25">
      <c r="A588" s="523">
        <v>577</v>
      </c>
      <c r="B588" s="523" t="s">
        <v>1075</v>
      </c>
      <c r="C588" s="607" t="s">
        <v>981</v>
      </c>
      <c r="D588" s="563">
        <v>16000</v>
      </c>
      <c r="E588" s="573">
        <v>178</v>
      </c>
      <c r="F588" s="563">
        <v>16000</v>
      </c>
      <c r="G588" s="87">
        <f t="shared" si="9"/>
        <v>0</v>
      </c>
      <c r="H588" s="87"/>
      <c r="I588" s="509"/>
      <c r="J588" s="398"/>
      <c r="K588" s="398"/>
      <c r="L588" s="398"/>
      <c r="M588" s="86"/>
    </row>
    <row r="589" spans="1:13" s="642" customFormat="1" ht="15.75" x14ac:dyDescent="0.25">
      <c r="A589" s="523">
        <v>578</v>
      </c>
      <c r="B589" s="523" t="s">
        <v>1075</v>
      </c>
      <c r="C589" s="555">
        <v>3194</v>
      </c>
      <c r="D589" s="563">
        <v>20000</v>
      </c>
      <c r="E589" s="573">
        <v>222</v>
      </c>
      <c r="F589" s="563">
        <v>20000</v>
      </c>
      <c r="G589" s="87">
        <f t="shared" si="9"/>
        <v>0</v>
      </c>
      <c r="H589" s="87"/>
      <c r="I589" s="509"/>
      <c r="J589" s="398"/>
      <c r="K589" s="398"/>
      <c r="L589" s="398"/>
      <c r="M589" s="86"/>
    </row>
    <row r="590" spans="1:13" s="642" customFormat="1" ht="15.75" x14ac:dyDescent="0.25">
      <c r="A590" s="523">
        <v>579</v>
      </c>
      <c r="B590" s="523" t="s">
        <v>1075</v>
      </c>
      <c r="C590" s="555">
        <v>3211</v>
      </c>
      <c r="D590" s="563">
        <v>15000</v>
      </c>
      <c r="E590" s="573">
        <v>167</v>
      </c>
      <c r="F590" s="563">
        <v>15000</v>
      </c>
      <c r="G590" s="87">
        <f t="shared" si="9"/>
        <v>0</v>
      </c>
      <c r="H590" s="87"/>
      <c r="I590" s="509"/>
      <c r="J590" s="398"/>
      <c r="K590" s="398"/>
      <c r="L590" s="398"/>
      <c r="M590" s="86"/>
    </row>
    <row r="591" spans="1:13" s="642" customFormat="1" ht="15.75" x14ac:dyDescent="0.25">
      <c r="A591" s="523">
        <v>580</v>
      </c>
      <c r="B591" s="523" t="s">
        <v>1075</v>
      </c>
      <c r="C591" s="555" t="s">
        <v>30</v>
      </c>
      <c r="D591" s="563">
        <v>4500</v>
      </c>
      <c r="E591" s="573">
        <v>50</v>
      </c>
      <c r="F591" s="563">
        <v>4500</v>
      </c>
      <c r="G591" s="87">
        <f t="shared" si="9"/>
        <v>0</v>
      </c>
      <c r="H591" s="87"/>
      <c r="I591" s="509"/>
      <c r="J591" s="398"/>
      <c r="K591" s="398"/>
      <c r="L591" s="398"/>
      <c r="M591" s="86"/>
    </row>
    <row r="592" spans="1:13" s="642" customFormat="1" ht="15.75" x14ac:dyDescent="0.25">
      <c r="A592" s="523">
        <v>581</v>
      </c>
      <c r="B592" s="523" t="s">
        <v>1075</v>
      </c>
      <c r="C592" s="555" t="s">
        <v>819</v>
      </c>
      <c r="D592" s="563">
        <v>3500</v>
      </c>
      <c r="E592" s="573">
        <v>38</v>
      </c>
      <c r="F592" s="563">
        <v>3500</v>
      </c>
      <c r="G592" s="87">
        <f t="shared" si="9"/>
        <v>0</v>
      </c>
      <c r="H592" s="87"/>
      <c r="I592" s="509"/>
      <c r="J592" s="398"/>
      <c r="K592" s="398"/>
      <c r="L592" s="398"/>
      <c r="M592" s="86"/>
    </row>
    <row r="593" spans="1:13" s="642" customFormat="1" ht="15.75" x14ac:dyDescent="0.25">
      <c r="A593" s="523">
        <v>582</v>
      </c>
      <c r="B593" s="523" t="s">
        <v>1075</v>
      </c>
      <c r="C593" s="555">
        <v>4005</v>
      </c>
      <c r="D593" s="563">
        <v>22000</v>
      </c>
      <c r="E593" s="573">
        <v>245</v>
      </c>
      <c r="F593" s="563">
        <v>22000</v>
      </c>
      <c r="G593" s="87">
        <f t="shared" si="9"/>
        <v>0</v>
      </c>
      <c r="H593" s="87"/>
      <c r="I593" s="509"/>
      <c r="J593" s="398"/>
      <c r="K593" s="398"/>
      <c r="L593" s="398"/>
      <c r="M593" s="86"/>
    </row>
    <row r="594" spans="1:13" s="642" customFormat="1" ht="15.75" x14ac:dyDescent="0.25">
      <c r="A594" s="523">
        <v>583</v>
      </c>
      <c r="B594" s="523" t="s">
        <v>1075</v>
      </c>
      <c r="C594" s="607" t="s">
        <v>902</v>
      </c>
      <c r="D594" s="563">
        <v>31500</v>
      </c>
      <c r="E594" s="573">
        <v>350</v>
      </c>
      <c r="F594" s="563">
        <v>31500</v>
      </c>
      <c r="G594" s="87">
        <f t="shared" si="9"/>
        <v>0</v>
      </c>
      <c r="H594" s="87"/>
      <c r="I594" s="509"/>
      <c r="J594" s="398"/>
      <c r="K594" s="398"/>
      <c r="L594" s="398"/>
      <c r="M594" s="86"/>
    </row>
    <row r="595" spans="1:13" s="642" customFormat="1" ht="15.75" x14ac:dyDescent="0.25">
      <c r="A595" s="523">
        <v>584</v>
      </c>
      <c r="B595" s="523" t="s">
        <v>1075</v>
      </c>
      <c r="C595" s="555">
        <v>1620</v>
      </c>
      <c r="D595" s="563">
        <v>12000</v>
      </c>
      <c r="E595" s="573">
        <v>133</v>
      </c>
      <c r="F595" s="563">
        <v>12000</v>
      </c>
      <c r="G595" s="87">
        <f t="shared" si="9"/>
        <v>0</v>
      </c>
      <c r="H595" s="87"/>
      <c r="I595" s="509"/>
      <c r="J595" s="398"/>
      <c r="K595" s="398"/>
      <c r="L595" s="398"/>
      <c r="M595" s="86"/>
    </row>
    <row r="596" spans="1:13" s="642" customFormat="1" ht="15.75" x14ac:dyDescent="0.25">
      <c r="A596" s="523">
        <v>585</v>
      </c>
      <c r="B596" s="523" t="s">
        <v>1075</v>
      </c>
      <c r="C596" s="607" t="s">
        <v>890</v>
      </c>
      <c r="D596" s="563">
        <v>14000</v>
      </c>
      <c r="E596" s="573">
        <v>155</v>
      </c>
      <c r="F596" s="563">
        <v>14000</v>
      </c>
      <c r="G596" s="87">
        <f t="shared" si="9"/>
        <v>0</v>
      </c>
      <c r="H596" s="87"/>
      <c r="I596" s="509"/>
      <c r="J596" s="398"/>
      <c r="K596" s="398"/>
      <c r="L596" s="398"/>
      <c r="M596" s="86"/>
    </row>
    <row r="597" spans="1:13" s="642" customFormat="1" ht="15.75" x14ac:dyDescent="0.25">
      <c r="A597" s="523">
        <v>586</v>
      </c>
      <c r="B597" s="523" t="s">
        <v>1075</v>
      </c>
      <c r="C597" s="555">
        <v>1369</v>
      </c>
      <c r="D597" s="563">
        <v>22000</v>
      </c>
      <c r="E597" s="573">
        <v>245</v>
      </c>
      <c r="F597" s="563">
        <v>22000</v>
      </c>
      <c r="G597" s="87">
        <f t="shared" si="9"/>
        <v>0</v>
      </c>
      <c r="H597" s="87"/>
      <c r="I597" s="509"/>
      <c r="J597" s="398"/>
      <c r="K597" s="398"/>
      <c r="L597" s="398"/>
      <c r="M597" s="86"/>
    </row>
    <row r="598" spans="1:13" s="642" customFormat="1" ht="15.75" x14ac:dyDescent="0.25">
      <c r="A598" s="523">
        <v>587</v>
      </c>
      <c r="B598" s="523" t="s">
        <v>1075</v>
      </c>
      <c r="C598" s="555">
        <v>7472</v>
      </c>
      <c r="D598" s="563">
        <v>20000</v>
      </c>
      <c r="E598" s="573">
        <v>222</v>
      </c>
      <c r="F598" s="563">
        <v>20000</v>
      </c>
      <c r="G598" s="87">
        <f t="shared" si="9"/>
        <v>0</v>
      </c>
      <c r="H598" s="87"/>
      <c r="I598" s="509"/>
      <c r="J598" s="398"/>
      <c r="K598" s="398"/>
      <c r="L598" s="398"/>
      <c r="M598" s="86"/>
    </row>
    <row r="599" spans="1:13" s="642" customFormat="1" ht="15.75" x14ac:dyDescent="0.25">
      <c r="A599" s="523">
        <v>588</v>
      </c>
      <c r="B599" s="523" t="s">
        <v>1075</v>
      </c>
      <c r="C599" s="555">
        <v>9481</v>
      </c>
      <c r="D599" s="563">
        <v>14000</v>
      </c>
      <c r="E599" s="573">
        <v>155</v>
      </c>
      <c r="F599" s="563">
        <v>14000</v>
      </c>
      <c r="G599" s="87">
        <f t="shared" ref="G599:G662" si="10">D599-F599</f>
        <v>0</v>
      </c>
      <c r="H599" s="87"/>
      <c r="I599" s="509"/>
      <c r="J599" s="398"/>
      <c r="K599" s="398"/>
      <c r="L599" s="398"/>
      <c r="M599" s="86"/>
    </row>
    <row r="600" spans="1:13" s="642" customFormat="1" ht="15.75" x14ac:dyDescent="0.25">
      <c r="A600" s="523">
        <v>589</v>
      </c>
      <c r="B600" s="523" t="s">
        <v>1075</v>
      </c>
      <c r="C600" s="607" t="s">
        <v>1087</v>
      </c>
      <c r="D600" s="563">
        <v>14000</v>
      </c>
      <c r="E600" s="573">
        <v>155</v>
      </c>
      <c r="F600" s="563">
        <v>14000</v>
      </c>
      <c r="G600" s="87">
        <f t="shared" si="10"/>
        <v>0</v>
      </c>
      <c r="H600" s="87"/>
      <c r="I600" s="509"/>
      <c r="J600" s="398"/>
      <c r="K600" s="398"/>
      <c r="L600" s="398"/>
      <c r="M600" s="86"/>
    </row>
    <row r="601" spans="1:13" s="642" customFormat="1" ht="15.75" x14ac:dyDescent="0.25">
      <c r="A601" s="523">
        <v>590</v>
      </c>
      <c r="B601" s="523" t="s">
        <v>1075</v>
      </c>
      <c r="C601" s="555">
        <v>6471</v>
      </c>
      <c r="D601" s="563">
        <v>20000</v>
      </c>
      <c r="E601" s="573">
        <v>222</v>
      </c>
      <c r="F601" s="563">
        <v>20000</v>
      </c>
      <c r="G601" s="87">
        <f t="shared" si="10"/>
        <v>0</v>
      </c>
      <c r="H601" s="87"/>
      <c r="I601" s="509"/>
      <c r="J601" s="398"/>
      <c r="K601" s="398"/>
      <c r="L601" s="398"/>
      <c r="M601" s="86"/>
    </row>
    <row r="602" spans="1:13" s="642" customFormat="1" ht="15.75" x14ac:dyDescent="0.25">
      <c r="A602" s="523">
        <v>591</v>
      </c>
      <c r="B602" s="523" t="s">
        <v>1075</v>
      </c>
      <c r="C602" s="555">
        <v>6071</v>
      </c>
      <c r="D602" s="563">
        <v>20000</v>
      </c>
      <c r="E602" s="573">
        <v>222</v>
      </c>
      <c r="F602" s="563">
        <v>20000</v>
      </c>
      <c r="G602" s="87">
        <f t="shared" si="10"/>
        <v>0</v>
      </c>
      <c r="H602" s="87"/>
      <c r="I602" s="509"/>
      <c r="J602" s="398"/>
      <c r="K602" s="398"/>
      <c r="L602" s="398"/>
      <c r="M602" s="86"/>
    </row>
    <row r="603" spans="1:13" s="642" customFormat="1" ht="15.75" x14ac:dyDescent="0.25">
      <c r="A603" s="523">
        <v>592</v>
      </c>
      <c r="B603" s="523" t="s">
        <v>1075</v>
      </c>
      <c r="C603" s="555">
        <v>9286</v>
      </c>
      <c r="D603" s="563">
        <v>20000</v>
      </c>
      <c r="E603" s="573">
        <v>222</v>
      </c>
      <c r="F603" s="563">
        <v>20000</v>
      </c>
      <c r="G603" s="87">
        <f t="shared" si="10"/>
        <v>0</v>
      </c>
      <c r="H603" s="87"/>
      <c r="I603" s="509"/>
      <c r="J603" s="398"/>
      <c r="K603" s="398"/>
      <c r="L603" s="398"/>
      <c r="M603" s="86"/>
    </row>
    <row r="604" spans="1:13" s="642" customFormat="1" ht="15.75" x14ac:dyDescent="0.25">
      <c r="A604" s="523">
        <v>593</v>
      </c>
      <c r="B604" s="523" t="s">
        <v>1075</v>
      </c>
      <c r="C604" s="555">
        <v>7995</v>
      </c>
      <c r="D604" s="563">
        <v>25000</v>
      </c>
      <c r="E604" s="573">
        <v>278</v>
      </c>
      <c r="F604" s="563">
        <v>25000</v>
      </c>
      <c r="G604" s="87">
        <f t="shared" si="10"/>
        <v>0</v>
      </c>
      <c r="H604" s="87"/>
      <c r="I604" s="509"/>
      <c r="J604" s="398"/>
      <c r="K604" s="398"/>
      <c r="L604" s="398"/>
      <c r="M604" s="86"/>
    </row>
    <row r="605" spans="1:13" s="642" customFormat="1" ht="15.75" x14ac:dyDescent="0.25">
      <c r="A605" s="523">
        <v>594</v>
      </c>
      <c r="B605" s="523" t="s">
        <v>1075</v>
      </c>
      <c r="C605" s="607" t="s">
        <v>1088</v>
      </c>
      <c r="D605" s="563">
        <v>20000</v>
      </c>
      <c r="E605" s="573">
        <v>222</v>
      </c>
      <c r="F605" s="563">
        <v>20000</v>
      </c>
      <c r="G605" s="87">
        <f t="shared" si="10"/>
        <v>0</v>
      </c>
      <c r="H605" s="87"/>
      <c r="I605" s="509"/>
      <c r="J605" s="398"/>
      <c r="K605" s="398"/>
      <c r="L605" s="398"/>
      <c r="M605" s="86"/>
    </row>
    <row r="606" spans="1:13" s="642" customFormat="1" ht="15.75" x14ac:dyDescent="0.25">
      <c r="A606" s="523">
        <v>595</v>
      </c>
      <c r="B606" s="523" t="s">
        <v>1075</v>
      </c>
      <c r="C606" s="555">
        <v>9215</v>
      </c>
      <c r="D606" s="563">
        <v>15000</v>
      </c>
      <c r="E606" s="573">
        <v>167</v>
      </c>
      <c r="F606" s="563">
        <v>15000</v>
      </c>
      <c r="G606" s="87">
        <f t="shared" si="10"/>
        <v>0</v>
      </c>
      <c r="H606" s="87"/>
      <c r="I606" s="509"/>
      <c r="J606" s="398"/>
      <c r="K606" s="398"/>
      <c r="L606" s="398"/>
      <c r="M606" s="86"/>
    </row>
    <row r="607" spans="1:13" s="642" customFormat="1" ht="15.75" x14ac:dyDescent="0.25">
      <c r="A607" s="523">
        <v>596</v>
      </c>
      <c r="B607" s="523" t="s">
        <v>1075</v>
      </c>
      <c r="C607" s="555">
        <v>7896</v>
      </c>
      <c r="D607" s="563">
        <v>15000</v>
      </c>
      <c r="E607" s="573">
        <v>167</v>
      </c>
      <c r="F607" s="563">
        <v>15000</v>
      </c>
      <c r="G607" s="87">
        <f t="shared" si="10"/>
        <v>0</v>
      </c>
      <c r="H607" s="87"/>
      <c r="I607" s="509"/>
      <c r="J607" s="398"/>
      <c r="K607" s="398"/>
      <c r="L607" s="398"/>
      <c r="M607" s="86"/>
    </row>
    <row r="608" spans="1:13" s="642" customFormat="1" ht="15.75" x14ac:dyDescent="0.25">
      <c r="A608" s="523">
        <v>597</v>
      </c>
      <c r="B608" s="523" t="s">
        <v>1075</v>
      </c>
      <c r="C608" s="555" t="s">
        <v>66</v>
      </c>
      <c r="D608" s="563">
        <v>210</v>
      </c>
      <c r="E608" s="573" t="s">
        <v>66</v>
      </c>
      <c r="F608" s="563">
        <v>210</v>
      </c>
      <c r="G608" s="87">
        <f t="shared" si="10"/>
        <v>0</v>
      </c>
      <c r="H608" s="87"/>
      <c r="I608" s="509"/>
      <c r="J608" s="398"/>
      <c r="K608" s="398"/>
      <c r="L608" s="398"/>
      <c r="M608" s="86"/>
    </row>
    <row r="609" spans="1:13" s="642" customFormat="1" ht="15.75" x14ac:dyDescent="0.25">
      <c r="A609" s="523">
        <v>598</v>
      </c>
      <c r="B609" s="523" t="s">
        <v>1075</v>
      </c>
      <c r="C609" s="555">
        <v>3704</v>
      </c>
      <c r="D609" s="563">
        <v>10000</v>
      </c>
      <c r="E609" s="573">
        <v>111</v>
      </c>
      <c r="F609" s="563">
        <v>10000</v>
      </c>
      <c r="G609" s="87">
        <f t="shared" si="10"/>
        <v>0</v>
      </c>
      <c r="H609" s="87"/>
      <c r="I609" s="509"/>
      <c r="J609" s="398"/>
      <c r="K609" s="398"/>
      <c r="L609" s="398"/>
      <c r="M609" s="86"/>
    </row>
    <row r="610" spans="1:13" s="642" customFormat="1" ht="15.75" x14ac:dyDescent="0.25">
      <c r="A610" s="523">
        <v>599</v>
      </c>
      <c r="B610" s="523" t="s">
        <v>1075</v>
      </c>
      <c r="C610" s="555">
        <v>3704</v>
      </c>
      <c r="D610" s="563">
        <v>20000</v>
      </c>
      <c r="E610" s="573">
        <v>222</v>
      </c>
      <c r="F610" s="563">
        <v>20000</v>
      </c>
      <c r="G610" s="87">
        <f t="shared" si="10"/>
        <v>0</v>
      </c>
      <c r="H610" s="87"/>
      <c r="I610" s="509"/>
      <c r="J610" s="398"/>
      <c r="K610" s="398"/>
      <c r="L610" s="398"/>
      <c r="M610" s="86"/>
    </row>
    <row r="611" spans="1:13" s="642" customFormat="1" ht="15.75" x14ac:dyDescent="0.25">
      <c r="A611" s="523">
        <v>600</v>
      </c>
      <c r="B611" s="523" t="s">
        <v>1075</v>
      </c>
      <c r="C611" s="555">
        <v>4455</v>
      </c>
      <c r="D611" s="563">
        <v>29000</v>
      </c>
      <c r="E611" s="573">
        <v>323</v>
      </c>
      <c r="F611" s="563">
        <v>29000</v>
      </c>
      <c r="G611" s="87">
        <f t="shared" si="10"/>
        <v>0</v>
      </c>
      <c r="H611" s="87"/>
      <c r="I611" s="509"/>
      <c r="J611" s="398"/>
      <c r="K611" s="398"/>
      <c r="L611" s="398"/>
      <c r="M611" s="86"/>
    </row>
    <row r="612" spans="1:13" s="642" customFormat="1" ht="15.75" x14ac:dyDescent="0.25">
      <c r="A612" s="523">
        <v>601</v>
      </c>
      <c r="B612" s="523" t="s">
        <v>1075</v>
      </c>
      <c r="C612" s="555">
        <v>7258</v>
      </c>
      <c r="D612" s="563">
        <v>15000</v>
      </c>
      <c r="E612" s="573">
        <v>167</v>
      </c>
      <c r="F612" s="563">
        <v>15000</v>
      </c>
      <c r="G612" s="87">
        <f t="shared" si="10"/>
        <v>0</v>
      </c>
      <c r="H612" s="87"/>
      <c r="I612" s="509"/>
      <c r="J612" s="398"/>
      <c r="K612" s="398"/>
      <c r="L612" s="398"/>
      <c r="M612" s="86"/>
    </row>
    <row r="613" spans="1:13" s="642" customFormat="1" ht="15.75" x14ac:dyDescent="0.25">
      <c r="A613" s="523">
        <v>602</v>
      </c>
      <c r="B613" s="523" t="s">
        <v>1075</v>
      </c>
      <c r="C613" s="555">
        <v>4811</v>
      </c>
      <c r="D613" s="563">
        <v>20000</v>
      </c>
      <c r="E613" s="573">
        <v>200</v>
      </c>
      <c r="F613" s="563">
        <v>20000</v>
      </c>
      <c r="G613" s="87">
        <f t="shared" si="10"/>
        <v>0</v>
      </c>
      <c r="H613" s="87"/>
      <c r="I613" s="509"/>
      <c r="J613" s="398"/>
      <c r="K613" s="398"/>
      <c r="L613" s="398"/>
      <c r="M613" s="86"/>
    </row>
    <row r="614" spans="1:13" s="642" customFormat="1" ht="15.75" x14ac:dyDescent="0.25">
      <c r="A614" s="523">
        <v>603</v>
      </c>
      <c r="B614" s="523" t="s">
        <v>1075</v>
      </c>
      <c r="C614" s="555">
        <v>6671</v>
      </c>
      <c r="D614" s="563">
        <v>20000</v>
      </c>
      <c r="E614" s="573">
        <v>222</v>
      </c>
      <c r="F614" s="563">
        <v>20000</v>
      </c>
      <c r="G614" s="87">
        <f t="shared" si="10"/>
        <v>0</v>
      </c>
      <c r="H614" s="87"/>
      <c r="I614" s="509"/>
      <c r="J614" s="398"/>
      <c r="K614" s="398"/>
      <c r="L614" s="398"/>
      <c r="M614" s="86"/>
    </row>
    <row r="615" spans="1:13" s="642" customFormat="1" ht="15.75" x14ac:dyDescent="0.25">
      <c r="A615" s="523">
        <v>604</v>
      </c>
      <c r="B615" s="523" t="s">
        <v>1075</v>
      </c>
      <c r="C615" s="555">
        <v>9276</v>
      </c>
      <c r="D615" s="563">
        <v>28000</v>
      </c>
      <c r="E615" s="573">
        <v>306</v>
      </c>
      <c r="F615" s="563">
        <v>28000</v>
      </c>
      <c r="G615" s="87">
        <f t="shared" si="10"/>
        <v>0</v>
      </c>
      <c r="H615" s="87"/>
      <c r="I615" s="509"/>
      <c r="J615" s="398"/>
      <c r="K615" s="398"/>
      <c r="L615" s="398"/>
      <c r="M615" s="86"/>
    </row>
    <row r="616" spans="1:13" s="642" customFormat="1" ht="15.75" x14ac:dyDescent="0.25">
      <c r="A616" s="523">
        <v>605</v>
      </c>
      <c r="B616" s="523" t="s">
        <v>1075</v>
      </c>
      <c r="C616" s="555" t="s">
        <v>30</v>
      </c>
      <c r="D616" s="563">
        <v>5000</v>
      </c>
      <c r="E616" s="573">
        <v>55</v>
      </c>
      <c r="F616" s="563">
        <v>5000</v>
      </c>
      <c r="G616" s="87">
        <f t="shared" si="10"/>
        <v>0</v>
      </c>
      <c r="H616" s="87"/>
      <c r="I616" s="509"/>
      <c r="J616" s="398"/>
      <c r="K616" s="398"/>
      <c r="L616" s="398"/>
      <c r="M616" s="86"/>
    </row>
    <row r="617" spans="1:13" s="642" customFormat="1" ht="15.75" x14ac:dyDescent="0.25">
      <c r="A617" s="523">
        <v>606</v>
      </c>
      <c r="B617" s="523" t="s">
        <v>1075</v>
      </c>
      <c r="C617" s="555">
        <v>2627</v>
      </c>
      <c r="D617" s="563">
        <v>26750</v>
      </c>
      <c r="E617" s="573">
        <v>289</v>
      </c>
      <c r="F617" s="563">
        <v>26750</v>
      </c>
      <c r="G617" s="87">
        <f t="shared" si="10"/>
        <v>0</v>
      </c>
      <c r="H617" s="87"/>
      <c r="I617" s="509"/>
      <c r="J617" s="398"/>
      <c r="K617" s="398"/>
      <c r="L617" s="398"/>
      <c r="M617" s="86"/>
    </row>
    <row r="618" spans="1:13" s="642" customFormat="1" ht="15.75" x14ac:dyDescent="0.25">
      <c r="A618" s="523">
        <v>607</v>
      </c>
      <c r="B618" s="523" t="s">
        <v>1075</v>
      </c>
      <c r="C618" s="555">
        <v>9235</v>
      </c>
      <c r="D618" s="563">
        <v>26000</v>
      </c>
      <c r="E618" s="573">
        <v>323</v>
      </c>
      <c r="F618" s="563">
        <v>26000</v>
      </c>
      <c r="G618" s="87">
        <f t="shared" si="10"/>
        <v>0</v>
      </c>
      <c r="H618" s="87"/>
      <c r="I618" s="509"/>
      <c r="J618" s="398"/>
      <c r="K618" s="398"/>
      <c r="L618" s="398"/>
      <c r="M618" s="86"/>
    </row>
    <row r="619" spans="1:13" s="642" customFormat="1" ht="15.75" x14ac:dyDescent="0.25">
      <c r="A619" s="523">
        <v>608</v>
      </c>
      <c r="B619" s="523" t="s">
        <v>1075</v>
      </c>
      <c r="C619" s="555">
        <v>7217</v>
      </c>
      <c r="D619" s="563">
        <v>29000</v>
      </c>
      <c r="E619" s="573">
        <v>178</v>
      </c>
      <c r="F619" s="563">
        <v>29000</v>
      </c>
      <c r="G619" s="87">
        <f t="shared" si="10"/>
        <v>0</v>
      </c>
      <c r="H619" s="87"/>
      <c r="I619" s="509"/>
      <c r="J619" s="398"/>
      <c r="K619" s="398"/>
      <c r="L619" s="398"/>
      <c r="M619" s="86"/>
    </row>
    <row r="620" spans="1:13" s="642" customFormat="1" ht="15.75" x14ac:dyDescent="0.25">
      <c r="A620" s="523">
        <v>609</v>
      </c>
      <c r="B620" s="523" t="s">
        <v>1075</v>
      </c>
      <c r="C620" s="555">
        <v>1720</v>
      </c>
      <c r="D620" s="563">
        <v>16000</v>
      </c>
      <c r="E620" s="573">
        <v>289</v>
      </c>
      <c r="F620" s="563">
        <v>16000</v>
      </c>
      <c r="G620" s="87">
        <f t="shared" si="10"/>
        <v>0</v>
      </c>
      <c r="H620" s="87"/>
      <c r="I620" s="509"/>
      <c r="J620" s="398"/>
      <c r="K620" s="398"/>
      <c r="L620" s="398"/>
      <c r="M620" s="86"/>
    </row>
    <row r="621" spans="1:13" s="642" customFormat="1" ht="15.75" x14ac:dyDescent="0.25">
      <c r="A621" s="523">
        <v>610</v>
      </c>
      <c r="B621" s="523" t="s">
        <v>1075</v>
      </c>
      <c r="C621" s="555">
        <v>5184</v>
      </c>
      <c r="D621" s="563">
        <v>29000</v>
      </c>
      <c r="E621" s="573">
        <v>299</v>
      </c>
      <c r="F621" s="563">
        <v>29000</v>
      </c>
      <c r="G621" s="87">
        <f t="shared" si="10"/>
        <v>0</v>
      </c>
      <c r="H621" s="87"/>
      <c r="I621" s="509"/>
      <c r="J621" s="398"/>
      <c r="K621" s="398"/>
      <c r="L621" s="398"/>
      <c r="M621" s="86"/>
    </row>
    <row r="622" spans="1:13" s="642" customFormat="1" ht="15.75" x14ac:dyDescent="0.25">
      <c r="A622" s="523">
        <v>611</v>
      </c>
      <c r="B622" s="523" t="s">
        <v>1075</v>
      </c>
      <c r="C622" s="555">
        <v>1272</v>
      </c>
      <c r="D622" s="563">
        <v>20000</v>
      </c>
      <c r="E622" s="573">
        <v>222</v>
      </c>
      <c r="F622" s="563">
        <v>20000</v>
      </c>
      <c r="G622" s="87">
        <f t="shared" si="10"/>
        <v>0</v>
      </c>
      <c r="H622" s="87"/>
      <c r="I622" s="509"/>
      <c r="J622" s="398"/>
      <c r="K622" s="398"/>
      <c r="L622" s="398"/>
      <c r="M622" s="86"/>
    </row>
    <row r="623" spans="1:13" s="642" customFormat="1" ht="15.75" x14ac:dyDescent="0.25">
      <c r="A623" s="523">
        <v>612</v>
      </c>
      <c r="B623" s="523" t="s">
        <v>1075</v>
      </c>
      <c r="C623" s="555">
        <v>4247</v>
      </c>
      <c r="D623" s="563">
        <v>50000</v>
      </c>
      <c r="E623" s="573">
        <v>557</v>
      </c>
      <c r="F623" s="563">
        <v>50000</v>
      </c>
      <c r="G623" s="87">
        <f t="shared" si="10"/>
        <v>0</v>
      </c>
      <c r="H623" s="87"/>
      <c r="I623" s="509"/>
      <c r="J623" s="398"/>
      <c r="K623" s="398"/>
      <c r="L623" s="398"/>
      <c r="M623" s="86"/>
    </row>
    <row r="624" spans="1:13" s="642" customFormat="1" ht="15.75" x14ac:dyDescent="0.25">
      <c r="A624" s="523">
        <v>613</v>
      </c>
      <c r="B624" s="523" t="s">
        <v>1075</v>
      </c>
      <c r="C624" s="555">
        <v>8955</v>
      </c>
      <c r="D624" s="563">
        <v>20000</v>
      </c>
      <c r="E624" s="573">
        <v>222</v>
      </c>
      <c r="F624" s="563">
        <v>20000</v>
      </c>
      <c r="G624" s="87">
        <f t="shared" si="10"/>
        <v>0</v>
      </c>
      <c r="H624" s="87"/>
      <c r="I624" s="509"/>
      <c r="J624" s="398"/>
      <c r="K624" s="398"/>
      <c r="L624" s="398"/>
      <c r="M624" s="86"/>
    </row>
    <row r="625" spans="1:13" s="642" customFormat="1" ht="15.75" x14ac:dyDescent="0.25">
      <c r="A625" s="523">
        <v>614</v>
      </c>
      <c r="B625" s="523" t="s">
        <v>1075</v>
      </c>
      <c r="C625" s="555">
        <v>7071</v>
      </c>
      <c r="D625" s="563">
        <v>28000</v>
      </c>
      <c r="E625" s="573">
        <v>283</v>
      </c>
      <c r="F625" s="563">
        <v>28000</v>
      </c>
      <c r="G625" s="87">
        <f t="shared" si="10"/>
        <v>0</v>
      </c>
      <c r="H625" s="87"/>
      <c r="I625" s="509"/>
      <c r="J625" s="398"/>
      <c r="K625" s="398"/>
      <c r="L625" s="398"/>
      <c r="M625" s="86"/>
    </row>
    <row r="626" spans="1:13" s="642" customFormat="1" ht="15.75" x14ac:dyDescent="0.25">
      <c r="A626" s="523">
        <v>615</v>
      </c>
      <c r="B626" s="523" t="s">
        <v>1075</v>
      </c>
      <c r="C626" s="555">
        <v>3976</v>
      </c>
      <c r="D626" s="563">
        <v>24500</v>
      </c>
      <c r="E626" s="573">
        <v>272</v>
      </c>
      <c r="F626" s="563">
        <v>24500</v>
      </c>
      <c r="G626" s="87">
        <f t="shared" si="10"/>
        <v>0</v>
      </c>
      <c r="H626" s="87"/>
      <c r="I626" s="509"/>
      <c r="J626" s="398"/>
      <c r="K626" s="398"/>
      <c r="L626" s="398"/>
      <c r="M626" s="86"/>
    </row>
    <row r="627" spans="1:13" s="642" customFormat="1" ht="15.75" x14ac:dyDescent="0.25">
      <c r="A627" s="523">
        <v>616</v>
      </c>
      <c r="B627" s="523" t="s">
        <v>1085</v>
      </c>
      <c r="C627" s="555">
        <v>5152</v>
      </c>
      <c r="D627" s="563">
        <v>15000</v>
      </c>
      <c r="E627" s="573">
        <v>167</v>
      </c>
      <c r="F627" s="563">
        <v>15000</v>
      </c>
      <c r="G627" s="87">
        <f t="shared" si="10"/>
        <v>0</v>
      </c>
      <c r="H627" s="87"/>
      <c r="I627" s="509"/>
      <c r="J627" s="398"/>
      <c r="K627" s="398"/>
      <c r="L627" s="398"/>
      <c r="M627" s="86"/>
    </row>
    <row r="628" spans="1:13" s="642" customFormat="1" ht="15.75" x14ac:dyDescent="0.25">
      <c r="A628" s="523">
        <v>617</v>
      </c>
      <c r="B628" s="523" t="s">
        <v>1085</v>
      </c>
      <c r="C628" s="555">
        <v>2082</v>
      </c>
      <c r="D628" s="563">
        <v>25000</v>
      </c>
      <c r="E628" s="573">
        <v>278</v>
      </c>
      <c r="F628" s="563">
        <v>25000</v>
      </c>
      <c r="G628" s="87">
        <f t="shared" si="10"/>
        <v>0</v>
      </c>
      <c r="H628" s="87"/>
      <c r="I628" s="509"/>
      <c r="J628" s="398"/>
      <c r="K628" s="398"/>
      <c r="L628" s="398"/>
      <c r="M628" s="86"/>
    </row>
    <row r="629" spans="1:13" s="642" customFormat="1" ht="15.75" x14ac:dyDescent="0.25">
      <c r="A629" s="523">
        <v>618</v>
      </c>
      <c r="B629" s="523" t="s">
        <v>1085</v>
      </c>
      <c r="C629" s="607" t="s">
        <v>1092</v>
      </c>
      <c r="D629" s="563">
        <v>25000</v>
      </c>
      <c r="E629" s="573">
        <v>278</v>
      </c>
      <c r="F629" s="563">
        <v>25000</v>
      </c>
      <c r="G629" s="87">
        <f t="shared" si="10"/>
        <v>0</v>
      </c>
      <c r="H629" s="87"/>
      <c r="I629" s="509"/>
      <c r="J629" s="398"/>
      <c r="K629" s="398"/>
      <c r="L629" s="398"/>
      <c r="M629" s="86"/>
    </row>
    <row r="630" spans="1:13" s="642" customFormat="1" ht="15.75" x14ac:dyDescent="0.25">
      <c r="A630" s="523">
        <v>619</v>
      </c>
      <c r="B630" s="523" t="s">
        <v>1085</v>
      </c>
      <c r="C630" s="607" t="s">
        <v>991</v>
      </c>
      <c r="D630" s="563">
        <v>25000</v>
      </c>
      <c r="E630" s="573">
        <v>278</v>
      </c>
      <c r="F630" s="563">
        <v>25000</v>
      </c>
      <c r="G630" s="87">
        <f t="shared" si="10"/>
        <v>0</v>
      </c>
      <c r="H630" s="87"/>
      <c r="I630" s="509"/>
      <c r="J630" s="398"/>
      <c r="K630" s="398"/>
      <c r="L630" s="398"/>
      <c r="M630" s="86"/>
    </row>
    <row r="631" spans="1:13" s="642" customFormat="1" ht="15.75" x14ac:dyDescent="0.25">
      <c r="A631" s="523">
        <v>620</v>
      </c>
      <c r="B631" s="523" t="s">
        <v>1085</v>
      </c>
      <c r="C631" s="555">
        <v>5413</v>
      </c>
      <c r="D631" s="563">
        <v>25000</v>
      </c>
      <c r="E631" s="573">
        <v>278</v>
      </c>
      <c r="F631" s="563">
        <v>25000</v>
      </c>
      <c r="G631" s="87">
        <f t="shared" si="10"/>
        <v>0</v>
      </c>
      <c r="H631" s="87"/>
      <c r="I631" s="509"/>
      <c r="J631" s="398"/>
      <c r="K631" s="398"/>
      <c r="L631" s="398"/>
      <c r="M631" s="86"/>
    </row>
    <row r="632" spans="1:13" s="642" customFormat="1" ht="15.75" x14ac:dyDescent="0.25">
      <c r="A632" s="523">
        <v>621</v>
      </c>
      <c r="B632" s="523" t="s">
        <v>1085</v>
      </c>
      <c r="C632" s="555">
        <v>4089</v>
      </c>
      <c r="D632" s="563">
        <v>29000</v>
      </c>
      <c r="E632" s="573">
        <v>323</v>
      </c>
      <c r="F632" s="563">
        <v>29000</v>
      </c>
      <c r="G632" s="87">
        <f t="shared" si="10"/>
        <v>0</v>
      </c>
      <c r="H632" s="87"/>
      <c r="I632" s="509"/>
      <c r="J632" s="398"/>
      <c r="K632" s="398"/>
      <c r="L632" s="398"/>
      <c r="M632" s="86"/>
    </row>
    <row r="633" spans="1:13" s="642" customFormat="1" ht="15.75" x14ac:dyDescent="0.25">
      <c r="A633" s="523">
        <v>622</v>
      </c>
      <c r="B633" s="523" t="s">
        <v>1085</v>
      </c>
      <c r="C633" s="555">
        <v>4239</v>
      </c>
      <c r="D633" s="563">
        <v>10000</v>
      </c>
      <c r="E633" s="573">
        <v>111</v>
      </c>
      <c r="F633" s="563">
        <v>10000</v>
      </c>
      <c r="G633" s="87">
        <f t="shared" si="10"/>
        <v>0</v>
      </c>
      <c r="H633" s="87"/>
      <c r="I633" s="509"/>
      <c r="J633" s="398"/>
      <c r="K633" s="398"/>
      <c r="L633" s="398"/>
      <c r="M633" s="86"/>
    </row>
    <row r="634" spans="1:13" s="642" customFormat="1" ht="15.75" x14ac:dyDescent="0.25">
      <c r="A634" s="523">
        <v>623</v>
      </c>
      <c r="B634" s="523" t="s">
        <v>1085</v>
      </c>
      <c r="C634" s="555">
        <v>1771</v>
      </c>
      <c r="D634" s="563">
        <v>20000</v>
      </c>
      <c r="E634" s="573">
        <v>222</v>
      </c>
      <c r="F634" s="563">
        <v>20000</v>
      </c>
      <c r="G634" s="87">
        <f t="shared" si="10"/>
        <v>0</v>
      </c>
      <c r="H634" s="87"/>
      <c r="I634" s="509"/>
      <c r="J634" s="398"/>
      <c r="K634" s="398"/>
      <c r="L634" s="398"/>
      <c r="M634" s="86"/>
    </row>
    <row r="635" spans="1:13" s="642" customFormat="1" ht="15.75" x14ac:dyDescent="0.25">
      <c r="A635" s="523">
        <v>624</v>
      </c>
      <c r="B635" s="523" t="s">
        <v>1085</v>
      </c>
      <c r="C635" s="555">
        <v>7349</v>
      </c>
      <c r="D635" s="563">
        <v>20000</v>
      </c>
      <c r="E635" s="573">
        <v>222</v>
      </c>
      <c r="F635" s="563">
        <v>20000</v>
      </c>
      <c r="G635" s="87">
        <f t="shared" si="10"/>
        <v>0</v>
      </c>
      <c r="H635" s="87"/>
      <c r="I635" s="509"/>
      <c r="J635" s="398"/>
      <c r="K635" s="398"/>
      <c r="L635" s="398"/>
      <c r="M635" s="86"/>
    </row>
    <row r="636" spans="1:13" s="642" customFormat="1" ht="15.75" x14ac:dyDescent="0.25">
      <c r="A636" s="523">
        <v>625</v>
      </c>
      <c r="B636" s="523" t="s">
        <v>1085</v>
      </c>
      <c r="C636" s="555">
        <v>3935</v>
      </c>
      <c r="D636" s="563">
        <v>19000</v>
      </c>
      <c r="E636" s="573">
        <v>211</v>
      </c>
      <c r="F636" s="563">
        <v>19000</v>
      </c>
      <c r="G636" s="87">
        <f t="shared" si="10"/>
        <v>0</v>
      </c>
      <c r="H636" s="87"/>
      <c r="I636" s="509"/>
      <c r="J636" s="398"/>
      <c r="K636" s="398"/>
      <c r="L636" s="398"/>
      <c r="M636" s="86"/>
    </row>
    <row r="637" spans="1:13" s="642" customFormat="1" ht="15.75" x14ac:dyDescent="0.25">
      <c r="A637" s="523">
        <v>626</v>
      </c>
      <c r="B637" s="523" t="s">
        <v>1085</v>
      </c>
      <c r="C637" s="555">
        <v>9277</v>
      </c>
      <c r="D637" s="563">
        <v>18000</v>
      </c>
      <c r="E637" s="573">
        <v>200</v>
      </c>
      <c r="F637" s="563">
        <v>18000</v>
      </c>
      <c r="G637" s="87">
        <f t="shared" si="10"/>
        <v>0</v>
      </c>
      <c r="H637" s="87"/>
      <c r="I637" s="509"/>
      <c r="J637" s="398"/>
      <c r="K637" s="398"/>
      <c r="L637" s="398"/>
      <c r="M637" s="86"/>
    </row>
    <row r="638" spans="1:13" s="643" customFormat="1" ht="15.75" x14ac:dyDescent="0.25">
      <c r="A638" s="523">
        <v>627</v>
      </c>
      <c r="B638" s="523" t="s">
        <v>1085</v>
      </c>
      <c r="C638" s="555">
        <v>9876</v>
      </c>
      <c r="D638" s="563">
        <v>18000</v>
      </c>
      <c r="E638" s="573">
        <v>200</v>
      </c>
      <c r="F638" s="563">
        <v>18000</v>
      </c>
      <c r="G638" s="87">
        <f t="shared" si="10"/>
        <v>0</v>
      </c>
      <c r="H638" s="87"/>
      <c r="I638" s="509"/>
      <c r="J638" s="398"/>
      <c r="K638" s="398"/>
      <c r="L638" s="398"/>
      <c r="M638" s="86"/>
    </row>
    <row r="639" spans="1:13" s="643" customFormat="1" ht="15.75" x14ac:dyDescent="0.25">
      <c r="A639" s="523">
        <v>628</v>
      </c>
      <c r="B639" s="523" t="s">
        <v>1085</v>
      </c>
      <c r="C639" s="555">
        <v>8326</v>
      </c>
      <c r="D639" s="563">
        <v>15000</v>
      </c>
      <c r="E639" s="573">
        <v>167</v>
      </c>
      <c r="F639" s="563">
        <v>15000</v>
      </c>
      <c r="G639" s="87">
        <f t="shared" si="10"/>
        <v>0</v>
      </c>
      <c r="H639" s="87"/>
      <c r="I639" s="509"/>
      <c r="J639" s="398"/>
      <c r="K639" s="398"/>
      <c r="L639" s="398"/>
      <c r="M639" s="86"/>
    </row>
    <row r="640" spans="1:13" s="643" customFormat="1" ht="15.75" x14ac:dyDescent="0.25">
      <c r="A640" s="523">
        <v>629</v>
      </c>
      <c r="B640" s="523" t="s">
        <v>1085</v>
      </c>
      <c r="C640" s="555">
        <v>3344</v>
      </c>
      <c r="D640" s="563">
        <v>15000</v>
      </c>
      <c r="E640" s="573">
        <v>167</v>
      </c>
      <c r="F640" s="563">
        <v>15000</v>
      </c>
      <c r="G640" s="87">
        <f t="shared" si="10"/>
        <v>0</v>
      </c>
      <c r="H640" s="87"/>
      <c r="I640" s="509"/>
      <c r="J640" s="398"/>
      <c r="K640" s="398"/>
      <c r="L640" s="398"/>
      <c r="M640" s="86"/>
    </row>
    <row r="641" spans="1:13" s="643" customFormat="1" ht="15.75" x14ac:dyDescent="0.25">
      <c r="A641" s="523">
        <v>630</v>
      </c>
      <c r="B641" s="523" t="s">
        <v>1085</v>
      </c>
      <c r="C641" s="555">
        <v>6794</v>
      </c>
      <c r="D641" s="563">
        <v>16000</v>
      </c>
      <c r="E641" s="573">
        <v>178</v>
      </c>
      <c r="F641" s="563">
        <v>16000</v>
      </c>
      <c r="G641" s="87">
        <f t="shared" si="10"/>
        <v>0</v>
      </c>
      <c r="H641" s="87"/>
      <c r="I641" s="509"/>
      <c r="J641" s="398"/>
      <c r="K641" s="398"/>
      <c r="L641" s="398"/>
      <c r="M641" s="86"/>
    </row>
    <row r="642" spans="1:13" s="643" customFormat="1" ht="15.75" x14ac:dyDescent="0.25">
      <c r="A642" s="523">
        <v>631</v>
      </c>
      <c r="B642" s="523" t="s">
        <v>1085</v>
      </c>
      <c r="C642" s="555">
        <v>2867</v>
      </c>
      <c r="D642" s="563">
        <v>16000</v>
      </c>
      <c r="E642" s="573">
        <v>178</v>
      </c>
      <c r="F642" s="563">
        <v>16000</v>
      </c>
      <c r="G642" s="87">
        <f t="shared" si="10"/>
        <v>0</v>
      </c>
      <c r="H642" s="87"/>
      <c r="I642" s="509"/>
      <c r="J642" s="398"/>
      <c r="K642" s="398"/>
      <c r="L642" s="398"/>
      <c r="M642" s="86"/>
    </row>
    <row r="643" spans="1:13" s="643" customFormat="1" ht="15.75" x14ac:dyDescent="0.25">
      <c r="A643" s="523">
        <v>632</v>
      </c>
      <c r="B643" s="523" t="s">
        <v>1085</v>
      </c>
      <c r="C643" s="555">
        <v>4513</v>
      </c>
      <c r="D643" s="563">
        <v>16500</v>
      </c>
      <c r="E643" s="573">
        <v>181</v>
      </c>
      <c r="F643" s="563">
        <v>16500</v>
      </c>
      <c r="G643" s="87">
        <f t="shared" si="10"/>
        <v>0</v>
      </c>
      <c r="H643" s="87"/>
      <c r="I643" s="509"/>
      <c r="J643" s="398"/>
      <c r="K643" s="398"/>
      <c r="L643" s="398"/>
      <c r="M643" s="86"/>
    </row>
    <row r="644" spans="1:13" s="643" customFormat="1" ht="15.75" x14ac:dyDescent="0.25">
      <c r="A644" s="523">
        <v>633</v>
      </c>
      <c r="B644" s="523" t="s">
        <v>1085</v>
      </c>
      <c r="C644" s="555">
        <v>6133</v>
      </c>
      <c r="D644" s="563">
        <v>17000</v>
      </c>
      <c r="E644" s="573">
        <v>189</v>
      </c>
      <c r="F644" s="563">
        <v>17000</v>
      </c>
      <c r="G644" s="87">
        <f t="shared" si="10"/>
        <v>0</v>
      </c>
      <c r="H644" s="87"/>
      <c r="I644" s="509"/>
      <c r="J644" s="398"/>
      <c r="K644" s="398"/>
      <c r="L644" s="398"/>
      <c r="M644" s="86"/>
    </row>
    <row r="645" spans="1:13" s="643" customFormat="1" ht="15.75" x14ac:dyDescent="0.25">
      <c r="A645" s="523">
        <v>634</v>
      </c>
      <c r="B645" s="523" t="s">
        <v>1085</v>
      </c>
      <c r="C645" s="555">
        <v>9903</v>
      </c>
      <c r="D645" s="563">
        <v>23000</v>
      </c>
      <c r="E645" s="573">
        <v>256</v>
      </c>
      <c r="F645" s="563">
        <v>23000</v>
      </c>
      <c r="G645" s="87">
        <f t="shared" si="10"/>
        <v>0</v>
      </c>
      <c r="H645" s="87"/>
      <c r="I645" s="509"/>
      <c r="J645" s="398"/>
      <c r="K645" s="398"/>
      <c r="L645" s="398"/>
      <c r="M645" s="86"/>
    </row>
    <row r="646" spans="1:13" s="643" customFormat="1" ht="15.75" x14ac:dyDescent="0.25">
      <c r="A646" s="523">
        <v>635</v>
      </c>
      <c r="B646" s="523" t="s">
        <v>1085</v>
      </c>
      <c r="C646" s="555">
        <v>8085</v>
      </c>
      <c r="D646" s="563">
        <v>17000</v>
      </c>
      <c r="E646" s="573">
        <v>189</v>
      </c>
      <c r="F646" s="563">
        <v>17000</v>
      </c>
      <c r="G646" s="87">
        <f t="shared" si="10"/>
        <v>0</v>
      </c>
      <c r="H646" s="87"/>
      <c r="I646" s="509"/>
      <c r="J646" s="398"/>
      <c r="K646" s="398"/>
      <c r="L646" s="398"/>
      <c r="M646" s="86"/>
    </row>
    <row r="647" spans="1:13" s="643" customFormat="1" ht="15.75" x14ac:dyDescent="0.25">
      <c r="A647" s="523">
        <v>636</v>
      </c>
      <c r="B647" s="523" t="s">
        <v>1085</v>
      </c>
      <c r="C647" s="555">
        <v>4514</v>
      </c>
      <c r="D647" s="563">
        <v>17000</v>
      </c>
      <c r="E647" s="573">
        <v>189</v>
      </c>
      <c r="F647" s="563">
        <v>17000</v>
      </c>
      <c r="G647" s="87">
        <f t="shared" si="10"/>
        <v>0</v>
      </c>
      <c r="H647" s="87"/>
      <c r="I647" s="509"/>
      <c r="J647" s="398"/>
      <c r="K647" s="398"/>
      <c r="L647" s="398"/>
      <c r="M647" s="86"/>
    </row>
    <row r="648" spans="1:13" s="643" customFormat="1" ht="15.75" x14ac:dyDescent="0.25">
      <c r="A648" s="523">
        <v>637</v>
      </c>
      <c r="B648" s="523" t="s">
        <v>1085</v>
      </c>
      <c r="C648" s="555">
        <v>1934</v>
      </c>
      <c r="D648" s="563">
        <v>22000</v>
      </c>
      <c r="E648" s="573">
        <v>245</v>
      </c>
      <c r="F648" s="563">
        <v>22000</v>
      </c>
      <c r="G648" s="87">
        <f t="shared" si="10"/>
        <v>0</v>
      </c>
      <c r="H648" s="87"/>
      <c r="I648" s="509"/>
      <c r="J648" s="398"/>
      <c r="K648" s="398"/>
      <c r="L648" s="398"/>
      <c r="M648" s="86"/>
    </row>
    <row r="649" spans="1:13" s="643" customFormat="1" ht="15.75" x14ac:dyDescent="0.25">
      <c r="A649" s="523">
        <v>638</v>
      </c>
      <c r="B649" s="523" t="s">
        <v>1085</v>
      </c>
      <c r="C649" s="555">
        <v>2497</v>
      </c>
      <c r="D649" s="563">
        <v>18000</v>
      </c>
      <c r="E649" s="573">
        <v>200</v>
      </c>
      <c r="F649" s="563">
        <v>18000</v>
      </c>
      <c r="G649" s="87">
        <f t="shared" si="10"/>
        <v>0</v>
      </c>
      <c r="H649" s="87"/>
      <c r="I649" s="509"/>
      <c r="J649" s="398"/>
      <c r="K649" s="398"/>
      <c r="L649" s="398"/>
      <c r="M649" s="86"/>
    </row>
    <row r="650" spans="1:13" s="643" customFormat="1" ht="15.75" x14ac:dyDescent="0.25">
      <c r="A650" s="523">
        <v>639</v>
      </c>
      <c r="B650" s="523" t="s">
        <v>1085</v>
      </c>
      <c r="C650" s="555" t="s">
        <v>30</v>
      </c>
      <c r="D650" s="563">
        <v>2000</v>
      </c>
      <c r="E650" s="573">
        <v>22</v>
      </c>
      <c r="F650" s="563">
        <v>2000</v>
      </c>
      <c r="G650" s="87">
        <f t="shared" si="10"/>
        <v>0</v>
      </c>
      <c r="H650" s="87"/>
      <c r="I650" s="509"/>
      <c r="J650" s="398"/>
      <c r="K650" s="398"/>
      <c r="L650" s="398"/>
      <c r="M650" s="86"/>
    </row>
    <row r="651" spans="1:13" s="643" customFormat="1" ht="15.75" x14ac:dyDescent="0.25">
      <c r="A651" s="523">
        <v>640</v>
      </c>
      <c r="B651" s="523" t="s">
        <v>1085</v>
      </c>
      <c r="C651" s="607" t="s">
        <v>1045</v>
      </c>
      <c r="D651" s="563">
        <v>25000</v>
      </c>
      <c r="E651" s="573">
        <v>278</v>
      </c>
      <c r="F651" s="563">
        <v>25000</v>
      </c>
      <c r="G651" s="87">
        <f t="shared" si="10"/>
        <v>0</v>
      </c>
      <c r="H651" s="87"/>
      <c r="I651" s="509"/>
      <c r="J651" s="398"/>
      <c r="K651" s="398"/>
      <c r="L651" s="398"/>
      <c r="M651" s="86"/>
    </row>
    <row r="652" spans="1:13" s="643" customFormat="1" ht="15.75" x14ac:dyDescent="0.25">
      <c r="A652" s="523">
        <v>641</v>
      </c>
      <c r="B652" s="523" t="s">
        <v>1085</v>
      </c>
      <c r="C652" s="555">
        <v>5604</v>
      </c>
      <c r="D652" s="563">
        <v>27900</v>
      </c>
      <c r="E652" s="573">
        <v>310</v>
      </c>
      <c r="F652" s="563">
        <v>27900</v>
      </c>
      <c r="G652" s="87">
        <f t="shared" si="10"/>
        <v>0</v>
      </c>
      <c r="H652" s="87"/>
      <c r="I652" s="509"/>
      <c r="J652" s="398"/>
      <c r="K652" s="398"/>
      <c r="L652" s="398"/>
      <c r="M652" s="86"/>
    </row>
    <row r="653" spans="1:13" s="643" customFormat="1" ht="15.75" x14ac:dyDescent="0.25">
      <c r="A653" s="523">
        <v>642</v>
      </c>
      <c r="B653" s="523" t="s">
        <v>1085</v>
      </c>
      <c r="C653" s="555" t="s">
        <v>66</v>
      </c>
      <c r="D653" s="563">
        <v>100</v>
      </c>
      <c r="E653" s="573" t="s">
        <v>66</v>
      </c>
      <c r="F653" s="563">
        <v>100</v>
      </c>
      <c r="G653" s="87">
        <f t="shared" si="10"/>
        <v>0</v>
      </c>
      <c r="H653" s="87"/>
      <c r="I653" s="509"/>
      <c r="J653" s="398"/>
      <c r="K653" s="398"/>
      <c r="L653" s="398"/>
      <c r="M653" s="86"/>
    </row>
    <row r="654" spans="1:13" s="643" customFormat="1" ht="15.75" x14ac:dyDescent="0.25">
      <c r="A654" s="523">
        <v>643</v>
      </c>
      <c r="B654" s="523" t="s">
        <v>1085</v>
      </c>
      <c r="C654" s="555">
        <v>8274</v>
      </c>
      <c r="D654" s="563">
        <v>25000</v>
      </c>
      <c r="E654" s="573">
        <v>241</v>
      </c>
      <c r="F654" s="563">
        <v>25000</v>
      </c>
      <c r="G654" s="87">
        <f t="shared" si="10"/>
        <v>0</v>
      </c>
      <c r="H654" s="87"/>
      <c r="I654" s="509"/>
      <c r="J654" s="398"/>
      <c r="K654" s="398"/>
      <c r="L654" s="398"/>
      <c r="M654" s="86"/>
    </row>
    <row r="655" spans="1:13" s="643" customFormat="1" ht="15.75" x14ac:dyDescent="0.25">
      <c r="A655" s="523">
        <v>644</v>
      </c>
      <c r="B655" s="523" t="s">
        <v>1085</v>
      </c>
      <c r="C655" s="555">
        <v>4608</v>
      </c>
      <c r="D655" s="563">
        <v>23000</v>
      </c>
      <c r="E655" s="573">
        <v>256</v>
      </c>
      <c r="F655" s="563">
        <v>23000</v>
      </c>
      <c r="G655" s="87">
        <f t="shared" si="10"/>
        <v>0</v>
      </c>
      <c r="H655" s="87"/>
      <c r="I655" s="509"/>
      <c r="J655" s="398"/>
      <c r="K655" s="398"/>
      <c r="L655" s="398"/>
      <c r="M655" s="86"/>
    </row>
    <row r="656" spans="1:13" s="643" customFormat="1" ht="15.75" x14ac:dyDescent="0.25">
      <c r="A656" s="523">
        <v>645</v>
      </c>
      <c r="B656" s="523" t="s">
        <v>1085</v>
      </c>
      <c r="C656" s="555">
        <v>8007</v>
      </c>
      <c r="D656" s="563">
        <v>25000</v>
      </c>
      <c r="E656" s="573">
        <v>257</v>
      </c>
      <c r="F656" s="563">
        <v>25000</v>
      </c>
      <c r="G656" s="87">
        <f t="shared" si="10"/>
        <v>0</v>
      </c>
      <c r="H656" s="87"/>
      <c r="I656" s="509"/>
      <c r="J656" s="398"/>
      <c r="K656" s="398"/>
      <c r="L656" s="398"/>
      <c r="M656" s="86"/>
    </row>
    <row r="657" spans="1:13" s="643" customFormat="1" ht="15.75" x14ac:dyDescent="0.25">
      <c r="A657" s="523">
        <v>646</v>
      </c>
      <c r="B657" s="523" t="s">
        <v>1085</v>
      </c>
      <c r="C657" s="555">
        <v>9455</v>
      </c>
      <c r="D657" s="563">
        <v>27000</v>
      </c>
      <c r="E657" s="573">
        <v>290</v>
      </c>
      <c r="F657" s="563">
        <v>27000</v>
      </c>
      <c r="G657" s="87">
        <f t="shared" si="10"/>
        <v>0</v>
      </c>
      <c r="H657" s="87"/>
      <c r="I657" s="509"/>
      <c r="J657" s="398"/>
      <c r="K657" s="398"/>
      <c r="L657" s="398"/>
      <c r="M657" s="86"/>
    </row>
    <row r="658" spans="1:13" s="643" customFormat="1" ht="15.75" x14ac:dyDescent="0.25">
      <c r="A658" s="523">
        <v>647</v>
      </c>
      <c r="B658" s="523" t="s">
        <v>1085</v>
      </c>
      <c r="C658" s="555">
        <v>5565</v>
      </c>
      <c r="D658" s="563">
        <v>30000</v>
      </c>
      <c r="E658" s="573">
        <v>334</v>
      </c>
      <c r="F658" s="563">
        <v>30000</v>
      </c>
      <c r="G658" s="87">
        <f t="shared" si="10"/>
        <v>0</v>
      </c>
      <c r="H658" s="87"/>
      <c r="I658" s="509"/>
      <c r="J658" s="398"/>
      <c r="K658" s="398"/>
      <c r="L658" s="398"/>
      <c r="M658" s="86"/>
    </row>
    <row r="659" spans="1:13" s="643" customFormat="1" ht="15.75" x14ac:dyDescent="0.25">
      <c r="A659" s="523">
        <v>648</v>
      </c>
      <c r="B659" s="523" t="s">
        <v>1085</v>
      </c>
      <c r="C659" s="555">
        <v>6271</v>
      </c>
      <c r="D659" s="563">
        <v>20000</v>
      </c>
      <c r="E659" s="573">
        <v>222</v>
      </c>
      <c r="F659" s="563">
        <v>20000</v>
      </c>
      <c r="G659" s="87">
        <f t="shared" si="10"/>
        <v>0</v>
      </c>
      <c r="H659" s="87"/>
      <c r="I659" s="509"/>
      <c r="J659" s="398"/>
      <c r="K659" s="398"/>
      <c r="L659" s="398"/>
      <c r="M659" s="86"/>
    </row>
    <row r="660" spans="1:13" s="643" customFormat="1" ht="15.75" x14ac:dyDescent="0.25">
      <c r="A660" s="523">
        <v>649</v>
      </c>
      <c r="B660" s="523" t="s">
        <v>1085</v>
      </c>
      <c r="C660" s="555">
        <v>5974</v>
      </c>
      <c r="D660" s="563">
        <v>20000</v>
      </c>
      <c r="E660" s="573">
        <v>222</v>
      </c>
      <c r="F660" s="563">
        <v>20000</v>
      </c>
      <c r="G660" s="87">
        <f t="shared" si="10"/>
        <v>0</v>
      </c>
      <c r="H660" s="87"/>
      <c r="I660" s="509"/>
      <c r="J660" s="398"/>
      <c r="K660" s="398"/>
      <c r="L660" s="398"/>
      <c r="M660" s="86"/>
    </row>
    <row r="661" spans="1:13" s="643" customFormat="1" ht="15.75" x14ac:dyDescent="0.25">
      <c r="A661" s="523">
        <v>650</v>
      </c>
      <c r="B661" s="523" t="s">
        <v>1085</v>
      </c>
      <c r="C661" s="555">
        <v>7715</v>
      </c>
      <c r="D661" s="563">
        <v>37000</v>
      </c>
      <c r="E661" s="573">
        <v>412</v>
      </c>
      <c r="F661" s="563">
        <v>37000</v>
      </c>
      <c r="G661" s="87">
        <f t="shared" si="10"/>
        <v>0</v>
      </c>
      <c r="H661" s="87"/>
      <c r="I661" s="509"/>
      <c r="J661" s="398"/>
      <c r="K661" s="398"/>
      <c r="L661" s="398"/>
      <c r="M661" s="86"/>
    </row>
    <row r="662" spans="1:13" s="643" customFormat="1" ht="15.75" x14ac:dyDescent="0.25">
      <c r="A662" s="523">
        <v>651</v>
      </c>
      <c r="B662" s="523" t="s">
        <v>1085</v>
      </c>
      <c r="C662" s="555">
        <v>4052</v>
      </c>
      <c r="D662" s="563">
        <v>10000</v>
      </c>
      <c r="E662" s="573">
        <v>111</v>
      </c>
      <c r="F662" s="563">
        <v>10000</v>
      </c>
      <c r="G662" s="87">
        <f t="shared" si="10"/>
        <v>0</v>
      </c>
      <c r="H662" s="87"/>
      <c r="I662" s="509"/>
      <c r="J662" s="398"/>
      <c r="K662" s="398"/>
      <c r="L662" s="398"/>
      <c r="M662" s="86"/>
    </row>
    <row r="663" spans="1:13" s="643" customFormat="1" ht="15.75" x14ac:dyDescent="0.25">
      <c r="A663" s="523">
        <v>652</v>
      </c>
      <c r="B663" s="523" t="s">
        <v>1085</v>
      </c>
      <c r="C663" s="607" t="s">
        <v>1093</v>
      </c>
      <c r="D663" s="563">
        <v>23000</v>
      </c>
      <c r="E663" s="573">
        <v>256</v>
      </c>
      <c r="F663" s="563">
        <v>23000</v>
      </c>
      <c r="G663" s="87">
        <f t="shared" ref="G663:G726" si="11">D663-F663</f>
        <v>0</v>
      </c>
      <c r="H663" s="87"/>
      <c r="I663" s="509"/>
      <c r="J663" s="398"/>
      <c r="K663" s="398"/>
      <c r="L663" s="398"/>
      <c r="M663" s="86"/>
    </row>
    <row r="664" spans="1:13" s="643" customFormat="1" ht="15.75" x14ac:dyDescent="0.25">
      <c r="A664" s="523">
        <v>653</v>
      </c>
      <c r="B664" s="523" t="s">
        <v>1085</v>
      </c>
      <c r="C664" s="555">
        <v>3628</v>
      </c>
      <c r="D664" s="563">
        <v>20000</v>
      </c>
      <c r="E664" s="573">
        <v>222</v>
      </c>
      <c r="F664" s="563">
        <v>20000</v>
      </c>
      <c r="G664" s="87">
        <f t="shared" si="11"/>
        <v>0</v>
      </c>
      <c r="H664" s="87"/>
      <c r="I664" s="509"/>
      <c r="J664" s="398"/>
      <c r="K664" s="398"/>
      <c r="L664" s="398"/>
      <c r="M664" s="86"/>
    </row>
    <row r="665" spans="1:13" s="643" customFormat="1" ht="15.75" x14ac:dyDescent="0.25">
      <c r="A665" s="523">
        <v>654</v>
      </c>
      <c r="B665" s="523" t="s">
        <v>1085</v>
      </c>
      <c r="C665" s="555">
        <v>1766</v>
      </c>
      <c r="D665" s="563">
        <v>8000</v>
      </c>
      <c r="E665" s="573">
        <v>77</v>
      </c>
      <c r="F665" s="563">
        <v>8000</v>
      </c>
      <c r="G665" s="87">
        <f t="shared" si="11"/>
        <v>0</v>
      </c>
      <c r="H665" s="87"/>
      <c r="I665" s="509"/>
      <c r="J665" s="398"/>
      <c r="K665" s="398"/>
      <c r="L665" s="398"/>
      <c r="M665" s="86"/>
    </row>
    <row r="666" spans="1:13" s="643" customFormat="1" ht="15.75" x14ac:dyDescent="0.25">
      <c r="A666" s="523">
        <v>655</v>
      </c>
      <c r="B666" s="523" t="s">
        <v>1085</v>
      </c>
      <c r="C666" s="555">
        <v>1029</v>
      </c>
      <c r="D666" s="563">
        <v>20000</v>
      </c>
      <c r="E666" s="573">
        <v>222</v>
      </c>
      <c r="F666" s="563">
        <v>20000</v>
      </c>
      <c r="G666" s="87">
        <f t="shared" si="11"/>
        <v>0</v>
      </c>
      <c r="H666" s="87"/>
      <c r="I666" s="509"/>
      <c r="J666" s="398"/>
      <c r="K666" s="398"/>
      <c r="L666" s="398"/>
      <c r="M666" s="86"/>
    </row>
    <row r="667" spans="1:13" s="643" customFormat="1" ht="15.75" x14ac:dyDescent="0.25">
      <c r="A667" s="523">
        <v>656</v>
      </c>
      <c r="B667" s="523" t="s">
        <v>1085</v>
      </c>
      <c r="C667" s="555">
        <v>4768</v>
      </c>
      <c r="D667" s="563">
        <v>15000</v>
      </c>
      <c r="E667" s="573">
        <v>167</v>
      </c>
      <c r="F667" s="563">
        <v>15000</v>
      </c>
      <c r="G667" s="87">
        <f t="shared" si="11"/>
        <v>0</v>
      </c>
      <c r="H667" s="87"/>
      <c r="I667" s="509"/>
      <c r="J667" s="398"/>
      <c r="K667" s="398"/>
      <c r="L667" s="398"/>
      <c r="M667" s="86"/>
    </row>
    <row r="668" spans="1:13" s="643" customFormat="1" ht="15.75" x14ac:dyDescent="0.25">
      <c r="A668" s="523">
        <v>657</v>
      </c>
      <c r="B668" s="523" t="s">
        <v>1085</v>
      </c>
      <c r="C668" s="555">
        <v>8271</v>
      </c>
      <c r="D668" s="563">
        <v>20000</v>
      </c>
      <c r="E668" s="573">
        <v>222</v>
      </c>
      <c r="F668" s="563">
        <v>20000</v>
      </c>
      <c r="G668" s="87">
        <f t="shared" si="11"/>
        <v>0</v>
      </c>
      <c r="H668" s="87"/>
      <c r="I668" s="509"/>
      <c r="J668" s="398"/>
      <c r="K668" s="398"/>
      <c r="L668" s="398"/>
      <c r="M668" s="86"/>
    </row>
    <row r="669" spans="1:13" s="643" customFormat="1" ht="15.75" x14ac:dyDescent="0.25">
      <c r="A669" s="523">
        <v>658</v>
      </c>
      <c r="B669" s="523" t="s">
        <v>1085</v>
      </c>
      <c r="C669" s="555">
        <v>8045</v>
      </c>
      <c r="D669" s="563">
        <v>15000</v>
      </c>
      <c r="E669" s="573">
        <v>167</v>
      </c>
      <c r="F669" s="563">
        <v>15000</v>
      </c>
      <c r="G669" s="87">
        <f t="shared" si="11"/>
        <v>0</v>
      </c>
      <c r="H669" s="87"/>
      <c r="I669" s="509"/>
      <c r="J669" s="398"/>
      <c r="K669" s="398"/>
      <c r="L669" s="398"/>
      <c r="M669" s="86"/>
    </row>
    <row r="670" spans="1:13" s="643" customFormat="1" ht="15.75" x14ac:dyDescent="0.25">
      <c r="A670" s="523">
        <v>659</v>
      </c>
      <c r="B670" s="523" t="s">
        <v>1085</v>
      </c>
      <c r="C670" s="555">
        <v>8046</v>
      </c>
      <c r="D670" s="563">
        <v>15000</v>
      </c>
      <c r="E670" s="573">
        <v>167</v>
      </c>
      <c r="F670" s="563">
        <v>15000</v>
      </c>
      <c r="G670" s="87">
        <f t="shared" si="11"/>
        <v>0</v>
      </c>
      <c r="H670" s="87"/>
      <c r="I670" s="509"/>
      <c r="J670" s="398"/>
      <c r="K670" s="398"/>
      <c r="L670" s="398"/>
      <c r="M670" s="86"/>
    </row>
    <row r="671" spans="1:13" s="643" customFormat="1" ht="15.75" x14ac:dyDescent="0.25">
      <c r="A671" s="523">
        <v>660</v>
      </c>
      <c r="B671" s="523" t="s">
        <v>1085</v>
      </c>
      <c r="C671" s="555">
        <v>9428</v>
      </c>
      <c r="D671" s="563">
        <v>15000</v>
      </c>
      <c r="E671" s="573">
        <v>167</v>
      </c>
      <c r="F671" s="563">
        <v>15000</v>
      </c>
      <c r="G671" s="87">
        <f t="shared" si="11"/>
        <v>0</v>
      </c>
      <c r="H671" s="87"/>
      <c r="I671" s="509"/>
      <c r="J671" s="398"/>
      <c r="K671" s="398"/>
      <c r="L671" s="398"/>
      <c r="M671" s="86"/>
    </row>
    <row r="672" spans="1:13" s="643" customFormat="1" ht="15.75" x14ac:dyDescent="0.25">
      <c r="A672" s="523">
        <v>661</v>
      </c>
      <c r="B672" s="523" t="s">
        <v>1086</v>
      </c>
      <c r="C672" s="555" t="s">
        <v>30</v>
      </c>
      <c r="D672" s="563">
        <v>2850</v>
      </c>
      <c r="E672" s="573">
        <v>27</v>
      </c>
      <c r="F672" s="563">
        <v>2850</v>
      </c>
      <c r="G672" s="87">
        <f t="shared" si="11"/>
        <v>0</v>
      </c>
      <c r="H672" s="87"/>
      <c r="I672" s="509"/>
      <c r="J672" s="398"/>
      <c r="K672" s="398"/>
      <c r="L672" s="398"/>
      <c r="M672" s="86"/>
    </row>
    <row r="673" spans="1:13" s="643" customFormat="1" ht="15.75" x14ac:dyDescent="0.25">
      <c r="A673" s="523">
        <v>662</v>
      </c>
      <c r="B673" s="523" t="s">
        <v>1086</v>
      </c>
      <c r="C673" s="555">
        <v>4058</v>
      </c>
      <c r="D673" s="563">
        <v>17000</v>
      </c>
      <c r="E673" s="573">
        <v>189</v>
      </c>
      <c r="F673" s="563">
        <v>17000</v>
      </c>
      <c r="G673" s="87">
        <f t="shared" si="11"/>
        <v>0</v>
      </c>
      <c r="H673" s="87"/>
      <c r="I673" s="509"/>
      <c r="J673" s="398"/>
      <c r="K673" s="398"/>
      <c r="L673" s="398"/>
      <c r="M673" s="86"/>
    </row>
    <row r="674" spans="1:13" s="643" customFormat="1" ht="15.75" x14ac:dyDescent="0.25">
      <c r="A674" s="523">
        <v>663</v>
      </c>
      <c r="B674" s="523" t="s">
        <v>1086</v>
      </c>
      <c r="C674" s="555">
        <v>3662</v>
      </c>
      <c r="D674" s="563">
        <v>18000</v>
      </c>
      <c r="E674" s="573">
        <v>200</v>
      </c>
      <c r="F674" s="563">
        <v>18000</v>
      </c>
      <c r="G674" s="87">
        <f t="shared" si="11"/>
        <v>0</v>
      </c>
      <c r="H674" s="87"/>
      <c r="I674" s="509"/>
      <c r="J674" s="398"/>
      <c r="K674" s="398"/>
      <c r="L674" s="398"/>
      <c r="M674" s="86"/>
    </row>
    <row r="675" spans="1:13" s="643" customFormat="1" ht="15.75" x14ac:dyDescent="0.25">
      <c r="A675" s="523">
        <v>664</v>
      </c>
      <c r="B675" s="523" t="s">
        <v>1086</v>
      </c>
      <c r="C675" s="555" t="s">
        <v>66</v>
      </c>
      <c r="D675" s="563">
        <v>210</v>
      </c>
      <c r="E675" s="573" t="s">
        <v>66</v>
      </c>
      <c r="F675" s="563">
        <v>210</v>
      </c>
      <c r="G675" s="87">
        <f t="shared" si="11"/>
        <v>0</v>
      </c>
      <c r="H675" s="87"/>
      <c r="I675" s="509"/>
      <c r="J675" s="398"/>
      <c r="K675" s="398"/>
      <c r="L675" s="398"/>
      <c r="M675" s="86"/>
    </row>
    <row r="676" spans="1:13" s="643" customFormat="1" ht="15.75" x14ac:dyDescent="0.25">
      <c r="A676" s="523">
        <v>665</v>
      </c>
      <c r="B676" s="523" t="s">
        <v>1086</v>
      </c>
      <c r="C676" s="607" t="s">
        <v>1094</v>
      </c>
      <c r="D676" s="563">
        <v>26000</v>
      </c>
      <c r="E676" s="573">
        <v>289</v>
      </c>
      <c r="F676" s="563">
        <v>26000</v>
      </c>
      <c r="G676" s="87">
        <f t="shared" si="11"/>
        <v>0</v>
      </c>
      <c r="H676" s="87"/>
      <c r="I676" s="509"/>
      <c r="J676" s="398"/>
      <c r="K676" s="398"/>
      <c r="L676" s="398"/>
      <c r="M676" s="86"/>
    </row>
    <row r="677" spans="1:13" s="643" customFormat="1" ht="15.75" x14ac:dyDescent="0.25">
      <c r="A677" s="523">
        <v>666</v>
      </c>
      <c r="B677" s="523" t="s">
        <v>1086</v>
      </c>
      <c r="C677" s="555">
        <v>4024</v>
      </c>
      <c r="D677" s="563">
        <v>10000</v>
      </c>
      <c r="E677" s="573">
        <v>111</v>
      </c>
      <c r="F677" s="563">
        <v>10000</v>
      </c>
      <c r="G677" s="87">
        <f t="shared" si="11"/>
        <v>0</v>
      </c>
      <c r="H677" s="87"/>
      <c r="I677" s="509"/>
      <c r="J677" s="398"/>
      <c r="K677" s="398"/>
      <c r="L677" s="398"/>
      <c r="M677" s="86"/>
    </row>
    <row r="678" spans="1:13" s="643" customFormat="1" ht="15.75" x14ac:dyDescent="0.25">
      <c r="A678" s="523">
        <v>667</v>
      </c>
      <c r="B678" s="523" t="s">
        <v>1086</v>
      </c>
      <c r="C678" s="555" t="s">
        <v>30</v>
      </c>
      <c r="D678" s="563">
        <v>10000</v>
      </c>
      <c r="E678" s="573">
        <v>111</v>
      </c>
      <c r="F678" s="563">
        <v>10000</v>
      </c>
      <c r="G678" s="87">
        <f t="shared" si="11"/>
        <v>0</v>
      </c>
      <c r="H678" s="87"/>
      <c r="I678" s="509"/>
      <c r="J678" s="398"/>
      <c r="K678" s="398"/>
      <c r="L678" s="398"/>
      <c r="M678" s="86"/>
    </row>
    <row r="679" spans="1:13" s="643" customFormat="1" ht="15.75" x14ac:dyDescent="0.25">
      <c r="A679" s="523">
        <v>668</v>
      </c>
      <c r="B679" s="523" t="s">
        <v>1086</v>
      </c>
      <c r="C679" s="555">
        <v>1771</v>
      </c>
      <c r="D679" s="563">
        <v>20000</v>
      </c>
      <c r="E679" s="573">
        <v>222</v>
      </c>
      <c r="F679" s="563">
        <v>20000</v>
      </c>
      <c r="G679" s="87">
        <f t="shared" si="11"/>
        <v>0</v>
      </c>
      <c r="H679" s="87"/>
      <c r="I679" s="509"/>
      <c r="J679" s="398"/>
      <c r="K679" s="398"/>
      <c r="L679" s="398"/>
      <c r="M679" s="86"/>
    </row>
    <row r="680" spans="1:13" s="643" customFormat="1" ht="15.75" x14ac:dyDescent="0.25">
      <c r="A680" s="523">
        <v>669</v>
      </c>
      <c r="B680" s="523" t="s">
        <v>1086</v>
      </c>
      <c r="C680" s="555">
        <v>6957</v>
      </c>
      <c r="D680" s="563">
        <v>20000</v>
      </c>
      <c r="E680" s="573">
        <v>222</v>
      </c>
      <c r="F680" s="563">
        <v>20000</v>
      </c>
      <c r="G680" s="87">
        <f t="shared" si="11"/>
        <v>0</v>
      </c>
      <c r="H680" s="87"/>
      <c r="I680" s="509"/>
      <c r="J680" s="398"/>
      <c r="K680" s="398"/>
      <c r="L680" s="398"/>
      <c r="M680" s="86"/>
    </row>
    <row r="681" spans="1:13" s="643" customFormat="1" ht="15.75" x14ac:dyDescent="0.25">
      <c r="A681" s="523">
        <v>670</v>
      </c>
      <c r="B681" s="523" t="s">
        <v>1086</v>
      </c>
      <c r="C681" s="555">
        <v>4838</v>
      </c>
      <c r="D681" s="563">
        <v>14000</v>
      </c>
      <c r="E681" s="573">
        <v>155</v>
      </c>
      <c r="F681" s="563">
        <v>14000</v>
      </c>
      <c r="G681" s="87">
        <f t="shared" si="11"/>
        <v>0</v>
      </c>
      <c r="H681" s="87"/>
      <c r="I681" s="509"/>
      <c r="J681" s="398"/>
      <c r="K681" s="398"/>
      <c r="L681" s="398"/>
      <c r="M681" s="86"/>
    </row>
    <row r="682" spans="1:13" s="643" customFormat="1" ht="15.75" x14ac:dyDescent="0.25">
      <c r="A682" s="523">
        <v>671</v>
      </c>
      <c r="B682" s="523" t="s">
        <v>1086</v>
      </c>
      <c r="C682" s="555">
        <v>1491</v>
      </c>
      <c r="D682" s="563">
        <v>14000</v>
      </c>
      <c r="E682" s="573">
        <v>155</v>
      </c>
      <c r="F682" s="563">
        <v>14000</v>
      </c>
      <c r="G682" s="87">
        <f t="shared" si="11"/>
        <v>0</v>
      </c>
      <c r="H682" s="87"/>
      <c r="I682" s="509"/>
      <c r="J682" s="398"/>
      <c r="K682" s="398"/>
      <c r="L682" s="398"/>
      <c r="M682" s="86"/>
    </row>
    <row r="683" spans="1:13" s="643" customFormat="1" ht="15.75" x14ac:dyDescent="0.25">
      <c r="A683" s="523">
        <v>672</v>
      </c>
      <c r="B683" s="523" t="s">
        <v>1086</v>
      </c>
      <c r="C683" s="555">
        <v>2774</v>
      </c>
      <c r="D683" s="563">
        <v>15000</v>
      </c>
      <c r="E683" s="573">
        <v>166</v>
      </c>
      <c r="F683" s="563">
        <v>15000</v>
      </c>
      <c r="G683" s="87">
        <f t="shared" si="11"/>
        <v>0</v>
      </c>
      <c r="H683" s="87"/>
      <c r="I683" s="509"/>
      <c r="J683" s="398"/>
      <c r="K683" s="398"/>
      <c r="L683" s="398"/>
      <c r="M683" s="86"/>
    </row>
    <row r="684" spans="1:13" s="643" customFormat="1" ht="15.75" x14ac:dyDescent="0.25">
      <c r="A684" s="523">
        <v>673</v>
      </c>
      <c r="B684" s="523" t="s">
        <v>1086</v>
      </c>
      <c r="C684" s="555">
        <v>1220</v>
      </c>
      <c r="D684" s="563">
        <v>15000</v>
      </c>
      <c r="E684" s="573">
        <v>167</v>
      </c>
      <c r="F684" s="563">
        <v>15000</v>
      </c>
      <c r="G684" s="87">
        <f t="shared" si="11"/>
        <v>0</v>
      </c>
      <c r="H684" s="87"/>
      <c r="I684" s="509"/>
      <c r="J684" s="398"/>
      <c r="K684" s="398"/>
      <c r="L684" s="398"/>
      <c r="M684" s="86"/>
    </row>
    <row r="685" spans="1:13" s="644" customFormat="1" ht="15.75" x14ac:dyDescent="0.25">
      <c r="A685" s="523">
        <v>674</v>
      </c>
      <c r="B685" s="523" t="s">
        <v>1086</v>
      </c>
      <c r="C685" s="607" t="s">
        <v>1095</v>
      </c>
      <c r="D685" s="563">
        <v>30000</v>
      </c>
      <c r="E685" s="573">
        <v>334</v>
      </c>
      <c r="F685" s="563">
        <v>30000</v>
      </c>
      <c r="G685" s="87">
        <f t="shared" si="11"/>
        <v>0</v>
      </c>
      <c r="H685" s="87"/>
      <c r="I685" s="509"/>
      <c r="J685" s="398"/>
      <c r="K685" s="398"/>
      <c r="L685" s="398"/>
      <c r="M685" s="86"/>
    </row>
    <row r="686" spans="1:13" s="644" customFormat="1" ht="15.75" x14ac:dyDescent="0.25">
      <c r="A686" s="523">
        <v>675</v>
      </c>
      <c r="B686" s="523" t="s">
        <v>1086</v>
      </c>
      <c r="C686" s="555">
        <v>8468</v>
      </c>
      <c r="D686" s="563">
        <v>18000</v>
      </c>
      <c r="E686" s="573">
        <v>200</v>
      </c>
      <c r="F686" s="563">
        <v>18000</v>
      </c>
      <c r="G686" s="87">
        <f t="shared" si="11"/>
        <v>0</v>
      </c>
      <c r="H686" s="87"/>
      <c r="I686" s="509"/>
      <c r="J686" s="398"/>
      <c r="K686" s="398"/>
      <c r="L686" s="398"/>
      <c r="M686" s="86"/>
    </row>
    <row r="687" spans="1:13" s="644" customFormat="1" ht="15.75" x14ac:dyDescent="0.25">
      <c r="A687" s="523">
        <v>676</v>
      </c>
      <c r="B687" s="523" t="s">
        <v>1086</v>
      </c>
      <c r="C687" s="555">
        <v>6593</v>
      </c>
      <c r="D687" s="563">
        <v>16000</v>
      </c>
      <c r="E687" s="573">
        <v>178</v>
      </c>
      <c r="F687" s="563">
        <v>16000</v>
      </c>
      <c r="G687" s="87">
        <f t="shared" si="11"/>
        <v>0</v>
      </c>
      <c r="H687" s="87"/>
      <c r="I687" s="509"/>
      <c r="J687" s="398"/>
      <c r="K687" s="398"/>
      <c r="L687" s="398"/>
      <c r="M687" s="86"/>
    </row>
    <row r="688" spans="1:13" s="644" customFormat="1" ht="15.75" x14ac:dyDescent="0.25">
      <c r="A688" s="523">
        <v>677</v>
      </c>
      <c r="B688" s="523" t="s">
        <v>1086</v>
      </c>
      <c r="C688" s="555">
        <v>9426</v>
      </c>
      <c r="D688" s="563">
        <v>19000</v>
      </c>
      <c r="E688" s="573">
        <v>211</v>
      </c>
      <c r="F688" s="563">
        <v>19000</v>
      </c>
      <c r="G688" s="87">
        <f t="shared" si="11"/>
        <v>0</v>
      </c>
      <c r="H688" s="87"/>
      <c r="I688" s="509"/>
      <c r="J688" s="398"/>
      <c r="K688" s="398"/>
      <c r="L688" s="398"/>
      <c r="M688" s="86"/>
    </row>
    <row r="689" spans="1:13" s="644" customFormat="1" ht="15.75" x14ac:dyDescent="0.25">
      <c r="A689" s="523">
        <v>678</v>
      </c>
      <c r="B689" s="523" t="s">
        <v>1086</v>
      </c>
      <c r="C689" s="555">
        <v>4137</v>
      </c>
      <c r="D689" s="563">
        <v>21000</v>
      </c>
      <c r="E689" s="573">
        <v>233</v>
      </c>
      <c r="F689" s="563">
        <v>21000</v>
      </c>
      <c r="G689" s="87">
        <f t="shared" si="11"/>
        <v>0</v>
      </c>
      <c r="H689" s="87"/>
      <c r="I689" s="509"/>
      <c r="J689" s="398"/>
      <c r="K689" s="398"/>
      <c r="L689" s="398"/>
      <c r="M689" s="86"/>
    </row>
    <row r="690" spans="1:13" s="644" customFormat="1" ht="15.75" x14ac:dyDescent="0.25">
      <c r="A690" s="523">
        <v>679</v>
      </c>
      <c r="B690" s="523" t="s">
        <v>1086</v>
      </c>
      <c r="C690" s="555">
        <v>1738</v>
      </c>
      <c r="D690" s="563">
        <v>17000</v>
      </c>
      <c r="E690" s="573">
        <v>189</v>
      </c>
      <c r="F690" s="563">
        <v>17000</v>
      </c>
      <c r="G690" s="87">
        <f t="shared" si="11"/>
        <v>0</v>
      </c>
      <c r="H690" s="87"/>
      <c r="I690" s="509"/>
      <c r="J690" s="398"/>
      <c r="K690" s="398"/>
      <c r="L690" s="398"/>
      <c r="M690" s="86"/>
    </row>
    <row r="691" spans="1:13" s="644" customFormat="1" ht="15.75" x14ac:dyDescent="0.25">
      <c r="A691" s="523">
        <v>680</v>
      </c>
      <c r="B691" s="523" t="s">
        <v>1086</v>
      </c>
      <c r="C691" s="555">
        <v>1197</v>
      </c>
      <c r="D691" s="563">
        <v>28000</v>
      </c>
      <c r="E691" s="573">
        <v>311</v>
      </c>
      <c r="F691" s="563">
        <v>28000</v>
      </c>
      <c r="G691" s="87">
        <f t="shared" si="11"/>
        <v>0</v>
      </c>
      <c r="H691" s="87"/>
      <c r="I691" s="509"/>
      <c r="J691" s="398"/>
      <c r="K691" s="398"/>
      <c r="L691" s="398"/>
      <c r="M691" s="86"/>
    </row>
    <row r="692" spans="1:13" s="644" customFormat="1" ht="15.75" x14ac:dyDescent="0.25">
      <c r="A692" s="523">
        <v>681</v>
      </c>
      <c r="B692" s="523" t="s">
        <v>1086</v>
      </c>
      <c r="C692" s="555" t="s">
        <v>30</v>
      </c>
      <c r="D692" s="563">
        <v>5000</v>
      </c>
      <c r="E692" s="573">
        <v>55</v>
      </c>
      <c r="F692" s="563">
        <v>5000</v>
      </c>
      <c r="G692" s="87">
        <f t="shared" si="11"/>
        <v>0</v>
      </c>
      <c r="H692" s="87"/>
      <c r="I692" s="509"/>
      <c r="J692" s="398"/>
      <c r="K692" s="398"/>
      <c r="L692" s="398"/>
      <c r="M692" s="86"/>
    </row>
    <row r="693" spans="1:13" s="644" customFormat="1" ht="15.75" x14ac:dyDescent="0.25">
      <c r="A693" s="523">
        <v>682</v>
      </c>
      <c r="B693" s="523" t="s">
        <v>1086</v>
      </c>
      <c r="C693" s="555" t="s">
        <v>819</v>
      </c>
      <c r="D693" s="563">
        <v>1500</v>
      </c>
      <c r="E693" s="573">
        <v>16</v>
      </c>
      <c r="F693" s="563">
        <v>1500</v>
      </c>
      <c r="G693" s="87">
        <f t="shared" si="11"/>
        <v>0</v>
      </c>
      <c r="H693" s="87"/>
      <c r="I693" s="509"/>
      <c r="J693" s="398"/>
      <c r="K693" s="398"/>
      <c r="L693" s="398"/>
      <c r="M693" s="86"/>
    </row>
    <row r="694" spans="1:13" s="644" customFormat="1" ht="15.75" x14ac:dyDescent="0.25">
      <c r="A694" s="523">
        <v>683</v>
      </c>
      <c r="B694" s="523" t="s">
        <v>1086</v>
      </c>
      <c r="C694" s="555" t="s">
        <v>66</v>
      </c>
      <c r="D694" s="563">
        <v>100</v>
      </c>
      <c r="E694" s="573" t="s">
        <v>66</v>
      </c>
      <c r="F694" s="563">
        <v>100</v>
      </c>
      <c r="G694" s="87">
        <f t="shared" si="11"/>
        <v>0</v>
      </c>
      <c r="H694" s="87"/>
      <c r="I694" s="509"/>
      <c r="J694" s="398"/>
      <c r="K694" s="398"/>
      <c r="L694" s="398"/>
      <c r="M694" s="86"/>
    </row>
    <row r="695" spans="1:13" s="644" customFormat="1" ht="15.75" x14ac:dyDescent="0.25">
      <c r="A695" s="523">
        <v>684</v>
      </c>
      <c r="B695" s="523" t="s">
        <v>1086</v>
      </c>
      <c r="C695" s="555">
        <v>4059</v>
      </c>
      <c r="D695" s="563">
        <v>17000</v>
      </c>
      <c r="E695" s="573">
        <v>189</v>
      </c>
      <c r="F695" s="563">
        <v>17000</v>
      </c>
      <c r="G695" s="87">
        <f t="shared" si="11"/>
        <v>0</v>
      </c>
      <c r="H695" s="87"/>
      <c r="I695" s="509"/>
      <c r="J695" s="398"/>
      <c r="K695" s="398"/>
      <c r="L695" s="398"/>
      <c r="M695" s="86"/>
    </row>
    <row r="696" spans="1:13" s="644" customFormat="1" ht="15.75" x14ac:dyDescent="0.25">
      <c r="A696" s="523">
        <v>685</v>
      </c>
      <c r="B696" s="523" t="s">
        <v>1086</v>
      </c>
      <c r="C696" s="555">
        <v>8820</v>
      </c>
      <c r="D696" s="563">
        <v>16000</v>
      </c>
      <c r="E696" s="573">
        <v>178</v>
      </c>
      <c r="F696" s="563">
        <v>16000</v>
      </c>
      <c r="G696" s="87">
        <f t="shared" si="11"/>
        <v>0</v>
      </c>
      <c r="H696" s="87"/>
      <c r="I696" s="509"/>
      <c r="J696" s="398"/>
      <c r="K696" s="398"/>
      <c r="L696" s="398"/>
      <c r="M696" s="86"/>
    </row>
    <row r="697" spans="1:13" s="644" customFormat="1" ht="15.75" x14ac:dyDescent="0.25">
      <c r="A697" s="523">
        <v>686</v>
      </c>
      <c r="B697" s="523" t="s">
        <v>1086</v>
      </c>
      <c r="C697" s="555">
        <v>6735</v>
      </c>
      <c r="D697" s="563">
        <v>16000</v>
      </c>
      <c r="E697" s="573">
        <v>178</v>
      </c>
      <c r="F697" s="563">
        <v>16000</v>
      </c>
      <c r="G697" s="87">
        <f t="shared" si="11"/>
        <v>0</v>
      </c>
      <c r="H697" s="87"/>
      <c r="I697" s="509"/>
      <c r="J697" s="398"/>
      <c r="K697" s="398"/>
      <c r="L697" s="398"/>
      <c r="M697" s="86"/>
    </row>
    <row r="698" spans="1:13" s="644" customFormat="1" ht="15.75" x14ac:dyDescent="0.25">
      <c r="A698" s="523">
        <v>687</v>
      </c>
      <c r="B698" s="523" t="s">
        <v>1086</v>
      </c>
      <c r="C698" s="555">
        <v>7820</v>
      </c>
      <c r="D698" s="563">
        <v>16000</v>
      </c>
      <c r="E698" s="573">
        <v>178</v>
      </c>
      <c r="F698" s="563">
        <v>16000</v>
      </c>
      <c r="G698" s="87">
        <f t="shared" si="11"/>
        <v>0</v>
      </c>
      <c r="H698" s="87"/>
      <c r="I698" s="509"/>
      <c r="J698" s="398"/>
      <c r="K698" s="398"/>
      <c r="L698" s="398"/>
      <c r="M698" s="86"/>
    </row>
    <row r="699" spans="1:13" s="644" customFormat="1" ht="15.75" x14ac:dyDescent="0.25">
      <c r="A699" s="523">
        <v>688</v>
      </c>
      <c r="B699" s="523" t="s">
        <v>1086</v>
      </c>
      <c r="C699" s="555">
        <v>9021</v>
      </c>
      <c r="D699" s="563">
        <v>24000</v>
      </c>
      <c r="E699" s="573">
        <v>267</v>
      </c>
      <c r="F699" s="563">
        <v>24000</v>
      </c>
      <c r="G699" s="87">
        <f t="shared" si="11"/>
        <v>0</v>
      </c>
      <c r="H699" s="87"/>
      <c r="I699" s="509"/>
      <c r="J699" s="398"/>
      <c r="K699" s="398"/>
      <c r="L699" s="398"/>
      <c r="M699" s="86"/>
    </row>
    <row r="700" spans="1:13" s="644" customFormat="1" ht="15.75" x14ac:dyDescent="0.25">
      <c r="A700" s="523">
        <v>689</v>
      </c>
      <c r="B700" s="523" t="s">
        <v>1086</v>
      </c>
      <c r="C700" s="555">
        <v>3377</v>
      </c>
      <c r="D700" s="563">
        <v>26000</v>
      </c>
      <c r="E700" s="573">
        <v>278</v>
      </c>
      <c r="F700" s="563">
        <v>26000</v>
      </c>
      <c r="G700" s="87">
        <f t="shared" si="11"/>
        <v>0</v>
      </c>
      <c r="H700" s="87"/>
      <c r="I700" s="509"/>
      <c r="J700" s="398"/>
      <c r="K700" s="398"/>
      <c r="L700" s="398"/>
      <c r="M700" s="86"/>
    </row>
    <row r="701" spans="1:13" s="644" customFormat="1" ht="15.75" x14ac:dyDescent="0.25">
      <c r="A701" s="523">
        <v>690</v>
      </c>
      <c r="B701" s="523" t="s">
        <v>1086</v>
      </c>
      <c r="C701" s="555">
        <v>8908</v>
      </c>
      <c r="D701" s="563">
        <v>20000</v>
      </c>
      <c r="E701" s="573">
        <v>217</v>
      </c>
      <c r="F701" s="563">
        <v>20000</v>
      </c>
      <c r="G701" s="87">
        <f t="shared" si="11"/>
        <v>0</v>
      </c>
      <c r="H701" s="87"/>
      <c r="I701" s="509"/>
      <c r="J701" s="398"/>
      <c r="K701" s="398"/>
      <c r="L701" s="398"/>
      <c r="M701" s="86"/>
    </row>
    <row r="702" spans="1:13" s="644" customFormat="1" ht="15.75" x14ac:dyDescent="0.25">
      <c r="A702" s="523">
        <v>691</v>
      </c>
      <c r="B702" s="523" t="s">
        <v>1086</v>
      </c>
      <c r="C702" s="555">
        <v>6624</v>
      </c>
      <c r="D702" s="563">
        <v>27000</v>
      </c>
      <c r="E702" s="573">
        <v>300</v>
      </c>
      <c r="F702" s="563">
        <v>27000</v>
      </c>
      <c r="G702" s="87">
        <f t="shared" si="11"/>
        <v>0</v>
      </c>
      <c r="H702" s="87"/>
      <c r="I702" s="509"/>
      <c r="J702" s="398"/>
      <c r="K702" s="398"/>
      <c r="L702" s="398"/>
      <c r="M702" s="86"/>
    </row>
    <row r="703" spans="1:13" s="644" customFormat="1" ht="15.75" x14ac:dyDescent="0.25">
      <c r="A703" s="523">
        <v>692</v>
      </c>
      <c r="B703" s="523" t="s">
        <v>1086</v>
      </c>
      <c r="C703" s="607" t="s">
        <v>1096</v>
      </c>
      <c r="D703" s="563">
        <v>10000</v>
      </c>
      <c r="E703" s="573">
        <v>111</v>
      </c>
      <c r="F703" s="563">
        <v>10000</v>
      </c>
      <c r="G703" s="87">
        <f t="shared" si="11"/>
        <v>0</v>
      </c>
      <c r="H703" s="87"/>
      <c r="I703" s="509"/>
      <c r="J703" s="398"/>
      <c r="K703" s="398"/>
      <c r="L703" s="398"/>
      <c r="M703" s="86"/>
    </row>
    <row r="704" spans="1:13" s="644" customFormat="1" ht="15.75" x14ac:dyDescent="0.25">
      <c r="A704" s="523">
        <v>693</v>
      </c>
      <c r="B704" s="523" t="s">
        <v>1086</v>
      </c>
      <c r="C704" s="555">
        <v>8786</v>
      </c>
      <c r="D704" s="563">
        <v>10000</v>
      </c>
      <c r="E704" s="573">
        <v>111</v>
      </c>
      <c r="F704" s="563">
        <v>10000</v>
      </c>
      <c r="G704" s="87">
        <f t="shared" si="11"/>
        <v>0</v>
      </c>
      <c r="H704" s="87"/>
      <c r="I704" s="509"/>
      <c r="J704" s="398"/>
      <c r="K704" s="398"/>
      <c r="L704" s="398"/>
      <c r="M704" s="86"/>
    </row>
    <row r="705" spans="1:13" s="644" customFormat="1" ht="15.75" x14ac:dyDescent="0.25">
      <c r="A705" s="523">
        <v>694</v>
      </c>
      <c r="B705" s="523" t="s">
        <v>1086</v>
      </c>
      <c r="C705" s="555">
        <v>3728</v>
      </c>
      <c r="D705" s="563">
        <v>10000</v>
      </c>
      <c r="E705" s="573">
        <v>111</v>
      </c>
      <c r="F705" s="563">
        <v>10000</v>
      </c>
      <c r="G705" s="87">
        <f t="shared" si="11"/>
        <v>0</v>
      </c>
      <c r="H705" s="87"/>
      <c r="I705" s="509"/>
      <c r="J705" s="398"/>
      <c r="K705" s="398"/>
      <c r="L705" s="398"/>
      <c r="M705" s="86"/>
    </row>
    <row r="706" spans="1:13" s="644" customFormat="1" ht="15.75" x14ac:dyDescent="0.25">
      <c r="A706" s="523">
        <v>695</v>
      </c>
      <c r="B706" s="523" t="s">
        <v>1086</v>
      </c>
      <c r="C706" s="555">
        <v>2004</v>
      </c>
      <c r="D706" s="563">
        <v>22000</v>
      </c>
      <c r="E706" s="573">
        <v>231</v>
      </c>
      <c r="F706" s="563">
        <v>22000</v>
      </c>
      <c r="G706" s="87">
        <f t="shared" si="11"/>
        <v>0</v>
      </c>
      <c r="H706" s="87"/>
      <c r="I706" s="509"/>
      <c r="J706" s="398"/>
      <c r="K706" s="398"/>
      <c r="L706" s="398"/>
      <c r="M706" s="86"/>
    </row>
    <row r="707" spans="1:13" s="644" customFormat="1" ht="15.75" x14ac:dyDescent="0.25">
      <c r="A707" s="523">
        <v>696</v>
      </c>
      <c r="B707" s="523" t="s">
        <v>1086</v>
      </c>
      <c r="C707" s="555">
        <v>5142</v>
      </c>
      <c r="D707" s="563">
        <v>10000</v>
      </c>
      <c r="E707" s="573">
        <v>111</v>
      </c>
      <c r="F707" s="563">
        <v>10000</v>
      </c>
      <c r="G707" s="87">
        <f t="shared" si="11"/>
        <v>0</v>
      </c>
      <c r="H707" s="87"/>
      <c r="I707" s="509"/>
      <c r="J707" s="398"/>
      <c r="K707" s="398"/>
      <c r="L707" s="398"/>
      <c r="M707" s="86"/>
    </row>
    <row r="708" spans="1:13" s="644" customFormat="1" ht="15.75" x14ac:dyDescent="0.25">
      <c r="A708" s="523">
        <v>697</v>
      </c>
      <c r="B708" s="523" t="s">
        <v>1086</v>
      </c>
      <c r="C708" s="555">
        <v>6464</v>
      </c>
      <c r="D708" s="563">
        <v>24000</v>
      </c>
      <c r="E708" s="573">
        <v>267</v>
      </c>
      <c r="F708" s="563">
        <v>24000</v>
      </c>
      <c r="G708" s="87">
        <f t="shared" si="11"/>
        <v>0</v>
      </c>
      <c r="H708" s="87"/>
      <c r="I708" s="509"/>
      <c r="J708" s="398"/>
      <c r="K708" s="398"/>
      <c r="L708" s="398"/>
      <c r="M708" s="86"/>
    </row>
    <row r="709" spans="1:13" s="644" customFormat="1" ht="15.75" x14ac:dyDescent="0.25">
      <c r="A709" s="523">
        <v>698</v>
      </c>
      <c r="B709" s="523" t="s">
        <v>1086</v>
      </c>
      <c r="C709" s="607" t="s">
        <v>1097</v>
      </c>
      <c r="D709" s="563">
        <v>20000</v>
      </c>
      <c r="E709" s="573">
        <v>222</v>
      </c>
      <c r="F709" s="563">
        <v>20000</v>
      </c>
      <c r="G709" s="87">
        <f t="shared" si="11"/>
        <v>0</v>
      </c>
      <c r="H709" s="87"/>
      <c r="I709" s="509"/>
      <c r="J709" s="398"/>
      <c r="K709" s="398"/>
      <c r="L709" s="398"/>
      <c r="M709" s="86"/>
    </row>
    <row r="710" spans="1:13" s="644" customFormat="1" ht="15.75" x14ac:dyDescent="0.25">
      <c r="A710" s="523">
        <v>699</v>
      </c>
      <c r="B710" s="523" t="s">
        <v>1086</v>
      </c>
      <c r="C710" s="555">
        <v>4829</v>
      </c>
      <c r="D710" s="563">
        <v>33000</v>
      </c>
      <c r="E710" s="573">
        <v>367</v>
      </c>
      <c r="F710" s="563">
        <v>33000</v>
      </c>
      <c r="G710" s="87">
        <f t="shared" si="11"/>
        <v>0</v>
      </c>
      <c r="H710" s="87"/>
      <c r="I710" s="509"/>
      <c r="J710" s="398"/>
      <c r="K710" s="398"/>
      <c r="L710" s="398"/>
      <c r="M710" s="86"/>
    </row>
    <row r="711" spans="1:13" s="644" customFormat="1" ht="15.75" x14ac:dyDescent="0.25">
      <c r="A711" s="523">
        <v>700</v>
      </c>
      <c r="B711" s="523" t="s">
        <v>1086</v>
      </c>
      <c r="C711" s="555">
        <v>4936</v>
      </c>
      <c r="D711" s="563">
        <v>17000</v>
      </c>
      <c r="E711" s="573">
        <v>169</v>
      </c>
      <c r="F711" s="563">
        <v>17000</v>
      </c>
      <c r="G711" s="87">
        <f t="shared" si="11"/>
        <v>0</v>
      </c>
      <c r="H711" s="87"/>
      <c r="I711" s="509"/>
      <c r="J711" s="398"/>
      <c r="K711" s="398"/>
      <c r="L711" s="398"/>
      <c r="M711" s="86"/>
    </row>
    <row r="712" spans="1:13" s="644" customFormat="1" ht="15.75" x14ac:dyDescent="0.25">
      <c r="A712" s="523">
        <v>701</v>
      </c>
      <c r="B712" s="523" t="s">
        <v>1086</v>
      </c>
      <c r="C712" s="607" t="s">
        <v>1098</v>
      </c>
      <c r="D712" s="563">
        <v>30000</v>
      </c>
      <c r="E712" s="573">
        <v>314</v>
      </c>
      <c r="F712" s="563">
        <v>30000</v>
      </c>
      <c r="G712" s="87">
        <f t="shared" si="11"/>
        <v>0</v>
      </c>
      <c r="H712" s="87"/>
      <c r="I712" s="509"/>
      <c r="J712" s="398"/>
      <c r="K712" s="398"/>
      <c r="L712" s="398"/>
      <c r="M712" s="86"/>
    </row>
    <row r="713" spans="1:13" s="644" customFormat="1" ht="15.75" x14ac:dyDescent="0.25">
      <c r="A713" s="523">
        <v>702</v>
      </c>
      <c r="B713" s="523" t="s">
        <v>1086</v>
      </c>
      <c r="C713" s="555">
        <v>8291</v>
      </c>
      <c r="D713" s="563">
        <v>25000</v>
      </c>
      <c r="E713" s="573">
        <v>278</v>
      </c>
      <c r="F713" s="563">
        <v>25000</v>
      </c>
      <c r="G713" s="87">
        <f t="shared" si="11"/>
        <v>0</v>
      </c>
      <c r="H713" s="87"/>
      <c r="I713" s="509"/>
      <c r="J713" s="398"/>
      <c r="K713" s="398"/>
      <c r="L713" s="398"/>
      <c r="M713" s="86"/>
    </row>
    <row r="714" spans="1:13" s="644" customFormat="1" ht="15.75" x14ac:dyDescent="0.25">
      <c r="A714" s="523">
        <v>703</v>
      </c>
      <c r="B714" s="523" t="s">
        <v>1086</v>
      </c>
      <c r="C714" s="555">
        <v>7886</v>
      </c>
      <c r="D714" s="563">
        <v>25000</v>
      </c>
      <c r="E714" s="573">
        <v>278</v>
      </c>
      <c r="F714" s="563">
        <v>25000</v>
      </c>
      <c r="G714" s="87">
        <f t="shared" si="11"/>
        <v>0</v>
      </c>
      <c r="H714" s="87"/>
      <c r="I714" s="509"/>
      <c r="J714" s="398"/>
      <c r="K714" s="398"/>
      <c r="L714" s="398"/>
      <c r="M714" s="86"/>
    </row>
    <row r="715" spans="1:13" s="644" customFormat="1" ht="15.75" x14ac:dyDescent="0.25">
      <c r="A715" s="523">
        <v>704</v>
      </c>
      <c r="B715" s="523" t="s">
        <v>1086</v>
      </c>
      <c r="C715" s="607" t="s">
        <v>1099</v>
      </c>
      <c r="D715" s="563">
        <v>15000</v>
      </c>
      <c r="E715" s="573">
        <v>167</v>
      </c>
      <c r="F715" s="563">
        <v>15000</v>
      </c>
      <c r="G715" s="87">
        <f t="shared" si="11"/>
        <v>0</v>
      </c>
      <c r="H715" s="87"/>
      <c r="I715" s="509"/>
      <c r="J715" s="398"/>
      <c r="K715" s="398"/>
      <c r="L715" s="398"/>
      <c r="M715" s="86"/>
    </row>
    <row r="716" spans="1:13" s="644" customFormat="1" ht="15.75" x14ac:dyDescent="0.25">
      <c r="A716" s="523">
        <v>705</v>
      </c>
      <c r="B716" s="523" t="s">
        <v>1086</v>
      </c>
      <c r="C716" s="555">
        <v>1034</v>
      </c>
      <c r="D716" s="563">
        <v>22500</v>
      </c>
      <c r="E716" s="573">
        <v>250</v>
      </c>
      <c r="F716" s="563">
        <v>22500</v>
      </c>
      <c r="G716" s="87">
        <f t="shared" si="11"/>
        <v>0</v>
      </c>
      <c r="H716" s="87"/>
      <c r="I716" s="509"/>
      <c r="J716" s="398"/>
      <c r="K716" s="398"/>
      <c r="L716" s="398"/>
      <c r="M716" s="86"/>
    </row>
    <row r="717" spans="1:13" s="644" customFormat="1" ht="15.75" x14ac:dyDescent="0.25">
      <c r="A717" s="523">
        <v>706</v>
      </c>
      <c r="B717" s="523" t="s">
        <v>1086</v>
      </c>
      <c r="C717" s="555">
        <v>3507</v>
      </c>
      <c r="D717" s="563">
        <v>16000</v>
      </c>
      <c r="E717" s="573">
        <v>178</v>
      </c>
      <c r="F717" s="563">
        <v>16000</v>
      </c>
      <c r="G717" s="87">
        <f t="shared" si="11"/>
        <v>0</v>
      </c>
      <c r="H717" s="87"/>
      <c r="I717" s="509"/>
      <c r="J717" s="398"/>
      <c r="K717" s="398"/>
      <c r="L717" s="398"/>
      <c r="M717" s="86"/>
    </row>
    <row r="718" spans="1:13" s="644" customFormat="1" ht="15.75" x14ac:dyDescent="0.25">
      <c r="A718" s="523">
        <v>707</v>
      </c>
      <c r="B718" s="523" t="s">
        <v>1086</v>
      </c>
      <c r="C718" s="555">
        <v>7777</v>
      </c>
      <c r="D718" s="563">
        <v>34000</v>
      </c>
      <c r="E718" s="573">
        <v>362</v>
      </c>
      <c r="F718" s="563">
        <v>34000</v>
      </c>
      <c r="G718" s="87">
        <f t="shared" si="11"/>
        <v>0</v>
      </c>
      <c r="H718" s="87"/>
      <c r="I718" s="509"/>
      <c r="J718" s="398"/>
      <c r="K718" s="398"/>
      <c r="L718" s="398"/>
      <c r="M718" s="86"/>
    </row>
    <row r="719" spans="1:13" s="644" customFormat="1" ht="15.75" x14ac:dyDescent="0.25">
      <c r="A719" s="523">
        <v>708</v>
      </c>
      <c r="B719" s="523" t="s">
        <v>1086</v>
      </c>
      <c r="C719" s="555">
        <v>1597</v>
      </c>
      <c r="D719" s="563">
        <v>34000</v>
      </c>
      <c r="E719" s="573">
        <v>367</v>
      </c>
      <c r="F719" s="563">
        <v>34000</v>
      </c>
      <c r="G719" s="87">
        <f t="shared" si="11"/>
        <v>0</v>
      </c>
      <c r="H719" s="87"/>
      <c r="I719" s="509"/>
      <c r="J719" s="398"/>
      <c r="K719" s="398"/>
      <c r="L719" s="398"/>
      <c r="M719" s="86"/>
    </row>
    <row r="720" spans="1:13" s="644" customFormat="1" ht="15.75" x14ac:dyDescent="0.25">
      <c r="A720" s="523">
        <v>709</v>
      </c>
      <c r="B720" s="523" t="s">
        <v>1086</v>
      </c>
      <c r="C720" s="555" t="s">
        <v>66</v>
      </c>
      <c r="D720" s="563">
        <v>100</v>
      </c>
      <c r="E720" s="573" t="s">
        <v>66</v>
      </c>
      <c r="F720" s="563">
        <v>100</v>
      </c>
      <c r="G720" s="87">
        <f t="shared" si="11"/>
        <v>0</v>
      </c>
      <c r="H720" s="87"/>
      <c r="I720" s="509"/>
      <c r="J720" s="398"/>
      <c r="K720" s="398"/>
      <c r="L720" s="398"/>
      <c r="M720" s="86"/>
    </row>
    <row r="721" spans="1:13" s="644" customFormat="1" ht="15.75" x14ac:dyDescent="0.25">
      <c r="A721" s="523">
        <v>710</v>
      </c>
      <c r="B721" s="523" t="s">
        <v>1086</v>
      </c>
      <c r="C721" s="555" t="s">
        <v>30</v>
      </c>
      <c r="D721" s="563">
        <v>4500</v>
      </c>
      <c r="E721" s="573">
        <v>50</v>
      </c>
      <c r="F721" s="563">
        <v>4500</v>
      </c>
      <c r="G721" s="87">
        <f t="shared" si="11"/>
        <v>0</v>
      </c>
      <c r="H721" s="87"/>
      <c r="I721" s="509"/>
      <c r="J721" s="398"/>
      <c r="K721" s="398"/>
      <c r="L721" s="398"/>
      <c r="M721" s="86"/>
    </row>
    <row r="722" spans="1:13" s="644" customFormat="1" ht="15.75" x14ac:dyDescent="0.25">
      <c r="A722" s="523">
        <v>711</v>
      </c>
      <c r="B722" s="523" t="s">
        <v>1086</v>
      </c>
      <c r="C722" s="555">
        <v>1725</v>
      </c>
      <c r="D722" s="563">
        <v>23000</v>
      </c>
      <c r="E722" s="573">
        <v>246</v>
      </c>
      <c r="F722" s="563">
        <v>23000</v>
      </c>
      <c r="G722" s="87">
        <f t="shared" si="11"/>
        <v>0</v>
      </c>
      <c r="H722" s="87"/>
      <c r="I722" s="509"/>
      <c r="J722" s="398"/>
      <c r="K722" s="398"/>
      <c r="L722" s="398"/>
      <c r="M722" s="86"/>
    </row>
    <row r="723" spans="1:13" s="644" customFormat="1" ht="15.75" x14ac:dyDescent="0.25">
      <c r="A723" s="523">
        <v>712</v>
      </c>
      <c r="B723" s="523" t="s">
        <v>1086</v>
      </c>
      <c r="C723" s="555">
        <v>5655</v>
      </c>
      <c r="D723" s="563">
        <v>30000</v>
      </c>
      <c r="E723" s="573">
        <v>334</v>
      </c>
      <c r="F723" s="563">
        <v>30000</v>
      </c>
      <c r="G723" s="87">
        <f t="shared" si="11"/>
        <v>0</v>
      </c>
      <c r="H723" s="87"/>
      <c r="I723" s="509"/>
      <c r="J723" s="398"/>
      <c r="K723" s="398"/>
      <c r="L723" s="398"/>
      <c r="M723" s="86"/>
    </row>
    <row r="724" spans="1:13" s="644" customFormat="1" ht="15.75" x14ac:dyDescent="0.25">
      <c r="A724" s="523">
        <v>713</v>
      </c>
      <c r="B724" s="523" t="s">
        <v>1089</v>
      </c>
      <c r="C724" s="555">
        <v>8148</v>
      </c>
      <c r="D724" s="563">
        <v>25000</v>
      </c>
      <c r="E724" s="573">
        <v>278</v>
      </c>
      <c r="F724" s="563">
        <v>25000</v>
      </c>
      <c r="G724" s="87">
        <f t="shared" si="11"/>
        <v>0</v>
      </c>
      <c r="H724" s="87"/>
      <c r="I724" s="509"/>
      <c r="J724" s="398"/>
      <c r="K724" s="398"/>
      <c r="L724" s="398"/>
      <c r="M724" s="86"/>
    </row>
    <row r="725" spans="1:13" s="644" customFormat="1" ht="15.75" x14ac:dyDescent="0.25">
      <c r="A725" s="523">
        <v>714</v>
      </c>
      <c r="B725" s="523" t="s">
        <v>1089</v>
      </c>
      <c r="C725" s="555" t="s">
        <v>30</v>
      </c>
      <c r="D725" s="563">
        <v>1800</v>
      </c>
      <c r="E725" s="573">
        <v>20</v>
      </c>
      <c r="F725" s="563">
        <v>1800</v>
      </c>
      <c r="G725" s="87">
        <f t="shared" si="11"/>
        <v>0</v>
      </c>
      <c r="H725" s="87"/>
      <c r="I725" s="509"/>
      <c r="J725" s="398"/>
      <c r="K725" s="398"/>
      <c r="L725" s="398"/>
      <c r="M725" s="86"/>
    </row>
    <row r="726" spans="1:13" s="644" customFormat="1" ht="15.75" x14ac:dyDescent="0.25">
      <c r="A726" s="523">
        <v>715</v>
      </c>
      <c r="B726" s="523" t="s">
        <v>1089</v>
      </c>
      <c r="C726" s="555">
        <v>5477</v>
      </c>
      <c r="D726" s="563">
        <v>25000</v>
      </c>
      <c r="E726" s="573">
        <v>278</v>
      </c>
      <c r="F726" s="563">
        <v>25000</v>
      </c>
      <c r="G726" s="87">
        <f t="shared" si="11"/>
        <v>0</v>
      </c>
      <c r="H726" s="87"/>
      <c r="I726" s="509"/>
      <c r="J726" s="398"/>
      <c r="K726" s="398"/>
      <c r="L726" s="398"/>
      <c r="M726" s="86"/>
    </row>
    <row r="727" spans="1:13" s="644" customFormat="1" ht="15.75" x14ac:dyDescent="0.25">
      <c r="A727" s="523">
        <v>716</v>
      </c>
      <c r="B727" s="523" t="s">
        <v>1089</v>
      </c>
      <c r="C727" s="555">
        <v>1977</v>
      </c>
      <c r="D727" s="563">
        <v>10000</v>
      </c>
      <c r="E727" s="573">
        <v>111</v>
      </c>
      <c r="F727" s="563">
        <v>10000</v>
      </c>
      <c r="G727" s="87">
        <f t="shared" ref="G727:G790" si="12">D727-F727</f>
        <v>0</v>
      </c>
      <c r="H727" s="87"/>
      <c r="I727" s="509"/>
      <c r="J727" s="398"/>
      <c r="K727" s="398"/>
      <c r="L727" s="398"/>
      <c r="M727" s="86"/>
    </row>
    <row r="728" spans="1:13" s="644" customFormat="1" ht="15.75" x14ac:dyDescent="0.25">
      <c r="A728" s="523">
        <v>717</v>
      </c>
      <c r="B728" s="523" t="s">
        <v>1089</v>
      </c>
      <c r="C728" s="607" t="s">
        <v>1100</v>
      </c>
      <c r="D728" s="563">
        <v>15000</v>
      </c>
      <c r="E728" s="573">
        <v>167</v>
      </c>
      <c r="F728" s="563">
        <v>15000</v>
      </c>
      <c r="G728" s="87">
        <f t="shared" si="12"/>
        <v>0</v>
      </c>
      <c r="H728" s="87"/>
      <c r="I728" s="509"/>
      <c r="J728" s="398"/>
      <c r="K728" s="398"/>
      <c r="L728" s="398"/>
      <c r="M728" s="86"/>
    </row>
    <row r="729" spans="1:13" s="644" customFormat="1" ht="15.75" x14ac:dyDescent="0.25">
      <c r="A729" s="523">
        <v>718</v>
      </c>
      <c r="B729" s="523" t="s">
        <v>1089</v>
      </c>
      <c r="C729" s="555">
        <v>9102</v>
      </c>
      <c r="D729" s="563">
        <v>20000</v>
      </c>
      <c r="E729" s="573">
        <v>222</v>
      </c>
      <c r="F729" s="563">
        <v>20000</v>
      </c>
      <c r="G729" s="87">
        <f t="shared" si="12"/>
        <v>0</v>
      </c>
      <c r="H729" s="87"/>
      <c r="I729" s="509"/>
      <c r="J729" s="398"/>
      <c r="K729" s="398"/>
      <c r="L729" s="398"/>
      <c r="M729" s="86"/>
    </row>
    <row r="730" spans="1:13" s="644" customFormat="1" ht="15.75" x14ac:dyDescent="0.25">
      <c r="A730" s="523">
        <v>719</v>
      </c>
      <c r="B730" s="523" t="s">
        <v>1089</v>
      </c>
      <c r="C730" s="607" t="s">
        <v>890</v>
      </c>
      <c r="D730" s="563">
        <v>14000</v>
      </c>
      <c r="E730" s="573">
        <v>155</v>
      </c>
      <c r="F730" s="563">
        <v>14000</v>
      </c>
      <c r="G730" s="87">
        <f t="shared" si="12"/>
        <v>0</v>
      </c>
      <c r="H730" s="87"/>
      <c r="I730" s="509"/>
      <c r="J730" s="398"/>
      <c r="K730" s="398"/>
      <c r="L730" s="398"/>
      <c r="M730" s="86"/>
    </row>
    <row r="731" spans="1:13" s="644" customFormat="1" ht="15.75" x14ac:dyDescent="0.25">
      <c r="A731" s="523">
        <v>720</v>
      </c>
      <c r="B731" s="523" t="s">
        <v>1089</v>
      </c>
      <c r="C731" s="555" t="s">
        <v>30</v>
      </c>
      <c r="D731" s="563">
        <v>5000</v>
      </c>
      <c r="E731" s="573">
        <v>55</v>
      </c>
      <c r="F731" s="563">
        <v>5000</v>
      </c>
      <c r="G731" s="87">
        <f t="shared" si="12"/>
        <v>0</v>
      </c>
      <c r="H731" s="87"/>
      <c r="I731" s="509"/>
      <c r="J731" s="398"/>
      <c r="K731" s="398"/>
      <c r="L731" s="398"/>
      <c r="M731" s="86"/>
    </row>
    <row r="732" spans="1:13" s="644" customFormat="1" ht="15.75" x14ac:dyDescent="0.25">
      <c r="A732" s="523">
        <v>721</v>
      </c>
      <c r="B732" s="523" t="s">
        <v>1089</v>
      </c>
      <c r="C732" s="555">
        <v>1720</v>
      </c>
      <c r="D732" s="563">
        <v>16000</v>
      </c>
      <c r="E732" s="573">
        <v>178</v>
      </c>
      <c r="F732" s="563">
        <v>16000</v>
      </c>
      <c r="G732" s="87">
        <f t="shared" si="12"/>
        <v>0</v>
      </c>
      <c r="H732" s="87"/>
      <c r="I732" s="509"/>
      <c r="J732" s="398"/>
      <c r="K732" s="398"/>
      <c r="L732" s="398"/>
      <c r="M732" s="86"/>
    </row>
    <row r="733" spans="1:13" s="644" customFormat="1" ht="15.75" x14ac:dyDescent="0.25">
      <c r="A733" s="523">
        <v>722</v>
      </c>
      <c r="B733" s="523" t="s">
        <v>1089</v>
      </c>
      <c r="C733" s="555" t="s">
        <v>30</v>
      </c>
      <c r="D733" s="563">
        <v>2500</v>
      </c>
      <c r="E733" s="573">
        <v>27</v>
      </c>
      <c r="F733" s="563">
        <v>2500</v>
      </c>
      <c r="G733" s="87">
        <f t="shared" si="12"/>
        <v>0</v>
      </c>
      <c r="H733" s="87"/>
      <c r="I733" s="509"/>
      <c r="J733" s="398"/>
      <c r="K733" s="398"/>
      <c r="L733" s="398"/>
      <c r="M733" s="86"/>
    </row>
    <row r="734" spans="1:13" s="644" customFormat="1" ht="15.75" x14ac:dyDescent="0.25">
      <c r="A734" s="523">
        <v>723</v>
      </c>
      <c r="B734" s="523" t="s">
        <v>1089</v>
      </c>
      <c r="C734" s="555">
        <v>5707</v>
      </c>
      <c r="D734" s="563">
        <v>10000</v>
      </c>
      <c r="E734" s="573">
        <v>111</v>
      </c>
      <c r="F734" s="563">
        <v>10000</v>
      </c>
      <c r="G734" s="87">
        <f t="shared" si="12"/>
        <v>0</v>
      </c>
      <c r="H734" s="87"/>
      <c r="I734" s="509"/>
      <c r="J734" s="398"/>
      <c r="K734" s="398"/>
      <c r="L734" s="398"/>
      <c r="M734" s="86"/>
    </row>
    <row r="735" spans="1:13" s="644" customFormat="1" ht="15.75" x14ac:dyDescent="0.25">
      <c r="A735" s="523">
        <v>724</v>
      </c>
      <c r="B735" s="523" t="s">
        <v>1089</v>
      </c>
      <c r="C735" s="555" t="s">
        <v>819</v>
      </c>
      <c r="D735" s="563">
        <v>2500</v>
      </c>
      <c r="E735" s="573">
        <v>27</v>
      </c>
      <c r="F735" s="563">
        <v>2500</v>
      </c>
      <c r="G735" s="87">
        <f t="shared" si="12"/>
        <v>0</v>
      </c>
      <c r="H735" s="87"/>
      <c r="I735" s="509"/>
      <c r="J735" s="398"/>
      <c r="K735" s="398"/>
      <c r="L735" s="398"/>
      <c r="M735" s="86"/>
    </row>
    <row r="736" spans="1:13" s="644" customFormat="1" ht="15.75" x14ac:dyDescent="0.25">
      <c r="A736" s="523">
        <v>725</v>
      </c>
      <c r="B736" s="523" t="s">
        <v>1089</v>
      </c>
      <c r="C736" s="555">
        <v>4676</v>
      </c>
      <c r="D736" s="563">
        <v>15000</v>
      </c>
      <c r="E736" s="573">
        <v>167</v>
      </c>
      <c r="F736" s="563">
        <v>15000</v>
      </c>
      <c r="G736" s="87">
        <f t="shared" si="12"/>
        <v>0</v>
      </c>
      <c r="H736" s="87"/>
      <c r="I736" s="509"/>
      <c r="J736" s="398"/>
      <c r="K736" s="398"/>
      <c r="L736" s="398"/>
      <c r="M736" s="86"/>
    </row>
    <row r="737" spans="1:13" s="644" customFormat="1" ht="15.75" x14ac:dyDescent="0.25">
      <c r="A737" s="523">
        <v>726</v>
      </c>
      <c r="B737" s="523" t="s">
        <v>1089</v>
      </c>
      <c r="C737" s="555">
        <v>8947</v>
      </c>
      <c r="D737" s="563">
        <v>25000</v>
      </c>
      <c r="E737" s="573">
        <v>278</v>
      </c>
      <c r="F737" s="563">
        <v>25000</v>
      </c>
      <c r="G737" s="87">
        <f t="shared" si="12"/>
        <v>0</v>
      </c>
      <c r="H737" s="87"/>
      <c r="I737" s="509"/>
      <c r="J737" s="398"/>
      <c r="K737" s="398"/>
      <c r="L737" s="398"/>
      <c r="M737" s="86"/>
    </row>
    <row r="738" spans="1:13" s="644" customFormat="1" ht="15.75" x14ac:dyDescent="0.25">
      <c r="A738" s="523">
        <v>727</v>
      </c>
      <c r="B738" s="523" t="s">
        <v>1089</v>
      </c>
      <c r="C738" s="555">
        <v>3821</v>
      </c>
      <c r="D738" s="563">
        <v>8000</v>
      </c>
      <c r="E738" s="573">
        <v>89</v>
      </c>
      <c r="F738" s="563">
        <v>8000</v>
      </c>
      <c r="G738" s="87">
        <f t="shared" si="12"/>
        <v>0</v>
      </c>
      <c r="H738" s="87"/>
      <c r="I738" s="509"/>
      <c r="J738" s="398"/>
      <c r="K738" s="398"/>
      <c r="L738" s="398"/>
      <c r="M738" s="86"/>
    </row>
    <row r="739" spans="1:13" s="644" customFormat="1" ht="15.75" x14ac:dyDescent="0.25">
      <c r="A739" s="523">
        <v>728</v>
      </c>
      <c r="B739" s="523" t="s">
        <v>1089</v>
      </c>
      <c r="C739" s="555">
        <v>9158</v>
      </c>
      <c r="D739" s="563">
        <v>34000</v>
      </c>
      <c r="E739" s="573">
        <v>375</v>
      </c>
      <c r="F739" s="563">
        <v>34000</v>
      </c>
      <c r="G739" s="87">
        <f t="shared" si="12"/>
        <v>0</v>
      </c>
      <c r="H739" s="87"/>
      <c r="I739" s="509"/>
      <c r="J739" s="398"/>
      <c r="K739" s="398"/>
      <c r="L739" s="398"/>
      <c r="M739" s="86"/>
    </row>
    <row r="740" spans="1:13" s="644" customFormat="1" ht="15.75" x14ac:dyDescent="0.25">
      <c r="A740" s="523">
        <v>729</v>
      </c>
      <c r="B740" s="523" t="s">
        <v>1089</v>
      </c>
      <c r="C740" s="555">
        <v>2492</v>
      </c>
      <c r="D740" s="563">
        <v>20000</v>
      </c>
      <c r="E740" s="573">
        <v>222</v>
      </c>
      <c r="F740" s="563">
        <v>20000</v>
      </c>
      <c r="G740" s="87">
        <f t="shared" si="12"/>
        <v>0</v>
      </c>
      <c r="H740" s="87"/>
      <c r="I740" s="509"/>
      <c r="J740" s="398"/>
      <c r="K740" s="398"/>
      <c r="L740" s="398"/>
      <c r="M740" s="86"/>
    </row>
    <row r="741" spans="1:13" s="644" customFormat="1" ht="15.75" x14ac:dyDescent="0.25">
      <c r="A741" s="523">
        <v>730</v>
      </c>
      <c r="B741" s="523" t="s">
        <v>1089</v>
      </c>
      <c r="C741" s="555">
        <v>1421</v>
      </c>
      <c r="D741" s="563">
        <v>13000</v>
      </c>
      <c r="E741" s="573">
        <v>144</v>
      </c>
      <c r="F741" s="563">
        <v>13000</v>
      </c>
      <c r="G741" s="87">
        <f t="shared" si="12"/>
        <v>0</v>
      </c>
      <c r="H741" s="87"/>
      <c r="I741" s="509"/>
      <c r="J741" s="398"/>
      <c r="K741" s="398"/>
      <c r="L741" s="398"/>
      <c r="M741" s="86"/>
    </row>
    <row r="742" spans="1:13" s="644" customFormat="1" ht="15.75" x14ac:dyDescent="0.25">
      <c r="A742" s="523">
        <v>731</v>
      </c>
      <c r="B742" s="523" t="s">
        <v>1089</v>
      </c>
      <c r="C742" s="555">
        <v>5044</v>
      </c>
      <c r="D742" s="563">
        <v>28000</v>
      </c>
      <c r="E742" s="573">
        <v>298</v>
      </c>
      <c r="F742" s="563">
        <v>28000</v>
      </c>
      <c r="G742" s="87">
        <f t="shared" si="12"/>
        <v>0</v>
      </c>
      <c r="H742" s="87"/>
      <c r="I742" s="509"/>
      <c r="J742" s="398"/>
      <c r="K742" s="398"/>
      <c r="L742" s="398"/>
      <c r="M742" s="86"/>
    </row>
    <row r="743" spans="1:13" s="644" customFormat="1" ht="15.75" x14ac:dyDescent="0.25">
      <c r="A743" s="523">
        <v>732</v>
      </c>
      <c r="B743" s="523" t="s">
        <v>1089</v>
      </c>
      <c r="C743" s="555">
        <v>2320</v>
      </c>
      <c r="D743" s="563">
        <v>28000</v>
      </c>
      <c r="E743" s="573">
        <v>311</v>
      </c>
      <c r="F743" s="563">
        <v>28000</v>
      </c>
      <c r="G743" s="87">
        <f t="shared" si="12"/>
        <v>0</v>
      </c>
      <c r="H743" s="87"/>
      <c r="I743" s="509"/>
      <c r="J743" s="398"/>
      <c r="K743" s="398"/>
      <c r="L743" s="398"/>
      <c r="M743" s="86"/>
    </row>
    <row r="744" spans="1:13" s="644" customFormat="1" ht="15.75" x14ac:dyDescent="0.25">
      <c r="A744" s="523">
        <v>733</v>
      </c>
      <c r="B744" s="523" t="s">
        <v>1089</v>
      </c>
      <c r="C744" s="555">
        <v>4889</v>
      </c>
      <c r="D744" s="563">
        <v>24000</v>
      </c>
      <c r="E744" s="573">
        <v>267</v>
      </c>
      <c r="F744" s="563">
        <v>24000</v>
      </c>
      <c r="G744" s="87">
        <f t="shared" si="12"/>
        <v>0</v>
      </c>
      <c r="H744" s="87"/>
      <c r="I744" s="509"/>
      <c r="J744" s="398"/>
      <c r="K744" s="398"/>
      <c r="L744" s="398"/>
      <c r="M744" s="86"/>
    </row>
    <row r="745" spans="1:13" s="644" customFormat="1" ht="15.75" x14ac:dyDescent="0.25">
      <c r="A745" s="523">
        <v>734</v>
      </c>
      <c r="B745" s="523" t="s">
        <v>1089</v>
      </c>
      <c r="C745" s="607" t="s">
        <v>1101</v>
      </c>
      <c r="D745" s="563">
        <v>16000</v>
      </c>
      <c r="E745" s="573">
        <v>178</v>
      </c>
      <c r="F745" s="563">
        <v>16000</v>
      </c>
      <c r="G745" s="87">
        <f t="shared" si="12"/>
        <v>0</v>
      </c>
      <c r="H745" s="87"/>
      <c r="I745" s="509"/>
      <c r="J745" s="398"/>
      <c r="K745" s="398"/>
      <c r="L745" s="398"/>
      <c r="M745" s="86"/>
    </row>
    <row r="746" spans="1:13" s="644" customFormat="1" ht="15.75" x14ac:dyDescent="0.25">
      <c r="A746" s="523">
        <v>735</v>
      </c>
      <c r="B746" s="523" t="s">
        <v>1089</v>
      </c>
      <c r="C746" s="555">
        <v>5629</v>
      </c>
      <c r="D746" s="563">
        <v>19000</v>
      </c>
      <c r="E746" s="573">
        <v>211</v>
      </c>
      <c r="F746" s="563">
        <v>19000</v>
      </c>
      <c r="G746" s="87">
        <f t="shared" si="12"/>
        <v>0</v>
      </c>
      <c r="H746" s="87"/>
      <c r="I746" s="509"/>
      <c r="J746" s="398"/>
      <c r="K746" s="398"/>
      <c r="L746" s="398"/>
      <c r="M746" s="86"/>
    </row>
    <row r="747" spans="1:13" s="644" customFormat="1" ht="15.75" x14ac:dyDescent="0.25">
      <c r="A747" s="523">
        <v>736</v>
      </c>
      <c r="B747" s="523" t="s">
        <v>1089</v>
      </c>
      <c r="C747" s="555">
        <v>4822</v>
      </c>
      <c r="D747" s="563">
        <v>36000</v>
      </c>
      <c r="E747" s="573">
        <v>372</v>
      </c>
      <c r="F747" s="563">
        <v>36000</v>
      </c>
      <c r="G747" s="87">
        <f t="shared" si="12"/>
        <v>0</v>
      </c>
      <c r="H747" s="87"/>
      <c r="I747" s="509"/>
      <c r="J747" s="398"/>
      <c r="K747" s="398"/>
      <c r="L747" s="398"/>
      <c r="M747" s="86"/>
    </row>
    <row r="748" spans="1:13" s="644" customFormat="1" ht="15.75" x14ac:dyDescent="0.25">
      <c r="A748" s="523">
        <v>737</v>
      </c>
      <c r="B748" s="523" t="s">
        <v>1089</v>
      </c>
      <c r="C748" s="555">
        <v>9457</v>
      </c>
      <c r="D748" s="563">
        <v>30000</v>
      </c>
      <c r="E748" s="573">
        <v>316</v>
      </c>
      <c r="F748" s="563">
        <v>30000</v>
      </c>
      <c r="G748" s="87">
        <f t="shared" si="12"/>
        <v>0</v>
      </c>
      <c r="H748" s="87"/>
      <c r="I748" s="509"/>
      <c r="J748" s="398"/>
      <c r="K748" s="398"/>
      <c r="L748" s="398"/>
      <c r="M748" s="86"/>
    </row>
    <row r="749" spans="1:13" s="644" customFormat="1" ht="15.75" x14ac:dyDescent="0.25">
      <c r="A749" s="523">
        <v>738</v>
      </c>
      <c r="B749" s="523" t="s">
        <v>1089</v>
      </c>
      <c r="C749" s="555">
        <v>9458</v>
      </c>
      <c r="D749" s="563">
        <v>30000</v>
      </c>
      <c r="E749" s="573">
        <v>311</v>
      </c>
      <c r="F749" s="563">
        <v>30000</v>
      </c>
      <c r="G749" s="87">
        <f t="shared" si="12"/>
        <v>0</v>
      </c>
      <c r="H749" s="87"/>
      <c r="I749" s="509"/>
      <c r="J749" s="398"/>
      <c r="K749" s="398"/>
      <c r="L749" s="398"/>
      <c r="M749" s="86"/>
    </row>
    <row r="750" spans="1:13" s="644" customFormat="1" ht="15.75" x14ac:dyDescent="0.25">
      <c r="A750" s="523">
        <v>739</v>
      </c>
      <c r="B750" s="523" t="s">
        <v>1089</v>
      </c>
      <c r="C750" s="555">
        <v>5626</v>
      </c>
      <c r="D750" s="563">
        <v>30000</v>
      </c>
      <c r="E750" s="573">
        <v>334</v>
      </c>
      <c r="F750" s="563">
        <v>30000</v>
      </c>
      <c r="G750" s="87">
        <f t="shared" si="12"/>
        <v>0</v>
      </c>
      <c r="H750" s="87"/>
      <c r="I750" s="509"/>
      <c r="J750" s="398"/>
      <c r="K750" s="398"/>
      <c r="L750" s="398"/>
      <c r="M750" s="86"/>
    </row>
    <row r="751" spans="1:13" s="644" customFormat="1" ht="15.75" x14ac:dyDescent="0.25">
      <c r="A751" s="523">
        <v>740</v>
      </c>
      <c r="B751" s="523" t="s">
        <v>1089</v>
      </c>
      <c r="C751" s="555">
        <v>7565</v>
      </c>
      <c r="D751" s="563">
        <v>20000</v>
      </c>
      <c r="E751" s="573">
        <v>222</v>
      </c>
      <c r="F751" s="563">
        <v>20000</v>
      </c>
      <c r="G751" s="87">
        <f t="shared" si="12"/>
        <v>0</v>
      </c>
      <c r="H751" s="87"/>
      <c r="I751" s="509"/>
      <c r="J751" s="398"/>
      <c r="K751" s="398"/>
      <c r="L751" s="398"/>
      <c r="M751" s="86"/>
    </row>
    <row r="752" spans="1:13" s="644" customFormat="1" ht="15.75" x14ac:dyDescent="0.25">
      <c r="A752" s="523">
        <v>741</v>
      </c>
      <c r="B752" s="523" t="s">
        <v>1089</v>
      </c>
      <c r="C752" s="555">
        <v>8814</v>
      </c>
      <c r="D752" s="563">
        <v>10000</v>
      </c>
      <c r="E752" s="573">
        <v>111</v>
      </c>
      <c r="F752" s="563">
        <v>10000</v>
      </c>
      <c r="G752" s="87">
        <f t="shared" si="12"/>
        <v>0</v>
      </c>
      <c r="H752" s="87"/>
      <c r="I752" s="509"/>
      <c r="J752" s="398"/>
      <c r="K752" s="398"/>
      <c r="L752" s="398"/>
      <c r="M752" s="86"/>
    </row>
    <row r="753" spans="1:13" s="644" customFormat="1" ht="15.75" x14ac:dyDescent="0.25">
      <c r="A753" s="523">
        <v>742</v>
      </c>
      <c r="B753" s="523" t="s">
        <v>1089</v>
      </c>
      <c r="C753" s="555">
        <v>6186</v>
      </c>
      <c r="D753" s="563">
        <v>10000</v>
      </c>
      <c r="E753" s="573">
        <v>111</v>
      </c>
      <c r="F753" s="563">
        <v>10000</v>
      </c>
      <c r="G753" s="87">
        <f t="shared" si="12"/>
        <v>0</v>
      </c>
      <c r="H753" s="87"/>
      <c r="I753" s="509"/>
      <c r="J753" s="398"/>
      <c r="K753" s="398"/>
      <c r="L753" s="398"/>
      <c r="M753" s="86"/>
    </row>
    <row r="754" spans="1:13" s="644" customFormat="1" ht="15.75" x14ac:dyDescent="0.25">
      <c r="A754" s="523">
        <v>743</v>
      </c>
      <c r="B754" s="523" t="s">
        <v>1089</v>
      </c>
      <c r="C754" s="555">
        <v>7086</v>
      </c>
      <c r="D754" s="563">
        <v>10000</v>
      </c>
      <c r="E754" s="573">
        <v>111</v>
      </c>
      <c r="F754" s="563">
        <v>10000</v>
      </c>
      <c r="G754" s="87">
        <f t="shared" si="12"/>
        <v>0</v>
      </c>
      <c r="H754" s="87"/>
      <c r="I754" s="509"/>
      <c r="J754" s="398"/>
      <c r="K754" s="398"/>
      <c r="L754" s="398"/>
      <c r="M754" s="86"/>
    </row>
    <row r="755" spans="1:13" s="644" customFormat="1" ht="15.75" x14ac:dyDescent="0.25">
      <c r="A755" s="523">
        <v>744</v>
      </c>
      <c r="B755" s="523" t="s">
        <v>1089</v>
      </c>
      <c r="C755" s="555">
        <v>6586</v>
      </c>
      <c r="D755" s="563">
        <v>10000</v>
      </c>
      <c r="E755" s="573">
        <v>111</v>
      </c>
      <c r="F755" s="563">
        <v>10000</v>
      </c>
      <c r="G755" s="87">
        <f t="shared" si="12"/>
        <v>0</v>
      </c>
      <c r="H755" s="87"/>
      <c r="I755" s="509"/>
      <c r="J755" s="398"/>
      <c r="K755" s="398"/>
      <c r="L755" s="398"/>
      <c r="M755" s="86"/>
    </row>
    <row r="756" spans="1:13" s="644" customFormat="1" ht="15.75" x14ac:dyDescent="0.25">
      <c r="A756" s="523">
        <v>745</v>
      </c>
      <c r="B756" s="523" t="s">
        <v>1090</v>
      </c>
      <c r="C756" s="555" t="s">
        <v>66</v>
      </c>
      <c r="D756" s="563">
        <v>100</v>
      </c>
      <c r="E756" s="573" t="s">
        <v>66</v>
      </c>
      <c r="F756" s="563">
        <v>100</v>
      </c>
      <c r="G756" s="87">
        <f t="shared" si="12"/>
        <v>0</v>
      </c>
      <c r="H756" s="87"/>
      <c r="I756" s="509"/>
      <c r="J756" s="398"/>
      <c r="K756" s="398"/>
      <c r="L756" s="398"/>
      <c r="M756" s="86"/>
    </row>
    <row r="757" spans="1:13" s="644" customFormat="1" ht="15.75" x14ac:dyDescent="0.25">
      <c r="A757" s="523">
        <v>746</v>
      </c>
      <c r="B757" s="523" t="s">
        <v>1090</v>
      </c>
      <c r="C757" s="555">
        <v>5286</v>
      </c>
      <c r="D757" s="563">
        <v>22000</v>
      </c>
      <c r="E757" s="573">
        <v>245</v>
      </c>
      <c r="F757" s="563">
        <v>22000</v>
      </c>
      <c r="G757" s="87">
        <f t="shared" si="12"/>
        <v>0</v>
      </c>
      <c r="H757" s="87"/>
      <c r="I757" s="509"/>
      <c r="J757" s="398"/>
      <c r="K757" s="398"/>
      <c r="L757" s="398"/>
      <c r="M757" s="86"/>
    </row>
    <row r="758" spans="1:13" s="644" customFormat="1" ht="15.75" x14ac:dyDescent="0.25">
      <c r="A758" s="523">
        <v>747</v>
      </c>
      <c r="B758" s="523" t="s">
        <v>1090</v>
      </c>
      <c r="C758" s="555">
        <v>3496</v>
      </c>
      <c r="D758" s="563">
        <v>17000</v>
      </c>
      <c r="E758" s="573">
        <v>189</v>
      </c>
      <c r="F758" s="563">
        <v>17000</v>
      </c>
      <c r="G758" s="87">
        <f t="shared" si="12"/>
        <v>0</v>
      </c>
      <c r="H758" s="87"/>
      <c r="I758" s="509"/>
      <c r="J758" s="398"/>
      <c r="K758" s="398"/>
      <c r="L758" s="398"/>
      <c r="M758" s="86"/>
    </row>
    <row r="759" spans="1:13" s="644" customFormat="1" ht="15.75" x14ac:dyDescent="0.25">
      <c r="A759" s="523">
        <v>748</v>
      </c>
      <c r="B759" s="523" t="s">
        <v>1090</v>
      </c>
      <c r="C759" s="555">
        <v>3038</v>
      </c>
      <c r="D759" s="563">
        <v>24000</v>
      </c>
      <c r="E759" s="573">
        <v>267</v>
      </c>
      <c r="F759" s="563">
        <v>24000</v>
      </c>
      <c r="G759" s="87">
        <f t="shared" si="12"/>
        <v>0</v>
      </c>
      <c r="H759" s="87"/>
      <c r="I759" s="509"/>
      <c r="J759" s="398"/>
      <c r="K759" s="398"/>
      <c r="L759" s="398"/>
      <c r="M759" s="86"/>
    </row>
    <row r="760" spans="1:13" s="644" customFormat="1" ht="15.75" x14ac:dyDescent="0.25">
      <c r="A760" s="523">
        <v>749</v>
      </c>
      <c r="B760" s="523" t="s">
        <v>1090</v>
      </c>
      <c r="C760" s="555">
        <v>8511</v>
      </c>
      <c r="D760" s="563">
        <v>15000</v>
      </c>
      <c r="E760" s="573">
        <v>167</v>
      </c>
      <c r="F760" s="563">
        <v>15000</v>
      </c>
      <c r="G760" s="87">
        <f t="shared" si="12"/>
        <v>0</v>
      </c>
      <c r="H760" s="87"/>
      <c r="I760" s="509"/>
      <c r="J760" s="398"/>
      <c r="K760" s="398"/>
      <c r="L760" s="398"/>
      <c r="M760" s="86"/>
    </row>
    <row r="761" spans="1:13" s="644" customFormat="1" ht="15.75" x14ac:dyDescent="0.25">
      <c r="A761" s="523">
        <v>750</v>
      </c>
      <c r="B761" s="523" t="s">
        <v>1090</v>
      </c>
      <c r="C761" s="555">
        <v>5637</v>
      </c>
      <c r="D761" s="563">
        <v>20000</v>
      </c>
      <c r="E761" s="573">
        <v>222</v>
      </c>
      <c r="F761" s="563">
        <v>20000</v>
      </c>
      <c r="G761" s="87">
        <f t="shared" si="12"/>
        <v>0</v>
      </c>
      <c r="H761" s="87"/>
      <c r="I761" s="509"/>
      <c r="J761" s="398"/>
      <c r="K761" s="398"/>
      <c r="L761" s="398"/>
      <c r="M761" s="86"/>
    </row>
    <row r="762" spans="1:13" s="644" customFormat="1" ht="15.75" x14ac:dyDescent="0.25">
      <c r="A762" s="523">
        <v>751</v>
      </c>
      <c r="B762" s="523" t="s">
        <v>1090</v>
      </c>
      <c r="C762" s="607" t="s">
        <v>1046</v>
      </c>
      <c r="D762" s="563">
        <v>12000</v>
      </c>
      <c r="E762" s="573">
        <v>133</v>
      </c>
      <c r="F762" s="563">
        <v>12000</v>
      </c>
      <c r="G762" s="87">
        <f t="shared" si="12"/>
        <v>0</v>
      </c>
      <c r="H762" s="87"/>
      <c r="I762" s="509"/>
      <c r="J762" s="398"/>
      <c r="K762" s="398"/>
      <c r="L762" s="398"/>
      <c r="M762" s="86"/>
    </row>
    <row r="763" spans="1:13" s="644" customFormat="1" ht="15.75" x14ac:dyDescent="0.25">
      <c r="A763" s="523">
        <v>752</v>
      </c>
      <c r="B763" s="523" t="s">
        <v>1090</v>
      </c>
      <c r="C763" s="555">
        <v>9276</v>
      </c>
      <c r="D763" s="563">
        <v>20000</v>
      </c>
      <c r="E763" s="573">
        <v>222</v>
      </c>
      <c r="F763" s="563">
        <v>20000</v>
      </c>
      <c r="G763" s="87">
        <f t="shared" si="12"/>
        <v>0</v>
      </c>
      <c r="H763" s="87"/>
      <c r="I763" s="509"/>
      <c r="J763" s="398"/>
      <c r="K763" s="398"/>
      <c r="L763" s="398"/>
      <c r="M763" s="86"/>
    </row>
    <row r="764" spans="1:13" s="644" customFormat="1" ht="15.75" x14ac:dyDescent="0.25">
      <c r="A764" s="523">
        <v>753</v>
      </c>
      <c r="B764" s="523" t="s">
        <v>1090</v>
      </c>
      <c r="C764" s="555">
        <v>8071</v>
      </c>
      <c r="D764" s="563">
        <v>25000</v>
      </c>
      <c r="E764" s="573">
        <v>278</v>
      </c>
      <c r="F764" s="563">
        <v>25000</v>
      </c>
      <c r="G764" s="87">
        <f t="shared" si="12"/>
        <v>0</v>
      </c>
      <c r="H764" s="87"/>
      <c r="I764" s="509"/>
      <c r="J764" s="398"/>
      <c r="K764" s="398"/>
      <c r="L764" s="398"/>
      <c r="M764" s="86"/>
    </row>
    <row r="765" spans="1:13" s="644" customFormat="1" ht="15.75" x14ac:dyDescent="0.25">
      <c r="A765" s="523">
        <v>754</v>
      </c>
      <c r="B765" s="523" t="s">
        <v>1090</v>
      </c>
      <c r="C765" s="607" t="s">
        <v>891</v>
      </c>
      <c r="D765" s="563">
        <v>10000</v>
      </c>
      <c r="E765" s="573">
        <v>111</v>
      </c>
      <c r="F765" s="563">
        <v>10000</v>
      </c>
      <c r="G765" s="87">
        <f t="shared" si="12"/>
        <v>0</v>
      </c>
      <c r="H765" s="87"/>
      <c r="I765" s="509"/>
      <c r="J765" s="398"/>
      <c r="K765" s="398"/>
      <c r="L765" s="398"/>
      <c r="M765" s="86"/>
    </row>
    <row r="766" spans="1:13" s="644" customFormat="1" ht="15.75" x14ac:dyDescent="0.25">
      <c r="A766" s="523">
        <v>755</v>
      </c>
      <c r="B766" s="523" t="s">
        <v>1090</v>
      </c>
      <c r="C766" s="555" t="s">
        <v>30</v>
      </c>
      <c r="D766" s="563">
        <v>10000</v>
      </c>
      <c r="E766" s="573">
        <v>111</v>
      </c>
      <c r="F766" s="563">
        <v>10000</v>
      </c>
      <c r="G766" s="87">
        <f t="shared" si="12"/>
        <v>0</v>
      </c>
      <c r="H766" s="87"/>
      <c r="I766" s="509"/>
      <c r="J766" s="398"/>
      <c r="K766" s="398"/>
      <c r="L766" s="398"/>
      <c r="M766" s="86"/>
    </row>
    <row r="767" spans="1:13" s="644" customFormat="1" ht="15.75" x14ac:dyDescent="0.25">
      <c r="A767" s="523">
        <v>756</v>
      </c>
      <c r="B767" s="523" t="s">
        <v>1090</v>
      </c>
      <c r="C767" s="555" t="s">
        <v>30</v>
      </c>
      <c r="D767" s="563">
        <v>5000</v>
      </c>
      <c r="E767" s="573">
        <v>55</v>
      </c>
      <c r="F767" s="563">
        <v>5000</v>
      </c>
      <c r="G767" s="87">
        <f t="shared" si="12"/>
        <v>0</v>
      </c>
      <c r="H767" s="87"/>
      <c r="I767" s="509"/>
      <c r="J767" s="398"/>
      <c r="K767" s="398"/>
      <c r="L767" s="398"/>
      <c r="M767" s="86"/>
    </row>
    <row r="768" spans="1:13" s="644" customFormat="1" ht="15.75" x14ac:dyDescent="0.25">
      <c r="A768" s="523">
        <v>757</v>
      </c>
      <c r="B768" s="523" t="s">
        <v>1090</v>
      </c>
      <c r="C768" s="555" t="s">
        <v>30</v>
      </c>
      <c r="D768" s="563">
        <v>3000</v>
      </c>
      <c r="E768" s="573">
        <v>33</v>
      </c>
      <c r="F768" s="563">
        <v>3000</v>
      </c>
      <c r="G768" s="87">
        <f t="shared" si="12"/>
        <v>0</v>
      </c>
      <c r="H768" s="87"/>
      <c r="I768" s="509"/>
      <c r="J768" s="398"/>
      <c r="K768" s="398"/>
      <c r="L768" s="398"/>
      <c r="M768" s="86"/>
    </row>
    <row r="769" spans="1:13" s="644" customFormat="1" ht="15.75" x14ac:dyDescent="0.25">
      <c r="A769" s="523">
        <v>758</v>
      </c>
      <c r="B769" s="523" t="s">
        <v>1090</v>
      </c>
      <c r="C769" s="555">
        <v>5151</v>
      </c>
      <c r="D769" s="563">
        <v>18000</v>
      </c>
      <c r="E769" s="573">
        <v>200</v>
      </c>
      <c r="F769" s="563">
        <v>18000</v>
      </c>
      <c r="G769" s="87">
        <f t="shared" si="12"/>
        <v>0</v>
      </c>
      <c r="H769" s="87"/>
      <c r="I769" s="509"/>
      <c r="J769" s="398"/>
      <c r="K769" s="398"/>
      <c r="L769" s="398"/>
      <c r="M769" s="86"/>
    </row>
    <row r="770" spans="1:13" s="644" customFormat="1" ht="15.75" x14ac:dyDescent="0.25">
      <c r="A770" s="523">
        <v>759</v>
      </c>
      <c r="B770" s="523" t="s">
        <v>1090</v>
      </c>
      <c r="C770" s="555">
        <v>5252</v>
      </c>
      <c r="D770" s="563">
        <v>17000</v>
      </c>
      <c r="E770" s="573">
        <v>189</v>
      </c>
      <c r="F770" s="563">
        <v>17000</v>
      </c>
      <c r="G770" s="87">
        <f t="shared" si="12"/>
        <v>0</v>
      </c>
      <c r="H770" s="87"/>
      <c r="I770" s="509"/>
      <c r="J770" s="398"/>
      <c r="K770" s="398"/>
      <c r="L770" s="398"/>
      <c r="M770" s="86"/>
    </row>
    <row r="771" spans="1:13" s="644" customFormat="1" ht="15.75" x14ac:dyDescent="0.25">
      <c r="A771" s="523">
        <v>760</v>
      </c>
      <c r="B771" s="523" t="s">
        <v>1090</v>
      </c>
      <c r="C771" s="607" t="s">
        <v>1008</v>
      </c>
      <c r="D771" s="563">
        <v>17000</v>
      </c>
      <c r="E771" s="573">
        <v>189</v>
      </c>
      <c r="F771" s="563">
        <v>17000</v>
      </c>
      <c r="G771" s="87">
        <f t="shared" si="12"/>
        <v>0</v>
      </c>
      <c r="H771" s="87"/>
      <c r="I771" s="509"/>
      <c r="J771" s="398"/>
      <c r="K771" s="398"/>
      <c r="L771" s="398"/>
      <c r="M771" s="86"/>
    </row>
    <row r="772" spans="1:13" s="644" customFormat="1" ht="15.75" x14ac:dyDescent="0.25">
      <c r="A772" s="523">
        <v>761</v>
      </c>
      <c r="B772" s="523" t="s">
        <v>1090</v>
      </c>
      <c r="C772" s="555">
        <v>9255</v>
      </c>
      <c r="D772" s="563">
        <v>20000</v>
      </c>
      <c r="E772" s="573">
        <v>222</v>
      </c>
      <c r="F772" s="563">
        <v>20000</v>
      </c>
      <c r="G772" s="87">
        <f t="shared" si="12"/>
        <v>0</v>
      </c>
      <c r="H772" s="87"/>
      <c r="I772" s="509"/>
      <c r="J772" s="398"/>
      <c r="K772" s="398"/>
      <c r="L772" s="398"/>
      <c r="M772" s="86"/>
    </row>
    <row r="773" spans="1:13" s="644" customFormat="1" ht="15.75" x14ac:dyDescent="0.25">
      <c r="A773" s="523">
        <v>762</v>
      </c>
      <c r="B773" s="523" t="s">
        <v>1090</v>
      </c>
      <c r="C773" s="555" t="s">
        <v>30</v>
      </c>
      <c r="D773" s="563">
        <v>4500</v>
      </c>
      <c r="E773" s="573">
        <v>50</v>
      </c>
      <c r="F773" s="563">
        <v>4500</v>
      </c>
      <c r="G773" s="87">
        <f t="shared" si="12"/>
        <v>0</v>
      </c>
      <c r="H773" s="87"/>
      <c r="I773" s="509"/>
      <c r="J773" s="398"/>
      <c r="K773" s="398"/>
      <c r="L773" s="398"/>
      <c r="M773" s="86"/>
    </row>
    <row r="774" spans="1:13" s="644" customFormat="1" ht="15.75" x14ac:dyDescent="0.25">
      <c r="A774" s="523">
        <v>763</v>
      </c>
      <c r="B774" s="523" t="s">
        <v>1090</v>
      </c>
      <c r="C774" s="555">
        <v>1910</v>
      </c>
      <c r="D774" s="563">
        <v>18600</v>
      </c>
      <c r="E774" s="573">
        <v>207</v>
      </c>
      <c r="F774" s="563">
        <v>18600</v>
      </c>
      <c r="G774" s="87">
        <f t="shared" si="12"/>
        <v>0</v>
      </c>
      <c r="H774" s="87"/>
      <c r="I774" s="509"/>
      <c r="J774" s="398"/>
      <c r="K774" s="398"/>
      <c r="L774" s="398"/>
      <c r="M774" s="86"/>
    </row>
    <row r="775" spans="1:13" s="644" customFormat="1" ht="15.75" x14ac:dyDescent="0.25">
      <c r="A775" s="523">
        <v>764</v>
      </c>
      <c r="B775" s="523" t="s">
        <v>1090</v>
      </c>
      <c r="C775" s="555">
        <v>5832</v>
      </c>
      <c r="D775" s="563">
        <v>27600</v>
      </c>
      <c r="E775" s="573">
        <v>307</v>
      </c>
      <c r="F775" s="563">
        <v>27600</v>
      </c>
      <c r="G775" s="87">
        <f t="shared" si="12"/>
        <v>0</v>
      </c>
      <c r="H775" s="87"/>
      <c r="I775" s="509"/>
      <c r="J775" s="398"/>
      <c r="K775" s="398"/>
      <c r="L775" s="398"/>
      <c r="M775" s="86"/>
    </row>
    <row r="776" spans="1:13" s="644" customFormat="1" ht="15.75" x14ac:dyDescent="0.25">
      <c r="A776" s="523">
        <v>765</v>
      </c>
      <c r="B776" s="523" t="s">
        <v>1090</v>
      </c>
      <c r="C776" s="555">
        <v>3233</v>
      </c>
      <c r="D776" s="563">
        <v>28000</v>
      </c>
      <c r="E776" s="573">
        <v>311</v>
      </c>
      <c r="F776" s="563">
        <v>28000</v>
      </c>
      <c r="G776" s="87">
        <f t="shared" si="12"/>
        <v>0</v>
      </c>
      <c r="H776" s="87"/>
      <c r="I776" s="509"/>
      <c r="J776" s="398"/>
      <c r="K776" s="398"/>
      <c r="L776" s="398"/>
      <c r="M776" s="86"/>
    </row>
    <row r="777" spans="1:13" s="644" customFormat="1" ht="15.75" x14ac:dyDescent="0.25">
      <c r="A777" s="523">
        <v>766</v>
      </c>
      <c r="B777" s="523" t="s">
        <v>1090</v>
      </c>
      <c r="C777" s="555">
        <v>2174</v>
      </c>
      <c r="D777" s="563">
        <v>22000</v>
      </c>
      <c r="E777" s="573">
        <v>245</v>
      </c>
      <c r="F777" s="563">
        <v>22000</v>
      </c>
      <c r="G777" s="87">
        <f t="shared" si="12"/>
        <v>0</v>
      </c>
      <c r="H777" s="87"/>
      <c r="I777" s="509"/>
      <c r="J777" s="398"/>
      <c r="K777" s="398"/>
      <c r="L777" s="398"/>
      <c r="M777" s="86"/>
    </row>
    <row r="778" spans="1:13" s="644" customFormat="1" ht="15.75" x14ac:dyDescent="0.25">
      <c r="A778" s="523">
        <v>767</v>
      </c>
      <c r="B778" s="523" t="s">
        <v>1090</v>
      </c>
      <c r="C778" s="555">
        <v>1960</v>
      </c>
      <c r="D778" s="563">
        <v>24000</v>
      </c>
      <c r="E778" s="573">
        <v>240</v>
      </c>
      <c r="F778" s="563">
        <v>24000</v>
      </c>
      <c r="G778" s="87">
        <f t="shared" si="12"/>
        <v>0</v>
      </c>
      <c r="H778" s="87"/>
      <c r="I778" s="509"/>
      <c r="J778" s="398"/>
      <c r="K778" s="398"/>
      <c r="L778" s="398"/>
      <c r="M778" s="86"/>
    </row>
    <row r="779" spans="1:13" s="644" customFormat="1" ht="15.75" x14ac:dyDescent="0.25">
      <c r="A779" s="523">
        <v>768</v>
      </c>
      <c r="B779" s="523" t="s">
        <v>1090</v>
      </c>
      <c r="C779" s="555">
        <v>2752</v>
      </c>
      <c r="D779" s="563">
        <v>30000</v>
      </c>
      <c r="E779" s="573">
        <v>334</v>
      </c>
      <c r="F779" s="563">
        <v>30000</v>
      </c>
      <c r="G779" s="87">
        <f t="shared" si="12"/>
        <v>0</v>
      </c>
      <c r="H779" s="87"/>
      <c r="I779" s="509"/>
      <c r="J779" s="398"/>
      <c r="K779" s="398"/>
      <c r="L779" s="398"/>
      <c r="M779" s="86"/>
    </row>
    <row r="780" spans="1:13" s="644" customFormat="1" ht="15.75" x14ac:dyDescent="0.25">
      <c r="A780" s="523">
        <v>769</v>
      </c>
      <c r="B780" s="523" t="s">
        <v>1090</v>
      </c>
      <c r="C780" s="555">
        <v>5574</v>
      </c>
      <c r="D780" s="563">
        <v>32000</v>
      </c>
      <c r="E780" s="573">
        <v>347</v>
      </c>
      <c r="F780" s="563">
        <v>32000</v>
      </c>
      <c r="G780" s="87">
        <f t="shared" si="12"/>
        <v>0</v>
      </c>
      <c r="H780" s="87"/>
      <c r="I780" s="509"/>
      <c r="J780" s="398"/>
      <c r="K780" s="398"/>
      <c r="L780" s="398"/>
      <c r="M780" s="86"/>
    </row>
    <row r="781" spans="1:13" s="644" customFormat="1" ht="15.75" x14ac:dyDescent="0.25">
      <c r="A781" s="523">
        <v>770</v>
      </c>
      <c r="B781" s="523" t="s">
        <v>1090</v>
      </c>
      <c r="C781" s="555">
        <v>5750</v>
      </c>
      <c r="D781" s="563">
        <v>27000</v>
      </c>
      <c r="E781" s="573">
        <v>300</v>
      </c>
      <c r="F781" s="563">
        <v>27000</v>
      </c>
      <c r="G781" s="87">
        <f t="shared" si="12"/>
        <v>0</v>
      </c>
      <c r="H781" s="87"/>
      <c r="I781" s="509"/>
      <c r="J781" s="398"/>
      <c r="K781" s="398"/>
      <c r="L781" s="398"/>
      <c r="M781" s="86"/>
    </row>
    <row r="782" spans="1:13" s="644" customFormat="1" ht="15.75" x14ac:dyDescent="0.25">
      <c r="A782" s="523">
        <v>771</v>
      </c>
      <c r="B782" s="523" t="s">
        <v>1090</v>
      </c>
      <c r="C782" s="555">
        <v>9633</v>
      </c>
      <c r="D782" s="563">
        <v>30000</v>
      </c>
      <c r="E782" s="573">
        <v>334</v>
      </c>
      <c r="F782" s="563">
        <v>30000</v>
      </c>
      <c r="G782" s="87">
        <f t="shared" si="12"/>
        <v>0</v>
      </c>
      <c r="H782" s="87"/>
      <c r="I782" s="509"/>
      <c r="J782" s="398"/>
      <c r="K782" s="398"/>
      <c r="L782" s="398"/>
      <c r="M782" s="86"/>
    </row>
    <row r="783" spans="1:13" s="644" customFormat="1" ht="15.75" x14ac:dyDescent="0.25">
      <c r="A783" s="523">
        <v>772</v>
      </c>
      <c r="B783" s="523" t="s">
        <v>1090</v>
      </c>
      <c r="C783" s="555">
        <v>6948</v>
      </c>
      <c r="D783" s="563">
        <v>30000</v>
      </c>
      <c r="E783" s="573">
        <v>334</v>
      </c>
      <c r="F783" s="563">
        <v>30000</v>
      </c>
      <c r="G783" s="87">
        <f t="shared" si="12"/>
        <v>0</v>
      </c>
      <c r="H783" s="87"/>
      <c r="I783" s="509"/>
      <c r="J783" s="398"/>
      <c r="K783" s="398"/>
      <c r="L783" s="398"/>
      <c r="M783" s="86"/>
    </row>
    <row r="784" spans="1:13" s="644" customFormat="1" ht="15.75" x14ac:dyDescent="0.25">
      <c r="A784" s="523">
        <v>773</v>
      </c>
      <c r="B784" s="523" t="s">
        <v>1090</v>
      </c>
      <c r="C784" s="555">
        <v>9687</v>
      </c>
      <c r="D784" s="563">
        <v>23000</v>
      </c>
      <c r="E784" s="573">
        <v>257</v>
      </c>
      <c r="F784" s="563">
        <v>23000</v>
      </c>
      <c r="G784" s="87">
        <f t="shared" si="12"/>
        <v>0</v>
      </c>
      <c r="H784" s="87"/>
      <c r="I784" s="509"/>
      <c r="J784" s="398"/>
      <c r="K784" s="398"/>
      <c r="L784" s="398"/>
      <c r="M784" s="86"/>
    </row>
    <row r="785" spans="1:13" s="644" customFormat="1" ht="15.75" x14ac:dyDescent="0.25">
      <c r="A785" s="523">
        <v>774</v>
      </c>
      <c r="B785" s="523" t="s">
        <v>1090</v>
      </c>
      <c r="C785" s="555">
        <v>1156</v>
      </c>
      <c r="D785" s="563">
        <v>25000</v>
      </c>
      <c r="E785" s="573">
        <v>278</v>
      </c>
      <c r="F785" s="563">
        <v>25000</v>
      </c>
      <c r="G785" s="87">
        <f t="shared" si="12"/>
        <v>0</v>
      </c>
      <c r="H785" s="87"/>
      <c r="I785" s="509"/>
      <c r="J785" s="398"/>
      <c r="K785" s="398"/>
      <c r="L785" s="398"/>
      <c r="M785" s="86"/>
    </row>
    <row r="786" spans="1:13" s="644" customFormat="1" ht="15.75" x14ac:dyDescent="0.25">
      <c r="A786" s="523">
        <v>775</v>
      </c>
      <c r="B786" s="523" t="s">
        <v>1090</v>
      </c>
      <c r="C786" s="555">
        <v>4643</v>
      </c>
      <c r="D786" s="563">
        <v>25000</v>
      </c>
      <c r="E786" s="573">
        <v>278</v>
      </c>
      <c r="F786" s="563">
        <v>25000</v>
      </c>
      <c r="G786" s="87">
        <f t="shared" si="12"/>
        <v>0</v>
      </c>
      <c r="H786" s="87"/>
      <c r="I786" s="509"/>
      <c r="J786" s="398"/>
      <c r="K786" s="398"/>
      <c r="L786" s="398"/>
      <c r="M786" s="86"/>
    </row>
    <row r="787" spans="1:13" s="644" customFormat="1" ht="15.75" x14ac:dyDescent="0.25">
      <c r="A787" s="523">
        <v>776</v>
      </c>
      <c r="B787" s="523" t="s">
        <v>1090</v>
      </c>
      <c r="C787" s="607" t="s">
        <v>1104</v>
      </c>
      <c r="D787" s="563">
        <v>30000</v>
      </c>
      <c r="E787" s="573">
        <v>320</v>
      </c>
      <c r="F787" s="563">
        <v>30000</v>
      </c>
      <c r="G787" s="87">
        <f t="shared" si="12"/>
        <v>0</v>
      </c>
      <c r="H787" s="87"/>
      <c r="I787" s="509"/>
      <c r="J787" s="398"/>
      <c r="K787" s="398"/>
      <c r="L787" s="398"/>
      <c r="M787" s="86"/>
    </row>
    <row r="788" spans="1:13" s="644" customFormat="1" ht="15.75" x14ac:dyDescent="0.25">
      <c r="A788" s="523">
        <v>777</v>
      </c>
      <c r="B788" s="523" t="s">
        <v>1090</v>
      </c>
      <c r="C788" s="555">
        <v>1777</v>
      </c>
      <c r="D788" s="563">
        <v>25000</v>
      </c>
      <c r="E788" s="573">
        <v>278</v>
      </c>
      <c r="F788" s="563">
        <v>25000</v>
      </c>
      <c r="G788" s="87">
        <f t="shared" si="12"/>
        <v>0</v>
      </c>
      <c r="H788" s="87"/>
      <c r="I788" s="509"/>
      <c r="J788" s="398"/>
      <c r="K788" s="398"/>
      <c r="L788" s="398"/>
      <c r="M788" s="86"/>
    </row>
    <row r="789" spans="1:13" s="644" customFormat="1" ht="15.75" x14ac:dyDescent="0.25">
      <c r="A789" s="523">
        <v>778</v>
      </c>
      <c r="B789" s="523" t="s">
        <v>1090</v>
      </c>
      <c r="C789" s="555">
        <v>9677</v>
      </c>
      <c r="D789" s="563">
        <v>25000</v>
      </c>
      <c r="E789" s="573">
        <v>278</v>
      </c>
      <c r="F789" s="563">
        <v>25000</v>
      </c>
      <c r="G789" s="87">
        <f t="shared" si="12"/>
        <v>0</v>
      </c>
      <c r="H789" s="87"/>
      <c r="I789" s="509"/>
      <c r="J789" s="398"/>
      <c r="K789" s="398"/>
      <c r="L789" s="398"/>
      <c r="M789" s="86"/>
    </row>
    <row r="790" spans="1:13" s="644" customFormat="1" ht="15.75" x14ac:dyDescent="0.25">
      <c r="A790" s="523">
        <v>779</v>
      </c>
      <c r="B790" s="523" t="s">
        <v>1090</v>
      </c>
      <c r="C790" s="555">
        <v>4643</v>
      </c>
      <c r="D790" s="563">
        <v>25000</v>
      </c>
      <c r="E790" s="573">
        <v>278</v>
      </c>
      <c r="F790" s="563">
        <v>25000</v>
      </c>
      <c r="G790" s="87">
        <f t="shared" si="12"/>
        <v>0</v>
      </c>
      <c r="H790" s="87"/>
      <c r="I790" s="509"/>
      <c r="J790" s="398"/>
      <c r="K790" s="398"/>
      <c r="L790" s="398"/>
      <c r="M790" s="86"/>
    </row>
    <row r="791" spans="1:13" s="644" customFormat="1" ht="15.75" x14ac:dyDescent="0.25">
      <c r="A791" s="523">
        <v>780</v>
      </c>
      <c r="B791" s="523" t="s">
        <v>1090</v>
      </c>
      <c r="C791" s="555">
        <v>3222</v>
      </c>
      <c r="D791" s="563">
        <v>25000</v>
      </c>
      <c r="E791" s="573">
        <v>278</v>
      </c>
      <c r="F791" s="563">
        <v>25000</v>
      </c>
      <c r="G791" s="87">
        <f t="shared" ref="G791:G854" si="13">D791-F791</f>
        <v>0</v>
      </c>
      <c r="H791" s="87"/>
      <c r="I791" s="509"/>
      <c r="J791" s="398"/>
      <c r="K791" s="398"/>
      <c r="L791" s="398"/>
      <c r="M791" s="86"/>
    </row>
    <row r="792" spans="1:13" s="644" customFormat="1" ht="15.75" x14ac:dyDescent="0.25">
      <c r="A792" s="523">
        <v>781</v>
      </c>
      <c r="B792" s="523" t="s">
        <v>1090</v>
      </c>
      <c r="C792" s="555">
        <v>9193</v>
      </c>
      <c r="D792" s="563">
        <v>25000</v>
      </c>
      <c r="E792" s="573">
        <v>278</v>
      </c>
      <c r="F792" s="563">
        <v>25000</v>
      </c>
      <c r="G792" s="87">
        <f t="shared" si="13"/>
        <v>0</v>
      </c>
      <c r="H792" s="87"/>
      <c r="I792" s="509"/>
      <c r="J792" s="398"/>
      <c r="K792" s="398"/>
      <c r="L792" s="398"/>
      <c r="M792" s="86"/>
    </row>
    <row r="793" spans="1:13" s="644" customFormat="1" ht="15.75" x14ac:dyDescent="0.25">
      <c r="A793" s="523">
        <v>782</v>
      </c>
      <c r="B793" s="523" t="s">
        <v>1090</v>
      </c>
      <c r="C793" s="555">
        <v>8154</v>
      </c>
      <c r="D793" s="563">
        <v>25000</v>
      </c>
      <c r="E793" s="573">
        <v>278</v>
      </c>
      <c r="F793" s="563">
        <v>25000</v>
      </c>
      <c r="G793" s="87">
        <f t="shared" si="13"/>
        <v>0</v>
      </c>
      <c r="H793" s="87"/>
      <c r="I793" s="509"/>
      <c r="J793" s="398"/>
      <c r="K793" s="398"/>
      <c r="L793" s="398"/>
      <c r="M793" s="86"/>
    </row>
    <row r="794" spans="1:13" s="644" customFormat="1" ht="15.75" x14ac:dyDescent="0.25">
      <c r="A794" s="523">
        <v>783</v>
      </c>
      <c r="B794" s="523" t="s">
        <v>1090</v>
      </c>
      <c r="C794" s="555">
        <v>2894</v>
      </c>
      <c r="D794" s="563">
        <v>15000</v>
      </c>
      <c r="E794" s="573">
        <v>167</v>
      </c>
      <c r="F794" s="563">
        <v>15000</v>
      </c>
      <c r="G794" s="87">
        <f t="shared" si="13"/>
        <v>0</v>
      </c>
      <c r="H794" s="87"/>
      <c r="I794" s="509"/>
      <c r="J794" s="398"/>
      <c r="K794" s="398"/>
      <c r="L794" s="398"/>
      <c r="M794" s="86"/>
    </row>
    <row r="795" spans="1:13" s="644" customFormat="1" ht="15.75" x14ac:dyDescent="0.25">
      <c r="A795" s="523">
        <v>784</v>
      </c>
      <c r="B795" s="523" t="s">
        <v>1090</v>
      </c>
      <c r="C795" s="607" t="s">
        <v>1105</v>
      </c>
      <c r="D795" s="563">
        <v>10000</v>
      </c>
      <c r="E795" s="573">
        <v>111</v>
      </c>
      <c r="F795" s="563">
        <v>10000</v>
      </c>
      <c r="G795" s="87">
        <f t="shared" si="13"/>
        <v>0</v>
      </c>
      <c r="H795" s="87"/>
      <c r="I795" s="509"/>
      <c r="J795" s="398"/>
      <c r="K795" s="398"/>
      <c r="L795" s="398"/>
      <c r="M795" s="86"/>
    </row>
    <row r="796" spans="1:13" s="644" customFormat="1" ht="15.75" x14ac:dyDescent="0.25">
      <c r="A796" s="523">
        <v>785</v>
      </c>
      <c r="B796" s="523" t="s">
        <v>1090</v>
      </c>
      <c r="C796" s="555">
        <v>7187</v>
      </c>
      <c r="D796" s="563">
        <v>28000</v>
      </c>
      <c r="E796" s="573">
        <v>311</v>
      </c>
      <c r="F796" s="563">
        <v>28000</v>
      </c>
      <c r="G796" s="87">
        <f t="shared" si="13"/>
        <v>0</v>
      </c>
      <c r="H796" s="87"/>
      <c r="I796" s="509"/>
      <c r="J796" s="398"/>
      <c r="K796" s="398"/>
      <c r="L796" s="398"/>
      <c r="M796" s="86"/>
    </row>
    <row r="797" spans="1:13" s="644" customFormat="1" ht="15.75" x14ac:dyDescent="0.25">
      <c r="A797" s="523">
        <v>786</v>
      </c>
      <c r="B797" s="523" t="s">
        <v>1090</v>
      </c>
      <c r="C797" s="555">
        <v>1259</v>
      </c>
      <c r="D797" s="563">
        <v>30000</v>
      </c>
      <c r="E797" s="573">
        <v>334</v>
      </c>
      <c r="F797" s="563">
        <v>30000</v>
      </c>
      <c r="G797" s="87">
        <f t="shared" si="13"/>
        <v>0</v>
      </c>
      <c r="H797" s="87"/>
      <c r="I797" s="509"/>
      <c r="J797" s="398"/>
      <c r="K797" s="398"/>
      <c r="L797" s="398"/>
      <c r="M797" s="86"/>
    </row>
    <row r="798" spans="1:13" s="644" customFormat="1" ht="15.75" x14ac:dyDescent="0.25">
      <c r="A798" s="523">
        <v>787</v>
      </c>
      <c r="B798" s="523" t="s">
        <v>1090</v>
      </c>
      <c r="C798" s="607" t="s">
        <v>1106</v>
      </c>
      <c r="D798" s="563">
        <v>5000</v>
      </c>
      <c r="E798" s="573">
        <v>55</v>
      </c>
      <c r="F798" s="563">
        <v>5000</v>
      </c>
      <c r="G798" s="87">
        <f t="shared" si="13"/>
        <v>0</v>
      </c>
      <c r="H798" s="87"/>
      <c r="I798" s="509"/>
      <c r="J798" s="398"/>
      <c r="K798" s="398"/>
      <c r="L798" s="398"/>
      <c r="M798" s="86"/>
    </row>
    <row r="799" spans="1:13" s="644" customFormat="1" ht="15.75" x14ac:dyDescent="0.25">
      <c r="A799" s="523">
        <v>788</v>
      </c>
      <c r="B799" s="523" t="s">
        <v>1091</v>
      </c>
      <c r="C799" s="555">
        <v>9256</v>
      </c>
      <c r="D799" s="563">
        <v>21000</v>
      </c>
      <c r="E799" s="573">
        <v>233</v>
      </c>
      <c r="F799" s="563">
        <v>21000</v>
      </c>
      <c r="G799" s="87">
        <f t="shared" si="13"/>
        <v>0</v>
      </c>
      <c r="H799" s="87"/>
      <c r="I799" s="509"/>
      <c r="J799" s="398"/>
      <c r="K799" s="398"/>
      <c r="L799" s="398"/>
      <c r="M799" s="86"/>
    </row>
    <row r="800" spans="1:13" s="644" customFormat="1" ht="15.75" x14ac:dyDescent="0.25">
      <c r="A800" s="523">
        <v>789</v>
      </c>
      <c r="B800" s="523" t="s">
        <v>1091</v>
      </c>
      <c r="C800" s="555">
        <v>2819</v>
      </c>
      <c r="D800" s="563">
        <v>31000</v>
      </c>
      <c r="E800" s="573">
        <v>345</v>
      </c>
      <c r="F800" s="563">
        <v>31000</v>
      </c>
      <c r="G800" s="87">
        <f t="shared" si="13"/>
        <v>0</v>
      </c>
      <c r="H800" s="87"/>
      <c r="I800" s="509"/>
      <c r="J800" s="398"/>
      <c r="K800" s="398"/>
      <c r="L800" s="398"/>
      <c r="M800" s="86"/>
    </row>
    <row r="801" spans="1:13" s="644" customFormat="1" ht="15.75" x14ac:dyDescent="0.25">
      <c r="A801" s="523">
        <v>790</v>
      </c>
      <c r="B801" s="523" t="s">
        <v>1091</v>
      </c>
      <c r="C801" s="555">
        <v>8371</v>
      </c>
      <c r="D801" s="563">
        <v>23500</v>
      </c>
      <c r="E801" s="573">
        <v>261</v>
      </c>
      <c r="F801" s="563">
        <v>23500</v>
      </c>
      <c r="G801" s="87">
        <f t="shared" si="13"/>
        <v>0</v>
      </c>
      <c r="H801" s="87"/>
      <c r="I801" s="509"/>
      <c r="J801" s="398"/>
      <c r="K801" s="398"/>
      <c r="L801" s="398"/>
      <c r="M801" s="86"/>
    </row>
    <row r="802" spans="1:13" s="644" customFormat="1" ht="15.75" x14ac:dyDescent="0.25">
      <c r="A802" s="523">
        <v>791</v>
      </c>
      <c r="B802" s="523" t="s">
        <v>1091</v>
      </c>
      <c r="C802" s="555">
        <v>8171</v>
      </c>
      <c r="D802" s="563">
        <v>27000</v>
      </c>
      <c r="E802" s="573">
        <v>300</v>
      </c>
      <c r="F802" s="563">
        <v>27000</v>
      </c>
      <c r="G802" s="87">
        <f t="shared" si="13"/>
        <v>0</v>
      </c>
      <c r="H802" s="87"/>
      <c r="I802" s="509"/>
      <c r="J802" s="398"/>
      <c r="K802" s="398"/>
      <c r="L802" s="398"/>
      <c r="M802" s="86"/>
    </row>
    <row r="803" spans="1:13" s="644" customFormat="1" ht="15.75" x14ac:dyDescent="0.25">
      <c r="A803" s="523">
        <v>792</v>
      </c>
      <c r="B803" s="523" t="s">
        <v>1091</v>
      </c>
      <c r="C803" s="555">
        <v>7071</v>
      </c>
      <c r="D803" s="563">
        <v>25000</v>
      </c>
      <c r="E803" s="573">
        <v>278</v>
      </c>
      <c r="F803" s="563">
        <v>25000</v>
      </c>
      <c r="G803" s="87">
        <f t="shared" si="13"/>
        <v>0</v>
      </c>
      <c r="H803" s="87"/>
      <c r="I803" s="509"/>
      <c r="J803" s="398"/>
      <c r="K803" s="398"/>
      <c r="L803" s="398"/>
      <c r="M803" s="86"/>
    </row>
    <row r="804" spans="1:13" s="644" customFormat="1" ht="15.75" x14ac:dyDescent="0.25">
      <c r="A804" s="523">
        <v>793</v>
      </c>
      <c r="B804" s="523" t="s">
        <v>1091</v>
      </c>
      <c r="C804" s="555">
        <v>9653</v>
      </c>
      <c r="D804" s="563">
        <v>20000</v>
      </c>
      <c r="E804" s="573">
        <v>222</v>
      </c>
      <c r="F804" s="563">
        <v>20000</v>
      </c>
      <c r="G804" s="87">
        <f t="shared" si="13"/>
        <v>0</v>
      </c>
      <c r="H804" s="87"/>
      <c r="I804" s="509"/>
      <c r="J804" s="398"/>
      <c r="K804" s="398"/>
      <c r="L804" s="398"/>
      <c r="M804" s="86"/>
    </row>
    <row r="805" spans="1:13" s="644" customFormat="1" ht="15.75" x14ac:dyDescent="0.25">
      <c r="A805" s="523">
        <v>794</v>
      </c>
      <c r="B805" s="523" t="s">
        <v>1091</v>
      </c>
      <c r="C805" s="607" t="s">
        <v>1039</v>
      </c>
      <c r="D805" s="563">
        <v>18000</v>
      </c>
      <c r="E805" s="573">
        <v>200</v>
      </c>
      <c r="F805" s="563">
        <v>18000</v>
      </c>
      <c r="G805" s="87">
        <f t="shared" si="13"/>
        <v>0</v>
      </c>
      <c r="H805" s="87"/>
      <c r="I805" s="509"/>
      <c r="J805" s="398"/>
      <c r="K805" s="398"/>
      <c r="L805" s="398"/>
      <c r="M805" s="86"/>
    </row>
    <row r="806" spans="1:13" s="644" customFormat="1" ht="15.75" x14ac:dyDescent="0.25">
      <c r="A806" s="523">
        <v>795</v>
      </c>
      <c r="B806" s="523" t="s">
        <v>1091</v>
      </c>
      <c r="C806" s="555">
        <v>4513</v>
      </c>
      <c r="D806" s="563">
        <v>7500</v>
      </c>
      <c r="E806" s="573">
        <v>72</v>
      </c>
      <c r="F806" s="563">
        <v>7500</v>
      </c>
      <c r="G806" s="87">
        <f t="shared" si="13"/>
        <v>0</v>
      </c>
      <c r="H806" s="87"/>
      <c r="I806" s="509"/>
      <c r="J806" s="398"/>
      <c r="K806" s="398"/>
      <c r="L806" s="398"/>
      <c r="M806" s="86"/>
    </row>
    <row r="807" spans="1:13" s="644" customFormat="1" ht="15.75" x14ac:dyDescent="0.25">
      <c r="A807" s="523">
        <v>796</v>
      </c>
      <c r="B807" s="523" t="s">
        <v>1091</v>
      </c>
      <c r="C807" s="555" t="s">
        <v>30</v>
      </c>
      <c r="D807" s="563">
        <v>5000</v>
      </c>
      <c r="E807" s="573">
        <v>55</v>
      </c>
      <c r="F807" s="563">
        <v>5000</v>
      </c>
      <c r="G807" s="87">
        <f t="shared" si="13"/>
        <v>0</v>
      </c>
      <c r="H807" s="87"/>
      <c r="I807" s="509"/>
      <c r="J807" s="398"/>
      <c r="K807" s="398"/>
      <c r="L807" s="398"/>
      <c r="M807" s="86"/>
    </row>
    <row r="808" spans="1:13" s="644" customFormat="1" ht="15.75" x14ac:dyDescent="0.25">
      <c r="A808" s="523">
        <v>797</v>
      </c>
      <c r="B808" s="523" t="s">
        <v>1091</v>
      </c>
      <c r="C808" s="555">
        <v>9655</v>
      </c>
      <c r="D808" s="563">
        <v>10000</v>
      </c>
      <c r="E808" s="573">
        <v>111</v>
      </c>
      <c r="F808" s="563">
        <v>10000</v>
      </c>
      <c r="G808" s="87">
        <f t="shared" si="13"/>
        <v>0</v>
      </c>
      <c r="H808" s="87"/>
      <c r="I808" s="509"/>
      <c r="J808" s="398"/>
      <c r="K808" s="398"/>
      <c r="L808" s="398"/>
      <c r="M808" s="86"/>
    </row>
    <row r="809" spans="1:13" s="644" customFormat="1" ht="15.75" x14ac:dyDescent="0.25">
      <c r="A809" s="523">
        <v>798</v>
      </c>
      <c r="B809" s="523" t="s">
        <v>1091</v>
      </c>
      <c r="C809" s="555">
        <v>6133</v>
      </c>
      <c r="D809" s="563">
        <v>16000</v>
      </c>
      <c r="E809" s="573">
        <v>178</v>
      </c>
      <c r="F809" s="563">
        <v>16000</v>
      </c>
      <c r="G809" s="87">
        <f t="shared" si="13"/>
        <v>0</v>
      </c>
      <c r="H809" s="87"/>
      <c r="I809" s="509"/>
      <c r="J809" s="398"/>
      <c r="K809" s="398"/>
      <c r="L809" s="398"/>
      <c r="M809" s="86"/>
    </row>
    <row r="810" spans="1:13" s="644" customFormat="1" ht="15.75" x14ac:dyDescent="0.25">
      <c r="A810" s="523">
        <v>799</v>
      </c>
      <c r="B810" s="523" t="s">
        <v>1091</v>
      </c>
      <c r="C810" s="555">
        <v>3176</v>
      </c>
      <c r="D810" s="563">
        <v>16000</v>
      </c>
      <c r="E810" s="573">
        <v>178</v>
      </c>
      <c r="F810" s="563">
        <v>16000</v>
      </c>
      <c r="G810" s="87">
        <f t="shared" si="13"/>
        <v>0</v>
      </c>
      <c r="H810" s="87"/>
      <c r="I810" s="509"/>
      <c r="J810" s="398"/>
      <c r="K810" s="398"/>
      <c r="L810" s="398"/>
      <c r="M810" s="86"/>
    </row>
    <row r="811" spans="1:13" s="644" customFormat="1" ht="15.75" x14ac:dyDescent="0.25">
      <c r="A811" s="523">
        <v>800</v>
      </c>
      <c r="B811" s="523" t="s">
        <v>1091</v>
      </c>
      <c r="C811" s="555">
        <v>6957</v>
      </c>
      <c r="D811" s="563">
        <v>20000</v>
      </c>
      <c r="E811" s="573">
        <v>222</v>
      </c>
      <c r="F811" s="563">
        <v>20000</v>
      </c>
      <c r="G811" s="87">
        <f t="shared" si="13"/>
        <v>0</v>
      </c>
      <c r="H811" s="87"/>
      <c r="I811" s="509"/>
      <c r="J811" s="398"/>
      <c r="K811" s="398"/>
      <c r="L811" s="398"/>
      <c r="M811" s="86"/>
    </row>
    <row r="812" spans="1:13" s="644" customFormat="1" ht="15.75" x14ac:dyDescent="0.25">
      <c r="A812" s="523">
        <v>801</v>
      </c>
      <c r="B812" s="523" t="s">
        <v>1091</v>
      </c>
      <c r="C812" s="555">
        <v>4514</v>
      </c>
      <c r="D812" s="563">
        <v>7500</v>
      </c>
      <c r="E812" s="573">
        <v>83</v>
      </c>
      <c r="F812" s="563">
        <v>7500</v>
      </c>
      <c r="G812" s="87">
        <f t="shared" si="13"/>
        <v>0</v>
      </c>
      <c r="H812" s="87"/>
      <c r="I812" s="509"/>
      <c r="J812" s="398"/>
      <c r="K812" s="398"/>
      <c r="L812" s="398"/>
      <c r="M812" s="86"/>
    </row>
    <row r="813" spans="1:13" s="644" customFormat="1" ht="15.75" x14ac:dyDescent="0.25">
      <c r="A813" s="523">
        <v>802</v>
      </c>
      <c r="B813" s="523" t="s">
        <v>1091</v>
      </c>
      <c r="C813" s="555">
        <v>5532</v>
      </c>
      <c r="D813" s="563">
        <v>10000</v>
      </c>
      <c r="E813" s="573">
        <v>111</v>
      </c>
      <c r="F813" s="563">
        <v>10000</v>
      </c>
      <c r="G813" s="87">
        <f t="shared" si="13"/>
        <v>0</v>
      </c>
      <c r="H813" s="87"/>
      <c r="I813" s="509"/>
      <c r="J813" s="398"/>
      <c r="K813" s="398"/>
      <c r="L813" s="398"/>
      <c r="M813" s="86"/>
    </row>
    <row r="814" spans="1:13" s="645" customFormat="1" ht="15.75" x14ac:dyDescent="0.25">
      <c r="A814" s="523">
        <v>803</v>
      </c>
      <c r="B814" s="523" t="s">
        <v>1091</v>
      </c>
      <c r="C814" s="555">
        <v>4058</v>
      </c>
      <c r="D814" s="563">
        <v>7500</v>
      </c>
      <c r="E814" s="573">
        <v>83</v>
      </c>
      <c r="F814" s="563">
        <v>7500</v>
      </c>
      <c r="G814" s="87">
        <f t="shared" si="13"/>
        <v>0</v>
      </c>
      <c r="H814" s="87"/>
      <c r="I814" s="509"/>
      <c r="J814" s="398"/>
      <c r="K814" s="398"/>
      <c r="L814" s="398"/>
      <c r="M814" s="86"/>
    </row>
    <row r="815" spans="1:13" s="645" customFormat="1" ht="15.75" x14ac:dyDescent="0.25">
      <c r="A815" s="523">
        <v>804</v>
      </c>
      <c r="B815" s="523" t="s">
        <v>1091</v>
      </c>
      <c r="C815" s="607" t="s">
        <v>1024</v>
      </c>
      <c r="D815" s="563">
        <v>30000</v>
      </c>
      <c r="E815" s="573">
        <v>334</v>
      </c>
      <c r="F815" s="563">
        <v>30000</v>
      </c>
      <c r="G815" s="87">
        <f t="shared" si="13"/>
        <v>0</v>
      </c>
      <c r="H815" s="87"/>
      <c r="I815" s="509"/>
      <c r="J815" s="398"/>
      <c r="K815" s="398"/>
      <c r="L815" s="398"/>
      <c r="M815" s="86"/>
    </row>
    <row r="816" spans="1:13" s="645" customFormat="1" ht="15.75" x14ac:dyDescent="0.25">
      <c r="A816" s="523">
        <v>805</v>
      </c>
      <c r="B816" s="523" t="s">
        <v>1091</v>
      </c>
      <c r="C816" s="555">
        <v>9556</v>
      </c>
      <c r="D816" s="563">
        <v>25000</v>
      </c>
      <c r="E816" s="573">
        <v>278</v>
      </c>
      <c r="F816" s="563">
        <v>25000</v>
      </c>
      <c r="G816" s="87">
        <f t="shared" si="13"/>
        <v>0</v>
      </c>
      <c r="H816" s="87"/>
      <c r="I816" s="509"/>
      <c r="J816" s="398"/>
      <c r="K816" s="398"/>
      <c r="L816" s="398"/>
      <c r="M816" s="86"/>
    </row>
    <row r="817" spans="1:13" s="645" customFormat="1" ht="15.75" x14ac:dyDescent="0.25">
      <c r="A817" s="523">
        <v>806</v>
      </c>
      <c r="B817" s="523" t="s">
        <v>1091</v>
      </c>
      <c r="C817" s="607" t="s">
        <v>1048</v>
      </c>
      <c r="D817" s="563">
        <v>12000</v>
      </c>
      <c r="E817" s="573">
        <v>133</v>
      </c>
      <c r="F817" s="563">
        <v>12000</v>
      </c>
      <c r="G817" s="87">
        <f t="shared" si="13"/>
        <v>0</v>
      </c>
      <c r="H817" s="87"/>
      <c r="I817" s="509"/>
      <c r="J817" s="398"/>
      <c r="K817" s="398"/>
      <c r="L817" s="398"/>
      <c r="M817" s="86"/>
    </row>
    <row r="818" spans="1:13" s="645" customFormat="1" ht="15.75" x14ac:dyDescent="0.25">
      <c r="A818" s="523">
        <v>807</v>
      </c>
      <c r="B818" s="523" t="s">
        <v>1091</v>
      </c>
      <c r="C818" s="555" t="s">
        <v>66</v>
      </c>
      <c r="D818" s="563">
        <v>210</v>
      </c>
      <c r="E818" s="573" t="s">
        <v>66</v>
      </c>
      <c r="F818" s="563">
        <v>210</v>
      </c>
      <c r="G818" s="87">
        <f t="shared" si="13"/>
        <v>0</v>
      </c>
      <c r="H818" s="87"/>
      <c r="I818" s="509"/>
      <c r="J818" s="398"/>
      <c r="K818" s="398"/>
      <c r="L818" s="398"/>
      <c r="M818" s="86"/>
    </row>
    <row r="819" spans="1:13" s="645" customFormat="1" ht="15.75" x14ac:dyDescent="0.25">
      <c r="A819" s="523">
        <v>808</v>
      </c>
      <c r="B819" s="523" t="s">
        <v>1091</v>
      </c>
      <c r="C819" s="555" t="s">
        <v>30</v>
      </c>
      <c r="D819" s="563">
        <v>2500</v>
      </c>
      <c r="E819" s="573">
        <v>27</v>
      </c>
      <c r="F819" s="563">
        <v>2500</v>
      </c>
      <c r="G819" s="87">
        <f t="shared" si="13"/>
        <v>0</v>
      </c>
      <c r="H819" s="87"/>
      <c r="I819" s="509"/>
      <c r="J819" s="398"/>
      <c r="K819" s="398"/>
      <c r="L819" s="398"/>
      <c r="M819" s="86"/>
    </row>
    <row r="820" spans="1:13" s="645" customFormat="1" ht="15.75" x14ac:dyDescent="0.25">
      <c r="A820" s="523">
        <v>809</v>
      </c>
      <c r="B820" s="523" t="s">
        <v>1091</v>
      </c>
      <c r="C820" s="607" t="s">
        <v>1107</v>
      </c>
      <c r="D820" s="563">
        <v>25000</v>
      </c>
      <c r="E820" s="573">
        <v>278</v>
      </c>
      <c r="F820" s="563">
        <v>25000</v>
      </c>
      <c r="G820" s="87">
        <f t="shared" si="13"/>
        <v>0</v>
      </c>
      <c r="H820" s="87"/>
      <c r="I820" s="509"/>
      <c r="J820" s="398"/>
      <c r="K820" s="398"/>
      <c r="L820" s="398"/>
      <c r="M820" s="86"/>
    </row>
    <row r="821" spans="1:13" s="645" customFormat="1" ht="15.75" x14ac:dyDescent="0.25">
      <c r="A821" s="523">
        <v>810</v>
      </c>
      <c r="B821" s="523" t="s">
        <v>1091</v>
      </c>
      <c r="C821" s="607" t="s">
        <v>1108</v>
      </c>
      <c r="D821" s="563">
        <v>20000</v>
      </c>
      <c r="E821" s="573">
        <v>222</v>
      </c>
      <c r="F821" s="563">
        <v>20000</v>
      </c>
      <c r="G821" s="87">
        <f t="shared" si="13"/>
        <v>0</v>
      </c>
      <c r="H821" s="87"/>
      <c r="I821" s="509"/>
      <c r="J821" s="398"/>
      <c r="K821" s="398"/>
      <c r="L821" s="398"/>
      <c r="M821" s="86"/>
    </row>
    <row r="822" spans="1:13" s="645" customFormat="1" ht="15.75" x14ac:dyDescent="0.25">
      <c r="A822" s="523">
        <v>811</v>
      </c>
      <c r="B822" s="523" t="s">
        <v>1091</v>
      </c>
      <c r="C822" s="555">
        <v>2737</v>
      </c>
      <c r="D822" s="563">
        <v>27000</v>
      </c>
      <c r="E822" s="573">
        <v>289</v>
      </c>
      <c r="F822" s="563">
        <v>27000</v>
      </c>
      <c r="G822" s="87">
        <f t="shared" si="13"/>
        <v>0</v>
      </c>
      <c r="H822" s="87"/>
      <c r="I822" s="509"/>
      <c r="J822" s="398"/>
      <c r="K822" s="398"/>
      <c r="L822" s="398"/>
      <c r="M822" s="86"/>
    </row>
    <row r="823" spans="1:13" s="645" customFormat="1" ht="15.75" x14ac:dyDescent="0.25">
      <c r="A823" s="523">
        <v>812</v>
      </c>
      <c r="B823" s="523" t="s">
        <v>1091</v>
      </c>
      <c r="C823" s="555">
        <v>1940</v>
      </c>
      <c r="D823" s="563">
        <v>30000</v>
      </c>
      <c r="E823" s="573">
        <v>334</v>
      </c>
      <c r="F823" s="563">
        <v>30000</v>
      </c>
      <c r="G823" s="87">
        <f t="shared" si="13"/>
        <v>0</v>
      </c>
      <c r="H823" s="87"/>
      <c r="I823" s="509"/>
      <c r="J823" s="398"/>
      <c r="K823" s="398"/>
      <c r="L823" s="398"/>
      <c r="M823" s="86"/>
    </row>
    <row r="824" spans="1:13" s="645" customFormat="1" ht="15.75" x14ac:dyDescent="0.25">
      <c r="A824" s="523">
        <v>813</v>
      </c>
      <c r="B824" s="523" t="s">
        <v>1091</v>
      </c>
      <c r="C824" s="555">
        <v>9632</v>
      </c>
      <c r="D824" s="563">
        <v>20000</v>
      </c>
      <c r="E824" s="573">
        <v>197</v>
      </c>
      <c r="F824" s="563">
        <v>20000</v>
      </c>
      <c r="G824" s="87">
        <f t="shared" si="13"/>
        <v>0</v>
      </c>
      <c r="H824" s="87"/>
      <c r="I824" s="509"/>
      <c r="J824" s="398"/>
      <c r="K824" s="398"/>
      <c r="L824" s="398"/>
      <c r="M824" s="86"/>
    </row>
    <row r="825" spans="1:13" s="645" customFormat="1" ht="15.75" x14ac:dyDescent="0.25">
      <c r="A825" s="523">
        <v>814</v>
      </c>
      <c r="B825" s="523" t="s">
        <v>1091</v>
      </c>
      <c r="C825" s="555">
        <v>2062</v>
      </c>
      <c r="D825" s="563">
        <v>21000</v>
      </c>
      <c r="E825" s="573">
        <v>233</v>
      </c>
      <c r="F825" s="563">
        <v>21000</v>
      </c>
      <c r="G825" s="87">
        <f t="shared" si="13"/>
        <v>0</v>
      </c>
      <c r="H825" s="87"/>
      <c r="I825" s="509"/>
      <c r="J825" s="398"/>
      <c r="K825" s="398"/>
      <c r="L825" s="398"/>
      <c r="M825" s="86"/>
    </row>
    <row r="826" spans="1:13" s="645" customFormat="1" ht="15.75" x14ac:dyDescent="0.25">
      <c r="A826" s="523">
        <v>815</v>
      </c>
      <c r="B826" s="523" t="s">
        <v>1091</v>
      </c>
      <c r="C826" s="555">
        <v>5562</v>
      </c>
      <c r="D826" s="563">
        <v>10000</v>
      </c>
      <c r="E826" s="573">
        <v>111</v>
      </c>
      <c r="F826" s="563">
        <v>10000</v>
      </c>
      <c r="G826" s="87">
        <f t="shared" si="13"/>
        <v>0</v>
      </c>
      <c r="H826" s="87"/>
      <c r="I826" s="509"/>
      <c r="J826" s="398"/>
      <c r="K826" s="398"/>
      <c r="L826" s="398"/>
      <c r="M826" s="86"/>
    </row>
    <row r="827" spans="1:13" s="645" customFormat="1" ht="15.75" x14ac:dyDescent="0.25">
      <c r="A827" s="523">
        <v>816</v>
      </c>
      <c r="B827" s="523" t="s">
        <v>1091</v>
      </c>
      <c r="C827" s="555">
        <v>8963</v>
      </c>
      <c r="D827" s="563">
        <v>26000</v>
      </c>
      <c r="E827" s="573">
        <v>289</v>
      </c>
      <c r="F827" s="563">
        <v>26000</v>
      </c>
      <c r="G827" s="87">
        <f t="shared" si="13"/>
        <v>0</v>
      </c>
      <c r="H827" s="87"/>
      <c r="I827" s="509"/>
      <c r="J827" s="398"/>
      <c r="K827" s="398"/>
      <c r="L827" s="398"/>
      <c r="M827" s="86"/>
    </row>
    <row r="828" spans="1:13" s="645" customFormat="1" ht="15.75" x14ac:dyDescent="0.25">
      <c r="A828" s="523">
        <v>817</v>
      </c>
      <c r="B828" s="523" t="s">
        <v>1091</v>
      </c>
      <c r="C828" s="555">
        <v>4696</v>
      </c>
      <c r="D828" s="563">
        <v>30000</v>
      </c>
      <c r="E828" s="573">
        <v>334</v>
      </c>
      <c r="F828" s="563">
        <v>30000</v>
      </c>
      <c r="G828" s="87">
        <f t="shared" si="13"/>
        <v>0</v>
      </c>
      <c r="H828" s="87"/>
      <c r="I828" s="509"/>
      <c r="J828" s="398"/>
      <c r="K828" s="398"/>
      <c r="L828" s="398"/>
      <c r="M828" s="86"/>
    </row>
    <row r="829" spans="1:13" s="645" customFormat="1" ht="15.75" x14ac:dyDescent="0.25">
      <c r="A829" s="523">
        <v>818</v>
      </c>
      <c r="B829" s="523" t="s">
        <v>1091</v>
      </c>
      <c r="C829" s="555">
        <v>3807</v>
      </c>
      <c r="D829" s="563">
        <v>35000</v>
      </c>
      <c r="E829" s="573">
        <v>278</v>
      </c>
      <c r="F829" s="563">
        <v>35000</v>
      </c>
      <c r="G829" s="87">
        <f t="shared" si="13"/>
        <v>0</v>
      </c>
      <c r="H829" s="87"/>
      <c r="I829" s="509"/>
      <c r="J829" s="398"/>
      <c r="K829" s="398"/>
      <c r="L829" s="398"/>
      <c r="M829" s="86"/>
    </row>
    <row r="830" spans="1:13" s="645" customFormat="1" ht="15.75" x14ac:dyDescent="0.25">
      <c r="A830" s="523">
        <v>819</v>
      </c>
      <c r="B830" s="523" t="s">
        <v>1091</v>
      </c>
      <c r="C830" s="607" t="s">
        <v>1109</v>
      </c>
      <c r="D830" s="563">
        <v>20000</v>
      </c>
      <c r="E830" s="573">
        <v>222</v>
      </c>
      <c r="F830" s="563">
        <v>20000</v>
      </c>
      <c r="G830" s="87">
        <f t="shared" si="13"/>
        <v>0</v>
      </c>
      <c r="H830" s="87"/>
      <c r="I830" s="509"/>
      <c r="J830" s="398"/>
      <c r="K830" s="398"/>
      <c r="L830" s="398"/>
      <c r="M830" s="86"/>
    </row>
    <row r="831" spans="1:13" s="645" customFormat="1" ht="15.75" x14ac:dyDescent="0.25">
      <c r="A831" s="523">
        <v>820</v>
      </c>
      <c r="B831" s="523" t="s">
        <v>1091</v>
      </c>
      <c r="C831" s="555">
        <v>5112</v>
      </c>
      <c r="D831" s="563">
        <v>35000</v>
      </c>
      <c r="E831" s="573">
        <v>389</v>
      </c>
      <c r="F831" s="563">
        <v>35000</v>
      </c>
      <c r="G831" s="87">
        <f t="shared" si="13"/>
        <v>0</v>
      </c>
      <c r="H831" s="87"/>
      <c r="I831" s="509"/>
      <c r="J831" s="398"/>
      <c r="K831" s="398"/>
      <c r="L831" s="398"/>
      <c r="M831" s="86"/>
    </row>
    <row r="832" spans="1:13" s="645" customFormat="1" ht="15.75" x14ac:dyDescent="0.25">
      <c r="A832" s="523">
        <v>821</v>
      </c>
      <c r="B832" s="523" t="s">
        <v>1091</v>
      </c>
      <c r="C832" s="555">
        <v>7422</v>
      </c>
      <c r="D832" s="563">
        <v>35000</v>
      </c>
      <c r="E832" s="573">
        <v>389</v>
      </c>
      <c r="F832" s="563">
        <v>35000</v>
      </c>
      <c r="G832" s="87">
        <f t="shared" si="13"/>
        <v>0</v>
      </c>
      <c r="H832" s="87"/>
      <c r="I832" s="509"/>
      <c r="J832" s="398"/>
      <c r="K832" s="398"/>
      <c r="L832" s="398"/>
      <c r="M832" s="86"/>
    </row>
    <row r="833" spans="1:13" s="645" customFormat="1" ht="15.75" x14ac:dyDescent="0.25">
      <c r="A833" s="523">
        <v>822</v>
      </c>
      <c r="B833" s="523" t="s">
        <v>1091</v>
      </c>
      <c r="C833" s="555">
        <v>5271</v>
      </c>
      <c r="D833" s="563">
        <v>18514</v>
      </c>
      <c r="E833" s="573">
        <v>206</v>
      </c>
      <c r="F833" s="563">
        <v>18514</v>
      </c>
      <c r="G833" s="87">
        <f t="shared" si="13"/>
        <v>0</v>
      </c>
      <c r="H833" s="87"/>
      <c r="I833" s="509"/>
      <c r="J833" s="398"/>
      <c r="K833" s="398"/>
      <c r="L833" s="398"/>
      <c r="M833" s="86"/>
    </row>
    <row r="834" spans="1:13" s="645" customFormat="1" ht="15.75" x14ac:dyDescent="0.25">
      <c r="A834" s="523">
        <v>823</v>
      </c>
      <c r="B834" s="523" t="s">
        <v>1091</v>
      </c>
      <c r="C834" s="555">
        <v>3578</v>
      </c>
      <c r="D834" s="563">
        <v>50000</v>
      </c>
      <c r="E834" s="573">
        <v>557</v>
      </c>
      <c r="F834" s="563">
        <v>50000</v>
      </c>
      <c r="G834" s="87">
        <f t="shared" si="13"/>
        <v>0</v>
      </c>
      <c r="H834" s="87"/>
      <c r="I834" s="509"/>
      <c r="J834" s="398"/>
      <c r="K834" s="398"/>
      <c r="L834" s="398"/>
      <c r="M834" s="86"/>
    </row>
    <row r="835" spans="1:13" s="645" customFormat="1" ht="15.75" x14ac:dyDescent="0.25">
      <c r="A835" s="523">
        <v>824</v>
      </c>
      <c r="B835" s="523" t="s">
        <v>1091</v>
      </c>
      <c r="C835" s="555">
        <v>2779</v>
      </c>
      <c r="D835" s="563">
        <v>30000</v>
      </c>
      <c r="E835" s="573">
        <v>334</v>
      </c>
      <c r="F835" s="563">
        <v>30000</v>
      </c>
      <c r="G835" s="87">
        <f t="shared" si="13"/>
        <v>0</v>
      </c>
      <c r="H835" s="87"/>
      <c r="I835" s="509"/>
      <c r="J835" s="398"/>
      <c r="K835" s="398"/>
      <c r="L835" s="398"/>
      <c r="M835" s="86"/>
    </row>
    <row r="836" spans="1:13" s="645" customFormat="1" ht="15.75" x14ac:dyDescent="0.25">
      <c r="A836" s="523">
        <v>825</v>
      </c>
      <c r="B836" s="523" t="s">
        <v>1091</v>
      </c>
      <c r="C836" s="555">
        <v>9485</v>
      </c>
      <c r="D836" s="563">
        <v>15000</v>
      </c>
      <c r="E836" s="573">
        <v>167</v>
      </c>
      <c r="F836" s="563">
        <v>15000</v>
      </c>
      <c r="G836" s="87">
        <f t="shared" si="13"/>
        <v>0</v>
      </c>
      <c r="H836" s="87"/>
      <c r="I836" s="509"/>
      <c r="J836" s="398"/>
      <c r="K836" s="398"/>
      <c r="L836" s="398"/>
      <c r="M836" s="86"/>
    </row>
    <row r="837" spans="1:13" s="645" customFormat="1" ht="15.75" x14ac:dyDescent="0.25">
      <c r="A837" s="523">
        <v>826</v>
      </c>
      <c r="B837" s="523" t="s">
        <v>1091</v>
      </c>
      <c r="C837" s="555">
        <v>6504</v>
      </c>
      <c r="D837" s="563">
        <v>30000</v>
      </c>
      <c r="E837" s="573">
        <v>313</v>
      </c>
      <c r="F837" s="563">
        <v>30000</v>
      </c>
      <c r="G837" s="87">
        <f t="shared" si="13"/>
        <v>0</v>
      </c>
      <c r="H837" s="87"/>
      <c r="I837" s="509"/>
      <c r="J837" s="398"/>
      <c r="K837" s="398"/>
      <c r="L837" s="398"/>
      <c r="M837" s="86"/>
    </row>
    <row r="838" spans="1:13" s="645" customFormat="1" ht="15.75" x14ac:dyDescent="0.25">
      <c r="A838" s="523">
        <v>827</v>
      </c>
      <c r="B838" s="523" t="s">
        <v>1091</v>
      </c>
      <c r="C838" s="555">
        <v>5910</v>
      </c>
      <c r="D838" s="563">
        <v>20000</v>
      </c>
      <c r="E838" s="573">
        <v>222</v>
      </c>
      <c r="F838" s="563">
        <v>20000</v>
      </c>
      <c r="G838" s="87">
        <f t="shared" si="13"/>
        <v>0</v>
      </c>
      <c r="H838" s="87"/>
      <c r="I838" s="509"/>
      <c r="J838" s="398"/>
      <c r="K838" s="398"/>
      <c r="L838" s="398"/>
      <c r="M838" s="86"/>
    </row>
    <row r="839" spans="1:13" s="645" customFormat="1" ht="15.75" x14ac:dyDescent="0.25">
      <c r="A839" s="523">
        <v>828</v>
      </c>
      <c r="B839" s="523" t="s">
        <v>1091</v>
      </c>
      <c r="C839" s="555">
        <v>8920</v>
      </c>
      <c r="D839" s="563">
        <v>30000</v>
      </c>
      <c r="E839" s="573">
        <v>308</v>
      </c>
      <c r="F839" s="563">
        <v>30000</v>
      </c>
      <c r="G839" s="87">
        <f t="shared" si="13"/>
        <v>0</v>
      </c>
      <c r="H839" s="87"/>
      <c r="I839" s="509"/>
      <c r="J839" s="398"/>
      <c r="K839" s="398"/>
      <c r="L839" s="398"/>
      <c r="M839" s="86"/>
    </row>
    <row r="840" spans="1:13" s="645" customFormat="1" ht="15.75" x14ac:dyDescent="0.25">
      <c r="A840" s="523">
        <v>829</v>
      </c>
      <c r="B840" s="523" t="s">
        <v>1091</v>
      </c>
      <c r="C840" s="555">
        <v>2369</v>
      </c>
      <c r="D840" s="563">
        <v>57000</v>
      </c>
      <c r="E840" s="573">
        <v>635</v>
      </c>
      <c r="F840" s="563">
        <v>57000</v>
      </c>
      <c r="G840" s="87">
        <f t="shared" si="13"/>
        <v>0</v>
      </c>
      <c r="H840" s="87"/>
      <c r="I840" s="509"/>
      <c r="J840" s="398"/>
      <c r="K840" s="398"/>
      <c r="L840" s="398"/>
      <c r="M840" s="86"/>
    </row>
    <row r="841" spans="1:13" s="645" customFormat="1" ht="15.75" x14ac:dyDescent="0.25">
      <c r="A841" s="523">
        <v>830</v>
      </c>
      <c r="B841" s="523" t="s">
        <v>1091</v>
      </c>
      <c r="C841" s="555">
        <v>3375</v>
      </c>
      <c r="D841" s="563">
        <v>10000</v>
      </c>
      <c r="E841" s="573">
        <v>111</v>
      </c>
      <c r="F841" s="563">
        <v>10000</v>
      </c>
      <c r="G841" s="87">
        <f t="shared" si="13"/>
        <v>0</v>
      </c>
      <c r="H841" s="87"/>
      <c r="I841" s="509"/>
      <c r="J841" s="398"/>
      <c r="K841" s="398"/>
      <c r="L841" s="398"/>
      <c r="M841" s="86"/>
    </row>
    <row r="842" spans="1:13" s="645" customFormat="1" ht="15.75" x14ac:dyDescent="0.25">
      <c r="A842" s="523">
        <v>831</v>
      </c>
      <c r="B842" s="523" t="s">
        <v>1110</v>
      </c>
      <c r="C842" s="555">
        <v>5629</v>
      </c>
      <c r="D842" s="563">
        <v>19000</v>
      </c>
      <c r="E842" s="573">
        <v>211</v>
      </c>
      <c r="F842" s="563">
        <v>19000</v>
      </c>
      <c r="G842" s="87">
        <f t="shared" si="13"/>
        <v>0</v>
      </c>
      <c r="H842" s="87"/>
      <c r="I842" s="509"/>
      <c r="J842" s="398"/>
      <c r="K842" s="398"/>
      <c r="L842" s="398"/>
      <c r="M842" s="86"/>
    </row>
    <row r="843" spans="1:13" s="645" customFormat="1" ht="15.75" x14ac:dyDescent="0.25">
      <c r="A843" s="523">
        <v>832</v>
      </c>
      <c r="B843" s="523" t="s">
        <v>1110</v>
      </c>
      <c r="C843" s="555">
        <v>5711</v>
      </c>
      <c r="D843" s="563">
        <v>14000</v>
      </c>
      <c r="E843" s="573">
        <v>155</v>
      </c>
      <c r="F843" s="563">
        <v>14000</v>
      </c>
      <c r="G843" s="87">
        <f t="shared" si="13"/>
        <v>0</v>
      </c>
      <c r="H843" s="87"/>
      <c r="I843" s="509"/>
      <c r="J843" s="398"/>
      <c r="K843" s="398"/>
      <c r="L843" s="398"/>
      <c r="M843" s="86"/>
    </row>
    <row r="844" spans="1:13" s="645" customFormat="1" ht="15.75" x14ac:dyDescent="0.25">
      <c r="A844" s="523">
        <v>833</v>
      </c>
      <c r="B844" s="523" t="s">
        <v>1110</v>
      </c>
      <c r="C844" s="555">
        <v>6371</v>
      </c>
      <c r="D844" s="563">
        <v>18500</v>
      </c>
      <c r="E844" s="573">
        <v>205</v>
      </c>
      <c r="F844" s="563">
        <v>18500</v>
      </c>
      <c r="G844" s="87">
        <f t="shared" si="13"/>
        <v>0</v>
      </c>
      <c r="H844" s="87"/>
      <c r="I844" s="509"/>
      <c r="J844" s="398"/>
      <c r="K844" s="398"/>
      <c r="L844" s="398"/>
      <c r="M844" s="86"/>
    </row>
    <row r="845" spans="1:13" s="645" customFormat="1" ht="15.75" x14ac:dyDescent="0.25">
      <c r="A845" s="523">
        <v>834</v>
      </c>
      <c r="B845" s="523" t="s">
        <v>1110</v>
      </c>
      <c r="C845" s="555">
        <v>9277</v>
      </c>
      <c r="D845" s="563">
        <v>18000</v>
      </c>
      <c r="E845" s="573">
        <v>200</v>
      </c>
      <c r="F845" s="563">
        <v>18000</v>
      </c>
      <c r="G845" s="87">
        <f t="shared" si="13"/>
        <v>0</v>
      </c>
      <c r="H845" s="87"/>
      <c r="I845" s="509"/>
      <c r="J845" s="398"/>
      <c r="K845" s="398"/>
      <c r="L845" s="398"/>
      <c r="M845" s="86"/>
    </row>
    <row r="846" spans="1:13" s="645" customFormat="1" ht="15.75" x14ac:dyDescent="0.25">
      <c r="A846" s="523">
        <v>835</v>
      </c>
      <c r="B846" s="523" t="s">
        <v>1110</v>
      </c>
      <c r="C846" s="555">
        <v>3776</v>
      </c>
      <c r="D846" s="563">
        <v>18000</v>
      </c>
      <c r="E846" s="573">
        <v>200</v>
      </c>
      <c r="F846" s="563">
        <v>18000</v>
      </c>
      <c r="G846" s="87">
        <f t="shared" si="13"/>
        <v>0</v>
      </c>
      <c r="H846" s="87"/>
      <c r="I846" s="509"/>
      <c r="J846" s="398"/>
      <c r="K846" s="398"/>
      <c r="L846" s="398"/>
      <c r="M846" s="86"/>
    </row>
    <row r="847" spans="1:13" s="645" customFormat="1" ht="15.75" x14ac:dyDescent="0.25">
      <c r="A847" s="523">
        <v>836</v>
      </c>
      <c r="B847" s="523" t="s">
        <v>1110</v>
      </c>
      <c r="C847" s="555" t="s">
        <v>30</v>
      </c>
      <c r="D847" s="563">
        <v>9000</v>
      </c>
      <c r="E847" s="573">
        <v>100</v>
      </c>
      <c r="F847" s="563">
        <v>9000</v>
      </c>
      <c r="G847" s="87">
        <f t="shared" si="13"/>
        <v>0</v>
      </c>
      <c r="H847" s="87"/>
      <c r="I847" s="509"/>
      <c r="J847" s="398"/>
      <c r="K847" s="398"/>
      <c r="L847" s="398"/>
      <c r="M847" s="86"/>
    </row>
    <row r="848" spans="1:13" s="645" customFormat="1" ht="15.75" x14ac:dyDescent="0.25">
      <c r="A848" s="523">
        <v>837</v>
      </c>
      <c r="B848" s="523" t="s">
        <v>1110</v>
      </c>
      <c r="C848" s="555" t="s">
        <v>30</v>
      </c>
      <c r="D848" s="563">
        <v>4500</v>
      </c>
      <c r="E848" s="573">
        <v>50</v>
      </c>
      <c r="F848" s="563">
        <v>4500</v>
      </c>
      <c r="G848" s="87">
        <f t="shared" si="13"/>
        <v>0</v>
      </c>
      <c r="H848" s="87"/>
      <c r="I848" s="509"/>
      <c r="J848" s="398"/>
      <c r="K848" s="398"/>
      <c r="L848" s="398"/>
      <c r="M848" s="86"/>
    </row>
    <row r="849" spans="1:13" s="645" customFormat="1" ht="15.75" x14ac:dyDescent="0.25">
      <c r="A849" s="523">
        <v>838</v>
      </c>
      <c r="B849" s="523" t="s">
        <v>1110</v>
      </c>
      <c r="C849" s="555" t="s">
        <v>819</v>
      </c>
      <c r="D849" s="563">
        <v>3500</v>
      </c>
      <c r="E849" s="573">
        <v>38</v>
      </c>
      <c r="F849" s="563">
        <v>3500</v>
      </c>
      <c r="G849" s="87">
        <f t="shared" si="13"/>
        <v>0</v>
      </c>
      <c r="H849" s="87"/>
      <c r="I849" s="509"/>
      <c r="J849" s="398"/>
      <c r="K849" s="398"/>
      <c r="L849" s="398"/>
      <c r="M849" s="86"/>
    </row>
    <row r="850" spans="1:13" s="645" customFormat="1" ht="15.75" x14ac:dyDescent="0.25">
      <c r="A850" s="523">
        <v>839</v>
      </c>
      <c r="B850" s="523" t="s">
        <v>1110</v>
      </c>
      <c r="C850" s="555">
        <v>5152</v>
      </c>
      <c r="D850" s="563">
        <v>15000</v>
      </c>
      <c r="E850" s="573">
        <v>167</v>
      </c>
      <c r="F850" s="563">
        <v>15000</v>
      </c>
      <c r="G850" s="87">
        <f t="shared" si="13"/>
        <v>0</v>
      </c>
      <c r="H850" s="87"/>
      <c r="I850" s="509"/>
      <c r="J850" s="398"/>
      <c r="K850" s="398"/>
      <c r="L850" s="398"/>
      <c r="M850" s="86"/>
    </row>
    <row r="851" spans="1:13" s="645" customFormat="1" ht="15.75" x14ac:dyDescent="0.25">
      <c r="A851" s="523">
        <v>840</v>
      </c>
      <c r="B851" s="523" t="s">
        <v>1110</v>
      </c>
      <c r="C851" s="555">
        <v>6777</v>
      </c>
      <c r="D851" s="563">
        <v>25000</v>
      </c>
      <c r="E851" s="573">
        <v>264</v>
      </c>
      <c r="F851" s="563">
        <v>25000</v>
      </c>
      <c r="G851" s="87">
        <f t="shared" si="13"/>
        <v>0</v>
      </c>
      <c r="H851" s="87"/>
      <c r="I851" s="509"/>
      <c r="J851" s="398"/>
      <c r="K851" s="398"/>
      <c r="L851" s="398"/>
      <c r="M851" s="86"/>
    </row>
    <row r="852" spans="1:13" s="645" customFormat="1" ht="15.75" x14ac:dyDescent="0.25">
      <c r="A852" s="523">
        <v>841</v>
      </c>
      <c r="B852" s="523" t="s">
        <v>1110</v>
      </c>
      <c r="C852" s="555">
        <v>4289</v>
      </c>
      <c r="D852" s="563">
        <v>31000</v>
      </c>
      <c r="E852" s="573">
        <v>345</v>
      </c>
      <c r="F852" s="563">
        <v>31000</v>
      </c>
      <c r="G852" s="87">
        <f t="shared" si="13"/>
        <v>0</v>
      </c>
      <c r="H852" s="87"/>
      <c r="I852" s="509"/>
      <c r="J852" s="398"/>
      <c r="K852" s="398"/>
      <c r="L852" s="398"/>
      <c r="M852" s="86"/>
    </row>
    <row r="853" spans="1:13" s="645" customFormat="1" ht="15.75" x14ac:dyDescent="0.25">
      <c r="A853" s="523">
        <v>842</v>
      </c>
      <c r="B853" s="523" t="s">
        <v>1110</v>
      </c>
      <c r="C853" s="555">
        <v>2477</v>
      </c>
      <c r="D853" s="563">
        <v>28000</v>
      </c>
      <c r="E853" s="573">
        <v>311</v>
      </c>
      <c r="F853" s="563">
        <v>28000</v>
      </c>
      <c r="G853" s="87">
        <f t="shared" si="13"/>
        <v>0</v>
      </c>
      <c r="H853" s="87"/>
      <c r="I853" s="509"/>
      <c r="J853" s="398"/>
      <c r="K853" s="398"/>
      <c r="L853" s="398"/>
      <c r="M853" s="86"/>
    </row>
    <row r="854" spans="1:13" s="645" customFormat="1" ht="15.75" x14ac:dyDescent="0.25">
      <c r="A854" s="523">
        <v>843</v>
      </c>
      <c r="B854" s="523" t="s">
        <v>1110</v>
      </c>
      <c r="C854" s="555">
        <v>4477</v>
      </c>
      <c r="D854" s="563">
        <v>28000</v>
      </c>
      <c r="E854" s="573">
        <v>311</v>
      </c>
      <c r="F854" s="563">
        <v>28000</v>
      </c>
      <c r="G854" s="87">
        <f t="shared" si="13"/>
        <v>0</v>
      </c>
      <c r="H854" s="87"/>
      <c r="I854" s="509"/>
      <c r="J854" s="398"/>
      <c r="K854" s="398"/>
      <c r="L854" s="398"/>
      <c r="M854" s="86"/>
    </row>
    <row r="855" spans="1:13" s="645" customFormat="1" ht="15.75" x14ac:dyDescent="0.25">
      <c r="A855" s="523">
        <v>844</v>
      </c>
      <c r="B855" s="523" t="s">
        <v>1110</v>
      </c>
      <c r="C855" s="555">
        <v>3777</v>
      </c>
      <c r="D855" s="563">
        <v>28000</v>
      </c>
      <c r="E855" s="573">
        <v>311</v>
      </c>
      <c r="F855" s="563">
        <v>28000</v>
      </c>
      <c r="G855" s="87">
        <f t="shared" ref="G855:G918" si="14">D855-F855</f>
        <v>0</v>
      </c>
      <c r="H855" s="87"/>
      <c r="I855" s="509"/>
      <c r="J855" s="398"/>
      <c r="K855" s="398"/>
      <c r="L855" s="398"/>
      <c r="M855" s="86"/>
    </row>
    <row r="856" spans="1:13" s="645" customFormat="1" ht="15.75" x14ac:dyDescent="0.25">
      <c r="A856" s="523">
        <v>845</v>
      </c>
      <c r="B856" s="523" t="s">
        <v>1110</v>
      </c>
      <c r="C856" s="555">
        <v>2744</v>
      </c>
      <c r="D856" s="563">
        <v>25000</v>
      </c>
      <c r="E856" s="573">
        <v>278</v>
      </c>
      <c r="F856" s="563">
        <v>25000</v>
      </c>
      <c r="G856" s="87">
        <f t="shared" si="14"/>
        <v>0</v>
      </c>
      <c r="H856" s="87"/>
      <c r="I856" s="509"/>
      <c r="J856" s="398"/>
      <c r="K856" s="398"/>
      <c r="L856" s="398"/>
      <c r="M856" s="86"/>
    </row>
    <row r="857" spans="1:13" s="645" customFormat="1" ht="15.75" x14ac:dyDescent="0.25">
      <c r="A857" s="523">
        <v>846</v>
      </c>
      <c r="B857" s="523" t="s">
        <v>1110</v>
      </c>
      <c r="C857" s="607" t="s">
        <v>1111</v>
      </c>
      <c r="D857" s="563">
        <v>29000</v>
      </c>
      <c r="E857" s="573">
        <v>323</v>
      </c>
      <c r="F857" s="563">
        <v>29000</v>
      </c>
      <c r="G857" s="87">
        <f t="shared" si="14"/>
        <v>0</v>
      </c>
      <c r="H857" s="87"/>
      <c r="I857" s="509"/>
      <c r="J857" s="398"/>
      <c r="K857" s="398"/>
      <c r="L857" s="398"/>
      <c r="M857" s="86"/>
    </row>
    <row r="858" spans="1:13" s="645" customFormat="1" ht="15.75" x14ac:dyDescent="0.25">
      <c r="A858" s="523">
        <v>847</v>
      </c>
      <c r="B858" s="523" t="s">
        <v>1110</v>
      </c>
      <c r="C858" s="555">
        <v>4365</v>
      </c>
      <c r="D858" s="563">
        <v>24000</v>
      </c>
      <c r="E858" s="573">
        <v>248</v>
      </c>
      <c r="F858" s="563">
        <v>24000</v>
      </c>
      <c r="G858" s="87">
        <f t="shared" si="14"/>
        <v>0</v>
      </c>
      <c r="H858" s="87"/>
      <c r="I858" s="509"/>
      <c r="J858" s="398"/>
      <c r="K858" s="398"/>
      <c r="L858" s="398"/>
      <c r="M858" s="86"/>
    </row>
    <row r="859" spans="1:13" s="645" customFormat="1" ht="15.75" x14ac:dyDescent="0.25">
      <c r="A859" s="523">
        <v>848</v>
      </c>
      <c r="B859" s="523" t="s">
        <v>1110</v>
      </c>
      <c r="C859" s="555">
        <v>9659</v>
      </c>
      <c r="D859" s="563">
        <v>24000</v>
      </c>
      <c r="E859" s="573">
        <v>267</v>
      </c>
      <c r="F859" s="563">
        <v>24000</v>
      </c>
      <c r="G859" s="87">
        <f t="shared" si="14"/>
        <v>0</v>
      </c>
      <c r="H859" s="87"/>
      <c r="I859" s="509"/>
      <c r="J859" s="398"/>
      <c r="K859" s="398"/>
      <c r="L859" s="398"/>
      <c r="M859" s="86"/>
    </row>
    <row r="860" spans="1:13" s="645" customFormat="1" ht="15.75" x14ac:dyDescent="0.25">
      <c r="A860" s="523">
        <v>849</v>
      </c>
      <c r="B860" s="523" t="s">
        <v>1102</v>
      </c>
      <c r="C860" s="607" t="s">
        <v>861</v>
      </c>
      <c r="D860" s="563">
        <v>16000</v>
      </c>
      <c r="E860" s="573">
        <v>178</v>
      </c>
      <c r="F860" s="563">
        <v>16000</v>
      </c>
      <c r="G860" s="87">
        <f t="shared" si="14"/>
        <v>0</v>
      </c>
      <c r="H860" s="87"/>
      <c r="I860" s="509"/>
      <c r="J860" s="398"/>
      <c r="K860" s="398"/>
      <c r="L860" s="398"/>
      <c r="M860" s="86"/>
    </row>
    <row r="861" spans="1:13" s="645" customFormat="1" ht="15.75" x14ac:dyDescent="0.25">
      <c r="A861" s="523">
        <v>850</v>
      </c>
      <c r="B861" s="523" t="s">
        <v>1102</v>
      </c>
      <c r="C861" s="555">
        <v>7820</v>
      </c>
      <c r="D861" s="563">
        <v>16000</v>
      </c>
      <c r="E861" s="573">
        <v>178</v>
      </c>
      <c r="F861" s="563">
        <v>16000</v>
      </c>
      <c r="G861" s="87">
        <f t="shared" si="14"/>
        <v>0</v>
      </c>
      <c r="H861" s="87"/>
      <c r="I861" s="509"/>
      <c r="J861" s="398"/>
      <c r="K861" s="398"/>
      <c r="L861" s="398"/>
      <c r="M861" s="86"/>
    </row>
    <row r="862" spans="1:13" s="645" customFormat="1" ht="15.75" x14ac:dyDescent="0.25">
      <c r="A862" s="523">
        <v>851</v>
      </c>
      <c r="B862" s="523" t="s">
        <v>1102</v>
      </c>
      <c r="C862" s="555">
        <v>6735</v>
      </c>
      <c r="D862" s="563">
        <v>16000</v>
      </c>
      <c r="E862" s="573">
        <v>178</v>
      </c>
      <c r="F862" s="563">
        <v>16000</v>
      </c>
      <c r="G862" s="87">
        <f t="shared" si="14"/>
        <v>0</v>
      </c>
      <c r="H862" s="87"/>
      <c r="I862" s="509"/>
      <c r="J862" s="398"/>
      <c r="K862" s="398"/>
      <c r="L862" s="398"/>
      <c r="M862" s="86"/>
    </row>
    <row r="863" spans="1:13" s="645" customFormat="1" ht="15.75" x14ac:dyDescent="0.25">
      <c r="A863" s="523">
        <v>852</v>
      </c>
      <c r="B863" s="523" t="s">
        <v>1102</v>
      </c>
      <c r="C863" s="555">
        <v>6932</v>
      </c>
      <c r="D863" s="563">
        <v>16000</v>
      </c>
      <c r="E863" s="573">
        <v>178</v>
      </c>
      <c r="F863" s="563">
        <v>16000</v>
      </c>
      <c r="G863" s="87">
        <f t="shared" si="14"/>
        <v>0</v>
      </c>
      <c r="H863" s="87"/>
      <c r="I863" s="509"/>
      <c r="J863" s="398"/>
      <c r="K863" s="398"/>
      <c r="L863" s="398"/>
      <c r="M863" s="86"/>
    </row>
    <row r="864" spans="1:13" s="645" customFormat="1" ht="15.75" x14ac:dyDescent="0.25">
      <c r="A864" s="523">
        <v>853</v>
      </c>
      <c r="B864" s="523" t="s">
        <v>1102</v>
      </c>
      <c r="C864" s="555">
        <v>8820</v>
      </c>
      <c r="D864" s="563">
        <v>16000</v>
      </c>
      <c r="E864" s="573">
        <v>178</v>
      </c>
      <c r="F864" s="563">
        <v>16000</v>
      </c>
      <c r="G864" s="87">
        <f t="shared" si="14"/>
        <v>0</v>
      </c>
      <c r="H864" s="87"/>
      <c r="I864" s="509"/>
      <c r="J864" s="398"/>
      <c r="K864" s="398"/>
      <c r="L864" s="398"/>
      <c r="M864" s="86"/>
    </row>
    <row r="865" spans="1:13" s="645" customFormat="1" ht="15.75" x14ac:dyDescent="0.25">
      <c r="A865" s="523">
        <v>854</v>
      </c>
      <c r="B865" s="523" t="s">
        <v>1102</v>
      </c>
      <c r="C865" s="555">
        <v>9777</v>
      </c>
      <c r="D865" s="563">
        <v>20000</v>
      </c>
      <c r="E865" s="573">
        <v>222</v>
      </c>
      <c r="F865" s="563">
        <v>20000</v>
      </c>
      <c r="G865" s="87">
        <f t="shared" si="14"/>
        <v>0</v>
      </c>
      <c r="H865" s="87"/>
      <c r="I865" s="509"/>
      <c r="J865" s="398"/>
      <c r="K865" s="398"/>
      <c r="L865" s="398"/>
      <c r="M865" s="86"/>
    </row>
    <row r="866" spans="1:13" s="645" customFormat="1" ht="15.75" x14ac:dyDescent="0.25">
      <c r="A866" s="523">
        <v>855</v>
      </c>
      <c r="B866" s="523" t="s">
        <v>1102</v>
      </c>
      <c r="C866" s="555">
        <v>9876</v>
      </c>
      <c r="D866" s="563">
        <v>20000</v>
      </c>
      <c r="E866" s="573">
        <v>222</v>
      </c>
      <c r="F866" s="563">
        <v>20000</v>
      </c>
      <c r="G866" s="87">
        <f t="shared" si="14"/>
        <v>0</v>
      </c>
      <c r="H866" s="87"/>
      <c r="I866" s="509"/>
      <c r="J866" s="398"/>
      <c r="K866" s="398"/>
      <c r="L866" s="398"/>
      <c r="M866" s="86"/>
    </row>
    <row r="867" spans="1:13" s="645" customFormat="1" ht="15.75" x14ac:dyDescent="0.25">
      <c r="A867" s="523">
        <v>856</v>
      </c>
      <c r="B867" s="523" t="s">
        <v>1102</v>
      </c>
      <c r="C867" s="555">
        <v>9880</v>
      </c>
      <c r="D867" s="563">
        <v>25000</v>
      </c>
      <c r="E867" s="573">
        <v>278</v>
      </c>
      <c r="F867" s="563">
        <v>25000</v>
      </c>
      <c r="G867" s="87">
        <f t="shared" si="14"/>
        <v>0</v>
      </c>
      <c r="H867" s="87"/>
      <c r="I867" s="509"/>
      <c r="J867" s="398"/>
      <c r="K867" s="398"/>
      <c r="L867" s="398"/>
      <c r="M867" s="86"/>
    </row>
    <row r="868" spans="1:13" s="645" customFormat="1" ht="15.75" x14ac:dyDescent="0.25">
      <c r="A868" s="523">
        <v>857</v>
      </c>
      <c r="B868" s="523" t="s">
        <v>1102</v>
      </c>
      <c r="C868" s="607" t="s">
        <v>1117</v>
      </c>
      <c r="D868" s="563">
        <v>25000</v>
      </c>
      <c r="E868" s="573">
        <v>278</v>
      </c>
      <c r="F868" s="563">
        <v>25000</v>
      </c>
      <c r="G868" s="87">
        <f t="shared" si="14"/>
        <v>0</v>
      </c>
      <c r="H868" s="87"/>
      <c r="I868" s="509"/>
      <c r="J868" s="398"/>
      <c r="K868" s="398"/>
      <c r="L868" s="398"/>
      <c r="M868" s="86"/>
    </row>
    <row r="869" spans="1:13" s="645" customFormat="1" ht="15.75" x14ac:dyDescent="0.25">
      <c r="A869" s="523">
        <v>858</v>
      </c>
      <c r="B869" s="523" t="s">
        <v>1102</v>
      </c>
      <c r="C869" s="607" t="s">
        <v>995</v>
      </c>
      <c r="D869" s="563">
        <v>25000</v>
      </c>
      <c r="E869" s="573">
        <v>278</v>
      </c>
      <c r="F869" s="563">
        <v>25000</v>
      </c>
      <c r="G869" s="87">
        <f t="shared" si="14"/>
        <v>0</v>
      </c>
      <c r="H869" s="87"/>
      <c r="I869" s="509"/>
      <c r="J869" s="398"/>
      <c r="K869" s="398"/>
      <c r="L869" s="398"/>
      <c r="M869" s="86"/>
    </row>
    <row r="870" spans="1:13" s="645" customFormat="1" ht="15.75" x14ac:dyDescent="0.25">
      <c r="A870" s="523">
        <v>859</v>
      </c>
      <c r="B870" s="523" t="s">
        <v>1102</v>
      </c>
      <c r="C870" s="555">
        <v>5412</v>
      </c>
      <c r="D870" s="563">
        <v>25000</v>
      </c>
      <c r="E870" s="573">
        <v>278</v>
      </c>
      <c r="F870" s="563">
        <v>25000</v>
      </c>
      <c r="G870" s="87">
        <f t="shared" si="14"/>
        <v>0</v>
      </c>
      <c r="H870" s="87"/>
      <c r="I870" s="509"/>
      <c r="J870" s="398"/>
      <c r="K870" s="398"/>
      <c r="L870" s="398"/>
      <c r="M870" s="86"/>
    </row>
    <row r="871" spans="1:13" s="645" customFormat="1" ht="15.75" x14ac:dyDescent="0.25">
      <c r="A871" s="523">
        <v>860</v>
      </c>
      <c r="B871" s="523" t="s">
        <v>1102</v>
      </c>
      <c r="C871" s="607" t="s">
        <v>994</v>
      </c>
      <c r="D871" s="563">
        <v>25000</v>
      </c>
      <c r="E871" s="573">
        <v>278</v>
      </c>
      <c r="F871" s="563">
        <v>25000</v>
      </c>
      <c r="G871" s="87">
        <f t="shared" si="14"/>
        <v>0</v>
      </c>
      <c r="H871" s="87"/>
      <c r="I871" s="509"/>
      <c r="J871" s="398"/>
      <c r="K871" s="398"/>
      <c r="L871" s="398"/>
      <c r="M871" s="86"/>
    </row>
    <row r="872" spans="1:13" s="645" customFormat="1" ht="15.75" x14ac:dyDescent="0.25">
      <c r="A872" s="523">
        <v>861</v>
      </c>
      <c r="B872" s="523" t="s">
        <v>1102</v>
      </c>
      <c r="C872" s="555">
        <v>9705</v>
      </c>
      <c r="D872" s="563">
        <v>30000</v>
      </c>
      <c r="E872" s="573">
        <v>311</v>
      </c>
      <c r="F872" s="563">
        <v>30000</v>
      </c>
      <c r="G872" s="87">
        <f t="shared" si="14"/>
        <v>0</v>
      </c>
      <c r="H872" s="87"/>
      <c r="I872" s="509"/>
      <c r="J872" s="398"/>
      <c r="K872" s="398"/>
      <c r="L872" s="398"/>
      <c r="M872" s="86"/>
    </row>
    <row r="873" spans="1:13" s="645" customFormat="1" ht="15.75" x14ac:dyDescent="0.25">
      <c r="A873" s="523">
        <v>862</v>
      </c>
      <c r="B873" s="523" t="s">
        <v>1102</v>
      </c>
      <c r="C873" s="555">
        <v>3556</v>
      </c>
      <c r="D873" s="563">
        <v>30000</v>
      </c>
      <c r="E873" s="573">
        <v>327</v>
      </c>
      <c r="F873" s="563">
        <v>30000</v>
      </c>
      <c r="G873" s="87">
        <f t="shared" si="14"/>
        <v>0</v>
      </c>
      <c r="H873" s="87"/>
      <c r="I873" s="509"/>
      <c r="J873" s="398"/>
      <c r="K873" s="398"/>
      <c r="L873" s="398"/>
      <c r="M873" s="86"/>
    </row>
    <row r="874" spans="1:13" s="645" customFormat="1" ht="15.75" x14ac:dyDescent="0.25">
      <c r="A874" s="523">
        <v>863</v>
      </c>
      <c r="B874" s="523" t="s">
        <v>1102</v>
      </c>
      <c r="C874" s="555">
        <v>4059</v>
      </c>
      <c r="D874" s="563">
        <v>10000</v>
      </c>
      <c r="E874" s="573">
        <v>111</v>
      </c>
      <c r="F874" s="563">
        <v>10000</v>
      </c>
      <c r="G874" s="87">
        <f t="shared" si="14"/>
        <v>0</v>
      </c>
      <c r="H874" s="87"/>
      <c r="I874" s="509"/>
      <c r="J874" s="398"/>
      <c r="K874" s="398"/>
      <c r="L874" s="398"/>
      <c r="M874" s="86"/>
    </row>
    <row r="875" spans="1:13" s="645" customFormat="1" ht="15.75" x14ac:dyDescent="0.25">
      <c r="A875" s="523">
        <v>864</v>
      </c>
      <c r="B875" s="523" t="s">
        <v>1102</v>
      </c>
      <c r="C875" s="555" t="s">
        <v>30</v>
      </c>
      <c r="D875" s="563">
        <v>5000</v>
      </c>
      <c r="E875" s="573">
        <v>55</v>
      </c>
      <c r="F875" s="563">
        <v>5000</v>
      </c>
      <c r="G875" s="87">
        <f t="shared" si="14"/>
        <v>0</v>
      </c>
      <c r="H875" s="87"/>
      <c r="I875" s="509"/>
      <c r="J875" s="398"/>
      <c r="K875" s="398"/>
      <c r="L875" s="398"/>
      <c r="M875" s="86"/>
    </row>
    <row r="876" spans="1:13" s="645" customFormat="1" ht="15.75" x14ac:dyDescent="0.25">
      <c r="A876" s="523">
        <v>865</v>
      </c>
      <c r="B876" s="523" t="s">
        <v>1102</v>
      </c>
      <c r="C876" s="555">
        <v>2559</v>
      </c>
      <c r="D876" s="563">
        <v>25000</v>
      </c>
      <c r="E876" s="573">
        <v>278</v>
      </c>
      <c r="F876" s="563">
        <v>25000</v>
      </c>
      <c r="G876" s="87">
        <f t="shared" si="14"/>
        <v>0</v>
      </c>
      <c r="H876" s="87"/>
      <c r="I876" s="509"/>
      <c r="J876" s="398"/>
      <c r="K876" s="398"/>
      <c r="L876" s="398"/>
      <c r="M876" s="86"/>
    </row>
    <row r="877" spans="1:13" s="645" customFormat="1" ht="15.75" x14ac:dyDescent="0.25">
      <c r="A877" s="523">
        <v>866</v>
      </c>
      <c r="B877" s="523" t="s">
        <v>1102</v>
      </c>
      <c r="C877" s="555" t="s">
        <v>66</v>
      </c>
      <c r="D877" s="563">
        <v>210</v>
      </c>
      <c r="E877" s="573" t="s">
        <v>66</v>
      </c>
      <c r="F877" s="563">
        <v>210</v>
      </c>
      <c r="G877" s="87">
        <f t="shared" si="14"/>
        <v>0</v>
      </c>
      <c r="H877" s="87"/>
      <c r="I877" s="509"/>
      <c r="J877" s="398"/>
      <c r="K877" s="398"/>
      <c r="L877" s="398"/>
      <c r="M877" s="86"/>
    </row>
    <row r="878" spans="1:13" s="645" customFormat="1" ht="15.75" x14ac:dyDescent="0.25">
      <c r="A878" s="523">
        <v>867</v>
      </c>
      <c r="B878" s="523" t="s">
        <v>1102</v>
      </c>
      <c r="C878" s="555">
        <v>9118</v>
      </c>
      <c r="D878" s="563">
        <v>9000</v>
      </c>
      <c r="E878" s="573">
        <v>100</v>
      </c>
      <c r="F878" s="563">
        <v>9000</v>
      </c>
      <c r="G878" s="87">
        <f t="shared" si="14"/>
        <v>0</v>
      </c>
      <c r="H878" s="87"/>
      <c r="I878" s="509"/>
      <c r="J878" s="398"/>
      <c r="K878" s="398"/>
      <c r="L878" s="398"/>
      <c r="M878" s="86"/>
    </row>
    <row r="879" spans="1:13" s="645" customFormat="1" ht="15.75" x14ac:dyDescent="0.25">
      <c r="A879" s="523">
        <v>868</v>
      </c>
      <c r="B879" s="523" t="s">
        <v>1102</v>
      </c>
      <c r="C879" s="607" t="s">
        <v>1118</v>
      </c>
      <c r="D879" s="563">
        <v>10000</v>
      </c>
      <c r="E879" s="573">
        <v>111</v>
      </c>
      <c r="F879" s="563">
        <v>10000</v>
      </c>
      <c r="G879" s="87">
        <f t="shared" si="14"/>
        <v>0</v>
      </c>
      <c r="H879" s="87"/>
      <c r="I879" s="509"/>
      <c r="J879" s="398"/>
      <c r="K879" s="398"/>
      <c r="L879" s="398"/>
      <c r="M879" s="86"/>
    </row>
    <row r="880" spans="1:13" s="645" customFormat="1" ht="15.75" x14ac:dyDescent="0.25">
      <c r="A880" s="523">
        <v>869</v>
      </c>
      <c r="B880" s="523" t="s">
        <v>1102</v>
      </c>
      <c r="C880" s="555">
        <v>4911</v>
      </c>
      <c r="D880" s="563">
        <v>12000</v>
      </c>
      <c r="E880" s="573">
        <v>133</v>
      </c>
      <c r="F880" s="563">
        <v>12000</v>
      </c>
      <c r="G880" s="87">
        <f t="shared" si="14"/>
        <v>0</v>
      </c>
      <c r="H880" s="87"/>
      <c r="I880" s="509"/>
      <c r="J880" s="398"/>
      <c r="K880" s="398"/>
      <c r="L880" s="398"/>
      <c r="M880" s="86"/>
    </row>
    <row r="881" spans="1:13" s="645" customFormat="1" ht="15.75" x14ac:dyDescent="0.25">
      <c r="A881" s="523">
        <v>870</v>
      </c>
      <c r="B881" s="523" t="s">
        <v>1102</v>
      </c>
      <c r="C881" s="555">
        <v>9192</v>
      </c>
      <c r="D881" s="563">
        <v>15000</v>
      </c>
      <c r="E881" s="573">
        <v>167</v>
      </c>
      <c r="F881" s="563">
        <v>15000</v>
      </c>
      <c r="G881" s="87">
        <f t="shared" si="14"/>
        <v>0</v>
      </c>
      <c r="H881" s="87"/>
      <c r="I881" s="509"/>
      <c r="J881" s="398"/>
      <c r="K881" s="398"/>
      <c r="L881" s="398"/>
      <c r="M881" s="86"/>
    </row>
    <row r="882" spans="1:13" s="645" customFormat="1" ht="15.75" x14ac:dyDescent="0.25">
      <c r="A882" s="523">
        <v>871</v>
      </c>
      <c r="B882" s="523" t="s">
        <v>1102</v>
      </c>
      <c r="C882" s="555">
        <v>5013</v>
      </c>
      <c r="D882" s="563">
        <v>18000</v>
      </c>
      <c r="E882" s="573">
        <v>200</v>
      </c>
      <c r="F882" s="563">
        <v>18000</v>
      </c>
      <c r="G882" s="87">
        <f t="shared" si="14"/>
        <v>0</v>
      </c>
      <c r="H882" s="87"/>
      <c r="I882" s="509"/>
      <c r="J882" s="398"/>
      <c r="K882" s="398"/>
      <c r="L882" s="398"/>
      <c r="M882" s="86"/>
    </row>
    <row r="883" spans="1:13" s="645" customFormat="1" ht="15.75" x14ac:dyDescent="0.25">
      <c r="A883" s="523">
        <v>872</v>
      </c>
      <c r="B883" s="523" t="s">
        <v>1102</v>
      </c>
      <c r="C883" s="555">
        <v>5364</v>
      </c>
      <c r="D883" s="563">
        <v>20000</v>
      </c>
      <c r="E883" s="573">
        <v>222</v>
      </c>
      <c r="F883" s="563">
        <v>20000</v>
      </c>
      <c r="G883" s="87">
        <f t="shared" si="14"/>
        <v>0</v>
      </c>
      <c r="H883" s="87"/>
      <c r="I883" s="509"/>
      <c r="J883" s="398"/>
      <c r="K883" s="398"/>
      <c r="L883" s="398"/>
      <c r="M883" s="86"/>
    </row>
    <row r="884" spans="1:13" s="645" customFormat="1" ht="15.75" x14ac:dyDescent="0.25">
      <c r="A884" s="523">
        <v>873</v>
      </c>
      <c r="B884" s="523" t="s">
        <v>1102</v>
      </c>
      <c r="C884" s="555">
        <v>3241</v>
      </c>
      <c r="D884" s="563">
        <v>21800</v>
      </c>
      <c r="E884" s="573">
        <v>242</v>
      </c>
      <c r="F884" s="563">
        <v>21800</v>
      </c>
      <c r="G884" s="87">
        <f t="shared" si="14"/>
        <v>0</v>
      </c>
      <c r="H884" s="87"/>
      <c r="I884" s="509"/>
      <c r="J884" s="398"/>
      <c r="K884" s="398"/>
      <c r="L884" s="398"/>
      <c r="M884" s="86"/>
    </row>
    <row r="885" spans="1:13" s="645" customFormat="1" ht="15.75" x14ac:dyDescent="0.25">
      <c r="A885" s="523">
        <v>874</v>
      </c>
      <c r="B885" s="523" t="s">
        <v>1102</v>
      </c>
      <c r="C885" s="555">
        <v>2528</v>
      </c>
      <c r="D885" s="563">
        <v>22000</v>
      </c>
      <c r="E885" s="573">
        <v>245</v>
      </c>
      <c r="F885" s="563">
        <v>22000</v>
      </c>
      <c r="G885" s="87">
        <f t="shared" si="14"/>
        <v>0</v>
      </c>
      <c r="H885" s="87"/>
      <c r="I885" s="509"/>
      <c r="J885" s="398"/>
      <c r="K885" s="398"/>
      <c r="L885" s="398"/>
      <c r="M885" s="86"/>
    </row>
    <row r="886" spans="1:13" s="645" customFormat="1" ht="15.75" x14ac:dyDescent="0.25">
      <c r="A886" s="523">
        <v>875</v>
      </c>
      <c r="B886" s="523" t="s">
        <v>1102</v>
      </c>
      <c r="C886" s="555">
        <v>6469</v>
      </c>
      <c r="D886" s="563">
        <v>28000</v>
      </c>
      <c r="E886" s="573">
        <v>311</v>
      </c>
      <c r="F886" s="563">
        <v>28000</v>
      </c>
      <c r="G886" s="87">
        <f t="shared" si="14"/>
        <v>0</v>
      </c>
      <c r="H886" s="87"/>
      <c r="I886" s="509"/>
      <c r="J886" s="398"/>
      <c r="K886" s="398"/>
      <c r="L886" s="398"/>
      <c r="M886" s="86"/>
    </row>
    <row r="887" spans="1:13" s="645" customFormat="1" ht="15.75" x14ac:dyDescent="0.25">
      <c r="A887" s="523">
        <v>876</v>
      </c>
      <c r="B887" s="523" t="s">
        <v>1102</v>
      </c>
      <c r="C887" s="555">
        <v>3413</v>
      </c>
      <c r="D887" s="563">
        <v>28000</v>
      </c>
      <c r="E887" s="573">
        <v>311</v>
      </c>
      <c r="F887" s="563">
        <v>28000</v>
      </c>
      <c r="G887" s="87">
        <f t="shared" si="14"/>
        <v>0</v>
      </c>
      <c r="H887" s="87"/>
      <c r="I887" s="509"/>
      <c r="J887" s="398"/>
      <c r="K887" s="398"/>
      <c r="L887" s="398"/>
      <c r="M887" s="86"/>
    </row>
    <row r="888" spans="1:13" s="645" customFormat="1" ht="15.75" x14ac:dyDescent="0.25">
      <c r="A888" s="523">
        <v>877</v>
      </c>
      <c r="B888" s="523" t="s">
        <v>1102</v>
      </c>
      <c r="C888" s="555">
        <v>7714</v>
      </c>
      <c r="D888" s="563">
        <v>30000</v>
      </c>
      <c r="E888" s="573">
        <v>334</v>
      </c>
      <c r="F888" s="563">
        <v>30000</v>
      </c>
      <c r="G888" s="87">
        <f t="shared" si="14"/>
        <v>0</v>
      </c>
      <c r="H888" s="87"/>
      <c r="I888" s="509"/>
      <c r="J888" s="398"/>
      <c r="K888" s="398"/>
      <c r="L888" s="398"/>
      <c r="M888" s="86"/>
    </row>
    <row r="889" spans="1:13" s="645" customFormat="1" ht="15.75" x14ac:dyDescent="0.25">
      <c r="A889" s="523">
        <v>878</v>
      </c>
      <c r="B889" s="523" t="s">
        <v>1102</v>
      </c>
      <c r="C889" s="555">
        <v>3998</v>
      </c>
      <c r="D889" s="563">
        <v>30000</v>
      </c>
      <c r="E889" s="573">
        <v>320</v>
      </c>
      <c r="F889" s="563">
        <v>30000</v>
      </c>
      <c r="G889" s="87">
        <f t="shared" si="14"/>
        <v>0</v>
      </c>
      <c r="H889" s="87"/>
      <c r="I889" s="509"/>
      <c r="J889" s="398"/>
      <c r="K889" s="398"/>
      <c r="L889" s="398"/>
      <c r="M889" s="86"/>
    </row>
    <row r="890" spans="1:13" s="645" customFormat="1" ht="15.75" x14ac:dyDescent="0.25">
      <c r="A890" s="523">
        <v>879</v>
      </c>
      <c r="B890" s="523" t="s">
        <v>1102</v>
      </c>
      <c r="C890" s="555">
        <v>5744</v>
      </c>
      <c r="D890" s="563">
        <v>30000</v>
      </c>
      <c r="E890" s="573">
        <v>320</v>
      </c>
      <c r="F890" s="563">
        <v>30000</v>
      </c>
      <c r="G890" s="87">
        <f t="shared" si="14"/>
        <v>0</v>
      </c>
      <c r="H890" s="87"/>
      <c r="I890" s="509"/>
      <c r="J890" s="398"/>
      <c r="K890" s="398"/>
      <c r="L890" s="398"/>
      <c r="M890" s="86"/>
    </row>
    <row r="891" spans="1:13" s="645" customFormat="1" ht="15.75" x14ac:dyDescent="0.25">
      <c r="A891" s="523">
        <v>880</v>
      </c>
      <c r="B891" s="523" t="s">
        <v>1102</v>
      </c>
      <c r="C891" s="555">
        <v>9773</v>
      </c>
      <c r="D891" s="563">
        <v>25000</v>
      </c>
      <c r="E891" s="573">
        <v>278</v>
      </c>
      <c r="F891" s="563">
        <v>25000</v>
      </c>
      <c r="G891" s="87">
        <f t="shared" si="14"/>
        <v>0</v>
      </c>
      <c r="H891" s="87"/>
      <c r="I891" s="509"/>
      <c r="J891" s="398"/>
      <c r="K891" s="398"/>
      <c r="L891" s="398"/>
      <c r="M891" s="86"/>
    </row>
    <row r="892" spans="1:13" s="645" customFormat="1" ht="15.75" x14ac:dyDescent="0.25">
      <c r="A892" s="523">
        <v>881</v>
      </c>
      <c r="B892" s="523" t="s">
        <v>1102</v>
      </c>
      <c r="C892" s="555">
        <v>3577</v>
      </c>
      <c r="D892" s="563">
        <v>25000</v>
      </c>
      <c r="E892" s="573">
        <v>278</v>
      </c>
      <c r="F892" s="563">
        <v>25000</v>
      </c>
      <c r="G892" s="87">
        <f t="shared" si="14"/>
        <v>0</v>
      </c>
      <c r="H892" s="87"/>
      <c r="I892" s="509"/>
      <c r="J892" s="398"/>
      <c r="K892" s="398"/>
      <c r="L892" s="398"/>
      <c r="M892" s="86"/>
    </row>
    <row r="893" spans="1:13" s="645" customFormat="1" ht="15.75" x14ac:dyDescent="0.25">
      <c r="A893" s="523">
        <v>882</v>
      </c>
      <c r="B893" s="523" t="s">
        <v>1102</v>
      </c>
      <c r="C893" s="555">
        <v>3657</v>
      </c>
      <c r="D893" s="563">
        <v>25000</v>
      </c>
      <c r="E893" s="573">
        <v>278</v>
      </c>
      <c r="F893" s="563">
        <v>25000</v>
      </c>
      <c r="G893" s="87">
        <f t="shared" si="14"/>
        <v>0</v>
      </c>
      <c r="H893" s="87"/>
      <c r="I893" s="509"/>
      <c r="J893" s="398"/>
      <c r="K893" s="398"/>
      <c r="L893" s="398"/>
      <c r="M893" s="86"/>
    </row>
    <row r="894" spans="1:13" s="645" customFormat="1" ht="15.75" x14ac:dyDescent="0.25">
      <c r="A894" s="523">
        <v>883</v>
      </c>
      <c r="B894" s="523" t="s">
        <v>1102</v>
      </c>
      <c r="C894" s="555">
        <v>6764</v>
      </c>
      <c r="D894" s="563">
        <v>25000</v>
      </c>
      <c r="E894" s="573">
        <v>278</v>
      </c>
      <c r="F894" s="563">
        <v>25000</v>
      </c>
      <c r="G894" s="87">
        <f t="shared" si="14"/>
        <v>0</v>
      </c>
      <c r="H894" s="87"/>
      <c r="I894" s="509"/>
      <c r="J894" s="398"/>
      <c r="K894" s="398"/>
      <c r="L894" s="398"/>
      <c r="M894" s="86"/>
    </row>
    <row r="895" spans="1:13" s="645" customFormat="1" ht="15.75" x14ac:dyDescent="0.25">
      <c r="A895" s="523">
        <v>884</v>
      </c>
      <c r="B895" s="523" t="s">
        <v>1102</v>
      </c>
      <c r="C895" s="555">
        <v>8277</v>
      </c>
      <c r="D895" s="563">
        <v>25000</v>
      </c>
      <c r="E895" s="573">
        <v>278</v>
      </c>
      <c r="F895" s="563">
        <v>25000</v>
      </c>
      <c r="G895" s="87">
        <f t="shared" si="14"/>
        <v>0</v>
      </c>
      <c r="H895" s="87"/>
      <c r="I895" s="509"/>
      <c r="J895" s="398"/>
      <c r="K895" s="398"/>
      <c r="L895" s="398"/>
      <c r="M895" s="86"/>
    </row>
    <row r="896" spans="1:13" s="645" customFormat="1" ht="15.75" x14ac:dyDescent="0.25">
      <c r="A896" s="523">
        <v>885</v>
      </c>
      <c r="B896" s="523" t="s">
        <v>1102</v>
      </c>
      <c r="C896" s="555">
        <v>1477</v>
      </c>
      <c r="D896" s="563">
        <v>25000</v>
      </c>
      <c r="E896" s="573">
        <v>278</v>
      </c>
      <c r="F896" s="563">
        <v>25000</v>
      </c>
      <c r="G896" s="87">
        <f t="shared" si="14"/>
        <v>0</v>
      </c>
      <c r="H896" s="87"/>
      <c r="I896" s="509"/>
      <c r="J896" s="398"/>
      <c r="K896" s="398"/>
      <c r="L896" s="398"/>
      <c r="M896" s="86"/>
    </row>
    <row r="897" spans="1:13" s="645" customFormat="1" ht="15.75" x14ac:dyDescent="0.25">
      <c r="A897" s="523">
        <v>886</v>
      </c>
      <c r="B897" s="523" t="s">
        <v>1102</v>
      </c>
      <c r="C897" s="555">
        <v>8577</v>
      </c>
      <c r="D897" s="563">
        <v>25000</v>
      </c>
      <c r="E897" s="573">
        <v>278</v>
      </c>
      <c r="F897" s="563">
        <v>25000</v>
      </c>
      <c r="G897" s="87">
        <f t="shared" si="14"/>
        <v>0</v>
      </c>
      <c r="H897" s="87"/>
      <c r="I897" s="509"/>
      <c r="J897" s="398"/>
      <c r="K897" s="398"/>
      <c r="L897" s="398"/>
      <c r="M897" s="86"/>
    </row>
    <row r="898" spans="1:13" s="645" customFormat="1" ht="15.75" x14ac:dyDescent="0.25">
      <c r="A898" s="523">
        <v>887</v>
      </c>
      <c r="B898" s="523" t="s">
        <v>1102</v>
      </c>
      <c r="C898" s="555">
        <v>8557</v>
      </c>
      <c r="D898" s="563">
        <v>25000</v>
      </c>
      <c r="E898" s="573">
        <v>278</v>
      </c>
      <c r="F898" s="563">
        <v>25000</v>
      </c>
      <c r="G898" s="87">
        <f t="shared" si="14"/>
        <v>0</v>
      </c>
      <c r="H898" s="87"/>
      <c r="I898" s="509"/>
      <c r="J898" s="398"/>
      <c r="K898" s="398"/>
      <c r="L898" s="398"/>
      <c r="M898" s="86"/>
    </row>
    <row r="899" spans="1:13" s="645" customFormat="1" ht="15.75" x14ac:dyDescent="0.25">
      <c r="A899" s="523">
        <v>888</v>
      </c>
      <c r="B899" s="523" t="s">
        <v>1102</v>
      </c>
      <c r="C899" s="555">
        <v>2557</v>
      </c>
      <c r="D899" s="563">
        <v>25000</v>
      </c>
      <c r="E899" s="573">
        <v>250</v>
      </c>
      <c r="F899" s="563">
        <v>25000</v>
      </c>
      <c r="G899" s="87">
        <f t="shared" si="14"/>
        <v>0</v>
      </c>
      <c r="H899" s="87"/>
      <c r="I899" s="509"/>
      <c r="J899" s="398"/>
      <c r="K899" s="398"/>
      <c r="L899" s="398"/>
      <c r="M899" s="86"/>
    </row>
    <row r="900" spans="1:13" s="645" customFormat="1" ht="15.75" x14ac:dyDescent="0.25">
      <c r="A900" s="523">
        <v>889</v>
      </c>
      <c r="B900" s="523" t="s">
        <v>1102</v>
      </c>
      <c r="C900" s="555">
        <v>6192</v>
      </c>
      <c r="D900" s="563">
        <v>23000</v>
      </c>
      <c r="E900" s="573">
        <v>239</v>
      </c>
      <c r="F900" s="563">
        <v>23000</v>
      </c>
      <c r="G900" s="87">
        <f t="shared" si="14"/>
        <v>0</v>
      </c>
      <c r="H900" s="87"/>
      <c r="I900" s="509"/>
      <c r="J900" s="398"/>
      <c r="K900" s="398"/>
      <c r="L900" s="398"/>
      <c r="M900" s="86"/>
    </row>
    <row r="901" spans="1:13" s="645" customFormat="1" ht="15.75" x14ac:dyDescent="0.25">
      <c r="A901" s="523">
        <v>890</v>
      </c>
      <c r="B901" s="523" t="s">
        <v>1102</v>
      </c>
      <c r="C901" s="555">
        <v>2168</v>
      </c>
      <c r="D901" s="563">
        <v>25000</v>
      </c>
      <c r="E901" s="573">
        <v>278</v>
      </c>
      <c r="F901" s="563">
        <v>25000</v>
      </c>
      <c r="G901" s="87">
        <f t="shared" si="14"/>
        <v>0</v>
      </c>
      <c r="H901" s="87"/>
      <c r="I901" s="509"/>
      <c r="J901" s="398"/>
      <c r="K901" s="398"/>
      <c r="L901" s="398"/>
      <c r="M901" s="86"/>
    </row>
    <row r="902" spans="1:13" s="645" customFormat="1" ht="15.75" x14ac:dyDescent="0.25">
      <c r="A902" s="523">
        <v>891</v>
      </c>
      <c r="B902" s="523" t="s">
        <v>1102</v>
      </c>
      <c r="C902" s="555">
        <v>9484</v>
      </c>
      <c r="D902" s="563">
        <v>15000</v>
      </c>
      <c r="E902" s="573">
        <v>167</v>
      </c>
      <c r="F902" s="563">
        <v>15000</v>
      </c>
      <c r="G902" s="87">
        <f t="shared" si="14"/>
        <v>0</v>
      </c>
      <c r="H902" s="87"/>
      <c r="I902" s="509"/>
      <c r="J902" s="398"/>
      <c r="K902" s="398"/>
      <c r="L902" s="398"/>
      <c r="M902" s="86"/>
    </row>
    <row r="903" spans="1:13" s="645" customFormat="1" ht="15.75" x14ac:dyDescent="0.25">
      <c r="A903" s="523">
        <v>892</v>
      </c>
      <c r="B903" s="523" t="s">
        <v>1103</v>
      </c>
      <c r="C903" s="555">
        <v>9838</v>
      </c>
      <c r="D903" s="563">
        <v>32000</v>
      </c>
      <c r="E903" s="573">
        <v>334</v>
      </c>
      <c r="F903" s="563">
        <v>32000</v>
      </c>
      <c r="G903" s="87">
        <f t="shared" si="14"/>
        <v>0</v>
      </c>
      <c r="H903" s="87"/>
      <c r="I903" s="509"/>
      <c r="J903" s="398"/>
      <c r="K903" s="398"/>
      <c r="L903" s="398"/>
      <c r="M903" s="86"/>
    </row>
    <row r="904" spans="1:13" s="645" customFormat="1" ht="15.75" x14ac:dyDescent="0.25">
      <c r="A904" s="523">
        <v>893</v>
      </c>
      <c r="B904" s="523" t="s">
        <v>1103</v>
      </c>
      <c r="C904" s="555">
        <v>6957</v>
      </c>
      <c r="D904" s="563">
        <v>20000</v>
      </c>
      <c r="E904" s="573">
        <v>222</v>
      </c>
      <c r="F904" s="563">
        <v>20000</v>
      </c>
      <c r="G904" s="87">
        <f t="shared" si="14"/>
        <v>0</v>
      </c>
      <c r="H904" s="87"/>
      <c r="I904" s="509"/>
      <c r="J904" s="398"/>
      <c r="K904" s="398"/>
      <c r="L904" s="398"/>
      <c r="M904" s="86"/>
    </row>
    <row r="905" spans="1:13" s="645" customFormat="1" ht="15.75" x14ac:dyDescent="0.25">
      <c r="A905" s="523">
        <v>894</v>
      </c>
      <c r="B905" s="523" t="s">
        <v>1103</v>
      </c>
      <c r="C905" s="607" t="s">
        <v>890</v>
      </c>
      <c r="D905" s="563">
        <v>14000</v>
      </c>
      <c r="E905" s="573">
        <v>155</v>
      </c>
      <c r="F905" s="563">
        <v>14000</v>
      </c>
      <c r="G905" s="87">
        <f t="shared" si="14"/>
        <v>0</v>
      </c>
      <c r="H905" s="87"/>
      <c r="I905" s="509"/>
      <c r="J905" s="398"/>
      <c r="K905" s="398"/>
      <c r="L905" s="398"/>
      <c r="M905" s="86"/>
    </row>
    <row r="906" spans="1:13" s="645" customFormat="1" ht="15.75" x14ac:dyDescent="0.25">
      <c r="A906" s="523">
        <v>895</v>
      </c>
      <c r="B906" s="523" t="s">
        <v>1103</v>
      </c>
      <c r="C906" s="555">
        <v>9481</v>
      </c>
      <c r="D906" s="563">
        <v>14000</v>
      </c>
      <c r="E906" s="573">
        <v>155</v>
      </c>
      <c r="F906" s="563">
        <v>14000</v>
      </c>
      <c r="G906" s="87">
        <f t="shared" si="14"/>
        <v>0</v>
      </c>
      <c r="H906" s="87"/>
      <c r="I906" s="509"/>
      <c r="J906" s="398"/>
      <c r="K906" s="398"/>
      <c r="L906" s="398"/>
      <c r="M906" s="86"/>
    </row>
    <row r="907" spans="1:13" s="645" customFormat="1" ht="15.75" x14ac:dyDescent="0.25">
      <c r="A907" s="523">
        <v>896</v>
      </c>
      <c r="B907" s="523" t="s">
        <v>1103</v>
      </c>
      <c r="C907" s="555">
        <v>3665</v>
      </c>
      <c r="D907" s="563">
        <v>10000</v>
      </c>
      <c r="E907" s="573">
        <v>111</v>
      </c>
      <c r="F907" s="563">
        <v>10000</v>
      </c>
      <c r="G907" s="87">
        <f t="shared" si="14"/>
        <v>0</v>
      </c>
      <c r="H907" s="87"/>
      <c r="I907" s="509"/>
      <c r="J907" s="398"/>
      <c r="K907" s="398"/>
      <c r="L907" s="398"/>
      <c r="M907" s="86"/>
    </row>
    <row r="908" spans="1:13" s="645" customFormat="1" ht="15.75" x14ac:dyDescent="0.25">
      <c r="A908" s="523">
        <v>897</v>
      </c>
      <c r="B908" s="523" t="s">
        <v>1103</v>
      </c>
      <c r="C908" s="555">
        <v>6133</v>
      </c>
      <c r="D908" s="563">
        <v>17000</v>
      </c>
      <c r="E908" s="573">
        <v>189</v>
      </c>
      <c r="F908" s="563">
        <v>17000</v>
      </c>
      <c r="G908" s="87">
        <f t="shared" si="14"/>
        <v>0</v>
      </c>
      <c r="H908" s="87"/>
      <c r="I908" s="509"/>
      <c r="J908" s="398"/>
      <c r="K908" s="398"/>
      <c r="L908" s="398"/>
      <c r="M908" s="86"/>
    </row>
    <row r="909" spans="1:13" s="645" customFormat="1" ht="15.75" x14ac:dyDescent="0.25">
      <c r="A909" s="523">
        <v>898</v>
      </c>
      <c r="B909" s="523" t="s">
        <v>1103</v>
      </c>
      <c r="C909" s="555">
        <v>9738</v>
      </c>
      <c r="D909" s="563">
        <v>28000</v>
      </c>
      <c r="E909" s="573">
        <v>305</v>
      </c>
      <c r="F909" s="563">
        <v>28000</v>
      </c>
      <c r="G909" s="87">
        <f t="shared" si="14"/>
        <v>0</v>
      </c>
      <c r="H909" s="87"/>
      <c r="I909" s="509"/>
      <c r="J909" s="398"/>
      <c r="K909" s="398"/>
      <c r="L909" s="398"/>
      <c r="M909" s="86"/>
    </row>
    <row r="910" spans="1:13" s="645" customFormat="1" ht="15.75" x14ac:dyDescent="0.25">
      <c r="A910" s="523">
        <v>899</v>
      </c>
      <c r="B910" s="523" t="s">
        <v>1103</v>
      </c>
      <c r="C910" s="607" t="s">
        <v>1039</v>
      </c>
      <c r="D910" s="563">
        <v>18000</v>
      </c>
      <c r="E910" s="573">
        <v>200</v>
      </c>
      <c r="F910" s="563">
        <v>18000</v>
      </c>
      <c r="G910" s="87">
        <f t="shared" si="14"/>
        <v>0</v>
      </c>
      <c r="H910" s="87"/>
      <c r="I910" s="509"/>
      <c r="J910" s="398"/>
      <c r="K910" s="398"/>
      <c r="L910" s="398"/>
      <c r="M910" s="86"/>
    </row>
    <row r="911" spans="1:13" s="645" customFormat="1" ht="15.75" x14ac:dyDescent="0.25">
      <c r="A911" s="523">
        <v>900</v>
      </c>
      <c r="B911" s="523" t="s">
        <v>1103</v>
      </c>
      <c r="C911" s="555" t="s">
        <v>819</v>
      </c>
      <c r="D911" s="563">
        <v>3500</v>
      </c>
      <c r="E911" s="573">
        <v>38</v>
      </c>
      <c r="F911" s="563">
        <v>3500</v>
      </c>
      <c r="G911" s="87">
        <f t="shared" si="14"/>
        <v>0</v>
      </c>
      <c r="H911" s="87"/>
      <c r="I911" s="509"/>
      <c r="J911" s="398"/>
      <c r="K911" s="398"/>
      <c r="L911" s="398"/>
      <c r="M911" s="86"/>
    </row>
    <row r="912" spans="1:13" s="645" customFormat="1" ht="15.75" x14ac:dyDescent="0.25">
      <c r="A912" s="523">
        <v>901</v>
      </c>
      <c r="B912" s="523" t="s">
        <v>1103</v>
      </c>
      <c r="C912" s="607" t="s">
        <v>936</v>
      </c>
      <c r="D912" s="563">
        <v>15000</v>
      </c>
      <c r="E912" s="573">
        <v>167</v>
      </c>
      <c r="F912" s="563">
        <v>15000</v>
      </c>
      <c r="G912" s="87">
        <f t="shared" si="14"/>
        <v>0</v>
      </c>
      <c r="H912" s="87"/>
      <c r="I912" s="509"/>
      <c r="J912" s="398"/>
      <c r="K912" s="398"/>
      <c r="L912" s="398"/>
      <c r="M912" s="86"/>
    </row>
    <row r="913" spans="1:13" s="645" customFormat="1" ht="15.75" x14ac:dyDescent="0.25">
      <c r="A913" s="523">
        <v>902</v>
      </c>
      <c r="B913" s="523" t="s">
        <v>1103</v>
      </c>
      <c r="C913" s="555">
        <v>5443</v>
      </c>
      <c r="D913" s="563">
        <v>15000</v>
      </c>
      <c r="E913" s="573">
        <v>167</v>
      </c>
      <c r="F913" s="563">
        <v>15000</v>
      </c>
      <c r="G913" s="87">
        <f t="shared" si="14"/>
        <v>0</v>
      </c>
      <c r="H913" s="87"/>
      <c r="I913" s="509"/>
      <c r="J913" s="398"/>
      <c r="K913" s="398"/>
      <c r="L913" s="398"/>
      <c r="M913" s="86"/>
    </row>
    <row r="914" spans="1:13" s="645" customFormat="1" ht="15.75" x14ac:dyDescent="0.25">
      <c r="A914" s="523">
        <v>903</v>
      </c>
      <c r="B914" s="523" t="s">
        <v>1103</v>
      </c>
      <c r="C914" s="555">
        <v>3848</v>
      </c>
      <c r="D914" s="563">
        <v>22000</v>
      </c>
      <c r="E914" s="573">
        <v>245</v>
      </c>
      <c r="F914" s="563">
        <v>22000</v>
      </c>
      <c r="G914" s="87">
        <f t="shared" si="14"/>
        <v>0</v>
      </c>
      <c r="H914" s="87"/>
      <c r="I914" s="509"/>
      <c r="J914" s="398"/>
      <c r="K914" s="398"/>
      <c r="L914" s="398"/>
      <c r="M914" s="86"/>
    </row>
    <row r="915" spans="1:13" s="645" customFormat="1" ht="15.75" x14ac:dyDescent="0.25">
      <c r="A915" s="523">
        <v>904</v>
      </c>
      <c r="B915" s="523" t="s">
        <v>1103</v>
      </c>
      <c r="C915" s="555">
        <v>7171</v>
      </c>
      <c r="D915" s="563">
        <v>22000</v>
      </c>
      <c r="E915" s="573">
        <v>245</v>
      </c>
      <c r="F915" s="563">
        <v>22000</v>
      </c>
      <c r="G915" s="87">
        <f t="shared" si="14"/>
        <v>0</v>
      </c>
      <c r="H915" s="87"/>
      <c r="I915" s="509"/>
      <c r="J915" s="398"/>
      <c r="K915" s="398"/>
      <c r="L915" s="398"/>
      <c r="M915" s="86"/>
    </row>
    <row r="916" spans="1:13" s="645" customFormat="1" ht="15.75" x14ac:dyDescent="0.25">
      <c r="A916" s="523">
        <v>905</v>
      </c>
      <c r="B916" s="523" t="s">
        <v>1103</v>
      </c>
      <c r="C916" s="555">
        <v>8909</v>
      </c>
      <c r="D916" s="563">
        <v>17000</v>
      </c>
      <c r="E916" s="573">
        <v>189</v>
      </c>
      <c r="F916" s="563">
        <v>17000</v>
      </c>
      <c r="G916" s="87">
        <f t="shared" si="14"/>
        <v>0</v>
      </c>
      <c r="H916" s="87"/>
      <c r="I916" s="509"/>
      <c r="J916" s="398"/>
      <c r="K916" s="398"/>
      <c r="L916" s="398"/>
      <c r="M916" s="86"/>
    </row>
    <row r="917" spans="1:13" s="645" customFormat="1" ht="15.75" x14ac:dyDescent="0.25">
      <c r="A917" s="523">
        <v>906</v>
      </c>
      <c r="B917" s="523" t="s">
        <v>1103</v>
      </c>
      <c r="C917" s="607" t="s">
        <v>992</v>
      </c>
      <c r="D917" s="563">
        <v>15000</v>
      </c>
      <c r="E917" s="573">
        <v>167</v>
      </c>
      <c r="F917" s="563">
        <v>15000</v>
      </c>
      <c r="G917" s="87">
        <f t="shared" si="14"/>
        <v>0</v>
      </c>
      <c r="H917" s="87"/>
      <c r="I917" s="509"/>
      <c r="J917" s="398"/>
      <c r="K917" s="398"/>
      <c r="L917" s="398"/>
      <c r="M917" s="86"/>
    </row>
    <row r="918" spans="1:13" s="653" customFormat="1" ht="15.75" x14ac:dyDescent="0.25">
      <c r="A918" s="523">
        <v>907</v>
      </c>
      <c r="B918" s="523" t="s">
        <v>1103</v>
      </c>
      <c r="C918" s="555">
        <v>3972</v>
      </c>
      <c r="D918" s="563">
        <v>17000</v>
      </c>
      <c r="E918" s="573">
        <v>189</v>
      </c>
      <c r="F918" s="563">
        <v>17000</v>
      </c>
      <c r="G918" s="87">
        <f t="shared" si="14"/>
        <v>0</v>
      </c>
      <c r="H918" s="87"/>
      <c r="I918" s="509"/>
      <c r="J918" s="398"/>
      <c r="K918" s="398"/>
      <c r="L918" s="398"/>
      <c r="M918" s="86"/>
    </row>
    <row r="919" spans="1:13" s="653" customFormat="1" ht="15.75" x14ac:dyDescent="0.25">
      <c r="A919" s="523">
        <v>908</v>
      </c>
      <c r="B919" s="523" t="s">
        <v>1103</v>
      </c>
      <c r="C919" s="555" t="s">
        <v>66</v>
      </c>
      <c r="D919" s="563">
        <v>100</v>
      </c>
      <c r="E919" s="573" t="s">
        <v>66</v>
      </c>
      <c r="F919" s="563">
        <v>100</v>
      </c>
      <c r="G919" s="87">
        <f t="shared" ref="G919:G982" si="15">D919-F919</f>
        <v>0</v>
      </c>
      <c r="H919" s="87"/>
      <c r="I919" s="509"/>
      <c r="J919" s="398"/>
      <c r="K919" s="398"/>
      <c r="L919" s="398"/>
      <c r="M919" s="86"/>
    </row>
    <row r="920" spans="1:13" s="653" customFormat="1" ht="15.75" x14ac:dyDescent="0.25">
      <c r="A920" s="523">
        <v>909</v>
      </c>
      <c r="B920" s="523" t="s">
        <v>1103</v>
      </c>
      <c r="C920" s="555">
        <v>9638</v>
      </c>
      <c r="D920" s="563">
        <v>32000</v>
      </c>
      <c r="E920" s="573">
        <v>334</v>
      </c>
      <c r="F920" s="563">
        <v>32000</v>
      </c>
      <c r="G920" s="87">
        <f t="shared" si="15"/>
        <v>0</v>
      </c>
      <c r="H920" s="87"/>
      <c r="I920" s="509"/>
      <c r="J920" s="398"/>
      <c r="K920" s="398"/>
      <c r="L920" s="398"/>
      <c r="M920" s="86"/>
    </row>
    <row r="921" spans="1:13" s="653" customFormat="1" ht="15.75" x14ac:dyDescent="0.25">
      <c r="A921" s="523">
        <v>910</v>
      </c>
      <c r="B921" s="523" t="s">
        <v>1103</v>
      </c>
      <c r="C921" s="555">
        <v>7446</v>
      </c>
      <c r="D921" s="563">
        <v>40000</v>
      </c>
      <c r="E921" s="573">
        <v>445</v>
      </c>
      <c r="F921" s="563">
        <v>40000</v>
      </c>
      <c r="G921" s="87">
        <f t="shared" si="15"/>
        <v>0</v>
      </c>
      <c r="H921" s="87"/>
      <c r="I921" s="509"/>
      <c r="J921" s="398"/>
      <c r="K921" s="398"/>
      <c r="L921" s="398"/>
      <c r="M921" s="86"/>
    </row>
    <row r="922" spans="1:13" s="653" customFormat="1" ht="15.75" x14ac:dyDescent="0.25">
      <c r="A922" s="523">
        <v>911</v>
      </c>
      <c r="B922" s="523" t="s">
        <v>1103</v>
      </c>
      <c r="C922" s="555">
        <v>8045</v>
      </c>
      <c r="D922" s="563">
        <v>15000</v>
      </c>
      <c r="E922" s="573">
        <v>167</v>
      </c>
      <c r="F922" s="563">
        <v>15000</v>
      </c>
      <c r="G922" s="87">
        <f t="shared" si="15"/>
        <v>0</v>
      </c>
      <c r="H922" s="87"/>
      <c r="I922" s="509"/>
      <c r="J922" s="398"/>
      <c r="K922" s="398"/>
      <c r="L922" s="398"/>
      <c r="M922" s="86"/>
    </row>
    <row r="923" spans="1:13" s="653" customFormat="1" ht="15.75" x14ac:dyDescent="0.25">
      <c r="A923" s="523">
        <v>912</v>
      </c>
      <c r="B923" s="523" t="s">
        <v>1103</v>
      </c>
      <c r="C923" s="555">
        <v>1437</v>
      </c>
      <c r="D923" s="563">
        <v>30000</v>
      </c>
      <c r="E923" s="573">
        <v>334</v>
      </c>
      <c r="F923" s="563">
        <v>30000</v>
      </c>
      <c r="G923" s="87">
        <f t="shared" si="15"/>
        <v>0</v>
      </c>
      <c r="H923" s="87"/>
      <c r="I923" s="509"/>
      <c r="J923" s="398"/>
      <c r="K923" s="398"/>
      <c r="L923" s="398"/>
      <c r="M923" s="86"/>
    </row>
    <row r="924" spans="1:13" s="653" customFormat="1" ht="15.75" x14ac:dyDescent="0.25">
      <c r="A924" s="523">
        <v>913</v>
      </c>
      <c r="B924" s="523" t="s">
        <v>1103</v>
      </c>
      <c r="C924" s="555">
        <v>1006</v>
      </c>
      <c r="D924" s="563">
        <v>25000</v>
      </c>
      <c r="E924" s="573">
        <v>278</v>
      </c>
      <c r="F924" s="563">
        <v>25000</v>
      </c>
      <c r="G924" s="87">
        <f t="shared" si="15"/>
        <v>0</v>
      </c>
      <c r="H924" s="87"/>
      <c r="I924" s="509"/>
      <c r="J924" s="398"/>
      <c r="K924" s="398"/>
      <c r="L924" s="398"/>
      <c r="M924" s="86"/>
    </row>
    <row r="925" spans="1:13" s="653" customFormat="1" ht="15.75" x14ac:dyDescent="0.25">
      <c r="A925" s="523">
        <v>914</v>
      </c>
      <c r="B925" s="523" t="s">
        <v>1103</v>
      </c>
      <c r="C925" s="555">
        <v>4747</v>
      </c>
      <c r="D925" s="563">
        <v>17000</v>
      </c>
      <c r="E925" s="573">
        <v>189</v>
      </c>
      <c r="F925" s="563">
        <v>17000</v>
      </c>
      <c r="G925" s="87">
        <f t="shared" si="15"/>
        <v>0</v>
      </c>
      <c r="H925" s="87"/>
      <c r="I925" s="509"/>
      <c r="J925" s="398"/>
      <c r="K925" s="398"/>
      <c r="L925" s="398"/>
      <c r="M925" s="86"/>
    </row>
    <row r="926" spans="1:13" s="653" customFormat="1" ht="15.75" x14ac:dyDescent="0.25">
      <c r="A926" s="523">
        <v>915</v>
      </c>
      <c r="B926" s="523" t="s">
        <v>1103</v>
      </c>
      <c r="C926" s="555">
        <v>1418</v>
      </c>
      <c r="D926" s="563">
        <v>29810</v>
      </c>
      <c r="E926" s="573">
        <v>332</v>
      </c>
      <c r="F926" s="563">
        <v>29810</v>
      </c>
      <c r="G926" s="87">
        <f t="shared" si="15"/>
        <v>0</v>
      </c>
      <c r="H926" s="87"/>
      <c r="I926" s="509"/>
      <c r="J926" s="398"/>
      <c r="K926" s="398"/>
      <c r="L926" s="398"/>
      <c r="M926" s="86"/>
    </row>
    <row r="927" spans="1:13" s="653" customFormat="1" ht="15.75" x14ac:dyDescent="0.25">
      <c r="A927" s="523">
        <v>916</v>
      </c>
      <c r="B927" s="523" t="s">
        <v>1103</v>
      </c>
      <c r="C927" s="607" t="s">
        <v>1082</v>
      </c>
      <c r="D927" s="563">
        <v>31000</v>
      </c>
      <c r="E927" s="573">
        <v>345</v>
      </c>
      <c r="F927" s="563">
        <v>31000</v>
      </c>
      <c r="G927" s="87">
        <f t="shared" si="15"/>
        <v>0</v>
      </c>
      <c r="H927" s="87"/>
      <c r="I927" s="509"/>
      <c r="J927" s="398"/>
      <c r="K927" s="398"/>
      <c r="L927" s="398"/>
      <c r="M927" s="86"/>
    </row>
    <row r="928" spans="1:13" s="653" customFormat="1" ht="15.75" x14ac:dyDescent="0.25">
      <c r="A928" s="523">
        <v>917</v>
      </c>
      <c r="B928" s="523" t="s">
        <v>1103</v>
      </c>
      <c r="C928" s="555">
        <v>9831</v>
      </c>
      <c r="D928" s="563">
        <v>35000</v>
      </c>
      <c r="E928" s="573">
        <v>389</v>
      </c>
      <c r="F928" s="563">
        <v>35000</v>
      </c>
      <c r="G928" s="87">
        <f t="shared" si="15"/>
        <v>0</v>
      </c>
      <c r="H928" s="87"/>
      <c r="I928" s="509"/>
      <c r="J928" s="398"/>
      <c r="K928" s="398"/>
      <c r="L928" s="398"/>
      <c r="M928" s="86"/>
    </row>
    <row r="929" spans="1:13" s="653" customFormat="1" ht="15.75" x14ac:dyDescent="0.25">
      <c r="A929" s="523">
        <v>918</v>
      </c>
      <c r="B929" s="523" t="s">
        <v>1103</v>
      </c>
      <c r="C929" s="555">
        <v>8361</v>
      </c>
      <c r="D929" s="563">
        <v>30000</v>
      </c>
      <c r="E929" s="573">
        <v>334</v>
      </c>
      <c r="F929" s="563">
        <v>30000</v>
      </c>
      <c r="G929" s="87">
        <f t="shared" si="15"/>
        <v>0</v>
      </c>
      <c r="H929" s="87"/>
      <c r="I929" s="509"/>
      <c r="J929" s="398"/>
      <c r="K929" s="398"/>
      <c r="L929" s="398"/>
      <c r="M929" s="86"/>
    </row>
    <row r="930" spans="1:13" s="653" customFormat="1" ht="15.75" x14ac:dyDescent="0.25">
      <c r="A930" s="523">
        <v>919</v>
      </c>
      <c r="B930" s="523" t="s">
        <v>1103</v>
      </c>
      <c r="C930" s="555">
        <v>4755</v>
      </c>
      <c r="D930" s="563">
        <v>5000</v>
      </c>
      <c r="E930" s="573">
        <v>55</v>
      </c>
      <c r="F930" s="563">
        <v>5000</v>
      </c>
      <c r="G930" s="87">
        <f t="shared" si="15"/>
        <v>0</v>
      </c>
      <c r="H930" s="87"/>
      <c r="I930" s="509"/>
      <c r="J930" s="398"/>
      <c r="K930" s="398"/>
      <c r="L930" s="398"/>
      <c r="M930" s="86"/>
    </row>
    <row r="931" spans="1:13" s="653" customFormat="1" ht="15.75" x14ac:dyDescent="0.25">
      <c r="A931" s="523">
        <v>920</v>
      </c>
      <c r="B931" s="523" t="s">
        <v>1112</v>
      </c>
      <c r="C931" s="555">
        <v>9038</v>
      </c>
      <c r="D931" s="563">
        <v>30000</v>
      </c>
      <c r="E931" s="573">
        <v>334</v>
      </c>
      <c r="F931" s="563">
        <v>30000</v>
      </c>
      <c r="G931" s="87">
        <f t="shared" si="15"/>
        <v>0</v>
      </c>
      <c r="H931" s="87"/>
      <c r="I931" s="509"/>
      <c r="J931" s="398"/>
      <c r="K931" s="398"/>
      <c r="L931" s="398"/>
      <c r="M931" s="86"/>
    </row>
    <row r="932" spans="1:13" s="653" customFormat="1" ht="15.75" x14ac:dyDescent="0.25">
      <c r="A932" s="523">
        <v>921</v>
      </c>
      <c r="B932" s="523" t="s">
        <v>1112</v>
      </c>
      <c r="C932" s="555">
        <v>5120</v>
      </c>
      <c r="D932" s="563">
        <v>20000</v>
      </c>
      <c r="E932" s="573">
        <v>216</v>
      </c>
      <c r="F932" s="563">
        <v>20000</v>
      </c>
      <c r="G932" s="87">
        <f t="shared" si="15"/>
        <v>0</v>
      </c>
      <c r="H932" s="87"/>
      <c r="I932" s="509"/>
      <c r="J932" s="398"/>
      <c r="K932" s="398"/>
      <c r="L932" s="398"/>
      <c r="M932" s="86"/>
    </row>
    <row r="933" spans="1:13" s="653" customFormat="1" ht="15.75" x14ac:dyDescent="0.25">
      <c r="A933" s="523">
        <v>922</v>
      </c>
      <c r="B933" s="523" t="s">
        <v>1112</v>
      </c>
      <c r="C933" s="555" t="s">
        <v>30</v>
      </c>
      <c r="D933" s="563">
        <v>5000</v>
      </c>
      <c r="E933" s="573">
        <v>55</v>
      </c>
      <c r="F933" s="563">
        <v>5000</v>
      </c>
      <c r="G933" s="87">
        <f t="shared" si="15"/>
        <v>0</v>
      </c>
      <c r="H933" s="87"/>
      <c r="I933" s="509"/>
      <c r="J933" s="398"/>
      <c r="K933" s="398"/>
      <c r="L933" s="398"/>
      <c r="M933" s="86"/>
    </row>
    <row r="934" spans="1:13" s="653" customFormat="1" ht="15.75" x14ac:dyDescent="0.25">
      <c r="A934" s="523">
        <v>923</v>
      </c>
      <c r="B934" s="523" t="s">
        <v>1112</v>
      </c>
      <c r="C934" s="607" t="s">
        <v>1008</v>
      </c>
      <c r="D934" s="563">
        <v>16000</v>
      </c>
      <c r="E934" s="573">
        <v>171</v>
      </c>
      <c r="F934" s="563">
        <v>16000</v>
      </c>
      <c r="G934" s="87">
        <f t="shared" si="15"/>
        <v>0</v>
      </c>
      <c r="H934" s="87"/>
      <c r="I934" s="509"/>
      <c r="J934" s="398"/>
      <c r="K934" s="398"/>
      <c r="L934" s="398"/>
      <c r="M934" s="86"/>
    </row>
    <row r="935" spans="1:13" s="653" customFormat="1" ht="15.75" x14ac:dyDescent="0.25">
      <c r="A935" s="523">
        <v>924</v>
      </c>
      <c r="B935" s="523" t="s">
        <v>1112</v>
      </c>
      <c r="C935" s="555">
        <v>5252</v>
      </c>
      <c r="D935" s="563">
        <v>17000</v>
      </c>
      <c r="E935" s="573">
        <v>184</v>
      </c>
      <c r="F935" s="563">
        <v>17000</v>
      </c>
      <c r="G935" s="87">
        <f t="shared" si="15"/>
        <v>0</v>
      </c>
      <c r="H935" s="87"/>
      <c r="I935" s="509"/>
      <c r="J935" s="398"/>
      <c r="K935" s="398"/>
      <c r="L935" s="398"/>
      <c r="M935" s="86"/>
    </row>
    <row r="936" spans="1:13" s="653" customFormat="1" ht="15.75" x14ac:dyDescent="0.25">
      <c r="A936" s="523">
        <v>925</v>
      </c>
      <c r="B936" s="523" t="s">
        <v>1112</v>
      </c>
      <c r="C936" s="555">
        <v>5151</v>
      </c>
      <c r="D936" s="563">
        <v>17000</v>
      </c>
      <c r="E936" s="573">
        <v>171</v>
      </c>
      <c r="F936" s="563">
        <v>17000</v>
      </c>
      <c r="G936" s="87">
        <f t="shared" si="15"/>
        <v>0</v>
      </c>
      <c r="H936" s="87"/>
      <c r="I936" s="509"/>
      <c r="J936" s="398"/>
      <c r="K936" s="398"/>
      <c r="L936" s="398"/>
      <c r="M936" s="86"/>
    </row>
    <row r="937" spans="1:13" s="653" customFormat="1" ht="15.75" x14ac:dyDescent="0.25">
      <c r="A937" s="523">
        <v>926</v>
      </c>
      <c r="B937" s="523" t="s">
        <v>1112</v>
      </c>
      <c r="C937" s="555">
        <v>5031</v>
      </c>
      <c r="D937" s="563">
        <v>20000</v>
      </c>
      <c r="E937" s="573">
        <v>222</v>
      </c>
      <c r="F937" s="563">
        <v>20000</v>
      </c>
      <c r="G937" s="87">
        <f t="shared" si="15"/>
        <v>0</v>
      </c>
      <c r="H937" s="87"/>
      <c r="I937" s="509"/>
      <c r="J937" s="398"/>
      <c r="K937" s="398"/>
      <c r="L937" s="398"/>
      <c r="M937" s="86"/>
    </row>
    <row r="938" spans="1:13" s="653" customFormat="1" ht="15.75" x14ac:dyDescent="0.25">
      <c r="A938" s="523">
        <v>927</v>
      </c>
      <c r="B938" s="523" t="s">
        <v>1112</v>
      </c>
      <c r="C938" s="555">
        <v>1545</v>
      </c>
      <c r="D938" s="563">
        <v>15000</v>
      </c>
      <c r="E938" s="573">
        <v>167</v>
      </c>
      <c r="F938" s="563">
        <v>15000</v>
      </c>
      <c r="G938" s="87">
        <f t="shared" si="15"/>
        <v>0</v>
      </c>
      <c r="H938" s="87"/>
      <c r="I938" s="509"/>
      <c r="J938" s="398"/>
      <c r="K938" s="398"/>
      <c r="L938" s="398"/>
      <c r="M938" s="86"/>
    </row>
    <row r="939" spans="1:13" s="653" customFormat="1" ht="15.75" x14ac:dyDescent="0.25">
      <c r="A939" s="523">
        <v>928</v>
      </c>
      <c r="B939" s="523" t="s">
        <v>1112</v>
      </c>
      <c r="C939" s="555" t="s">
        <v>30</v>
      </c>
      <c r="D939" s="563">
        <v>10000</v>
      </c>
      <c r="E939" s="573">
        <v>111</v>
      </c>
      <c r="F939" s="563">
        <v>10000</v>
      </c>
      <c r="G939" s="87">
        <f t="shared" si="15"/>
        <v>0</v>
      </c>
      <c r="H939" s="87"/>
      <c r="I939" s="509"/>
      <c r="J939" s="398"/>
      <c r="K939" s="398"/>
      <c r="L939" s="398"/>
      <c r="M939" s="86"/>
    </row>
    <row r="940" spans="1:13" s="653" customFormat="1" ht="15.75" x14ac:dyDescent="0.25">
      <c r="A940" s="523">
        <v>929</v>
      </c>
      <c r="B940" s="523" t="s">
        <v>1112</v>
      </c>
      <c r="C940" s="555">
        <v>8046</v>
      </c>
      <c r="D940" s="563">
        <v>14000</v>
      </c>
      <c r="E940" s="573">
        <v>155</v>
      </c>
      <c r="F940" s="563">
        <v>14000</v>
      </c>
      <c r="G940" s="87">
        <f t="shared" si="15"/>
        <v>0</v>
      </c>
      <c r="H940" s="87"/>
      <c r="I940" s="509"/>
      <c r="J940" s="398"/>
      <c r="K940" s="398"/>
      <c r="L940" s="398"/>
      <c r="M940" s="86"/>
    </row>
    <row r="941" spans="1:13" s="653" customFormat="1" ht="15.75" x14ac:dyDescent="0.25">
      <c r="A941" s="523">
        <v>930</v>
      </c>
      <c r="B941" s="523" t="s">
        <v>1112</v>
      </c>
      <c r="C941" s="555">
        <v>6785</v>
      </c>
      <c r="D941" s="563">
        <v>20000</v>
      </c>
      <c r="E941" s="573">
        <v>222</v>
      </c>
      <c r="F941" s="563">
        <v>20000</v>
      </c>
      <c r="G941" s="87">
        <f t="shared" si="15"/>
        <v>0</v>
      </c>
      <c r="H941" s="87"/>
      <c r="I941" s="509"/>
      <c r="J941" s="398"/>
      <c r="K941" s="398"/>
      <c r="L941" s="398"/>
      <c r="M941" s="86"/>
    </row>
    <row r="942" spans="1:13" s="653" customFormat="1" ht="15.75" x14ac:dyDescent="0.25">
      <c r="A942" s="523">
        <v>931</v>
      </c>
      <c r="B942" s="523" t="s">
        <v>1112</v>
      </c>
      <c r="C942" s="555" t="s">
        <v>30</v>
      </c>
      <c r="D942" s="563">
        <v>4500</v>
      </c>
      <c r="E942" s="573">
        <v>50</v>
      </c>
      <c r="F942" s="563">
        <v>4500</v>
      </c>
      <c r="G942" s="87">
        <f t="shared" si="15"/>
        <v>0</v>
      </c>
      <c r="H942" s="87"/>
      <c r="I942" s="509"/>
      <c r="J942" s="398"/>
      <c r="K942" s="398"/>
      <c r="L942" s="398"/>
      <c r="M942" s="86"/>
    </row>
    <row r="943" spans="1:13" s="653" customFormat="1" ht="15.75" x14ac:dyDescent="0.25">
      <c r="A943" s="523">
        <v>932</v>
      </c>
      <c r="B943" s="523" t="s">
        <v>1112</v>
      </c>
      <c r="C943" s="555" t="s">
        <v>30</v>
      </c>
      <c r="D943" s="563">
        <v>3500</v>
      </c>
      <c r="E943" s="573">
        <v>38</v>
      </c>
      <c r="F943" s="563">
        <v>3500</v>
      </c>
      <c r="G943" s="87">
        <f t="shared" si="15"/>
        <v>0</v>
      </c>
      <c r="H943" s="87"/>
      <c r="I943" s="509"/>
      <c r="J943" s="398"/>
      <c r="K943" s="398"/>
      <c r="L943" s="398"/>
      <c r="M943" s="86"/>
    </row>
    <row r="944" spans="1:13" s="653" customFormat="1" ht="15.75" x14ac:dyDescent="0.25">
      <c r="A944" s="523">
        <v>933</v>
      </c>
      <c r="B944" s="523" t="s">
        <v>1112</v>
      </c>
      <c r="C944" s="555" t="s">
        <v>1068</v>
      </c>
      <c r="D944" s="563">
        <v>150</v>
      </c>
      <c r="E944" s="573">
        <v>1</v>
      </c>
      <c r="F944" s="563">
        <v>150</v>
      </c>
      <c r="G944" s="87">
        <f t="shared" si="15"/>
        <v>0</v>
      </c>
      <c r="H944" s="87"/>
      <c r="I944" s="509"/>
      <c r="J944" s="398"/>
      <c r="K944" s="398"/>
      <c r="L944" s="398"/>
      <c r="M944" s="86"/>
    </row>
    <row r="945" spans="1:13" s="653" customFormat="1" ht="15.75" x14ac:dyDescent="0.25">
      <c r="A945" s="523">
        <v>934</v>
      </c>
      <c r="B945" s="523" t="s">
        <v>1112</v>
      </c>
      <c r="C945" s="555" t="s">
        <v>1068</v>
      </c>
      <c r="D945" s="563">
        <v>150</v>
      </c>
      <c r="E945" s="573">
        <v>1</v>
      </c>
      <c r="F945" s="563">
        <v>150</v>
      </c>
      <c r="G945" s="87">
        <f t="shared" si="15"/>
        <v>0</v>
      </c>
      <c r="H945" s="87"/>
      <c r="I945" s="509"/>
      <c r="J945" s="398"/>
      <c r="K945" s="398"/>
      <c r="L945" s="398"/>
      <c r="M945" s="86"/>
    </row>
    <row r="946" spans="1:13" s="653" customFormat="1" ht="15.75" x14ac:dyDescent="0.25">
      <c r="A946" s="523">
        <v>935</v>
      </c>
      <c r="B946" s="523" t="s">
        <v>1112</v>
      </c>
      <c r="C946" s="555">
        <v>4131</v>
      </c>
      <c r="D946" s="563">
        <v>20000</v>
      </c>
      <c r="E946" s="573">
        <v>222</v>
      </c>
      <c r="F946" s="563">
        <v>20000</v>
      </c>
      <c r="G946" s="87">
        <f t="shared" si="15"/>
        <v>0</v>
      </c>
      <c r="H946" s="87"/>
      <c r="I946" s="509"/>
      <c r="J946" s="398"/>
      <c r="K946" s="398"/>
      <c r="L946" s="398"/>
      <c r="M946" s="86"/>
    </row>
    <row r="947" spans="1:13" s="653" customFormat="1" ht="15.75" x14ac:dyDescent="0.25">
      <c r="A947" s="523">
        <v>936</v>
      </c>
      <c r="B947" s="523" t="s">
        <v>1112</v>
      </c>
      <c r="C947" s="555">
        <v>1367</v>
      </c>
      <c r="D947" s="563">
        <v>27000</v>
      </c>
      <c r="E947" s="573">
        <v>300</v>
      </c>
      <c r="F947" s="563">
        <v>27000</v>
      </c>
      <c r="G947" s="87">
        <f t="shared" si="15"/>
        <v>0</v>
      </c>
      <c r="H947" s="87"/>
      <c r="I947" s="509"/>
      <c r="J947" s="398"/>
      <c r="K947" s="398"/>
      <c r="L947" s="398"/>
      <c r="M947" s="86"/>
    </row>
    <row r="948" spans="1:13" s="653" customFormat="1" ht="15.75" x14ac:dyDescent="0.25">
      <c r="A948" s="523">
        <v>937</v>
      </c>
      <c r="B948" s="523" t="s">
        <v>1112</v>
      </c>
      <c r="C948" s="555">
        <v>7581</v>
      </c>
      <c r="D948" s="563">
        <v>18000</v>
      </c>
      <c r="E948" s="573">
        <v>200</v>
      </c>
      <c r="F948" s="563">
        <v>18000</v>
      </c>
      <c r="G948" s="87">
        <f t="shared" si="15"/>
        <v>0</v>
      </c>
      <c r="H948" s="87"/>
      <c r="I948" s="509"/>
      <c r="J948" s="398"/>
      <c r="K948" s="398"/>
      <c r="L948" s="398"/>
      <c r="M948" s="86"/>
    </row>
    <row r="949" spans="1:13" s="653" customFormat="1" ht="15.75" x14ac:dyDescent="0.25">
      <c r="A949" s="523">
        <v>938</v>
      </c>
      <c r="B949" s="523" t="s">
        <v>1112</v>
      </c>
      <c r="C949" s="555">
        <v>5684</v>
      </c>
      <c r="D949" s="563">
        <v>15000</v>
      </c>
      <c r="E949" s="573">
        <v>167</v>
      </c>
      <c r="F949" s="563">
        <v>15000</v>
      </c>
      <c r="G949" s="87">
        <f t="shared" si="15"/>
        <v>0</v>
      </c>
      <c r="H949" s="87"/>
      <c r="I949" s="509"/>
      <c r="J949" s="398"/>
      <c r="K949" s="398"/>
      <c r="L949" s="398"/>
      <c r="M949" s="86"/>
    </row>
    <row r="950" spans="1:13" s="653" customFormat="1" ht="15.75" x14ac:dyDescent="0.25">
      <c r="A950" s="523">
        <v>939</v>
      </c>
      <c r="B950" s="523" t="s">
        <v>1112</v>
      </c>
      <c r="C950" s="555">
        <v>1174</v>
      </c>
      <c r="D950" s="563">
        <v>15000</v>
      </c>
      <c r="E950" s="573">
        <v>167</v>
      </c>
      <c r="F950" s="563">
        <v>15000</v>
      </c>
      <c r="G950" s="87">
        <f t="shared" si="15"/>
        <v>0</v>
      </c>
      <c r="H950" s="87"/>
      <c r="I950" s="509"/>
      <c r="J950" s="398"/>
      <c r="K950" s="398"/>
      <c r="L950" s="398"/>
      <c r="M950" s="86"/>
    </row>
    <row r="951" spans="1:13" s="653" customFormat="1" ht="15.75" x14ac:dyDescent="0.25">
      <c r="A951" s="523">
        <v>940</v>
      </c>
      <c r="B951" s="523" t="s">
        <v>1112</v>
      </c>
      <c r="C951" s="555" t="s">
        <v>66</v>
      </c>
      <c r="D951" s="563">
        <v>210</v>
      </c>
      <c r="E951" s="573" t="s">
        <v>66</v>
      </c>
      <c r="F951" s="563">
        <v>210</v>
      </c>
      <c r="G951" s="87">
        <f t="shared" si="15"/>
        <v>0</v>
      </c>
      <c r="H951" s="87"/>
      <c r="I951" s="509"/>
      <c r="J951" s="398"/>
      <c r="K951" s="398"/>
      <c r="L951" s="398"/>
      <c r="M951" s="86"/>
    </row>
    <row r="952" spans="1:13" s="653" customFormat="1" ht="15.75" x14ac:dyDescent="0.25">
      <c r="A952" s="523">
        <v>941</v>
      </c>
      <c r="B952" s="523" t="s">
        <v>1113</v>
      </c>
      <c r="C952" s="555" t="s">
        <v>1068</v>
      </c>
      <c r="D952" s="563">
        <v>100</v>
      </c>
      <c r="E952" s="573" t="s">
        <v>66</v>
      </c>
      <c r="F952" s="563">
        <v>100</v>
      </c>
      <c r="G952" s="87">
        <f t="shared" si="15"/>
        <v>0</v>
      </c>
      <c r="H952" s="87"/>
      <c r="I952" s="509"/>
      <c r="J952" s="398"/>
      <c r="K952" s="398"/>
      <c r="L952" s="398"/>
      <c r="M952" s="86"/>
    </row>
    <row r="953" spans="1:13" s="653" customFormat="1" ht="15.75" x14ac:dyDescent="0.25">
      <c r="A953" s="523">
        <v>942</v>
      </c>
      <c r="B953" s="523" t="s">
        <v>1113</v>
      </c>
      <c r="C953" s="555" t="s">
        <v>819</v>
      </c>
      <c r="D953" s="563">
        <v>3500</v>
      </c>
      <c r="E953" s="573">
        <v>38</v>
      </c>
      <c r="F953" s="563">
        <v>3500</v>
      </c>
      <c r="G953" s="87">
        <f t="shared" si="15"/>
        <v>0</v>
      </c>
      <c r="H953" s="87"/>
      <c r="I953" s="509"/>
      <c r="J953" s="398"/>
      <c r="K953" s="398"/>
      <c r="L953" s="398"/>
      <c r="M953" s="86"/>
    </row>
    <row r="954" spans="1:13" s="653" customFormat="1" ht="15.75" x14ac:dyDescent="0.25">
      <c r="A954" s="523">
        <v>943</v>
      </c>
      <c r="B954" s="523" t="s">
        <v>1113</v>
      </c>
      <c r="C954" s="555">
        <v>9255</v>
      </c>
      <c r="D954" s="563">
        <v>25000</v>
      </c>
      <c r="E954" s="573">
        <v>278</v>
      </c>
      <c r="F954" s="563">
        <v>25000</v>
      </c>
      <c r="G954" s="87">
        <f t="shared" si="15"/>
        <v>0</v>
      </c>
      <c r="H954" s="87"/>
      <c r="I954" s="509"/>
      <c r="J954" s="398"/>
      <c r="K954" s="398"/>
      <c r="L954" s="398"/>
      <c r="M954" s="86"/>
    </row>
    <row r="955" spans="1:13" s="653" customFormat="1" ht="15.75" x14ac:dyDescent="0.25">
      <c r="A955" s="523">
        <v>944</v>
      </c>
      <c r="B955" s="523" t="s">
        <v>1113</v>
      </c>
      <c r="C955" s="555">
        <v>1319</v>
      </c>
      <c r="D955" s="563">
        <v>30000</v>
      </c>
      <c r="E955" s="573">
        <v>334</v>
      </c>
      <c r="F955" s="563">
        <v>30000</v>
      </c>
      <c r="G955" s="87">
        <f t="shared" si="15"/>
        <v>0</v>
      </c>
      <c r="H955" s="87"/>
      <c r="I955" s="509"/>
      <c r="J955" s="398"/>
      <c r="K955" s="398"/>
      <c r="L955" s="398"/>
      <c r="M955" s="86"/>
    </row>
    <row r="956" spans="1:13" s="653" customFormat="1" ht="15.75" x14ac:dyDescent="0.25">
      <c r="A956" s="523">
        <v>945</v>
      </c>
      <c r="B956" s="523" t="s">
        <v>1113</v>
      </c>
      <c r="C956" s="555">
        <v>1547</v>
      </c>
      <c r="D956" s="563">
        <v>20000</v>
      </c>
      <c r="E956" s="573">
        <v>222</v>
      </c>
      <c r="F956" s="563">
        <v>20000</v>
      </c>
      <c r="G956" s="87">
        <f t="shared" si="15"/>
        <v>0</v>
      </c>
      <c r="H956" s="87"/>
      <c r="I956" s="509"/>
      <c r="J956" s="398"/>
      <c r="K956" s="398"/>
      <c r="L956" s="398"/>
      <c r="M956" s="86"/>
    </row>
    <row r="957" spans="1:13" s="653" customFormat="1" ht="15.75" x14ac:dyDescent="0.25">
      <c r="A957" s="523">
        <v>946</v>
      </c>
      <c r="B957" s="523" t="s">
        <v>1113</v>
      </c>
      <c r="C957" s="555">
        <v>1652</v>
      </c>
      <c r="D957" s="563">
        <v>13000</v>
      </c>
      <c r="E957" s="573">
        <v>144</v>
      </c>
      <c r="F957" s="563">
        <v>13000</v>
      </c>
      <c r="G957" s="87">
        <f t="shared" si="15"/>
        <v>0</v>
      </c>
      <c r="H957" s="87"/>
      <c r="I957" s="509"/>
      <c r="J957" s="398"/>
      <c r="K957" s="398"/>
      <c r="L957" s="398"/>
      <c r="M957" s="86"/>
    </row>
    <row r="958" spans="1:13" s="653" customFormat="1" ht="15.75" x14ac:dyDescent="0.25">
      <c r="A958" s="523">
        <v>947</v>
      </c>
      <c r="B958" s="523" t="s">
        <v>1113</v>
      </c>
      <c r="C958" s="555">
        <v>1563</v>
      </c>
      <c r="D958" s="563">
        <v>14000</v>
      </c>
      <c r="E958" s="573">
        <v>155</v>
      </c>
      <c r="F958" s="563">
        <v>14000</v>
      </c>
      <c r="G958" s="87">
        <f t="shared" si="15"/>
        <v>0</v>
      </c>
      <c r="H958" s="87"/>
      <c r="I958" s="509"/>
      <c r="J958" s="398"/>
      <c r="K958" s="398"/>
      <c r="L958" s="398"/>
      <c r="M958" s="86"/>
    </row>
    <row r="959" spans="1:13" s="653" customFormat="1" ht="15.75" x14ac:dyDescent="0.25">
      <c r="A959" s="523">
        <v>948</v>
      </c>
      <c r="B959" s="523" t="s">
        <v>1113</v>
      </c>
      <c r="C959" s="607" t="s">
        <v>890</v>
      </c>
      <c r="D959" s="563">
        <v>14000</v>
      </c>
      <c r="E959" s="573">
        <v>155</v>
      </c>
      <c r="F959" s="563">
        <v>14000</v>
      </c>
      <c r="G959" s="87">
        <f t="shared" si="15"/>
        <v>0</v>
      </c>
      <c r="H959" s="87"/>
      <c r="I959" s="509"/>
      <c r="J959" s="398"/>
      <c r="K959" s="398"/>
      <c r="L959" s="398"/>
      <c r="M959" s="86"/>
    </row>
    <row r="960" spans="1:13" s="653" customFormat="1" ht="15.75" x14ac:dyDescent="0.25">
      <c r="A960" s="523">
        <v>949</v>
      </c>
      <c r="B960" s="523" t="s">
        <v>1113</v>
      </c>
      <c r="C960" s="555" t="s">
        <v>30</v>
      </c>
      <c r="D960" s="563">
        <v>5000</v>
      </c>
      <c r="E960" s="573">
        <v>55</v>
      </c>
      <c r="F960" s="563">
        <v>5000</v>
      </c>
      <c r="G960" s="87">
        <f t="shared" si="15"/>
        <v>0</v>
      </c>
      <c r="H960" s="87"/>
      <c r="I960" s="509"/>
      <c r="J960" s="398"/>
      <c r="K960" s="398"/>
      <c r="L960" s="398"/>
      <c r="M960" s="86"/>
    </row>
    <row r="961" spans="1:13" s="653" customFormat="1" ht="15.75" x14ac:dyDescent="0.25">
      <c r="A961" s="523">
        <v>950</v>
      </c>
      <c r="B961" s="523" t="s">
        <v>1113</v>
      </c>
      <c r="C961" s="555">
        <v>3665</v>
      </c>
      <c r="D961" s="563">
        <v>18000</v>
      </c>
      <c r="E961" s="573">
        <v>188</v>
      </c>
      <c r="F961" s="563">
        <v>18000</v>
      </c>
      <c r="G961" s="87">
        <f t="shared" si="15"/>
        <v>0</v>
      </c>
      <c r="H961" s="87"/>
      <c r="I961" s="509"/>
      <c r="J961" s="398"/>
      <c r="K961" s="398"/>
      <c r="L961" s="398"/>
      <c r="M961" s="86"/>
    </row>
    <row r="962" spans="1:13" s="653" customFormat="1" ht="15.75" x14ac:dyDescent="0.25">
      <c r="A962" s="523">
        <v>951</v>
      </c>
      <c r="B962" s="523" t="s">
        <v>1113</v>
      </c>
      <c r="C962" s="555">
        <v>6871</v>
      </c>
      <c r="D962" s="563">
        <v>18000</v>
      </c>
      <c r="E962" s="573">
        <v>191</v>
      </c>
      <c r="F962" s="563">
        <v>18000</v>
      </c>
      <c r="G962" s="87">
        <f t="shared" si="15"/>
        <v>0</v>
      </c>
      <c r="H962" s="87"/>
      <c r="I962" s="509"/>
      <c r="J962" s="398"/>
      <c r="K962" s="398"/>
      <c r="L962" s="398"/>
      <c r="M962" s="86"/>
    </row>
    <row r="963" spans="1:13" s="653" customFormat="1" ht="15.75" x14ac:dyDescent="0.25">
      <c r="A963" s="523">
        <v>952</v>
      </c>
      <c r="B963" s="523" t="s">
        <v>1113</v>
      </c>
      <c r="C963" s="555">
        <v>6456</v>
      </c>
      <c r="D963" s="563">
        <v>20000</v>
      </c>
      <c r="E963" s="573">
        <v>222</v>
      </c>
      <c r="F963" s="563">
        <v>20000</v>
      </c>
      <c r="G963" s="87">
        <f t="shared" si="15"/>
        <v>0</v>
      </c>
      <c r="H963" s="87"/>
      <c r="I963" s="509"/>
      <c r="J963" s="398"/>
      <c r="K963" s="398"/>
      <c r="L963" s="398"/>
      <c r="M963" s="86"/>
    </row>
    <row r="964" spans="1:13" s="653" customFormat="1" ht="15.75" x14ac:dyDescent="0.25">
      <c r="A964" s="523">
        <v>953</v>
      </c>
      <c r="B964" s="523" t="s">
        <v>1113</v>
      </c>
      <c r="C964" s="555">
        <v>6388</v>
      </c>
      <c r="D964" s="563">
        <v>13000</v>
      </c>
      <c r="E964" s="573">
        <v>144</v>
      </c>
      <c r="F964" s="563">
        <v>13000</v>
      </c>
      <c r="G964" s="87">
        <f t="shared" si="15"/>
        <v>0</v>
      </c>
      <c r="H964" s="87"/>
      <c r="I964" s="509"/>
      <c r="J964" s="398"/>
      <c r="K964" s="398"/>
      <c r="L964" s="398"/>
      <c r="M964" s="86"/>
    </row>
    <row r="965" spans="1:13" s="653" customFormat="1" ht="15.75" x14ac:dyDescent="0.25">
      <c r="A965" s="523">
        <v>954</v>
      </c>
      <c r="B965" s="523" t="s">
        <v>1113</v>
      </c>
      <c r="C965" s="607" t="s">
        <v>1152</v>
      </c>
      <c r="D965" s="563">
        <v>20000</v>
      </c>
      <c r="E965" s="573">
        <v>207</v>
      </c>
      <c r="F965" s="563">
        <v>20000</v>
      </c>
      <c r="G965" s="87">
        <f t="shared" si="15"/>
        <v>0</v>
      </c>
      <c r="H965" s="87"/>
      <c r="I965" s="509"/>
      <c r="J965" s="398"/>
      <c r="K965" s="398"/>
      <c r="L965" s="398"/>
      <c r="M965" s="86"/>
    </row>
    <row r="966" spans="1:13" s="653" customFormat="1" ht="15.75" x14ac:dyDescent="0.25">
      <c r="A966" s="523">
        <v>955</v>
      </c>
      <c r="B966" s="523" t="s">
        <v>1113</v>
      </c>
      <c r="C966" s="555">
        <v>5279</v>
      </c>
      <c r="D966" s="563">
        <v>10000</v>
      </c>
      <c r="E966" s="573">
        <v>111</v>
      </c>
      <c r="F966" s="563">
        <v>10000</v>
      </c>
      <c r="G966" s="87">
        <f t="shared" si="15"/>
        <v>0</v>
      </c>
      <c r="H966" s="87"/>
      <c r="I966" s="509"/>
      <c r="J966" s="398"/>
      <c r="K966" s="398"/>
      <c r="L966" s="398"/>
      <c r="M966" s="86"/>
    </row>
    <row r="967" spans="1:13" s="653" customFormat="1" ht="15.75" x14ac:dyDescent="0.25">
      <c r="A967" s="523">
        <v>956</v>
      </c>
      <c r="B967" s="523" t="s">
        <v>1113</v>
      </c>
      <c r="C967" s="555">
        <v>9428</v>
      </c>
      <c r="D967" s="563">
        <v>15000</v>
      </c>
      <c r="E967" s="573">
        <v>167</v>
      </c>
      <c r="F967" s="563">
        <v>15000</v>
      </c>
      <c r="G967" s="87">
        <f t="shared" si="15"/>
        <v>0</v>
      </c>
      <c r="H967" s="87"/>
      <c r="I967" s="509"/>
      <c r="J967" s="398"/>
      <c r="K967" s="398"/>
      <c r="L967" s="398"/>
      <c r="M967" s="86"/>
    </row>
    <row r="968" spans="1:13" s="653" customFormat="1" ht="15.75" x14ac:dyDescent="0.25">
      <c r="A968" s="523">
        <v>957</v>
      </c>
      <c r="B968" s="523" t="s">
        <v>1113</v>
      </c>
      <c r="C968" s="555">
        <v>8477</v>
      </c>
      <c r="D968" s="563">
        <v>20000</v>
      </c>
      <c r="E968" s="573">
        <v>222</v>
      </c>
      <c r="F968" s="563">
        <v>20000</v>
      </c>
      <c r="G968" s="87">
        <f t="shared" si="15"/>
        <v>0</v>
      </c>
      <c r="H968" s="87"/>
      <c r="I968" s="509"/>
      <c r="J968" s="398"/>
      <c r="K968" s="398"/>
      <c r="L968" s="398"/>
      <c r="M968" s="86"/>
    </row>
    <row r="969" spans="1:13" s="653" customFormat="1" ht="15.75" x14ac:dyDescent="0.25">
      <c r="A969" s="523">
        <v>958</v>
      </c>
      <c r="B969" s="523" t="s">
        <v>1113</v>
      </c>
      <c r="C969" s="607" t="s">
        <v>1153</v>
      </c>
      <c r="D969" s="563">
        <v>20000</v>
      </c>
      <c r="E969" s="573">
        <v>222</v>
      </c>
      <c r="F969" s="563">
        <v>20000</v>
      </c>
      <c r="G969" s="87">
        <f t="shared" si="15"/>
        <v>0</v>
      </c>
      <c r="H969" s="87"/>
      <c r="I969" s="509"/>
      <c r="J969" s="398"/>
      <c r="K969" s="398"/>
      <c r="L969" s="398"/>
      <c r="M969" s="86"/>
    </row>
    <row r="970" spans="1:13" s="653" customFormat="1" ht="15.75" x14ac:dyDescent="0.25">
      <c r="A970" s="523">
        <v>959</v>
      </c>
      <c r="B970" s="523" t="s">
        <v>1113</v>
      </c>
      <c r="C970" s="555">
        <v>7662</v>
      </c>
      <c r="D970" s="563">
        <v>10000</v>
      </c>
      <c r="E970" s="573">
        <v>111</v>
      </c>
      <c r="F970" s="563">
        <v>10000</v>
      </c>
      <c r="G970" s="87">
        <f t="shared" si="15"/>
        <v>0</v>
      </c>
      <c r="H970" s="87"/>
      <c r="I970" s="509"/>
      <c r="J970" s="398"/>
      <c r="K970" s="398"/>
      <c r="L970" s="398"/>
      <c r="M970" s="86"/>
    </row>
    <row r="971" spans="1:13" s="653" customFormat="1" ht="15.75" x14ac:dyDescent="0.25">
      <c r="A971" s="523">
        <v>960</v>
      </c>
      <c r="B971" s="523" t="s">
        <v>1113</v>
      </c>
      <c r="C971" s="555">
        <v>9389</v>
      </c>
      <c r="D971" s="563">
        <v>15000</v>
      </c>
      <c r="E971" s="573">
        <v>167</v>
      </c>
      <c r="F971" s="563">
        <v>15000</v>
      </c>
      <c r="G971" s="87">
        <f t="shared" si="15"/>
        <v>0</v>
      </c>
      <c r="H971" s="87"/>
      <c r="I971" s="509"/>
      <c r="J971" s="398"/>
      <c r="K971" s="398"/>
      <c r="L971" s="398"/>
      <c r="M971" s="86"/>
    </row>
    <row r="972" spans="1:13" s="653" customFormat="1" ht="15.75" x14ac:dyDescent="0.25">
      <c r="A972" s="523">
        <v>961</v>
      </c>
      <c r="B972" s="523" t="s">
        <v>1113</v>
      </c>
      <c r="C972" s="555">
        <v>3869</v>
      </c>
      <c r="D972" s="563">
        <v>15000</v>
      </c>
      <c r="E972" s="573">
        <v>167</v>
      </c>
      <c r="F972" s="563">
        <v>15000</v>
      </c>
      <c r="G972" s="87">
        <f t="shared" si="15"/>
        <v>0</v>
      </c>
      <c r="H972" s="87"/>
      <c r="I972" s="509"/>
      <c r="J972" s="398"/>
      <c r="K972" s="398"/>
      <c r="L972" s="398"/>
      <c r="M972" s="86"/>
    </row>
    <row r="973" spans="1:13" s="653" customFormat="1" ht="15.75" x14ac:dyDescent="0.25">
      <c r="A973" s="523">
        <v>962</v>
      </c>
      <c r="B973" s="523" t="s">
        <v>1113</v>
      </c>
      <c r="C973" s="555">
        <v>3935</v>
      </c>
      <c r="D973" s="563">
        <v>19000</v>
      </c>
      <c r="E973" s="573">
        <v>211</v>
      </c>
      <c r="F973" s="563">
        <v>19000</v>
      </c>
      <c r="G973" s="87">
        <f t="shared" si="15"/>
        <v>0</v>
      </c>
      <c r="H973" s="87"/>
      <c r="I973" s="509"/>
      <c r="J973" s="398"/>
      <c r="K973" s="398"/>
      <c r="L973" s="398"/>
      <c r="M973" s="86"/>
    </row>
    <row r="974" spans="1:13" s="653" customFormat="1" ht="15.75" x14ac:dyDescent="0.25">
      <c r="A974" s="523">
        <v>963</v>
      </c>
      <c r="B974" s="523" t="s">
        <v>1113</v>
      </c>
      <c r="C974" s="555">
        <v>1925</v>
      </c>
      <c r="D974" s="563">
        <v>25000</v>
      </c>
      <c r="E974" s="573">
        <v>278</v>
      </c>
      <c r="F974" s="563">
        <v>25000</v>
      </c>
      <c r="G974" s="87">
        <f t="shared" si="15"/>
        <v>0</v>
      </c>
      <c r="H974" s="87"/>
      <c r="I974" s="509"/>
      <c r="J974" s="398"/>
      <c r="K974" s="398"/>
      <c r="L974" s="398"/>
      <c r="M974" s="86"/>
    </row>
    <row r="975" spans="1:13" s="653" customFormat="1" ht="15.75" x14ac:dyDescent="0.25">
      <c r="A975" s="523">
        <v>964</v>
      </c>
      <c r="B975" s="523" t="s">
        <v>1114</v>
      </c>
      <c r="C975" s="555" t="s">
        <v>30</v>
      </c>
      <c r="D975" s="563">
        <v>4500</v>
      </c>
      <c r="E975" s="573">
        <v>50</v>
      </c>
      <c r="F975" s="563">
        <v>4500</v>
      </c>
      <c r="G975" s="87">
        <f t="shared" si="15"/>
        <v>0</v>
      </c>
      <c r="H975" s="87"/>
      <c r="I975" s="509"/>
      <c r="J975" s="398"/>
      <c r="K975" s="398"/>
      <c r="L975" s="398"/>
      <c r="M975" s="86"/>
    </row>
    <row r="976" spans="1:13" s="653" customFormat="1" ht="15.75" x14ac:dyDescent="0.25">
      <c r="A976" s="523">
        <v>965</v>
      </c>
      <c r="B976" s="523" t="s">
        <v>1114</v>
      </c>
      <c r="C976" s="555">
        <v>7782</v>
      </c>
      <c r="D976" s="563">
        <v>10000</v>
      </c>
      <c r="E976" s="573">
        <v>111</v>
      </c>
      <c r="F976" s="563">
        <v>10000</v>
      </c>
      <c r="G976" s="87">
        <f t="shared" si="15"/>
        <v>0</v>
      </c>
      <c r="H976" s="87"/>
      <c r="I976" s="509"/>
      <c r="J976" s="398"/>
      <c r="K976" s="398"/>
      <c r="L976" s="398"/>
      <c r="M976" s="86"/>
    </row>
    <row r="977" spans="1:13" s="653" customFormat="1" ht="15.75" x14ac:dyDescent="0.25">
      <c r="A977" s="523">
        <v>966</v>
      </c>
      <c r="B977" s="523" t="s">
        <v>1114</v>
      </c>
      <c r="C977" s="555">
        <v>5152</v>
      </c>
      <c r="D977" s="563">
        <v>15000</v>
      </c>
      <c r="E977" s="573">
        <v>167</v>
      </c>
      <c r="F977" s="563">
        <v>15000</v>
      </c>
      <c r="G977" s="87">
        <f t="shared" si="15"/>
        <v>0</v>
      </c>
      <c r="H977" s="87"/>
      <c r="I977" s="509"/>
      <c r="J977" s="398"/>
      <c r="K977" s="398"/>
      <c r="L977" s="398"/>
      <c r="M977" s="86"/>
    </row>
    <row r="978" spans="1:13" s="653" customFormat="1" ht="15.75" x14ac:dyDescent="0.25">
      <c r="A978" s="523">
        <v>967</v>
      </c>
      <c r="B978" s="523" t="s">
        <v>1114</v>
      </c>
      <c r="C978" s="555">
        <v>1452</v>
      </c>
      <c r="D978" s="563">
        <v>14000</v>
      </c>
      <c r="E978" s="573">
        <v>155</v>
      </c>
      <c r="F978" s="563">
        <v>14000</v>
      </c>
      <c r="G978" s="87">
        <f t="shared" si="15"/>
        <v>0</v>
      </c>
      <c r="H978" s="87"/>
      <c r="I978" s="509"/>
      <c r="J978" s="398"/>
      <c r="K978" s="398"/>
      <c r="L978" s="398"/>
      <c r="M978" s="86"/>
    </row>
    <row r="979" spans="1:13" s="653" customFormat="1" ht="15.75" x14ac:dyDescent="0.25">
      <c r="A979" s="523">
        <v>968</v>
      </c>
      <c r="B979" s="523" t="s">
        <v>1114</v>
      </c>
      <c r="C979" s="607" t="s">
        <v>1039</v>
      </c>
      <c r="D979" s="563">
        <v>18000</v>
      </c>
      <c r="E979" s="573">
        <v>200</v>
      </c>
      <c r="F979" s="563">
        <v>18000</v>
      </c>
      <c r="G979" s="87">
        <f t="shared" si="15"/>
        <v>0</v>
      </c>
      <c r="H979" s="87"/>
      <c r="I979" s="509"/>
      <c r="J979" s="398"/>
      <c r="K979" s="398"/>
      <c r="L979" s="398"/>
      <c r="M979" s="86"/>
    </row>
    <row r="980" spans="1:13" s="653" customFormat="1" ht="15.75" x14ac:dyDescent="0.25">
      <c r="A980" s="523">
        <v>969</v>
      </c>
      <c r="B980" s="523" t="s">
        <v>1114</v>
      </c>
      <c r="C980" s="555">
        <v>6133</v>
      </c>
      <c r="D980" s="563">
        <v>22000</v>
      </c>
      <c r="E980" s="573">
        <v>245</v>
      </c>
      <c r="F980" s="563">
        <v>22000</v>
      </c>
      <c r="G980" s="87">
        <f t="shared" si="15"/>
        <v>0</v>
      </c>
      <c r="H980" s="87"/>
      <c r="I980" s="509"/>
      <c r="J980" s="398"/>
      <c r="K980" s="398"/>
      <c r="L980" s="398"/>
      <c r="M980" s="86"/>
    </row>
    <row r="981" spans="1:13" s="653" customFormat="1" ht="15.75" x14ac:dyDescent="0.25">
      <c r="A981" s="523">
        <v>970</v>
      </c>
      <c r="B981" s="523" t="s">
        <v>1114</v>
      </c>
      <c r="C981" s="555">
        <v>9022</v>
      </c>
      <c r="D981" s="563">
        <v>22000</v>
      </c>
      <c r="E981" s="573">
        <v>245</v>
      </c>
      <c r="F981" s="563">
        <v>22000</v>
      </c>
      <c r="G981" s="87">
        <f t="shared" si="15"/>
        <v>0</v>
      </c>
      <c r="H981" s="87"/>
      <c r="I981" s="509"/>
      <c r="J981" s="398"/>
      <c r="K981" s="398"/>
      <c r="L981" s="398"/>
      <c r="M981" s="86"/>
    </row>
    <row r="982" spans="1:13" s="653" customFormat="1" ht="15.75" x14ac:dyDescent="0.25">
      <c r="A982" s="523">
        <v>971</v>
      </c>
      <c r="B982" s="523" t="s">
        <v>1114</v>
      </c>
      <c r="C982" s="555">
        <v>6840</v>
      </c>
      <c r="D982" s="563">
        <v>20000</v>
      </c>
      <c r="E982" s="573">
        <v>222</v>
      </c>
      <c r="F982" s="563">
        <v>20000</v>
      </c>
      <c r="G982" s="87">
        <f t="shared" si="15"/>
        <v>0</v>
      </c>
      <c r="H982" s="87"/>
      <c r="I982" s="509"/>
      <c r="J982" s="398"/>
      <c r="K982" s="398"/>
      <c r="L982" s="398"/>
      <c r="M982" s="86"/>
    </row>
    <row r="983" spans="1:13" s="653" customFormat="1" ht="15.75" x14ac:dyDescent="0.25">
      <c r="A983" s="523">
        <v>972</v>
      </c>
      <c r="B983" s="523" t="s">
        <v>1114</v>
      </c>
      <c r="C983" s="555">
        <v>6671</v>
      </c>
      <c r="D983" s="563">
        <v>15000</v>
      </c>
      <c r="E983" s="573">
        <v>167</v>
      </c>
      <c r="F983" s="563">
        <v>15000</v>
      </c>
      <c r="G983" s="87">
        <f t="shared" ref="G983:G1040" si="16">D983-F983</f>
        <v>0</v>
      </c>
      <c r="H983" s="87"/>
      <c r="I983" s="509"/>
      <c r="J983" s="398"/>
      <c r="K983" s="398"/>
      <c r="L983" s="398"/>
      <c r="M983" s="86"/>
    </row>
    <row r="984" spans="1:13" s="653" customFormat="1" ht="15.75" x14ac:dyDescent="0.25">
      <c r="A984" s="523">
        <v>973</v>
      </c>
      <c r="B984" s="523" t="s">
        <v>1114</v>
      </c>
      <c r="C984" s="555" t="s">
        <v>30</v>
      </c>
      <c r="D984" s="563">
        <v>10000</v>
      </c>
      <c r="E984" s="573">
        <v>111</v>
      </c>
      <c r="F984" s="563">
        <v>10000</v>
      </c>
      <c r="G984" s="87">
        <f t="shared" si="16"/>
        <v>0</v>
      </c>
      <c r="H984" s="87"/>
      <c r="I984" s="509"/>
      <c r="J984" s="398"/>
      <c r="K984" s="398"/>
      <c r="L984" s="398"/>
      <c r="M984" s="86"/>
    </row>
    <row r="985" spans="1:13" s="653" customFormat="1" ht="15.75" x14ac:dyDescent="0.25">
      <c r="A985" s="523">
        <v>974</v>
      </c>
      <c r="B985" s="523" t="s">
        <v>1114</v>
      </c>
      <c r="C985" s="555">
        <v>6957</v>
      </c>
      <c r="D985" s="563">
        <v>20000</v>
      </c>
      <c r="E985" s="573">
        <v>211</v>
      </c>
      <c r="F985" s="563">
        <v>20000</v>
      </c>
      <c r="G985" s="87">
        <f t="shared" si="16"/>
        <v>0</v>
      </c>
      <c r="H985" s="87"/>
      <c r="I985" s="509"/>
      <c r="J985" s="398"/>
      <c r="K985" s="398"/>
      <c r="L985" s="398"/>
      <c r="M985" s="86"/>
    </row>
    <row r="986" spans="1:13" s="653" customFormat="1" ht="15.75" x14ac:dyDescent="0.25">
      <c r="A986" s="523">
        <v>975</v>
      </c>
      <c r="B986" s="523" t="s">
        <v>1114</v>
      </c>
      <c r="C986" s="555" t="s">
        <v>66</v>
      </c>
      <c r="D986" s="563">
        <v>210</v>
      </c>
      <c r="E986" s="573" t="s">
        <v>66</v>
      </c>
      <c r="F986" s="563">
        <v>210</v>
      </c>
      <c r="G986" s="87">
        <f t="shared" si="16"/>
        <v>0</v>
      </c>
      <c r="H986" s="87"/>
      <c r="I986" s="509"/>
      <c r="J986" s="398"/>
      <c r="K986" s="398"/>
      <c r="L986" s="398"/>
      <c r="M986" s="86"/>
    </row>
    <row r="987" spans="1:13" s="653" customFormat="1" ht="15.75" x14ac:dyDescent="0.25">
      <c r="A987" s="523">
        <v>976</v>
      </c>
      <c r="B987" s="523" t="s">
        <v>1114</v>
      </c>
      <c r="C987" s="555">
        <v>4036</v>
      </c>
      <c r="D987" s="563">
        <v>20000</v>
      </c>
      <c r="E987" s="573">
        <v>194</v>
      </c>
      <c r="F987" s="563">
        <v>20000</v>
      </c>
      <c r="G987" s="87">
        <f t="shared" si="16"/>
        <v>0</v>
      </c>
      <c r="H987" s="87"/>
      <c r="I987" s="509"/>
      <c r="J987" s="398"/>
      <c r="K987" s="398"/>
      <c r="L987" s="398"/>
      <c r="M987" s="86"/>
    </row>
    <row r="988" spans="1:13" s="653" customFormat="1" ht="15.75" x14ac:dyDescent="0.25">
      <c r="A988" s="523">
        <v>977</v>
      </c>
      <c r="B988" s="523" t="s">
        <v>1114</v>
      </c>
      <c r="C988" s="555">
        <v>9805</v>
      </c>
      <c r="D988" s="563">
        <v>25000</v>
      </c>
      <c r="E988" s="573">
        <v>278</v>
      </c>
      <c r="F988" s="563">
        <v>25000</v>
      </c>
      <c r="G988" s="87">
        <f t="shared" si="16"/>
        <v>0</v>
      </c>
      <c r="H988" s="87"/>
      <c r="I988" s="509"/>
      <c r="J988" s="398"/>
      <c r="K988" s="398"/>
      <c r="L988" s="398"/>
      <c r="M988" s="86"/>
    </row>
    <row r="989" spans="1:13" s="660" customFormat="1" ht="15.75" x14ac:dyDescent="0.25">
      <c r="A989" s="523">
        <v>978</v>
      </c>
      <c r="B989" s="523" t="s">
        <v>1114</v>
      </c>
      <c r="C989" s="555">
        <v>4224</v>
      </c>
      <c r="D989" s="563">
        <v>15000</v>
      </c>
      <c r="E989" s="573">
        <v>167</v>
      </c>
      <c r="F989" s="563">
        <v>15000</v>
      </c>
      <c r="G989" s="87">
        <f t="shared" si="16"/>
        <v>0</v>
      </c>
      <c r="H989" s="87"/>
      <c r="I989" s="509"/>
      <c r="J989" s="398"/>
      <c r="K989" s="398"/>
      <c r="L989" s="398"/>
      <c r="M989" s="86"/>
    </row>
    <row r="990" spans="1:13" s="660" customFormat="1" ht="15.75" x14ac:dyDescent="0.25">
      <c r="A990" s="523">
        <v>979</v>
      </c>
      <c r="B990" s="523" t="s">
        <v>1114</v>
      </c>
      <c r="C990" s="555">
        <v>9763</v>
      </c>
      <c r="D990" s="563">
        <v>25000</v>
      </c>
      <c r="E990" s="573">
        <v>278</v>
      </c>
      <c r="F990" s="563">
        <v>25000</v>
      </c>
      <c r="G990" s="87">
        <f t="shared" si="16"/>
        <v>0</v>
      </c>
      <c r="H990" s="87"/>
      <c r="I990" s="509"/>
      <c r="J990" s="398"/>
      <c r="K990" s="398"/>
      <c r="L990" s="398"/>
      <c r="M990" s="86"/>
    </row>
    <row r="991" spans="1:13" s="660" customFormat="1" ht="15.75" x14ac:dyDescent="0.25">
      <c r="A991" s="523">
        <v>980</v>
      </c>
      <c r="B991" s="523" t="s">
        <v>1114</v>
      </c>
      <c r="C991" s="555">
        <v>1390</v>
      </c>
      <c r="D991" s="563">
        <v>15000</v>
      </c>
      <c r="E991" s="573">
        <v>167</v>
      </c>
      <c r="F991" s="563">
        <v>15000</v>
      </c>
      <c r="G991" s="87">
        <f t="shared" si="16"/>
        <v>0</v>
      </c>
      <c r="H991" s="87"/>
      <c r="I991" s="509"/>
      <c r="J991" s="398"/>
      <c r="K991" s="398"/>
      <c r="L991" s="398"/>
      <c r="M991" s="86"/>
    </row>
    <row r="992" spans="1:13" s="660" customFormat="1" ht="15.75" x14ac:dyDescent="0.25">
      <c r="A992" s="523">
        <v>981</v>
      </c>
      <c r="B992" s="523" t="s">
        <v>1114</v>
      </c>
      <c r="C992" s="555" t="s">
        <v>30</v>
      </c>
      <c r="D992" s="563">
        <v>5000</v>
      </c>
      <c r="E992" s="573">
        <v>55</v>
      </c>
      <c r="F992" s="563">
        <v>5000</v>
      </c>
      <c r="G992" s="87">
        <f t="shared" si="16"/>
        <v>0</v>
      </c>
      <c r="H992" s="87"/>
      <c r="I992" s="509"/>
      <c r="J992" s="398"/>
      <c r="K992" s="398"/>
      <c r="L992" s="398"/>
      <c r="M992" s="86"/>
    </row>
    <row r="993" spans="1:13" s="660" customFormat="1" ht="15.75" x14ac:dyDescent="0.25">
      <c r="A993" s="523">
        <v>982</v>
      </c>
      <c r="B993" s="523" t="s">
        <v>1114</v>
      </c>
      <c r="C993" s="555">
        <v>2546</v>
      </c>
      <c r="D993" s="563">
        <v>30000</v>
      </c>
      <c r="E993" s="573">
        <v>334</v>
      </c>
      <c r="F993" s="563">
        <v>30000</v>
      </c>
      <c r="G993" s="87">
        <f t="shared" si="16"/>
        <v>0</v>
      </c>
      <c r="H993" s="87"/>
      <c r="I993" s="509"/>
      <c r="J993" s="398"/>
      <c r="K993" s="398"/>
      <c r="L993" s="398"/>
      <c r="M993" s="86"/>
    </row>
    <row r="994" spans="1:13" s="660" customFormat="1" ht="15.75" x14ac:dyDescent="0.25">
      <c r="A994" s="523">
        <v>983</v>
      </c>
      <c r="B994" s="523" t="s">
        <v>1114</v>
      </c>
      <c r="C994" s="555">
        <v>6096</v>
      </c>
      <c r="D994" s="563">
        <v>30000</v>
      </c>
      <c r="E994" s="573">
        <v>334</v>
      </c>
      <c r="F994" s="563">
        <v>30000</v>
      </c>
      <c r="G994" s="87">
        <f t="shared" si="16"/>
        <v>0</v>
      </c>
      <c r="H994" s="87"/>
      <c r="I994" s="509"/>
      <c r="J994" s="398"/>
      <c r="K994" s="398"/>
      <c r="L994" s="398"/>
      <c r="M994" s="86"/>
    </row>
    <row r="995" spans="1:13" s="660" customFormat="1" ht="15.75" x14ac:dyDescent="0.25">
      <c r="A995" s="523">
        <v>984</v>
      </c>
      <c r="B995" s="523" t="s">
        <v>1114</v>
      </c>
      <c r="C995" s="555">
        <v>8947</v>
      </c>
      <c r="D995" s="563">
        <v>25000</v>
      </c>
      <c r="E995" s="573">
        <v>278</v>
      </c>
      <c r="F995" s="563">
        <v>25000</v>
      </c>
      <c r="G995" s="87">
        <f t="shared" si="16"/>
        <v>0</v>
      </c>
      <c r="H995" s="87"/>
      <c r="I995" s="509"/>
      <c r="J995" s="398"/>
      <c r="K995" s="398"/>
      <c r="L995" s="398"/>
      <c r="M995" s="86"/>
    </row>
    <row r="996" spans="1:13" s="660" customFormat="1" ht="15.75" x14ac:dyDescent="0.25">
      <c r="A996" s="523">
        <v>985</v>
      </c>
      <c r="B996" s="523" t="s">
        <v>1114</v>
      </c>
      <c r="C996" s="555">
        <v>4739</v>
      </c>
      <c r="D996" s="563">
        <v>30000</v>
      </c>
      <c r="E996" s="573">
        <v>334</v>
      </c>
      <c r="F996" s="563">
        <v>30000</v>
      </c>
      <c r="G996" s="87">
        <f t="shared" si="16"/>
        <v>0</v>
      </c>
      <c r="H996" s="87"/>
      <c r="I996" s="509"/>
      <c r="J996" s="398"/>
      <c r="K996" s="398"/>
      <c r="L996" s="398"/>
      <c r="M996" s="86"/>
    </row>
    <row r="997" spans="1:13" s="660" customFormat="1" ht="15.75" x14ac:dyDescent="0.25">
      <c r="A997" s="523">
        <v>986</v>
      </c>
      <c r="B997" s="523" t="s">
        <v>1114</v>
      </c>
      <c r="C997" s="555">
        <v>6571</v>
      </c>
      <c r="D997" s="563">
        <v>22000</v>
      </c>
      <c r="E997" s="573">
        <v>181</v>
      </c>
      <c r="F997" s="563">
        <v>22000</v>
      </c>
      <c r="G997" s="87">
        <f t="shared" si="16"/>
        <v>0</v>
      </c>
      <c r="H997" s="87"/>
      <c r="I997" s="509"/>
      <c r="J997" s="398"/>
      <c r="K997" s="398"/>
      <c r="L997" s="398"/>
      <c r="M997" s="86"/>
    </row>
    <row r="998" spans="1:13" s="660" customFormat="1" ht="15.75" x14ac:dyDescent="0.25">
      <c r="A998" s="523">
        <v>987</v>
      </c>
      <c r="B998" s="523" t="s">
        <v>1116</v>
      </c>
      <c r="C998" s="555" t="s">
        <v>30</v>
      </c>
      <c r="D998" s="563">
        <v>2000</v>
      </c>
      <c r="E998" s="573">
        <v>22</v>
      </c>
      <c r="F998" s="563">
        <v>2000</v>
      </c>
      <c r="G998" s="87">
        <f t="shared" si="16"/>
        <v>0</v>
      </c>
      <c r="H998" s="87"/>
      <c r="I998" s="509"/>
      <c r="J998" s="398"/>
      <c r="K998" s="398"/>
      <c r="L998" s="398"/>
      <c r="M998" s="86"/>
    </row>
    <row r="999" spans="1:13" s="660" customFormat="1" ht="15.75" x14ac:dyDescent="0.25">
      <c r="A999" s="523">
        <v>988</v>
      </c>
      <c r="B999" s="523" t="s">
        <v>1116</v>
      </c>
      <c r="C999" s="555">
        <v>4936</v>
      </c>
      <c r="D999" s="563">
        <v>20000</v>
      </c>
      <c r="E999" s="573">
        <v>200</v>
      </c>
      <c r="F999" s="563">
        <v>20000</v>
      </c>
      <c r="G999" s="87">
        <f t="shared" si="16"/>
        <v>0</v>
      </c>
      <c r="H999" s="87"/>
      <c r="I999" s="509"/>
      <c r="J999" s="398"/>
      <c r="K999" s="398"/>
      <c r="L999" s="398"/>
      <c r="M999" s="86"/>
    </row>
    <row r="1000" spans="1:13" s="660" customFormat="1" ht="15.75" x14ac:dyDescent="0.25">
      <c r="A1000" s="523"/>
      <c r="B1000" s="523" t="s">
        <v>1116</v>
      </c>
      <c r="C1000" s="607" t="s">
        <v>949</v>
      </c>
      <c r="D1000" s="563">
        <v>30000</v>
      </c>
      <c r="E1000" s="573">
        <v>334</v>
      </c>
      <c r="F1000" s="563">
        <v>30000</v>
      </c>
      <c r="G1000" s="87">
        <f t="shared" si="16"/>
        <v>0</v>
      </c>
      <c r="H1000" s="87"/>
      <c r="I1000" s="509"/>
      <c r="J1000" s="398"/>
      <c r="K1000" s="398"/>
      <c r="L1000" s="398"/>
      <c r="M1000" s="86"/>
    </row>
    <row r="1001" spans="1:13" s="660" customFormat="1" ht="15.75" x14ac:dyDescent="0.25">
      <c r="A1001" s="523"/>
      <c r="B1001" s="523" t="s">
        <v>1116</v>
      </c>
      <c r="C1001" s="607" t="s">
        <v>877</v>
      </c>
      <c r="D1001" s="563">
        <v>20000</v>
      </c>
      <c r="E1001" s="573">
        <v>222</v>
      </c>
      <c r="F1001" s="563">
        <v>20000</v>
      </c>
      <c r="G1001" s="87">
        <f t="shared" si="16"/>
        <v>0</v>
      </c>
      <c r="H1001" s="87"/>
      <c r="I1001" s="509"/>
      <c r="J1001" s="398"/>
      <c r="K1001" s="398"/>
      <c r="L1001" s="398"/>
      <c r="M1001" s="86"/>
    </row>
    <row r="1002" spans="1:13" s="660" customFormat="1" ht="15.75" x14ac:dyDescent="0.25">
      <c r="A1002" s="523"/>
      <c r="B1002" s="523" t="s">
        <v>1116</v>
      </c>
      <c r="C1002" s="555">
        <v>3270</v>
      </c>
      <c r="D1002" s="563">
        <v>15000</v>
      </c>
      <c r="E1002" s="573">
        <v>167</v>
      </c>
      <c r="F1002" s="563">
        <v>15000</v>
      </c>
      <c r="G1002" s="87">
        <f t="shared" si="16"/>
        <v>0</v>
      </c>
      <c r="H1002" s="87"/>
      <c r="I1002" s="509"/>
      <c r="J1002" s="398"/>
      <c r="K1002" s="398"/>
      <c r="L1002" s="398"/>
      <c r="M1002" s="86"/>
    </row>
    <row r="1003" spans="1:13" s="660" customFormat="1" ht="15.75" x14ac:dyDescent="0.25">
      <c r="A1003" s="523"/>
      <c r="B1003" s="523" t="s">
        <v>1116</v>
      </c>
      <c r="C1003" s="555">
        <v>9497</v>
      </c>
      <c r="D1003" s="563">
        <v>15000</v>
      </c>
      <c r="E1003" s="573">
        <v>167</v>
      </c>
      <c r="F1003" s="563">
        <v>15000</v>
      </c>
      <c r="G1003" s="87">
        <f t="shared" si="16"/>
        <v>0</v>
      </c>
      <c r="H1003" s="87"/>
      <c r="I1003" s="509"/>
      <c r="J1003" s="398"/>
      <c r="K1003" s="398"/>
      <c r="L1003" s="398"/>
      <c r="M1003" s="86"/>
    </row>
    <row r="1004" spans="1:13" s="660" customFormat="1" ht="15.75" x14ac:dyDescent="0.25">
      <c r="A1004" s="523"/>
      <c r="B1004" s="523" t="s">
        <v>1116</v>
      </c>
      <c r="C1004" s="555">
        <v>5783</v>
      </c>
      <c r="D1004" s="563">
        <v>20000</v>
      </c>
      <c r="E1004" s="573">
        <v>222</v>
      </c>
      <c r="F1004" s="563">
        <v>20000</v>
      </c>
      <c r="G1004" s="87">
        <f t="shared" si="16"/>
        <v>0</v>
      </c>
      <c r="H1004" s="87"/>
      <c r="I1004" s="509"/>
      <c r="J1004" s="398"/>
      <c r="K1004" s="398"/>
      <c r="L1004" s="398"/>
      <c r="M1004" s="86"/>
    </row>
    <row r="1005" spans="1:13" s="660" customFormat="1" ht="15.75" x14ac:dyDescent="0.25">
      <c r="A1005" s="523"/>
      <c r="B1005" s="523" t="s">
        <v>1116</v>
      </c>
      <c r="C1005" s="555">
        <v>7217</v>
      </c>
      <c r="D1005" s="563">
        <v>32000</v>
      </c>
      <c r="E1005" s="573">
        <v>345</v>
      </c>
      <c r="F1005" s="563">
        <v>32000</v>
      </c>
      <c r="G1005" s="87">
        <f t="shared" si="16"/>
        <v>0</v>
      </c>
      <c r="H1005" s="87"/>
      <c r="I1005" s="509"/>
      <c r="J1005" s="398"/>
      <c r="K1005" s="398"/>
      <c r="L1005" s="398"/>
      <c r="M1005" s="86"/>
    </row>
    <row r="1006" spans="1:13" s="660" customFormat="1" ht="15.75" x14ac:dyDescent="0.25">
      <c r="A1006" s="523"/>
      <c r="B1006" s="523" t="s">
        <v>1116</v>
      </c>
      <c r="C1006" s="555" t="s">
        <v>30</v>
      </c>
      <c r="D1006" s="563">
        <v>4500</v>
      </c>
      <c r="E1006" s="573">
        <v>47</v>
      </c>
      <c r="F1006" s="563">
        <v>4500</v>
      </c>
      <c r="G1006" s="87">
        <f t="shared" si="16"/>
        <v>0</v>
      </c>
      <c r="H1006" s="87"/>
      <c r="I1006" s="509"/>
      <c r="J1006" s="398"/>
      <c r="K1006" s="398"/>
      <c r="L1006" s="398"/>
      <c r="M1006" s="86"/>
    </row>
    <row r="1007" spans="1:13" s="660" customFormat="1" ht="15.75" x14ac:dyDescent="0.25">
      <c r="A1007" s="523"/>
      <c r="B1007" s="523" t="s">
        <v>1116</v>
      </c>
      <c r="C1007" s="555">
        <v>5184</v>
      </c>
      <c r="D1007" s="563">
        <v>31000</v>
      </c>
      <c r="E1007" s="573">
        <v>334</v>
      </c>
      <c r="F1007" s="563">
        <v>31000</v>
      </c>
      <c r="G1007" s="87">
        <f t="shared" si="16"/>
        <v>0</v>
      </c>
      <c r="H1007" s="87"/>
      <c r="I1007" s="509"/>
      <c r="J1007" s="398"/>
      <c r="K1007" s="398"/>
      <c r="L1007" s="398"/>
      <c r="M1007" s="86"/>
    </row>
    <row r="1008" spans="1:13" s="660" customFormat="1" ht="15.75" x14ac:dyDescent="0.25">
      <c r="A1008" s="523"/>
      <c r="B1008" s="523" t="s">
        <v>1116</v>
      </c>
      <c r="C1008" s="555">
        <v>5271</v>
      </c>
      <c r="D1008" s="563">
        <v>22000</v>
      </c>
      <c r="E1008" s="573">
        <v>238</v>
      </c>
      <c r="F1008" s="563">
        <v>22000</v>
      </c>
      <c r="G1008" s="87">
        <f t="shared" si="16"/>
        <v>0</v>
      </c>
      <c r="H1008" s="87"/>
      <c r="I1008" s="509"/>
      <c r="J1008" s="398"/>
      <c r="K1008" s="398"/>
      <c r="L1008" s="398"/>
      <c r="M1008" s="86"/>
    </row>
    <row r="1009" spans="1:13" s="660" customFormat="1" ht="15.75" x14ac:dyDescent="0.25">
      <c r="A1009" s="523"/>
      <c r="B1009" s="523" t="s">
        <v>1116</v>
      </c>
      <c r="C1009" s="555">
        <v>1960</v>
      </c>
      <c r="D1009" s="563">
        <v>24000</v>
      </c>
      <c r="E1009" s="573">
        <v>244</v>
      </c>
      <c r="F1009" s="563">
        <v>24000</v>
      </c>
      <c r="G1009" s="87">
        <f t="shared" si="16"/>
        <v>0</v>
      </c>
      <c r="H1009" s="87"/>
      <c r="I1009" s="509"/>
      <c r="J1009" s="398"/>
      <c r="K1009" s="398"/>
      <c r="L1009" s="398"/>
      <c r="M1009" s="86"/>
    </row>
    <row r="1010" spans="1:13" s="660" customFormat="1" ht="15.75" x14ac:dyDescent="0.25">
      <c r="A1010" s="523"/>
      <c r="B1010" s="523" t="s">
        <v>1116</v>
      </c>
      <c r="C1010" s="555">
        <v>2880</v>
      </c>
      <c r="D1010" s="563">
        <v>20000</v>
      </c>
      <c r="E1010" s="573">
        <v>222</v>
      </c>
      <c r="F1010" s="563">
        <v>20000</v>
      </c>
      <c r="G1010" s="87">
        <f t="shared" si="16"/>
        <v>0</v>
      </c>
      <c r="H1010" s="87"/>
      <c r="I1010" s="509"/>
      <c r="J1010" s="398"/>
      <c r="K1010" s="398"/>
      <c r="L1010" s="398"/>
      <c r="M1010" s="86"/>
    </row>
    <row r="1011" spans="1:13" s="660" customFormat="1" ht="15.75" x14ac:dyDescent="0.25">
      <c r="A1011" s="523"/>
      <c r="B1011" s="523" t="s">
        <v>1116</v>
      </c>
      <c r="C1011" s="555">
        <v>7399</v>
      </c>
      <c r="D1011" s="563">
        <v>15000</v>
      </c>
      <c r="E1011" s="573">
        <v>167</v>
      </c>
      <c r="F1011" s="563">
        <v>15000</v>
      </c>
      <c r="G1011" s="87">
        <f t="shared" si="16"/>
        <v>0</v>
      </c>
      <c r="H1011" s="87"/>
      <c r="I1011" s="509"/>
      <c r="J1011" s="398"/>
      <c r="K1011" s="398"/>
      <c r="L1011" s="398"/>
      <c r="M1011" s="86"/>
    </row>
    <row r="1012" spans="1:13" s="660" customFormat="1" ht="15.75" x14ac:dyDescent="0.25">
      <c r="A1012" s="523"/>
      <c r="B1012" s="523" t="s">
        <v>1116</v>
      </c>
      <c r="C1012" s="555">
        <v>4836</v>
      </c>
      <c r="D1012" s="563">
        <v>26000</v>
      </c>
      <c r="E1012" s="573">
        <v>289</v>
      </c>
      <c r="F1012" s="563">
        <v>26000</v>
      </c>
      <c r="G1012" s="87">
        <f t="shared" si="16"/>
        <v>0</v>
      </c>
      <c r="H1012" s="87"/>
      <c r="I1012" s="509"/>
      <c r="J1012" s="398"/>
      <c r="K1012" s="398"/>
      <c r="L1012" s="398"/>
      <c r="M1012" s="86"/>
    </row>
    <row r="1013" spans="1:13" s="660" customFormat="1" ht="15.75" x14ac:dyDescent="0.25">
      <c r="A1013" s="523"/>
      <c r="B1013" s="523" t="s">
        <v>1116</v>
      </c>
      <c r="C1013" s="607" t="s">
        <v>918</v>
      </c>
      <c r="D1013" s="563">
        <v>25000</v>
      </c>
      <c r="E1013" s="573">
        <v>265</v>
      </c>
      <c r="F1013" s="563">
        <v>25000</v>
      </c>
      <c r="G1013" s="87">
        <f t="shared" si="16"/>
        <v>0</v>
      </c>
      <c r="H1013" s="87"/>
      <c r="I1013" s="509"/>
      <c r="J1013" s="398"/>
      <c r="K1013" s="398"/>
      <c r="L1013" s="398"/>
      <c r="M1013" s="86"/>
    </row>
    <row r="1014" spans="1:13" s="660" customFormat="1" ht="15.75" x14ac:dyDescent="0.25">
      <c r="A1014" s="523"/>
      <c r="B1014" s="523" t="s">
        <v>1116</v>
      </c>
      <c r="C1014" s="555">
        <v>5381</v>
      </c>
      <c r="D1014" s="563">
        <v>20000</v>
      </c>
      <c r="E1014" s="573">
        <v>219</v>
      </c>
      <c r="F1014" s="563">
        <v>20000</v>
      </c>
      <c r="G1014" s="87">
        <f t="shared" si="16"/>
        <v>0</v>
      </c>
      <c r="H1014" s="87"/>
      <c r="I1014" s="509"/>
      <c r="J1014" s="398"/>
      <c r="K1014" s="398"/>
      <c r="L1014" s="398"/>
      <c r="M1014" s="86"/>
    </row>
    <row r="1015" spans="1:13" s="660" customFormat="1" ht="15.75" x14ac:dyDescent="0.25">
      <c r="A1015" s="523"/>
      <c r="B1015" s="523" t="s">
        <v>1116</v>
      </c>
      <c r="C1015" s="555">
        <v>1948</v>
      </c>
      <c r="D1015" s="563">
        <v>30000</v>
      </c>
      <c r="E1015" s="573">
        <v>334</v>
      </c>
      <c r="F1015" s="563">
        <v>30000</v>
      </c>
      <c r="G1015" s="87">
        <f t="shared" si="16"/>
        <v>0</v>
      </c>
      <c r="H1015" s="87"/>
      <c r="I1015" s="509"/>
      <c r="J1015" s="398"/>
      <c r="K1015" s="398"/>
      <c r="L1015" s="398"/>
      <c r="M1015" s="86"/>
    </row>
    <row r="1016" spans="1:13" s="660" customFormat="1" ht="15.75" x14ac:dyDescent="0.25">
      <c r="A1016" s="523"/>
      <c r="B1016" s="523" t="s">
        <v>1116</v>
      </c>
      <c r="C1016" s="555">
        <v>4887</v>
      </c>
      <c r="D1016" s="563">
        <v>28000</v>
      </c>
      <c r="E1016" s="573">
        <v>311</v>
      </c>
      <c r="F1016" s="563">
        <v>28000</v>
      </c>
      <c r="G1016" s="87">
        <f t="shared" si="16"/>
        <v>0</v>
      </c>
      <c r="H1016" s="87"/>
      <c r="I1016" s="509"/>
      <c r="J1016" s="398"/>
      <c r="K1016" s="398"/>
      <c r="L1016" s="398"/>
      <c r="M1016" s="86"/>
    </row>
    <row r="1017" spans="1:13" s="660" customFormat="1" ht="15.75" x14ac:dyDescent="0.25">
      <c r="A1017" s="523"/>
      <c r="B1017" s="523" t="s">
        <v>1116</v>
      </c>
      <c r="C1017" s="555">
        <v>5263</v>
      </c>
      <c r="D1017" s="563">
        <v>25000</v>
      </c>
      <c r="E1017" s="573">
        <v>267</v>
      </c>
      <c r="F1017" s="563">
        <v>25000</v>
      </c>
      <c r="G1017" s="87">
        <f t="shared" si="16"/>
        <v>0</v>
      </c>
      <c r="H1017" s="87"/>
      <c r="I1017" s="509"/>
      <c r="J1017" s="398"/>
      <c r="K1017" s="398"/>
      <c r="L1017" s="398"/>
      <c r="M1017" s="86"/>
    </row>
    <row r="1018" spans="1:13" s="660" customFormat="1" ht="15.75" x14ac:dyDescent="0.25">
      <c r="A1018" s="523"/>
      <c r="B1018" s="523" t="s">
        <v>1154</v>
      </c>
      <c r="C1018" s="555">
        <v>9876</v>
      </c>
      <c r="D1018" s="563">
        <v>20000</v>
      </c>
      <c r="E1018" s="573">
        <v>212</v>
      </c>
      <c r="F1018" s="563">
        <v>20000</v>
      </c>
      <c r="G1018" s="87">
        <f t="shared" si="16"/>
        <v>0</v>
      </c>
      <c r="H1018" s="87"/>
      <c r="I1018" s="509"/>
      <c r="J1018" s="398"/>
      <c r="K1018" s="398"/>
      <c r="L1018" s="398"/>
      <c r="M1018" s="86"/>
    </row>
    <row r="1019" spans="1:13" s="660" customFormat="1" ht="15.75" x14ac:dyDescent="0.25">
      <c r="A1019" s="523"/>
      <c r="B1019" s="523" t="s">
        <v>1154</v>
      </c>
      <c r="C1019" s="555">
        <v>9777</v>
      </c>
      <c r="D1019" s="563">
        <v>20000</v>
      </c>
      <c r="E1019" s="573">
        <v>216</v>
      </c>
      <c r="F1019" s="563">
        <v>20000</v>
      </c>
      <c r="G1019" s="87">
        <f t="shared" si="16"/>
        <v>0</v>
      </c>
      <c r="H1019" s="87"/>
      <c r="I1019" s="509"/>
      <c r="J1019" s="398"/>
      <c r="K1019" s="398"/>
      <c r="L1019" s="398"/>
      <c r="M1019" s="86"/>
    </row>
    <row r="1020" spans="1:13" s="660" customFormat="1" ht="15.75" x14ac:dyDescent="0.25">
      <c r="A1020" s="523"/>
      <c r="B1020" s="523" t="s">
        <v>1154</v>
      </c>
      <c r="C1020" s="555">
        <v>3176</v>
      </c>
      <c r="D1020" s="563">
        <v>12000</v>
      </c>
      <c r="E1020" s="573">
        <v>133</v>
      </c>
      <c r="F1020" s="563">
        <v>12000</v>
      </c>
      <c r="G1020" s="87">
        <f t="shared" si="16"/>
        <v>0</v>
      </c>
      <c r="H1020" s="87"/>
      <c r="I1020" s="509"/>
      <c r="J1020" s="398"/>
      <c r="K1020" s="398"/>
      <c r="L1020" s="398"/>
      <c r="M1020" s="86"/>
    </row>
    <row r="1021" spans="1:13" s="660" customFormat="1" ht="15.75" x14ac:dyDescent="0.25">
      <c r="A1021" s="523"/>
      <c r="B1021" s="523" t="s">
        <v>1154</v>
      </c>
      <c r="C1021" s="555" t="s">
        <v>30</v>
      </c>
      <c r="D1021" s="563">
        <v>5000</v>
      </c>
      <c r="E1021" s="573">
        <v>55</v>
      </c>
      <c r="F1021" s="563">
        <v>5000</v>
      </c>
      <c r="G1021" s="87">
        <f t="shared" si="16"/>
        <v>0</v>
      </c>
      <c r="H1021" s="87"/>
      <c r="I1021" s="509"/>
      <c r="J1021" s="398"/>
      <c r="K1021" s="398"/>
      <c r="L1021" s="398"/>
      <c r="M1021" s="86"/>
    </row>
    <row r="1022" spans="1:13" s="660" customFormat="1" ht="15.75" x14ac:dyDescent="0.25">
      <c r="A1022" s="523"/>
      <c r="B1022" s="523" t="s">
        <v>1154</v>
      </c>
      <c r="C1022" s="607" t="s">
        <v>1155</v>
      </c>
      <c r="D1022" s="563">
        <v>14000</v>
      </c>
      <c r="E1022" s="573">
        <v>155</v>
      </c>
      <c r="F1022" s="563">
        <v>14000</v>
      </c>
      <c r="G1022" s="87">
        <f t="shared" si="16"/>
        <v>0</v>
      </c>
      <c r="H1022" s="87"/>
      <c r="I1022" s="509"/>
      <c r="J1022" s="398"/>
      <c r="K1022" s="398"/>
      <c r="L1022" s="398"/>
      <c r="M1022" s="86"/>
    </row>
    <row r="1023" spans="1:13" s="660" customFormat="1" ht="15.75" x14ac:dyDescent="0.25">
      <c r="A1023" s="523"/>
      <c r="B1023" s="523" t="s">
        <v>1154</v>
      </c>
      <c r="C1023" s="555">
        <v>9312</v>
      </c>
      <c r="D1023" s="563">
        <v>30000</v>
      </c>
      <c r="E1023" s="573">
        <v>334</v>
      </c>
      <c r="F1023" s="563">
        <v>30000</v>
      </c>
      <c r="G1023" s="87">
        <f t="shared" si="16"/>
        <v>0</v>
      </c>
      <c r="H1023" s="87"/>
      <c r="I1023" s="509"/>
      <c r="J1023" s="398"/>
      <c r="K1023" s="398"/>
      <c r="L1023" s="398"/>
      <c r="M1023" s="86"/>
    </row>
    <row r="1024" spans="1:13" s="660" customFormat="1" ht="15.75" x14ac:dyDescent="0.25">
      <c r="A1024" s="523"/>
      <c r="B1024" s="523" t="s">
        <v>1154</v>
      </c>
      <c r="C1024" s="555">
        <v>1034</v>
      </c>
      <c r="D1024" s="563">
        <v>22000</v>
      </c>
      <c r="E1024" s="573">
        <v>235</v>
      </c>
      <c r="F1024" s="563">
        <v>22000</v>
      </c>
      <c r="G1024" s="87">
        <f t="shared" si="16"/>
        <v>0</v>
      </c>
      <c r="H1024" s="87"/>
      <c r="I1024" s="509"/>
      <c r="J1024" s="398"/>
      <c r="K1024" s="398"/>
      <c r="L1024" s="398"/>
      <c r="M1024" s="86"/>
    </row>
    <row r="1025" spans="1:13" s="660" customFormat="1" ht="15.75" x14ac:dyDescent="0.25">
      <c r="A1025" s="523"/>
      <c r="B1025" s="523" t="s">
        <v>1154</v>
      </c>
      <c r="C1025" s="555">
        <v>9192</v>
      </c>
      <c r="D1025" s="563">
        <v>22000</v>
      </c>
      <c r="E1025" s="573">
        <v>245</v>
      </c>
      <c r="F1025" s="563">
        <v>22000</v>
      </c>
      <c r="G1025" s="87">
        <f t="shared" si="16"/>
        <v>0</v>
      </c>
      <c r="H1025" s="87"/>
      <c r="I1025" s="509"/>
      <c r="J1025" s="398"/>
      <c r="K1025" s="398"/>
      <c r="L1025" s="398"/>
      <c r="M1025" s="86"/>
    </row>
    <row r="1026" spans="1:13" s="660" customFormat="1" ht="15.75" x14ac:dyDescent="0.25">
      <c r="A1026" s="523"/>
      <c r="B1026" s="523" t="s">
        <v>1154</v>
      </c>
      <c r="C1026" s="555">
        <v>9257</v>
      </c>
      <c r="D1026" s="563">
        <v>25000</v>
      </c>
      <c r="E1026" s="573">
        <v>278</v>
      </c>
      <c r="F1026" s="563">
        <v>25000</v>
      </c>
      <c r="G1026" s="87">
        <f t="shared" si="16"/>
        <v>0</v>
      </c>
      <c r="H1026" s="87"/>
      <c r="I1026" s="509"/>
      <c r="J1026" s="398"/>
      <c r="K1026" s="398"/>
      <c r="L1026" s="398"/>
      <c r="M1026" s="86"/>
    </row>
    <row r="1027" spans="1:13" s="660" customFormat="1" ht="15.75" x14ac:dyDescent="0.25">
      <c r="A1027" s="523"/>
      <c r="B1027" s="523" t="s">
        <v>1154</v>
      </c>
      <c r="C1027" s="607" t="s">
        <v>1076</v>
      </c>
      <c r="D1027" s="563">
        <v>20000</v>
      </c>
      <c r="E1027" s="573">
        <v>222</v>
      </c>
      <c r="F1027" s="563">
        <v>20000</v>
      </c>
      <c r="G1027" s="87">
        <f t="shared" si="16"/>
        <v>0</v>
      </c>
      <c r="H1027" s="87"/>
      <c r="I1027" s="509"/>
      <c r="J1027" s="398"/>
      <c r="K1027" s="398"/>
      <c r="L1027" s="398"/>
      <c r="M1027" s="86"/>
    </row>
    <row r="1028" spans="1:13" s="660" customFormat="1" ht="15.75" x14ac:dyDescent="0.25">
      <c r="A1028" s="523"/>
      <c r="B1028" s="523" t="s">
        <v>1154</v>
      </c>
      <c r="C1028" s="607" t="s">
        <v>1156</v>
      </c>
      <c r="D1028" s="563">
        <v>18000</v>
      </c>
      <c r="E1028" s="573">
        <v>200</v>
      </c>
      <c r="F1028" s="563">
        <v>18000</v>
      </c>
      <c r="G1028" s="87">
        <f t="shared" si="16"/>
        <v>0</v>
      </c>
      <c r="H1028" s="87"/>
      <c r="I1028" s="509"/>
      <c r="J1028" s="398"/>
      <c r="K1028" s="398"/>
      <c r="L1028" s="398"/>
      <c r="M1028" s="86"/>
    </row>
    <row r="1029" spans="1:13" s="660" customFormat="1" ht="15.75" x14ac:dyDescent="0.25">
      <c r="A1029" s="523"/>
      <c r="B1029" s="523" t="s">
        <v>1154</v>
      </c>
      <c r="C1029" s="555">
        <v>3195</v>
      </c>
      <c r="D1029" s="563">
        <v>16000</v>
      </c>
      <c r="E1029" s="573">
        <v>178</v>
      </c>
      <c r="F1029" s="563">
        <v>16000</v>
      </c>
      <c r="G1029" s="87">
        <f t="shared" si="16"/>
        <v>0</v>
      </c>
      <c r="H1029" s="87"/>
      <c r="I1029" s="509"/>
      <c r="J1029" s="398"/>
      <c r="K1029" s="398"/>
      <c r="L1029" s="398"/>
      <c r="M1029" s="86"/>
    </row>
    <row r="1030" spans="1:13" s="660" customFormat="1" ht="15.75" x14ac:dyDescent="0.25">
      <c r="A1030" s="523"/>
      <c r="B1030" s="523" t="s">
        <v>1154</v>
      </c>
      <c r="C1030" s="555">
        <v>3175</v>
      </c>
      <c r="D1030" s="563">
        <v>16000</v>
      </c>
      <c r="E1030" s="573">
        <v>178</v>
      </c>
      <c r="F1030" s="563">
        <v>16000</v>
      </c>
      <c r="G1030" s="87">
        <f t="shared" si="16"/>
        <v>0</v>
      </c>
      <c r="H1030" s="87"/>
      <c r="I1030" s="509"/>
      <c r="J1030" s="398"/>
      <c r="K1030" s="398"/>
      <c r="L1030" s="398"/>
      <c r="M1030" s="86"/>
    </row>
    <row r="1031" spans="1:13" s="660" customFormat="1" ht="15.75" x14ac:dyDescent="0.25">
      <c r="A1031" s="523"/>
      <c r="B1031" s="523" t="s">
        <v>1154</v>
      </c>
      <c r="C1031" s="555">
        <v>3662</v>
      </c>
      <c r="D1031" s="563">
        <v>21000</v>
      </c>
      <c r="E1031" s="573">
        <v>233</v>
      </c>
      <c r="F1031" s="563">
        <v>21000</v>
      </c>
      <c r="G1031" s="87">
        <f t="shared" si="16"/>
        <v>0</v>
      </c>
      <c r="H1031" s="87"/>
      <c r="I1031" s="509"/>
      <c r="J1031" s="398"/>
      <c r="K1031" s="398"/>
      <c r="L1031" s="398"/>
      <c r="M1031" s="86"/>
    </row>
    <row r="1032" spans="1:13" s="660" customFormat="1" ht="15.75" x14ac:dyDescent="0.25">
      <c r="A1032" s="523"/>
      <c r="B1032" s="523" t="s">
        <v>1154</v>
      </c>
      <c r="C1032" s="555">
        <v>7258</v>
      </c>
      <c r="D1032" s="563">
        <v>27000</v>
      </c>
      <c r="E1032" s="573">
        <v>271</v>
      </c>
      <c r="F1032" s="563">
        <v>27000</v>
      </c>
      <c r="G1032" s="87">
        <f t="shared" si="16"/>
        <v>0</v>
      </c>
      <c r="H1032" s="87"/>
      <c r="I1032" s="509"/>
      <c r="J1032" s="398"/>
      <c r="K1032" s="398"/>
      <c r="L1032" s="398"/>
      <c r="M1032" s="86"/>
    </row>
    <row r="1033" spans="1:13" s="660" customFormat="1" ht="15.75" x14ac:dyDescent="0.25">
      <c r="A1033" s="523"/>
      <c r="B1033" s="523" t="s">
        <v>1154</v>
      </c>
      <c r="C1033" s="555">
        <v>9978</v>
      </c>
      <c r="D1033" s="563">
        <v>25000</v>
      </c>
      <c r="E1033" s="573">
        <v>278</v>
      </c>
      <c r="F1033" s="563">
        <v>25000</v>
      </c>
      <c r="G1033" s="87">
        <f t="shared" si="16"/>
        <v>0</v>
      </c>
      <c r="H1033" s="87"/>
      <c r="I1033" s="509"/>
      <c r="J1033" s="398"/>
      <c r="K1033" s="398"/>
      <c r="L1033" s="398"/>
      <c r="M1033" s="86"/>
    </row>
    <row r="1034" spans="1:13" s="660" customFormat="1" ht="15.75" x14ac:dyDescent="0.25">
      <c r="A1034" s="523"/>
      <c r="B1034" s="523" t="s">
        <v>1154</v>
      </c>
      <c r="C1034" s="555">
        <v>9903</v>
      </c>
      <c r="D1034" s="563">
        <v>22000</v>
      </c>
      <c r="E1034" s="573">
        <v>236</v>
      </c>
      <c r="F1034" s="563">
        <v>22000</v>
      </c>
      <c r="G1034" s="87">
        <f t="shared" si="16"/>
        <v>0</v>
      </c>
      <c r="H1034" s="87"/>
      <c r="I1034" s="509"/>
      <c r="J1034" s="398"/>
      <c r="K1034" s="398"/>
      <c r="L1034" s="398"/>
      <c r="M1034" s="86"/>
    </row>
    <row r="1035" spans="1:13" s="660" customFormat="1" ht="15.75" x14ac:dyDescent="0.25">
      <c r="A1035" s="523"/>
      <c r="B1035" s="523" t="s">
        <v>1154</v>
      </c>
      <c r="C1035" s="555">
        <v>5607</v>
      </c>
      <c r="D1035" s="563">
        <v>30000</v>
      </c>
      <c r="E1035" s="573">
        <v>334</v>
      </c>
      <c r="F1035" s="563">
        <v>30000</v>
      </c>
      <c r="G1035" s="87">
        <f t="shared" si="16"/>
        <v>0</v>
      </c>
      <c r="H1035" s="87"/>
      <c r="I1035" s="509"/>
      <c r="J1035" s="398"/>
      <c r="K1035" s="398"/>
      <c r="L1035" s="398"/>
      <c r="M1035" s="86"/>
    </row>
    <row r="1036" spans="1:13" s="660" customFormat="1" ht="15.75" x14ac:dyDescent="0.25">
      <c r="A1036" s="523"/>
      <c r="B1036" s="523" t="s">
        <v>1154</v>
      </c>
      <c r="C1036" s="555">
        <v>2507</v>
      </c>
      <c r="D1036" s="563">
        <v>28000</v>
      </c>
      <c r="E1036" s="573">
        <v>311</v>
      </c>
      <c r="F1036" s="563">
        <v>28000</v>
      </c>
      <c r="G1036" s="87">
        <f t="shared" si="16"/>
        <v>0</v>
      </c>
      <c r="H1036" s="87"/>
      <c r="I1036" s="509"/>
      <c r="J1036" s="398"/>
      <c r="K1036" s="398"/>
      <c r="L1036" s="398"/>
      <c r="M1036" s="86"/>
    </row>
    <row r="1037" spans="1:13" s="660" customFormat="1" ht="15.75" x14ac:dyDescent="0.25">
      <c r="A1037" s="523"/>
      <c r="B1037" s="523" t="s">
        <v>1154</v>
      </c>
      <c r="C1037" s="555">
        <v>2320</v>
      </c>
      <c r="D1037" s="563">
        <v>25000</v>
      </c>
      <c r="E1037" s="573">
        <v>278</v>
      </c>
      <c r="F1037" s="563">
        <v>25000</v>
      </c>
      <c r="G1037" s="87">
        <f t="shared" si="16"/>
        <v>0</v>
      </c>
      <c r="H1037" s="87"/>
      <c r="I1037" s="509"/>
      <c r="J1037" s="398"/>
      <c r="K1037" s="398"/>
      <c r="L1037" s="398"/>
      <c r="M1037" s="86"/>
    </row>
    <row r="1038" spans="1:13" s="660" customFormat="1" ht="15.75" x14ac:dyDescent="0.25">
      <c r="A1038" s="523"/>
      <c r="B1038" s="523" t="s">
        <v>1154</v>
      </c>
      <c r="C1038" s="555">
        <v>9004</v>
      </c>
      <c r="D1038" s="563">
        <v>35000</v>
      </c>
      <c r="E1038" s="573">
        <v>389</v>
      </c>
      <c r="F1038" s="563">
        <v>35000</v>
      </c>
      <c r="G1038" s="87">
        <f t="shared" si="16"/>
        <v>0</v>
      </c>
      <c r="H1038" s="87"/>
      <c r="I1038" s="509"/>
      <c r="J1038" s="398"/>
      <c r="K1038" s="398"/>
      <c r="L1038" s="398"/>
      <c r="M1038" s="86"/>
    </row>
    <row r="1039" spans="1:13" s="660" customFormat="1" ht="15.75" x14ac:dyDescent="0.25">
      <c r="A1039" s="523"/>
      <c r="B1039" s="523" t="s">
        <v>1154</v>
      </c>
      <c r="C1039" s="555">
        <v>2174</v>
      </c>
      <c r="D1039" s="563">
        <v>30000</v>
      </c>
      <c r="E1039" s="573">
        <v>334</v>
      </c>
      <c r="F1039" s="563">
        <v>30000</v>
      </c>
      <c r="G1039" s="87">
        <f t="shared" si="16"/>
        <v>0</v>
      </c>
      <c r="H1039" s="87"/>
      <c r="I1039" s="509"/>
      <c r="J1039" s="398"/>
      <c r="K1039" s="398"/>
      <c r="L1039" s="398"/>
      <c r="M1039" s="86"/>
    </row>
    <row r="1040" spans="1:13" s="660" customFormat="1" ht="15.75" x14ac:dyDescent="0.25">
      <c r="A1040" s="523"/>
      <c r="B1040" s="523" t="s">
        <v>1154</v>
      </c>
      <c r="C1040" s="555">
        <v>2750</v>
      </c>
      <c r="D1040" s="563">
        <v>25000</v>
      </c>
      <c r="E1040" s="573">
        <v>278</v>
      </c>
      <c r="F1040" s="563">
        <v>25000</v>
      </c>
      <c r="G1040" s="87">
        <f t="shared" si="16"/>
        <v>0</v>
      </c>
      <c r="H1040" s="87"/>
      <c r="I1040" s="509"/>
      <c r="J1040" s="398"/>
      <c r="K1040" s="398"/>
      <c r="L1040" s="398"/>
      <c r="M1040" s="86"/>
    </row>
    <row r="1041" spans="1:13" ht="15.75" x14ac:dyDescent="0.25">
      <c r="A1041" s="87"/>
      <c r="B1041" s="87"/>
      <c r="C1041" s="602" t="s">
        <v>9</v>
      </c>
      <c r="D1041" s="569">
        <f>SUM(D4:D1040)</f>
        <v>22476817</v>
      </c>
      <c r="E1041" s="569">
        <f>SUM(E5:E1040)</f>
        <v>218637</v>
      </c>
      <c r="F1041" s="569">
        <f>SUM(F4:F1040)</f>
        <v>22476817</v>
      </c>
      <c r="G1041" s="569"/>
      <c r="H1041" s="514"/>
      <c r="I1041" s="509"/>
      <c r="J1041" s="629"/>
      <c r="K1041" s="629"/>
      <c r="L1041" s="629"/>
      <c r="M1041" s="629"/>
    </row>
    <row r="1042" spans="1:13" ht="15.75" x14ac:dyDescent="0.25">
      <c r="A1042" s="87"/>
      <c r="B1042" s="87"/>
      <c r="C1042" s="602" t="s">
        <v>10</v>
      </c>
      <c r="D1042" s="601">
        <f>SUM(D1041-H1042)</f>
        <v>-1623183</v>
      </c>
      <c r="E1042" s="569"/>
      <c r="F1042" s="601">
        <f>SUM(F1041-H1042)</f>
        <v>-1623183</v>
      </c>
      <c r="G1042" s="601"/>
      <c r="H1042" s="639">
        <f>SUM(H5:H140)</f>
        <v>24100000</v>
      </c>
      <c r="I1042" s="509"/>
      <c r="J1042" s="629"/>
      <c r="K1042" s="629"/>
      <c r="L1042" s="629"/>
      <c r="M1042" s="62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activeCell="D891" sqref="D891"/>
    </sheetView>
  </sheetViews>
  <sheetFormatPr defaultRowHeight="14.25" x14ac:dyDescent="0.2"/>
  <cols>
    <col min="1" max="1" width="6.875" customWidth="1"/>
    <col min="3" max="3" width="13.875" bestFit="1" customWidth="1"/>
    <col min="4" max="4" width="13.125" customWidth="1"/>
    <col min="5" max="5" width="10.75" customWidth="1"/>
    <col min="6" max="6" width="12.625" customWidth="1"/>
    <col min="7" max="7" width="13" customWidth="1"/>
    <col min="8" max="8" width="13.75" bestFit="1" customWidth="1"/>
  </cols>
  <sheetData>
    <row r="1" spans="1:12" ht="21" x14ac:dyDescent="0.35">
      <c r="A1" s="510"/>
      <c r="B1" s="510"/>
      <c r="C1" s="557"/>
      <c r="D1" s="419" t="s">
        <v>1192</v>
      </c>
      <c r="E1" s="419"/>
      <c r="F1" s="419"/>
      <c r="G1" s="510"/>
      <c r="H1" s="510"/>
      <c r="I1" s="510"/>
    </row>
    <row r="2" spans="1:12" ht="15" x14ac:dyDescent="0.25">
      <c r="A2" s="510"/>
      <c r="B2" s="510"/>
      <c r="C2" s="557"/>
      <c r="D2" s="511" t="s">
        <v>1193</v>
      </c>
      <c r="E2" s="512"/>
      <c r="F2" s="512"/>
      <c r="G2" s="510"/>
      <c r="H2" s="510"/>
      <c r="I2" s="510"/>
    </row>
    <row r="3" spans="1:12" ht="15.75" x14ac:dyDescent="0.25">
      <c r="A3" s="514" t="s">
        <v>1</v>
      </c>
      <c r="B3" s="514" t="s">
        <v>2</v>
      </c>
      <c r="C3" s="662" t="s">
        <v>97</v>
      </c>
      <c r="D3" s="567" t="s">
        <v>4</v>
      </c>
      <c r="E3" s="567" t="s">
        <v>5</v>
      </c>
      <c r="F3" s="567" t="s">
        <v>4</v>
      </c>
      <c r="G3" s="514" t="s">
        <v>98</v>
      </c>
      <c r="H3" s="417" t="s">
        <v>8</v>
      </c>
      <c r="I3" s="417" t="s">
        <v>2</v>
      </c>
    </row>
    <row r="4" spans="1:12" ht="15.75" x14ac:dyDescent="0.25">
      <c r="A4" s="87"/>
      <c r="B4" s="663" t="s">
        <v>1154</v>
      </c>
      <c r="C4" s="664" t="s">
        <v>374</v>
      </c>
      <c r="D4" s="568">
        <v>1623183</v>
      </c>
      <c r="E4" s="572"/>
      <c r="F4" s="568">
        <v>1623183</v>
      </c>
      <c r="G4" s="514"/>
      <c r="H4" s="107"/>
      <c r="I4" s="451"/>
    </row>
    <row r="5" spans="1:12" ht="15.75" x14ac:dyDescent="0.25">
      <c r="A5" s="87">
        <v>1</v>
      </c>
      <c r="B5" s="87" t="s">
        <v>1119</v>
      </c>
      <c r="C5" s="553">
        <v>1547</v>
      </c>
      <c r="D5" s="563">
        <v>20000</v>
      </c>
      <c r="E5" s="573">
        <v>222</v>
      </c>
      <c r="F5" s="563">
        <v>20000</v>
      </c>
      <c r="G5" s="87">
        <f t="shared" ref="G5:G68" si="0">D5-F5</f>
        <v>0</v>
      </c>
      <c r="H5" s="509">
        <v>1300000</v>
      </c>
      <c r="I5" s="509" t="s">
        <v>1119</v>
      </c>
      <c r="J5" s="89" t="s">
        <v>482</v>
      </c>
      <c r="K5" s="522"/>
      <c r="L5" s="204"/>
    </row>
    <row r="6" spans="1:12" ht="15.75" x14ac:dyDescent="0.25">
      <c r="A6" s="87">
        <v>2</v>
      </c>
      <c r="B6" s="87" t="s">
        <v>1119</v>
      </c>
      <c r="C6" s="553">
        <v>6957</v>
      </c>
      <c r="D6" s="563">
        <v>20000</v>
      </c>
      <c r="E6" s="573">
        <v>222</v>
      </c>
      <c r="F6" s="563">
        <v>20000</v>
      </c>
      <c r="G6" s="87">
        <f t="shared" si="0"/>
        <v>0</v>
      </c>
      <c r="H6" s="509">
        <v>400000</v>
      </c>
      <c r="I6" s="509" t="s">
        <v>1120</v>
      </c>
      <c r="J6" s="89" t="s">
        <v>482</v>
      </c>
      <c r="K6" s="522"/>
      <c r="L6" s="204"/>
    </row>
    <row r="7" spans="1:12" ht="15.75" x14ac:dyDescent="0.25">
      <c r="A7" s="87">
        <v>3</v>
      </c>
      <c r="B7" s="87" t="s">
        <v>1119</v>
      </c>
      <c r="C7" s="553">
        <v>6139</v>
      </c>
      <c r="D7" s="563">
        <v>17000</v>
      </c>
      <c r="E7" s="573">
        <v>189</v>
      </c>
      <c r="F7" s="563">
        <v>17000</v>
      </c>
      <c r="G7" s="87">
        <f t="shared" si="0"/>
        <v>0</v>
      </c>
      <c r="H7" s="509">
        <v>600000</v>
      </c>
      <c r="I7" s="509" t="s">
        <v>1121</v>
      </c>
      <c r="J7" s="89" t="s">
        <v>482</v>
      </c>
      <c r="K7" s="522"/>
      <c r="L7" s="204"/>
    </row>
    <row r="8" spans="1:12" ht="15.75" x14ac:dyDescent="0.25">
      <c r="A8" s="87">
        <v>4</v>
      </c>
      <c r="B8" s="87" t="s">
        <v>1119</v>
      </c>
      <c r="C8" s="553">
        <v>8326</v>
      </c>
      <c r="D8" s="563">
        <v>15000</v>
      </c>
      <c r="E8" s="573">
        <v>167</v>
      </c>
      <c r="F8" s="563">
        <v>15000</v>
      </c>
      <c r="G8" s="87">
        <f t="shared" si="0"/>
        <v>0</v>
      </c>
      <c r="H8" s="509">
        <v>500000</v>
      </c>
      <c r="I8" s="509" t="s">
        <v>1122</v>
      </c>
      <c r="J8" s="89" t="s">
        <v>482</v>
      </c>
      <c r="K8" s="522"/>
      <c r="L8" s="204"/>
    </row>
    <row r="9" spans="1:12" ht="15.75" x14ac:dyDescent="0.25">
      <c r="A9" s="87">
        <v>5</v>
      </c>
      <c r="B9" s="87" t="s">
        <v>1119</v>
      </c>
      <c r="C9" s="553">
        <v>7565</v>
      </c>
      <c r="D9" s="563">
        <v>25000</v>
      </c>
      <c r="E9" s="573">
        <v>278</v>
      </c>
      <c r="F9" s="563">
        <v>25000</v>
      </c>
      <c r="G9" s="87">
        <f t="shared" si="0"/>
        <v>0</v>
      </c>
      <c r="H9" s="509">
        <v>600000</v>
      </c>
      <c r="I9" s="509" t="s">
        <v>1123</v>
      </c>
      <c r="J9" s="89" t="s">
        <v>482</v>
      </c>
      <c r="K9" s="522"/>
      <c r="L9" s="204"/>
    </row>
    <row r="10" spans="1:12" ht="15.75" x14ac:dyDescent="0.25">
      <c r="A10" s="87">
        <v>6</v>
      </c>
      <c r="B10" s="87" t="s">
        <v>1119</v>
      </c>
      <c r="C10" s="553">
        <v>3988</v>
      </c>
      <c r="D10" s="563">
        <v>22000</v>
      </c>
      <c r="E10" s="573">
        <v>236</v>
      </c>
      <c r="F10" s="563">
        <v>22000</v>
      </c>
      <c r="G10" s="87">
        <f t="shared" si="0"/>
        <v>0</v>
      </c>
      <c r="H10" s="509">
        <v>500000</v>
      </c>
      <c r="I10" s="509" t="s">
        <v>1124</v>
      </c>
      <c r="J10" s="89" t="s">
        <v>482</v>
      </c>
      <c r="K10" s="522"/>
      <c r="L10" s="204"/>
    </row>
    <row r="11" spans="1:12" ht="15.75" x14ac:dyDescent="0.25">
      <c r="A11" s="87">
        <v>7</v>
      </c>
      <c r="B11" s="87" t="s">
        <v>1119</v>
      </c>
      <c r="C11" s="553">
        <v>1229</v>
      </c>
      <c r="D11" s="563">
        <v>18000</v>
      </c>
      <c r="E11" s="573">
        <v>200</v>
      </c>
      <c r="F11" s="563">
        <v>18000</v>
      </c>
      <c r="G11" s="87">
        <f t="shared" si="0"/>
        <v>0</v>
      </c>
      <c r="H11" s="509">
        <v>500000</v>
      </c>
      <c r="I11" s="509" t="s">
        <v>1125</v>
      </c>
      <c r="J11" s="89" t="s">
        <v>482</v>
      </c>
      <c r="K11" s="522"/>
      <c r="L11" s="204"/>
    </row>
    <row r="12" spans="1:12" ht="15.75" x14ac:dyDescent="0.25">
      <c r="A12" s="87">
        <v>8</v>
      </c>
      <c r="B12" s="87" t="s">
        <v>1119</v>
      </c>
      <c r="C12" s="553" t="s">
        <v>1039</v>
      </c>
      <c r="D12" s="563">
        <v>18000</v>
      </c>
      <c r="E12" s="573">
        <v>200</v>
      </c>
      <c r="F12" s="563">
        <v>18000</v>
      </c>
      <c r="G12" s="87">
        <f t="shared" si="0"/>
        <v>0</v>
      </c>
      <c r="H12" s="509">
        <v>500000</v>
      </c>
      <c r="I12" s="509" t="s">
        <v>1127</v>
      </c>
      <c r="J12" s="89" t="s">
        <v>482</v>
      </c>
      <c r="K12" s="522"/>
      <c r="L12" s="204"/>
    </row>
    <row r="13" spans="1:12" ht="15.75" x14ac:dyDescent="0.25">
      <c r="A13" s="87">
        <v>9</v>
      </c>
      <c r="B13" s="87" t="s">
        <v>1119</v>
      </c>
      <c r="C13" s="553" t="s">
        <v>30</v>
      </c>
      <c r="D13" s="563">
        <v>10000</v>
      </c>
      <c r="E13" s="573">
        <v>111</v>
      </c>
      <c r="F13" s="563">
        <v>10000</v>
      </c>
      <c r="G13" s="87">
        <f t="shared" si="0"/>
        <v>0</v>
      </c>
      <c r="H13" s="509">
        <v>600000</v>
      </c>
      <c r="I13" s="509" t="s">
        <v>1126</v>
      </c>
      <c r="J13" s="89" t="s">
        <v>482</v>
      </c>
      <c r="K13" s="522"/>
      <c r="L13" s="204"/>
    </row>
    <row r="14" spans="1:12" ht="15.75" x14ac:dyDescent="0.25">
      <c r="A14" s="87">
        <v>10</v>
      </c>
      <c r="B14" s="87" t="s">
        <v>1119</v>
      </c>
      <c r="C14" s="555" t="s">
        <v>30</v>
      </c>
      <c r="D14" s="563">
        <v>2500</v>
      </c>
      <c r="E14" s="573">
        <v>27</v>
      </c>
      <c r="F14" s="563">
        <v>2500</v>
      </c>
      <c r="G14" s="87">
        <f t="shared" si="0"/>
        <v>0</v>
      </c>
      <c r="H14" s="509">
        <v>800000</v>
      </c>
      <c r="I14" s="509" t="s">
        <v>1128</v>
      </c>
      <c r="J14" s="89" t="s">
        <v>482</v>
      </c>
      <c r="K14" s="522"/>
      <c r="L14" s="204"/>
    </row>
    <row r="15" spans="1:12" ht="15.75" x14ac:dyDescent="0.25">
      <c r="A15" s="87">
        <v>11</v>
      </c>
      <c r="B15" s="87" t="s">
        <v>1119</v>
      </c>
      <c r="C15" s="555" t="s">
        <v>30</v>
      </c>
      <c r="D15" s="563">
        <v>4500</v>
      </c>
      <c r="E15" s="573">
        <v>50</v>
      </c>
      <c r="F15" s="563">
        <v>4500</v>
      </c>
      <c r="G15" s="87">
        <f t="shared" si="0"/>
        <v>0</v>
      </c>
      <c r="H15" s="509">
        <v>600000</v>
      </c>
      <c r="I15" s="509" t="s">
        <v>1129</v>
      </c>
      <c r="J15" s="89" t="s">
        <v>482</v>
      </c>
      <c r="K15" s="522"/>
      <c r="L15" s="204"/>
    </row>
    <row r="16" spans="1:12" ht="15.75" x14ac:dyDescent="0.25">
      <c r="A16" s="87">
        <v>12</v>
      </c>
      <c r="B16" s="87" t="s">
        <v>1119</v>
      </c>
      <c r="C16" s="555">
        <v>2752</v>
      </c>
      <c r="D16" s="563">
        <v>30000</v>
      </c>
      <c r="E16" s="573">
        <v>334</v>
      </c>
      <c r="F16" s="563">
        <v>30000</v>
      </c>
      <c r="G16" s="87">
        <f t="shared" si="0"/>
        <v>0</v>
      </c>
      <c r="H16" s="509">
        <v>600000</v>
      </c>
      <c r="I16" s="509" t="s">
        <v>1130</v>
      </c>
      <c r="J16" s="89" t="s">
        <v>482</v>
      </c>
      <c r="K16" s="522"/>
      <c r="L16" s="204"/>
    </row>
    <row r="17" spans="1:12" ht="15.75" x14ac:dyDescent="0.25">
      <c r="A17" s="87">
        <v>13</v>
      </c>
      <c r="B17" s="87" t="s">
        <v>1119</v>
      </c>
      <c r="C17" s="555" t="s">
        <v>30</v>
      </c>
      <c r="D17" s="563">
        <v>5000</v>
      </c>
      <c r="E17" s="573">
        <v>55</v>
      </c>
      <c r="F17" s="563">
        <v>5000</v>
      </c>
      <c r="G17" s="87">
        <f t="shared" si="0"/>
        <v>0</v>
      </c>
      <c r="H17" s="509">
        <v>600000</v>
      </c>
      <c r="I17" s="509" t="s">
        <v>1131</v>
      </c>
      <c r="J17" s="89" t="s">
        <v>482</v>
      </c>
      <c r="K17" s="522"/>
      <c r="L17" s="204"/>
    </row>
    <row r="18" spans="1:12" ht="15.75" x14ac:dyDescent="0.25">
      <c r="A18" s="87">
        <v>14</v>
      </c>
      <c r="B18" s="87" t="s">
        <v>1119</v>
      </c>
      <c r="C18" s="555">
        <v>1555</v>
      </c>
      <c r="D18" s="563">
        <v>23000</v>
      </c>
      <c r="E18" s="573">
        <v>256</v>
      </c>
      <c r="F18" s="563">
        <v>23000</v>
      </c>
      <c r="G18" s="87">
        <f t="shared" si="0"/>
        <v>0</v>
      </c>
      <c r="H18" s="509">
        <v>600000</v>
      </c>
      <c r="I18" s="509" t="s">
        <v>1132</v>
      </c>
      <c r="J18" s="89" t="s">
        <v>482</v>
      </c>
      <c r="K18" s="522"/>
      <c r="L18" s="204"/>
    </row>
    <row r="19" spans="1:12" ht="15.75" x14ac:dyDescent="0.25">
      <c r="A19" s="87">
        <v>15</v>
      </c>
      <c r="B19" s="87" t="s">
        <v>1119</v>
      </c>
      <c r="C19" s="555">
        <v>5253</v>
      </c>
      <c r="D19" s="563">
        <v>15000</v>
      </c>
      <c r="E19" s="573">
        <v>167</v>
      </c>
      <c r="F19" s="563">
        <v>15000</v>
      </c>
      <c r="G19" s="87">
        <f t="shared" si="0"/>
        <v>0</v>
      </c>
      <c r="H19" s="509">
        <v>500000</v>
      </c>
      <c r="I19" s="509" t="s">
        <v>1133</v>
      </c>
      <c r="J19" s="89" t="s">
        <v>482</v>
      </c>
      <c r="K19" s="522"/>
      <c r="L19" s="204"/>
    </row>
    <row r="20" spans="1:12" ht="15.75" x14ac:dyDescent="0.25">
      <c r="A20" s="87">
        <v>16</v>
      </c>
      <c r="B20" s="87" t="s">
        <v>1119</v>
      </c>
      <c r="C20" s="555" t="s">
        <v>1157</v>
      </c>
      <c r="D20" s="563">
        <v>24300</v>
      </c>
      <c r="E20" s="573">
        <v>270</v>
      </c>
      <c r="F20" s="563">
        <v>24300</v>
      </c>
      <c r="G20" s="87">
        <f t="shared" si="0"/>
        <v>0</v>
      </c>
      <c r="H20" s="509">
        <v>400000</v>
      </c>
      <c r="I20" s="509" t="s">
        <v>1134</v>
      </c>
      <c r="J20" s="89" t="s">
        <v>482</v>
      </c>
      <c r="K20" s="522"/>
      <c r="L20" s="204"/>
    </row>
    <row r="21" spans="1:12" ht="15.75" x14ac:dyDescent="0.25">
      <c r="A21" s="87">
        <v>17</v>
      </c>
      <c r="B21" s="87" t="s">
        <v>1119</v>
      </c>
      <c r="C21" s="555">
        <v>7002</v>
      </c>
      <c r="D21" s="563">
        <v>25000</v>
      </c>
      <c r="E21" s="573">
        <v>278</v>
      </c>
      <c r="F21" s="563">
        <v>25000</v>
      </c>
      <c r="G21" s="87">
        <f t="shared" si="0"/>
        <v>0</v>
      </c>
      <c r="H21" s="509">
        <v>500000</v>
      </c>
      <c r="I21" s="509" t="s">
        <v>1136</v>
      </c>
      <c r="J21" s="89" t="s">
        <v>482</v>
      </c>
      <c r="K21" s="522"/>
      <c r="L21" s="204"/>
    </row>
    <row r="22" spans="1:12" ht="15.75" x14ac:dyDescent="0.25">
      <c r="A22" s="87">
        <v>18</v>
      </c>
      <c r="B22" s="87" t="s">
        <v>1119</v>
      </c>
      <c r="C22" s="555">
        <v>2213</v>
      </c>
      <c r="D22" s="563">
        <v>32000</v>
      </c>
      <c r="E22" s="573">
        <v>256</v>
      </c>
      <c r="F22" s="563">
        <v>32000</v>
      </c>
      <c r="G22" s="87">
        <f t="shared" si="0"/>
        <v>0</v>
      </c>
      <c r="H22" s="509">
        <v>300000</v>
      </c>
      <c r="I22" s="509" t="s">
        <v>1135</v>
      </c>
      <c r="J22" s="89" t="s">
        <v>482</v>
      </c>
      <c r="K22" s="522"/>
      <c r="L22" s="204"/>
    </row>
    <row r="23" spans="1:12" ht="15.75" x14ac:dyDescent="0.25">
      <c r="A23" s="87">
        <v>19</v>
      </c>
      <c r="B23" s="87" t="s">
        <v>1119</v>
      </c>
      <c r="C23" s="555">
        <v>9021</v>
      </c>
      <c r="D23" s="563">
        <v>25000</v>
      </c>
      <c r="E23" s="573">
        <v>278</v>
      </c>
      <c r="F23" s="563">
        <v>25000</v>
      </c>
      <c r="G23" s="87">
        <f t="shared" si="0"/>
        <v>0</v>
      </c>
      <c r="H23" s="509">
        <v>400000</v>
      </c>
      <c r="I23" s="509" t="s">
        <v>1137</v>
      </c>
      <c r="J23" s="89" t="s">
        <v>482</v>
      </c>
      <c r="K23" s="522"/>
      <c r="L23" s="204"/>
    </row>
    <row r="24" spans="1:12" ht="15.75" x14ac:dyDescent="0.25">
      <c r="A24" s="87">
        <v>20</v>
      </c>
      <c r="B24" s="87" t="s">
        <v>1119</v>
      </c>
      <c r="C24" s="555" t="s">
        <v>1158</v>
      </c>
      <c r="D24" s="563">
        <v>27000</v>
      </c>
      <c r="E24" s="573">
        <v>300</v>
      </c>
      <c r="F24" s="563">
        <v>27000</v>
      </c>
      <c r="G24" s="87">
        <f t="shared" si="0"/>
        <v>0</v>
      </c>
      <c r="H24" s="509">
        <v>300000</v>
      </c>
      <c r="I24" s="509" t="s">
        <v>1138</v>
      </c>
      <c r="J24" s="89" t="s">
        <v>482</v>
      </c>
      <c r="K24" s="522"/>
      <c r="L24" s="204"/>
    </row>
    <row r="25" spans="1:12" ht="15.75" x14ac:dyDescent="0.25">
      <c r="A25" s="87">
        <v>21</v>
      </c>
      <c r="B25" s="87" t="s">
        <v>1119</v>
      </c>
      <c r="C25" s="555" t="s">
        <v>1159</v>
      </c>
      <c r="D25" s="563">
        <v>30000</v>
      </c>
      <c r="E25" s="573">
        <v>334</v>
      </c>
      <c r="F25" s="563">
        <v>30000</v>
      </c>
      <c r="G25" s="87">
        <f t="shared" si="0"/>
        <v>0</v>
      </c>
      <c r="H25" s="509">
        <v>800000</v>
      </c>
      <c r="I25" s="509" t="s">
        <v>1139</v>
      </c>
      <c r="J25" s="89" t="s">
        <v>482</v>
      </c>
      <c r="K25" s="522"/>
      <c r="L25" s="204"/>
    </row>
    <row r="26" spans="1:12" ht="15.75" x14ac:dyDescent="0.25">
      <c r="A26" s="87">
        <v>22</v>
      </c>
      <c r="B26" s="87" t="s">
        <v>1119</v>
      </c>
      <c r="C26" s="555">
        <v>2371</v>
      </c>
      <c r="D26" s="563">
        <v>15000</v>
      </c>
      <c r="E26" s="573">
        <v>167</v>
      </c>
      <c r="F26" s="563">
        <v>15000</v>
      </c>
      <c r="G26" s="87">
        <f t="shared" si="0"/>
        <v>0</v>
      </c>
      <c r="H26" s="509">
        <v>300000</v>
      </c>
      <c r="I26" s="509" t="s">
        <v>1140</v>
      </c>
      <c r="J26" s="89" t="s">
        <v>482</v>
      </c>
      <c r="K26" s="522"/>
      <c r="L26" s="204"/>
    </row>
    <row r="27" spans="1:12" ht="15.75" x14ac:dyDescent="0.25">
      <c r="A27" s="87">
        <v>23</v>
      </c>
      <c r="B27" s="87" t="s">
        <v>1119</v>
      </c>
      <c r="C27" s="555">
        <v>3383</v>
      </c>
      <c r="D27" s="563">
        <v>15000</v>
      </c>
      <c r="E27" s="573">
        <v>167</v>
      </c>
      <c r="F27" s="563">
        <v>15000</v>
      </c>
      <c r="G27" s="87">
        <f t="shared" si="0"/>
        <v>0</v>
      </c>
      <c r="H27" s="509">
        <v>300000</v>
      </c>
      <c r="I27" s="509" t="s">
        <v>1141</v>
      </c>
      <c r="J27" s="89" t="s">
        <v>482</v>
      </c>
      <c r="K27" s="522"/>
      <c r="L27" s="204"/>
    </row>
    <row r="28" spans="1:12" ht="15.75" x14ac:dyDescent="0.25">
      <c r="A28" s="87">
        <v>24</v>
      </c>
      <c r="B28" s="87" t="s">
        <v>1119</v>
      </c>
      <c r="C28" s="555" t="s">
        <v>1068</v>
      </c>
      <c r="D28" s="563">
        <v>120</v>
      </c>
      <c r="E28" s="573">
        <v>1.05</v>
      </c>
      <c r="F28" s="563">
        <v>120</v>
      </c>
      <c r="G28" s="87">
        <f t="shared" si="0"/>
        <v>0</v>
      </c>
      <c r="H28" s="509">
        <v>1100000</v>
      </c>
      <c r="I28" s="509" t="s">
        <v>1142</v>
      </c>
      <c r="J28" s="89" t="s">
        <v>482</v>
      </c>
      <c r="K28" s="522"/>
      <c r="L28" s="204"/>
    </row>
    <row r="29" spans="1:12" ht="15.75" x14ac:dyDescent="0.25">
      <c r="A29" s="87">
        <v>25</v>
      </c>
      <c r="B29" s="87" t="s">
        <v>1120</v>
      </c>
      <c r="C29" s="555" t="s">
        <v>1160</v>
      </c>
      <c r="D29" s="563">
        <v>210</v>
      </c>
      <c r="E29" s="573">
        <v>2.1</v>
      </c>
      <c r="F29" s="563">
        <v>210</v>
      </c>
      <c r="G29" s="87">
        <f t="shared" si="0"/>
        <v>0</v>
      </c>
      <c r="H29" s="509">
        <v>1600000</v>
      </c>
      <c r="I29" s="509" t="s">
        <v>1143</v>
      </c>
      <c r="J29" s="89" t="s">
        <v>482</v>
      </c>
      <c r="K29" s="522"/>
      <c r="L29" s="204"/>
    </row>
    <row r="30" spans="1:12" ht="15.75" x14ac:dyDescent="0.25">
      <c r="A30" s="87">
        <v>26</v>
      </c>
      <c r="B30" s="87" t="s">
        <v>1120</v>
      </c>
      <c r="C30" s="555" t="s">
        <v>30</v>
      </c>
      <c r="D30" s="563">
        <v>3500</v>
      </c>
      <c r="E30" s="573">
        <v>38</v>
      </c>
      <c r="F30" s="563">
        <v>3500</v>
      </c>
      <c r="G30" s="87">
        <f t="shared" si="0"/>
        <v>0</v>
      </c>
      <c r="H30" s="509">
        <v>700000</v>
      </c>
      <c r="I30" s="509" t="s">
        <v>1144</v>
      </c>
      <c r="J30" s="89" t="s">
        <v>482</v>
      </c>
      <c r="K30" s="522"/>
      <c r="L30" s="204"/>
    </row>
    <row r="31" spans="1:12" ht="15.75" x14ac:dyDescent="0.25">
      <c r="A31" s="87">
        <v>27</v>
      </c>
      <c r="B31" s="87" t="s">
        <v>1120</v>
      </c>
      <c r="C31" s="555" t="s">
        <v>819</v>
      </c>
      <c r="D31" s="563">
        <v>3500</v>
      </c>
      <c r="E31" s="573">
        <v>38</v>
      </c>
      <c r="F31" s="563">
        <v>3500</v>
      </c>
      <c r="G31" s="87">
        <f t="shared" si="0"/>
        <v>0</v>
      </c>
      <c r="H31" s="509">
        <v>600000</v>
      </c>
      <c r="I31" s="509" t="s">
        <v>1145</v>
      </c>
      <c r="J31" s="89" t="s">
        <v>482</v>
      </c>
      <c r="K31" s="522"/>
      <c r="L31" s="204"/>
    </row>
    <row r="32" spans="1:12" ht="15.75" x14ac:dyDescent="0.25">
      <c r="A32" s="87">
        <v>28</v>
      </c>
      <c r="B32" s="87" t="s">
        <v>1120</v>
      </c>
      <c r="C32" s="555">
        <v>5152</v>
      </c>
      <c r="D32" s="563">
        <v>15000</v>
      </c>
      <c r="E32" s="573">
        <v>167</v>
      </c>
      <c r="F32" s="563">
        <v>15000</v>
      </c>
      <c r="G32" s="87">
        <f t="shared" si="0"/>
        <v>0</v>
      </c>
      <c r="H32" s="509"/>
      <c r="I32" s="509"/>
      <c r="J32" s="89"/>
      <c r="K32" s="522"/>
      <c r="L32" s="204"/>
    </row>
    <row r="33" spans="1:14" ht="15.75" x14ac:dyDescent="0.25">
      <c r="A33" s="87">
        <v>29</v>
      </c>
      <c r="B33" s="87" t="s">
        <v>1120</v>
      </c>
      <c r="C33" s="555">
        <v>5411</v>
      </c>
      <c r="D33" s="563">
        <v>25000</v>
      </c>
      <c r="E33" s="573">
        <v>278</v>
      </c>
      <c r="F33" s="563">
        <v>25000</v>
      </c>
      <c r="G33" s="87">
        <f t="shared" si="0"/>
        <v>0</v>
      </c>
      <c r="H33" s="509"/>
      <c r="I33" s="509"/>
      <c r="J33" s="89"/>
      <c r="K33" s="522"/>
      <c r="L33" s="204"/>
      <c r="M33" s="661"/>
      <c r="N33" s="661"/>
    </row>
    <row r="34" spans="1:14" ht="15.75" x14ac:dyDescent="0.25">
      <c r="A34" s="87">
        <v>30</v>
      </c>
      <c r="B34" s="87" t="s">
        <v>1120</v>
      </c>
      <c r="C34" s="607" t="s">
        <v>995</v>
      </c>
      <c r="D34" s="563">
        <v>25000</v>
      </c>
      <c r="E34" s="573">
        <v>278</v>
      </c>
      <c r="F34" s="563">
        <v>25000</v>
      </c>
      <c r="G34" s="87">
        <f t="shared" si="0"/>
        <v>0</v>
      </c>
      <c r="H34" s="509"/>
      <c r="I34" s="509"/>
      <c r="J34" s="89"/>
      <c r="K34" s="522"/>
      <c r="L34" s="204"/>
      <c r="M34" s="661"/>
      <c r="N34" s="661"/>
    </row>
    <row r="35" spans="1:14" ht="15.75" x14ac:dyDescent="0.25">
      <c r="A35" s="87">
        <v>31</v>
      </c>
      <c r="B35" s="87" t="s">
        <v>1120</v>
      </c>
      <c r="C35" s="555">
        <v>5151</v>
      </c>
      <c r="D35" s="563">
        <v>18000</v>
      </c>
      <c r="E35" s="573">
        <v>191</v>
      </c>
      <c r="F35" s="563">
        <v>18000</v>
      </c>
      <c r="G35" s="87">
        <f t="shared" si="0"/>
        <v>0</v>
      </c>
      <c r="H35" s="509"/>
      <c r="I35" s="509"/>
      <c r="J35" s="89"/>
      <c r="K35" s="522"/>
      <c r="L35" s="204"/>
      <c r="M35" s="661"/>
      <c r="N35" s="661"/>
    </row>
    <row r="36" spans="1:14" ht="15.75" x14ac:dyDescent="0.25">
      <c r="A36" s="87">
        <v>32</v>
      </c>
      <c r="B36" s="87" t="s">
        <v>1120</v>
      </c>
      <c r="C36" s="555" t="s">
        <v>1008</v>
      </c>
      <c r="D36" s="563">
        <v>18000</v>
      </c>
      <c r="E36" s="573">
        <v>178</v>
      </c>
      <c r="F36" s="563">
        <v>18000</v>
      </c>
      <c r="G36" s="87">
        <f t="shared" si="0"/>
        <v>0</v>
      </c>
      <c r="H36" s="509"/>
      <c r="I36" s="509"/>
      <c r="J36" s="89"/>
      <c r="K36" s="522"/>
      <c r="L36" s="204"/>
      <c r="M36" s="661"/>
      <c r="N36" s="661"/>
    </row>
    <row r="37" spans="1:14" ht="15.75" x14ac:dyDescent="0.25">
      <c r="A37" s="87">
        <v>33</v>
      </c>
      <c r="B37" s="87" t="s">
        <v>1120</v>
      </c>
      <c r="C37" s="555" t="s">
        <v>1161</v>
      </c>
      <c r="D37" s="563">
        <v>18000</v>
      </c>
      <c r="E37" s="573">
        <v>193</v>
      </c>
      <c r="F37" s="563">
        <v>18000</v>
      </c>
      <c r="G37" s="87">
        <f t="shared" si="0"/>
        <v>0</v>
      </c>
      <c r="H37" s="509"/>
      <c r="I37" s="509"/>
      <c r="J37" s="89"/>
      <c r="K37" s="522"/>
      <c r="L37" s="204"/>
      <c r="M37" s="661"/>
      <c r="N37" s="661"/>
    </row>
    <row r="38" spans="1:14" ht="15.75" x14ac:dyDescent="0.25">
      <c r="A38" s="87">
        <v>34</v>
      </c>
      <c r="B38" s="87" t="s">
        <v>1120</v>
      </c>
      <c r="C38" s="607" t="s">
        <v>1162</v>
      </c>
      <c r="D38" s="563">
        <v>18000</v>
      </c>
      <c r="E38" s="573">
        <v>187</v>
      </c>
      <c r="F38" s="563">
        <v>18000</v>
      </c>
      <c r="G38" s="87">
        <f t="shared" si="0"/>
        <v>0</v>
      </c>
      <c r="H38" s="509"/>
      <c r="I38" s="509"/>
      <c r="J38" s="89"/>
      <c r="K38" s="522"/>
      <c r="L38" s="204"/>
      <c r="M38" s="661"/>
      <c r="N38" s="661"/>
    </row>
    <row r="39" spans="1:14" ht="15.75" x14ac:dyDescent="0.25">
      <c r="A39" s="87">
        <v>35</v>
      </c>
      <c r="B39" s="87" t="s">
        <v>1120</v>
      </c>
      <c r="C39" s="555">
        <v>8148</v>
      </c>
      <c r="D39" s="563">
        <v>18000</v>
      </c>
      <c r="E39" s="573">
        <v>200</v>
      </c>
      <c r="F39" s="563">
        <v>18000</v>
      </c>
      <c r="G39" s="87">
        <f t="shared" si="0"/>
        <v>0</v>
      </c>
      <c r="H39" s="509"/>
      <c r="I39" s="509"/>
      <c r="J39" s="89"/>
      <c r="K39" s="522"/>
      <c r="L39" s="204"/>
      <c r="M39" s="661"/>
      <c r="N39" s="661"/>
    </row>
    <row r="40" spans="1:14" ht="15.75" x14ac:dyDescent="0.25">
      <c r="A40" s="87">
        <v>36</v>
      </c>
      <c r="B40" s="87" t="s">
        <v>1120</v>
      </c>
      <c r="C40" s="555">
        <v>8726</v>
      </c>
      <c r="D40" s="563">
        <v>18000</v>
      </c>
      <c r="E40" s="573">
        <v>200</v>
      </c>
      <c r="F40" s="563">
        <v>18000</v>
      </c>
      <c r="G40" s="87">
        <f t="shared" si="0"/>
        <v>0</v>
      </c>
      <c r="H40" s="509"/>
      <c r="I40" s="509"/>
      <c r="J40" s="89"/>
      <c r="K40" s="522"/>
      <c r="L40" s="204"/>
      <c r="M40" s="661"/>
      <c r="N40" s="661"/>
    </row>
    <row r="41" spans="1:14" ht="15.75" x14ac:dyDescent="0.25">
      <c r="A41" s="87">
        <v>37</v>
      </c>
      <c r="B41" s="87" t="s">
        <v>1120</v>
      </c>
      <c r="C41" s="555">
        <v>3836</v>
      </c>
      <c r="D41" s="563">
        <v>35000</v>
      </c>
      <c r="E41" s="573">
        <v>372</v>
      </c>
      <c r="F41" s="563">
        <v>35000</v>
      </c>
      <c r="G41" s="87">
        <f t="shared" si="0"/>
        <v>0</v>
      </c>
      <c r="H41" s="509"/>
      <c r="I41" s="509"/>
      <c r="J41" s="89"/>
      <c r="K41" s="522"/>
      <c r="L41" s="204"/>
      <c r="M41" s="661"/>
      <c r="N41" s="661"/>
    </row>
    <row r="42" spans="1:14" ht="15.75" x14ac:dyDescent="0.25">
      <c r="A42" s="87">
        <v>38</v>
      </c>
      <c r="B42" s="87" t="s">
        <v>1120</v>
      </c>
      <c r="C42" s="555">
        <v>2618</v>
      </c>
      <c r="D42" s="563">
        <v>27000</v>
      </c>
      <c r="E42" s="573">
        <v>300</v>
      </c>
      <c r="F42" s="563">
        <v>27000</v>
      </c>
      <c r="G42" s="87">
        <f t="shared" si="0"/>
        <v>0</v>
      </c>
      <c r="H42" s="509"/>
      <c r="I42" s="509"/>
      <c r="J42" s="89"/>
      <c r="K42" s="522"/>
      <c r="L42" s="204"/>
      <c r="M42" s="661"/>
      <c r="N42" s="661"/>
    </row>
    <row r="43" spans="1:14" ht="15.75" x14ac:dyDescent="0.25">
      <c r="A43" s="87">
        <v>39</v>
      </c>
      <c r="B43" s="87" t="s">
        <v>1120</v>
      </c>
      <c r="C43" s="555" t="s">
        <v>1163</v>
      </c>
      <c r="D43" s="563">
        <v>8000</v>
      </c>
      <c r="E43" s="573">
        <v>89</v>
      </c>
      <c r="F43" s="563">
        <v>8000</v>
      </c>
      <c r="G43" s="87">
        <f t="shared" si="0"/>
        <v>0</v>
      </c>
      <c r="H43" s="509"/>
      <c r="I43" s="509"/>
      <c r="J43" s="89"/>
      <c r="K43" s="522"/>
      <c r="L43" s="204"/>
      <c r="M43" s="661"/>
      <c r="N43" s="661"/>
    </row>
    <row r="44" spans="1:14" ht="15.75" x14ac:dyDescent="0.25">
      <c r="A44" s="87">
        <v>40</v>
      </c>
      <c r="B44" s="87" t="s">
        <v>1120</v>
      </c>
      <c r="C44" s="555" t="s">
        <v>30</v>
      </c>
      <c r="D44" s="563">
        <v>5000</v>
      </c>
      <c r="E44" s="573">
        <v>55</v>
      </c>
      <c r="F44" s="563">
        <v>5000</v>
      </c>
      <c r="G44" s="87">
        <f t="shared" si="0"/>
        <v>0</v>
      </c>
      <c r="H44" s="509"/>
      <c r="I44" s="509"/>
      <c r="J44" s="89"/>
      <c r="K44" s="522"/>
      <c r="L44" s="204"/>
      <c r="M44" s="661"/>
      <c r="N44" s="661"/>
    </row>
    <row r="45" spans="1:14" ht="15.75" x14ac:dyDescent="0.25">
      <c r="A45" s="87">
        <v>41</v>
      </c>
      <c r="B45" s="87" t="s">
        <v>1120</v>
      </c>
      <c r="C45" s="555" t="s">
        <v>1057</v>
      </c>
      <c r="D45" s="563">
        <v>27191</v>
      </c>
      <c r="E45" s="573">
        <v>302</v>
      </c>
      <c r="F45" s="563">
        <v>27191</v>
      </c>
      <c r="G45" s="87">
        <f t="shared" si="0"/>
        <v>0</v>
      </c>
      <c r="H45" s="509"/>
      <c r="I45" s="509"/>
      <c r="J45" s="89"/>
      <c r="K45" s="522"/>
      <c r="L45" s="204"/>
      <c r="M45" s="661"/>
      <c r="N45" s="661"/>
    </row>
    <row r="46" spans="1:14" ht="15.75" x14ac:dyDescent="0.25">
      <c r="A46" s="87">
        <v>42</v>
      </c>
      <c r="B46" s="87" t="s">
        <v>1120</v>
      </c>
      <c r="C46" s="555" t="s">
        <v>1160</v>
      </c>
      <c r="D46" s="563">
        <v>200</v>
      </c>
      <c r="E46" s="573"/>
      <c r="F46" s="563">
        <v>200</v>
      </c>
      <c r="G46" s="87">
        <f t="shared" si="0"/>
        <v>0</v>
      </c>
      <c r="H46" s="509"/>
      <c r="I46" s="509"/>
      <c r="J46" s="89"/>
      <c r="K46" s="522"/>
      <c r="L46" s="204"/>
      <c r="M46" s="661"/>
      <c r="N46" s="661"/>
    </row>
    <row r="47" spans="1:14" ht="15.75" x14ac:dyDescent="0.25">
      <c r="A47" s="87">
        <v>43</v>
      </c>
      <c r="B47" s="87" t="s">
        <v>1120</v>
      </c>
      <c r="C47" s="555" t="s">
        <v>937</v>
      </c>
      <c r="D47" s="563">
        <v>30000</v>
      </c>
      <c r="E47" s="573">
        <v>334</v>
      </c>
      <c r="F47" s="563">
        <v>30000</v>
      </c>
      <c r="G47" s="87">
        <f t="shared" si="0"/>
        <v>0</v>
      </c>
      <c r="H47" s="509"/>
      <c r="I47" s="509"/>
      <c r="J47" s="89"/>
      <c r="K47" s="522"/>
      <c r="L47" s="204"/>
      <c r="M47" s="661"/>
      <c r="N47" s="661"/>
    </row>
    <row r="48" spans="1:14" ht="15.75" x14ac:dyDescent="0.25">
      <c r="A48" s="87">
        <v>44</v>
      </c>
      <c r="B48" s="87" t="s">
        <v>1120</v>
      </c>
      <c r="C48" s="555">
        <v>6777</v>
      </c>
      <c r="D48" s="563">
        <v>22000</v>
      </c>
      <c r="E48" s="573">
        <v>245</v>
      </c>
      <c r="F48" s="563">
        <v>22000</v>
      </c>
      <c r="G48" s="87">
        <f t="shared" si="0"/>
        <v>0</v>
      </c>
      <c r="H48" s="509"/>
      <c r="I48" s="509"/>
      <c r="J48" s="89"/>
      <c r="K48" s="522"/>
      <c r="L48" s="204"/>
      <c r="M48" s="661"/>
      <c r="N48" s="661"/>
    </row>
    <row r="49" spans="1:14" ht="15.75" x14ac:dyDescent="0.25">
      <c r="A49" s="87">
        <v>45</v>
      </c>
      <c r="B49" s="87" t="s">
        <v>1120</v>
      </c>
      <c r="C49" s="555">
        <v>5758</v>
      </c>
      <c r="D49" s="563">
        <v>50000</v>
      </c>
      <c r="E49" s="573">
        <v>557</v>
      </c>
      <c r="F49" s="563">
        <v>50000</v>
      </c>
      <c r="G49" s="87">
        <f t="shared" si="0"/>
        <v>0</v>
      </c>
      <c r="H49" s="509"/>
      <c r="I49" s="509"/>
      <c r="J49" s="89"/>
      <c r="K49" s="522"/>
      <c r="L49" s="204"/>
      <c r="M49" s="661"/>
      <c r="N49" s="661"/>
    </row>
    <row r="50" spans="1:14" ht="15.75" x14ac:dyDescent="0.25">
      <c r="A50" s="87">
        <v>46</v>
      </c>
      <c r="B50" s="87" t="s">
        <v>1120</v>
      </c>
      <c r="C50" s="555">
        <v>2779</v>
      </c>
      <c r="D50" s="563">
        <v>20000</v>
      </c>
      <c r="E50" s="573">
        <v>222</v>
      </c>
      <c r="F50" s="563">
        <v>20000</v>
      </c>
      <c r="G50" s="87">
        <f t="shared" si="0"/>
        <v>0</v>
      </c>
      <c r="H50" s="509"/>
      <c r="I50" s="509"/>
      <c r="J50" s="89"/>
      <c r="K50" s="522"/>
      <c r="L50" s="204"/>
      <c r="M50" s="661"/>
      <c r="N50" s="661"/>
    </row>
    <row r="51" spans="1:14" ht="15.75" x14ac:dyDescent="0.25">
      <c r="A51" s="87">
        <v>47</v>
      </c>
      <c r="B51" s="87" t="s">
        <v>1120</v>
      </c>
      <c r="C51" s="555">
        <v>9046</v>
      </c>
      <c r="D51" s="563">
        <v>25000</v>
      </c>
      <c r="E51" s="573">
        <v>278</v>
      </c>
      <c r="F51" s="563">
        <v>25000</v>
      </c>
      <c r="G51" s="87">
        <f t="shared" si="0"/>
        <v>0</v>
      </c>
      <c r="H51" s="509"/>
      <c r="I51" s="509"/>
      <c r="J51" s="89"/>
      <c r="K51" s="522"/>
      <c r="L51" s="204"/>
      <c r="M51" s="661"/>
      <c r="N51" s="661"/>
    </row>
    <row r="52" spans="1:14" ht="15.75" x14ac:dyDescent="0.25">
      <c r="A52" s="87">
        <v>48</v>
      </c>
      <c r="B52" s="87" t="s">
        <v>1120</v>
      </c>
      <c r="C52" s="555">
        <v>1948</v>
      </c>
      <c r="D52" s="563">
        <v>31000</v>
      </c>
      <c r="E52" s="573">
        <v>345</v>
      </c>
      <c r="F52" s="563">
        <v>31000</v>
      </c>
      <c r="G52" s="87">
        <f t="shared" si="0"/>
        <v>0</v>
      </c>
      <c r="H52" s="509"/>
      <c r="I52" s="509"/>
      <c r="J52" s="89"/>
      <c r="K52" s="522"/>
      <c r="L52" s="204"/>
      <c r="M52" s="661"/>
      <c r="N52" s="661"/>
    </row>
    <row r="53" spans="1:14" ht="15.75" x14ac:dyDescent="0.25">
      <c r="A53" s="87">
        <v>49</v>
      </c>
      <c r="B53" s="87" t="s">
        <v>1120</v>
      </c>
      <c r="C53" s="555">
        <v>1389</v>
      </c>
      <c r="D53" s="563">
        <v>33000</v>
      </c>
      <c r="E53" s="573">
        <v>334</v>
      </c>
      <c r="F53" s="563">
        <v>33000</v>
      </c>
      <c r="G53" s="87">
        <f t="shared" si="0"/>
        <v>0</v>
      </c>
      <c r="H53" s="509"/>
      <c r="I53" s="509"/>
      <c r="J53" s="89"/>
      <c r="K53" s="522"/>
      <c r="L53" s="204"/>
      <c r="M53" s="661"/>
      <c r="N53" s="661"/>
    </row>
    <row r="54" spans="1:14" ht="15.75" x14ac:dyDescent="0.25">
      <c r="A54" s="87">
        <v>50</v>
      </c>
      <c r="B54" s="87" t="s">
        <v>1120</v>
      </c>
      <c r="C54" s="555">
        <v>1028</v>
      </c>
      <c r="D54" s="563">
        <v>25000</v>
      </c>
      <c r="E54" s="573">
        <v>278</v>
      </c>
      <c r="F54" s="563">
        <v>25000</v>
      </c>
      <c r="G54" s="87">
        <f t="shared" si="0"/>
        <v>0</v>
      </c>
      <c r="H54" s="509"/>
      <c r="I54" s="509"/>
      <c r="J54" s="89"/>
      <c r="K54" s="522"/>
      <c r="L54" s="204"/>
      <c r="M54" s="661"/>
      <c r="N54" s="661"/>
    </row>
    <row r="55" spans="1:14" ht="15.75" x14ac:dyDescent="0.25">
      <c r="A55" s="87">
        <v>51</v>
      </c>
      <c r="B55" s="87" t="s">
        <v>1120</v>
      </c>
      <c r="C55" s="555">
        <v>4713</v>
      </c>
      <c r="D55" s="563">
        <v>30000</v>
      </c>
      <c r="E55" s="573">
        <v>334</v>
      </c>
      <c r="F55" s="563">
        <v>30000</v>
      </c>
      <c r="G55" s="87">
        <f t="shared" si="0"/>
        <v>0</v>
      </c>
      <c r="H55" s="509"/>
      <c r="I55" s="509"/>
      <c r="J55" s="89"/>
      <c r="K55" s="522"/>
      <c r="L55" s="204"/>
      <c r="M55" s="661"/>
      <c r="N55" s="661"/>
    </row>
    <row r="56" spans="1:14" ht="15.75" x14ac:dyDescent="0.25">
      <c r="A56" s="87">
        <v>52</v>
      </c>
      <c r="B56" s="87" t="s">
        <v>1120</v>
      </c>
      <c r="C56" s="555">
        <v>3877</v>
      </c>
      <c r="D56" s="563">
        <v>32000</v>
      </c>
      <c r="E56" s="573">
        <v>356</v>
      </c>
      <c r="F56" s="563">
        <v>32000</v>
      </c>
      <c r="G56" s="87">
        <f t="shared" si="0"/>
        <v>0</v>
      </c>
      <c r="H56" s="509"/>
      <c r="I56" s="509"/>
      <c r="J56" s="89"/>
      <c r="K56" s="522"/>
      <c r="L56" s="204"/>
      <c r="M56" s="661"/>
      <c r="N56" s="661"/>
    </row>
    <row r="57" spans="1:14" ht="15.75" x14ac:dyDescent="0.25">
      <c r="A57" s="87">
        <v>53</v>
      </c>
      <c r="B57" s="87" t="s">
        <v>1120</v>
      </c>
      <c r="C57" s="555">
        <v>9407</v>
      </c>
      <c r="D57" s="563">
        <v>35000</v>
      </c>
      <c r="E57" s="573">
        <v>384</v>
      </c>
      <c r="F57" s="563">
        <v>35000</v>
      </c>
      <c r="G57" s="87">
        <f t="shared" si="0"/>
        <v>0</v>
      </c>
      <c r="H57" s="509"/>
      <c r="I57" s="509"/>
      <c r="J57" s="89"/>
      <c r="K57" s="522"/>
      <c r="L57" s="204"/>
      <c r="M57" s="661"/>
      <c r="N57" s="661"/>
    </row>
    <row r="58" spans="1:14" ht="15.75" x14ac:dyDescent="0.25">
      <c r="A58" s="87">
        <v>54</v>
      </c>
      <c r="B58" s="87" t="s">
        <v>1121</v>
      </c>
      <c r="C58" s="555" t="s">
        <v>30</v>
      </c>
      <c r="D58" s="563">
        <v>5000</v>
      </c>
      <c r="E58" s="573">
        <v>55</v>
      </c>
      <c r="F58" s="563">
        <v>5000</v>
      </c>
      <c r="G58" s="87">
        <f t="shared" si="0"/>
        <v>0</v>
      </c>
      <c r="H58" s="509"/>
      <c r="I58" s="509"/>
      <c r="J58" s="89"/>
      <c r="K58" s="522"/>
      <c r="L58" s="204"/>
      <c r="M58" s="661"/>
      <c r="N58" s="661"/>
    </row>
    <row r="59" spans="1:14" ht="15.75" x14ac:dyDescent="0.25">
      <c r="A59" s="87">
        <v>55</v>
      </c>
      <c r="B59" s="87" t="s">
        <v>1121</v>
      </c>
      <c r="C59" s="555">
        <v>7782</v>
      </c>
      <c r="D59" s="563">
        <v>15000</v>
      </c>
      <c r="E59" s="573">
        <v>167</v>
      </c>
      <c r="F59" s="563">
        <v>15000</v>
      </c>
      <c r="G59" s="87">
        <f t="shared" si="0"/>
        <v>0</v>
      </c>
      <c r="H59" s="509"/>
      <c r="I59" s="509"/>
      <c r="J59" s="89"/>
      <c r="K59" s="522"/>
      <c r="L59" s="204"/>
      <c r="M59" s="661"/>
      <c r="N59" s="661"/>
    </row>
    <row r="60" spans="1:14" ht="15.75" x14ac:dyDescent="0.25">
      <c r="A60" s="87">
        <v>56</v>
      </c>
      <c r="B60" s="87" t="s">
        <v>1121</v>
      </c>
      <c r="C60" s="607" t="s">
        <v>935</v>
      </c>
      <c r="D60" s="563">
        <v>16000</v>
      </c>
      <c r="E60" s="573">
        <v>178</v>
      </c>
      <c r="F60" s="563">
        <v>16000</v>
      </c>
      <c r="G60" s="87">
        <f t="shared" si="0"/>
        <v>0</v>
      </c>
      <c r="H60" s="509"/>
      <c r="I60" s="509"/>
      <c r="J60" s="89"/>
      <c r="K60" s="522"/>
      <c r="L60" s="204"/>
      <c r="M60" s="661"/>
      <c r="N60" s="661"/>
    </row>
    <row r="61" spans="1:14" ht="15.75" x14ac:dyDescent="0.25">
      <c r="A61" s="87">
        <v>57</v>
      </c>
      <c r="B61" s="87" t="s">
        <v>1121</v>
      </c>
      <c r="C61" s="555">
        <v>1934</v>
      </c>
      <c r="D61" s="563">
        <v>17000</v>
      </c>
      <c r="E61" s="573">
        <v>189</v>
      </c>
      <c r="F61" s="563">
        <v>17000</v>
      </c>
      <c r="G61" s="87">
        <f t="shared" si="0"/>
        <v>0</v>
      </c>
      <c r="H61" s="509"/>
      <c r="I61" s="509"/>
      <c r="J61" s="89"/>
      <c r="K61" s="522"/>
      <c r="L61" s="204"/>
      <c r="M61" s="661"/>
      <c r="N61" s="661"/>
    </row>
    <row r="62" spans="1:14" ht="15.75" x14ac:dyDescent="0.25">
      <c r="A62" s="87">
        <v>58</v>
      </c>
      <c r="B62" s="87" t="s">
        <v>1121</v>
      </c>
      <c r="C62" s="555">
        <v>1543</v>
      </c>
      <c r="D62" s="563">
        <v>17000</v>
      </c>
      <c r="E62" s="573">
        <v>189</v>
      </c>
      <c r="F62" s="563">
        <v>17000</v>
      </c>
      <c r="G62" s="87">
        <f t="shared" si="0"/>
        <v>0</v>
      </c>
      <c r="H62" s="509"/>
      <c r="I62" s="509"/>
      <c r="J62" s="89"/>
      <c r="K62" s="522"/>
      <c r="L62" s="204"/>
      <c r="M62" s="661"/>
      <c r="N62" s="661"/>
    </row>
    <row r="63" spans="1:14" ht="15.75" x14ac:dyDescent="0.25">
      <c r="A63" s="87">
        <v>59</v>
      </c>
      <c r="B63" s="87" t="s">
        <v>1121</v>
      </c>
      <c r="C63" s="555">
        <v>3848</v>
      </c>
      <c r="D63" s="563">
        <v>20000</v>
      </c>
      <c r="E63" s="573">
        <v>222</v>
      </c>
      <c r="F63" s="563">
        <v>20000</v>
      </c>
      <c r="G63" s="87">
        <f t="shared" si="0"/>
        <v>0</v>
      </c>
      <c r="H63" s="509"/>
      <c r="I63" s="509"/>
      <c r="J63" s="89"/>
      <c r="K63" s="522"/>
      <c r="L63" s="204"/>
      <c r="M63" s="661"/>
      <c r="N63" s="661"/>
    </row>
    <row r="64" spans="1:14" ht="15.75" x14ac:dyDescent="0.25">
      <c r="A64" s="87">
        <v>60</v>
      </c>
      <c r="B64" s="87" t="s">
        <v>1121</v>
      </c>
      <c r="C64" s="555">
        <v>7171</v>
      </c>
      <c r="D64" s="563">
        <v>20000</v>
      </c>
      <c r="E64" s="573">
        <v>222</v>
      </c>
      <c r="F64" s="563">
        <v>20000</v>
      </c>
      <c r="G64" s="87">
        <f t="shared" si="0"/>
        <v>0</v>
      </c>
      <c r="H64" s="509"/>
      <c r="I64" s="509"/>
      <c r="J64" s="89"/>
      <c r="K64" s="522"/>
      <c r="L64" s="204"/>
      <c r="M64" s="661"/>
      <c r="N64" s="661"/>
    </row>
    <row r="65" spans="1:14" ht="15.75" x14ac:dyDescent="0.25">
      <c r="A65" s="87">
        <v>61</v>
      </c>
      <c r="B65" s="87" t="s">
        <v>1121</v>
      </c>
      <c r="C65" s="555" t="s">
        <v>30</v>
      </c>
      <c r="D65" s="563">
        <v>10000</v>
      </c>
      <c r="E65" s="573">
        <v>111</v>
      </c>
      <c r="F65" s="563">
        <v>10000</v>
      </c>
      <c r="G65" s="87">
        <f t="shared" si="0"/>
        <v>0</v>
      </c>
      <c r="H65" s="509"/>
      <c r="I65" s="509"/>
      <c r="J65" s="89"/>
      <c r="K65" s="522"/>
      <c r="L65" s="204"/>
      <c r="M65" s="661"/>
      <c r="N65" s="661"/>
    </row>
    <row r="66" spans="1:14" ht="15.75" x14ac:dyDescent="0.25">
      <c r="A66" s="87">
        <v>62</v>
      </c>
      <c r="B66" s="87" t="s">
        <v>1121</v>
      </c>
      <c r="C66" s="555" t="s">
        <v>30</v>
      </c>
      <c r="D66" s="563">
        <v>4500</v>
      </c>
      <c r="E66" s="573">
        <v>50</v>
      </c>
      <c r="F66" s="563">
        <v>4500</v>
      </c>
      <c r="G66" s="87">
        <f t="shared" si="0"/>
        <v>0</v>
      </c>
      <c r="H66" s="509"/>
      <c r="I66" s="509"/>
      <c r="J66" s="89"/>
      <c r="K66" s="522"/>
      <c r="L66" s="204"/>
      <c r="M66" s="661"/>
      <c r="N66" s="661"/>
    </row>
    <row r="67" spans="1:14" ht="15.75" x14ac:dyDescent="0.25">
      <c r="A67" s="87">
        <v>63</v>
      </c>
      <c r="B67" s="87" t="s">
        <v>1121</v>
      </c>
      <c r="C67" s="555">
        <v>7744</v>
      </c>
      <c r="D67" s="563">
        <v>14000</v>
      </c>
      <c r="E67" s="573">
        <v>155</v>
      </c>
      <c r="F67" s="563">
        <v>14000</v>
      </c>
      <c r="G67" s="87">
        <f t="shared" si="0"/>
        <v>0</v>
      </c>
      <c r="H67" s="509"/>
      <c r="I67" s="509"/>
      <c r="J67" s="89"/>
      <c r="K67" s="522"/>
      <c r="L67" s="204"/>
      <c r="M67" s="661"/>
      <c r="N67" s="661"/>
    </row>
    <row r="68" spans="1:14" ht="15.75" x14ac:dyDescent="0.25">
      <c r="A68" s="87">
        <v>64</v>
      </c>
      <c r="B68" s="87" t="s">
        <v>1121</v>
      </c>
      <c r="C68" s="607" t="s">
        <v>873</v>
      </c>
      <c r="D68" s="563">
        <v>14000</v>
      </c>
      <c r="E68" s="573">
        <v>150</v>
      </c>
      <c r="F68" s="563">
        <v>14000</v>
      </c>
      <c r="G68" s="87">
        <f t="shared" si="0"/>
        <v>0</v>
      </c>
      <c r="H68" s="509"/>
      <c r="I68" s="509"/>
      <c r="J68" s="89"/>
      <c r="K68" s="522"/>
      <c r="L68" s="204"/>
      <c r="M68" s="661"/>
      <c r="N68" s="661"/>
    </row>
    <row r="69" spans="1:14" ht="15.75" x14ac:dyDescent="0.25">
      <c r="A69" s="87">
        <v>65</v>
      </c>
      <c r="B69" s="87" t="s">
        <v>1121</v>
      </c>
      <c r="C69" s="555">
        <v>9259</v>
      </c>
      <c r="D69" s="563">
        <v>16000</v>
      </c>
      <c r="E69" s="573">
        <v>178</v>
      </c>
      <c r="F69" s="563">
        <v>16000</v>
      </c>
      <c r="G69" s="87">
        <f t="shared" ref="G69:G132" si="1">D69-F69</f>
        <v>0</v>
      </c>
      <c r="H69" s="509"/>
      <c r="I69" s="509"/>
      <c r="J69" s="89"/>
      <c r="K69" s="522"/>
      <c r="L69" s="204"/>
      <c r="M69" s="661"/>
      <c r="N69" s="661"/>
    </row>
    <row r="70" spans="1:14" ht="15.75" x14ac:dyDescent="0.25">
      <c r="A70" s="87">
        <v>66</v>
      </c>
      <c r="B70" s="87" t="s">
        <v>1121</v>
      </c>
      <c r="C70" s="555">
        <v>3158</v>
      </c>
      <c r="D70" s="563">
        <v>25950</v>
      </c>
      <c r="E70" s="573">
        <v>289</v>
      </c>
      <c r="F70" s="563">
        <v>25950</v>
      </c>
      <c r="G70" s="87">
        <f t="shared" si="1"/>
        <v>0</v>
      </c>
      <c r="H70" s="509"/>
      <c r="I70" s="509"/>
      <c r="J70" s="89"/>
      <c r="K70" s="522"/>
      <c r="L70" s="204"/>
      <c r="M70" s="661"/>
      <c r="N70" s="661"/>
    </row>
    <row r="71" spans="1:14" ht="15.75" x14ac:dyDescent="0.25">
      <c r="A71" s="87">
        <v>67</v>
      </c>
      <c r="B71" s="87" t="s">
        <v>1121</v>
      </c>
      <c r="C71" s="555">
        <v>6359</v>
      </c>
      <c r="D71" s="563">
        <v>32140</v>
      </c>
      <c r="E71" s="573">
        <v>358</v>
      </c>
      <c r="F71" s="563">
        <v>32140</v>
      </c>
      <c r="G71" s="87">
        <f t="shared" si="1"/>
        <v>0</v>
      </c>
      <c r="H71" s="509"/>
      <c r="I71" s="509"/>
      <c r="J71" s="89"/>
      <c r="K71" s="522"/>
      <c r="L71" s="204"/>
      <c r="M71" s="661"/>
      <c r="N71" s="661"/>
    </row>
    <row r="72" spans="1:14" ht="15.75" x14ac:dyDescent="0.25">
      <c r="A72" s="87">
        <v>68</v>
      </c>
      <c r="B72" s="87" t="s">
        <v>1121</v>
      </c>
      <c r="C72" s="555">
        <v>7954</v>
      </c>
      <c r="D72" s="563">
        <v>22343</v>
      </c>
      <c r="E72" s="573">
        <v>248</v>
      </c>
      <c r="F72" s="563">
        <v>22343</v>
      </c>
      <c r="G72" s="87">
        <f t="shared" si="1"/>
        <v>0</v>
      </c>
      <c r="H72" s="509"/>
      <c r="I72" s="509"/>
      <c r="J72" s="89"/>
      <c r="K72" s="522"/>
      <c r="L72" s="204"/>
      <c r="M72" s="661"/>
      <c r="N72" s="661"/>
    </row>
    <row r="73" spans="1:14" ht="15.75" x14ac:dyDescent="0.25">
      <c r="A73" s="87">
        <v>69</v>
      </c>
      <c r="B73" s="87" t="s">
        <v>1121</v>
      </c>
      <c r="C73" s="555">
        <v>1250</v>
      </c>
      <c r="D73" s="563">
        <v>30000</v>
      </c>
      <c r="E73" s="573">
        <v>334</v>
      </c>
      <c r="F73" s="563">
        <v>30000</v>
      </c>
      <c r="G73" s="87">
        <f t="shared" si="1"/>
        <v>0</v>
      </c>
      <c r="H73" s="509"/>
      <c r="I73" s="509"/>
      <c r="J73" s="89"/>
      <c r="K73" s="522"/>
      <c r="L73" s="204"/>
      <c r="M73" s="661"/>
      <c r="N73" s="661"/>
    </row>
    <row r="74" spans="1:14" ht="15.75" x14ac:dyDescent="0.25">
      <c r="A74" s="87">
        <v>70</v>
      </c>
      <c r="B74" s="87" t="s">
        <v>1121</v>
      </c>
      <c r="C74" s="555">
        <v>1033</v>
      </c>
      <c r="D74" s="563">
        <v>25000</v>
      </c>
      <c r="E74" s="573">
        <v>278</v>
      </c>
      <c r="F74" s="563">
        <v>25000</v>
      </c>
      <c r="G74" s="87">
        <f t="shared" si="1"/>
        <v>0</v>
      </c>
      <c r="H74" s="509"/>
      <c r="I74" s="509"/>
      <c r="J74" s="89"/>
      <c r="K74" s="522"/>
      <c r="L74" s="204"/>
      <c r="M74" s="661"/>
      <c r="N74" s="661"/>
    </row>
    <row r="75" spans="1:14" ht="15.75" x14ac:dyDescent="0.25">
      <c r="A75" s="87">
        <v>71</v>
      </c>
      <c r="B75" s="87" t="s">
        <v>1121</v>
      </c>
      <c r="C75" s="555">
        <v>8519</v>
      </c>
      <c r="D75" s="563">
        <v>36000</v>
      </c>
      <c r="E75" s="573">
        <v>401</v>
      </c>
      <c r="F75" s="563">
        <v>36000</v>
      </c>
      <c r="G75" s="87">
        <f t="shared" si="1"/>
        <v>0</v>
      </c>
      <c r="H75" s="509"/>
      <c r="I75" s="509"/>
      <c r="J75" s="89"/>
      <c r="K75" s="522"/>
      <c r="L75" s="204"/>
      <c r="M75" s="661"/>
      <c r="N75" s="661"/>
    </row>
    <row r="76" spans="1:14" ht="15.75" x14ac:dyDescent="0.25">
      <c r="A76" s="87">
        <v>72</v>
      </c>
      <c r="B76" s="87" t="s">
        <v>1121</v>
      </c>
      <c r="C76" s="555">
        <v>6844</v>
      </c>
      <c r="D76" s="563">
        <v>30000</v>
      </c>
      <c r="E76" s="573">
        <v>334</v>
      </c>
      <c r="F76" s="563">
        <v>30000</v>
      </c>
      <c r="G76" s="87">
        <f t="shared" si="1"/>
        <v>0</v>
      </c>
      <c r="H76" s="509"/>
      <c r="I76" s="509"/>
      <c r="J76" s="89"/>
      <c r="K76" s="522"/>
      <c r="L76" s="204"/>
      <c r="M76" s="661"/>
      <c r="N76" s="661"/>
    </row>
    <row r="77" spans="1:14" ht="15.75" x14ac:dyDescent="0.25">
      <c r="A77" s="87">
        <v>73</v>
      </c>
      <c r="B77" s="87" t="s">
        <v>1121</v>
      </c>
      <c r="C77" s="555">
        <v>3464</v>
      </c>
      <c r="D77" s="563">
        <v>30000</v>
      </c>
      <c r="E77" s="573">
        <v>334</v>
      </c>
      <c r="F77" s="563">
        <v>30000</v>
      </c>
      <c r="G77" s="87">
        <f t="shared" si="1"/>
        <v>0</v>
      </c>
      <c r="H77" s="509"/>
      <c r="I77" s="509"/>
      <c r="J77" s="89"/>
      <c r="K77" s="522"/>
      <c r="L77" s="204"/>
      <c r="M77" s="661"/>
      <c r="N77" s="661"/>
    </row>
    <row r="78" spans="1:14" ht="15.75" x14ac:dyDescent="0.25">
      <c r="A78" s="87">
        <v>74</v>
      </c>
      <c r="B78" s="87" t="s">
        <v>1121</v>
      </c>
      <c r="C78" s="555">
        <v>3159</v>
      </c>
      <c r="D78" s="563">
        <v>30000</v>
      </c>
      <c r="E78" s="573">
        <v>321</v>
      </c>
      <c r="F78" s="563">
        <v>30000</v>
      </c>
      <c r="G78" s="87">
        <f t="shared" si="1"/>
        <v>0</v>
      </c>
      <c r="H78" s="509"/>
      <c r="I78" s="509"/>
      <c r="J78" s="89"/>
      <c r="K78" s="522"/>
      <c r="L78" s="204"/>
      <c r="M78" s="661"/>
      <c r="N78" s="661"/>
    </row>
    <row r="79" spans="1:14" ht="15.75" x14ac:dyDescent="0.25">
      <c r="A79" s="87">
        <v>75</v>
      </c>
      <c r="B79" s="87" t="s">
        <v>1121</v>
      </c>
      <c r="C79" s="555">
        <v>4089</v>
      </c>
      <c r="D79" s="563">
        <v>29000</v>
      </c>
      <c r="E79" s="573">
        <v>323</v>
      </c>
      <c r="F79" s="563">
        <v>29000</v>
      </c>
      <c r="G79" s="87">
        <f t="shared" si="1"/>
        <v>0</v>
      </c>
      <c r="H79" s="509"/>
      <c r="I79" s="509"/>
      <c r="J79" s="89"/>
      <c r="K79" s="522"/>
      <c r="L79" s="204"/>
      <c r="M79" s="661"/>
      <c r="N79" s="661"/>
    </row>
    <row r="80" spans="1:14" ht="15.75" x14ac:dyDescent="0.25">
      <c r="A80" s="87">
        <v>76</v>
      </c>
      <c r="B80" s="87" t="s">
        <v>1121</v>
      </c>
      <c r="C80" s="607" t="s">
        <v>908</v>
      </c>
      <c r="D80" s="563">
        <v>29000</v>
      </c>
      <c r="E80" s="573">
        <v>323</v>
      </c>
      <c r="F80" s="563">
        <v>29000</v>
      </c>
      <c r="G80" s="87">
        <f t="shared" si="1"/>
        <v>0</v>
      </c>
      <c r="H80" s="509"/>
      <c r="I80" s="509"/>
      <c r="J80" s="89"/>
      <c r="K80" s="522"/>
      <c r="L80" s="204"/>
      <c r="M80" s="661"/>
      <c r="N80" s="661"/>
    </row>
    <row r="81" spans="1:14" ht="15.75" x14ac:dyDescent="0.25">
      <c r="A81" s="87">
        <v>77</v>
      </c>
      <c r="B81" s="87" t="s">
        <v>1121</v>
      </c>
      <c r="C81" s="555">
        <v>9391</v>
      </c>
      <c r="D81" s="563">
        <v>30000</v>
      </c>
      <c r="E81" s="573">
        <v>334</v>
      </c>
      <c r="F81" s="563">
        <v>30000</v>
      </c>
      <c r="G81" s="87">
        <f t="shared" si="1"/>
        <v>0</v>
      </c>
      <c r="H81" s="509"/>
      <c r="I81" s="509"/>
      <c r="J81" s="89"/>
      <c r="K81" s="522"/>
      <c r="L81" s="204"/>
      <c r="M81" s="661"/>
      <c r="N81" s="661"/>
    </row>
    <row r="82" spans="1:14" ht="15.75" x14ac:dyDescent="0.25">
      <c r="A82" s="87">
        <v>78</v>
      </c>
      <c r="B82" s="87" t="s">
        <v>1122</v>
      </c>
      <c r="C82" s="555" t="s">
        <v>66</v>
      </c>
      <c r="D82" s="563">
        <v>100</v>
      </c>
      <c r="E82" s="555" t="s">
        <v>66</v>
      </c>
      <c r="F82" s="563">
        <v>100</v>
      </c>
      <c r="G82" s="87">
        <f t="shared" si="1"/>
        <v>0</v>
      </c>
      <c r="H82" s="509"/>
      <c r="I82" s="509"/>
      <c r="J82" s="89"/>
      <c r="K82" s="522"/>
      <c r="L82" s="204"/>
      <c r="M82" s="661"/>
      <c r="N82" s="661"/>
    </row>
    <row r="83" spans="1:14" ht="15.75" x14ac:dyDescent="0.25">
      <c r="A83" s="87">
        <v>79</v>
      </c>
      <c r="B83" s="87" t="s">
        <v>1122</v>
      </c>
      <c r="C83" s="555">
        <v>1563</v>
      </c>
      <c r="D83" s="563">
        <v>3000</v>
      </c>
      <c r="E83" s="573">
        <v>33</v>
      </c>
      <c r="F83" s="563">
        <v>3000</v>
      </c>
      <c r="G83" s="87">
        <f t="shared" si="1"/>
        <v>0</v>
      </c>
      <c r="H83" s="509"/>
      <c r="I83" s="509"/>
      <c r="J83" s="89"/>
      <c r="K83" s="522"/>
      <c r="L83" s="204"/>
      <c r="M83" s="661"/>
      <c r="N83" s="661"/>
    </row>
    <row r="84" spans="1:14" ht="15.75" x14ac:dyDescent="0.25">
      <c r="A84" s="87">
        <v>80</v>
      </c>
      <c r="B84" s="87" t="s">
        <v>1122</v>
      </c>
      <c r="C84" s="555" t="s">
        <v>30</v>
      </c>
      <c r="D84" s="563">
        <v>5000</v>
      </c>
      <c r="E84" s="573">
        <v>55</v>
      </c>
      <c r="F84" s="563">
        <v>5000</v>
      </c>
      <c r="G84" s="87">
        <f t="shared" si="1"/>
        <v>0</v>
      </c>
      <c r="H84" s="509"/>
      <c r="I84" s="509"/>
      <c r="J84" s="89"/>
      <c r="K84" s="522"/>
      <c r="L84" s="204"/>
      <c r="M84" s="661"/>
      <c r="N84" s="661"/>
    </row>
    <row r="85" spans="1:14" ht="15.75" x14ac:dyDescent="0.25">
      <c r="A85" s="87">
        <v>81</v>
      </c>
      <c r="B85" s="87" t="s">
        <v>1122</v>
      </c>
      <c r="C85" s="555">
        <v>2774</v>
      </c>
      <c r="D85" s="563">
        <v>16000</v>
      </c>
      <c r="E85" s="573">
        <v>178</v>
      </c>
      <c r="F85" s="563">
        <v>16000</v>
      </c>
      <c r="G85" s="87">
        <f t="shared" si="1"/>
        <v>0</v>
      </c>
      <c r="H85" s="509"/>
      <c r="I85" s="509"/>
      <c r="J85" s="89"/>
      <c r="K85" s="522"/>
      <c r="L85" s="204"/>
      <c r="M85" s="661"/>
      <c r="N85" s="661"/>
    </row>
    <row r="86" spans="1:14" ht="15.75" x14ac:dyDescent="0.25">
      <c r="A86" s="87">
        <v>82</v>
      </c>
      <c r="B86" s="87" t="s">
        <v>1122</v>
      </c>
      <c r="C86" s="555">
        <v>2972</v>
      </c>
      <c r="D86" s="563">
        <v>16000</v>
      </c>
      <c r="E86" s="573">
        <v>178</v>
      </c>
      <c r="F86" s="563">
        <v>16000</v>
      </c>
      <c r="G86" s="87">
        <f t="shared" si="1"/>
        <v>0</v>
      </c>
      <c r="H86" s="509"/>
      <c r="I86" s="509"/>
      <c r="J86" s="89"/>
      <c r="K86" s="522"/>
      <c r="L86" s="204"/>
      <c r="M86" s="661"/>
      <c r="N86" s="661"/>
    </row>
    <row r="87" spans="1:14" ht="15.75" x14ac:dyDescent="0.25">
      <c r="A87" s="87">
        <v>83</v>
      </c>
      <c r="B87" s="87" t="s">
        <v>1122</v>
      </c>
      <c r="C87" s="555">
        <v>4747</v>
      </c>
      <c r="D87" s="563">
        <v>17000</v>
      </c>
      <c r="E87" s="573">
        <v>164</v>
      </c>
      <c r="F87" s="563">
        <v>17000</v>
      </c>
      <c r="G87" s="87">
        <f t="shared" si="1"/>
        <v>0</v>
      </c>
      <c r="H87" s="509"/>
      <c r="I87" s="509"/>
      <c r="J87" s="89"/>
      <c r="K87" s="522"/>
      <c r="L87" s="204"/>
      <c r="M87" s="661"/>
      <c r="N87" s="661"/>
    </row>
    <row r="88" spans="1:14" ht="15.75" x14ac:dyDescent="0.25">
      <c r="A88" s="87">
        <v>84</v>
      </c>
      <c r="B88" s="87" t="s">
        <v>1122</v>
      </c>
      <c r="C88" s="555">
        <v>1652</v>
      </c>
      <c r="D88" s="563">
        <v>18000</v>
      </c>
      <c r="E88" s="573">
        <v>200</v>
      </c>
      <c r="F88" s="563">
        <v>18000</v>
      </c>
      <c r="G88" s="87">
        <f t="shared" si="1"/>
        <v>0</v>
      </c>
      <c r="H88" s="509"/>
      <c r="I88" s="509"/>
      <c r="J88" s="89"/>
      <c r="K88" s="522"/>
      <c r="L88" s="204"/>
      <c r="M88" s="661"/>
      <c r="N88" s="661"/>
    </row>
    <row r="89" spans="1:14" ht="15.75" x14ac:dyDescent="0.25">
      <c r="A89" s="87">
        <v>85</v>
      </c>
      <c r="B89" s="87" t="s">
        <v>1122</v>
      </c>
      <c r="C89" s="555">
        <v>2689</v>
      </c>
      <c r="D89" s="563">
        <v>20000</v>
      </c>
      <c r="E89" s="573">
        <v>209</v>
      </c>
      <c r="F89" s="563">
        <v>20000</v>
      </c>
      <c r="G89" s="87">
        <f t="shared" si="1"/>
        <v>0</v>
      </c>
      <c r="H89" s="509"/>
      <c r="I89" s="509"/>
      <c r="J89" s="89"/>
      <c r="K89" s="522"/>
      <c r="L89" s="204"/>
      <c r="M89" s="661"/>
      <c r="N89" s="661"/>
    </row>
    <row r="90" spans="1:14" ht="15.75" x14ac:dyDescent="0.25">
      <c r="A90" s="87">
        <v>86</v>
      </c>
      <c r="B90" s="87" t="s">
        <v>1122</v>
      </c>
      <c r="C90" s="555">
        <v>5397</v>
      </c>
      <c r="D90" s="563">
        <v>20000</v>
      </c>
      <c r="E90" s="573">
        <v>202</v>
      </c>
      <c r="F90" s="563">
        <v>20000</v>
      </c>
      <c r="G90" s="87">
        <f t="shared" si="1"/>
        <v>0</v>
      </c>
      <c r="H90" s="509"/>
      <c r="I90" s="509"/>
      <c r="J90" s="89"/>
      <c r="K90" s="522"/>
      <c r="L90" s="204"/>
      <c r="M90" s="661"/>
      <c r="N90" s="661"/>
    </row>
    <row r="91" spans="1:14" ht="15.75" x14ac:dyDescent="0.25">
      <c r="A91" s="87">
        <v>87</v>
      </c>
      <c r="B91" s="87" t="s">
        <v>1122</v>
      </c>
      <c r="C91" s="555">
        <v>2526</v>
      </c>
      <c r="D91" s="563">
        <v>20000</v>
      </c>
      <c r="E91" s="573">
        <v>222</v>
      </c>
      <c r="F91" s="563">
        <v>20000</v>
      </c>
      <c r="G91" s="87">
        <f t="shared" si="1"/>
        <v>0</v>
      </c>
      <c r="H91" s="509"/>
      <c r="I91" s="509"/>
      <c r="J91" s="89"/>
      <c r="K91" s="522"/>
      <c r="L91" s="204"/>
      <c r="M91" s="661"/>
      <c r="N91" s="661"/>
    </row>
    <row r="92" spans="1:14" ht="15.75" x14ac:dyDescent="0.25">
      <c r="A92" s="87">
        <v>88</v>
      </c>
      <c r="B92" s="87" t="s">
        <v>1122</v>
      </c>
      <c r="C92" s="555">
        <v>6471</v>
      </c>
      <c r="D92" s="563">
        <v>20000</v>
      </c>
      <c r="E92" s="573">
        <v>222</v>
      </c>
      <c r="F92" s="563">
        <v>20000</v>
      </c>
      <c r="G92" s="87">
        <f t="shared" si="1"/>
        <v>0</v>
      </c>
      <c r="H92" s="509"/>
      <c r="I92" s="509"/>
      <c r="J92" s="89"/>
      <c r="K92" s="522"/>
      <c r="L92" s="204"/>
      <c r="M92" s="661"/>
      <c r="N92" s="661"/>
    </row>
    <row r="93" spans="1:14" ht="15.75" x14ac:dyDescent="0.25">
      <c r="A93" s="87">
        <v>89</v>
      </c>
      <c r="B93" s="87" t="s">
        <v>1122</v>
      </c>
      <c r="C93" s="555">
        <v>3496</v>
      </c>
      <c r="D93" s="563">
        <v>20000</v>
      </c>
      <c r="E93" s="573">
        <v>222</v>
      </c>
      <c r="F93" s="563">
        <v>20000</v>
      </c>
      <c r="G93" s="87">
        <f t="shared" si="1"/>
        <v>0</v>
      </c>
      <c r="H93" s="509"/>
      <c r="I93" s="509"/>
      <c r="J93" s="89"/>
      <c r="K93" s="522"/>
      <c r="L93" s="204"/>
      <c r="M93" s="661"/>
      <c r="N93" s="661"/>
    </row>
    <row r="94" spans="1:14" ht="15.75" x14ac:dyDescent="0.25">
      <c r="A94" s="87">
        <v>90</v>
      </c>
      <c r="B94" s="87" t="s">
        <v>1122</v>
      </c>
      <c r="C94" s="555">
        <v>8010</v>
      </c>
      <c r="D94" s="563">
        <v>20000</v>
      </c>
      <c r="E94" s="573">
        <v>202</v>
      </c>
      <c r="F94" s="563">
        <v>20000</v>
      </c>
      <c r="G94" s="87">
        <f t="shared" si="1"/>
        <v>0</v>
      </c>
      <c r="H94" s="509"/>
      <c r="I94" s="509"/>
      <c r="J94" s="89"/>
      <c r="K94" s="522"/>
      <c r="L94" s="204"/>
      <c r="M94" s="661"/>
      <c r="N94" s="661"/>
    </row>
    <row r="95" spans="1:14" ht="15.75" x14ac:dyDescent="0.25">
      <c r="A95" s="87">
        <v>91</v>
      </c>
      <c r="B95" s="87" t="s">
        <v>1122</v>
      </c>
      <c r="C95" s="555">
        <v>2975</v>
      </c>
      <c r="D95" s="563">
        <v>24000</v>
      </c>
      <c r="E95" s="573">
        <v>267</v>
      </c>
      <c r="F95" s="563">
        <v>24000</v>
      </c>
      <c r="G95" s="87">
        <f t="shared" si="1"/>
        <v>0</v>
      </c>
      <c r="H95" s="509"/>
      <c r="I95" s="509"/>
      <c r="J95" s="89"/>
      <c r="K95" s="522"/>
      <c r="L95" s="204"/>
      <c r="M95" s="661"/>
      <c r="N95" s="661"/>
    </row>
    <row r="96" spans="1:14" ht="15.75" x14ac:dyDescent="0.25">
      <c r="A96" s="87">
        <v>92</v>
      </c>
      <c r="B96" s="87" t="s">
        <v>1122</v>
      </c>
      <c r="C96" s="607" t="s">
        <v>1092</v>
      </c>
      <c r="D96" s="563">
        <v>27000</v>
      </c>
      <c r="E96" s="573">
        <v>300</v>
      </c>
      <c r="F96" s="563">
        <v>27000</v>
      </c>
      <c r="G96" s="87">
        <f t="shared" si="1"/>
        <v>0</v>
      </c>
      <c r="H96" s="509"/>
      <c r="I96" s="509"/>
      <c r="J96" s="89"/>
      <c r="K96" s="522"/>
      <c r="L96" s="204"/>
      <c r="M96" s="661"/>
      <c r="N96" s="661"/>
    </row>
    <row r="97" spans="1:14" ht="15.75" x14ac:dyDescent="0.25">
      <c r="A97" s="87">
        <v>93</v>
      </c>
      <c r="B97" s="87" t="s">
        <v>1122</v>
      </c>
      <c r="C97" s="555">
        <v>3662</v>
      </c>
      <c r="D97" s="563">
        <v>28000</v>
      </c>
      <c r="E97" s="573">
        <v>262</v>
      </c>
      <c r="F97" s="563">
        <v>28000</v>
      </c>
      <c r="G97" s="87">
        <f t="shared" si="1"/>
        <v>0</v>
      </c>
      <c r="H97" s="509"/>
      <c r="I97" s="509"/>
      <c r="J97" s="89"/>
      <c r="K97" s="522"/>
      <c r="L97" s="204"/>
      <c r="M97" s="661"/>
      <c r="N97" s="661"/>
    </row>
    <row r="98" spans="1:14" ht="15.75" x14ac:dyDescent="0.25">
      <c r="A98" s="87">
        <v>94</v>
      </c>
      <c r="B98" s="87" t="s">
        <v>1122</v>
      </c>
      <c r="C98" s="555">
        <v>1192</v>
      </c>
      <c r="D98" s="563">
        <v>28000</v>
      </c>
      <c r="E98" s="573">
        <v>300</v>
      </c>
      <c r="F98" s="563">
        <v>28000</v>
      </c>
      <c r="G98" s="87">
        <f t="shared" si="1"/>
        <v>0</v>
      </c>
      <c r="H98" s="509"/>
      <c r="I98" s="509"/>
      <c r="J98" s="89"/>
      <c r="K98" s="522"/>
      <c r="L98" s="204"/>
      <c r="M98" s="661"/>
      <c r="N98" s="661"/>
    </row>
    <row r="99" spans="1:14" ht="15.75" x14ac:dyDescent="0.25">
      <c r="A99" s="87">
        <v>95</v>
      </c>
      <c r="B99" s="87" t="s">
        <v>1122</v>
      </c>
      <c r="C99" s="555" t="s">
        <v>66</v>
      </c>
      <c r="D99" s="563">
        <v>210</v>
      </c>
      <c r="E99" s="573" t="s">
        <v>66</v>
      </c>
      <c r="F99" s="563">
        <v>210</v>
      </c>
      <c r="G99" s="87">
        <f t="shared" si="1"/>
        <v>0</v>
      </c>
      <c r="H99" s="509"/>
      <c r="I99" s="509"/>
      <c r="J99" s="89"/>
      <c r="K99" s="522"/>
      <c r="L99" s="204"/>
      <c r="M99" s="661"/>
      <c r="N99" s="661"/>
    </row>
    <row r="100" spans="1:14" ht="15.75" x14ac:dyDescent="0.25">
      <c r="A100" s="87">
        <v>96</v>
      </c>
      <c r="B100" s="87" t="s">
        <v>1122</v>
      </c>
      <c r="C100" s="555" t="s">
        <v>66</v>
      </c>
      <c r="D100" s="563">
        <v>100</v>
      </c>
      <c r="E100" s="573" t="s">
        <v>66</v>
      </c>
      <c r="F100" s="563">
        <v>100</v>
      </c>
      <c r="G100" s="87">
        <f t="shared" si="1"/>
        <v>0</v>
      </c>
      <c r="H100" s="509"/>
      <c r="I100" s="509"/>
      <c r="J100" s="89"/>
      <c r="K100" s="522"/>
      <c r="L100" s="204"/>
      <c r="M100" s="661"/>
      <c r="N100" s="661"/>
    </row>
    <row r="101" spans="1:14" ht="15.75" x14ac:dyDescent="0.25">
      <c r="A101" s="87">
        <v>97</v>
      </c>
      <c r="B101" s="87" t="s">
        <v>1122</v>
      </c>
      <c r="C101" s="555">
        <v>3344</v>
      </c>
      <c r="D101" s="563">
        <v>14000</v>
      </c>
      <c r="E101" s="573">
        <v>155</v>
      </c>
      <c r="F101" s="563">
        <v>14000</v>
      </c>
      <c r="G101" s="87">
        <f t="shared" si="1"/>
        <v>0</v>
      </c>
      <c r="H101" s="509"/>
      <c r="I101" s="509"/>
      <c r="J101" s="89"/>
      <c r="K101" s="522"/>
      <c r="L101" s="204"/>
      <c r="M101" s="661"/>
      <c r="N101" s="661"/>
    </row>
    <row r="102" spans="1:14" ht="15.75" x14ac:dyDescent="0.25">
      <c r="A102" s="87">
        <v>98</v>
      </c>
      <c r="B102" s="87" t="s">
        <v>1122</v>
      </c>
      <c r="C102" s="607" t="s">
        <v>895</v>
      </c>
      <c r="D102" s="563">
        <v>13000</v>
      </c>
      <c r="E102" s="573">
        <v>144</v>
      </c>
      <c r="F102" s="563">
        <v>13000</v>
      </c>
      <c r="G102" s="87">
        <f t="shared" si="1"/>
        <v>0</v>
      </c>
      <c r="H102" s="509"/>
      <c r="I102" s="509"/>
      <c r="J102" s="89"/>
      <c r="K102" s="522"/>
      <c r="L102" s="204"/>
      <c r="M102" s="661"/>
      <c r="N102" s="661"/>
    </row>
    <row r="103" spans="1:14" ht="15.75" x14ac:dyDescent="0.25">
      <c r="A103" s="87">
        <v>99</v>
      </c>
      <c r="B103" s="87" t="s">
        <v>1122</v>
      </c>
      <c r="C103" s="607" t="s">
        <v>1164</v>
      </c>
      <c r="D103" s="563">
        <v>15000</v>
      </c>
      <c r="E103" s="573">
        <v>167</v>
      </c>
      <c r="F103" s="563">
        <v>15000</v>
      </c>
      <c r="G103" s="87">
        <f t="shared" si="1"/>
        <v>0</v>
      </c>
      <c r="H103" s="509"/>
      <c r="I103" s="509"/>
      <c r="J103" s="89"/>
      <c r="K103" s="522"/>
      <c r="L103" s="204"/>
      <c r="M103" s="661"/>
      <c r="N103" s="661"/>
    </row>
    <row r="104" spans="1:14" ht="15.75" x14ac:dyDescent="0.25">
      <c r="A104" s="87">
        <v>100</v>
      </c>
      <c r="B104" s="87" t="s">
        <v>1122</v>
      </c>
      <c r="C104" s="555">
        <v>8733</v>
      </c>
      <c r="D104" s="563">
        <v>40000</v>
      </c>
      <c r="E104" s="573">
        <v>422</v>
      </c>
      <c r="F104" s="563">
        <v>40000</v>
      </c>
      <c r="G104" s="87">
        <f t="shared" si="1"/>
        <v>0</v>
      </c>
      <c r="H104" s="509"/>
      <c r="I104" s="509"/>
      <c r="J104" s="89"/>
      <c r="K104" s="522"/>
      <c r="L104" s="204"/>
      <c r="M104" s="661"/>
      <c r="N104" s="661"/>
    </row>
    <row r="105" spans="1:14" ht="15.75" x14ac:dyDescent="0.25">
      <c r="A105" s="87">
        <v>101</v>
      </c>
      <c r="B105" s="87" t="s">
        <v>1122</v>
      </c>
      <c r="C105" s="555">
        <v>9944</v>
      </c>
      <c r="D105" s="563">
        <v>14000</v>
      </c>
      <c r="E105" s="573">
        <v>155</v>
      </c>
      <c r="F105" s="563">
        <v>14000</v>
      </c>
      <c r="G105" s="87">
        <f t="shared" si="1"/>
        <v>0</v>
      </c>
      <c r="H105" s="509"/>
      <c r="I105" s="509"/>
      <c r="J105" s="89"/>
      <c r="K105" s="522"/>
      <c r="L105" s="204"/>
      <c r="M105" s="661"/>
      <c r="N105" s="661"/>
    </row>
    <row r="106" spans="1:14" ht="15.75" x14ac:dyDescent="0.25">
      <c r="A106" s="87">
        <v>102</v>
      </c>
      <c r="B106" s="87" t="s">
        <v>1122</v>
      </c>
      <c r="C106" s="555">
        <v>2819</v>
      </c>
      <c r="D106" s="563">
        <v>31000</v>
      </c>
      <c r="E106" s="573">
        <v>344</v>
      </c>
      <c r="F106" s="563">
        <v>31000</v>
      </c>
      <c r="G106" s="87">
        <f t="shared" si="1"/>
        <v>0</v>
      </c>
      <c r="H106" s="509"/>
      <c r="I106" s="509"/>
      <c r="J106" s="89"/>
      <c r="K106" s="522"/>
      <c r="L106" s="204"/>
      <c r="M106" s="661"/>
      <c r="N106" s="661"/>
    </row>
    <row r="107" spans="1:14" ht="15.75" x14ac:dyDescent="0.25">
      <c r="A107" s="87">
        <v>103</v>
      </c>
      <c r="B107" s="87" t="s">
        <v>1122</v>
      </c>
      <c r="C107" s="555">
        <v>2973</v>
      </c>
      <c r="D107" s="563">
        <v>14000</v>
      </c>
      <c r="E107" s="573">
        <v>155</v>
      </c>
      <c r="F107" s="563">
        <v>14000</v>
      </c>
      <c r="G107" s="87">
        <f t="shared" si="1"/>
        <v>0</v>
      </c>
      <c r="H107" s="509"/>
      <c r="I107" s="509"/>
      <c r="J107" s="89"/>
      <c r="K107" s="522"/>
      <c r="L107" s="204"/>
      <c r="M107" s="661"/>
      <c r="N107" s="661"/>
    </row>
    <row r="108" spans="1:14" ht="15.75" x14ac:dyDescent="0.25">
      <c r="A108" s="87">
        <v>104</v>
      </c>
      <c r="B108" s="87" t="s">
        <v>1122</v>
      </c>
      <c r="C108" s="555">
        <v>9813</v>
      </c>
      <c r="D108" s="563">
        <v>46000</v>
      </c>
      <c r="E108" s="573">
        <v>512</v>
      </c>
      <c r="F108" s="563">
        <v>46000</v>
      </c>
      <c r="G108" s="87">
        <f t="shared" si="1"/>
        <v>0</v>
      </c>
      <c r="H108" s="509"/>
      <c r="I108" s="509"/>
      <c r="J108" s="89"/>
      <c r="K108" s="522"/>
      <c r="L108" s="204"/>
      <c r="M108" s="661"/>
      <c r="N108" s="661"/>
    </row>
    <row r="109" spans="1:14" ht="15.75" x14ac:dyDescent="0.25">
      <c r="A109" s="87">
        <v>105</v>
      </c>
      <c r="B109" s="87" t="s">
        <v>1122</v>
      </c>
      <c r="C109" s="607" t="s">
        <v>1165</v>
      </c>
      <c r="D109" s="563">
        <v>30000</v>
      </c>
      <c r="E109" s="573">
        <v>332</v>
      </c>
      <c r="F109" s="563">
        <v>30000</v>
      </c>
      <c r="G109" s="87">
        <f t="shared" si="1"/>
        <v>0</v>
      </c>
      <c r="H109" s="509"/>
      <c r="I109" s="509"/>
      <c r="J109" s="89"/>
      <c r="K109" s="522"/>
      <c r="L109" s="204"/>
      <c r="M109" s="661"/>
      <c r="N109" s="661"/>
    </row>
    <row r="110" spans="1:14" ht="15.75" x14ac:dyDescent="0.25">
      <c r="A110" s="87">
        <v>106</v>
      </c>
      <c r="B110" s="87" t="s">
        <v>1122</v>
      </c>
      <c r="C110" s="555">
        <v>9120</v>
      </c>
      <c r="D110" s="563">
        <v>32001</v>
      </c>
      <c r="E110" s="573">
        <v>356</v>
      </c>
      <c r="F110" s="563">
        <v>32001</v>
      </c>
      <c r="G110" s="87">
        <f t="shared" si="1"/>
        <v>0</v>
      </c>
      <c r="H110" s="509"/>
      <c r="I110" s="509"/>
      <c r="J110" s="89"/>
      <c r="K110" s="522"/>
      <c r="L110" s="204"/>
      <c r="M110" s="661"/>
      <c r="N110" s="661"/>
    </row>
    <row r="111" spans="1:14" ht="15.75" x14ac:dyDescent="0.25">
      <c r="A111" s="87">
        <v>107</v>
      </c>
      <c r="B111" s="87" t="s">
        <v>1123</v>
      </c>
      <c r="C111" s="555">
        <v>3195</v>
      </c>
      <c r="D111" s="563">
        <v>23000</v>
      </c>
      <c r="E111" s="573">
        <v>256</v>
      </c>
      <c r="F111" s="563">
        <v>23000</v>
      </c>
      <c r="G111" s="87">
        <f t="shared" si="1"/>
        <v>0</v>
      </c>
      <c r="H111" s="509"/>
      <c r="I111" s="509"/>
      <c r="J111" s="89"/>
      <c r="K111" s="522"/>
      <c r="L111" s="204"/>
      <c r="M111" s="661"/>
      <c r="N111" s="661"/>
    </row>
    <row r="112" spans="1:14" ht="15.75" x14ac:dyDescent="0.25">
      <c r="A112" s="87">
        <v>108</v>
      </c>
      <c r="B112" s="87" t="s">
        <v>1123</v>
      </c>
      <c r="C112" s="555">
        <v>9426</v>
      </c>
      <c r="D112" s="563">
        <v>20000</v>
      </c>
      <c r="E112" s="573">
        <v>222</v>
      </c>
      <c r="F112" s="563">
        <v>20000</v>
      </c>
      <c r="G112" s="87">
        <f t="shared" si="1"/>
        <v>0</v>
      </c>
      <c r="H112" s="509"/>
      <c r="I112" s="509"/>
      <c r="J112" s="89"/>
      <c r="K112" s="522"/>
      <c r="L112" s="204"/>
      <c r="M112" s="661"/>
      <c r="N112" s="661"/>
    </row>
    <row r="113" spans="1:14" ht="15.75" x14ac:dyDescent="0.25">
      <c r="A113" s="87">
        <v>109</v>
      </c>
      <c r="B113" s="87" t="s">
        <v>1123</v>
      </c>
      <c r="C113" s="555">
        <v>3068</v>
      </c>
      <c r="D113" s="563">
        <v>18000</v>
      </c>
      <c r="E113" s="573">
        <v>200</v>
      </c>
      <c r="F113" s="563">
        <v>18000</v>
      </c>
      <c r="G113" s="87">
        <f t="shared" si="1"/>
        <v>0</v>
      </c>
      <c r="H113" s="509"/>
      <c r="I113" s="509"/>
      <c r="J113" s="89"/>
      <c r="K113" s="522"/>
      <c r="L113" s="204"/>
      <c r="M113" s="661"/>
      <c r="N113" s="661"/>
    </row>
    <row r="114" spans="1:14" ht="15.75" x14ac:dyDescent="0.25">
      <c r="A114" s="87">
        <v>110</v>
      </c>
      <c r="B114" s="87" t="s">
        <v>1123</v>
      </c>
      <c r="C114" s="555">
        <v>1827</v>
      </c>
      <c r="D114" s="563">
        <v>14000</v>
      </c>
      <c r="E114" s="573">
        <v>155</v>
      </c>
      <c r="F114" s="563">
        <v>14000</v>
      </c>
      <c r="G114" s="87">
        <f t="shared" si="1"/>
        <v>0</v>
      </c>
      <c r="H114" s="509"/>
      <c r="I114" s="509"/>
      <c r="J114" s="89"/>
      <c r="K114" s="522"/>
      <c r="L114" s="204"/>
      <c r="M114" s="661"/>
      <c r="N114" s="661"/>
    </row>
    <row r="115" spans="1:14" ht="15.75" x14ac:dyDescent="0.25">
      <c r="A115" s="87">
        <v>111</v>
      </c>
      <c r="B115" s="87" t="s">
        <v>1123</v>
      </c>
      <c r="C115" s="607" t="s">
        <v>1094</v>
      </c>
      <c r="D115" s="563">
        <v>28000</v>
      </c>
      <c r="E115" s="573">
        <v>311</v>
      </c>
      <c r="F115" s="563">
        <v>28000</v>
      </c>
      <c r="G115" s="87">
        <f t="shared" si="1"/>
        <v>0</v>
      </c>
      <c r="H115" s="509"/>
      <c r="I115" s="509"/>
      <c r="J115" s="89"/>
      <c r="K115" s="522"/>
      <c r="L115" s="204"/>
      <c r="M115" s="661"/>
      <c r="N115" s="661"/>
    </row>
    <row r="116" spans="1:14" ht="15.75" x14ac:dyDescent="0.25">
      <c r="A116" s="87">
        <v>112</v>
      </c>
      <c r="B116" s="87" t="s">
        <v>1123</v>
      </c>
      <c r="C116" s="555">
        <v>4137</v>
      </c>
      <c r="D116" s="563">
        <v>20000</v>
      </c>
      <c r="E116" s="573">
        <v>222</v>
      </c>
      <c r="F116" s="563">
        <v>20000</v>
      </c>
      <c r="G116" s="87">
        <f t="shared" si="1"/>
        <v>0</v>
      </c>
      <c r="H116" s="509"/>
      <c r="I116" s="509"/>
      <c r="J116" s="89"/>
      <c r="K116" s="522"/>
      <c r="L116" s="204"/>
      <c r="M116" s="661"/>
      <c r="N116" s="661"/>
    </row>
    <row r="117" spans="1:14" ht="15.75" x14ac:dyDescent="0.25">
      <c r="A117" s="87">
        <v>113</v>
      </c>
      <c r="B117" s="87" t="s">
        <v>1123</v>
      </c>
      <c r="C117" s="555">
        <v>2412</v>
      </c>
      <c r="D117" s="563">
        <v>15000</v>
      </c>
      <c r="E117" s="573">
        <v>167</v>
      </c>
      <c r="F117" s="563">
        <v>15000</v>
      </c>
      <c r="G117" s="87">
        <f t="shared" si="1"/>
        <v>0</v>
      </c>
      <c r="H117" s="509"/>
      <c r="I117" s="509"/>
      <c r="J117" s="89"/>
      <c r="K117" s="522"/>
      <c r="L117" s="204"/>
      <c r="M117" s="661"/>
      <c r="N117" s="661"/>
    </row>
    <row r="118" spans="1:14" ht="15.75" x14ac:dyDescent="0.25">
      <c r="A118" s="87">
        <v>114</v>
      </c>
      <c r="B118" s="87" t="s">
        <v>1123</v>
      </c>
      <c r="C118" s="555" t="s">
        <v>30</v>
      </c>
      <c r="D118" s="563">
        <v>3500</v>
      </c>
      <c r="E118" s="573">
        <v>38</v>
      </c>
      <c r="F118" s="563">
        <v>3500</v>
      </c>
      <c r="G118" s="87">
        <f t="shared" si="1"/>
        <v>0</v>
      </c>
      <c r="H118" s="509"/>
      <c r="I118" s="509"/>
      <c r="J118" s="89"/>
      <c r="K118" s="522"/>
      <c r="L118" s="204"/>
      <c r="M118" s="661"/>
      <c r="N118" s="661"/>
    </row>
    <row r="119" spans="1:14" ht="15.75" x14ac:dyDescent="0.25">
      <c r="A119" s="87">
        <v>115</v>
      </c>
      <c r="B119" s="87" t="s">
        <v>1123</v>
      </c>
      <c r="C119" s="555" t="s">
        <v>30</v>
      </c>
      <c r="D119" s="563">
        <v>7000</v>
      </c>
      <c r="E119" s="573">
        <v>77</v>
      </c>
      <c r="F119" s="563">
        <v>7000</v>
      </c>
      <c r="G119" s="87">
        <f t="shared" si="1"/>
        <v>0</v>
      </c>
      <c r="H119" s="509"/>
      <c r="I119" s="509"/>
      <c r="J119" s="89"/>
      <c r="K119" s="522"/>
      <c r="L119" s="204"/>
      <c r="M119" s="661"/>
      <c r="N119" s="661"/>
    </row>
    <row r="120" spans="1:14" ht="15.75" x14ac:dyDescent="0.25">
      <c r="A120" s="87">
        <v>116</v>
      </c>
      <c r="B120" s="87" t="s">
        <v>1123</v>
      </c>
      <c r="C120" s="555" t="s">
        <v>66</v>
      </c>
      <c r="D120" s="563">
        <v>150</v>
      </c>
      <c r="E120" s="573" t="s">
        <v>66</v>
      </c>
      <c r="F120" s="563">
        <v>150</v>
      </c>
      <c r="G120" s="87">
        <f t="shared" si="1"/>
        <v>0</v>
      </c>
      <c r="H120" s="509"/>
      <c r="I120" s="509"/>
      <c r="J120" s="89"/>
      <c r="K120" s="522"/>
      <c r="L120" s="204"/>
      <c r="M120" s="661"/>
      <c r="N120" s="661"/>
    </row>
    <row r="121" spans="1:14" ht="15.75" x14ac:dyDescent="0.25">
      <c r="A121" s="87">
        <v>117</v>
      </c>
      <c r="B121" s="87" t="s">
        <v>1123</v>
      </c>
      <c r="C121" s="555" t="s">
        <v>30</v>
      </c>
      <c r="D121" s="563">
        <v>4408</v>
      </c>
      <c r="E121" s="573">
        <v>49</v>
      </c>
      <c r="F121" s="563">
        <v>4408</v>
      </c>
      <c r="G121" s="87">
        <f t="shared" si="1"/>
        <v>0</v>
      </c>
      <c r="H121" s="509"/>
      <c r="I121" s="509"/>
      <c r="J121" s="89"/>
      <c r="K121" s="522"/>
      <c r="L121" s="204"/>
      <c r="M121" s="661"/>
      <c r="N121" s="661"/>
    </row>
    <row r="122" spans="1:14" ht="15.75" x14ac:dyDescent="0.25">
      <c r="A122" s="87">
        <v>118</v>
      </c>
      <c r="B122" s="87" t="s">
        <v>1123</v>
      </c>
      <c r="C122" s="555" t="s">
        <v>30</v>
      </c>
      <c r="D122" s="563">
        <v>5000</v>
      </c>
      <c r="E122" s="573">
        <v>55</v>
      </c>
      <c r="F122" s="563">
        <v>5000</v>
      </c>
      <c r="G122" s="87">
        <f t="shared" si="1"/>
        <v>0</v>
      </c>
      <c r="H122" s="509"/>
      <c r="I122" s="509"/>
      <c r="J122" s="89"/>
      <c r="K122" s="522"/>
      <c r="L122" s="204"/>
      <c r="M122" s="661"/>
      <c r="N122" s="661"/>
    </row>
    <row r="123" spans="1:14" ht="15.75" x14ac:dyDescent="0.25">
      <c r="A123" s="87">
        <v>119</v>
      </c>
      <c r="B123" s="87" t="s">
        <v>1123</v>
      </c>
      <c r="C123" s="555" t="s">
        <v>819</v>
      </c>
      <c r="D123" s="563">
        <v>3500</v>
      </c>
      <c r="E123" s="573">
        <v>38</v>
      </c>
      <c r="F123" s="563">
        <v>3500</v>
      </c>
      <c r="G123" s="87">
        <f t="shared" si="1"/>
        <v>0</v>
      </c>
      <c r="H123" s="509"/>
      <c r="I123" s="509"/>
      <c r="J123" s="89"/>
      <c r="K123" s="522"/>
      <c r="L123" s="204"/>
      <c r="M123" s="661"/>
      <c r="N123" s="661"/>
    </row>
    <row r="124" spans="1:14" ht="15.75" x14ac:dyDescent="0.25">
      <c r="A124" s="87">
        <v>120</v>
      </c>
      <c r="B124" s="87" t="s">
        <v>1123</v>
      </c>
      <c r="C124" s="555">
        <v>8326</v>
      </c>
      <c r="D124" s="563">
        <v>15000</v>
      </c>
      <c r="E124" s="573">
        <v>167</v>
      </c>
      <c r="F124" s="563">
        <v>15000</v>
      </c>
      <c r="G124" s="87">
        <f t="shared" si="1"/>
        <v>0</v>
      </c>
      <c r="H124" s="509"/>
      <c r="I124" s="509"/>
      <c r="J124" s="89"/>
      <c r="K124" s="522"/>
      <c r="L124" s="204"/>
      <c r="M124" s="661"/>
      <c r="N124" s="661"/>
    </row>
    <row r="125" spans="1:14" ht="15.75" x14ac:dyDescent="0.25">
      <c r="A125" s="87">
        <v>121</v>
      </c>
      <c r="B125" s="87" t="s">
        <v>1123</v>
      </c>
      <c r="C125" s="555">
        <v>1144</v>
      </c>
      <c r="D125" s="563">
        <v>15000</v>
      </c>
      <c r="E125" s="573">
        <v>167</v>
      </c>
      <c r="F125" s="563">
        <v>15000</v>
      </c>
      <c r="G125" s="87">
        <f t="shared" si="1"/>
        <v>0</v>
      </c>
      <c r="H125" s="509"/>
      <c r="I125" s="509"/>
      <c r="J125" s="89"/>
      <c r="K125" s="522"/>
      <c r="L125" s="204"/>
      <c r="M125" s="661"/>
      <c r="N125" s="661"/>
    </row>
    <row r="126" spans="1:14" ht="15.75" x14ac:dyDescent="0.25">
      <c r="A126" s="87">
        <v>122</v>
      </c>
      <c r="B126" s="87" t="s">
        <v>1123</v>
      </c>
      <c r="C126" s="607" t="s">
        <v>890</v>
      </c>
      <c r="D126" s="563">
        <v>14000</v>
      </c>
      <c r="E126" s="573">
        <v>155</v>
      </c>
      <c r="F126" s="563">
        <v>14000</v>
      </c>
      <c r="G126" s="87">
        <f t="shared" si="1"/>
        <v>0</v>
      </c>
      <c r="H126" s="509"/>
      <c r="I126" s="509"/>
      <c r="J126" s="89"/>
      <c r="K126" s="522"/>
      <c r="L126" s="204"/>
      <c r="M126" s="661"/>
      <c r="N126" s="661"/>
    </row>
    <row r="127" spans="1:14" ht="15.75" x14ac:dyDescent="0.25">
      <c r="A127" s="87">
        <v>123</v>
      </c>
      <c r="B127" s="87" t="s">
        <v>1123</v>
      </c>
      <c r="C127" s="555">
        <v>2963</v>
      </c>
      <c r="D127" s="563">
        <v>16000</v>
      </c>
      <c r="E127" s="573">
        <v>178</v>
      </c>
      <c r="F127" s="563">
        <v>16000</v>
      </c>
      <c r="G127" s="87">
        <f t="shared" si="1"/>
        <v>0</v>
      </c>
      <c r="H127" s="509"/>
      <c r="I127" s="509"/>
      <c r="J127" s="89"/>
      <c r="K127" s="522"/>
      <c r="L127" s="204"/>
      <c r="M127" s="661"/>
      <c r="N127" s="661"/>
    </row>
    <row r="128" spans="1:14" ht="15.75" x14ac:dyDescent="0.25">
      <c r="A128" s="87">
        <v>124</v>
      </c>
      <c r="B128" s="87" t="s">
        <v>1123</v>
      </c>
      <c r="C128" s="555">
        <v>8726</v>
      </c>
      <c r="D128" s="563">
        <v>16000</v>
      </c>
      <c r="E128" s="573">
        <v>178</v>
      </c>
      <c r="F128" s="563">
        <v>16000</v>
      </c>
      <c r="G128" s="87">
        <f t="shared" si="1"/>
        <v>0</v>
      </c>
      <c r="H128" s="509"/>
      <c r="I128" s="509"/>
      <c r="J128" s="89"/>
      <c r="K128" s="522"/>
      <c r="L128" s="204"/>
      <c r="M128" s="661"/>
      <c r="N128" s="661"/>
    </row>
    <row r="129" spans="1:14" ht="15.75" x14ac:dyDescent="0.25">
      <c r="A129" s="87">
        <v>125</v>
      </c>
      <c r="B129" s="87" t="s">
        <v>1123</v>
      </c>
      <c r="C129" s="555">
        <v>2961</v>
      </c>
      <c r="D129" s="563">
        <v>16000</v>
      </c>
      <c r="E129" s="573">
        <v>170</v>
      </c>
      <c r="F129" s="563">
        <v>16000</v>
      </c>
      <c r="G129" s="87">
        <f t="shared" si="1"/>
        <v>0</v>
      </c>
      <c r="H129" s="509"/>
      <c r="I129" s="509"/>
      <c r="J129" s="89"/>
      <c r="K129" s="522"/>
      <c r="L129" s="204"/>
      <c r="M129" s="661"/>
      <c r="N129" s="661"/>
    </row>
    <row r="130" spans="1:14" ht="15.75" x14ac:dyDescent="0.25">
      <c r="A130" s="87">
        <v>126</v>
      </c>
      <c r="B130" s="87" t="s">
        <v>1123</v>
      </c>
      <c r="C130" s="555">
        <v>2986</v>
      </c>
      <c r="D130" s="563">
        <v>10000</v>
      </c>
      <c r="E130" s="573">
        <v>111</v>
      </c>
      <c r="F130" s="563">
        <v>10000</v>
      </c>
      <c r="G130" s="87">
        <f t="shared" si="1"/>
        <v>0</v>
      </c>
      <c r="H130" s="509"/>
      <c r="I130" s="509"/>
      <c r="J130" s="89"/>
      <c r="K130" s="522"/>
      <c r="L130" s="204"/>
      <c r="M130" s="661"/>
      <c r="N130" s="661"/>
    </row>
    <row r="131" spans="1:14" ht="15.75" x14ac:dyDescent="0.25">
      <c r="A131" s="87">
        <v>127</v>
      </c>
      <c r="B131" s="87" t="s">
        <v>1123</v>
      </c>
      <c r="C131" s="555">
        <v>8506</v>
      </c>
      <c r="D131" s="563">
        <v>30000</v>
      </c>
      <c r="E131" s="573">
        <v>334</v>
      </c>
      <c r="F131" s="563">
        <v>30000</v>
      </c>
      <c r="G131" s="87">
        <f t="shared" si="1"/>
        <v>0</v>
      </c>
      <c r="H131" s="509"/>
      <c r="I131" s="509"/>
      <c r="J131" s="89"/>
      <c r="K131" s="522"/>
      <c r="L131" s="204"/>
      <c r="M131" s="661"/>
      <c r="N131" s="661"/>
    </row>
    <row r="132" spans="1:14" ht="15.75" x14ac:dyDescent="0.25">
      <c r="A132" s="87">
        <v>128</v>
      </c>
      <c r="B132" s="87" t="s">
        <v>1123</v>
      </c>
      <c r="C132" s="555">
        <v>3496</v>
      </c>
      <c r="D132" s="563">
        <v>20000</v>
      </c>
      <c r="E132" s="573">
        <v>222</v>
      </c>
      <c r="F132" s="563">
        <v>20000</v>
      </c>
      <c r="G132" s="87">
        <f t="shared" si="1"/>
        <v>0</v>
      </c>
      <c r="H132" s="509"/>
      <c r="I132" s="509"/>
      <c r="J132" s="89"/>
      <c r="K132" s="522"/>
      <c r="L132" s="204"/>
      <c r="M132" s="661"/>
      <c r="N132" s="661"/>
    </row>
    <row r="133" spans="1:14" ht="15.75" x14ac:dyDescent="0.25">
      <c r="A133" s="87">
        <v>129</v>
      </c>
      <c r="B133" s="87" t="s">
        <v>1123</v>
      </c>
      <c r="C133" s="555">
        <v>1841</v>
      </c>
      <c r="D133" s="563">
        <v>35000</v>
      </c>
      <c r="E133" s="573">
        <v>378</v>
      </c>
      <c r="F133" s="563">
        <v>35000</v>
      </c>
      <c r="G133" s="87">
        <f t="shared" ref="G133:G196" si="2">D133-F133</f>
        <v>0</v>
      </c>
      <c r="H133" s="509"/>
      <c r="I133" s="509"/>
      <c r="J133" s="89"/>
      <c r="K133" s="522"/>
      <c r="L133" s="204"/>
      <c r="M133" s="661"/>
      <c r="N133" s="661"/>
    </row>
    <row r="134" spans="1:14" ht="15.75" x14ac:dyDescent="0.25">
      <c r="A134" s="87">
        <v>130</v>
      </c>
      <c r="B134" s="87" t="s">
        <v>1123</v>
      </c>
      <c r="C134" s="555">
        <v>7446</v>
      </c>
      <c r="D134" s="563">
        <v>30000</v>
      </c>
      <c r="E134" s="573">
        <v>324</v>
      </c>
      <c r="F134" s="563">
        <v>30000</v>
      </c>
      <c r="G134" s="87">
        <f t="shared" si="2"/>
        <v>0</v>
      </c>
      <c r="H134" s="509"/>
      <c r="I134" s="509"/>
      <c r="J134" s="89"/>
      <c r="K134" s="522"/>
      <c r="L134" s="204"/>
      <c r="M134" s="661"/>
      <c r="N134" s="661"/>
    </row>
    <row r="135" spans="1:14" ht="15.75" x14ac:dyDescent="0.25">
      <c r="A135" s="87">
        <v>131</v>
      </c>
      <c r="B135" s="87" t="s">
        <v>1123</v>
      </c>
      <c r="C135" s="555">
        <v>5884</v>
      </c>
      <c r="D135" s="563">
        <v>30000</v>
      </c>
      <c r="E135" s="573">
        <v>311</v>
      </c>
      <c r="F135" s="563">
        <v>30000</v>
      </c>
      <c r="G135" s="87">
        <f t="shared" si="2"/>
        <v>0</v>
      </c>
      <c r="H135" s="509"/>
      <c r="I135" s="509"/>
      <c r="J135" s="89"/>
      <c r="K135" s="522"/>
      <c r="L135" s="204"/>
      <c r="M135" s="661"/>
      <c r="N135" s="661"/>
    </row>
    <row r="136" spans="1:14" ht="15.75" x14ac:dyDescent="0.25">
      <c r="A136" s="87">
        <v>132</v>
      </c>
      <c r="B136" s="87" t="s">
        <v>1123</v>
      </c>
      <c r="C136" s="555">
        <v>3833</v>
      </c>
      <c r="D136" s="563">
        <v>32000</v>
      </c>
      <c r="E136" s="573">
        <v>351</v>
      </c>
      <c r="F136" s="563">
        <v>32000</v>
      </c>
      <c r="G136" s="87">
        <f t="shared" si="2"/>
        <v>0</v>
      </c>
      <c r="H136" s="509"/>
      <c r="I136" s="509"/>
      <c r="J136" s="89"/>
      <c r="K136" s="522"/>
      <c r="L136" s="204"/>
      <c r="M136" s="661"/>
      <c r="N136" s="661"/>
    </row>
    <row r="137" spans="1:14" ht="15.75" x14ac:dyDescent="0.25">
      <c r="A137" s="87">
        <v>133</v>
      </c>
      <c r="B137" s="87" t="s">
        <v>1124</v>
      </c>
      <c r="C137" s="555" t="s">
        <v>30</v>
      </c>
      <c r="D137" s="563">
        <v>10000</v>
      </c>
      <c r="E137" s="573">
        <v>111</v>
      </c>
      <c r="F137" s="563">
        <v>10000</v>
      </c>
      <c r="G137" s="87">
        <f t="shared" si="2"/>
        <v>0</v>
      </c>
      <c r="H137" s="509"/>
      <c r="I137" s="509"/>
      <c r="J137" s="89"/>
      <c r="K137" s="522"/>
      <c r="L137" s="204"/>
      <c r="M137" s="661"/>
      <c r="N137" s="661"/>
    </row>
    <row r="138" spans="1:14" ht="15.75" x14ac:dyDescent="0.25">
      <c r="A138" s="87">
        <v>134</v>
      </c>
      <c r="B138" s="87" t="s">
        <v>1124</v>
      </c>
      <c r="C138" s="555">
        <v>5152</v>
      </c>
      <c r="D138" s="563">
        <v>15000</v>
      </c>
      <c r="E138" s="573">
        <v>167</v>
      </c>
      <c r="F138" s="563">
        <v>15000</v>
      </c>
      <c r="G138" s="87">
        <f t="shared" si="2"/>
        <v>0</v>
      </c>
      <c r="H138" s="509"/>
      <c r="I138" s="509"/>
      <c r="J138" s="89"/>
      <c r="K138" s="522"/>
      <c r="L138" s="204"/>
      <c r="M138" s="661"/>
      <c r="N138" s="661"/>
    </row>
    <row r="139" spans="1:14" ht="15.75" x14ac:dyDescent="0.25">
      <c r="A139" s="87">
        <v>135</v>
      </c>
      <c r="B139" s="87" t="s">
        <v>1124</v>
      </c>
      <c r="C139" s="607" t="s">
        <v>1164</v>
      </c>
      <c r="D139" s="563">
        <v>15000</v>
      </c>
      <c r="E139" s="573">
        <v>167</v>
      </c>
      <c r="F139" s="563">
        <v>15000</v>
      </c>
      <c r="G139" s="87">
        <f t="shared" si="2"/>
        <v>0</v>
      </c>
      <c r="H139" s="509"/>
      <c r="I139" s="509"/>
      <c r="J139" s="89"/>
      <c r="K139" s="522"/>
      <c r="L139" s="204"/>
      <c r="M139" s="661"/>
      <c r="N139" s="661"/>
    </row>
    <row r="140" spans="1:14" ht="15.75" x14ac:dyDescent="0.25">
      <c r="A140" s="87">
        <v>136</v>
      </c>
      <c r="B140" s="87" t="s">
        <v>1124</v>
      </c>
      <c r="C140" s="555" t="s">
        <v>30</v>
      </c>
      <c r="D140" s="563">
        <v>5000</v>
      </c>
      <c r="E140" s="573">
        <v>55</v>
      </c>
      <c r="F140" s="563">
        <v>5000</v>
      </c>
      <c r="G140" s="87">
        <f t="shared" si="2"/>
        <v>0</v>
      </c>
      <c r="H140" s="509"/>
      <c r="I140" s="509"/>
      <c r="J140" s="89"/>
      <c r="K140" s="522"/>
      <c r="L140" s="204"/>
      <c r="M140" s="661"/>
      <c r="N140" s="661"/>
    </row>
    <row r="141" spans="1:14" ht="15.75" x14ac:dyDescent="0.25">
      <c r="A141" s="87">
        <v>137</v>
      </c>
      <c r="B141" s="87" t="s">
        <v>1124</v>
      </c>
      <c r="C141" s="555">
        <v>7709</v>
      </c>
      <c r="D141" s="563">
        <v>20000</v>
      </c>
      <c r="E141" s="573">
        <v>222</v>
      </c>
      <c r="F141" s="563">
        <v>20000</v>
      </c>
      <c r="G141" s="87">
        <f t="shared" si="2"/>
        <v>0</v>
      </c>
      <c r="H141" s="509"/>
      <c r="I141" s="509"/>
      <c r="J141" s="89"/>
      <c r="K141" s="522"/>
      <c r="L141" s="204"/>
      <c r="M141" s="661"/>
      <c r="N141" s="661"/>
    </row>
    <row r="142" spans="1:14" ht="15.75" x14ac:dyDescent="0.25">
      <c r="A142" s="87">
        <v>138</v>
      </c>
      <c r="B142" s="87" t="s">
        <v>1124</v>
      </c>
      <c r="C142" s="555">
        <v>1547</v>
      </c>
      <c r="D142" s="563">
        <v>20000</v>
      </c>
      <c r="E142" s="573">
        <v>222</v>
      </c>
      <c r="F142" s="563">
        <v>20000</v>
      </c>
      <c r="G142" s="87">
        <f t="shared" si="2"/>
        <v>0</v>
      </c>
      <c r="H142" s="509"/>
      <c r="I142" s="509"/>
      <c r="J142" s="89"/>
      <c r="K142" s="522"/>
      <c r="L142" s="204"/>
      <c r="M142" s="661"/>
      <c r="N142" s="661"/>
    </row>
    <row r="143" spans="1:14" ht="15.75" x14ac:dyDescent="0.25">
      <c r="A143" s="87">
        <v>139</v>
      </c>
      <c r="B143" s="87" t="s">
        <v>1124</v>
      </c>
      <c r="C143" s="555">
        <v>2371</v>
      </c>
      <c r="D143" s="563">
        <v>20000</v>
      </c>
      <c r="E143" s="573">
        <v>222</v>
      </c>
      <c r="F143" s="563">
        <v>20000</v>
      </c>
      <c r="G143" s="87">
        <f t="shared" si="2"/>
        <v>0</v>
      </c>
      <c r="H143" s="509"/>
      <c r="I143" s="509"/>
      <c r="J143" s="89"/>
      <c r="K143" s="522"/>
      <c r="L143" s="204"/>
      <c r="M143" s="661"/>
      <c r="N143" s="661"/>
    </row>
    <row r="144" spans="1:14" ht="15.75" x14ac:dyDescent="0.25">
      <c r="A144" s="87">
        <v>140</v>
      </c>
      <c r="B144" s="87" t="s">
        <v>1124</v>
      </c>
      <c r="C144" s="555">
        <v>9426</v>
      </c>
      <c r="D144" s="563">
        <v>16000</v>
      </c>
      <c r="E144" s="573">
        <v>178</v>
      </c>
      <c r="F144" s="563">
        <v>16000</v>
      </c>
      <c r="G144" s="87">
        <f t="shared" si="2"/>
        <v>0</v>
      </c>
      <c r="H144" s="509"/>
      <c r="I144" s="509"/>
      <c r="J144" s="89"/>
      <c r="K144" s="522"/>
      <c r="L144" s="204"/>
      <c r="M144" s="661"/>
      <c r="N144" s="661"/>
    </row>
    <row r="145" spans="1:14" ht="15.75" x14ac:dyDescent="0.25">
      <c r="A145" s="87">
        <v>141</v>
      </c>
      <c r="B145" s="87" t="s">
        <v>1124</v>
      </c>
      <c r="C145" s="555">
        <v>6133</v>
      </c>
      <c r="D145" s="563">
        <v>17000</v>
      </c>
      <c r="E145" s="573">
        <v>189</v>
      </c>
      <c r="F145" s="563">
        <v>17000</v>
      </c>
      <c r="G145" s="87">
        <f t="shared" si="2"/>
        <v>0</v>
      </c>
      <c r="H145" s="509"/>
      <c r="I145" s="509"/>
      <c r="J145" s="89"/>
      <c r="K145" s="522"/>
      <c r="L145" s="204"/>
      <c r="M145" s="661"/>
      <c r="N145" s="661"/>
    </row>
    <row r="146" spans="1:14" ht="15.75" x14ac:dyDescent="0.25">
      <c r="A146" s="87">
        <v>142</v>
      </c>
      <c r="B146" s="87" t="s">
        <v>1124</v>
      </c>
      <c r="C146" s="555">
        <v>4274</v>
      </c>
      <c r="D146" s="563">
        <v>35000</v>
      </c>
      <c r="E146" s="573">
        <v>372</v>
      </c>
      <c r="F146" s="563">
        <v>35000</v>
      </c>
      <c r="G146" s="87">
        <f t="shared" si="2"/>
        <v>0</v>
      </c>
      <c r="H146" s="509"/>
      <c r="I146" s="509"/>
      <c r="J146" s="89"/>
      <c r="K146" s="522"/>
      <c r="L146" s="204"/>
      <c r="M146" s="661"/>
      <c r="N146" s="661"/>
    </row>
    <row r="147" spans="1:14" ht="15.75" x14ac:dyDescent="0.25">
      <c r="A147" s="87">
        <v>143</v>
      </c>
      <c r="B147" s="87" t="s">
        <v>1124</v>
      </c>
      <c r="C147" s="555">
        <v>1416</v>
      </c>
      <c r="D147" s="563">
        <v>10000</v>
      </c>
      <c r="E147" s="573">
        <v>106</v>
      </c>
      <c r="F147" s="563">
        <v>10000</v>
      </c>
      <c r="G147" s="87">
        <f t="shared" si="2"/>
        <v>0</v>
      </c>
      <c r="H147" s="509"/>
      <c r="I147" s="509"/>
      <c r="J147" s="89"/>
      <c r="K147" s="522"/>
      <c r="L147" s="204"/>
      <c r="M147" s="661"/>
      <c r="N147" s="661"/>
    </row>
    <row r="148" spans="1:14" ht="15.75" x14ac:dyDescent="0.25">
      <c r="A148" s="87">
        <v>144</v>
      </c>
      <c r="B148" s="87" t="s">
        <v>1124</v>
      </c>
      <c r="C148" s="555">
        <v>4122</v>
      </c>
      <c r="D148" s="563">
        <v>10000</v>
      </c>
      <c r="E148" s="573">
        <v>106</v>
      </c>
      <c r="F148" s="563">
        <v>10000</v>
      </c>
      <c r="G148" s="87">
        <f t="shared" si="2"/>
        <v>0</v>
      </c>
      <c r="H148" s="509"/>
      <c r="I148" s="509"/>
      <c r="J148" s="89"/>
      <c r="K148" s="522"/>
      <c r="L148" s="204"/>
      <c r="M148" s="661"/>
      <c r="N148" s="661"/>
    </row>
    <row r="149" spans="1:14" ht="15.75" x14ac:dyDescent="0.25">
      <c r="A149" s="87">
        <v>145</v>
      </c>
      <c r="B149" s="87" t="s">
        <v>1124</v>
      </c>
      <c r="C149" s="555">
        <v>9857</v>
      </c>
      <c r="D149" s="563">
        <v>20000</v>
      </c>
      <c r="E149" s="573">
        <v>222</v>
      </c>
      <c r="F149" s="563">
        <v>20000</v>
      </c>
      <c r="G149" s="87">
        <f t="shared" si="2"/>
        <v>0</v>
      </c>
      <c r="H149" s="509"/>
      <c r="I149" s="509"/>
      <c r="J149" s="89"/>
      <c r="K149" s="522"/>
      <c r="L149" s="204"/>
      <c r="M149" s="661"/>
      <c r="N149" s="661"/>
    </row>
    <row r="150" spans="1:14" ht="15.75" x14ac:dyDescent="0.25">
      <c r="A150" s="87">
        <v>146</v>
      </c>
      <c r="B150" s="87" t="s">
        <v>1124</v>
      </c>
      <c r="C150" s="555">
        <v>5153</v>
      </c>
      <c r="D150" s="563">
        <v>15000</v>
      </c>
      <c r="E150" s="573">
        <v>150</v>
      </c>
      <c r="F150" s="563">
        <v>15000</v>
      </c>
      <c r="G150" s="87">
        <f t="shared" si="2"/>
        <v>0</v>
      </c>
      <c r="H150" s="509"/>
      <c r="I150" s="509"/>
      <c r="J150" s="89"/>
      <c r="K150" s="522"/>
      <c r="L150" s="204"/>
      <c r="M150" s="661"/>
      <c r="N150" s="661"/>
    </row>
    <row r="151" spans="1:14" ht="15.75" x14ac:dyDescent="0.25">
      <c r="A151" s="87">
        <v>147</v>
      </c>
      <c r="B151" s="87" t="s">
        <v>1124</v>
      </c>
      <c r="C151" s="607" t="s">
        <v>868</v>
      </c>
      <c r="D151" s="563">
        <v>20000</v>
      </c>
      <c r="E151" s="573">
        <v>206</v>
      </c>
      <c r="F151" s="563">
        <v>20000</v>
      </c>
      <c r="G151" s="87">
        <f t="shared" si="2"/>
        <v>0</v>
      </c>
      <c r="H151" s="509"/>
      <c r="I151" s="509"/>
      <c r="J151" s="89"/>
      <c r="K151" s="522"/>
      <c r="L151" s="204"/>
      <c r="M151" s="661"/>
      <c r="N151" s="661"/>
    </row>
    <row r="152" spans="1:14" ht="15.75" x14ac:dyDescent="0.25">
      <c r="A152" s="87">
        <v>148</v>
      </c>
      <c r="B152" s="87" t="s">
        <v>1124</v>
      </c>
      <c r="C152" s="555">
        <v>9138</v>
      </c>
      <c r="D152" s="563">
        <v>33000</v>
      </c>
      <c r="E152" s="573">
        <v>345</v>
      </c>
      <c r="F152" s="563">
        <v>33000</v>
      </c>
      <c r="G152" s="87">
        <f t="shared" si="2"/>
        <v>0</v>
      </c>
      <c r="H152" s="509"/>
      <c r="I152" s="509"/>
      <c r="J152" s="89"/>
      <c r="K152" s="522"/>
      <c r="L152" s="204"/>
      <c r="M152" s="661"/>
      <c r="N152" s="661"/>
    </row>
    <row r="153" spans="1:14" ht="15.75" x14ac:dyDescent="0.25">
      <c r="A153" s="87">
        <v>149</v>
      </c>
      <c r="B153" s="87" t="s">
        <v>1124</v>
      </c>
      <c r="C153" s="607" t="s">
        <v>1024</v>
      </c>
      <c r="D153" s="563">
        <v>30000</v>
      </c>
      <c r="E153" s="573">
        <v>325</v>
      </c>
      <c r="F153" s="563">
        <v>30000</v>
      </c>
      <c r="G153" s="87">
        <f t="shared" si="2"/>
        <v>0</v>
      </c>
      <c r="H153" s="509"/>
      <c r="I153" s="509"/>
      <c r="J153" s="89"/>
      <c r="K153" s="522"/>
      <c r="L153" s="204"/>
      <c r="M153" s="661"/>
      <c r="N153" s="661"/>
    </row>
    <row r="154" spans="1:14" ht="15.75" x14ac:dyDescent="0.25">
      <c r="A154" s="87">
        <v>150</v>
      </c>
      <c r="B154" s="87" t="s">
        <v>1124</v>
      </c>
      <c r="C154" s="555">
        <v>9154</v>
      </c>
      <c r="D154" s="563">
        <v>26300</v>
      </c>
      <c r="E154" s="573">
        <v>293</v>
      </c>
      <c r="F154" s="563">
        <v>26300</v>
      </c>
      <c r="G154" s="87">
        <f t="shared" si="2"/>
        <v>0</v>
      </c>
      <c r="H154" s="509"/>
      <c r="I154" s="509"/>
      <c r="J154" s="89"/>
      <c r="K154" s="522"/>
      <c r="L154" s="204"/>
      <c r="M154" s="661"/>
      <c r="N154" s="661"/>
    </row>
    <row r="155" spans="1:14" ht="15.75" x14ac:dyDescent="0.25">
      <c r="A155" s="87">
        <v>151</v>
      </c>
      <c r="B155" s="87" t="s">
        <v>1124</v>
      </c>
      <c r="C155" s="555" t="s">
        <v>66</v>
      </c>
      <c r="D155" s="563">
        <v>150</v>
      </c>
      <c r="E155" s="573" t="s">
        <v>66</v>
      </c>
      <c r="F155" s="563">
        <v>150</v>
      </c>
      <c r="G155" s="87">
        <f t="shared" si="2"/>
        <v>0</v>
      </c>
      <c r="H155" s="509"/>
      <c r="I155" s="509"/>
      <c r="J155" s="89"/>
      <c r="K155" s="522"/>
      <c r="L155" s="204"/>
      <c r="M155" s="661"/>
      <c r="N155" s="661"/>
    </row>
    <row r="156" spans="1:14" ht="15.75" x14ac:dyDescent="0.25">
      <c r="A156" s="87">
        <v>152</v>
      </c>
      <c r="B156" s="87" t="s">
        <v>1124</v>
      </c>
      <c r="C156" s="607" t="s">
        <v>1166</v>
      </c>
      <c r="D156" s="563">
        <v>30000</v>
      </c>
      <c r="E156" s="573">
        <v>308</v>
      </c>
      <c r="F156" s="563">
        <v>30000</v>
      </c>
      <c r="G156" s="87">
        <f t="shared" si="2"/>
        <v>0</v>
      </c>
      <c r="H156" s="509"/>
      <c r="I156" s="509"/>
      <c r="J156" s="89"/>
      <c r="K156" s="522"/>
      <c r="L156" s="204"/>
      <c r="M156" s="661"/>
      <c r="N156" s="661"/>
    </row>
    <row r="157" spans="1:14" ht="15.75" x14ac:dyDescent="0.25">
      <c r="A157" s="87">
        <v>153</v>
      </c>
      <c r="B157" s="87" t="s">
        <v>1125</v>
      </c>
      <c r="C157" s="555" t="s">
        <v>30</v>
      </c>
      <c r="D157" s="563">
        <v>5000</v>
      </c>
      <c r="E157" s="573">
        <v>55</v>
      </c>
      <c r="F157" s="563">
        <v>5000</v>
      </c>
      <c r="G157" s="87">
        <f t="shared" si="2"/>
        <v>0</v>
      </c>
      <c r="H157" s="509"/>
      <c r="I157" s="509"/>
      <c r="J157" s="89"/>
      <c r="K157" s="522"/>
      <c r="L157" s="204"/>
      <c r="M157" s="661"/>
      <c r="N157" s="661"/>
    </row>
    <row r="158" spans="1:14" ht="15.75" x14ac:dyDescent="0.25">
      <c r="A158" s="87">
        <v>154</v>
      </c>
      <c r="B158" s="87" t="s">
        <v>1125</v>
      </c>
      <c r="C158" s="607" t="s">
        <v>895</v>
      </c>
      <c r="D158" s="563">
        <v>14000</v>
      </c>
      <c r="E158" s="573">
        <v>155</v>
      </c>
      <c r="F158" s="563">
        <v>14000</v>
      </c>
      <c r="G158" s="87">
        <f t="shared" si="2"/>
        <v>0</v>
      </c>
      <c r="H158" s="509"/>
      <c r="I158" s="509"/>
      <c r="J158" s="89"/>
      <c r="K158" s="522"/>
      <c r="L158" s="204"/>
      <c r="M158" s="661"/>
      <c r="N158" s="661"/>
    </row>
    <row r="159" spans="1:14" ht="15.75" x14ac:dyDescent="0.25">
      <c r="A159" s="87">
        <v>155</v>
      </c>
      <c r="B159" s="87" t="s">
        <v>1125</v>
      </c>
      <c r="C159" s="555" t="s">
        <v>30</v>
      </c>
      <c r="D159" s="563">
        <v>4500</v>
      </c>
      <c r="E159" s="573">
        <v>50</v>
      </c>
      <c r="F159" s="563">
        <v>4500</v>
      </c>
      <c r="G159" s="87">
        <f t="shared" si="2"/>
        <v>0</v>
      </c>
      <c r="H159" s="509"/>
      <c r="I159" s="509"/>
      <c r="J159" s="89"/>
      <c r="K159" s="522"/>
      <c r="L159" s="204"/>
      <c r="M159" s="661"/>
      <c r="N159" s="661"/>
    </row>
    <row r="160" spans="1:14" ht="15.75" x14ac:dyDescent="0.25">
      <c r="A160" s="87">
        <v>156</v>
      </c>
      <c r="B160" s="87" t="s">
        <v>1125</v>
      </c>
      <c r="C160" s="555">
        <v>5796</v>
      </c>
      <c r="D160" s="563">
        <v>15000</v>
      </c>
      <c r="E160" s="573">
        <v>159</v>
      </c>
      <c r="F160" s="563">
        <v>15000</v>
      </c>
      <c r="G160" s="87">
        <f t="shared" si="2"/>
        <v>0</v>
      </c>
      <c r="H160" s="509"/>
      <c r="I160" s="509"/>
      <c r="J160" s="89"/>
      <c r="K160" s="522"/>
      <c r="L160" s="204"/>
      <c r="M160" s="661"/>
      <c r="N160" s="661"/>
    </row>
    <row r="161" spans="1:14" ht="15.75" x14ac:dyDescent="0.25">
      <c r="A161" s="87">
        <v>157</v>
      </c>
      <c r="B161" s="87" t="s">
        <v>1125</v>
      </c>
      <c r="C161" s="555">
        <v>6363</v>
      </c>
      <c r="D161" s="563">
        <v>14000</v>
      </c>
      <c r="E161" s="573">
        <v>149</v>
      </c>
      <c r="F161" s="563">
        <v>14000</v>
      </c>
      <c r="G161" s="87">
        <f t="shared" si="2"/>
        <v>0</v>
      </c>
      <c r="H161" s="509"/>
      <c r="I161" s="509"/>
      <c r="J161" s="89"/>
      <c r="K161" s="522"/>
      <c r="L161" s="204"/>
      <c r="M161" s="661"/>
      <c r="N161" s="661"/>
    </row>
    <row r="162" spans="1:14" ht="15.75" x14ac:dyDescent="0.25">
      <c r="A162" s="87">
        <v>158</v>
      </c>
      <c r="B162" s="87" t="s">
        <v>1125</v>
      </c>
      <c r="C162" s="555">
        <v>1034</v>
      </c>
      <c r="D162" s="563">
        <v>21000</v>
      </c>
      <c r="E162" s="573">
        <v>219</v>
      </c>
      <c r="F162" s="563">
        <v>21000</v>
      </c>
      <c r="G162" s="87">
        <f t="shared" si="2"/>
        <v>0</v>
      </c>
      <c r="H162" s="509"/>
      <c r="I162" s="509"/>
      <c r="J162" s="89"/>
      <c r="K162" s="522"/>
      <c r="L162" s="204"/>
      <c r="M162" s="661"/>
      <c r="N162" s="661"/>
    </row>
    <row r="163" spans="1:14" ht="15.75" x14ac:dyDescent="0.25">
      <c r="A163" s="87">
        <v>159</v>
      </c>
      <c r="B163" s="87" t="s">
        <v>1125</v>
      </c>
      <c r="C163" s="555">
        <v>1552</v>
      </c>
      <c r="D163" s="563">
        <v>15000</v>
      </c>
      <c r="E163" s="573">
        <v>159</v>
      </c>
      <c r="F163" s="563">
        <v>15000</v>
      </c>
      <c r="G163" s="87">
        <f t="shared" si="2"/>
        <v>0</v>
      </c>
      <c r="H163" s="509"/>
      <c r="I163" s="509"/>
      <c r="J163" s="89"/>
      <c r="K163" s="522"/>
      <c r="L163" s="204"/>
      <c r="M163" s="661"/>
      <c r="N163" s="661"/>
    </row>
    <row r="164" spans="1:14" ht="15.75" x14ac:dyDescent="0.25">
      <c r="A164" s="87">
        <v>160</v>
      </c>
      <c r="B164" s="87" t="s">
        <v>1125</v>
      </c>
      <c r="C164" s="555">
        <v>3349</v>
      </c>
      <c r="D164" s="563">
        <v>10000</v>
      </c>
      <c r="E164" s="573">
        <v>106</v>
      </c>
      <c r="F164" s="563">
        <v>10000</v>
      </c>
      <c r="G164" s="87">
        <f t="shared" si="2"/>
        <v>0</v>
      </c>
      <c r="H164" s="509"/>
      <c r="I164" s="509"/>
      <c r="J164" s="89"/>
      <c r="K164" s="522"/>
      <c r="L164" s="204"/>
      <c r="M164" s="661"/>
      <c r="N164" s="661"/>
    </row>
    <row r="165" spans="1:14" ht="15.75" x14ac:dyDescent="0.25">
      <c r="A165" s="87">
        <v>161</v>
      </c>
      <c r="B165" s="87" t="s">
        <v>1125</v>
      </c>
      <c r="C165" s="555">
        <v>7471</v>
      </c>
      <c r="D165" s="563">
        <v>20000</v>
      </c>
      <c r="E165" s="573">
        <v>213</v>
      </c>
      <c r="F165" s="563">
        <v>20000</v>
      </c>
      <c r="G165" s="87">
        <f t="shared" si="2"/>
        <v>0</v>
      </c>
      <c r="H165" s="509"/>
      <c r="I165" s="509"/>
      <c r="J165" s="89"/>
      <c r="K165" s="522"/>
      <c r="L165" s="204"/>
      <c r="M165" s="661"/>
      <c r="N165" s="661"/>
    </row>
    <row r="166" spans="1:14" ht="15.75" x14ac:dyDescent="0.25">
      <c r="A166" s="87">
        <v>162</v>
      </c>
      <c r="B166" s="87" t="s">
        <v>1125</v>
      </c>
      <c r="C166" s="555">
        <v>2435</v>
      </c>
      <c r="D166" s="563">
        <v>14000</v>
      </c>
      <c r="E166" s="573">
        <v>155</v>
      </c>
      <c r="F166" s="563">
        <v>14000</v>
      </c>
      <c r="G166" s="87">
        <f t="shared" si="2"/>
        <v>0</v>
      </c>
      <c r="H166" s="509"/>
      <c r="I166" s="509"/>
      <c r="J166" s="89"/>
      <c r="K166" s="522"/>
      <c r="L166" s="204"/>
      <c r="M166" s="661"/>
      <c r="N166" s="661"/>
    </row>
    <row r="167" spans="1:14" ht="15.75" x14ac:dyDescent="0.25">
      <c r="A167" s="87">
        <v>163</v>
      </c>
      <c r="B167" s="87" t="s">
        <v>1125</v>
      </c>
      <c r="C167" s="555">
        <v>2972</v>
      </c>
      <c r="D167" s="563">
        <v>13000</v>
      </c>
      <c r="E167" s="573">
        <v>144</v>
      </c>
      <c r="F167" s="563">
        <v>13000</v>
      </c>
      <c r="G167" s="87">
        <f t="shared" si="2"/>
        <v>0</v>
      </c>
      <c r="H167" s="509"/>
      <c r="I167" s="509"/>
      <c r="J167" s="89"/>
      <c r="K167" s="522"/>
      <c r="L167" s="204"/>
      <c r="M167" s="661"/>
      <c r="N167" s="661"/>
    </row>
    <row r="168" spans="1:14" ht="15.75" x14ac:dyDescent="0.25">
      <c r="A168" s="87">
        <v>164</v>
      </c>
      <c r="B168" s="87" t="s">
        <v>1125</v>
      </c>
      <c r="C168" s="555">
        <v>2545</v>
      </c>
      <c r="D168" s="563">
        <v>16000</v>
      </c>
      <c r="E168" s="573">
        <v>178</v>
      </c>
      <c r="F168" s="563">
        <v>16000</v>
      </c>
      <c r="G168" s="87">
        <f t="shared" si="2"/>
        <v>0</v>
      </c>
      <c r="H168" s="509"/>
      <c r="I168" s="509"/>
      <c r="J168" s="89"/>
      <c r="K168" s="522"/>
      <c r="L168" s="204"/>
      <c r="M168" s="661"/>
      <c r="N168" s="661"/>
    </row>
    <row r="169" spans="1:14" ht="15.75" x14ac:dyDescent="0.25">
      <c r="A169" s="87">
        <v>165</v>
      </c>
      <c r="B169" s="87" t="s">
        <v>1125</v>
      </c>
      <c r="C169" s="555">
        <v>3887</v>
      </c>
      <c r="D169" s="563">
        <v>17000</v>
      </c>
      <c r="E169" s="573">
        <v>181</v>
      </c>
      <c r="F169" s="563">
        <v>17000</v>
      </c>
      <c r="G169" s="87">
        <f t="shared" si="2"/>
        <v>0</v>
      </c>
      <c r="H169" s="509"/>
      <c r="I169" s="509"/>
      <c r="J169" s="89"/>
      <c r="K169" s="522"/>
      <c r="L169" s="204"/>
      <c r="M169" s="661"/>
      <c r="N169" s="661"/>
    </row>
    <row r="170" spans="1:14" ht="15.75" x14ac:dyDescent="0.25">
      <c r="A170" s="87">
        <v>166</v>
      </c>
      <c r="B170" s="87" t="s">
        <v>1125</v>
      </c>
      <c r="C170" s="555" t="s">
        <v>819</v>
      </c>
      <c r="D170" s="563">
        <v>3500</v>
      </c>
      <c r="E170" s="573">
        <v>38</v>
      </c>
      <c r="F170" s="563">
        <v>3500</v>
      </c>
      <c r="G170" s="87">
        <f t="shared" si="2"/>
        <v>0</v>
      </c>
      <c r="H170" s="509"/>
      <c r="I170" s="509"/>
      <c r="J170" s="89"/>
      <c r="K170" s="522"/>
      <c r="L170" s="204"/>
      <c r="M170" s="661"/>
      <c r="N170" s="661"/>
    </row>
    <row r="171" spans="1:14" ht="15.75" x14ac:dyDescent="0.25">
      <c r="A171" s="87">
        <v>167</v>
      </c>
      <c r="B171" s="87" t="s">
        <v>1125</v>
      </c>
      <c r="C171" s="555">
        <v>7345</v>
      </c>
      <c r="D171" s="563">
        <v>13000</v>
      </c>
      <c r="E171" s="573">
        <v>138</v>
      </c>
      <c r="F171" s="563">
        <v>13000</v>
      </c>
      <c r="G171" s="87">
        <f t="shared" si="2"/>
        <v>0</v>
      </c>
      <c r="H171" s="509"/>
      <c r="I171" s="509"/>
      <c r="J171" s="89"/>
      <c r="K171" s="522"/>
      <c r="L171" s="204"/>
      <c r="M171" s="661"/>
      <c r="N171" s="661"/>
    </row>
    <row r="172" spans="1:14" ht="15.75" x14ac:dyDescent="0.25">
      <c r="A172" s="87">
        <v>168</v>
      </c>
      <c r="B172" s="87" t="s">
        <v>1125</v>
      </c>
      <c r="C172" s="555">
        <v>7344</v>
      </c>
      <c r="D172" s="563">
        <v>13000</v>
      </c>
      <c r="E172" s="573">
        <v>138</v>
      </c>
      <c r="F172" s="563">
        <v>13000</v>
      </c>
      <c r="G172" s="87">
        <f t="shared" si="2"/>
        <v>0</v>
      </c>
      <c r="H172" s="509"/>
      <c r="I172" s="509"/>
      <c r="J172" s="89"/>
      <c r="K172" s="522"/>
      <c r="L172" s="204"/>
      <c r="M172" s="661"/>
      <c r="N172" s="661"/>
    </row>
    <row r="173" spans="1:14" ht="15.75" x14ac:dyDescent="0.25">
      <c r="A173" s="87">
        <v>169</v>
      </c>
      <c r="B173" s="87" t="s">
        <v>1125</v>
      </c>
      <c r="C173" s="555">
        <v>5159</v>
      </c>
      <c r="D173" s="563">
        <v>20000</v>
      </c>
      <c r="E173" s="573">
        <v>200</v>
      </c>
      <c r="F173" s="563">
        <v>20000</v>
      </c>
      <c r="G173" s="87">
        <f t="shared" si="2"/>
        <v>0</v>
      </c>
      <c r="H173" s="509"/>
      <c r="I173" s="509"/>
      <c r="J173" s="89"/>
      <c r="K173" s="522"/>
      <c r="L173" s="204"/>
      <c r="M173" s="661"/>
      <c r="N173" s="661"/>
    </row>
    <row r="174" spans="1:14" ht="15.75" x14ac:dyDescent="0.25">
      <c r="A174" s="87">
        <v>170</v>
      </c>
      <c r="B174" s="87" t="s">
        <v>1125</v>
      </c>
      <c r="C174" s="555">
        <v>4268</v>
      </c>
      <c r="D174" s="563">
        <v>20000</v>
      </c>
      <c r="E174" s="573">
        <v>213</v>
      </c>
      <c r="F174" s="563">
        <v>20000</v>
      </c>
      <c r="G174" s="87">
        <f t="shared" si="2"/>
        <v>0</v>
      </c>
      <c r="H174" s="509"/>
      <c r="I174" s="509"/>
      <c r="J174" s="89"/>
      <c r="K174" s="522"/>
      <c r="L174" s="204"/>
      <c r="M174" s="661"/>
      <c r="N174" s="661"/>
    </row>
    <row r="175" spans="1:14" ht="15.75" x14ac:dyDescent="0.25">
      <c r="A175" s="87">
        <v>171</v>
      </c>
      <c r="B175" s="87" t="s">
        <v>1125</v>
      </c>
      <c r="C175" s="555">
        <v>7194</v>
      </c>
      <c r="D175" s="563">
        <v>35000</v>
      </c>
      <c r="E175" s="573">
        <v>184</v>
      </c>
      <c r="F175" s="563">
        <v>35000</v>
      </c>
      <c r="G175" s="87">
        <f t="shared" si="2"/>
        <v>0</v>
      </c>
      <c r="H175" s="509"/>
      <c r="I175" s="509"/>
      <c r="J175" s="89"/>
      <c r="K175" s="522"/>
      <c r="L175" s="204"/>
      <c r="M175" s="661"/>
      <c r="N175" s="661"/>
    </row>
    <row r="176" spans="1:14" ht="15.75" x14ac:dyDescent="0.25">
      <c r="A176" s="87">
        <v>172</v>
      </c>
      <c r="B176" s="87" t="s">
        <v>1125</v>
      </c>
      <c r="C176" s="555">
        <v>9238</v>
      </c>
      <c r="D176" s="563">
        <v>30000</v>
      </c>
      <c r="E176" s="573">
        <v>334</v>
      </c>
      <c r="F176" s="563">
        <v>30000</v>
      </c>
      <c r="G176" s="87">
        <f t="shared" si="2"/>
        <v>0</v>
      </c>
      <c r="H176" s="509"/>
      <c r="I176" s="509"/>
      <c r="J176" s="89"/>
      <c r="K176" s="522"/>
      <c r="L176" s="204"/>
      <c r="M176" s="661"/>
      <c r="N176" s="661"/>
    </row>
    <row r="177" spans="1:14" ht="15.75" x14ac:dyDescent="0.25">
      <c r="A177" s="87">
        <v>173</v>
      </c>
      <c r="B177" s="87" t="s">
        <v>1125</v>
      </c>
      <c r="C177" s="555">
        <v>5142</v>
      </c>
      <c r="D177" s="563">
        <v>17000</v>
      </c>
      <c r="E177" s="573">
        <v>189</v>
      </c>
      <c r="F177" s="563">
        <v>17000</v>
      </c>
      <c r="G177" s="87">
        <f t="shared" si="2"/>
        <v>0</v>
      </c>
      <c r="H177" s="509"/>
      <c r="I177" s="509"/>
      <c r="J177" s="89"/>
      <c r="K177" s="522"/>
      <c r="L177" s="204"/>
      <c r="M177" s="661"/>
      <c r="N177" s="661"/>
    </row>
    <row r="178" spans="1:14" ht="15.75" x14ac:dyDescent="0.25">
      <c r="A178" s="87">
        <v>174</v>
      </c>
      <c r="B178" s="87" t="s">
        <v>1125</v>
      </c>
      <c r="C178" s="555">
        <v>3673</v>
      </c>
      <c r="D178" s="563">
        <v>32000</v>
      </c>
      <c r="E178" s="573">
        <v>356</v>
      </c>
      <c r="F178" s="563">
        <v>32000</v>
      </c>
      <c r="G178" s="87">
        <f t="shared" si="2"/>
        <v>0</v>
      </c>
      <c r="H178" s="509"/>
      <c r="I178" s="509"/>
      <c r="J178" s="89"/>
      <c r="K178" s="522"/>
      <c r="L178" s="204"/>
      <c r="M178" s="661"/>
      <c r="N178" s="661"/>
    </row>
    <row r="179" spans="1:14" ht="15.75" x14ac:dyDescent="0.25">
      <c r="A179" s="87">
        <v>175</v>
      </c>
      <c r="B179" s="87" t="s">
        <v>1125</v>
      </c>
      <c r="C179" s="555">
        <v>7715</v>
      </c>
      <c r="D179" s="563">
        <v>45000</v>
      </c>
      <c r="E179" s="573">
        <v>498</v>
      </c>
      <c r="F179" s="563">
        <v>45000</v>
      </c>
      <c r="G179" s="87">
        <f t="shared" si="2"/>
        <v>0</v>
      </c>
      <c r="H179" s="509"/>
      <c r="I179" s="509"/>
      <c r="J179" s="89"/>
      <c r="K179" s="522"/>
      <c r="L179" s="204"/>
      <c r="M179" s="661"/>
      <c r="N179" s="661"/>
    </row>
    <row r="180" spans="1:14" ht="15.75" x14ac:dyDescent="0.25">
      <c r="A180" s="87">
        <v>176</v>
      </c>
      <c r="B180" s="87" t="s">
        <v>1125</v>
      </c>
      <c r="C180" s="555">
        <v>3783</v>
      </c>
      <c r="D180" s="563">
        <v>45000</v>
      </c>
      <c r="E180" s="574">
        <v>479</v>
      </c>
      <c r="F180" s="563">
        <v>45000</v>
      </c>
      <c r="G180" s="87">
        <f t="shared" si="2"/>
        <v>0</v>
      </c>
      <c r="H180" s="509"/>
      <c r="I180" s="509"/>
      <c r="J180" s="89"/>
      <c r="K180" s="522"/>
      <c r="L180" s="204"/>
      <c r="M180" s="661"/>
      <c r="N180" s="661"/>
    </row>
    <row r="181" spans="1:14" ht="15.75" x14ac:dyDescent="0.25">
      <c r="A181" s="87">
        <v>177</v>
      </c>
      <c r="B181" s="87" t="s">
        <v>1125</v>
      </c>
      <c r="C181" s="555">
        <v>2470</v>
      </c>
      <c r="D181" s="563">
        <v>20000</v>
      </c>
      <c r="E181" s="573">
        <v>213</v>
      </c>
      <c r="F181" s="563">
        <v>20000</v>
      </c>
      <c r="G181" s="87">
        <f t="shared" si="2"/>
        <v>0</v>
      </c>
      <c r="H181" s="509"/>
      <c r="I181" s="509"/>
      <c r="J181" s="89"/>
      <c r="K181" s="522"/>
      <c r="L181" s="204"/>
      <c r="M181" s="661"/>
      <c r="N181" s="661"/>
    </row>
    <row r="182" spans="1:14" ht="15.75" x14ac:dyDescent="0.25">
      <c r="A182" s="87">
        <v>178</v>
      </c>
      <c r="B182" s="87" t="s">
        <v>1125</v>
      </c>
      <c r="C182" s="555">
        <v>7472</v>
      </c>
      <c r="D182" s="563">
        <v>27000</v>
      </c>
      <c r="E182" s="573">
        <v>287</v>
      </c>
      <c r="F182" s="563">
        <v>27000</v>
      </c>
      <c r="G182" s="87">
        <f t="shared" si="2"/>
        <v>0</v>
      </c>
      <c r="H182" s="509"/>
      <c r="I182" s="509"/>
      <c r="J182" s="89"/>
      <c r="K182" s="522"/>
      <c r="L182" s="204"/>
      <c r="M182" s="661"/>
      <c r="N182" s="661"/>
    </row>
    <row r="183" spans="1:14" ht="15.75" x14ac:dyDescent="0.25">
      <c r="A183" s="87">
        <v>179</v>
      </c>
      <c r="B183" s="87" t="s">
        <v>1127</v>
      </c>
      <c r="C183" s="555">
        <v>2492</v>
      </c>
      <c r="D183" s="563">
        <v>22000</v>
      </c>
      <c r="E183" s="573">
        <v>231</v>
      </c>
      <c r="F183" s="563">
        <v>22000</v>
      </c>
      <c r="G183" s="87">
        <f t="shared" si="2"/>
        <v>0</v>
      </c>
      <c r="H183" s="509"/>
      <c r="I183" s="509"/>
      <c r="J183" s="89"/>
      <c r="K183" s="522"/>
      <c r="L183" s="204"/>
      <c r="M183" s="661"/>
      <c r="N183" s="661"/>
    </row>
    <row r="184" spans="1:14" ht="15.75" x14ac:dyDescent="0.25">
      <c r="A184" s="87">
        <v>180</v>
      </c>
      <c r="B184" s="87" t="s">
        <v>1127</v>
      </c>
      <c r="C184" s="607" t="s">
        <v>861</v>
      </c>
      <c r="D184" s="563">
        <v>18000</v>
      </c>
      <c r="E184" s="573">
        <v>195</v>
      </c>
      <c r="F184" s="563">
        <v>18000</v>
      </c>
      <c r="G184" s="87">
        <f t="shared" si="2"/>
        <v>0</v>
      </c>
      <c r="H184" s="509"/>
      <c r="I184" s="509"/>
      <c r="J184" s="89"/>
      <c r="K184" s="522"/>
      <c r="L184" s="204"/>
      <c r="M184" s="661"/>
      <c r="N184" s="661"/>
    </row>
    <row r="185" spans="1:14" ht="15.75" x14ac:dyDescent="0.25">
      <c r="A185" s="87">
        <v>181</v>
      </c>
      <c r="B185" s="87" t="s">
        <v>1127</v>
      </c>
      <c r="C185" s="555">
        <v>5151</v>
      </c>
      <c r="D185" s="563">
        <v>17000</v>
      </c>
      <c r="E185" s="573">
        <v>186</v>
      </c>
      <c r="F185" s="563">
        <v>17000</v>
      </c>
      <c r="G185" s="87">
        <f t="shared" si="2"/>
        <v>0</v>
      </c>
      <c r="H185" s="509"/>
      <c r="I185" s="509"/>
      <c r="J185" s="89"/>
      <c r="K185" s="522"/>
      <c r="L185" s="204"/>
      <c r="M185" s="661"/>
      <c r="N185" s="661"/>
    </row>
    <row r="186" spans="1:14" ht="15.75" x14ac:dyDescent="0.25">
      <c r="A186" s="87">
        <v>182</v>
      </c>
      <c r="B186" s="87" t="s">
        <v>1127</v>
      </c>
      <c r="C186" s="607" t="s">
        <v>1008</v>
      </c>
      <c r="D186" s="563">
        <v>16000</v>
      </c>
      <c r="E186" s="573">
        <v>177</v>
      </c>
      <c r="F186" s="563">
        <v>16000</v>
      </c>
      <c r="G186" s="87">
        <f t="shared" si="2"/>
        <v>0</v>
      </c>
      <c r="H186" s="509"/>
      <c r="I186" s="509"/>
      <c r="J186" s="89"/>
      <c r="K186" s="522"/>
      <c r="L186" s="204"/>
      <c r="M186" s="661"/>
      <c r="N186" s="661"/>
    </row>
    <row r="187" spans="1:14" ht="15.75" x14ac:dyDescent="0.25">
      <c r="A187" s="87">
        <v>183</v>
      </c>
      <c r="B187" s="87" t="s">
        <v>1127</v>
      </c>
      <c r="C187" s="555">
        <v>5252</v>
      </c>
      <c r="D187" s="563">
        <v>17000</v>
      </c>
      <c r="E187" s="573">
        <v>189</v>
      </c>
      <c r="F187" s="563">
        <v>17000</v>
      </c>
      <c r="G187" s="87">
        <f t="shared" si="2"/>
        <v>0</v>
      </c>
      <c r="H187" s="509"/>
      <c r="I187" s="509"/>
      <c r="J187" s="89"/>
      <c r="K187" s="522"/>
      <c r="L187" s="204"/>
      <c r="M187" s="661"/>
      <c r="N187" s="661"/>
    </row>
    <row r="188" spans="1:14" ht="15.75" x14ac:dyDescent="0.25">
      <c r="A188" s="87">
        <v>184</v>
      </c>
      <c r="B188" s="87" t="s">
        <v>1127</v>
      </c>
      <c r="C188" s="607" t="s">
        <v>1167</v>
      </c>
      <c r="D188" s="563">
        <v>8000</v>
      </c>
      <c r="E188" s="573">
        <v>89</v>
      </c>
      <c r="F188" s="563">
        <v>8000</v>
      </c>
      <c r="G188" s="87">
        <f t="shared" si="2"/>
        <v>0</v>
      </c>
      <c r="H188" s="509"/>
      <c r="I188" s="509"/>
      <c r="J188" s="89"/>
      <c r="K188" s="522"/>
      <c r="L188" s="204"/>
      <c r="M188" s="661"/>
      <c r="N188" s="661"/>
    </row>
    <row r="189" spans="1:14" ht="15.75" x14ac:dyDescent="0.25">
      <c r="A189" s="87">
        <v>185</v>
      </c>
      <c r="B189" s="87" t="s">
        <v>1127</v>
      </c>
      <c r="C189" s="555">
        <v>1392</v>
      </c>
      <c r="D189" s="563">
        <v>8000</v>
      </c>
      <c r="E189" s="573">
        <v>89</v>
      </c>
      <c r="F189" s="563">
        <v>8000</v>
      </c>
      <c r="G189" s="87">
        <f t="shared" si="2"/>
        <v>0</v>
      </c>
      <c r="H189" s="509"/>
      <c r="I189" s="509"/>
      <c r="J189" s="89"/>
      <c r="K189" s="522"/>
      <c r="L189" s="204"/>
      <c r="M189" s="661"/>
      <c r="N189" s="661"/>
    </row>
    <row r="190" spans="1:14" ht="15.75" x14ac:dyDescent="0.25">
      <c r="A190" s="87">
        <v>186</v>
      </c>
      <c r="B190" s="87" t="s">
        <v>1127</v>
      </c>
      <c r="C190" s="555">
        <v>3211</v>
      </c>
      <c r="D190" s="563">
        <v>10000</v>
      </c>
      <c r="E190" s="573">
        <v>111</v>
      </c>
      <c r="F190" s="563">
        <v>10000</v>
      </c>
      <c r="G190" s="87">
        <f t="shared" si="2"/>
        <v>0</v>
      </c>
      <c r="H190" s="509"/>
      <c r="I190" s="509"/>
      <c r="J190" s="89"/>
      <c r="K190" s="522"/>
      <c r="L190" s="204"/>
      <c r="M190" s="661"/>
      <c r="N190" s="661"/>
    </row>
    <row r="191" spans="1:14" ht="15.75" x14ac:dyDescent="0.25">
      <c r="A191" s="87">
        <v>187</v>
      </c>
      <c r="B191" s="87" t="s">
        <v>1127</v>
      </c>
      <c r="C191" s="555">
        <v>5780</v>
      </c>
      <c r="D191" s="563">
        <v>10000</v>
      </c>
      <c r="E191" s="573">
        <v>111</v>
      </c>
      <c r="F191" s="563">
        <v>10000</v>
      </c>
      <c r="G191" s="87">
        <f t="shared" si="2"/>
        <v>0</v>
      </c>
      <c r="H191" s="509"/>
      <c r="I191" s="509"/>
      <c r="J191" s="89"/>
      <c r="K191" s="522"/>
      <c r="L191" s="204"/>
      <c r="M191" s="661"/>
      <c r="N191" s="661"/>
    </row>
    <row r="192" spans="1:14" ht="15.75" x14ac:dyDescent="0.25">
      <c r="A192" s="87">
        <v>188</v>
      </c>
      <c r="B192" s="87" t="s">
        <v>1127</v>
      </c>
      <c r="C192" s="555">
        <v>4575</v>
      </c>
      <c r="D192" s="563">
        <v>14000</v>
      </c>
      <c r="E192" s="573">
        <v>155</v>
      </c>
      <c r="F192" s="563">
        <v>14000</v>
      </c>
      <c r="G192" s="87">
        <f t="shared" si="2"/>
        <v>0</v>
      </c>
      <c r="H192" s="509"/>
      <c r="I192" s="509"/>
      <c r="J192" s="89"/>
      <c r="K192" s="522"/>
      <c r="L192" s="204"/>
      <c r="M192" s="661"/>
      <c r="N192" s="661"/>
    </row>
    <row r="193" spans="1:14" ht="15.75" x14ac:dyDescent="0.25">
      <c r="A193" s="87">
        <v>189</v>
      </c>
      <c r="B193" s="87" t="s">
        <v>1127</v>
      </c>
      <c r="C193" s="555">
        <v>5225</v>
      </c>
      <c r="D193" s="563">
        <v>14000</v>
      </c>
      <c r="E193" s="573">
        <v>155</v>
      </c>
      <c r="F193" s="563">
        <v>14000</v>
      </c>
      <c r="G193" s="87">
        <f t="shared" si="2"/>
        <v>0</v>
      </c>
      <c r="H193" s="509"/>
      <c r="I193" s="509"/>
      <c r="J193" s="89"/>
      <c r="K193" s="522"/>
      <c r="L193" s="204"/>
      <c r="M193" s="661"/>
      <c r="N193" s="661"/>
    </row>
    <row r="194" spans="1:14" ht="15.75" x14ac:dyDescent="0.25">
      <c r="A194" s="87">
        <v>190</v>
      </c>
      <c r="B194" s="87" t="s">
        <v>1127</v>
      </c>
      <c r="C194" s="555">
        <v>2774</v>
      </c>
      <c r="D194" s="563">
        <v>15000</v>
      </c>
      <c r="E194" s="573">
        <v>167</v>
      </c>
      <c r="F194" s="563">
        <v>15000</v>
      </c>
      <c r="G194" s="87">
        <f t="shared" si="2"/>
        <v>0</v>
      </c>
      <c r="H194" s="509"/>
      <c r="I194" s="509"/>
      <c r="J194" s="89"/>
      <c r="K194" s="522"/>
      <c r="L194" s="204"/>
      <c r="M194" s="661"/>
      <c r="N194" s="661"/>
    </row>
    <row r="195" spans="1:14" ht="15.75" x14ac:dyDescent="0.25">
      <c r="A195" s="87">
        <v>191</v>
      </c>
      <c r="B195" s="87" t="s">
        <v>1127</v>
      </c>
      <c r="C195" s="555">
        <v>1280</v>
      </c>
      <c r="D195" s="563">
        <v>30000</v>
      </c>
      <c r="E195" s="573">
        <v>334</v>
      </c>
      <c r="F195" s="563">
        <v>30000</v>
      </c>
      <c r="G195" s="87">
        <f t="shared" si="2"/>
        <v>0</v>
      </c>
      <c r="H195" s="509"/>
      <c r="I195" s="509"/>
      <c r="J195" s="89"/>
      <c r="K195" s="522"/>
      <c r="L195" s="204"/>
      <c r="M195" s="661"/>
      <c r="N195" s="661"/>
    </row>
    <row r="196" spans="1:14" ht="15.75" x14ac:dyDescent="0.25">
      <c r="A196" s="87">
        <v>192</v>
      </c>
      <c r="B196" s="87" t="s">
        <v>1127</v>
      </c>
      <c r="C196" s="555">
        <v>7087</v>
      </c>
      <c r="D196" s="563">
        <v>15000</v>
      </c>
      <c r="E196" s="573">
        <v>167</v>
      </c>
      <c r="F196" s="563">
        <v>15000</v>
      </c>
      <c r="G196" s="87">
        <f t="shared" si="2"/>
        <v>0</v>
      </c>
      <c r="H196" s="509"/>
      <c r="I196" s="509"/>
      <c r="J196" s="89"/>
      <c r="K196" s="522"/>
      <c r="L196" s="204"/>
      <c r="M196" s="661"/>
      <c r="N196" s="661"/>
    </row>
    <row r="197" spans="1:14" ht="15.75" x14ac:dyDescent="0.25">
      <c r="A197" s="87">
        <v>193</v>
      </c>
      <c r="B197" s="87" t="s">
        <v>1127</v>
      </c>
      <c r="C197" s="555" t="s">
        <v>66</v>
      </c>
      <c r="D197" s="563">
        <v>210</v>
      </c>
      <c r="E197" s="573" t="s">
        <v>66</v>
      </c>
      <c r="F197" s="563">
        <v>210</v>
      </c>
      <c r="G197" s="87">
        <f t="shared" ref="G197:G260" si="3">D197-F197</f>
        <v>0</v>
      </c>
      <c r="H197" s="509"/>
      <c r="I197" s="509"/>
      <c r="J197" s="89"/>
      <c r="K197" s="522"/>
      <c r="L197" s="204"/>
      <c r="M197" s="661"/>
      <c r="N197" s="661"/>
    </row>
    <row r="198" spans="1:14" ht="15.75" x14ac:dyDescent="0.25">
      <c r="A198" s="87">
        <v>194</v>
      </c>
      <c r="B198" s="87" t="s">
        <v>1127</v>
      </c>
      <c r="C198" s="607" t="s">
        <v>890</v>
      </c>
      <c r="D198" s="563">
        <v>14000</v>
      </c>
      <c r="E198" s="573">
        <v>155</v>
      </c>
      <c r="F198" s="563">
        <v>14000</v>
      </c>
      <c r="G198" s="87">
        <f t="shared" si="3"/>
        <v>0</v>
      </c>
      <c r="H198" s="509"/>
      <c r="I198" s="509"/>
      <c r="J198" s="89"/>
      <c r="K198" s="522"/>
      <c r="L198" s="204"/>
      <c r="M198" s="661"/>
      <c r="N198" s="661"/>
    </row>
    <row r="199" spans="1:14" ht="15.75" x14ac:dyDescent="0.25">
      <c r="A199" s="87">
        <v>195</v>
      </c>
      <c r="B199" s="87" t="s">
        <v>1127</v>
      </c>
      <c r="C199" s="555">
        <v>6133</v>
      </c>
      <c r="D199" s="563">
        <v>16000</v>
      </c>
      <c r="E199" s="573">
        <v>178</v>
      </c>
      <c r="F199" s="563">
        <v>16000</v>
      </c>
      <c r="G199" s="87">
        <f t="shared" si="3"/>
        <v>0</v>
      </c>
      <c r="H199" s="509"/>
      <c r="I199" s="509"/>
      <c r="J199" s="89"/>
      <c r="K199" s="522"/>
      <c r="L199" s="204"/>
      <c r="M199" s="661"/>
      <c r="N199" s="661"/>
    </row>
    <row r="200" spans="1:14" ht="15.75" x14ac:dyDescent="0.25">
      <c r="A200" s="87">
        <v>196</v>
      </c>
      <c r="B200" s="87" t="s">
        <v>1127</v>
      </c>
      <c r="C200" s="555">
        <v>5152</v>
      </c>
      <c r="D200" s="563">
        <v>15000</v>
      </c>
      <c r="E200" s="573">
        <v>167</v>
      </c>
      <c r="F200" s="563">
        <v>15000</v>
      </c>
      <c r="G200" s="87">
        <f t="shared" si="3"/>
        <v>0</v>
      </c>
      <c r="H200" s="509"/>
      <c r="I200" s="509"/>
      <c r="J200" s="89"/>
      <c r="K200" s="522"/>
      <c r="L200" s="204"/>
      <c r="M200" s="661"/>
      <c r="N200" s="661"/>
    </row>
    <row r="201" spans="1:14" ht="15.75" x14ac:dyDescent="0.25">
      <c r="A201" s="87">
        <v>197</v>
      </c>
      <c r="B201" s="87" t="s">
        <v>1127</v>
      </c>
      <c r="C201" s="607" t="s">
        <v>873</v>
      </c>
      <c r="D201" s="563">
        <v>15000</v>
      </c>
      <c r="E201" s="573">
        <v>167</v>
      </c>
      <c r="F201" s="563">
        <v>15000</v>
      </c>
      <c r="G201" s="87">
        <f t="shared" si="3"/>
        <v>0</v>
      </c>
      <c r="H201" s="509"/>
      <c r="I201" s="509"/>
      <c r="J201" s="89"/>
      <c r="K201" s="522"/>
      <c r="L201" s="204"/>
      <c r="M201" s="661"/>
      <c r="N201" s="661"/>
    </row>
    <row r="202" spans="1:14" ht="15.75" x14ac:dyDescent="0.25">
      <c r="A202" s="87">
        <v>198</v>
      </c>
      <c r="B202" s="87" t="s">
        <v>1127</v>
      </c>
      <c r="C202" s="555" t="s">
        <v>30</v>
      </c>
      <c r="D202" s="563">
        <v>5000</v>
      </c>
      <c r="E202" s="573">
        <v>55</v>
      </c>
      <c r="F202" s="563">
        <v>5000</v>
      </c>
      <c r="G202" s="87">
        <f t="shared" si="3"/>
        <v>0</v>
      </c>
      <c r="H202" s="509"/>
      <c r="I202" s="509"/>
      <c r="J202" s="89"/>
      <c r="K202" s="522"/>
      <c r="L202" s="204"/>
      <c r="M202" s="661"/>
      <c r="N202" s="661"/>
    </row>
    <row r="203" spans="1:14" ht="15.75" x14ac:dyDescent="0.25">
      <c r="A203" s="87">
        <v>199</v>
      </c>
      <c r="B203" s="87" t="s">
        <v>1127</v>
      </c>
      <c r="C203" s="555">
        <v>6487</v>
      </c>
      <c r="D203" s="563">
        <v>15000</v>
      </c>
      <c r="E203" s="573">
        <v>167</v>
      </c>
      <c r="F203" s="563">
        <v>15000</v>
      </c>
      <c r="G203" s="87">
        <f t="shared" si="3"/>
        <v>0</v>
      </c>
      <c r="H203" s="509"/>
      <c r="I203" s="509"/>
      <c r="J203" s="89"/>
      <c r="K203" s="522"/>
      <c r="L203" s="204"/>
      <c r="M203" s="661"/>
      <c r="N203" s="661"/>
    </row>
    <row r="204" spans="1:14" ht="15.75" x14ac:dyDescent="0.25">
      <c r="A204" s="87">
        <v>200</v>
      </c>
      <c r="B204" s="87" t="s">
        <v>1127</v>
      </c>
      <c r="C204" s="555">
        <v>2963</v>
      </c>
      <c r="D204" s="563">
        <v>15000</v>
      </c>
      <c r="E204" s="573">
        <v>159</v>
      </c>
      <c r="F204" s="563">
        <v>15000</v>
      </c>
      <c r="G204" s="87">
        <f t="shared" si="3"/>
        <v>0</v>
      </c>
      <c r="H204" s="509"/>
      <c r="I204" s="509"/>
      <c r="J204" s="89"/>
      <c r="K204" s="522"/>
      <c r="L204" s="204"/>
      <c r="M204" s="661"/>
      <c r="N204" s="661"/>
    </row>
    <row r="205" spans="1:14" ht="15.75" x14ac:dyDescent="0.25">
      <c r="A205" s="87">
        <v>201</v>
      </c>
      <c r="B205" s="87" t="s">
        <v>1127</v>
      </c>
      <c r="C205" s="555">
        <v>9857</v>
      </c>
      <c r="D205" s="563">
        <v>28000</v>
      </c>
      <c r="E205" s="573">
        <v>298</v>
      </c>
      <c r="F205" s="563">
        <v>28000</v>
      </c>
      <c r="G205" s="87">
        <f t="shared" si="3"/>
        <v>0</v>
      </c>
      <c r="H205" s="509"/>
      <c r="I205" s="509"/>
      <c r="J205" s="89"/>
      <c r="K205" s="522"/>
      <c r="L205" s="204"/>
      <c r="M205" s="661"/>
      <c r="N205" s="661"/>
    </row>
    <row r="206" spans="1:14" ht="15.75" x14ac:dyDescent="0.25">
      <c r="A206" s="87">
        <v>202</v>
      </c>
      <c r="B206" s="87" t="s">
        <v>1127</v>
      </c>
      <c r="C206" s="555">
        <v>8726</v>
      </c>
      <c r="D206" s="563">
        <v>16000</v>
      </c>
      <c r="E206" s="573">
        <v>170</v>
      </c>
      <c r="F206" s="563">
        <v>16000</v>
      </c>
      <c r="G206" s="87">
        <f t="shared" si="3"/>
        <v>0</v>
      </c>
      <c r="H206" s="509"/>
      <c r="I206" s="509"/>
      <c r="J206" s="89"/>
      <c r="K206" s="522"/>
      <c r="L206" s="204"/>
      <c r="M206" s="661"/>
      <c r="N206" s="661"/>
    </row>
    <row r="207" spans="1:14" ht="15.75" x14ac:dyDescent="0.25">
      <c r="A207" s="87">
        <v>203</v>
      </c>
      <c r="B207" s="87" t="s">
        <v>1127</v>
      </c>
      <c r="C207" s="555">
        <v>2961</v>
      </c>
      <c r="D207" s="563">
        <v>16000</v>
      </c>
      <c r="E207" s="573">
        <v>170</v>
      </c>
      <c r="F207" s="563">
        <v>16000</v>
      </c>
      <c r="G207" s="87">
        <f t="shared" si="3"/>
        <v>0</v>
      </c>
      <c r="H207" s="509"/>
      <c r="I207" s="509"/>
      <c r="J207" s="89"/>
      <c r="K207" s="522"/>
      <c r="L207" s="204"/>
      <c r="M207" s="661"/>
      <c r="N207" s="661"/>
    </row>
    <row r="208" spans="1:14" ht="15.75" x14ac:dyDescent="0.25">
      <c r="A208" s="87">
        <v>204</v>
      </c>
      <c r="B208" s="87" t="s">
        <v>1127</v>
      </c>
      <c r="C208" s="555">
        <v>8326</v>
      </c>
      <c r="D208" s="563">
        <v>15000</v>
      </c>
      <c r="E208" s="573">
        <v>159</v>
      </c>
      <c r="F208" s="563">
        <v>15000</v>
      </c>
      <c r="G208" s="87">
        <f t="shared" si="3"/>
        <v>0</v>
      </c>
      <c r="H208" s="509"/>
      <c r="I208" s="509"/>
      <c r="J208" s="89"/>
      <c r="K208" s="522"/>
      <c r="L208" s="204"/>
      <c r="M208" s="661"/>
      <c r="N208" s="661"/>
    </row>
    <row r="209" spans="1:14" ht="15.75" x14ac:dyDescent="0.25">
      <c r="A209" s="87">
        <v>205</v>
      </c>
      <c r="B209" s="87" t="s">
        <v>1127</v>
      </c>
      <c r="C209" s="555">
        <v>3175</v>
      </c>
      <c r="D209" s="563">
        <v>16000</v>
      </c>
      <c r="E209" s="573">
        <v>170</v>
      </c>
      <c r="F209" s="563">
        <v>16000</v>
      </c>
      <c r="G209" s="87">
        <f t="shared" si="3"/>
        <v>0</v>
      </c>
      <c r="H209" s="509"/>
      <c r="I209" s="509"/>
      <c r="J209" s="89"/>
      <c r="K209" s="522"/>
      <c r="L209" s="204"/>
      <c r="M209" s="661"/>
      <c r="N209" s="661"/>
    </row>
    <row r="210" spans="1:14" ht="15.75" x14ac:dyDescent="0.25">
      <c r="A210" s="87">
        <v>206</v>
      </c>
      <c r="B210" s="87" t="s">
        <v>1127</v>
      </c>
      <c r="C210" s="555">
        <v>7782</v>
      </c>
      <c r="D210" s="563">
        <v>20000</v>
      </c>
      <c r="E210" s="573">
        <v>222</v>
      </c>
      <c r="F210" s="563">
        <v>20000</v>
      </c>
      <c r="G210" s="87">
        <f t="shared" si="3"/>
        <v>0</v>
      </c>
      <c r="H210" s="509"/>
      <c r="I210" s="509"/>
      <c r="J210" s="89"/>
      <c r="K210" s="522"/>
      <c r="L210" s="204"/>
      <c r="M210" s="661"/>
      <c r="N210" s="661"/>
    </row>
    <row r="211" spans="1:14" ht="15.75" x14ac:dyDescent="0.25">
      <c r="A211" s="87">
        <v>207</v>
      </c>
      <c r="B211" s="87" t="s">
        <v>1127</v>
      </c>
      <c r="C211" s="555">
        <v>1547</v>
      </c>
      <c r="D211" s="563">
        <v>20000</v>
      </c>
      <c r="E211" s="573">
        <v>222</v>
      </c>
      <c r="F211" s="563">
        <v>20000</v>
      </c>
      <c r="G211" s="87">
        <f t="shared" si="3"/>
        <v>0</v>
      </c>
      <c r="H211" s="509"/>
      <c r="I211" s="509"/>
      <c r="J211" s="89"/>
      <c r="K211" s="522"/>
      <c r="L211" s="204"/>
      <c r="M211" s="661"/>
      <c r="N211" s="661"/>
    </row>
    <row r="212" spans="1:14" ht="15.75" x14ac:dyDescent="0.25">
      <c r="A212" s="87">
        <v>208</v>
      </c>
      <c r="B212" s="87" t="s">
        <v>1127</v>
      </c>
      <c r="C212" s="555">
        <v>1543</v>
      </c>
      <c r="D212" s="563">
        <v>15000</v>
      </c>
      <c r="E212" s="573">
        <v>167</v>
      </c>
      <c r="F212" s="563">
        <v>15000</v>
      </c>
      <c r="G212" s="87">
        <f t="shared" si="3"/>
        <v>0</v>
      </c>
      <c r="H212" s="509"/>
      <c r="I212" s="509"/>
      <c r="J212" s="89"/>
      <c r="K212" s="522"/>
      <c r="L212" s="204"/>
      <c r="M212" s="661"/>
      <c r="N212" s="661"/>
    </row>
    <row r="213" spans="1:14" ht="15.75" x14ac:dyDescent="0.25">
      <c r="A213" s="87">
        <v>209</v>
      </c>
      <c r="B213" s="87" t="s">
        <v>1127</v>
      </c>
      <c r="C213" s="555">
        <v>4204</v>
      </c>
      <c r="D213" s="563">
        <v>14500</v>
      </c>
      <c r="E213" s="573">
        <v>161</v>
      </c>
      <c r="F213" s="563">
        <v>14500</v>
      </c>
      <c r="G213" s="87">
        <f t="shared" si="3"/>
        <v>0</v>
      </c>
      <c r="H213" s="509"/>
      <c r="I213" s="509"/>
      <c r="J213" s="89"/>
      <c r="K213" s="522"/>
      <c r="L213" s="204"/>
      <c r="M213" s="661"/>
      <c r="N213" s="661"/>
    </row>
    <row r="214" spans="1:14" ht="15.75" x14ac:dyDescent="0.25">
      <c r="A214" s="87">
        <v>210</v>
      </c>
      <c r="B214" s="87" t="s">
        <v>1127</v>
      </c>
      <c r="C214" s="555">
        <v>5715</v>
      </c>
      <c r="D214" s="563">
        <v>15000</v>
      </c>
      <c r="E214" s="573">
        <v>167</v>
      </c>
      <c r="F214" s="563">
        <v>15000</v>
      </c>
      <c r="G214" s="87">
        <f t="shared" si="3"/>
        <v>0</v>
      </c>
      <c r="H214" s="509"/>
      <c r="I214" s="509"/>
      <c r="J214" s="89"/>
      <c r="K214" s="522"/>
      <c r="L214" s="204"/>
      <c r="M214" s="661"/>
      <c r="N214" s="661"/>
    </row>
    <row r="215" spans="1:14" ht="15.75" x14ac:dyDescent="0.25">
      <c r="A215" s="87">
        <v>211</v>
      </c>
      <c r="B215" s="87" t="s">
        <v>1127</v>
      </c>
      <c r="C215" s="555">
        <v>6888</v>
      </c>
      <c r="D215" s="563">
        <v>30000</v>
      </c>
      <c r="E215" s="573">
        <v>334</v>
      </c>
      <c r="F215" s="563">
        <v>30000</v>
      </c>
      <c r="G215" s="87">
        <f t="shared" si="3"/>
        <v>0</v>
      </c>
      <c r="H215" s="509"/>
      <c r="I215" s="509"/>
      <c r="J215" s="89"/>
      <c r="K215" s="522"/>
      <c r="L215" s="204"/>
      <c r="M215" s="661"/>
      <c r="N215" s="661"/>
    </row>
    <row r="216" spans="1:14" ht="15.75" x14ac:dyDescent="0.25">
      <c r="A216" s="87">
        <v>212</v>
      </c>
      <c r="B216" s="87" t="s">
        <v>1127</v>
      </c>
      <c r="C216" s="555">
        <v>9642</v>
      </c>
      <c r="D216" s="563">
        <v>13000</v>
      </c>
      <c r="E216" s="573">
        <v>134</v>
      </c>
      <c r="F216" s="563">
        <v>13000</v>
      </c>
      <c r="G216" s="87">
        <f t="shared" si="3"/>
        <v>0</v>
      </c>
      <c r="H216" s="509"/>
      <c r="I216" s="509"/>
      <c r="J216" s="89"/>
      <c r="K216" s="522"/>
      <c r="L216" s="204"/>
      <c r="M216" s="661"/>
      <c r="N216" s="661"/>
    </row>
    <row r="217" spans="1:14" ht="15.75" x14ac:dyDescent="0.25">
      <c r="A217" s="87">
        <v>213</v>
      </c>
      <c r="B217" s="87" t="s">
        <v>1127</v>
      </c>
      <c r="C217" s="555">
        <v>4359</v>
      </c>
      <c r="D217" s="563">
        <v>27000</v>
      </c>
      <c r="E217" s="573">
        <v>300</v>
      </c>
      <c r="F217" s="563">
        <v>27000</v>
      </c>
      <c r="G217" s="87">
        <f t="shared" si="3"/>
        <v>0</v>
      </c>
      <c r="H217" s="509"/>
      <c r="I217" s="509"/>
      <c r="J217" s="89"/>
      <c r="K217" s="522"/>
      <c r="L217" s="204"/>
      <c r="M217" s="661"/>
      <c r="N217" s="661"/>
    </row>
    <row r="218" spans="1:14" ht="15.75" x14ac:dyDescent="0.25">
      <c r="A218" s="87">
        <v>214</v>
      </c>
      <c r="B218" s="87" t="s">
        <v>1127</v>
      </c>
      <c r="C218" s="555">
        <v>2995</v>
      </c>
      <c r="D218" s="563">
        <v>35000</v>
      </c>
      <c r="E218" s="573">
        <v>365</v>
      </c>
      <c r="F218" s="563">
        <v>35000</v>
      </c>
      <c r="G218" s="87">
        <f t="shared" si="3"/>
        <v>0</v>
      </c>
      <c r="H218" s="509"/>
      <c r="I218" s="509"/>
      <c r="J218" s="89"/>
      <c r="K218" s="522"/>
      <c r="L218" s="204"/>
      <c r="M218" s="661"/>
      <c r="N218" s="661"/>
    </row>
    <row r="219" spans="1:14" ht="15.75" x14ac:dyDescent="0.25">
      <c r="A219" s="87">
        <v>215</v>
      </c>
      <c r="B219" s="87" t="s">
        <v>1127</v>
      </c>
      <c r="C219" s="555" t="s">
        <v>66</v>
      </c>
      <c r="D219" s="563">
        <v>150</v>
      </c>
      <c r="E219" s="573" t="s">
        <v>66</v>
      </c>
      <c r="F219" s="563">
        <v>150</v>
      </c>
      <c r="G219" s="87">
        <f t="shared" si="3"/>
        <v>0</v>
      </c>
      <c r="H219" s="509"/>
      <c r="I219" s="509"/>
      <c r="J219" s="89"/>
      <c r="K219" s="522"/>
      <c r="L219" s="204"/>
      <c r="M219" s="661"/>
      <c r="N219" s="661"/>
    </row>
    <row r="220" spans="1:14" ht="15.75" x14ac:dyDescent="0.25">
      <c r="A220" s="87">
        <v>216</v>
      </c>
      <c r="B220" s="87" t="s">
        <v>1126</v>
      </c>
      <c r="C220" s="555">
        <v>4565</v>
      </c>
      <c r="D220" s="563">
        <v>14000</v>
      </c>
      <c r="E220" s="573">
        <v>155</v>
      </c>
      <c r="F220" s="563">
        <v>14000</v>
      </c>
      <c r="G220" s="87">
        <f t="shared" si="3"/>
        <v>0</v>
      </c>
      <c r="H220" s="509"/>
      <c r="I220" s="509"/>
      <c r="J220" s="89"/>
      <c r="K220" s="522"/>
      <c r="L220" s="204"/>
      <c r="M220" s="661"/>
      <c r="N220" s="661"/>
    </row>
    <row r="221" spans="1:14" ht="15.75" x14ac:dyDescent="0.25">
      <c r="A221" s="87">
        <v>217</v>
      </c>
      <c r="B221" s="87" t="s">
        <v>1126</v>
      </c>
      <c r="C221" s="555">
        <v>2435</v>
      </c>
      <c r="D221" s="563">
        <v>14000</v>
      </c>
      <c r="E221" s="573">
        <v>155</v>
      </c>
      <c r="F221" s="563">
        <v>14000</v>
      </c>
      <c r="G221" s="87">
        <f t="shared" si="3"/>
        <v>0</v>
      </c>
      <c r="H221" s="509"/>
      <c r="I221" s="509"/>
      <c r="J221" s="89"/>
      <c r="K221" s="522"/>
      <c r="L221" s="204"/>
      <c r="M221" s="661"/>
      <c r="N221" s="661"/>
    </row>
    <row r="222" spans="1:14" ht="15.75" x14ac:dyDescent="0.25">
      <c r="A222" s="87">
        <v>218</v>
      </c>
      <c r="B222" s="87" t="s">
        <v>1126</v>
      </c>
      <c r="C222" s="555">
        <v>2497</v>
      </c>
      <c r="D222" s="563">
        <v>21000</v>
      </c>
      <c r="E222" s="573">
        <v>233</v>
      </c>
      <c r="F222" s="563">
        <v>21000</v>
      </c>
      <c r="G222" s="87">
        <f t="shared" si="3"/>
        <v>0</v>
      </c>
      <c r="H222" s="509"/>
      <c r="I222" s="509"/>
      <c r="J222" s="89"/>
      <c r="K222" s="522"/>
      <c r="L222" s="204"/>
      <c r="M222" s="661"/>
      <c r="N222" s="661"/>
    </row>
    <row r="223" spans="1:14" ht="15.75" x14ac:dyDescent="0.25">
      <c r="A223" s="87">
        <v>219</v>
      </c>
      <c r="B223" s="87" t="s">
        <v>1126</v>
      </c>
      <c r="C223" s="555">
        <v>2402</v>
      </c>
      <c r="D223" s="563">
        <v>21000</v>
      </c>
      <c r="E223" s="573">
        <v>233</v>
      </c>
      <c r="F223" s="563">
        <v>21000</v>
      </c>
      <c r="G223" s="87">
        <f t="shared" si="3"/>
        <v>0</v>
      </c>
      <c r="H223" s="509"/>
      <c r="I223" s="509"/>
      <c r="J223" s="89"/>
      <c r="K223" s="522"/>
      <c r="L223" s="204"/>
      <c r="M223" s="661"/>
      <c r="N223" s="661"/>
    </row>
    <row r="224" spans="1:14" ht="15.75" x14ac:dyDescent="0.25">
      <c r="A224" s="87">
        <v>220</v>
      </c>
      <c r="B224" s="87" t="s">
        <v>1126</v>
      </c>
      <c r="C224" s="555">
        <v>7467</v>
      </c>
      <c r="D224" s="563">
        <v>10000</v>
      </c>
      <c r="E224" s="573">
        <v>111</v>
      </c>
      <c r="F224" s="563">
        <v>10000</v>
      </c>
      <c r="G224" s="87">
        <f t="shared" si="3"/>
        <v>0</v>
      </c>
      <c r="H224" s="509"/>
      <c r="I224" s="509"/>
      <c r="J224" s="89"/>
      <c r="K224" s="522"/>
      <c r="L224" s="204"/>
      <c r="M224" s="661"/>
      <c r="N224" s="661"/>
    </row>
    <row r="225" spans="1:14" ht="15.75" x14ac:dyDescent="0.25">
      <c r="A225" s="87">
        <v>221</v>
      </c>
      <c r="B225" s="87" t="s">
        <v>1126</v>
      </c>
      <c r="C225" s="555">
        <v>9991</v>
      </c>
      <c r="D225" s="563">
        <v>10000</v>
      </c>
      <c r="E225" s="573">
        <v>111</v>
      </c>
      <c r="F225" s="563">
        <v>10000</v>
      </c>
      <c r="G225" s="87">
        <f t="shared" si="3"/>
        <v>0</v>
      </c>
      <c r="H225" s="509"/>
      <c r="I225" s="509"/>
      <c r="J225" s="89"/>
      <c r="K225" s="522"/>
      <c r="L225" s="204"/>
      <c r="M225" s="661"/>
      <c r="N225" s="661"/>
    </row>
    <row r="226" spans="1:14" ht="15.75" x14ac:dyDescent="0.25">
      <c r="A226" s="87">
        <v>222</v>
      </c>
      <c r="B226" s="87" t="s">
        <v>1126</v>
      </c>
      <c r="C226" s="555">
        <v>7377</v>
      </c>
      <c r="D226" s="563">
        <v>10000</v>
      </c>
      <c r="E226" s="573">
        <v>111</v>
      </c>
      <c r="F226" s="563">
        <v>10000</v>
      </c>
      <c r="G226" s="87">
        <f t="shared" si="3"/>
        <v>0</v>
      </c>
      <c r="H226" s="509"/>
      <c r="I226" s="509"/>
      <c r="J226" s="89"/>
      <c r="K226" s="522"/>
      <c r="L226" s="204"/>
      <c r="M226" s="661"/>
      <c r="N226" s="661"/>
    </row>
    <row r="227" spans="1:14" ht="15.75" x14ac:dyDescent="0.25">
      <c r="A227" s="87">
        <v>223</v>
      </c>
      <c r="B227" s="87" t="s">
        <v>1126</v>
      </c>
      <c r="C227" s="555">
        <v>1777</v>
      </c>
      <c r="D227" s="563">
        <v>10000</v>
      </c>
      <c r="E227" s="573">
        <v>111</v>
      </c>
      <c r="F227" s="563">
        <v>10000</v>
      </c>
      <c r="G227" s="87">
        <f t="shared" si="3"/>
        <v>0</v>
      </c>
      <c r="H227" s="509"/>
      <c r="I227" s="509"/>
      <c r="J227" s="89"/>
      <c r="K227" s="522"/>
      <c r="L227" s="204"/>
      <c r="M227" s="661"/>
      <c r="N227" s="661"/>
    </row>
    <row r="228" spans="1:14" ht="15.75" x14ac:dyDescent="0.25">
      <c r="A228" s="87">
        <v>224</v>
      </c>
      <c r="B228" s="87" t="s">
        <v>1126</v>
      </c>
      <c r="C228" s="555" t="s">
        <v>30</v>
      </c>
      <c r="D228" s="563">
        <v>10000</v>
      </c>
      <c r="E228" s="573">
        <v>111</v>
      </c>
      <c r="F228" s="563">
        <v>10000</v>
      </c>
      <c r="G228" s="87">
        <f t="shared" si="3"/>
        <v>0</v>
      </c>
      <c r="H228" s="509"/>
      <c r="I228" s="509"/>
      <c r="J228" s="89"/>
      <c r="K228" s="522"/>
      <c r="L228" s="204"/>
      <c r="M228" s="661"/>
      <c r="N228" s="661"/>
    </row>
    <row r="229" spans="1:14" ht="15.75" x14ac:dyDescent="0.25">
      <c r="A229" s="87">
        <v>225</v>
      </c>
      <c r="B229" s="87" t="s">
        <v>1126</v>
      </c>
      <c r="C229" s="555">
        <v>2777</v>
      </c>
      <c r="D229" s="563">
        <v>10000</v>
      </c>
      <c r="E229" s="573">
        <v>111</v>
      </c>
      <c r="F229" s="563">
        <v>10000</v>
      </c>
      <c r="G229" s="87">
        <f t="shared" si="3"/>
        <v>0</v>
      </c>
      <c r="H229" s="509"/>
      <c r="I229" s="509"/>
      <c r="J229" s="89"/>
      <c r="K229" s="522"/>
      <c r="L229" s="204"/>
      <c r="M229" s="661"/>
      <c r="N229" s="661"/>
    </row>
    <row r="230" spans="1:14" ht="15.75" x14ac:dyDescent="0.25">
      <c r="A230" s="87">
        <v>226</v>
      </c>
      <c r="B230" s="87" t="s">
        <v>1126</v>
      </c>
      <c r="C230" s="555">
        <v>4137</v>
      </c>
      <c r="D230" s="563">
        <v>22000</v>
      </c>
      <c r="E230" s="573">
        <v>245</v>
      </c>
      <c r="F230" s="563">
        <v>22000</v>
      </c>
      <c r="G230" s="87">
        <f t="shared" si="3"/>
        <v>0</v>
      </c>
      <c r="H230" s="509"/>
      <c r="I230" s="509"/>
      <c r="J230" s="89"/>
      <c r="K230" s="522"/>
      <c r="L230" s="204"/>
      <c r="M230" s="661"/>
      <c r="N230" s="661"/>
    </row>
    <row r="231" spans="1:14" ht="15.75" x14ac:dyDescent="0.25">
      <c r="A231" s="87">
        <v>227</v>
      </c>
      <c r="B231" s="87" t="s">
        <v>1126</v>
      </c>
      <c r="C231" s="555">
        <v>2888</v>
      </c>
      <c r="D231" s="563">
        <v>17000</v>
      </c>
      <c r="E231" s="573">
        <v>189</v>
      </c>
      <c r="F231" s="563">
        <v>17000</v>
      </c>
      <c r="G231" s="87">
        <f t="shared" si="3"/>
        <v>0</v>
      </c>
      <c r="H231" s="509"/>
      <c r="I231" s="509"/>
      <c r="J231" s="89"/>
      <c r="K231" s="522"/>
      <c r="L231" s="204"/>
      <c r="M231" s="661"/>
      <c r="N231" s="661"/>
    </row>
    <row r="232" spans="1:14" ht="15.75" x14ac:dyDescent="0.25">
      <c r="A232" s="87">
        <v>228</v>
      </c>
      <c r="B232" s="87" t="s">
        <v>1126</v>
      </c>
      <c r="C232" s="555">
        <v>8484</v>
      </c>
      <c r="D232" s="563">
        <v>27000</v>
      </c>
      <c r="E232" s="573">
        <v>300</v>
      </c>
      <c r="F232" s="563">
        <v>27000</v>
      </c>
      <c r="G232" s="87">
        <f t="shared" si="3"/>
        <v>0</v>
      </c>
      <c r="H232" s="509"/>
      <c r="I232" s="509"/>
      <c r="J232" s="89"/>
      <c r="K232" s="522"/>
      <c r="L232" s="204"/>
      <c r="M232" s="661"/>
      <c r="N232" s="661"/>
    </row>
    <row r="233" spans="1:14" ht="15.75" x14ac:dyDescent="0.25">
      <c r="A233" s="87">
        <v>229</v>
      </c>
      <c r="B233" s="87" t="s">
        <v>1126</v>
      </c>
      <c r="C233" s="555">
        <v>2412</v>
      </c>
      <c r="D233" s="563">
        <v>15000</v>
      </c>
      <c r="E233" s="573">
        <v>167</v>
      </c>
      <c r="F233" s="563">
        <v>15000</v>
      </c>
      <c r="G233" s="87">
        <f t="shared" si="3"/>
        <v>0</v>
      </c>
      <c r="H233" s="509"/>
      <c r="I233" s="509"/>
      <c r="J233" s="89"/>
      <c r="K233" s="522"/>
      <c r="L233" s="204"/>
      <c r="M233" s="661"/>
      <c r="N233" s="661"/>
    </row>
    <row r="234" spans="1:14" ht="15.75" x14ac:dyDescent="0.25">
      <c r="A234" s="87">
        <v>230</v>
      </c>
      <c r="B234" s="87" t="s">
        <v>1126</v>
      </c>
      <c r="C234" s="555">
        <v>9876</v>
      </c>
      <c r="D234" s="563">
        <v>18000</v>
      </c>
      <c r="E234" s="573">
        <v>192</v>
      </c>
      <c r="F234" s="563">
        <v>18000</v>
      </c>
      <c r="G234" s="87">
        <f t="shared" si="3"/>
        <v>0</v>
      </c>
      <c r="H234" s="509"/>
      <c r="I234" s="509"/>
      <c r="J234" s="89"/>
      <c r="K234" s="522"/>
      <c r="L234" s="204"/>
      <c r="M234" s="661"/>
      <c r="N234" s="661"/>
    </row>
    <row r="235" spans="1:14" ht="15.75" x14ac:dyDescent="0.25">
      <c r="A235" s="87">
        <v>231</v>
      </c>
      <c r="B235" s="87" t="s">
        <v>1126</v>
      </c>
      <c r="C235" s="555">
        <v>9777</v>
      </c>
      <c r="D235" s="563">
        <v>18000</v>
      </c>
      <c r="E235" s="573">
        <v>192</v>
      </c>
      <c r="F235" s="563">
        <v>18000</v>
      </c>
      <c r="G235" s="87">
        <f t="shared" si="3"/>
        <v>0</v>
      </c>
      <c r="H235" s="509"/>
      <c r="I235" s="509"/>
      <c r="J235" s="89"/>
      <c r="K235" s="522"/>
      <c r="L235" s="204"/>
      <c r="M235" s="661"/>
      <c r="N235" s="661"/>
    </row>
    <row r="236" spans="1:14" ht="15.75" x14ac:dyDescent="0.25">
      <c r="A236" s="87">
        <v>232</v>
      </c>
      <c r="B236" s="87" t="s">
        <v>1126</v>
      </c>
      <c r="C236" s="555">
        <v>9880</v>
      </c>
      <c r="D236" s="563">
        <v>26000</v>
      </c>
      <c r="E236" s="573">
        <v>289</v>
      </c>
      <c r="F236" s="563">
        <v>26000</v>
      </c>
      <c r="G236" s="87">
        <f t="shared" si="3"/>
        <v>0</v>
      </c>
      <c r="H236" s="509"/>
      <c r="I236" s="509"/>
      <c r="J236" s="89"/>
      <c r="K236" s="522"/>
      <c r="L236" s="204"/>
      <c r="M236" s="661"/>
      <c r="N236" s="661"/>
    </row>
    <row r="237" spans="1:14" ht="15.75" x14ac:dyDescent="0.25">
      <c r="A237" s="87">
        <v>233</v>
      </c>
      <c r="B237" s="87" t="s">
        <v>1126</v>
      </c>
      <c r="C237" s="555">
        <v>4820</v>
      </c>
      <c r="D237" s="563">
        <v>16000</v>
      </c>
      <c r="E237" s="573">
        <v>167</v>
      </c>
      <c r="F237" s="563">
        <v>16000</v>
      </c>
      <c r="G237" s="87">
        <f t="shared" si="3"/>
        <v>0</v>
      </c>
      <c r="H237" s="509"/>
      <c r="I237" s="509"/>
      <c r="J237" s="89"/>
      <c r="K237" s="522"/>
      <c r="L237" s="204"/>
      <c r="M237" s="661"/>
      <c r="N237" s="661"/>
    </row>
    <row r="238" spans="1:14" ht="15.75" x14ac:dyDescent="0.25">
      <c r="A238" s="87">
        <v>234</v>
      </c>
      <c r="B238" s="87" t="s">
        <v>1126</v>
      </c>
      <c r="C238" s="555">
        <v>8820</v>
      </c>
      <c r="D238" s="563">
        <v>16000</v>
      </c>
      <c r="E238" s="573">
        <v>161</v>
      </c>
      <c r="F238" s="563">
        <v>16000</v>
      </c>
      <c r="G238" s="87">
        <f t="shared" si="3"/>
        <v>0</v>
      </c>
      <c r="H238" s="509"/>
      <c r="I238" s="509"/>
      <c r="J238" s="89"/>
      <c r="K238" s="522"/>
      <c r="L238" s="204"/>
      <c r="M238" s="661"/>
      <c r="N238" s="661"/>
    </row>
    <row r="239" spans="1:14" ht="15.75" x14ac:dyDescent="0.25">
      <c r="A239" s="87">
        <v>235</v>
      </c>
      <c r="B239" s="87" t="s">
        <v>1126</v>
      </c>
      <c r="C239" s="555">
        <v>5820</v>
      </c>
      <c r="D239" s="563">
        <v>16000</v>
      </c>
      <c r="E239" s="573">
        <v>161</v>
      </c>
      <c r="F239" s="563">
        <v>16000</v>
      </c>
      <c r="G239" s="87">
        <f t="shared" si="3"/>
        <v>0</v>
      </c>
      <c r="H239" s="509"/>
      <c r="I239" s="509"/>
      <c r="J239" s="89"/>
      <c r="K239" s="522"/>
      <c r="L239" s="204"/>
      <c r="M239" s="661"/>
      <c r="N239" s="661"/>
    </row>
    <row r="240" spans="1:14" ht="15.75" x14ac:dyDescent="0.25">
      <c r="A240" s="87">
        <v>236</v>
      </c>
      <c r="B240" s="87" t="s">
        <v>1126</v>
      </c>
      <c r="C240" s="555">
        <v>9254</v>
      </c>
      <c r="D240" s="563">
        <v>16000</v>
      </c>
      <c r="E240" s="573">
        <v>178</v>
      </c>
      <c r="F240" s="563">
        <v>16000</v>
      </c>
      <c r="G240" s="87">
        <f t="shared" si="3"/>
        <v>0</v>
      </c>
      <c r="H240" s="509"/>
      <c r="I240" s="509"/>
      <c r="J240" s="89"/>
      <c r="K240" s="522"/>
      <c r="L240" s="204"/>
      <c r="M240" s="661"/>
      <c r="N240" s="661"/>
    </row>
    <row r="241" spans="1:14" ht="15.75" x14ac:dyDescent="0.25">
      <c r="A241" s="87">
        <v>237</v>
      </c>
      <c r="B241" s="87" t="s">
        <v>1126</v>
      </c>
      <c r="C241" s="555">
        <v>4059</v>
      </c>
      <c r="D241" s="563">
        <v>16000</v>
      </c>
      <c r="E241" s="573">
        <v>172</v>
      </c>
      <c r="F241" s="563">
        <v>16000</v>
      </c>
      <c r="G241" s="87">
        <f t="shared" si="3"/>
        <v>0</v>
      </c>
      <c r="H241" s="509"/>
      <c r="I241" s="509"/>
      <c r="J241" s="89"/>
      <c r="K241" s="522"/>
      <c r="L241" s="204"/>
      <c r="M241" s="661"/>
      <c r="N241" s="661"/>
    </row>
    <row r="242" spans="1:14" ht="15.75" x14ac:dyDescent="0.25">
      <c r="A242" s="87">
        <v>238</v>
      </c>
      <c r="B242" s="87" t="s">
        <v>1126</v>
      </c>
      <c r="C242" s="555">
        <v>9767</v>
      </c>
      <c r="D242" s="563">
        <v>16000</v>
      </c>
      <c r="E242" s="573">
        <v>178</v>
      </c>
      <c r="F242" s="563">
        <v>16000</v>
      </c>
      <c r="G242" s="87">
        <f t="shared" si="3"/>
        <v>0</v>
      </c>
      <c r="H242" s="509"/>
      <c r="I242" s="509"/>
      <c r="J242" s="89"/>
      <c r="K242" s="522"/>
      <c r="L242" s="204"/>
      <c r="M242" s="661"/>
      <c r="N242" s="661"/>
    </row>
    <row r="243" spans="1:14" ht="15.75" x14ac:dyDescent="0.25">
      <c r="A243" s="87">
        <v>239</v>
      </c>
      <c r="B243" s="87" t="s">
        <v>1126</v>
      </c>
      <c r="C243" s="607" t="s">
        <v>992</v>
      </c>
      <c r="D243" s="563">
        <v>16000</v>
      </c>
      <c r="E243" s="573">
        <v>178</v>
      </c>
      <c r="F243" s="563">
        <v>16000</v>
      </c>
      <c r="G243" s="87">
        <f t="shared" si="3"/>
        <v>0</v>
      </c>
      <c r="H243" s="509"/>
      <c r="I243" s="509"/>
      <c r="J243" s="89"/>
      <c r="K243" s="522"/>
      <c r="L243" s="204"/>
      <c r="M243" s="661"/>
      <c r="N243" s="661"/>
    </row>
    <row r="244" spans="1:14" ht="15.75" x14ac:dyDescent="0.25">
      <c r="A244" s="87">
        <v>240</v>
      </c>
      <c r="B244" s="87" t="s">
        <v>1126</v>
      </c>
      <c r="C244" s="555">
        <v>3176</v>
      </c>
      <c r="D244" s="563">
        <v>16000</v>
      </c>
      <c r="E244" s="573">
        <v>178</v>
      </c>
      <c r="F244" s="563">
        <v>16000</v>
      </c>
      <c r="G244" s="87">
        <f t="shared" si="3"/>
        <v>0</v>
      </c>
      <c r="H244" s="509"/>
      <c r="I244" s="509"/>
      <c r="J244" s="89"/>
      <c r="K244" s="522"/>
      <c r="L244" s="204"/>
      <c r="M244" s="661"/>
      <c r="N244" s="661"/>
    </row>
    <row r="245" spans="1:14" ht="15.75" x14ac:dyDescent="0.25">
      <c r="A245" s="87">
        <v>241</v>
      </c>
      <c r="B245" s="87" t="s">
        <v>1126</v>
      </c>
      <c r="C245" s="555">
        <v>4513</v>
      </c>
      <c r="D245" s="563">
        <v>16000</v>
      </c>
      <c r="E245" s="573">
        <v>167</v>
      </c>
      <c r="F245" s="563">
        <v>16000</v>
      </c>
      <c r="G245" s="87">
        <f t="shared" si="3"/>
        <v>0</v>
      </c>
      <c r="H245" s="509"/>
      <c r="I245" s="509"/>
      <c r="J245" s="89"/>
      <c r="K245" s="522"/>
      <c r="L245" s="204"/>
      <c r="M245" s="661"/>
      <c r="N245" s="661"/>
    </row>
    <row r="246" spans="1:14" ht="15.75" x14ac:dyDescent="0.25">
      <c r="A246" s="87">
        <v>242</v>
      </c>
      <c r="B246" s="87" t="s">
        <v>1126</v>
      </c>
      <c r="C246" s="555">
        <v>8085</v>
      </c>
      <c r="D246" s="563">
        <v>16000</v>
      </c>
      <c r="E246" s="573">
        <v>164</v>
      </c>
      <c r="F246" s="563">
        <v>16000</v>
      </c>
      <c r="G246" s="87">
        <f t="shared" si="3"/>
        <v>0</v>
      </c>
      <c r="H246" s="509"/>
      <c r="I246" s="509"/>
      <c r="J246" s="89"/>
      <c r="K246" s="522"/>
      <c r="L246" s="204"/>
      <c r="M246" s="661"/>
      <c r="N246" s="661"/>
    </row>
    <row r="247" spans="1:14" ht="15.75" x14ac:dyDescent="0.25">
      <c r="A247" s="87">
        <v>243</v>
      </c>
      <c r="B247" s="87" t="s">
        <v>1126</v>
      </c>
      <c r="C247" s="555">
        <v>6573</v>
      </c>
      <c r="D247" s="563">
        <v>16000</v>
      </c>
      <c r="E247" s="573">
        <v>167</v>
      </c>
      <c r="F247" s="563">
        <v>16000</v>
      </c>
      <c r="G247" s="87">
        <f t="shared" si="3"/>
        <v>0</v>
      </c>
      <c r="H247" s="509"/>
      <c r="I247" s="509"/>
      <c r="J247" s="89"/>
      <c r="K247" s="522"/>
      <c r="L247" s="204"/>
      <c r="M247" s="661"/>
      <c r="N247" s="661"/>
    </row>
    <row r="248" spans="1:14" ht="15.75" x14ac:dyDescent="0.25">
      <c r="A248" s="87">
        <v>244</v>
      </c>
      <c r="B248" s="87" t="s">
        <v>1126</v>
      </c>
      <c r="C248" s="555">
        <v>5443</v>
      </c>
      <c r="D248" s="563">
        <v>15000</v>
      </c>
      <c r="E248" s="573">
        <v>167</v>
      </c>
      <c r="F248" s="563">
        <v>15000</v>
      </c>
      <c r="G248" s="87">
        <f t="shared" si="3"/>
        <v>0</v>
      </c>
      <c r="H248" s="509"/>
      <c r="I248" s="509"/>
      <c r="J248" s="89"/>
      <c r="K248" s="522"/>
      <c r="L248" s="204"/>
      <c r="M248" s="661"/>
      <c r="N248" s="661"/>
    </row>
    <row r="249" spans="1:14" ht="15.75" x14ac:dyDescent="0.25">
      <c r="A249" s="87">
        <v>245</v>
      </c>
      <c r="B249" s="87" t="s">
        <v>1126</v>
      </c>
      <c r="C249" s="555">
        <v>2232</v>
      </c>
      <c r="D249" s="563">
        <v>28000</v>
      </c>
      <c r="E249" s="573">
        <v>264</v>
      </c>
      <c r="F249" s="563">
        <v>28000</v>
      </c>
      <c r="G249" s="87">
        <f t="shared" si="3"/>
        <v>0</v>
      </c>
      <c r="H249" s="509"/>
      <c r="I249" s="509"/>
      <c r="J249" s="89"/>
      <c r="K249" s="522"/>
      <c r="L249" s="204"/>
      <c r="M249" s="661"/>
      <c r="N249" s="661"/>
    </row>
    <row r="250" spans="1:14" ht="15.75" x14ac:dyDescent="0.25">
      <c r="A250" s="87">
        <v>246</v>
      </c>
      <c r="B250" s="87" t="s">
        <v>1126</v>
      </c>
      <c r="C250" s="607" t="s">
        <v>1164</v>
      </c>
      <c r="D250" s="563">
        <v>15000</v>
      </c>
      <c r="E250" s="573">
        <v>167</v>
      </c>
      <c r="F250" s="563">
        <v>15000</v>
      </c>
      <c r="G250" s="87">
        <f t="shared" si="3"/>
        <v>0</v>
      </c>
      <c r="H250" s="509"/>
      <c r="I250" s="509"/>
      <c r="J250" s="89"/>
      <c r="K250" s="522"/>
      <c r="L250" s="204"/>
      <c r="M250" s="661"/>
      <c r="N250" s="661"/>
    </row>
    <row r="251" spans="1:14" ht="15.75" x14ac:dyDescent="0.25">
      <c r="A251" s="87">
        <v>247</v>
      </c>
      <c r="B251" s="87" t="s">
        <v>1126</v>
      </c>
      <c r="C251" s="607" t="s">
        <v>1099</v>
      </c>
      <c r="D251" s="563">
        <v>28000</v>
      </c>
      <c r="E251" s="573">
        <v>200</v>
      </c>
      <c r="F251" s="563">
        <v>28000</v>
      </c>
      <c r="G251" s="87">
        <f t="shared" si="3"/>
        <v>0</v>
      </c>
      <c r="H251" s="509"/>
      <c r="I251" s="509"/>
      <c r="J251" s="89"/>
      <c r="K251" s="522"/>
      <c r="L251" s="204"/>
      <c r="M251" s="661"/>
      <c r="N251" s="661"/>
    </row>
    <row r="252" spans="1:14" ht="15.75" x14ac:dyDescent="0.25">
      <c r="A252" s="87">
        <v>248</v>
      </c>
      <c r="B252" s="87" t="s">
        <v>1126</v>
      </c>
      <c r="C252" s="555">
        <v>9426</v>
      </c>
      <c r="D252" s="563">
        <v>13000</v>
      </c>
      <c r="E252" s="573">
        <v>144</v>
      </c>
      <c r="F252" s="563">
        <v>13000</v>
      </c>
      <c r="G252" s="87">
        <f t="shared" si="3"/>
        <v>0</v>
      </c>
      <c r="H252" s="509"/>
      <c r="I252" s="509"/>
      <c r="J252" s="89"/>
      <c r="K252" s="522"/>
      <c r="L252" s="204"/>
      <c r="M252" s="661"/>
      <c r="N252" s="661"/>
    </row>
    <row r="253" spans="1:14" ht="15.75" x14ac:dyDescent="0.25">
      <c r="A253" s="87">
        <v>249</v>
      </c>
      <c r="B253" s="87" t="s">
        <v>1126</v>
      </c>
      <c r="C253" s="555" t="s">
        <v>30</v>
      </c>
      <c r="D253" s="563">
        <v>7000</v>
      </c>
      <c r="E253" s="573">
        <v>77</v>
      </c>
      <c r="F253" s="563">
        <v>7000</v>
      </c>
      <c r="G253" s="87">
        <f t="shared" si="3"/>
        <v>0</v>
      </c>
      <c r="H253" s="509"/>
      <c r="I253" s="509"/>
      <c r="J253" s="89"/>
      <c r="K253" s="522"/>
      <c r="L253" s="204"/>
      <c r="M253" s="661"/>
      <c r="N253" s="661"/>
    </row>
    <row r="254" spans="1:14" ht="15.75" x14ac:dyDescent="0.25">
      <c r="A254" s="87">
        <v>250</v>
      </c>
      <c r="B254" s="87" t="s">
        <v>1126</v>
      </c>
      <c r="C254" s="555" t="s">
        <v>30</v>
      </c>
      <c r="D254" s="563">
        <v>3500</v>
      </c>
      <c r="E254" s="573">
        <v>38</v>
      </c>
      <c r="F254" s="563">
        <v>3500</v>
      </c>
      <c r="G254" s="87">
        <f t="shared" si="3"/>
        <v>0</v>
      </c>
      <c r="H254" s="509"/>
      <c r="I254" s="509"/>
      <c r="J254" s="89"/>
      <c r="K254" s="522"/>
      <c r="L254" s="204"/>
      <c r="M254" s="661"/>
      <c r="N254" s="661"/>
    </row>
    <row r="255" spans="1:14" ht="15.75" x14ac:dyDescent="0.25">
      <c r="A255" s="87">
        <v>251</v>
      </c>
      <c r="B255" s="87" t="s">
        <v>1126</v>
      </c>
      <c r="C255" s="555" t="s">
        <v>819</v>
      </c>
      <c r="D255" s="563">
        <v>3500</v>
      </c>
      <c r="E255" s="573">
        <v>38</v>
      </c>
      <c r="F255" s="563">
        <v>3500</v>
      </c>
      <c r="G255" s="87">
        <f t="shared" si="3"/>
        <v>0</v>
      </c>
      <c r="H255" s="509"/>
      <c r="I255" s="509"/>
      <c r="J255" s="89"/>
      <c r="K255" s="522"/>
      <c r="L255" s="204"/>
      <c r="M255" s="661"/>
      <c r="N255" s="661"/>
    </row>
    <row r="256" spans="1:14" ht="15.75" x14ac:dyDescent="0.25">
      <c r="A256" s="87">
        <v>252</v>
      </c>
      <c r="B256" s="87" t="s">
        <v>1126</v>
      </c>
      <c r="C256" s="607" t="s">
        <v>1094</v>
      </c>
      <c r="D256" s="563">
        <v>4000</v>
      </c>
      <c r="E256" s="573">
        <v>44</v>
      </c>
      <c r="F256" s="563">
        <v>4000</v>
      </c>
      <c r="G256" s="87">
        <f t="shared" si="3"/>
        <v>0</v>
      </c>
      <c r="H256" s="509"/>
      <c r="I256" s="509"/>
      <c r="J256" s="89"/>
      <c r="K256" s="522"/>
      <c r="L256" s="204"/>
      <c r="M256" s="661"/>
      <c r="N256" s="661"/>
    </row>
    <row r="257" spans="1:14" ht="15.75" x14ac:dyDescent="0.25">
      <c r="A257" s="87">
        <v>253</v>
      </c>
      <c r="B257" s="87" t="s">
        <v>1126</v>
      </c>
      <c r="C257" s="555" t="s">
        <v>30</v>
      </c>
      <c r="D257" s="563">
        <v>5000</v>
      </c>
      <c r="E257" s="573">
        <v>55</v>
      </c>
      <c r="F257" s="563">
        <v>5000</v>
      </c>
      <c r="G257" s="87">
        <f t="shared" si="3"/>
        <v>0</v>
      </c>
      <c r="H257" s="509"/>
      <c r="I257" s="509"/>
      <c r="J257" s="89"/>
      <c r="K257" s="522"/>
      <c r="L257" s="204"/>
      <c r="M257" s="661"/>
      <c r="N257" s="661"/>
    </row>
    <row r="258" spans="1:14" ht="15.75" x14ac:dyDescent="0.25">
      <c r="A258" s="87">
        <v>254</v>
      </c>
      <c r="B258" s="87" t="s">
        <v>1126</v>
      </c>
      <c r="C258" s="555" t="s">
        <v>30</v>
      </c>
      <c r="D258" s="563">
        <v>4500</v>
      </c>
      <c r="E258" s="573">
        <v>50</v>
      </c>
      <c r="F258" s="563">
        <v>4500</v>
      </c>
      <c r="G258" s="87">
        <f t="shared" si="3"/>
        <v>0</v>
      </c>
      <c r="H258" s="509"/>
      <c r="I258" s="509"/>
      <c r="J258" s="89"/>
      <c r="K258" s="522"/>
      <c r="L258" s="204"/>
      <c r="M258" s="661"/>
      <c r="N258" s="661"/>
    </row>
    <row r="259" spans="1:14" ht="15.75" x14ac:dyDescent="0.25">
      <c r="A259" s="87">
        <v>255</v>
      </c>
      <c r="B259" s="87" t="s">
        <v>1126</v>
      </c>
      <c r="C259" s="607" t="s">
        <v>1168</v>
      </c>
      <c r="D259" s="563">
        <v>23000</v>
      </c>
      <c r="E259" s="573">
        <v>256</v>
      </c>
      <c r="F259" s="563">
        <v>23000</v>
      </c>
      <c r="G259" s="87">
        <f t="shared" si="3"/>
        <v>0</v>
      </c>
      <c r="H259" s="509"/>
      <c r="I259" s="509"/>
      <c r="J259" s="89"/>
      <c r="K259" s="522"/>
      <c r="L259" s="204"/>
      <c r="M259" s="661"/>
      <c r="N259" s="661"/>
    </row>
    <row r="260" spans="1:14" ht="15.75" x14ac:dyDescent="0.25">
      <c r="A260" s="87">
        <v>256</v>
      </c>
      <c r="B260" s="87" t="s">
        <v>1126</v>
      </c>
      <c r="C260" s="555">
        <v>3662</v>
      </c>
      <c r="D260" s="563">
        <v>19000</v>
      </c>
      <c r="E260" s="573">
        <v>211</v>
      </c>
      <c r="F260" s="563">
        <v>19000</v>
      </c>
      <c r="G260" s="87">
        <f t="shared" si="3"/>
        <v>0</v>
      </c>
      <c r="H260" s="509"/>
      <c r="I260" s="509"/>
      <c r="J260" s="89"/>
      <c r="K260" s="522"/>
      <c r="L260" s="204"/>
      <c r="M260" s="661"/>
      <c r="N260" s="661"/>
    </row>
    <row r="261" spans="1:14" ht="15.75" x14ac:dyDescent="0.25">
      <c r="A261" s="87">
        <v>257</v>
      </c>
      <c r="B261" s="87" t="s">
        <v>1126</v>
      </c>
      <c r="C261" s="555">
        <v>9525</v>
      </c>
      <c r="D261" s="563">
        <v>29000</v>
      </c>
      <c r="E261" s="573">
        <v>301</v>
      </c>
      <c r="F261" s="563">
        <v>29000</v>
      </c>
      <c r="G261" s="87">
        <f t="shared" ref="G261:G324" si="4">D261-F261</f>
        <v>0</v>
      </c>
      <c r="H261" s="509"/>
      <c r="I261" s="509"/>
      <c r="J261" s="89"/>
      <c r="K261" s="522"/>
      <c r="L261" s="204"/>
      <c r="M261" s="661"/>
      <c r="N261" s="661"/>
    </row>
    <row r="262" spans="1:14" ht="15.75" x14ac:dyDescent="0.25">
      <c r="A262" s="87">
        <v>258</v>
      </c>
      <c r="B262" s="87" t="s">
        <v>1126</v>
      </c>
      <c r="C262" s="555">
        <v>9426</v>
      </c>
      <c r="D262" s="563">
        <v>15000</v>
      </c>
      <c r="E262" s="573">
        <v>167</v>
      </c>
      <c r="F262" s="563">
        <v>15000</v>
      </c>
      <c r="G262" s="87">
        <f t="shared" si="4"/>
        <v>0</v>
      </c>
      <c r="H262" s="509"/>
      <c r="I262" s="509"/>
      <c r="J262" s="89"/>
      <c r="K262" s="522"/>
      <c r="L262" s="204"/>
      <c r="M262" s="661"/>
      <c r="N262" s="661"/>
    </row>
    <row r="263" spans="1:14" ht="15.75" x14ac:dyDescent="0.25">
      <c r="A263" s="87">
        <v>259</v>
      </c>
      <c r="B263" s="87" t="s">
        <v>1126</v>
      </c>
      <c r="C263" s="555">
        <v>2973</v>
      </c>
      <c r="D263" s="563">
        <v>15000</v>
      </c>
      <c r="E263" s="573">
        <v>167</v>
      </c>
      <c r="F263" s="563">
        <v>15000</v>
      </c>
      <c r="G263" s="87">
        <f t="shared" si="4"/>
        <v>0</v>
      </c>
      <c r="H263" s="509"/>
      <c r="I263" s="509"/>
      <c r="J263" s="89"/>
      <c r="K263" s="522"/>
      <c r="L263" s="204"/>
      <c r="M263" s="661"/>
      <c r="N263" s="661"/>
    </row>
    <row r="264" spans="1:14" ht="15.75" x14ac:dyDescent="0.25">
      <c r="A264" s="87">
        <v>260</v>
      </c>
      <c r="B264" s="87" t="s">
        <v>1126</v>
      </c>
      <c r="C264" s="555">
        <v>2677</v>
      </c>
      <c r="D264" s="563">
        <v>15000</v>
      </c>
      <c r="E264" s="573">
        <v>167</v>
      </c>
      <c r="F264" s="563">
        <v>15000</v>
      </c>
      <c r="G264" s="87">
        <f t="shared" si="4"/>
        <v>0</v>
      </c>
      <c r="H264" s="509"/>
      <c r="I264" s="509"/>
      <c r="J264" s="89"/>
      <c r="K264" s="522"/>
      <c r="L264" s="204"/>
      <c r="M264" s="661"/>
      <c r="N264" s="661"/>
    </row>
    <row r="265" spans="1:14" ht="15.75" x14ac:dyDescent="0.25">
      <c r="A265" s="87">
        <v>261</v>
      </c>
      <c r="B265" s="87" t="s">
        <v>1126</v>
      </c>
      <c r="C265" s="555">
        <v>6476</v>
      </c>
      <c r="D265" s="563">
        <v>10000</v>
      </c>
      <c r="E265" s="573">
        <v>111</v>
      </c>
      <c r="F265" s="563">
        <v>10000</v>
      </c>
      <c r="G265" s="87">
        <f t="shared" si="4"/>
        <v>0</v>
      </c>
      <c r="H265" s="509"/>
      <c r="I265" s="509"/>
      <c r="J265" s="89"/>
      <c r="K265" s="522"/>
      <c r="L265" s="204"/>
      <c r="M265" s="661"/>
      <c r="N265" s="661"/>
    </row>
    <row r="266" spans="1:14" ht="15.75" x14ac:dyDescent="0.25">
      <c r="A266" s="87">
        <v>262</v>
      </c>
      <c r="B266" s="87" t="s">
        <v>1126</v>
      </c>
      <c r="C266" s="555">
        <v>6043</v>
      </c>
      <c r="D266" s="563">
        <v>30000</v>
      </c>
      <c r="E266" s="573">
        <v>334</v>
      </c>
      <c r="F266" s="563">
        <v>30000</v>
      </c>
      <c r="G266" s="87">
        <f t="shared" si="4"/>
        <v>0</v>
      </c>
      <c r="H266" s="509"/>
      <c r="I266" s="509"/>
      <c r="J266" s="89"/>
      <c r="K266" s="522"/>
      <c r="L266" s="204"/>
      <c r="M266" s="661"/>
      <c r="N266" s="661"/>
    </row>
    <row r="267" spans="1:14" ht="15.75" x14ac:dyDescent="0.25">
      <c r="A267" s="87">
        <v>263</v>
      </c>
      <c r="B267" s="87" t="s">
        <v>1126</v>
      </c>
      <c r="C267" s="555">
        <v>4066</v>
      </c>
      <c r="D267" s="563">
        <v>20000</v>
      </c>
      <c r="E267" s="573">
        <v>222</v>
      </c>
      <c r="F267" s="563">
        <v>20000</v>
      </c>
      <c r="G267" s="87">
        <f t="shared" si="4"/>
        <v>0</v>
      </c>
      <c r="H267" s="509"/>
      <c r="I267" s="509"/>
      <c r="J267" s="89"/>
      <c r="K267" s="522"/>
      <c r="L267" s="204"/>
      <c r="M267" s="661"/>
      <c r="N267" s="661"/>
    </row>
    <row r="268" spans="1:14" ht="15.75" x14ac:dyDescent="0.25">
      <c r="A268" s="87">
        <v>264</v>
      </c>
      <c r="B268" s="87" t="s">
        <v>1126</v>
      </c>
      <c r="C268" s="555">
        <v>2412</v>
      </c>
      <c r="D268" s="563">
        <v>23000</v>
      </c>
      <c r="E268" s="573">
        <v>256</v>
      </c>
      <c r="F268" s="563">
        <v>23000</v>
      </c>
      <c r="G268" s="87">
        <f t="shared" si="4"/>
        <v>0</v>
      </c>
      <c r="H268" s="509"/>
      <c r="I268" s="509"/>
      <c r="J268" s="89"/>
      <c r="K268" s="522"/>
      <c r="L268" s="204"/>
      <c r="M268" s="661"/>
      <c r="N268" s="661"/>
    </row>
    <row r="269" spans="1:14" ht="15.75" x14ac:dyDescent="0.25">
      <c r="A269" s="87">
        <v>265</v>
      </c>
      <c r="B269" s="87" t="s">
        <v>1126</v>
      </c>
      <c r="C269" s="555">
        <v>5783</v>
      </c>
      <c r="D269" s="563">
        <v>21000</v>
      </c>
      <c r="E269" s="573">
        <v>235</v>
      </c>
      <c r="F269" s="563">
        <v>21000</v>
      </c>
      <c r="G269" s="87">
        <f t="shared" si="4"/>
        <v>0</v>
      </c>
      <c r="H269" s="509"/>
      <c r="I269" s="509"/>
      <c r="J269" s="89"/>
      <c r="K269" s="522"/>
      <c r="L269" s="204"/>
      <c r="M269" s="661"/>
      <c r="N269" s="661"/>
    </row>
    <row r="270" spans="1:14" ht="15.75" x14ac:dyDescent="0.25">
      <c r="A270" s="87">
        <v>266</v>
      </c>
      <c r="B270" s="87" t="s">
        <v>1126</v>
      </c>
      <c r="C270" s="555">
        <v>4198</v>
      </c>
      <c r="D270" s="563">
        <v>10000</v>
      </c>
      <c r="E270" s="573">
        <v>111</v>
      </c>
      <c r="F270" s="563">
        <v>10000</v>
      </c>
      <c r="G270" s="87">
        <f t="shared" si="4"/>
        <v>0</v>
      </c>
      <c r="H270" s="509"/>
      <c r="I270" s="509"/>
      <c r="J270" s="89"/>
      <c r="K270" s="522"/>
      <c r="L270" s="204"/>
      <c r="M270" s="661"/>
      <c r="N270" s="661"/>
    </row>
    <row r="271" spans="1:14" ht="15.75" x14ac:dyDescent="0.25">
      <c r="A271" s="87">
        <v>267</v>
      </c>
      <c r="B271" s="87" t="s">
        <v>1126</v>
      </c>
      <c r="C271" s="555">
        <v>7399</v>
      </c>
      <c r="D271" s="563">
        <v>25000</v>
      </c>
      <c r="E271" s="573">
        <v>262</v>
      </c>
      <c r="F271" s="563">
        <v>25000</v>
      </c>
      <c r="G271" s="87">
        <f t="shared" si="4"/>
        <v>0</v>
      </c>
      <c r="H271" s="509"/>
      <c r="I271" s="509"/>
      <c r="J271" s="89"/>
      <c r="K271" s="522"/>
      <c r="L271" s="204"/>
      <c r="M271" s="661"/>
      <c r="N271" s="661"/>
    </row>
    <row r="272" spans="1:14" ht="15.75" x14ac:dyDescent="0.25">
      <c r="A272" s="87">
        <v>268</v>
      </c>
      <c r="B272" s="87" t="s">
        <v>1126</v>
      </c>
      <c r="C272" s="555">
        <v>5910</v>
      </c>
      <c r="D272" s="563">
        <v>20000</v>
      </c>
      <c r="E272" s="573">
        <v>222</v>
      </c>
      <c r="F272" s="563">
        <v>20000</v>
      </c>
      <c r="G272" s="87">
        <f t="shared" si="4"/>
        <v>0</v>
      </c>
      <c r="H272" s="509"/>
      <c r="I272" s="509"/>
      <c r="J272" s="89"/>
      <c r="K272" s="522"/>
      <c r="L272" s="204"/>
      <c r="M272" s="661"/>
      <c r="N272" s="661"/>
    </row>
    <row r="273" spans="1:14" ht="15.75" x14ac:dyDescent="0.25">
      <c r="A273" s="87">
        <v>269</v>
      </c>
      <c r="B273" s="87" t="s">
        <v>1128</v>
      </c>
      <c r="C273" s="607" t="s">
        <v>890</v>
      </c>
      <c r="D273" s="563">
        <v>14000</v>
      </c>
      <c r="E273" s="573">
        <v>155</v>
      </c>
      <c r="F273" s="563">
        <v>14000</v>
      </c>
      <c r="G273" s="87">
        <f t="shared" si="4"/>
        <v>0</v>
      </c>
      <c r="H273" s="509"/>
      <c r="I273" s="509"/>
      <c r="J273" s="89"/>
      <c r="K273" s="522"/>
      <c r="L273" s="204"/>
      <c r="M273" s="661"/>
      <c r="N273" s="661"/>
    </row>
    <row r="274" spans="1:14" ht="15.75" x14ac:dyDescent="0.25">
      <c r="A274" s="87">
        <v>270</v>
      </c>
      <c r="B274" s="87" t="s">
        <v>1128</v>
      </c>
      <c r="C274" s="555">
        <v>6133</v>
      </c>
      <c r="D274" s="563">
        <v>17000</v>
      </c>
      <c r="E274" s="573">
        <v>189</v>
      </c>
      <c r="F274" s="563">
        <v>17000</v>
      </c>
      <c r="G274" s="87">
        <f t="shared" si="4"/>
        <v>0</v>
      </c>
      <c r="H274" s="509"/>
      <c r="I274" s="509"/>
      <c r="J274" s="89"/>
      <c r="K274" s="522"/>
      <c r="L274" s="204"/>
      <c r="M274" s="661"/>
      <c r="N274" s="661"/>
    </row>
    <row r="275" spans="1:14" ht="15.75" x14ac:dyDescent="0.25">
      <c r="A275" s="87">
        <v>271</v>
      </c>
      <c r="B275" s="87" t="s">
        <v>1128</v>
      </c>
      <c r="C275" s="555">
        <v>6932</v>
      </c>
      <c r="D275" s="563">
        <v>17000</v>
      </c>
      <c r="E275" s="573">
        <v>189</v>
      </c>
      <c r="F275" s="563">
        <v>17000</v>
      </c>
      <c r="G275" s="87">
        <f t="shared" si="4"/>
        <v>0</v>
      </c>
      <c r="H275" s="509"/>
      <c r="I275" s="509"/>
      <c r="J275" s="89"/>
      <c r="K275" s="522"/>
      <c r="L275" s="204"/>
      <c r="M275" s="661"/>
      <c r="N275" s="661"/>
    </row>
    <row r="276" spans="1:14" ht="15.75" x14ac:dyDescent="0.25">
      <c r="A276" s="87">
        <v>272</v>
      </c>
      <c r="B276" s="87" t="s">
        <v>1128</v>
      </c>
      <c r="C276" s="555">
        <v>5978</v>
      </c>
      <c r="D276" s="563">
        <v>18000</v>
      </c>
      <c r="E276" s="573">
        <v>194</v>
      </c>
      <c r="F276" s="563">
        <v>18000</v>
      </c>
      <c r="G276" s="87">
        <f t="shared" si="4"/>
        <v>0</v>
      </c>
      <c r="H276" s="509"/>
      <c r="I276" s="509"/>
      <c r="J276" s="89"/>
      <c r="K276" s="522"/>
      <c r="L276" s="204"/>
      <c r="M276" s="661"/>
      <c r="N276" s="661"/>
    </row>
    <row r="277" spans="1:14" ht="15.75" x14ac:dyDescent="0.25">
      <c r="A277" s="87">
        <v>273</v>
      </c>
      <c r="B277" s="87" t="s">
        <v>1128</v>
      </c>
      <c r="C277" s="555">
        <v>9975</v>
      </c>
      <c r="D277" s="563">
        <v>15000</v>
      </c>
      <c r="E277" s="573">
        <v>167</v>
      </c>
      <c r="F277" s="563">
        <v>15000</v>
      </c>
      <c r="G277" s="87">
        <f t="shared" si="4"/>
        <v>0</v>
      </c>
      <c r="H277" s="509"/>
      <c r="I277" s="509"/>
      <c r="J277" s="89"/>
      <c r="K277" s="522"/>
      <c r="L277" s="204"/>
      <c r="M277" s="661"/>
      <c r="N277" s="661"/>
    </row>
    <row r="278" spans="1:14" ht="15.75" x14ac:dyDescent="0.25">
      <c r="A278" s="87">
        <v>274</v>
      </c>
      <c r="B278" s="87" t="s">
        <v>1128</v>
      </c>
      <c r="C278" s="555">
        <v>9857</v>
      </c>
      <c r="D278" s="563">
        <v>15000</v>
      </c>
      <c r="E278" s="573">
        <v>167</v>
      </c>
      <c r="F278" s="563">
        <v>15000</v>
      </c>
      <c r="G278" s="87">
        <f t="shared" si="4"/>
        <v>0</v>
      </c>
      <c r="H278" s="509"/>
      <c r="I278" s="509"/>
      <c r="J278" s="89"/>
      <c r="K278" s="522"/>
      <c r="L278" s="204"/>
      <c r="M278" s="661"/>
      <c r="N278" s="661"/>
    </row>
    <row r="279" spans="1:14" ht="15.75" x14ac:dyDescent="0.25">
      <c r="A279" s="87">
        <v>275</v>
      </c>
      <c r="B279" s="87" t="s">
        <v>1128</v>
      </c>
      <c r="C279" s="555">
        <v>5152</v>
      </c>
      <c r="D279" s="563">
        <v>15000</v>
      </c>
      <c r="E279" s="573">
        <v>167</v>
      </c>
      <c r="F279" s="563">
        <v>15000</v>
      </c>
      <c r="G279" s="87">
        <f t="shared" si="4"/>
        <v>0</v>
      </c>
      <c r="H279" s="509"/>
      <c r="I279" s="509"/>
      <c r="J279" s="89"/>
      <c r="K279" s="522"/>
      <c r="L279" s="204"/>
      <c r="M279" s="661"/>
      <c r="N279" s="661"/>
    </row>
    <row r="280" spans="1:14" ht="15.75" x14ac:dyDescent="0.25">
      <c r="A280" s="87">
        <v>276</v>
      </c>
      <c r="B280" s="87" t="s">
        <v>1128</v>
      </c>
      <c r="C280" s="555">
        <v>6871</v>
      </c>
      <c r="D280" s="563">
        <v>25000</v>
      </c>
      <c r="E280" s="573">
        <v>278</v>
      </c>
      <c r="F280" s="563">
        <v>25000</v>
      </c>
      <c r="G280" s="87">
        <f t="shared" si="4"/>
        <v>0</v>
      </c>
      <c r="H280" s="509"/>
      <c r="I280" s="509"/>
      <c r="J280" s="89"/>
      <c r="K280" s="522"/>
      <c r="L280" s="204"/>
      <c r="M280" s="661"/>
      <c r="N280" s="661"/>
    </row>
    <row r="281" spans="1:14" ht="15.75" x14ac:dyDescent="0.25">
      <c r="A281" s="87">
        <v>277</v>
      </c>
      <c r="B281" s="87" t="s">
        <v>1128</v>
      </c>
      <c r="C281" s="555">
        <v>4071</v>
      </c>
      <c r="D281" s="563">
        <v>25000</v>
      </c>
      <c r="E281" s="573">
        <v>278</v>
      </c>
      <c r="F281" s="563">
        <v>25000</v>
      </c>
      <c r="G281" s="87">
        <f t="shared" si="4"/>
        <v>0</v>
      </c>
      <c r="H281" s="509"/>
      <c r="I281" s="509"/>
      <c r="J281" s="89"/>
      <c r="K281" s="522"/>
      <c r="L281" s="204"/>
      <c r="M281" s="661"/>
      <c r="N281" s="661"/>
    </row>
    <row r="282" spans="1:14" ht="15.75" x14ac:dyDescent="0.25">
      <c r="A282" s="87">
        <v>278</v>
      </c>
      <c r="B282" s="87" t="s">
        <v>1128</v>
      </c>
      <c r="C282" s="555">
        <v>1491</v>
      </c>
      <c r="D282" s="563">
        <v>14000</v>
      </c>
      <c r="E282" s="573">
        <v>155</v>
      </c>
      <c r="F282" s="563">
        <v>14000</v>
      </c>
      <c r="G282" s="87">
        <f t="shared" si="4"/>
        <v>0</v>
      </c>
      <c r="H282" s="509"/>
      <c r="I282" s="509"/>
      <c r="J282" s="89"/>
      <c r="K282" s="522"/>
      <c r="L282" s="204"/>
      <c r="M282" s="661"/>
      <c r="N282" s="661"/>
    </row>
    <row r="283" spans="1:14" ht="15.75" x14ac:dyDescent="0.25">
      <c r="A283" s="87">
        <v>279</v>
      </c>
      <c r="B283" s="87" t="s">
        <v>1128</v>
      </c>
      <c r="C283" s="607" t="s">
        <v>1087</v>
      </c>
      <c r="D283" s="563">
        <v>14000</v>
      </c>
      <c r="E283" s="573">
        <v>158</v>
      </c>
      <c r="F283" s="563">
        <v>14000</v>
      </c>
      <c r="G283" s="87">
        <f t="shared" si="4"/>
        <v>0</v>
      </c>
      <c r="H283" s="509"/>
      <c r="I283" s="509"/>
      <c r="J283" s="89"/>
      <c r="K283" s="522"/>
      <c r="L283" s="204"/>
      <c r="M283" s="661"/>
      <c r="N283" s="661"/>
    </row>
    <row r="284" spans="1:14" ht="15.75" x14ac:dyDescent="0.25">
      <c r="A284" s="87">
        <v>280</v>
      </c>
      <c r="B284" s="87" t="s">
        <v>1128</v>
      </c>
      <c r="C284" s="555">
        <v>3100</v>
      </c>
      <c r="D284" s="563">
        <v>20000</v>
      </c>
      <c r="E284" s="573">
        <v>222</v>
      </c>
      <c r="F284" s="563">
        <v>20000</v>
      </c>
      <c r="G284" s="87">
        <f t="shared" si="4"/>
        <v>0</v>
      </c>
      <c r="H284" s="509"/>
      <c r="I284" s="509"/>
      <c r="J284" s="89"/>
      <c r="K284" s="522"/>
      <c r="L284" s="204"/>
      <c r="M284" s="661"/>
      <c r="N284" s="661"/>
    </row>
    <row r="285" spans="1:14" ht="15.75" x14ac:dyDescent="0.25">
      <c r="A285" s="87">
        <v>281</v>
      </c>
      <c r="B285" s="87" t="s">
        <v>1128</v>
      </c>
      <c r="C285" s="555">
        <v>7350</v>
      </c>
      <c r="D285" s="563">
        <v>24000</v>
      </c>
      <c r="E285" s="573">
        <v>267</v>
      </c>
      <c r="F285" s="563">
        <v>24000</v>
      </c>
      <c r="G285" s="87">
        <f t="shared" si="4"/>
        <v>0</v>
      </c>
      <c r="H285" s="509"/>
      <c r="I285" s="509"/>
      <c r="J285" s="89"/>
      <c r="K285" s="522"/>
      <c r="L285" s="204"/>
      <c r="M285" s="661"/>
      <c r="N285" s="661"/>
    </row>
    <row r="286" spans="1:14" ht="15.75" x14ac:dyDescent="0.25">
      <c r="A286" s="87">
        <v>282</v>
      </c>
      <c r="B286" s="87" t="s">
        <v>1128</v>
      </c>
      <c r="C286" s="555">
        <v>8656</v>
      </c>
      <c r="D286" s="563">
        <v>27000</v>
      </c>
      <c r="E286" s="573">
        <v>3000</v>
      </c>
      <c r="F286" s="563">
        <v>27000</v>
      </c>
      <c r="G286" s="87">
        <f t="shared" si="4"/>
        <v>0</v>
      </c>
      <c r="H286" s="509"/>
      <c r="I286" s="509"/>
      <c r="J286" s="89"/>
      <c r="K286" s="522"/>
      <c r="L286" s="204"/>
      <c r="M286" s="661"/>
      <c r="N286" s="661"/>
    </row>
    <row r="287" spans="1:14" ht="15.75" x14ac:dyDescent="0.25">
      <c r="A287" s="87">
        <v>283</v>
      </c>
      <c r="B287" s="87" t="s">
        <v>1128</v>
      </c>
      <c r="C287" s="555">
        <v>7857</v>
      </c>
      <c r="D287" s="563">
        <v>26000</v>
      </c>
      <c r="E287" s="573">
        <v>216</v>
      </c>
      <c r="F287" s="563">
        <v>26000</v>
      </c>
      <c r="G287" s="87">
        <f t="shared" si="4"/>
        <v>0</v>
      </c>
      <c r="H287" s="509"/>
      <c r="I287" s="509"/>
      <c r="J287" s="89"/>
      <c r="K287" s="522"/>
      <c r="L287" s="204"/>
      <c r="M287" s="661"/>
      <c r="N287" s="661"/>
    </row>
    <row r="288" spans="1:14" ht="15.75" x14ac:dyDescent="0.25">
      <c r="A288" s="87">
        <v>284</v>
      </c>
      <c r="B288" s="87" t="s">
        <v>1128</v>
      </c>
      <c r="C288" s="555">
        <v>8726</v>
      </c>
      <c r="D288" s="563">
        <v>16000</v>
      </c>
      <c r="E288" s="573">
        <v>178</v>
      </c>
      <c r="F288" s="563">
        <v>16000</v>
      </c>
      <c r="G288" s="87">
        <f t="shared" si="4"/>
        <v>0</v>
      </c>
      <c r="H288" s="509"/>
      <c r="I288" s="509"/>
      <c r="J288" s="89"/>
      <c r="K288" s="522"/>
      <c r="L288" s="204"/>
      <c r="M288" s="661"/>
      <c r="N288" s="661"/>
    </row>
    <row r="289" spans="1:14" ht="15.75" x14ac:dyDescent="0.25">
      <c r="A289" s="87">
        <v>285</v>
      </c>
      <c r="B289" s="87" t="s">
        <v>1128</v>
      </c>
      <c r="C289" s="555">
        <v>6012</v>
      </c>
      <c r="D289" s="563">
        <v>16000</v>
      </c>
      <c r="E289" s="573">
        <v>178</v>
      </c>
      <c r="F289" s="563">
        <v>16000</v>
      </c>
      <c r="G289" s="87">
        <f t="shared" si="4"/>
        <v>0</v>
      </c>
      <c r="H289" s="509"/>
      <c r="I289" s="509"/>
      <c r="J289" s="89"/>
      <c r="K289" s="522"/>
      <c r="L289" s="204"/>
      <c r="M289" s="661"/>
      <c r="N289" s="661"/>
    </row>
    <row r="290" spans="1:14" ht="15.75" x14ac:dyDescent="0.25">
      <c r="A290" s="87">
        <v>286</v>
      </c>
      <c r="B290" s="87" t="s">
        <v>1128</v>
      </c>
      <c r="C290" s="555">
        <v>1827</v>
      </c>
      <c r="D290" s="563">
        <v>14000</v>
      </c>
      <c r="E290" s="573">
        <v>155</v>
      </c>
      <c r="F290" s="563">
        <v>14000</v>
      </c>
      <c r="G290" s="87">
        <f t="shared" si="4"/>
        <v>0</v>
      </c>
      <c r="H290" s="509"/>
      <c r="I290" s="509"/>
      <c r="J290" s="89"/>
      <c r="K290" s="522"/>
      <c r="L290" s="204"/>
      <c r="M290" s="661"/>
      <c r="N290" s="661"/>
    </row>
    <row r="291" spans="1:14" ht="15.75" x14ac:dyDescent="0.25">
      <c r="A291" s="87">
        <v>287</v>
      </c>
      <c r="B291" s="87" t="s">
        <v>1128</v>
      </c>
      <c r="C291" s="555">
        <v>4204</v>
      </c>
      <c r="D291" s="563">
        <v>14500</v>
      </c>
      <c r="E291" s="573">
        <v>161</v>
      </c>
      <c r="F291" s="563">
        <v>14500</v>
      </c>
      <c r="G291" s="87">
        <f t="shared" si="4"/>
        <v>0</v>
      </c>
      <c r="H291" s="509"/>
      <c r="I291" s="509"/>
      <c r="J291" s="89"/>
      <c r="K291" s="522"/>
      <c r="L291" s="204"/>
      <c r="M291" s="661"/>
      <c r="N291" s="661"/>
    </row>
    <row r="292" spans="1:14" ht="15.75" x14ac:dyDescent="0.25">
      <c r="A292" s="87">
        <v>288</v>
      </c>
      <c r="B292" s="87" t="s">
        <v>1128</v>
      </c>
      <c r="C292" s="555">
        <v>8936</v>
      </c>
      <c r="D292" s="563">
        <v>13000</v>
      </c>
      <c r="E292" s="573">
        <v>144</v>
      </c>
      <c r="F292" s="563">
        <v>13000</v>
      </c>
      <c r="G292" s="87">
        <f t="shared" si="4"/>
        <v>0</v>
      </c>
      <c r="H292" s="509"/>
      <c r="I292" s="509"/>
      <c r="J292" s="89"/>
      <c r="K292" s="522"/>
      <c r="L292" s="204"/>
      <c r="M292" s="661"/>
      <c r="N292" s="661"/>
    </row>
    <row r="293" spans="1:14" ht="15.75" x14ac:dyDescent="0.25">
      <c r="A293" s="87">
        <v>289</v>
      </c>
      <c r="B293" s="87" t="s">
        <v>1128</v>
      </c>
      <c r="C293" s="555">
        <v>4122</v>
      </c>
      <c r="D293" s="563">
        <v>10000</v>
      </c>
      <c r="E293" s="573">
        <v>111</v>
      </c>
      <c r="F293" s="563">
        <v>10000</v>
      </c>
      <c r="G293" s="87">
        <f t="shared" si="4"/>
        <v>0</v>
      </c>
      <c r="H293" s="509"/>
      <c r="I293" s="509"/>
      <c r="J293" s="89"/>
      <c r="K293" s="522"/>
      <c r="L293" s="204"/>
      <c r="M293" s="661"/>
      <c r="N293" s="661"/>
    </row>
    <row r="294" spans="1:14" ht="15.75" x14ac:dyDescent="0.25">
      <c r="A294" s="87">
        <v>290</v>
      </c>
      <c r="B294" s="87" t="s">
        <v>1128</v>
      </c>
      <c r="C294" s="555">
        <v>1416</v>
      </c>
      <c r="D294" s="563">
        <v>10000</v>
      </c>
      <c r="E294" s="573">
        <v>111</v>
      </c>
      <c r="F294" s="563">
        <v>10000</v>
      </c>
      <c r="G294" s="87">
        <f t="shared" si="4"/>
        <v>0</v>
      </c>
      <c r="H294" s="509"/>
      <c r="I294" s="509"/>
      <c r="J294" s="89"/>
      <c r="K294" s="522"/>
      <c r="L294" s="204"/>
      <c r="M294" s="661"/>
      <c r="N294" s="661"/>
    </row>
    <row r="295" spans="1:14" ht="15.75" x14ac:dyDescent="0.25">
      <c r="A295" s="87">
        <v>291</v>
      </c>
      <c r="B295" s="87" t="s">
        <v>1128</v>
      </c>
      <c r="C295" s="555">
        <v>6671</v>
      </c>
      <c r="D295" s="563">
        <v>25000</v>
      </c>
      <c r="E295" s="573">
        <v>278</v>
      </c>
      <c r="F295" s="563">
        <v>25000</v>
      </c>
      <c r="G295" s="87">
        <f t="shared" si="4"/>
        <v>0</v>
      </c>
      <c r="H295" s="509"/>
      <c r="I295" s="509"/>
      <c r="J295" s="89"/>
      <c r="K295" s="522"/>
      <c r="L295" s="204"/>
      <c r="M295" s="661"/>
      <c r="N295" s="661"/>
    </row>
    <row r="296" spans="1:14" ht="15.75" x14ac:dyDescent="0.25">
      <c r="A296" s="87">
        <v>292</v>
      </c>
      <c r="B296" s="87" t="s">
        <v>1128</v>
      </c>
      <c r="C296" s="555">
        <v>1637</v>
      </c>
      <c r="D296" s="563">
        <v>19500</v>
      </c>
      <c r="E296" s="573">
        <v>217</v>
      </c>
      <c r="F296" s="563">
        <v>19500</v>
      </c>
      <c r="G296" s="87">
        <f t="shared" si="4"/>
        <v>0</v>
      </c>
      <c r="H296" s="509"/>
      <c r="I296" s="509"/>
      <c r="J296" s="89"/>
      <c r="K296" s="522"/>
      <c r="L296" s="204"/>
      <c r="M296" s="661"/>
      <c r="N296" s="661"/>
    </row>
    <row r="297" spans="1:14" ht="15.75" x14ac:dyDescent="0.25">
      <c r="A297" s="87">
        <v>293</v>
      </c>
      <c r="B297" s="87" t="s">
        <v>1128</v>
      </c>
      <c r="C297" s="555">
        <v>2779</v>
      </c>
      <c r="D297" s="563">
        <v>30000</v>
      </c>
      <c r="E297" s="573">
        <v>330</v>
      </c>
      <c r="F297" s="563">
        <v>30000</v>
      </c>
      <c r="G297" s="87">
        <f t="shared" si="4"/>
        <v>0</v>
      </c>
      <c r="H297" s="509"/>
      <c r="I297" s="509"/>
      <c r="J297" s="89"/>
      <c r="K297" s="522"/>
      <c r="L297" s="204"/>
      <c r="M297" s="661"/>
      <c r="N297" s="661"/>
    </row>
    <row r="298" spans="1:14" ht="15.75" x14ac:dyDescent="0.25">
      <c r="A298" s="87">
        <v>294</v>
      </c>
      <c r="B298" s="87" t="s">
        <v>1128</v>
      </c>
      <c r="C298" s="555">
        <v>1555</v>
      </c>
      <c r="D298" s="563">
        <v>43000</v>
      </c>
      <c r="E298" s="573">
        <v>479</v>
      </c>
      <c r="F298" s="563">
        <v>43000</v>
      </c>
      <c r="G298" s="87">
        <f t="shared" si="4"/>
        <v>0</v>
      </c>
      <c r="H298" s="509"/>
      <c r="I298" s="509"/>
      <c r="J298" s="89"/>
      <c r="K298" s="522"/>
      <c r="L298" s="204"/>
      <c r="M298" s="661"/>
      <c r="N298" s="661"/>
    </row>
    <row r="299" spans="1:14" ht="15.75" x14ac:dyDescent="0.25">
      <c r="A299" s="87">
        <v>295</v>
      </c>
      <c r="B299" s="87" t="s">
        <v>1128</v>
      </c>
      <c r="C299" s="555">
        <v>1085</v>
      </c>
      <c r="D299" s="563">
        <v>40000</v>
      </c>
      <c r="E299" s="573">
        <v>445</v>
      </c>
      <c r="F299" s="563">
        <v>40000</v>
      </c>
      <c r="G299" s="87">
        <f t="shared" si="4"/>
        <v>0</v>
      </c>
      <c r="H299" s="509"/>
      <c r="I299" s="509"/>
      <c r="J299" s="89"/>
      <c r="K299" s="522"/>
      <c r="L299" s="204"/>
      <c r="M299" s="661"/>
      <c r="N299" s="661"/>
    </row>
    <row r="300" spans="1:14" ht="15.75" x14ac:dyDescent="0.25">
      <c r="A300" s="87">
        <v>296</v>
      </c>
      <c r="B300" s="87" t="s">
        <v>1128</v>
      </c>
      <c r="C300" s="555">
        <v>6487</v>
      </c>
      <c r="D300" s="563">
        <v>15000</v>
      </c>
      <c r="E300" s="573">
        <v>155</v>
      </c>
      <c r="F300" s="563">
        <v>15000</v>
      </c>
      <c r="G300" s="87">
        <f t="shared" si="4"/>
        <v>0</v>
      </c>
      <c r="H300" s="509"/>
      <c r="I300" s="509"/>
      <c r="J300" s="89"/>
      <c r="K300" s="522"/>
      <c r="L300" s="204"/>
      <c r="M300" s="661"/>
      <c r="N300" s="661"/>
    </row>
    <row r="301" spans="1:14" ht="15.75" x14ac:dyDescent="0.25">
      <c r="A301" s="87">
        <v>297</v>
      </c>
      <c r="B301" s="87" t="s">
        <v>1128</v>
      </c>
      <c r="C301" s="555">
        <v>7087</v>
      </c>
      <c r="D301" s="563">
        <v>15000</v>
      </c>
      <c r="E301" s="573">
        <v>167</v>
      </c>
      <c r="F301" s="563">
        <v>15000</v>
      </c>
      <c r="G301" s="87">
        <f t="shared" si="4"/>
        <v>0</v>
      </c>
      <c r="H301" s="509"/>
      <c r="I301" s="509"/>
      <c r="J301" s="89"/>
      <c r="K301" s="522"/>
      <c r="L301" s="204"/>
      <c r="M301" s="661"/>
      <c r="N301" s="661"/>
    </row>
    <row r="302" spans="1:14" ht="15.75" x14ac:dyDescent="0.25">
      <c r="A302" s="87">
        <v>298</v>
      </c>
      <c r="B302" s="87" t="s">
        <v>1128</v>
      </c>
      <c r="C302" s="607" t="s">
        <v>1169</v>
      </c>
      <c r="D302" s="563">
        <v>15000</v>
      </c>
      <c r="E302" s="573">
        <v>167</v>
      </c>
      <c r="F302" s="563">
        <v>15000</v>
      </c>
      <c r="G302" s="87">
        <f t="shared" si="4"/>
        <v>0</v>
      </c>
      <c r="H302" s="509"/>
      <c r="I302" s="509"/>
      <c r="J302" s="89"/>
      <c r="K302" s="522"/>
      <c r="L302" s="204"/>
      <c r="M302" s="661"/>
      <c r="N302" s="661"/>
    </row>
    <row r="303" spans="1:14" ht="15.75" x14ac:dyDescent="0.25">
      <c r="A303" s="87">
        <v>299</v>
      </c>
      <c r="B303" s="87" t="s">
        <v>1129</v>
      </c>
      <c r="C303" s="555">
        <v>1552</v>
      </c>
      <c r="D303" s="563">
        <v>10000</v>
      </c>
      <c r="E303" s="573">
        <v>111</v>
      </c>
      <c r="F303" s="563">
        <v>10000</v>
      </c>
      <c r="G303" s="87">
        <f t="shared" si="4"/>
        <v>0</v>
      </c>
      <c r="H303" s="509"/>
      <c r="I303" s="509"/>
      <c r="J303" s="89"/>
      <c r="K303" s="522"/>
      <c r="L303" s="204"/>
      <c r="M303" s="661"/>
      <c r="N303" s="661"/>
    </row>
    <row r="304" spans="1:14" ht="15.75" x14ac:dyDescent="0.25">
      <c r="A304" s="87">
        <v>300</v>
      </c>
      <c r="B304" s="87" t="s">
        <v>1129</v>
      </c>
      <c r="C304" s="555">
        <v>1215</v>
      </c>
      <c r="D304" s="563">
        <v>18000</v>
      </c>
      <c r="E304" s="573">
        <v>200</v>
      </c>
      <c r="F304" s="563">
        <v>18000</v>
      </c>
      <c r="G304" s="87">
        <f t="shared" si="4"/>
        <v>0</v>
      </c>
      <c r="H304" s="509"/>
      <c r="I304" s="509"/>
      <c r="J304" s="89"/>
      <c r="K304" s="522"/>
      <c r="L304" s="204"/>
      <c r="M304" s="661"/>
      <c r="N304" s="661"/>
    </row>
    <row r="305" spans="1:14" ht="15.75" x14ac:dyDescent="0.25">
      <c r="A305" s="87">
        <v>301</v>
      </c>
      <c r="B305" s="87" t="s">
        <v>1129</v>
      </c>
      <c r="C305" s="555">
        <v>7345</v>
      </c>
      <c r="D305" s="563">
        <v>14000</v>
      </c>
      <c r="E305" s="573">
        <v>155</v>
      </c>
      <c r="F305" s="563">
        <v>14000</v>
      </c>
      <c r="G305" s="87">
        <f t="shared" si="4"/>
        <v>0</v>
      </c>
      <c r="H305" s="509"/>
      <c r="I305" s="509"/>
      <c r="J305" s="89"/>
      <c r="K305" s="522"/>
      <c r="L305" s="204"/>
      <c r="M305" s="661"/>
      <c r="N305" s="661"/>
    </row>
    <row r="306" spans="1:14" ht="15.75" x14ac:dyDescent="0.25">
      <c r="A306" s="87">
        <v>302</v>
      </c>
      <c r="B306" s="87" t="s">
        <v>1129</v>
      </c>
      <c r="C306" s="555" t="s">
        <v>30</v>
      </c>
      <c r="D306" s="563">
        <v>3500</v>
      </c>
      <c r="E306" s="573">
        <v>39</v>
      </c>
      <c r="F306" s="563">
        <v>3500</v>
      </c>
      <c r="G306" s="87">
        <f t="shared" si="4"/>
        <v>0</v>
      </c>
      <c r="H306" s="509"/>
      <c r="I306" s="509"/>
      <c r="J306" s="89"/>
      <c r="K306" s="522"/>
      <c r="L306" s="204"/>
      <c r="M306" s="661"/>
      <c r="N306" s="661"/>
    </row>
    <row r="307" spans="1:14" ht="15.75" x14ac:dyDescent="0.25">
      <c r="A307" s="87">
        <v>303</v>
      </c>
      <c r="B307" s="87" t="s">
        <v>1129</v>
      </c>
      <c r="C307" s="555">
        <v>3068</v>
      </c>
      <c r="D307" s="563">
        <v>17000</v>
      </c>
      <c r="E307" s="573">
        <v>189</v>
      </c>
      <c r="F307" s="563">
        <v>17000</v>
      </c>
      <c r="G307" s="87">
        <f t="shared" si="4"/>
        <v>0</v>
      </c>
      <c r="H307" s="509"/>
      <c r="I307" s="509"/>
      <c r="J307" s="89"/>
      <c r="K307" s="522"/>
      <c r="L307" s="204"/>
      <c r="M307" s="661"/>
      <c r="N307" s="661"/>
    </row>
    <row r="308" spans="1:14" ht="15.75" x14ac:dyDescent="0.25">
      <c r="A308" s="87">
        <v>304</v>
      </c>
      <c r="B308" s="87" t="s">
        <v>1129</v>
      </c>
      <c r="C308" s="555">
        <v>8010</v>
      </c>
      <c r="D308" s="563">
        <v>20000</v>
      </c>
      <c r="E308" s="573">
        <v>222</v>
      </c>
      <c r="F308" s="563">
        <v>20000</v>
      </c>
      <c r="G308" s="87">
        <f t="shared" si="4"/>
        <v>0</v>
      </c>
      <c r="H308" s="509"/>
      <c r="I308" s="509"/>
      <c r="J308" s="89"/>
      <c r="K308" s="522"/>
      <c r="L308" s="204"/>
      <c r="M308" s="661"/>
      <c r="N308" s="661"/>
    </row>
    <row r="309" spans="1:14" ht="15.75" x14ac:dyDescent="0.25">
      <c r="A309" s="87">
        <v>305</v>
      </c>
      <c r="B309" s="87" t="s">
        <v>1129</v>
      </c>
      <c r="C309" s="607" t="s">
        <v>936</v>
      </c>
      <c r="D309" s="563">
        <v>20000</v>
      </c>
      <c r="E309" s="573">
        <v>222</v>
      </c>
      <c r="F309" s="563">
        <v>20000</v>
      </c>
      <c r="G309" s="87">
        <f t="shared" si="4"/>
        <v>0</v>
      </c>
      <c r="H309" s="509"/>
      <c r="I309" s="509"/>
      <c r="J309" s="89"/>
      <c r="K309" s="522"/>
      <c r="L309" s="204"/>
      <c r="M309" s="661"/>
      <c r="N309" s="661"/>
    </row>
    <row r="310" spans="1:14" ht="15.75" x14ac:dyDescent="0.25">
      <c r="A310" s="87">
        <v>306</v>
      </c>
      <c r="B310" s="87" t="s">
        <v>1129</v>
      </c>
      <c r="C310" s="555">
        <v>2774</v>
      </c>
      <c r="D310" s="563">
        <v>15000</v>
      </c>
      <c r="E310" s="573">
        <v>167</v>
      </c>
      <c r="F310" s="563">
        <v>15000</v>
      </c>
      <c r="G310" s="87">
        <f t="shared" si="4"/>
        <v>0</v>
      </c>
      <c r="H310" s="509"/>
      <c r="I310" s="509"/>
      <c r="J310" s="89"/>
      <c r="K310" s="522"/>
      <c r="L310" s="204"/>
      <c r="M310" s="661"/>
      <c r="N310" s="661"/>
    </row>
    <row r="311" spans="1:14" ht="15.75" x14ac:dyDescent="0.25">
      <c r="A311" s="87">
        <v>307</v>
      </c>
      <c r="B311" s="87" t="s">
        <v>1129</v>
      </c>
      <c r="C311" s="555">
        <v>2233</v>
      </c>
      <c r="D311" s="563">
        <v>15000</v>
      </c>
      <c r="E311" s="573">
        <v>167</v>
      </c>
      <c r="F311" s="563">
        <v>15000</v>
      </c>
      <c r="G311" s="87">
        <f t="shared" si="4"/>
        <v>0</v>
      </c>
      <c r="H311" s="509"/>
      <c r="I311" s="509"/>
      <c r="J311" s="89"/>
      <c r="K311" s="522"/>
      <c r="L311" s="204"/>
      <c r="M311" s="661"/>
      <c r="N311" s="661"/>
    </row>
    <row r="312" spans="1:14" ht="15.75" x14ac:dyDescent="0.25">
      <c r="A312" s="87">
        <v>308</v>
      </c>
      <c r="B312" s="87" t="s">
        <v>1129</v>
      </c>
      <c r="C312" s="555">
        <v>3587</v>
      </c>
      <c r="D312" s="563">
        <v>3000</v>
      </c>
      <c r="E312" s="573">
        <v>33</v>
      </c>
      <c r="F312" s="563">
        <v>3000</v>
      </c>
      <c r="G312" s="87">
        <f t="shared" si="4"/>
        <v>0</v>
      </c>
      <c r="H312" s="509"/>
      <c r="I312" s="509"/>
      <c r="J312" s="89"/>
      <c r="K312" s="522"/>
      <c r="L312" s="204"/>
      <c r="M312" s="661"/>
      <c r="N312" s="661"/>
    </row>
    <row r="313" spans="1:14" ht="15.75" x14ac:dyDescent="0.25">
      <c r="A313" s="87">
        <v>309</v>
      </c>
      <c r="B313" s="87" t="s">
        <v>1129</v>
      </c>
      <c r="C313" s="555">
        <v>3561</v>
      </c>
      <c r="D313" s="563">
        <v>24000</v>
      </c>
      <c r="E313" s="573">
        <v>267</v>
      </c>
      <c r="F313" s="563">
        <v>24000</v>
      </c>
      <c r="G313" s="87">
        <f t="shared" si="4"/>
        <v>0</v>
      </c>
      <c r="H313" s="509"/>
      <c r="I313" s="509"/>
      <c r="J313" s="89"/>
      <c r="K313" s="522"/>
      <c r="L313" s="204"/>
      <c r="M313" s="661"/>
      <c r="N313" s="661"/>
    </row>
    <row r="314" spans="1:14" ht="15.75" x14ac:dyDescent="0.25">
      <c r="A314" s="87">
        <v>310</v>
      </c>
      <c r="B314" s="87" t="s">
        <v>1129</v>
      </c>
      <c r="C314" s="555">
        <v>4713</v>
      </c>
      <c r="D314" s="563">
        <v>35000</v>
      </c>
      <c r="E314" s="573">
        <v>389</v>
      </c>
      <c r="F314" s="563">
        <v>35000</v>
      </c>
      <c r="G314" s="87">
        <f t="shared" si="4"/>
        <v>0</v>
      </c>
      <c r="H314" s="509"/>
      <c r="I314" s="509"/>
      <c r="J314" s="89"/>
      <c r="K314" s="522"/>
      <c r="L314" s="204"/>
      <c r="M314" s="661"/>
      <c r="N314" s="661"/>
    </row>
    <row r="315" spans="1:14" ht="15.75" x14ac:dyDescent="0.25">
      <c r="A315" s="87">
        <v>311</v>
      </c>
      <c r="B315" s="87" t="s">
        <v>1129</v>
      </c>
      <c r="C315" s="555">
        <v>6903</v>
      </c>
      <c r="D315" s="563">
        <v>17000</v>
      </c>
      <c r="E315" s="573">
        <v>180</v>
      </c>
      <c r="F315" s="563">
        <v>17000</v>
      </c>
      <c r="G315" s="87">
        <f t="shared" si="4"/>
        <v>0</v>
      </c>
      <c r="H315" s="509"/>
      <c r="I315" s="509"/>
      <c r="J315" s="89"/>
      <c r="K315" s="522"/>
      <c r="L315" s="204"/>
      <c r="M315" s="661"/>
      <c r="N315" s="661"/>
    </row>
    <row r="316" spans="1:14" ht="15.75" x14ac:dyDescent="0.25">
      <c r="A316" s="87">
        <v>312</v>
      </c>
      <c r="B316" s="87" t="s">
        <v>1129</v>
      </c>
      <c r="C316" s="555">
        <v>7344</v>
      </c>
      <c r="D316" s="563">
        <v>13000</v>
      </c>
      <c r="E316" s="573">
        <v>144</v>
      </c>
      <c r="F316" s="563">
        <v>13000</v>
      </c>
      <c r="G316" s="87">
        <f t="shared" si="4"/>
        <v>0</v>
      </c>
      <c r="H316" s="509"/>
      <c r="I316" s="509"/>
      <c r="J316" s="89"/>
      <c r="K316" s="522"/>
      <c r="L316" s="204"/>
      <c r="M316" s="661"/>
      <c r="N316" s="661"/>
    </row>
    <row r="317" spans="1:14" ht="15.75" x14ac:dyDescent="0.25">
      <c r="A317" s="87">
        <v>313</v>
      </c>
      <c r="B317" s="87" t="s">
        <v>1129</v>
      </c>
      <c r="C317" s="555">
        <v>3997</v>
      </c>
      <c r="D317" s="563">
        <v>31000</v>
      </c>
      <c r="E317" s="573">
        <v>345</v>
      </c>
      <c r="F317" s="563">
        <v>31000</v>
      </c>
      <c r="G317" s="87">
        <f t="shared" si="4"/>
        <v>0</v>
      </c>
      <c r="H317" s="509"/>
      <c r="I317" s="509"/>
      <c r="J317" s="89"/>
      <c r="K317" s="522"/>
      <c r="L317" s="204"/>
      <c r="M317" s="661"/>
      <c r="N317" s="661"/>
    </row>
    <row r="318" spans="1:14" ht="15.75" x14ac:dyDescent="0.25">
      <c r="A318" s="87">
        <v>314</v>
      </c>
      <c r="B318" s="87" t="s">
        <v>1129</v>
      </c>
      <c r="C318" s="555">
        <v>3464</v>
      </c>
      <c r="D318" s="563">
        <v>32000</v>
      </c>
      <c r="E318" s="573">
        <v>329</v>
      </c>
      <c r="F318" s="563">
        <v>32000</v>
      </c>
      <c r="G318" s="87">
        <f t="shared" si="4"/>
        <v>0</v>
      </c>
      <c r="H318" s="509"/>
      <c r="I318" s="509"/>
      <c r="J318" s="89"/>
      <c r="K318" s="522"/>
      <c r="L318" s="204"/>
      <c r="M318" s="661"/>
      <c r="N318" s="661"/>
    </row>
    <row r="319" spans="1:14" ht="15.75" x14ac:dyDescent="0.25">
      <c r="A319" s="87">
        <v>315</v>
      </c>
      <c r="B319" s="87" t="s">
        <v>1129</v>
      </c>
      <c r="C319" s="555">
        <v>6094</v>
      </c>
      <c r="D319" s="563">
        <v>32000</v>
      </c>
      <c r="E319" s="573">
        <v>356</v>
      </c>
      <c r="F319" s="563">
        <v>32000</v>
      </c>
      <c r="G319" s="87">
        <f t="shared" si="4"/>
        <v>0</v>
      </c>
      <c r="H319" s="509"/>
      <c r="I319" s="509"/>
      <c r="J319" s="89"/>
      <c r="K319" s="522"/>
      <c r="L319" s="204"/>
      <c r="M319" s="661"/>
      <c r="N319" s="661"/>
    </row>
    <row r="320" spans="1:14" ht="15.75" x14ac:dyDescent="0.25">
      <c r="A320" s="87">
        <v>316</v>
      </c>
      <c r="B320" s="87" t="s">
        <v>1130</v>
      </c>
      <c r="C320" s="555">
        <v>1034</v>
      </c>
      <c r="D320" s="563">
        <v>20000</v>
      </c>
      <c r="E320" s="573">
        <v>222</v>
      </c>
      <c r="F320" s="563">
        <v>20000</v>
      </c>
      <c r="G320" s="87">
        <f t="shared" si="4"/>
        <v>0</v>
      </c>
      <c r="H320" s="509"/>
      <c r="I320" s="509"/>
      <c r="J320" s="89"/>
      <c r="K320" s="522"/>
      <c r="L320" s="204"/>
      <c r="M320" s="661"/>
      <c r="N320" s="661"/>
    </row>
    <row r="321" spans="1:14" ht="15.75" x14ac:dyDescent="0.25">
      <c r="A321" s="87">
        <v>317</v>
      </c>
      <c r="B321" s="87" t="s">
        <v>1130</v>
      </c>
      <c r="C321" s="555">
        <v>3887</v>
      </c>
      <c r="D321" s="563">
        <v>17000</v>
      </c>
      <c r="E321" s="573">
        <v>189</v>
      </c>
      <c r="F321" s="563">
        <v>17000</v>
      </c>
      <c r="G321" s="87">
        <f t="shared" si="4"/>
        <v>0</v>
      </c>
      <c r="H321" s="509"/>
      <c r="I321" s="509"/>
      <c r="J321" s="89"/>
      <c r="K321" s="522"/>
      <c r="L321" s="204"/>
      <c r="M321" s="661"/>
      <c r="N321" s="661"/>
    </row>
    <row r="322" spans="1:14" ht="15.75" x14ac:dyDescent="0.25">
      <c r="A322" s="87">
        <v>318</v>
      </c>
      <c r="B322" s="87" t="s">
        <v>1130</v>
      </c>
      <c r="C322" s="555">
        <v>2496</v>
      </c>
      <c r="D322" s="563">
        <v>18000</v>
      </c>
      <c r="E322" s="573">
        <v>200</v>
      </c>
      <c r="F322" s="563">
        <v>18000</v>
      </c>
      <c r="G322" s="87">
        <f t="shared" si="4"/>
        <v>0</v>
      </c>
      <c r="H322" s="509"/>
      <c r="I322" s="509"/>
      <c r="J322" s="89"/>
      <c r="K322" s="522"/>
      <c r="L322" s="204"/>
      <c r="M322" s="661"/>
      <c r="N322" s="661"/>
    </row>
    <row r="323" spans="1:14" ht="15.75" x14ac:dyDescent="0.25">
      <c r="A323" s="87">
        <v>319</v>
      </c>
      <c r="B323" s="87" t="s">
        <v>1130</v>
      </c>
      <c r="C323" s="607" t="s">
        <v>1170</v>
      </c>
      <c r="D323" s="563">
        <v>16000</v>
      </c>
      <c r="E323" s="573">
        <v>178</v>
      </c>
      <c r="F323" s="563">
        <v>16000</v>
      </c>
      <c r="G323" s="87">
        <f t="shared" si="4"/>
        <v>0</v>
      </c>
      <c r="H323" s="509"/>
      <c r="I323" s="509"/>
      <c r="J323" s="89"/>
      <c r="K323" s="522"/>
      <c r="L323" s="204"/>
      <c r="M323" s="661"/>
      <c r="N323" s="661"/>
    </row>
    <row r="324" spans="1:14" ht="15.75" x14ac:dyDescent="0.25">
      <c r="A324" s="87">
        <v>320</v>
      </c>
      <c r="B324" s="87" t="s">
        <v>1130</v>
      </c>
      <c r="C324" s="555">
        <v>2435</v>
      </c>
      <c r="D324" s="563">
        <v>14000</v>
      </c>
      <c r="E324" s="573">
        <v>155</v>
      </c>
      <c r="F324" s="563">
        <v>14000</v>
      </c>
      <c r="G324" s="87">
        <f t="shared" si="4"/>
        <v>0</v>
      </c>
      <c r="H324" s="509"/>
      <c r="I324" s="509"/>
      <c r="J324" s="89"/>
      <c r="K324" s="522"/>
      <c r="L324" s="204"/>
      <c r="M324" s="661"/>
      <c r="N324" s="661"/>
    </row>
    <row r="325" spans="1:14" ht="15.75" x14ac:dyDescent="0.25">
      <c r="A325" s="87">
        <v>321</v>
      </c>
      <c r="B325" s="87" t="s">
        <v>1130</v>
      </c>
      <c r="C325" s="555">
        <v>9426</v>
      </c>
      <c r="D325" s="563">
        <v>16000</v>
      </c>
      <c r="E325" s="573">
        <v>178</v>
      </c>
      <c r="F325" s="563">
        <v>16000</v>
      </c>
      <c r="G325" s="87">
        <f t="shared" ref="G325:G388" si="5">D325-F325</f>
        <v>0</v>
      </c>
      <c r="H325" s="509"/>
      <c r="I325" s="509"/>
      <c r="J325" s="89"/>
      <c r="K325" s="522"/>
      <c r="L325" s="204"/>
      <c r="M325" s="661"/>
      <c r="N325" s="661"/>
    </row>
    <row r="326" spans="1:14" ht="15.75" x14ac:dyDescent="0.25">
      <c r="A326" s="87">
        <v>322</v>
      </c>
      <c r="B326" s="87" t="s">
        <v>1130</v>
      </c>
      <c r="C326" s="555">
        <v>2963</v>
      </c>
      <c r="D326" s="563">
        <v>16000</v>
      </c>
      <c r="E326" s="573">
        <v>178</v>
      </c>
      <c r="F326" s="563">
        <v>16000</v>
      </c>
      <c r="G326" s="87">
        <f t="shared" si="5"/>
        <v>0</v>
      </c>
      <c r="H326" s="509"/>
      <c r="I326" s="509"/>
      <c r="J326" s="89"/>
      <c r="K326" s="522"/>
      <c r="L326" s="204"/>
      <c r="M326" s="661"/>
      <c r="N326" s="661"/>
    </row>
    <row r="327" spans="1:14" ht="15.75" x14ac:dyDescent="0.25">
      <c r="A327" s="87">
        <v>323</v>
      </c>
      <c r="B327" s="87" t="s">
        <v>1130</v>
      </c>
      <c r="C327" s="555">
        <v>8726</v>
      </c>
      <c r="D327" s="563">
        <v>16000</v>
      </c>
      <c r="E327" s="573">
        <v>178</v>
      </c>
      <c r="F327" s="563">
        <v>16000</v>
      </c>
      <c r="G327" s="87">
        <f t="shared" si="5"/>
        <v>0</v>
      </c>
      <c r="H327" s="509"/>
      <c r="I327" s="509"/>
      <c r="J327" s="89"/>
      <c r="K327" s="522"/>
      <c r="L327" s="204"/>
      <c r="M327" s="661"/>
      <c r="N327" s="661"/>
    </row>
    <row r="328" spans="1:14" ht="15.75" x14ac:dyDescent="0.25">
      <c r="A328" s="87">
        <v>324</v>
      </c>
      <c r="B328" s="87" t="s">
        <v>1130</v>
      </c>
      <c r="C328" s="555" t="s">
        <v>30</v>
      </c>
      <c r="D328" s="563">
        <v>10000</v>
      </c>
      <c r="E328" s="573">
        <v>111</v>
      </c>
      <c r="F328" s="563">
        <v>10000</v>
      </c>
      <c r="G328" s="87">
        <f t="shared" si="5"/>
        <v>0</v>
      </c>
      <c r="H328" s="509"/>
      <c r="I328" s="509"/>
      <c r="J328" s="89"/>
      <c r="K328" s="522"/>
      <c r="L328" s="204"/>
      <c r="M328" s="661"/>
      <c r="N328" s="661"/>
    </row>
    <row r="329" spans="1:14" ht="15.75" x14ac:dyDescent="0.25">
      <c r="A329" s="87">
        <v>325</v>
      </c>
      <c r="B329" s="87" t="s">
        <v>1130</v>
      </c>
      <c r="C329" s="555">
        <v>6840</v>
      </c>
      <c r="D329" s="563">
        <v>21000</v>
      </c>
      <c r="E329" s="573">
        <v>233</v>
      </c>
      <c r="F329" s="563">
        <v>21000</v>
      </c>
      <c r="G329" s="87">
        <f t="shared" si="5"/>
        <v>0</v>
      </c>
      <c r="H329" s="509"/>
      <c r="I329" s="509"/>
      <c r="J329" s="89"/>
      <c r="K329" s="522"/>
      <c r="L329" s="204"/>
      <c r="M329" s="661"/>
      <c r="N329" s="661"/>
    </row>
    <row r="330" spans="1:14" ht="15.75" x14ac:dyDescent="0.25">
      <c r="A330" s="87">
        <v>326</v>
      </c>
      <c r="B330" s="87" t="s">
        <v>1130</v>
      </c>
      <c r="C330" s="555">
        <v>4024</v>
      </c>
      <c r="D330" s="563">
        <v>20000</v>
      </c>
      <c r="E330" s="573">
        <v>222</v>
      </c>
      <c r="F330" s="563">
        <v>20000</v>
      </c>
      <c r="G330" s="87">
        <f t="shared" si="5"/>
        <v>0</v>
      </c>
      <c r="H330" s="509"/>
      <c r="I330" s="509"/>
      <c r="J330" s="89"/>
      <c r="K330" s="522"/>
      <c r="L330" s="204"/>
      <c r="M330" s="661"/>
      <c r="N330" s="661"/>
    </row>
    <row r="331" spans="1:14" ht="15.75" x14ac:dyDescent="0.25">
      <c r="A331" s="87">
        <v>327</v>
      </c>
      <c r="B331" s="87" t="s">
        <v>1130</v>
      </c>
      <c r="C331" s="555" t="s">
        <v>30</v>
      </c>
      <c r="D331" s="563">
        <v>4500</v>
      </c>
      <c r="E331" s="573">
        <v>50</v>
      </c>
      <c r="F331" s="563">
        <v>4500</v>
      </c>
      <c r="G331" s="87">
        <f t="shared" si="5"/>
        <v>0</v>
      </c>
      <c r="H331" s="509"/>
      <c r="I331" s="509"/>
      <c r="J331" s="89"/>
      <c r="K331" s="522"/>
      <c r="L331" s="204"/>
      <c r="M331" s="661"/>
      <c r="N331" s="661"/>
    </row>
    <row r="332" spans="1:14" ht="15.75" x14ac:dyDescent="0.25">
      <c r="A332" s="87">
        <v>328</v>
      </c>
      <c r="B332" s="87" t="s">
        <v>1130</v>
      </c>
      <c r="C332" s="555" t="s">
        <v>30</v>
      </c>
      <c r="D332" s="563">
        <v>3500</v>
      </c>
      <c r="E332" s="573">
        <v>39</v>
      </c>
      <c r="F332" s="563">
        <v>3500</v>
      </c>
      <c r="G332" s="87">
        <f t="shared" si="5"/>
        <v>0</v>
      </c>
      <c r="H332" s="509"/>
      <c r="I332" s="509"/>
      <c r="J332" s="89"/>
      <c r="K332" s="522"/>
      <c r="L332" s="204"/>
      <c r="M332" s="661"/>
      <c r="N332" s="661"/>
    </row>
    <row r="333" spans="1:14" ht="15.75" x14ac:dyDescent="0.25">
      <c r="A333" s="87">
        <v>329</v>
      </c>
      <c r="B333" s="87" t="s">
        <v>1130</v>
      </c>
      <c r="C333" s="555" t="s">
        <v>30</v>
      </c>
      <c r="D333" s="563">
        <v>3500</v>
      </c>
      <c r="E333" s="573">
        <v>39</v>
      </c>
      <c r="F333" s="563">
        <v>3500</v>
      </c>
      <c r="G333" s="87">
        <f t="shared" si="5"/>
        <v>0</v>
      </c>
      <c r="H333" s="509"/>
      <c r="I333" s="509"/>
      <c r="J333" s="89"/>
      <c r="K333" s="522"/>
      <c r="L333" s="204"/>
      <c r="M333" s="661"/>
      <c r="N333" s="661"/>
    </row>
    <row r="334" spans="1:14" ht="15.75" x14ac:dyDescent="0.25">
      <c r="A334" s="87">
        <v>330</v>
      </c>
      <c r="B334" s="87" t="s">
        <v>1130</v>
      </c>
      <c r="C334" s="555">
        <v>2513</v>
      </c>
      <c r="D334" s="563">
        <v>22000</v>
      </c>
      <c r="E334" s="573">
        <v>243</v>
      </c>
      <c r="F334" s="563">
        <v>22000</v>
      </c>
      <c r="G334" s="87">
        <f t="shared" si="5"/>
        <v>0</v>
      </c>
      <c r="H334" s="509"/>
      <c r="I334" s="509"/>
      <c r="J334" s="89"/>
      <c r="K334" s="522"/>
      <c r="L334" s="204"/>
      <c r="M334" s="661"/>
      <c r="N334" s="661"/>
    </row>
    <row r="335" spans="1:14" ht="15.75" x14ac:dyDescent="0.25">
      <c r="A335" s="87">
        <v>331</v>
      </c>
      <c r="B335" s="87" t="s">
        <v>1130</v>
      </c>
      <c r="C335" s="555" t="s">
        <v>66</v>
      </c>
      <c r="D335" s="563">
        <v>100</v>
      </c>
      <c r="E335" s="573" t="s">
        <v>66</v>
      </c>
      <c r="F335" s="563">
        <v>100</v>
      </c>
      <c r="G335" s="87">
        <f t="shared" si="5"/>
        <v>0</v>
      </c>
      <c r="H335" s="509"/>
      <c r="I335" s="509"/>
      <c r="J335" s="89"/>
      <c r="K335" s="522"/>
      <c r="L335" s="204"/>
      <c r="M335" s="661"/>
      <c r="N335" s="661"/>
    </row>
    <row r="336" spans="1:14" ht="15.75" x14ac:dyDescent="0.25">
      <c r="A336" s="87">
        <v>332</v>
      </c>
      <c r="B336" s="87" t="s">
        <v>1130</v>
      </c>
      <c r="C336" s="555" t="s">
        <v>66</v>
      </c>
      <c r="D336" s="563">
        <v>120</v>
      </c>
      <c r="E336" s="573" t="s">
        <v>66</v>
      </c>
      <c r="F336" s="563">
        <v>120</v>
      </c>
      <c r="G336" s="87">
        <f t="shared" si="5"/>
        <v>0</v>
      </c>
      <c r="H336" s="509"/>
      <c r="I336" s="509"/>
      <c r="J336" s="89"/>
      <c r="K336" s="522"/>
      <c r="L336" s="204"/>
      <c r="M336" s="661"/>
      <c r="N336" s="661"/>
    </row>
    <row r="337" spans="1:14" ht="15.75" x14ac:dyDescent="0.25">
      <c r="A337" s="87">
        <v>333</v>
      </c>
      <c r="B337" s="87" t="s">
        <v>1130</v>
      </c>
      <c r="C337" s="555">
        <v>9705</v>
      </c>
      <c r="D337" s="563">
        <v>29100</v>
      </c>
      <c r="E337" s="573">
        <v>324</v>
      </c>
      <c r="F337" s="563">
        <v>29100</v>
      </c>
      <c r="G337" s="87">
        <f t="shared" si="5"/>
        <v>0</v>
      </c>
      <c r="H337" s="509"/>
      <c r="I337" s="509"/>
      <c r="J337" s="89"/>
      <c r="K337" s="522"/>
      <c r="L337" s="204"/>
      <c r="M337" s="661"/>
      <c r="N337" s="661"/>
    </row>
    <row r="338" spans="1:14" ht="15.75" x14ac:dyDescent="0.25">
      <c r="A338" s="87">
        <v>334</v>
      </c>
      <c r="B338" s="87" t="s">
        <v>1130</v>
      </c>
      <c r="C338" s="555">
        <v>4304</v>
      </c>
      <c r="D338" s="563">
        <v>23000</v>
      </c>
      <c r="E338" s="573">
        <v>256</v>
      </c>
      <c r="F338" s="563">
        <v>23000</v>
      </c>
      <c r="G338" s="87">
        <f t="shared" si="5"/>
        <v>0</v>
      </c>
      <c r="H338" s="509"/>
      <c r="I338" s="509"/>
      <c r="J338" s="89"/>
      <c r="K338" s="522"/>
      <c r="L338" s="204"/>
      <c r="M338" s="661"/>
      <c r="N338" s="661"/>
    </row>
    <row r="339" spans="1:14" ht="15.75" x14ac:dyDescent="0.25">
      <c r="A339" s="87">
        <v>335</v>
      </c>
      <c r="B339" s="87" t="s">
        <v>1130</v>
      </c>
      <c r="C339" s="555">
        <v>6359</v>
      </c>
      <c r="D339" s="563">
        <v>35000</v>
      </c>
      <c r="E339" s="573">
        <v>389</v>
      </c>
      <c r="F339" s="563">
        <v>35000</v>
      </c>
      <c r="G339" s="87">
        <f t="shared" si="5"/>
        <v>0</v>
      </c>
      <c r="H339" s="509"/>
      <c r="I339" s="509"/>
      <c r="J339" s="89"/>
      <c r="K339" s="522"/>
      <c r="L339" s="204"/>
      <c r="M339" s="661"/>
      <c r="N339" s="661"/>
    </row>
    <row r="340" spans="1:14" ht="15.75" x14ac:dyDescent="0.25">
      <c r="A340" s="87">
        <v>336</v>
      </c>
      <c r="B340" s="87" t="s">
        <v>1130</v>
      </c>
      <c r="C340" s="555">
        <v>2618</v>
      </c>
      <c r="D340" s="563">
        <v>30000</v>
      </c>
      <c r="E340" s="573">
        <v>334</v>
      </c>
      <c r="F340" s="563">
        <v>30000</v>
      </c>
      <c r="G340" s="87">
        <f t="shared" si="5"/>
        <v>0</v>
      </c>
      <c r="H340" s="509"/>
      <c r="I340" s="509"/>
      <c r="J340" s="89"/>
      <c r="K340" s="522"/>
      <c r="L340" s="204"/>
      <c r="M340" s="661"/>
      <c r="N340" s="661"/>
    </row>
    <row r="341" spans="1:14" ht="15.75" x14ac:dyDescent="0.25">
      <c r="A341" s="87">
        <v>337</v>
      </c>
      <c r="B341" s="87" t="s">
        <v>1130</v>
      </c>
      <c r="C341" s="555">
        <v>2174</v>
      </c>
      <c r="D341" s="563">
        <v>25000</v>
      </c>
      <c r="E341" s="573">
        <v>278</v>
      </c>
      <c r="F341" s="563">
        <v>25000</v>
      </c>
      <c r="G341" s="87">
        <f t="shared" si="5"/>
        <v>0</v>
      </c>
      <c r="H341" s="509"/>
      <c r="I341" s="509"/>
      <c r="J341" s="89"/>
      <c r="K341" s="522"/>
      <c r="L341" s="204"/>
      <c r="M341" s="661"/>
      <c r="N341" s="661"/>
    </row>
    <row r="342" spans="1:14" ht="15.75" x14ac:dyDescent="0.25">
      <c r="A342" s="87">
        <v>338</v>
      </c>
      <c r="B342" s="87" t="s">
        <v>1130</v>
      </c>
      <c r="C342" s="555">
        <v>4584</v>
      </c>
      <c r="D342" s="563">
        <v>12000</v>
      </c>
      <c r="E342" s="573">
        <v>133</v>
      </c>
      <c r="F342" s="563">
        <v>12000</v>
      </c>
      <c r="G342" s="87">
        <f t="shared" si="5"/>
        <v>0</v>
      </c>
      <c r="H342" s="509"/>
      <c r="I342" s="509"/>
      <c r="J342" s="89"/>
      <c r="K342" s="522"/>
      <c r="L342" s="204"/>
      <c r="M342" s="661"/>
      <c r="N342" s="661"/>
    </row>
    <row r="343" spans="1:14" ht="15.75" x14ac:dyDescent="0.25">
      <c r="A343" s="87">
        <v>339</v>
      </c>
      <c r="B343" s="87" t="s">
        <v>1130</v>
      </c>
      <c r="C343" s="555">
        <v>2546</v>
      </c>
      <c r="D343" s="563">
        <v>30000</v>
      </c>
      <c r="E343" s="573">
        <v>334</v>
      </c>
      <c r="F343" s="563">
        <v>30000</v>
      </c>
      <c r="G343" s="87">
        <f t="shared" si="5"/>
        <v>0</v>
      </c>
      <c r="H343" s="509"/>
      <c r="I343" s="509"/>
      <c r="J343" s="89"/>
      <c r="K343" s="522"/>
      <c r="L343" s="204"/>
      <c r="M343" s="661"/>
      <c r="N343" s="661"/>
    </row>
    <row r="344" spans="1:14" ht="15.75" x14ac:dyDescent="0.25">
      <c r="A344" s="87">
        <v>340</v>
      </c>
      <c r="B344" s="87" t="s">
        <v>1130</v>
      </c>
      <c r="C344" s="555">
        <v>2488</v>
      </c>
      <c r="D344" s="563">
        <v>25000</v>
      </c>
      <c r="E344" s="573">
        <v>278</v>
      </c>
      <c r="F344" s="563">
        <v>25000</v>
      </c>
      <c r="G344" s="87">
        <f t="shared" si="5"/>
        <v>0</v>
      </c>
      <c r="H344" s="509"/>
      <c r="I344" s="509"/>
      <c r="J344" s="89"/>
      <c r="K344" s="522"/>
      <c r="L344" s="204"/>
      <c r="M344" s="661"/>
      <c r="N344" s="661"/>
    </row>
    <row r="345" spans="1:14" ht="15.75" x14ac:dyDescent="0.25">
      <c r="A345" s="87">
        <v>341</v>
      </c>
      <c r="B345" s="87" t="s">
        <v>1130</v>
      </c>
      <c r="C345" s="555">
        <v>2750</v>
      </c>
      <c r="D345" s="563">
        <v>25000</v>
      </c>
      <c r="E345" s="573">
        <v>278</v>
      </c>
      <c r="F345" s="563">
        <v>25000</v>
      </c>
      <c r="G345" s="87">
        <f t="shared" si="5"/>
        <v>0</v>
      </c>
      <c r="H345" s="509"/>
      <c r="I345" s="509"/>
      <c r="J345" s="89"/>
      <c r="K345" s="522"/>
      <c r="L345" s="204"/>
      <c r="M345" s="661"/>
      <c r="N345" s="661"/>
    </row>
    <row r="346" spans="1:14" ht="15.75" x14ac:dyDescent="0.25">
      <c r="A346" s="87">
        <v>342</v>
      </c>
      <c r="B346" s="87" t="s">
        <v>1130</v>
      </c>
      <c r="C346" s="555">
        <v>4654</v>
      </c>
      <c r="D346" s="563">
        <v>32000</v>
      </c>
      <c r="E346" s="573">
        <v>342</v>
      </c>
      <c r="F346" s="563">
        <v>32000</v>
      </c>
      <c r="G346" s="87">
        <f t="shared" si="5"/>
        <v>0</v>
      </c>
      <c r="H346" s="509"/>
      <c r="I346" s="509"/>
      <c r="J346" s="89"/>
      <c r="K346" s="522"/>
      <c r="L346" s="204"/>
      <c r="M346" s="661"/>
      <c r="N346" s="661"/>
    </row>
    <row r="347" spans="1:14" ht="15.75" x14ac:dyDescent="0.25">
      <c r="A347" s="87">
        <v>343</v>
      </c>
      <c r="B347" s="87" t="s">
        <v>1130</v>
      </c>
      <c r="C347" s="555">
        <v>2868</v>
      </c>
      <c r="D347" s="563">
        <v>40700</v>
      </c>
      <c r="E347" s="573">
        <v>453</v>
      </c>
      <c r="F347" s="563">
        <v>40700</v>
      </c>
      <c r="G347" s="87">
        <f t="shared" si="5"/>
        <v>0</v>
      </c>
      <c r="H347" s="509"/>
      <c r="I347" s="509"/>
      <c r="J347" s="89"/>
      <c r="K347" s="522"/>
      <c r="L347" s="204"/>
      <c r="M347" s="661"/>
      <c r="N347" s="661"/>
    </row>
    <row r="348" spans="1:14" ht="15.75" x14ac:dyDescent="0.25">
      <c r="A348" s="87">
        <v>344</v>
      </c>
      <c r="B348" s="87" t="s">
        <v>1130</v>
      </c>
      <c r="C348" s="555">
        <v>4836</v>
      </c>
      <c r="D348" s="563">
        <v>28000</v>
      </c>
      <c r="E348" s="573">
        <v>310</v>
      </c>
      <c r="F348" s="563">
        <v>28000</v>
      </c>
      <c r="G348" s="87">
        <f t="shared" si="5"/>
        <v>0</v>
      </c>
      <c r="H348" s="509"/>
      <c r="I348" s="509"/>
      <c r="J348" s="89"/>
      <c r="K348" s="522"/>
      <c r="L348" s="204"/>
      <c r="M348" s="661"/>
      <c r="N348" s="661"/>
    </row>
    <row r="349" spans="1:14" ht="15.75" x14ac:dyDescent="0.25">
      <c r="A349" s="87">
        <v>345</v>
      </c>
      <c r="B349" s="87" t="s">
        <v>1131</v>
      </c>
      <c r="C349" s="555">
        <v>9756</v>
      </c>
      <c r="D349" s="563">
        <v>25000</v>
      </c>
      <c r="E349" s="573">
        <v>278</v>
      </c>
      <c r="F349" s="563">
        <v>25000</v>
      </c>
      <c r="G349" s="87">
        <f t="shared" si="5"/>
        <v>0</v>
      </c>
      <c r="H349" s="509"/>
      <c r="I349" s="509"/>
      <c r="J349" s="89"/>
      <c r="K349" s="522"/>
      <c r="L349" s="204"/>
      <c r="M349" s="661"/>
      <c r="N349" s="661"/>
    </row>
    <row r="350" spans="1:14" ht="15.75" x14ac:dyDescent="0.25">
      <c r="A350" s="87">
        <v>346</v>
      </c>
      <c r="B350" s="87" t="s">
        <v>1131</v>
      </c>
      <c r="C350" s="555" t="s">
        <v>819</v>
      </c>
      <c r="D350" s="563">
        <v>3500</v>
      </c>
      <c r="E350" s="573">
        <v>39</v>
      </c>
      <c r="F350" s="563">
        <v>3500</v>
      </c>
      <c r="G350" s="87">
        <f t="shared" si="5"/>
        <v>0</v>
      </c>
      <c r="H350" s="509"/>
      <c r="I350" s="509"/>
      <c r="J350" s="89"/>
      <c r="K350" s="522"/>
      <c r="L350" s="204"/>
      <c r="M350" s="661"/>
      <c r="N350" s="661"/>
    </row>
    <row r="351" spans="1:14" ht="15.75" x14ac:dyDescent="0.25">
      <c r="A351" s="87">
        <v>347</v>
      </c>
      <c r="B351" s="87" t="s">
        <v>1131</v>
      </c>
      <c r="C351" s="555">
        <v>2753</v>
      </c>
      <c r="D351" s="563">
        <v>30000</v>
      </c>
      <c r="E351" s="573">
        <v>334</v>
      </c>
      <c r="F351" s="563">
        <v>30000</v>
      </c>
      <c r="G351" s="87">
        <f t="shared" si="5"/>
        <v>0</v>
      </c>
      <c r="H351" s="509"/>
      <c r="I351" s="509"/>
      <c r="J351" s="89"/>
      <c r="K351" s="522"/>
      <c r="L351" s="204"/>
      <c r="M351" s="661"/>
      <c r="N351" s="661"/>
    </row>
    <row r="352" spans="1:14" ht="15.75" x14ac:dyDescent="0.25">
      <c r="A352" s="87">
        <v>348</v>
      </c>
      <c r="B352" s="87" t="s">
        <v>1131</v>
      </c>
      <c r="C352" s="555">
        <v>6957</v>
      </c>
      <c r="D352" s="563">
        <v>20000</v>
      </c>
      <c r="E352" s="573">
        <v>206</v>
      </c>
      <c r="F352" s="563">
        <v>20000</v>
      </c>
      <c r="G352" s="87">
        <f t="shared" si="5"/>
        <v>0</v>
      </c>
      <c r="H352" s="509"/>
      <c r="I352" s="509"/>
      <c r="J352" s="89"/>
      <c r="K352" s="522"/>
      <c r="L352" s="204"/>
      <c r="M352" s="661"/>
      <c r="N352" s="661"/>
    </row>
    <row r="353" spans="1:14" ht="15.75" x14ac:dyDescent="0.25">
      <c r="A353" s="87">
        <v>349</v>
      </c>
      <c r="B353" s="87" t="s">
        <v>1131</v>
      </c>
      <c r="C353" s="555">
        <v>2497</v>
      </c>
      <c r="D353" s="563">
        <v>20000</v>
      </c>
      <c r="E353" s="573">
        <v>222</v>
      </c>
      <c r="F353" s="563">
        <v>20000</v>
      </c>
      <c r="G353" s="87">
        <f t="shared" si="5"/>
        <v>0</v>
      </c>
      <c r="H353" s="509"/>
      <c r="I353" s="509"/>
      <c r="J353" s="89"/>
      <c r="K353" s="522"/>
      <c r="L353" s="204"/>
      <c r="M353" s="661"/>
      <c r="N353" s="661"/>
    </row>
    <row r="354" spans="1:14" ht="15.75" x14ac:dyDescent="0.25">
      <c r="A354" s="87">
        <v>350</v>
      </c>
      <c r="B354" s="87" t="s">
        <v>1131</v>
      </c>
      <c r="C354" s="555">
        <v>1416</v>
      </c>
      <c r="D354" s="563">
        <v>10000</v>
      </c>
      <c r="E354" s="573">
        <v>111</v>
      </c>
      <c r="F354" s="563">
        <v>10000</v>
      </c>
      <c r="G354" s="87">
        <f t="shared" si="5"/>
        <v>0</v>
      </c>
      <c r="H354" s="509"/>
      <c r="I354" s="509"/>
      <c r="J354" s="89"/>
      <c r="K354" s="522"/>
      <c r="L354" s="204"/>
      <c r="M354" s="661"/>
      <c r="N354" s="661"/>
    </row>
    <row r="355" spans="1:14" ht="15.75" x14ac:dyDescent="0.25">
      <c r="A355" s="87">
        <v>351</v>
      </c>
      <c r="B355" s="87" t="s">
        <v>1131</v>
      </c>
      <c r="C355" s="555">
        <v>2111</v>
      </c>
      <c r="D355" s="563">
        <v>20000</v>
      </c>
      <c r="E355" s="573">
        <v>222</v>
      </c>
      <c r="F355" s="563">
        <v>20000</v>
      </c>
      <c r="G355" s="87">
        <f t="shared" si="5"/>
        <v>0</v>
      </c>
      <c r="H355" s="509"/>
      <c r="I355" s="509"/>
      <c r="J355" s="89"/>
      <c r="K355" s="522"/>
      <c r="L355" s="204"/>
      <c r="M355" s="661"/>
      <c r="N355" s="661"/>
    </row>
    <row r="356" spans="1:14" ht="15.75" x14ac:dyDescent="0.25">
      <c r="A356" s="87">
        <v>352</v>
      </c>
      <c r="B356" s="87" t="s">
        <v>1131</v>
      </c>
      <c r="C356" s="555">
        <v>2973</v>
      </c>
      <c r="D356" s="563">
        <v>14000</v>
      </c>
      <c r="E356" s="573">
        <v>155</v>
      </c>
      <c r="F356" s="563">
        <v>14000</v>
      </c>
      <c r="G356" s="87">
        <f t="shared" si="5"/>
        <v>0</v>
      </c>
      <c r="H356" s="509"/>
      <c r="I356" s="509"/>
      <c r="J356" s="89"/>
      <c r="K356" s="522"/>
      <c r="L356" s="204"/>
      <c r="M356" s="661"/>
      <c r="N356" s="661"/>
    </row>
    <row r="357" spans="1:14" ht="15.75" x14ac:dyDescent="0.25">
      <c r="A357" s="87">
        <v>353</v>
      </c>
      <c r="B357" s="87" t="s">
        <v>1131</v>
      </c>
      <c r="C357" s="607" t="s">
        <v>1094</v>
      </c>
      <c r="D357" s="563">
        <v>30000</v>
      </c>
      <c r="E357" s="573">
        <v>334</v>
      </c>
      <c r="F357" s="563">
        <v>30000</v>
      </c>
      <c r="G357" s="87">
        <f t="shared" si="5"/>
        <v>0</v>
      </c>
      <c r="H357" s="509"/>
      <c r="I357" s="509"/>
      <c r="J357" s="89"/>
      <c r="K357" s="522"/>
      <c r="L357" s="204"/>
      <c r="M357" s="661"/>
      <c r="N357" s="661"/>
    </row>
    <row r="358" spans="1:14" ht="15.75" x14ac:dyDescent="0.25">
      <c r="A358" s="87">
        <v>354</v>
      </c>
      <c r="B358" s="87" t="s">
        <v>1131</v>
      </c>
      <c r="C358" s="555" t="s">
        <v>30</v>
      </c>
      <c r="D358" s="563">
        <v>3500</v>
      </c>
      <c r="E358" s="573">
        <v>39</v>
      </c>
      <c r="F358" s="563">
        <v>3500</v>
      </c>
      <c r="G358" s="87">
        <f t="shared" si="5"/>
        <v>0</v>
      </c>
      <c r="H358" s="509"/>
      <c r="I358" s="509"/>
      <c r="J358" s="89"/>
      <c r="K358" s="522"/>
      <c r="L358" s="204"/>
      <c r="M358" s="661"/>
      <c r="N358" s="661"/>
    </row>
    <row r="359" spans="1:14" ht="15.75" x14ac:dyDescent="0.25">
      <c r="A359" s="87">
        <v>355</v>
      </c>
      <c r="B359" s="87" t="s">
        <v>1131</v>
      </c>
      <c r="C359" s="555">
        <v>1377</v>
      </c>
      <c r="D359" s="563">
        <v>13500</v>
      </c>
      <c r="E359" s="573">
        <v>150</v>
      </c>
      <c r="F359" s="563">
        <v>13500</v>
      </c>
      <c r="G359" s="87">
        <f t="shared" si="5"/>
        <v>0</v>
      </c>
      <c r="H359" s="509"/>
      <c r="I359" s="509"/>
      <c r="J359" s="89"/>
      <c r="K359" s="522"/>
      <c r="L359" s="204"/>
      <c r="M359" s="661"/>
      <c r="N359" s="661"/>
    </row>
    <row r="360" spans="1:14" ht="15.75" x14ac:dyDescent="0.25">
      <c r="A360" s="87">
        <v>356</v>
      </c>
      <c r="B360" s="87" t="s">
        <v>1131</v>
      </c>
      <c r="C360" s="555" t="s">
        <v>66</v>
      </c>
      <c r="D360" s="563">
        <v>210</v>
      </c>
      <c r="E360" s="573" t="s">
        <v>66</v>
      </c>
      <c r="F360" s="563">
        <v>210</v>
      </c>
      <c r="G360" s="87">
        <f t="shared" si="5"/>
        <v>0</v>
      </c>
      <c r="H360" s="509"/>
      <c r="I360" s="509"/>
      <c r="J360" s="89"/>
      <c r="K360" s="522"/>
      <c r="L360" s="204"/>
      <c r="M360" s="661"/>
      <c r="N360" s="661"/>
    </row>
    <row r="361" spans="1:14" ht="15.75" x14ac:dyDescent="0.25">
      <c r="A361" s="87">
        <v>357</v>
      </c>
      <c r="B361" s="87" t="s">
        <v>1131</v>
      </c>
      <c r="C361" s="555">
        <v>4928</v>
      </c>
      <c r="D361" s="563">
        <v>21370</v>
      </c>
      <c r="E361" s="573">
        <v>238</v>
      </c>
      <c r="F361" s="563">
        <v>21370</v>
      </c>
      <c r="G361" s="87">
        <f t="shared" si="5"/>
        <v>0</v>
      </c>
      <c r="H361" s="509"/>
      <c r="I361" s="509"/>
      <c r="J361" s="89"/>
      <c r="K361" s="522"/>
      <c r="L361" s="204"/>
      <c r="M361" s="661"/>
      <c r="N361" s="661"/>
    </row>
    <row r="362" spans="1:14" ht="15.75" x14ac:dyDescent="0.25">
      <c r="A362" s="87">
        <v>358</v>
      </c>
      <c r="B362" s="87" t="s">
        <v>1131</v>
      </c>
      <c r="C362" s="555">
        <v>5207</v>
      </c>
      <c r="D362" s="563">
        <v>20000</v>
      </c>
      <c r="E362" s="573">
        <v>215</v>
      </c>
      <c r="F362" s="563">
        <v>20000</v>
      </c>
      <c r="G362" s="87">
        <f t="shared" si="5"/>
        <v>0</v>
      </c>
      <c r="H362" s="509"/>
      <c r="I362" s="509"/>
      <c r="J362" s="89"/>
      <c r="K362" s="522"/>
      <c r="L362" s="204"/>
      <c r="M362" s="661"/>
      <c r="N362" s="661"/>
    </row>
    <row r="363" spans="1:14" ht="15.75" x14ac:dyDescent="0.25">
      <c r="A363" s="87">
        <v>359</v>
      </c>
      <c r="B363" s="87" t="s">
        <v>1131</v>
      </c>
      <c r="C363" s="555">
        <v>8961</v>
      </c>
      <c r="D363" s="563">
        <v>32000</v>
      </c>
      <c r="E363" s="573">
        <v>334</v>
      </c>
      <c r="F363" s="563">
        <v>32000</v>
      </c>
      <c r="G363" s="87">
        <f t="shared" si="5"/>
        <v>0</v>
      </c>
      <c r="H363" s="509"/>
      <c r="I363" s="509"/>
      <c r="J363" s="89"/>
      <c r="K363" s="522"/>
      <c r="L363" s="204"/>
      <c r="M363" s="661"/>
      <c r="N363" s="661"/>
    </row>
    <row r="364" spans="1:14" ht="15.75" x14ac:dyDescent="0.25">
      <c r="A364" s="87">
        <v>360</v>
      </c>
      <c r="B364" s="87" t="s">
        <v>1131</v>
      </c>
      <c r="C364" s="555">
        <v>5961</v>
      </c>
      <c r="D364" s="563">
        <v>29000</v>
      </c>
      <c r="E364" s="573">
        <v>315</v>
      </c>
      <c r="F364" s="563">
        <v>29000</v>
      </c>
      <c r="G364" s="87">
        <f t="shared" si="5"/>
        <v>0</v>
      </c>
      <c r="H364" s="509"/>
      <c r="I364" s="509"/>
      <c r="J364" s="89"/>
      <c r="K364" s="522"/>
      <c r="L364" s="204"/>
      <c r="M364" s="661"/>
      <c r="N364" s="661"/>
    </row>
    <row r="365" spans="1:14" ht="15.75" x14ac:dyDescent="0.25">
      <c r="A365" s="87">
        <v>361</v>
      </c>
      <c r="B365" s="87" t="s">
        <v>1131</v>
      </c>
      <c r="C365" s="555">
        <v>4894</v>
      </c>
      <c r="D365" s="563">
        <v>29000</v>
      </c>
      <c r="E365" s="573">
        <v>323</v>
      </c>
      <c r="F365" s="563">
        <v>29000</v>
      </c>
      <c r="G365" s="87">
        <f t="shared" si="5"/>
        <v>0</v>
      </c>
      <c r="H365" s="509"/>
      <c r="I365" s="509"/>
      <c r="J365" s="89"/>
      <c r="K365" s="522"/>
      <c r="L365" s="204"/>
      <c r="M365" s="661"/>
      <c r="N365" s="661"/>
    </row>
    <row r="366" spans="1:14" ht="15.75" x14ac:dyDescent="0.25">
      <c r="A366" s="87">
        <v>362</v>
      </c>
      <c r="B366" s="87" t="s">
        <v>1131</v>
      </c>
      <c r="C366" s="555">
        <v>4255</v>
      </c>
      <c r="D366" s="563">
        <v>30000</v>
      </c>
      <c r="E366" s="573">
        <v>334</v>
      </c>
      <c r="F366" s="563">
        <v>30000</v>
      </c>
      <c r="G366" s="87">
        <f t="shared" si="5"/>
        <v>0</v>
      </c>
      <c r="H366" s="509"/>
      <c r="I366" s="509"/>
      <c r="J366" s="89"/>
      <c r="K366" s="522"/>
      <c r="L366" s="204"/>
      <c r="M366" s="661"/>
      <c r="N366" s="661"/>
    </row>
    <row r="367" spans="1:14" ht="15.75" x14ac:dyDescent="0.25">
      <c r="A367" s="87">
        <v>363</v>
      </c>
      <c r="B367" s="87" t="s">
        <v>1131</v>
      </c>
      <c r="C367" s="555">
        <v>1769</v>
      </c>
      <c r="D367" s="563">
        <v>28000</v>
      </c>
      <c r="E367" s="573">
        <v>311</v>
      </c>
      <c r="F367" s="563">
        <v>28000</v>
      </c>
      <c r="G367" s="87">
        <f t="shared" si="5"/>
        <v>0</v>
      </c>
      <c r="H367" s="509"/>
      <c r="I367" s="509"/>
      <c r="J367" s="89"/>
      <c r="K367" s="522"/>
      <c r="L367" s="204"/>
      <c r="M367" s="661"/>
      <c r="N367" s="661"/>
    </row>
    <row r="368" spans="1:14" ht="15.75" x14ac:dyDescent="0.25">
      <c r="A368" s="87">
        <v>364</v>
      </c>
      <c r="B368" s="87" t="s">
        <v>1171</v>
      </c>
      <c r="C368" s="555">
        <v>9458</v>
      </c>
      <c r="D368" s="563">
        <v>29000</v>
      </c>
      <c r="E368" s="573">
        <v>305</v>
      </c>
      <c r="F368" s="563">
        <v>29000</v>
      </c>
      <c r="G368" s="87">
        <f t="shared" si="5"/>
        <v>0</v>
      </c>
      <c r="H368" s="509"/>
      <c r="I368" s="509"/>
      <c r="J368" s="89"/>
      <c r="K368" s="522"/>
      <c r="L368" s="204"/>
      <c r="M368" s="661"/>
      <c r="N368" s="661"/>
    </row>
    <row r="369" spans="1:14" ht="15.75" x14ac:dyDescent="0.25">
      <c r="A369" s="87">
        <v>365</v>
      </c>
      <c r="B369" s="87" t="s">
        <v>1171</v>
      </c>
      <c r="C369" s="555">
        <v>4575</v>
      </c>
      <c r="D369" s="563">
        <v>14000</v>
      </c>
      <c r="E369" s="573">
        <v>155</v>
      </c>
      <c r="F369" s="563">
        <v>14000</v>
      </c>
      <c r="G369" s="87">
        <f t="shared" si="5"/>
        <v>0</v>
      </c>
      <c r="H369" s="509"/>
      <c r="I369" s="509"/>
      <c r="J369" s="89"/>
      <c r="K369" s="522"/>
      <c r="L369" s="204"/>
      <c r="M369" s="661"/>
      <c r="N369" s="661"/>
    </row>
    <row r="370" spans="1:14" ht="15.75" x14ac:dyDescent="0.25">
      <c r="A370" s="87">
        <v>366</v>
      </c>
      <c r="B370" s="87" t="s">
        <v>1171</v>
      </c>
      <c r="C370" s="555" t="s">
        <v>30</v>
      </c>
      <c r="D370" s="563">
        <v>3500</v>
      </c>
      <c r="E370" s="573">
        <v>39</v>
      </c>
      <c r="F370" s="563">
        <v>3500</v>
      </c>
      <c r="G370" s="87">
        <f t="shared" si="5"/>
        <v>0</v>
      </c>
      <c r="H370" s="509"/>
      <c r="I370" s="509"/>
      <c r="J370" s="89"/>
      <c r="K370" s="522"/>
      <c r="L370" s="204"/>
      <c r="M370" s="661"/>
      <c r="N370" s="661"/>
    </row>
    <row r="371" spans="1:14" ht="15.75" x14ac:dyDescent="0.25">
      <c r="A371" s="87">
        <v>367</v>
      </c>
      <c r="B371" s="87" t="s">
        <v>1171</v>
      </c>
      <c r="C371" s="555">
        <v>8936</v>
      </c>
      <c r="D371" s="563">
        <v>13000</v>
      </c>
      <c r="E371" s="573">
        <v>144</v>
      </c>
      <c r="F371" s="563">
        <v>13000</v>
      </c>
      <c r="G371" s="87">
        <f t="shared" si="5"/>
        <v>0</v>
      </c>
      <c r="H371" s="509"/>
      <c r="I371" s="509"/>
      <c r="J371" s="89"/>
      <c r="K371" s="522"/>
      <c r="L371" s="204"/>
      <c r="M371" s="661"/>
      <c r="N371" s="661"/>
    </row>
    <row r="372" spans="1:14" ht="15.75" x14ac:dyDescent="0.25">
      <c r="A372" s="87">
        <v>368</v>
      </c>
      <c r="B372" s="87" t="s">
        <v>1171</v>
      </c>
      <c r="C372" s="555">
        <v>9767</v>
      </c>
      <c r="D372" s="563">
        <v>16000</v>
      </c>
      <c r="E372" s="573">
        <v>178</v>
      </c>
      <c r="F372" s="563">
        <v>16000</v>
      </c>
      <c r="G372" s="87">
        <f t="shared" si="5"/>
        <v>0</v>
      </c>
      <c r="H372" s="509"/>
      <c r="I372" s="509"/>
      <c r="J372" s="89"/>
      <c r="K372" s="522"/>
      <c r="L372" s="204"/>
      <c r="M372" s="661"/>
      <c r="N372" s="661"/>
    </row>
    <row r="373" spans="1:14" ht="15.75" x14ac:dyDescent="0.25">
      <c r="A373" s="87">
        <v>369</v>
      </c>
      <c r="B373" s="87" t="s">
        <v>1171</v>
      </c>
      <c r="C373" s="555">
        <v>6133</v>
      </c>
      <c r="D373" s="563">
        <v>16000</v>
      </c>
      <c r="E373" s="573">
        <v>178</v>
      </c>
      <c r="F373" s="563">
        <v>16000</v>
      </c>
      <c r="G373" s="87">
        <f t="shared" si="5"/>
        <v>0</v>
      </c>
      <c r="H373" s="509"/>
      <c r="I373" s="509"/>
      <c r="J373" s="89"/>
      <c r="K373" s="522"/>
      <c r="L373" s="204"/>
      <c r="M373" s="661"/>
      <c r="N373" s="661"/>
    </row>
    <row r="374" spans="1:14" ht="15.75" x14ac:dyDescent="0.25">
      <c r="A374" s="87">
        <v>370</v>
      </c>
      <c r="B374" s="87" t="s">
        <v>1171</v>
      </c>
      <c r="C374" s="555">
        <v>1543</v>
      </c>
      <c r="D374" s="563">
        <v>16000</v>
      </c>
      <c r="E374" s="573">
        <v>178</v>
      </c>
      <c r="F374" s="563">
        <v>16000</v>
      </c>
      <c r="G374" s="87">
        <f t="shared" si="5"/>
        <v>0</v>
      </c>
      <c r="H374" s="509"/>
      <c r="I374" s="509"/>
      <c r="J374" s="89"/>
      <c r="K374" s="522"/>
      <c r="L374" s="204"/>
      <c r="M374" s="661"/>
      <c r="N374" s="661"/>
    </row>
    <row r="375" spans="1:14" ht="15.75" x14ac:dyDescent="0.25">
      <c r="A375" s="87">
        <v>371</v>
      </c>
      <c r="B375" s="87" t="s">
        <v>1171</v>
      </c>
      <c r="C375" s="607" t="s">
        <v>873</v>
      </c>
      <c r="D375" s="563">
        <v>16000</v>
      </c>
      <c r="E375" s="573">
        <v>178</v>
      </c>
      <c r="F375" s="563">
        <v>16000</v>
      </c>
      <c r="G375" s="87">
        <f t="shared" si="5"/>
        <v>0</v>
      </c>
      <c r="H375" s="509"/>
      <c r="I375" s="509"/>
      <c r="J375" s="89"/>
      <c r="K375" s="522"/>
      <c r="L375" s="204"/>
      <c r="M375" s="661"/>
      <c r="N375" s="661"/>
    </row>
    <row r="376" spans="1:14" ht="15.75" x14ac:dyDescent="0.25">
      <c r="A376" s="87">
        <v>372</v>
      </c>
      <c r="B376" s="87" t="s">
        <v>1171</v>
      </c>
      <c r="C376" s="555">
        <v>5152</v>
      </c>
      <c r="D376" s="563">
        <v>15000</v>
      </c>
      <c r="E376" s="573">
        <v>167</v>
      </c>
      <c r="F376" s="563">
        <v>15000</v>
      </c>
      <c r="G376" s="87">
        <f t="shared" si="5"/>
        <v>0</v>
      </c>
      <c r="H376" s="509"/>
      <c r="I376" s="509"/>
      <c r="J376" s="89"/>
      <c r="K376" s="522"/>
      <c r="L376" s="204"/>
      <c r="M376" s="661"/>
      <c r="N376" s="661"/>
    </row>
    <row r="377" spans="1:14" ht="15.75" x14ac:dyDescent="0.25">
      <c r="A377" s="87">
        <v>373</v>
      </c>
      <c r="B377" s="87" t="s">
        <v>1171</v>
      </c>
      <c r="C377" s="555">
        <v>7880</v>
      </c>
      <c r="D377" s="563">
        <v>24000</v>
      </c>
      <c r="E377" s="573">
        <v>167</v>
      </c>
      <c r="F377" s="563">
        <v>24000</v>
      </c>
      <c r="G377" s="87">
        <f t="shared" si="5"/>
        <v>0</v>
      </c>
      <c r="H377" s="509"/>
      <c r="I377" s="509"/>
      <c r="J377" s="89"/>
      <c r="K377" s="522"/>
      <c r="L377" s="204"/>
      <c r="M377" s="661"/>
      <c r="N377" s="661"/>
    </row>
    <row r="378" spans="1:14" ht="15.75" x14ac:dyDescent="0.25">
      <c r="A378" s="87">
        <v>374</v>
      </c>
      <c r="B378" s="87" t="s">
        <v>1171</v>
      </c>
      <c r="C378" s="555">
        <v>5252</v>
      </c>
      <c r="D378" s="563">
        <v>18000</v>
      </c>
      <c r="E378" s="573">
        <v>200</v>
      </c>
      <c r="F378" s="563">
        <v>18000</v>
      </c>
      <c r="G378" s="87">
        <f t="shared" si="5"/>
        <v>0</v>
      </c>
      <c r="H378" s="509"/>
      <c r="I378" s="509"/>
      <c r="J378" s="89"/>
      <c r="K378" s="522"/>
      <c r="L378" s="204"/>
      <c r="M378" s="661"/>
      <c r="N378" s="661"/>
    </row>
    <row r="379" spans="1:14" ht="15.75" x14ac:dyDescent="0.25">
      <c r="A379" s="87">
        <v>375</v>
      </c>
      <c r="B379" s="87" t="s">
        <v>1171</v>
      </c>
      <c r="C379" s="555">
        <v>3177</v>
      </c>
      <c r="D379" s="563">
        <v>15000</v>
      </c>
      <c r="E379" s="573">
        <v>167</v>
      </c>
      <c r="F379" s="563">
        <v>15000</v>
      </c>
      <c r="G379" s="87">
        <f t="shared" si="5"/>
        <v>0</v>
      </c>
      <c r="H379" s="509"/>
      <c r="I379" s="509"/>
      <c r="J379" s="89"/>
      <c r="K379" s="522"/>
      <c r="L379" s="204"/>
      <c r="M379" s="661"/>
      <c r="N379" s="661"/>
    </row>
    <row r="380" spans="1:14" ht="15.75" x14ac:dyDescent="0.25">
      <c r="A380" s="87">
        <v>376</v>
      </c>
      <c r="B380" s="87" t="s">
        <v>1171</v>
      </c>
      <c r="C380" s="555">
        <v>7668</v>
      </c>
      <c r="D380" s="563">
        <v>16781</v>
      </c>
      <c r="E380" s="573">
        <v>186</v>
      </c>
      <c r="F380" s="563">
        <v>16781</v>
      </c>
      <c r="G380" s="87">
        <f t="shared" si="5"/>
        <v>0</v>
      </c>
      <c r="H380" s="509"/>
      <c r="I380" s="509"/>
      <c r="J380" s="89"/>
      <c r="K380" s="522"/>
      <c r="L380" s="204"/>
      <c r="M380" s="661"/>
      <c r="N380" s="661"/>
    </row>
    <row r="381" spans="1:14" ht="15.75" x14ac:dyDescent="0.25">
      <c r="A381" s="87">
        <v>377</v>
      </c>
      <c r="B381" s="87" t="s">
        <v>1171</v>
      </c>
      <c r="C381" s="555" t="s">
        <v>66</v>
      </c>
      <c r="D381" s="563">
        <v>100</v>
      </c>
      <c r="E381" s="573" t="s">
        <v>66</v>
      </c>
      <c r="F381" s="563">
        <v>100</v>
      </c>
      <c r="G381" s="87">
        <f t="shared" si="5"/>
        <v>0</v>
      </c>
      <c r="H381" s="509"/>
      <c r="I381" s="509"/>
      <c r="J381" s="89"/>
      <c r="K381" s="522"/>
      <c r="L381" s="204"/>
      <c r="M381" s="661"/>
      <c r="N381" s="661"/>
    </row>
    <row r="382" spans="1:14" ht="15.75" x14ac:dyDescent="0.25">
      <c r="A382" s="87">
        <v>378</v>
      </c>
      <c r="B382" s="87" t="s">
        <v>1171</v>
      </c>
      <c r="C382" s="607" t="s">
        <v>1172</v>
      </c>
      <c r="D382" s="563">
        <v>25000</v>
      </c>
      <c r="E382" s="573">
        <v>247</v>
      </c>
      <c r="F382" s="563">
        <v>25000</v>
      </c>
      <c r="G382" s="87">
        <f t="shared" si="5"/>
        <v>0</v>
      </c>
      <c r="H382" s="509"/>
      <c r="I382" s="509"/>
      <c r="J382" s="89"/>
      <c r="K382" s="522"/>
      <c r="L382" s="204"/>
      <c r="M382" s="661"/>
      <c r="N382" s="661"/>
    </row>
    <row r="383" spans="1:14" ht="15.75" x14ac:dyDescent="0.25">
      <c r="A383" s="87">
        <v>379</v>
      </c>
      <c r="B383" s="87" t="s">
        <v>1132</v>
      </c>
      <c r="C383" s="555">
        <v>2003</v>
      </c>
      <c r="D383" s="563">
        <v>15000</v>
      </c>
      <c r="E383" s="573">
        <v>167</v>
      </c>
      <c r="F383" s="563">
        <v>15000</v>
      </c>
      <c r="G383" s="87">
        <f t="shared" si="5"/>
        <v>0</v>
      </c>
      <c r="H383" s="509"/>
      <c r="I383" s="509"/>
      <c r="J383" s="89"/>
      <c r="K383" s="522"/>
      <c r="L383" s="204"/>
      <c r="M383" s="661"/>
      <c r="N383" s="661"/>
    </row>
    <row r="384" spans="1:14" ht="15.75" x14ac:dyDescent="0.25">
      <c r="A384" s="87">
        <v>380</v>
      </c>
      <c r="B384" s="87" t="s">
        <v>1132</v>
      </c>
      <c r="C384" s="555">
        <v>5650</v>
      </c>
      <c r="D384" s="563">
        <v>15000</v>
      </c>
      <c r="E384" s="573">
        <v>167</v>
      </c>
      <c r="F384" s="563">
        <v>15000</v>
      </c>
      <c r="G384" s="87">
        <f t="shared" si="5"/>
        <v>0</v>
      </c>
      <c r="H384" s="509"/>
      <c r="I384" s="509"/>
      <c r="J384" s="89"/>
      <c r="K384" s="522"/>
      <c r="L384" s="204"/>
      <c r="M384" s="661"/>
      <c r="N384" s="661"/>
    </row>
    <row r="385" spans="1:14" ht="15.75" x14ac:dyDescent="0.25">
      <c r="A385" s="87">
        <v>381</v>
      </c>
      <c r="B385" s="87" t="s">
        <v>1132</v>
      </c>
      <c r="C385" s="555">
        <v>9857</v>
      </c>
      <c r="D385" s="563">
        <v>16000</v>
      </c>
      <c r="E385" s="573">
        <v>178</v>
      </c>
      <c r="F385" s="563">
        <v>16000</v>
      </c>
      <c r="G385" s="87">
        <f t="shared" si="5"/>
        <v>0</v>
      </c>
      <c r="H385" s="509"/>
      <c r="I385" s="509"/>
      <c r="J385" s="89"/>
      <c r="K385" s="522"/>
      <c r="L385" s="204"/>
      <c r="M385" s="661"/>
      <c r="N385" s="661"/>
    </row>
    <row r="386" spans="1:14" ht="15.75" x14ac:dyDescent="0.25">
      <c r="A386" s="87">
        <v>382</v>
      </c>
      <c r="B386" s="87" t="s">
        <v>1132</v>
      </c>
      <c r="C386" s="555">
        <v>2888</v>
      </c>
      <c r="D386" s="563">
        <v>17000</v>
      </c>
      <c r="E386" s="573">
        <v>189</v>
      </c>
      <c r="F386" s="563">
        <v>17000</v>
      </c>
      <c r="G386" s="87">
        <f t="shared" si="5"/>
        <v>0</v>
      </c>
      <c r="H386" s="509"/>
      <c r="I386" s="509"/>
      <c r="J386" s="89"/>
      <c r="K386" s="522"/>
      <c r="L386" s="204"/>
      <c r="M386" s="661"/>
      <c r="N386" s="661"/>
    </row>
    <row r="387" spans="1:14" ht="15.75" x14ac:dyDescent="0.25">
      <c r="A387" s="87">
        <v>383</v>
      </c>
      <c r="B387" s="87" t="s">
        <v>1132</v>
      </c>
      <c r="C387" s="555">
        <v>9957</v>
      </c>
      <c r="D387" s="563">
        <v>16000</v>
      </c>
      <c r="E387" s="573">
        <v>171</v>
      </c>
      <c r="F387" s="563">
        <v>16000</v>
      </c>
      <c r="G387" s="87">
        <f t="shared" si="5"/>
        <v>0</v>
      </c>
      <c r="H387" s="509"/>
      <c r="I387" s="509"/>
      <c r="J387" s="89"/>
      <c r="K387" s="522"/>
      <c r="L387" s="204"/>
      <c r="M387" s="661"/>
      <c r="N387" s="661"/>
    </row>
    <row r="388" spans="1:14" ht="15.75" x14ac:dyDescent="0.25">
      <c r="A388" s="87">
        <v>384</v>
      </c>
      <c r="B388" s="87" t="s">
        <v>1132</v>
      </c>
      <c r="C388" s="607" t="s">
        <v>1173</v>
      </c>
      <c r="D388" s="563">
        <v>21000</v>
      </c>
      <c r="E388" s="573">
        <v>233</v>
      </c>
      <c r="F388" s="563">
        <v>21000</v>
      </c>
      <c r="G388" s="87">
        <f t="shared" si="5"/>
        <v>0</v>
      </c>
      <c r="H388" s="509"/>
      <c r="I388" s="509"/>
      <c r="J388" s="89"/>
      <c r="K388" s="522"/>
      <c r="L388" s="204"/>
      <c r="M388" s="661"/>
      <c r="N388" s="661"/>
    </row>
    <row r="389" spans="1:14" ht="15.75" x14ac:dyDescent="0.25">
      <c r="A389" s="87">
        <v>385</v>
      </c>
      <c r="B389" s="87" t="s">
        <v>1132</v>
      </c>
      <c r="C389" s="555">
        <v>5225</v>
      </c>
      <c r="D389" s="563">
        <v>14000</v>
      </c>
      <c r="E389" s="573">
        <v>155</v>
      </c>
      <c r="F389" s="563">
        <v>14000</v>
      </c>
      <c r="G389" s="87">
        <f t="shared" ref="G389:G452" si="6">D389-F389</f>
        <v>0</v>
      </c>
      <c r="H389" s="509"/>
      <c r="I389" s="509"/>
      <c r="J389" s="89"/>
      <c r="K389" s="522"/>
      <c r="L389" s="204"/>
      <c r="M389" s="661"/>
      <c r="N389" s="661"/>
    </row>
    <row r="390" spans="1:14" ht="15.75" x14ac:dyDescent="0.25">
      <c r="A390" s="87">
        <v>386</v>
      </c>
      <c r="B390" s="87" t="s">
        <v>1132</v>
      </c>
      <c r="C390" s="555">
        <v>8484</v>
      </c>
      <c r="D390" s="563">
        <v>27000</v>
      </c>
      <c r="E390" s="573">
        <v>300</v>
      </c>
      <c r="F390" s="563">
        <v>27000</v>
      </c>
      <c r="G390" s="87">
        <f t="shared" si="6"/>
        <v>0</v>
      </c>
      <c r="H390" s="509"/>
      <c r="I390" s="509"/>
      <c r="J390" s="89"/>
      <c r="K390" s="522"/>
      <c r="L390" s="204"/>
      <c r="M390" s="661"/>
      <c r="N390" s="661"/>
    </row>
    <row r="391" spans="1:14" ht="15.75" x14ac:dyDescent="0.25">
      <c r="A391" s="87">
        <v>387</v>
      </c>
      <c r="B391" s="87" t="s">
        <v>1132</v>
      </c>
      <c r="C391" s="607" t="s">
        <v>978</v>
      </c>
      <c r="D391" s="563">
        <v>25000</v>
      </c>
      <c r="E391" s="573">
        <v>268</v>
      </c>
      <c r="F391" s="563">
        <v>25000</v>
      </c>
      <c r="G391" s="87">
        <f t="shared" si="6"/>
        <v>0</v>
      </c>
      <c r="H391" s="509"/>
      <c r="I391" s="509"/>
      <c r="J391" s="89"/>
      <c r="K391" s="522"/>
      <c r="L391" s="204"/>
      <c r="M391" s="661"/>
      <c r="N391" s="661"/>
    </row>
    <row r="392" spans="1:14" ht="15.75" x14ac:dyDescent="0.25">
      <c r="A392" s="87">
        <v>388</v>
      </c>
      <c r="B392" s="87" t="s">
        <v>1132</v>
      </c>
      <c r="C392" s="607" t="s">
        <v>950</v>
      </c>
      <c r="D392" s="563">
        <v>25000</v>
      </c>
      <c r="E392" s="573">
        <v>278</v>
      </c>
      <c r="F392" s="563">
        <v>25000</v>
      </c>
      <c r="G392" s="87">
        <f t="shared" si="6"/>
        <v>0</v>
      </c>
      <c r="H392" s="509"/>
      <c r="I392" s="509"/>
      <c r="J392" s="89"/>
      <c r="K392" s="522"/>
      <c r="L392" s="204"/>
      <c r="M392" s="661"/>
      <c r="N392" s="661"/>
    </row>
    <row r="393" spans="1:14" ht="15.75" x14ac:dyDescent="0.25">
      <c r="A393" s="87">
        <v>389</v>
      </c>
      <c r="B393" s="87" t="s">
        <v>1132</v>
      </c>
      <c r="C393" s="555">
        <v>3662</v>
      </c>
      <c r="D393" s="563">
        <v>27000</v>
      </c>
      <c r="E393" s="573">
        <v>300</v>
      </c>
      <c r="F393" s="563">
        <v>27000</v>
      </c>
      <c r="G393" s="87">
        <f t="shared" si="6"/>
        <v>0</v>
      </c>
      <c r="H393" s="509"/>
      <c r="I393" s="509"/>
      <c r="J393" s="89"/>
      <c r="K393" s="522"/>
      <c r="L393" s="204"/>
      <c r="M393" s="661"/>
      <c r="N393" s="661"/>
    </row>
    <row r="394" spans="1:14" ht="15.75" x14ac:dyDescent="0.25">
      <c r="A394" s="87">
        <v>390</v>
      </c>
      <c r="B394" s="87" t="s">
        <v>1132</v>
      </c>
      <c r="C394" s="555">
        <v>2435</v>
      </c>
      <c r="D394" s="563">
        <v>14000</v>
      </c>
      <c r="E394" s="573">
        <v>155</v>
      </c>
      <c r="F394" s="563">
        <v>14000</v>
      </c>
      <c r="G394" s="87">
        <f t="shared" si="6"/>
        <v>0</v>
      </c>
      <c r="H394" s="509"/>
      <c r="I394" s="509"/>
      <c r="J394" s="89"/>
      <c r="K394" s="522"/>
      <c r="L394" s="204"/>
      <c r="M394" s="661"/>
      <c r="N394" s="661"/>
    </row>
    <row r="395" spans="1:14" ht="15.75" x14ac:dyDescent="0.25">
      <c r="A395" s="87">
        <v>391</v>
      </c>
      <c r="B395" s="87" t="s">
        <v>1132</v>
      </c>
      <c r="C395" s="555">
        <v>6171</v>
      </c>
      <c r="D395" s="563">
        <v>20000</v>
      </c>
      <c r="E395" s="573">
        <v>213</v>
      </c>
      <c r="F395" s="563">
        <v>20000</v>
      </c>
      <c r="G395" s="87">
        <f t="shared" si="6"/>
        <v>0</v>
      </c>
      <c r="H395" s="509"/>
      <c r="I395" s="509"/>
      <c r="J395" s="89"/>
      <c r="K395" s="522"/>
      <c r="L395" s="204"/>
      <c r="M395" s="661"/>
      <c r="N395" s="661"/>
    </row>
    <row r="396" spans="1:14" ht="15.75" x14ac:dyDescent="0.25">
      <c r="A396" s="87">
        <v>392</v>
      </c>
      <c r="B396" s="87" t="s">
        <v>1132</v>
      </c>
      <c r="C396" s="555">
        <v>7704</v>
      </c>
      <c r="D396" s="563">
        <v>20000</v>
      </c>
      <c r="E396" s="573">
        <v>222</v>
      </c>
      <c r="F396" s="563">
        <v>20000</v>
      </c>
      <c r="G396" s="87">
        <f t="shared" si="6"/>
        <v>0</v>
      </c>
      <c r="H396" s="509"/>
      <c r="I396" s="509"/>
      <c r="J396" s="89"/>
      <c r="K396" s="522"/>
      <c r="L396" s="204"/>
      <c r="M396" s="661"/>
      <c r="N396" s="661"/>
    </row>
    <row r="397" spans="1:14" ht="15.75" x14ac:dyDescent="0.25">
      <c r="A397" s="87">
        <v>393</v>
      </c>
      <c r="B397" s="87" t="s">
        <v>1132</v>
      </c>
      <c r="C397" s="555">
        <v>3108</v>
      </c>
      <c r="D397" s="563">
        <v>25000</v>
      </c>
      <c r="E397" s="573">
        <v>270</v>
      </c>
      <c r="F397" s="563">
        <v>25000</v>
      </c>
      <c r="G397" s="87">
        <f t="shared" si="6"/>
        <v>0</v>
      </c>
      <c r="H397" s="509"/>
      <c r="I397" s="509"/>
      <c r="J397" s="89"/>
      <c r="K397" s="522"/>
      <c r="L397" s="204"/>
      <c r="M397" s="661"/>
      <c r="N397" s="661"/>
    </row>
    <row r="398" spans="1:14" ht="15.75" x14ac:dyDescent="0.25">
      <c r="A398" s="87">
        <v>394</v>
      </c>
      <c r="B398" s="87" t="s">
        <v>1132</v>
      </c>
      <c r="C398" s="555" t="s">
        <v>30</v>
      </c>
      <c r="D398" s="563">
        <v>3500</v>
      </c>
      <c r="E398" s="573">
        <v>39</v>
      </c>
      <c r="F398" s="563">
        <v>3500</v>
      </c>
      <c r="G398" s="87">
        <f t="shared" si="6"/>
        <v>0</v>
      </c>
      <c r="H398" s="509"/>
      <c r="I398" s="509"/>
      <c r="J398" s="89"/>
      <c r="K398" s="522"/>
      <c r="L398" s="204"/>
      <c r="M398" s="661"/>
      <c r="N398" s="661"/>
    </row>
    <row r="399" spans="1:14" ht="15.75" x14ac:dyDescent="0.25">
      <c r="A399" s="87">
        <v>395</v>
      </c>
      <c r="B399" s="87" t="s">
        <v>1132</v>
      </c>
      <c r="C399" s="555" t="s">
        <v>30</v>
      </c>
      <c r="D399" s="563">
        <v>10000</v>
      </c>
      <c r="E399" s="573">
        <v>111</v>
      </c>
      <c r="F399" s="563">
        <v>10000</v>
      </c>
      <c r="G399" s="87">
        <f t="shared" si="6"/>
        <v>0</v>
      </c>
      <c r="H399" s="509"/>
      <c r="I399" s="509"/>
      <c r="J399" s="89"/>
      <c r="K399" s="522"/>
      <c r="L399" s="204"/>
      <c r="M399" s="661"/>
      <c r="N399" s="661"/>
    </row>
    <row r="400" spans="1:14" ht="15.75" x14ac:dyDescent="0.25">
      <c r="A400" s="87">
        <v>396</v>
      </c>
      <c r="B400" s="87" t="s">
        <v>1132</v>
      </c>
      <c r="C400" s="555" t="s">
        <v>30</v>
      </c>
      <c r="D400" s="563">
        <v>4500</v>
      </c>
      <c r="E400" s="573">
        <v>50</v>
      </c>
      <c r="F400" s="563">
        <v>4500</v>
      </c>
      <c r="G400" s="87">
        <f t="shared" si="6"/>
        <v>0</v>
      </c>
      <c r="H400" s="509"/>
      <c r="I400" s="509"/>
      <c r="J400" s="89"/>
      <c r="K400" s="522"/>
      <c r="L400" s="204"/>
      <c r="M400" s="661"/>
      <c r="N400" s="661"/>
    </row>
    <row r="401" spans="1:14" ht="15.75" x14ac:dyDescent="0.25">
      <c r="A401" s="87">
        <v>397</v>
      </c>
      <c r="B401" s="87" t="s">
        <v>1132</v>
      </c>
      <c r="C401" s="555">
        <v>1547</v>
      </c>
      <c r="D401" s="563">
        <v>23000</v>
      </c>
      <c r="E401" s="573">
        <v>245</v>
      </c>
      <c r="F401" s="563">
        <v>23000</v>
      </c>
      <c r="G401" s="87">
        <f t="shared" si="6"/>
        <v>0</v>
      </c>
      <c r="H401" s="509"/>
      <c r="I401" s="509"/>
      <c r="J401" s="89"/>
      <c r="K401" s="522"/>
      <c r="L401" s="204"/>
      <c r="M401" s="661"/>
      <c r="N401" s="661"/>
    </row>
    <row r="402" spans="1:14" ht="15.75" x14ac:dyDescent="0.25">
      <c r="A402" s="87">
        <v>398</v>
      </c>
      <c r="B402" s="87" t="s">
        <v>1132</v>
      </c>
      <c r="C402" s="555" t="s">
        <v>66</v>
      </c>
      <c r="D402" s="563">
        <v>100</v>
      </c>
      <c r="E402" s="573" t="s">
        <v>66</v>
      </c>
      <c r="F402" s="563">
        <v>100</v>
      </c>
      <c r="G402" s="87">
        <f t="shared" si="6"/>
        <v>0</v>
      </c>
      <c r="H402" s="509"/>
      <c r="I402" s="509"/>
      <c r="J402" s="89"/>
      <c r="K402" s="522"/>
      <c r="L402" s="204"/>
      <c r="M402" s="661"/>
      <c r="N402" s="661"/>
    </row>
    <row r="403" spans="1:14" ht="15.75" x14ac:dyDescent="0.25">
      <c r="A403" s="87">
        <v>399</v>
      </c>
      <c r="B403" s="87" t="s">
        <v>1132</v>
      </c>
      <c r="C403" s="555">
        <v>9027</v>
      </c>
      <c r="D403" s="563">
        <v>30000</v>
      </c>
      <c r="E403" s="573">
        <v>334</v>
      </c>
      <c r="F403" s="563">
        <v>30000</v>
      </c>
      <c r="G403" s="87">
        <f t="shared" si="6"/>
        <v>0</v>
      </c>
      <c r="H403" s="509"/>
      <c r="I403" s="509"/>
      <c r="J403" s="89"/>
      <c r="K403" s="522"/>
      <c r="L403" s="204"/>
      <c r="M403" s="661"/>
      <c r="N403" s="661"/>
    </row>
    <row r="404" spans="1:14" ht="15.75" x14ac:dyDescent="0.25">
      <c r="A404" s="87">
        <v>400</v>
      </c>
      <c r="B404" s="87" t="s">
        <v>1132</v>
      </c>
      <c r="C404" s="607" t="s">
        <v>1174</v>
      </c>
      <c r="D404" s="563">
        <v>22000</v>
      </c>
      <c r="E404" s="573">
        <v>245</v>
      </c>
      <c r="F404" s="563">
        <v>22000</v>
      </c>
      <c r="G404" s="87">
        <f t="shared" si="6"/>
        <v>0</v>
      </c>
      <c r="H404" s="509"/>
      <c r="I404" s="509"/>
      <c r="J404" s="89"/>
      <c r="K404" s="522"/>
      <c r="L404" s="204"/>
      <c r="M404" s="661"/>
      <c r="N404" s="661"/>
    </row>
    <row r="405" spans="1:14" ht="15.75" x14ac:dyDescent="0.25">
      <c r="A405" s="87">
        <v>401</v>
      </c>
      <c r="B405" s="87" t="s">
        <v>1132</v>
      </c>
      <c r="C405" s="555">
        <v>1073</v>
      </c>
      <c r="D405" s="563">
        <v>27200</v>
      </c>
      <c r="E405" s="573">
        <v>303</v>
      </c>
      <c r="F405" s="563">
        <v>27200</v>
      </c>
      <c r="G405" s="87">
        <f t="shared" si="6"/>
        <v>0</v>
      </c>
      <c r="H405" s="509"/>
      <c r="I405" s="509"/>
      <c r="J405" s="89"/>
      <c r="K405" s="522"/>
      <c r="L405" s="204"/>
      <c r="M405" s="661"/>
      <c r="N405" s="661"/>
    </row>
    <row r="406" spans="1:14" ht="15.75" x14ac:dyDescent="0.25">
      <c r="A406" s="87">
        <v>402</v>
      </c>
      <c r="B406" s="87" t="s">
        <v>1132</v>
      </c>
      <c r="C406" s="555">
        <v>6555</v>
      </c>
      <c r="D406" s="563">
        <v>25000</v>
      </c>
      <c r="E406" s="573">
        <v>278</v>
      </c>
      <c r="F406" s="563">
        <v>25000</v>
      </c>
      <c r="G406" s="87">
        <f t="shared" si="6"/>
        <v>0</v>
      </c>
      <c r="H406" s="509"/>
      <c r="I406" s="509"/>
      <c r="J406" s="89"/>
      <c r="K406" s="522"/>
      <c r="L406" s="204"/>
      <c r="M406" s="661"/>
      <c r="N406" s="661"/>
    </row>
    <row r="407" spans="1:14" ht="15.75" x14ac:dyDescent="0.25">
      <c r="A407" s="87">
        <v>403</v>
      </c>
      <c r="B407" s="87" t="s">
        <v>1132</v>
      </c>
      <c r="C407" s="555">
        <v>1028</v>
      </c>
      <c r="D407" s="563">
        <v>25000</v>
      </c>
      <c r="E407" s="573">
        <v>278</v>
      </c>
      <c r="F407" s="563">
        <v>25000</v>
      </c>
      <c r="G407" s="87">
        <f t="shared" si="6"/>
        <v>0</v>
      </c>
      <c r="H407" s="509"/>
      <c r="I407" s="509"/>
      <c r="J407" s="89"/>
      <c r="K407" s="522"/>
      <c r="L407" s="204"/>
      <c r="M407" s="661"/>
      <c r="N407" s="661"/>
    </row>
    <row r="408" spans="1:14" ht="15.75" x14ac:dyDescent="0.25">
      <c r="A408" s="87">
        <v>404</v>
      </c>
      <c r="B408" s="87" t="s">
        <v>1132</v>
      </c>
      <c r="C408" s="555">
        <v>5565</v>
      </c>
      <c r="D408" s="563">
        <v>25000</v>
      </c>
      <c r="E408" s="573">
        <v>278</v>
      </c>
      <c r="F408" s="563">
        <v>25000</v>
      </c>
      <c r="G408" s="87">
        <f t="shared" si="6"/>
        <v>0</v>
      </c>
      <c r="H408" s="509"/>
      <c r="I408" s="509"/>
      <c r="J408" s="89"/>
      <c r="K408" s="522"/>
      <c r="L408" s="204"/>
      <c r="M408" s="661"/>
      <c r="N408" s="661"/>
    </row>
    <row r="409" spans="1:14" ht="15.75" x14ac:dyDescent="0.25">
      <c r="A409" s="87">
        <v>405</v>
      </c>
      <c r="B409" s="87" t="s">
        <v>1132</v>
      </c>
      <c r="C409" s="555">
        <v>1309</v>
      </c>
      <c r="D409" s="563">
        <v>25000</v>
      </c>
      <c r="E409" s="573">
        <v>278</v>
      </c>
      <c r="F409" s="563">
        <v>25000</v>
      </c>
      <c r="G409" s="87">
        <f t="shared" si="6"/>
        <v>0</v>
      </c>
      <c r="H409" s="509"/>
      <c r="I409" s="509"/>
      <c r="J409" s="89"/>
      <c r="K409" s="522"/>
      <c r="L409" s="204"/>
      <c r="M409" s="661"/>
      <c r="N409" s="661"/>
    </row>
    <row r="410" spans="1:14" ht="15.75" x14ac:dyDescent="0.25">
      <c r="A410" s="87">
        <v>406</v>
      </c>
      <c r="B410" s="87" t="s">
        <v>1132</v>
      </c>
      <c r="C410" s="555">
        <v>3390</v>
      </c>
      <c r="D410" s="563">
        <v>25000</v>
      </c>
      <c r="E410" s="573">
        <v>278</v>
      </c>
      <c r="F410" s="563">
        <v>25000</v>
      </c>
      <c r="G410" s="87">
        <f t="shared" si="6"/>
        <v>0</v>
      </c>
      <c r="H410" s="509"/>
      <c r="I410" s="509"/>
      <c r="J410" s="89"/>
      <c r="K410" s="522"/>
      <c r="L410" s="204"/>
      <c r="M410" s="661"/>
      <c r="N410" s="661"/>
    </row>
    <row r="411" spans="1:14" ht="15.75" x14ac:dyDescent="0.25">
      <c r="A411" s="87">
        <v>407</v>
      </c>
      <c r="B411" s="87" t="s">
        <v>1133</v>
      </c>
      <c r="C411" s="555" t="s">
        <v>30</v>
      </c>
      <c r="D411" s="563">
        <v>3500</v>
      </c>
      <c r="E411" s="573">
        <v>39</v>
      </c>
      <c r="F411" s="563">
        <v>3500</v>
      </c>
      <c r="G411" s="87">
        <f t="shared" si="6"/>
        <v>0</v>
      </c>
      <c r="H411" s="509"/>
      <c r="I411" s="509"/>
      <c r="J411" s="89"/>
      <c r="K411" s="522"/>
      <c r="L411" s="204"/>
      <c r="M411" s="661"/>
      <c r="N411" s="661"/>
    </row>
    <row r="412" spans="1:14" ht="15.75" x14ac:dyDescent="0.25">
      <c r="A412" s="87">
        <v>408</v>
      </c>
      <c r="B412" s="87" t="s">
        <v>1133</v>
      </c>
      <c r="C412" s="555">
        <v>7782</v>
      </c>
      <c r="D412" s="563">
        <v>30000</v>
      </c>
      <c r="E412" s="573">
        <v>200</v>
      </c>
      <c r="F412" s="563">
        <v>30000</v>
      </c>
      <c r="G412" s="87">
        <f t="shared" si="6"/>
        <v>0</v>
      </c>
      <c r="H412" s="509"/>
      <c r="I412" s="509"/>
      <c r="J412" s="89"/>
      <c r="K412" s="522"/>
      <c r="L412" s="204"/>
      <c r="M412" s="661"/>
      <c r="N412" s="661"/>
    </row>
    <row r="413" spans="1:14" ht="15.75" x14ac:dyDescent="0.25">
      <c r="A413" s="87">
        <v>409</v>
      </c>
      <c r="B413" s="87" t="s">
        <v>1133</v>
      </c>
      <c r="C413" s="555">
        <v>6487</v>
      </c>
      <c r="D413" s="563">
        <v>15000</v>
      </c>
      <c r="E413" s="573">
        <v>155</v>
      </c>
      <c r="F413" s="563">
        <v>15000</v>
      </c>
      <c r="G413" s="87">
        <f t="shared" si="6"/>
        <v>0</v>
      </c>
      <c r="H413" s="509"/>
      <c r="I413" s="509"/>
      <c r="J413" s="89"/>
      <c r="K413" s="522"/>
      <c r="L413" s="204"/>
      <c r="M413" s="661"/>
      <c r="N413" s="661"/>
    </row>
    <row r="414" spans="1:14" ht="15.75" x14ac:dyDescent="0.25">
      <c r="A414" s="87">
        <v>410</v>
      </c>
      <c r="B414" s="87" t="s">
        <v>1133</v>
      </c>
      <c r="C414" s="555">
        <v>2963</v>
      </c>
      <c r="D414" s="563">
        <v>16000</v>
      </c>
      <c r="E414" s="573">
        <v>178</v>
      </c>
      <c r="F414" s="563">
        <v>16000</v>
      </c>
      <c r="G414" s="87">
        <f t="shared" si="6"/>
        <v>0</v>
      </c>
      <c r="H414" s="509"/>
      <c r="I414" s="509"/>
      <c r="J414" s="89"/>
      <c r="K414" s="522"/>
      <c r="L414" s="204"/>
      <c r="M414" s="661"/>
      <c r="N414" s="661"/>
    </row>
    <row r="415" spans="1:14" ht="15.75" x14ac:dyDescent="0.25">
      <c r="A415" s="87">
        <v>411</v>
      </c>
      <c r="B415" s="87" t="s">
        <v>1133</v>
      </c>
      <c r="C415" s="555" t="s">
        <v>30</v>
      </c>
      <c r="D415" s="563">
        <v>3500</v>
      </c>
      <c r="E415" s="573">
        <v>39</v>
      </c>
      <c r="F415" s="563">
        <v>3500</v>
      </c>
      <c r="G415" s="87">
        <f t="shared" si="6"/>
        <v>0</v>
      </c>
      <c r="H415" s="509"/>
      <c r="I415" s="509"/>
      <c r="J415" s="89"/>
      <c r="K415" s="522"/>
      <c r="L415" s="204"/>
      <c r="M415" s="661"/>
      <c r="N415" s="661"/>
    </row>
    <row r="416" spans="1:14" ht="15.75" x14ac:dyDescent="0.25">
      <c r="A416" s="87">
        <v>412</v>
      </c>
      <c r="B416" s="87" t="s">
        <v>1133</v>
      </c>
      <c r="C416" s="555">
        <v>7677</v>
      </c>
      <c r="D416" s="563">
        <v>15000</v>
      </c>
      <c r="E416" s="573">
        <v>167</v>
      </c>
      <c r="F416" s="563">
        <v>15000</v>
      </c>
      <c r="G416" s="87">
        <f t="shared" si="6"/>
        <v>0</v>
      </c>
      <c r="H416" s="509"/>
      <c r="I416" s="509"/>
      <c r="J416" s="89"/>
      <c r="K416" s="522"/>
      <c r="L416" s="204"/>
      <c r="M416" s="661"/>
      <c r="N416" s="661"/>
    </row>
    <row r="417" spans="1:14" ht="15.75" x14ac:dyDescent="0.25">
      <c r="A417" s="87">
        <v>413</v>
      </c>
      <c r="B417" s="87" t="s">
        <v>1133</v>
      </c>
      <c r="C417" s="555">
        <v>6715</v>
      </c>
      <c r="D417" s="563">
        <v>15000</v>
      </c>
      <c r="E417" s="573">
        <v>167</v>
      </c>
      <c r="F417" s="563">
        <v>15000</v>
      </c>
      <c r="G417" s="87">
        <f t="shared" si="6"/>
        <v>0</v>
      </c>
      <c r="H417" s="509"/>
      <c r="I417" s="509"/>
      <c r="J417" s="89"/>
      <c r="K417" s="522"/>
      <c r="L417" s="204"/>
      <c r="M417" s="661"/>
      <c r="N417" s="661"/>
    </row>
    <row r="418" spans="1:14" ht="15.75" x14ac:dyDescent="0.25">
      <c r="A418" s="87">
        <v>414</v>
      </c>
      <c r="B418" s="87" t="s">
        <v>1133</v>
      </c>
      <c r="C418" s="555">
        <v>3451</v>
      </c>
      <c r="D418" s="563">
        <v>15000</v>
      </c>
      <c r="E418" s="573">
        <v>167</v>
      </c>
      <c r="F418" s="563">
        <v>15000</v>
      </c>
      <c r="G418" s="87">
        <f t="shared" si="6"/>
        <v>0</v>
      </c>
      <c r="H418" s="509"/>
      <c r="I418" s="509"/>
      <c r="J418" s="89"/>
      <c r="K418" s="522"/>
      <c r="L418" s="204"/>
      <c r="M418" s="661"/>
      <c r="N418" s="661"/>
    </row>
    <row r="419" spans="1:14" ht="15.75" x14ac:dyDescent="0.25">
      <c r="A419" s="87">
        <v>415</v>
      </c>
      <c r="B419" s="87" t="s">
        <v>1133</v>
      </c>
      <c r="C419" s="555">
        <v>6443</v>
      </c>
      <c r="D419" s="563">
        <v>15000</v>
      </c>
      <c r="E419" s="573">
        <v>167</v>
      </c>
      <c r="F419" s="563">
        <v>15000</v>
      </c>
      <c r="G419" s="87">
        <f t="shared" si="6"/>
        <v>0</v>
      </c>
      <c r="H419" s="509"/>
      <c r="I419" s="509"/>
      <c r="J419" s="89"/>
      <c r="K419" s="522"/>
      <c r="L419" s="204"/>
      <c r="M419" s="661"/>
      <c r="N419" s="661"/>
    </row>
    <row r="420" spans="1:14" ht="15.75" x14ac:dyDescent="0.25">
      <c r="A420" s="87">
        <v>416</v>
      </c>
      <c r="B420" s="87" t="s">
        <v>1133</v>
      </c>
      <c r="C420" s="555">
        <v>2497</v>
      </c>
      <c r="D420" s="563">
        <v>20000</v>
      </c>
      <c r="E420" s="573">
        <v>272</v>
      </c>
      <c r="F420" s="563">
        <v>20000</v>
      </c>
      <c r="G420" s="87">
        <f t="shared" si="6"/>
        <v>0</v>
      </c>
      <c r="H420" s="509"/>
      <c r="I420" s="509"/>
      <c r="J420" s="89"/>
      <c r="K420" s="522"/>
      <c r="L420" s="204"/>
      <c r="M420" s="661"/>
      <c r="N420" s="661"/>
    </row>
    <row r="421" spans="1:14" ht="15.75" x14ac:dyDescent="0.25">
      <c r="A421" s="87">
        <v>417</v>
      </c>
      <c r="B421" s="87" t="s">
        <v>1133</v>
      </c>
      <c r="C421" s="555">
        <v>4565</v>
      </c>
      <c r="D421" s="563">
        <v>14000</v>
      </c>
      <c r="E421" s="573">
        <v>149</v>
      </c>
      <c r="F421" s="563">
        <v>14000</v>
      </c>
      <c r="G421" s="87">
        <f t="shared" si="6"/>
        <v>0</v>
      </c>
      <c r="H421" s="509"/>
      <c r="I421" s="509"/>
      <c r="J421" s="89"/>
      <c r="K421" s="522"/>
      <c r="L421" s="204"/>
      <c r="M421" s="661"/>
      <c r="N421" s="661"/>
    </row>
    <row r="422" spans="1:14" ht="15.75" x14ac:dyDescent="0.25">
      <c r="A422" s="87">
        <v>418</v>
      </c>
      <c r="B422" s="87" t="s">
        <v>1133</v>
      </c>
      <c r="C422" s="555">
        <v>3068</v>
      </c>
      <c r="D422" s="563">
        <v>17000</v>
      </c>
      <c r="E422" s="573">
        <v>181</v>
      </c>
      <c r="F422" s="563">
        <v>17000</v>
      </c>
      <c r="G422" s="87">
        <f t="shared" si="6"/>
        <v>0</v>
      </c>
      <c r="H422" s="509"/>
      <c r="I422" s="509"/>
      <c r="J422" s="89"/>
      <c r="K422" s="522"/>
      <c r="L422" s="204"/>
      <c r="M422" s="661"/>
      <c r="N422" s="661"/>
    </row>
    <row r="423" spans="1:14" ht="15.75" x14ac:dyDescent="0.25">
      <c r="A423" s="87">
        <v>419</v>
      </c>
      <c r="B423" s="87" t="s">
        <v>1133</v>
      </c>
      <c r="C423" s="607" t="s">
        <v>1039</v>
      </c>
      <c r="D423" s="563">
        <v>17000</v>
      </c>
      <c r="E423" s="573">
        <v>181</v>
      </c>
      <c r="F423" s="563">
        <v>17000</v>
      </c>
      <c r="G423" s="87">
        <f t="shared" si="6"/>
        <v>0</v>
      </c>
      <c r="H423" s="509"/>
      <c r="I423" s="509"/>
      <c r="J423" s="89"/>
      <c r="K423" s="522"/>
      <c r="L423" s="204"/>
      <c r="M423" s="661"/>
      <c r="N423" s="661"/>
    </row>
    <row r="424" spans="1:14" ht="15.75" x14ac:dyDescent="0.25">
      <c r="A424" s="87">
        <v>420</v>
      </c>
      <c r="B424" s="87" t="s">
        <v>1133</v>
      </c>
      <c r="C424" s="555" t="s">
        <v>66</v>
      </c>
      <c r="D424" s="563">
        <v>210</v>
      </c>
      <c r="E424" s="573" t="s">
        <v>66</v>
      </c>
      <c r="F424" s="563">
        <v>210</v>
      </c>
      <c r="G424" s="87">
        <f t="shared" si="6"/>
        <v>0</v>
      </c>
      <c r="H424" s="509"/>
      <c r="I424" s="509"/>
      <c r="J424" s="89"/>
      <c r="K424" s="522"/>
      <c r="L424" s="204"/>
      <c r="M424" s="661"/>
      <c r="N424" s="661"/>
    </row>
    <row r="425" spans="1:14" ht="15.75" x14ac:dyDescent="0.25">
      <c r="A425" s="87">
        <v>421</v>
      </c>
      <c r="B425" s="87" t="s">
        <v>1133</v>
      </c>
      <c r="C425" s="555">
        <v>5128</v>
      </c>
      <c r="D425" s="563">
        <v>30000</v>
      </c>
      <c r="E425" s="573">
        <v>334</v>
      </c>
      <c r="F425" s="563">
        <v>30000</v>
      </c>
      <c r="G425" s="87">
        <f t="shared" si="6"/>
        <v>0</v>
      </c>
      <c r="H425" s="509"/>
      <c r="I425" s="509"/>
      <c r="J425" s="89"/>
      <c r="K425" s="522"/>
      <c r="L425" s="204"/>
      <c r="M425" s="661"/>
      <c r="N425" s="661"/>
    </row>
    <row r="426" spans="1:14" ht="15.75" x14ac:dyDescent="0.25">
      <c r="A426" s="87">
        <v>422</v>
      </c>
      <c r="B426" s="87" t="s">
        <v>1133</v>
      </c>
      <c r="C426" s="555">
        <v>3176</v>
      </c>
      <c r="D426" s="563">
        <v>16000</v>
      </c>
      <c r="E426" s="573">
        <v>178</v>
      </c>
      <c r="F426" s="563">
        <v>16000</v>
      </c>
      <c r="G426" s="87">
        <f t="shared" si="6"/>
        <v>0</v>
      </c>
      <c r="H426" s="509"/>
      <c r="I426" s="509"/>
      <c r="J426" s="89"/>
      <c r="K426" s="522"/>
      <c r="L426" s="204"/>
      <c r="M426" s="661"/>
      <c r="N426" s="661"/>
    </row>
    <row r="427" spans="1:14" ht="15.75" x14ac:dyDescent="0.25">
      <c r="A427" s="87">
        <v>423</v>
      </c>
      <c r="B427" s="87" t="s">
        <v>1133</v>
      </c>
      <c r="C427" s="555">
        <v>7716</v>
      </c>
      <c r="D427" s="563">
        <v>20000</v>
      </c>
      <c r="E427" s="573">
        <v>222</v>
      </c>
      <c r="F427" s="563">
        <v>20000</v>
      </c>
      <c r="G427" s="87">
        <f t="shared" si="6"/>
        <v>0</v>
      </c>
      <c r="H427" s="509"/>
      <c r="I427" s="509"/>
      <c r="J427" s="89"/>
      <c r="K427" s="522"/>
      <c r="L427" s="204"/>
      <c r="M427" s="661"/>
      <c r="N427" s="661"/>
    </row>
    <row r="428" spans="1:14" ht="15.75" x14ac:dyDescent="0.25">
      <c r="A428" s="87">
        <v>424</v>
      </c>
      <c r="B428" s="87" t="s">
        <v>1133</v>
      </c>
      <c r="C428" s="555">
        <v>9753</v>
      </c>
      <c r="D428" s="563">
        <v>15000</v>
      </c>
      <c r="E428" s="573">
        <v>167</v>
      </c>
      <c r="F428" s="563">
        <v>15000</v>
      </c>
      <c r="G428" s="87">
        <f t="shared" si="6"/>
        <v>0</v>
      </c>
      <c r="H428" s="509"/>
      <c r="I428" s="509"/>
      <c r="J428" s="89"/>
      <c r="K428" s="522"/>
      <c r="L428" s="204"/>
      <c r="M428" s="661"/>
      <c r="N428" s="661"/>
    </row>
    <row r="429" spans="1:14" ht="15.75" x14ac:dyDescent="0.25">
      <c r="A429" s="87">
        <v>425</v>
      </c>
      <c r="B429" s="87" t="s">
        <v>1133</v>
      </c>
      <c r="C429" s="555">
        <v>4516</v>
      </c>
      <c r="D429" s="563">
        <v>20000</v>
      </c>
      <c r="E429" s="573">
        <v>222</v>
      </c>
      <c r="F429" s="563">
        <v>20000</v>
      </c>
      <c r="G429" s="87">
        <f t="shared" si="6"/>
        <v>0</v>
      </c>
      <c r="H429" s="509"/>
      <c r="I429" s="509"/>
      <c r="J429" s="89"/>
      <c r="K429" s="522"/>
      <c r="L429" s="204"/>
      <c r="M429" s="661"/>
      <c r="N429" s="661"/>
    </row>
    <row r="430" spans="1:14" ht="15.75" x14ac:dyDescent="0.25">
      <c r="A430" s="87">
        <v>426</v>
      </c>
      <c r="B430" s="87" t="s">
        <v>1133</v>
      </c>
      <c r="C430" s="555">
        <v>2779</v>
      </c>
      <c r="D430" s="563">
        <v>25000</v>
      </c>
      <c r="E430" s="573">
        <v>278</v>
      </c>
      <c r="F430" s="563">
        <v>25000</v>
      </c>
      <c r="G430" s="87">
        <f t="shared" si="6"/>
        <v>0</v>
      </c>
      <c r="H430" s="509"/>
      <c r="I430" s="509"/>
      <c r="J430" s="89"/>
      <c r="K430" s="522"/>
      <c r="L430" s="204"/>
      <c r="M430" s="661"/>
      <c r="N430" s="661"/>
    </row>
    <row r="431" spans="1:14" ht="15.75" x14ac:dyDescent="0.25">
      <c r="A431" s="87">
        <v>427</v>
      </c>
      <c r="B431" s="87" t="s">
        <v>1133</v>
      </c>
      <c r="C431" s="555">
        <v>5028</v>
      </c>
      <c r="D431" s="563">
        <v>25000</v>
      </c>
      <c r="E431" s="573">
        <v>278</v>
      </c>
      <c r="F431" s="563">
        <v>25000</v>
      </c>
      <c r="G431" s="87">
        <f t="shared" si="6"/>
        <v>0</v>
      </c>
      <c r="H431" s="509"/>
      <c r="I431" s="509"/>
      <c r="J431" s="89"/>
      <c r="K431" s="522"/>
      <c r="L431" s="204"/>
      <c r="M431" s="661"/>
      <c r="N431" s="661"/>
    </row>
    <row r="432" spans="1:14" ht="15.75" x14ac:dyDescent="0.25">
      <c r="A432" s="87">
        <v>428</v>
      </c>
      <c r="B432" s="87" t="s">
        <v>1133</v>
      </c>
      <c r="C432" s="555">
        <v>5485</v>
      </c>
      <c r="D432" s="563">
        <v>28000</v>
      </c>
      <c r="E432" s="573">
        <v>311</v>
      </c>
      <c r="F432" s="563">
        <v>28000</v>
      </c>
      <c r="G432" s="87">
        <f t="shared" si="6"/>
        <v>0</v>
      </c>
      <c r="H432" s="509"/>
      <c r="I432" s="509"/>
      <c r="J432" s="89"/>
      <c r="K432" s="522"/>
      <c r="L432" s="204"/>
      <c r="M432" s="661"/>
      <c r="N432" s="661"/>
    </row>
    <row r="433" spans="1:14" ht="15.75" x14ac:dyDescent="0.25">
      <c r="A433" s="87">
        <v>429</v>
      </c>
      <c r="B433" s="87" t="s">
        <v>1133</v>
      </c>
      <c r="C433" s="555">
        <v>9750</v>
      </c>
      <c r="D433" s="563">
        <v>20000</v>
      </c>
      <c r="E433" s="573">
        <v>222</v>
      </c>
      <c r="F433" s="563">
        <v>20000</v>
      </c>
      <c r="G433" s="87">
        <f t="shared" si="6"/>
        <v>0</v>
      </c>
      <c r="H433" s="509"/>
      <c r="I433" s="509"/>
      <c r="J433" s="89"/>
      <c r="K433" s="522"/>
      <c r="L433" s="204"/>
      <c r="M433" s="661"/>
      <c r="N433" s="661"/>
    </row>
    <row r="434" spans="1:14" ht="15.75" x14ac:dyDescent="0.25">
      <c r="A434" s="87">
        <v>430</v>
      </c>
      <c r="B434" s="87" t="s">
        <v>1133</v>
      </c>
      <c r="C434" s="555">
        <v>8123</v>
      </c>
      <c r="D434" s="563">
        <v>20000</v>
      </c>
      <c r="E434" s="573">
        <v>222</v>
      </c>
      <c r="F434" s="563">
        <v>20000</v>
      </c>
      <c r="G434" s="87">
        <f t="shared" si="6"/>
        <v>0</v>
      </c>
      <c r="H434" s="509"/>
      <c r="I434" s="509"/>
      <c r="J434" s="89"/>
      <c r="K434" s="522"/>
      <c r="L434" s="204"/>
      <c r="M434" s="661"/>
      <c r="N434" s="661"/>
    </row>
    <row r="435" spans="1:14" ht="15.75" x14ac:dyDescent="0.25">
      <c r="A435" s="87">
        <v>431</v>
      </c>
      <c r="B435" s="87" t="s">
        <v>1134</v>
      </c>
      <c r="C435" s="555" t="s">
        <v>66</v>
      </c>
      <c r="D435" s="563">
        <v>120</v>
      </c>
      <c r="E435" s="573" t="s">
        <v>66</v>
      </c>
      <c r="F435" s="563">
        <v>120</v>
      </c>
      <c r="G435" s="87">
        <f t="shared" si="6"/>
        <v>0</v>
      </c>
      <c r="H435" s="509"/>
      <c r="I435" s="509"/>
      <c r="J435" s="89"/>
      <c r="K435" s="522"/>
      <c r="L435" s="204"/>
      <c r="M435" s="661"/>
      <c r="N435" s="661"/>
    </row>
    <row r="436" spans="1:14" ht="15.75" x14ac:dyDescent="0.25">
      <c r="A436" s="87">
        <v>432</v>
      </c>
      <c r="B436" s="87" t="s">
        <v>1134</v>
      </c>
      <c r="C436" s="555">
        <v>3177</v>
      </c>
      <c r="D436" s="563">
        <v>14000</v>
      </c>
      <c r="E436" s="573">
        <v>153</v>
      </c>
      <c r="F436" s="563">
        <v>14000</v>
      </c>
      <c r="G436" s="87">
        <f t="shared" si="6"/>
        <v>0</v>
      </c>
      <c r="H436" s="509"/>
      <c r="I436" s="509"/>
      <c r="J436" s="89"/>
      <c r="K436" s="522"/>
      <c r="L436" s="204"/>
      <c r="M436" s="661"/>
      <c r="N436" s="661"/>
    </row>
    <row r="437" spans="1:14" ht="15.75" x14ac:dyDescent="0.25">
      <c r="A437" s="87">
        <v>433</v>
      </c>
      <c r="B437" s="87" t="s">
        <v>1134</v>
      </c>
      <c r="C437" s="555">
        <v>8936</v>
      </c>
      <c r="D437" s="563">
        <v>13000</v>
      </c>
      <c r="E437" s="573">
        <v>144</v>
      </c>
      <c r="F437" s="563">
        <v>13000</v>
      </c>
      <c r="G437" s="87">
        <f t="shared" si="6"/>
        <v>0</v>
      </c>
      <c r="H437" s="509"/>
      <c r="I437" s="509"/>
      <c r="J437" s="89"/>
      <c r="K437" s="522"/>
      <c r="L437" s="204"/>
      <c r="M437" s="661"/>
      <c r="N437" s="661"/>
    </row>
    <row r="438" spans="1:14" ht="15.75" x14ac:dyDescent="0.25">
      <c r="A438" s="87">
        <v>434</v>
      </c>
      <c r="B438" s="87" t="s">
        <v>1134</v>
      </c>
      <c r="C438" s="555">
        <v>7344</v>
      </c>
      <c r="D438" s="563">
        <v>13000</v>
      </c>
      <c r="E438" s="573">
        <v>144</v>
      </c>
      <c r="F438" s="563">
        <v>13000</v>
      </c>
      <c r="G438" s="87">
        <f t="shared" si="6"/>
        <v>0</v>
      </c>
      <c r="H438" s="509"/>
      <c r="I438" s="509"/>
      <c r="J438" s="89"/>
      <c r="K438" s="522"/>
      <c r="L438" s="204"/>
      <c r="M438" s="661"/>
      <c r="N438" s="661"/>
    </row>
    <row r="439" spans="1:14" ht="15.75" x14ac:dyDescent="0.25">
      <c r="A439" s="87">
        <v>435</v>
      </c>
      <c r="B439" s="87" t="s">
        <v>1134</v>
      </c>
      <c r="C439" s="555">
        <v>7344</v>
      </c>
      <c r="D439" s="563">
        <v>18000</v>
      </c>
      <c r="E439" s="573">
        <v>200</v>
      </c>
      <c r="F439" s="563">
        <v>18000</v>
      </c>
      <c r="G439" s="87">
        <f t="shared" si="6"/>
        <v>0</v>
      </c>
      <c r="H439" s="509"/>
      <c r="I439" s="509"/>
      <c r="J439" s="89"/>
      <c r="K439" s="522"/>
      <c r="L439" s="204"/>
      <c r="M439" s="661"/>
      <c r="N439" s="661"/>
    </row>
    <row r="440" spans="1:14" ht="15.75" x14ac:dyDescent="0.25">
      <c r="A440" s="87">
        <v>436</v>
      </c>
      <c r="B440" s="87" t="s">
        <v>1134</v>
      </c>
      <c r="C440" s="555">
        <v>1062</v>
      </c>
      <c r="D440" s="563">
        <v>10000</v>
      </c>
      <c r="E440" s="573">
        <v>111</v>
      </c>
      <c r="F440" s="563">
        <v>10000</v>
      </c>
      <c r="G440" s="87">
        <f t="shared" si="6"/>
        <v>0</v>
      </c>
      <c r="H440" s="509"/>
      <c r="I440" s="509"/>
      <c r="J440" s="89"/>
      <c r="K440" s="522"/>
      <c r="L440" s="204"/>
      <c r="M440" s="661"/>
      <c r="N440" s="661"/>
    </row>
    <row r="441" spans="1:14" ht="15.75" x14ac:dyDescent="0.25">
      <c r="A441" s="87">
        <v>437</v>
      </c>
      <c r="B441" s="87" t="s">
        <v>1134</v>
      </c>
      <c r="C441" s="555">
        <v>4602</v>
      </c>
      <c r="D441" s="563">
        <v>8000</v>
      </c>
      <c r="E441" s="573">
        <v>89</v>
      </c>
      <c r="F441" s="563">
        <v>8000</v>
      </c>
      <c r="G441" s="87">
        <f t="shared" si="6"/>
        <v>0</v>
      </c>
      <c r="H441" s="509"/>
      <c r="I441" s="509"/>
      <c r="J441" s="89"/>
      <c r="K441" s="522"/>
      <c r="L441" s="204"/>
      <c r="M441" s="661"/>
      <c r="N441" s="661"/>
    </row>
    <row r="442" spans="1:14" ht="15.75" x14ac:dyDescent="0.25">
      <c r="A442" s="87">
        <v>438</v>
      </c>
      <c r="B442" s="87" t="s">
        <v>1134</v>
      </c>
      <c r="C442" s="607" t="s">
        <v>1100</v>
      </c>
      <c r="D442" s="563">
        <v>10000</v>
      </c>
      <c r="E442" s="573">
        <v>111</v>
      </c>
      <c r="F442" s="563">
        <v>10000</v>
      </c>
      <c r="G442" s="87">
        <f t="shared" si="6"/>
        <v>0</v>
      </c>
      <c r="H442" s="509"/>
      <c r="I442" s="509"/>
      <c r="J442" s="89"/>
      <c r="K442" s="522"/>
      <c r="L442" s="204"/>
      <c r="M442" s="661"/>
      <c r="N442" s="661"/>
    </row>
    <row r="443" spans="1:14" ht="15.75" x14ac:dyDescent="0.25">
      <c r="A443" s="87">
        <v>439</v>
      </c>
      <c r="B443" s="87" t="s">
        <v>1134</v>
      </c>
      <c r="C443" s="555" t="s">
        <v>819</v>
      </c>
      <c r="D443" s="563">
        <v>3500</v>
      </c>
      <c r="E443" s="573">
        <v>39</v>
      </c>
      <c r="F443" s="563">
        <v>3500</v>
      </c>
      <c r="G443" s="87">
        <f t="shared" si="6"/>
        <v>0</v>
      </c>
      <c r="H443" s="509"/>
      <c r="I443" s="509"/>
      <c r="J443" s="89"/>
      <c r="K443" s="522"/>
      <c r="L443" s="204"/>
      <c r="M443" s="661"/>
      <c r="N443" s="661"/>
    </row>
    <row r="444" spans="1:14" ht="15.75" x14ac:dyDescent="0.25">
      <c r="A444" s="87">
        <v>440</v>
      </c>
      <c r="B444" s="87" t="s">
        <v>1134</v>
      </c>
      <c r="C444" s="555">
        <v>5152</v>
      </c>
      <c r="D444" s="563">
        <v>14000</v>
      </c>
      <c r="E444" s="573">
        <v>155</v>
      </c>
      <c r="F444" s="563">
        <v>14000</v>
      </c>
      <c r="G444" s="87">
        <f t="shared" si="6"/>
        <v>0</v>
      </c>
      <c r="H444" s="509"/>
      <c r="I444" s="509"/>
      <c r="J444" s="89"/>
      <c r="K444" s="522"/>
      <c r="L444" s="204"/>
      <c r="M444" s="661"/>
      <c r="N444" s="661"/>
    </row>
    <row r="445" spans="1:14" ht="15.75" x14ac:dyDescent="0.25">
      <c r="A445" s="87">
        <v>441</v>
      </c>
      <c r="B445" s="87" t="s">
        <v>1134</v>
      </c>
      <c r="C445" s="555">
        <v>9857</v>
      </c>
      <c r="D445" s="563">
        <v>15000</v>
      </c>
      <c r="E445" s="573">
        <v>167</v>
      </c>
      <c r="F445" s="563">
        <v>15000</v>
      </c>
      <c r="G445" s="87">
        <f t="shared" si="6"/>
        <v>0</v>
      </c>
      <c r="H445" s="509"/>
      <c r="I445" s="509"/>
      <c r="J445" s="89"/>
      <c r="K445" s="522"/>
      <c r="L445" s="204"/>
      <c r="M445" s="661"/>
      <c r="N445" s="661"/>
    </row>
    <row r="446" spans="1:14" ht="15.75" x14ac:dyDescent="0.25">
      <c r="A446" s="87">
        <v>442</v>
      </c>
      <c r="B446" s="87" t="s">
        <v>1134</v>
      </c>
      <c r="C446" s="555">
        <v>6133</v>
      </c>
      <c r="D446" s="563">
        <v>16000</v>
      </c>
      <c r="E446" s="573">
        <v>178</v>
      </c>
      <c r="F446" s="563">
        <v>16000</v>
      </c>
      <c r="G446" s="87">
        <f t="shared" si="6"/>
        <v>0</v>
      </c>
      <c r="H446" s="509"/>
      <c r="I446" s="509"/>
      <c r="J446" s="89"/>
      <c r="K446" s="522"/>
      <c r="L446" s="204"/>
      <c r="M446" s="661"/>
      <c r="N446" s="661"/>
    </row>
    <row r="447" spans="1:14" ht="15.75" x14ac:dyDescent="0.25">
      <c r="A447" s="87">
        <v>443</v>
      </c>
      <c r="B447" s="87" t="s">
        <v>1134</v>
      </c>
      <c r="C447" s="555">
        <v>5891</v>
      </c>
      <c r="D447" s="563">
        <v>25000</v>
      </c>
      <c r="E447" s="573">
        <v>278</v>
      </c>
      <c r="F447" s="563">
        <v>25000</v>
      </c>
      <c r="G447" s="87">
        <f t="shared" si="6"/>
        <v>0</v>
      </c>
      <c r="H447" s="509"/>
      <c r="I447" s="509"/>
      <c r="J447" s="89"/>
      <c r="K447" s="522"/>
      <c r="L447" s="204"/>
      <c r="M447" s="661"/>
      <c r="N447" s="661"/>
    </row>
    <row r="448" spans="1:14" ht="15.75" x14ac:dyDescent="0.25">
      <c r="A448" s="87">
        <v>444</v>
      </c>
      <c r="B448" s="87" t="s">
        <v>1134</v>
      </c>
      <c r="C448" s="555">
        <v>8534</v>
      </c>
      <c r="D448" s="563">
        <v>10000</v>
      </c>
      <c r="E448" s="573">
        <v>111</v>
      </c>
      <c r="F448" s="563">
        <v>10000</v>
      </c>
      <c r="G448" s="87">
        <f t="shared" si="6"/>
        <v>0</v>
      </c>
      <c r="H448" s="509"/>
      <c r="I448" s="509"/>
      <c r="J448" s="89"/>
      <c r="K448" s="522"/>
      <c r="L448" s="204"/>
      <c r="M448" s="661"/>
      <c r="N448" s="661"/>
    </row>
    <row r="449" spans="1:14" ht="15.75" x14ac:dyDescent="0.25">
      <c r="A449" s="87">
        <v>445</v>
      </c>
      <c r="B449" s="87" t="s">
        <v>1134</v>
      </c>
      <c r="C449" s="555" t="s">
        <v>30</v>
      </c>
      <c r="D449" s="563">
        <v>10000</v>
      </c>
      <c r="E449" s="573">
        <v>111</v>
      </c>
      <c r="F449" s="563">
        <v>10000</v>
      </c>
      <c r="G449" s="87">
        <f t="shared" si="6"/>
        <v>0</v>
      </c>
      <c r="H449" s="509"/>
      <c r="I449" s="509"/>
      <c r="J449" s="89"/>
      <c r="K449" s="522"/>
      <c r="L449" s="204"/>
      <c r="M449" s="661"/>
      <c r="N449" s="661"/>
    </row>
    <row r="450" spans="1:14" ht="15.75" x14ac:dyDescent="0.25">
      <c r="A450" s="87">
        <v>446</v>
      </c>
      <c r="B450" s="87" t="s">
        <v>1134</v>
      </c>
      <c r="C450" s="555" t="s">
        <v>30</v>
      </c>
      <c r="D450" s="563">
        <v>4500</v>
      </c>
      <c r="E450" s="573">
        <v>50</v>
      </c>
      <c r="F450" s="563">
        <v>4500</v>
      </c>
      <c r="G450" s="87">
        <f t="shared" si="6"/>
        <v>0</v>
      </c>
      <c r="H450" s="509"/>
      <c r="I450" s="509"/>
      <c r="J450" s="89"/>
      <c r="K450" s="522"/>
      <c r="L450" s="204"/>
      <c r="M450" s="661"/>
      <c r="N450" s="661"/>
    </row>
    <row r="451" spans="1:14" ht="15.75" x14ac:dyDescent="0.25">
      <c r="A451" s="87">
        <v>447</v>
      </c>
      <c r="B451" s="87" t="s">
        <v>1134</v>
      </c>
      <c r="C451" s="555">
        <v>3887</v>
      </c>
      <c r="D451" s="563">
        <v>16000</v>
      </c>
      <c r="E451" s="573">
        <v>178</v>
      </c>
      <c r="F451" s="563">
        <v>16000</v>
      </c>
      <c r="G451" s="87">
        <f t="shared" si="6"/>
        <v>0</v>
      </c>
      <c r="H451" s="509"/>
      <c r="I451" s="509"/>
      <c r="J451" s="89"/>
      <c r="K451" s="522"/>
      <c r="L451" s="204"/>
      <c r="M451" s="661"/>
      <c r="N451" s="661"/>
    </row>
    <row r="452" spans="1:14" ht="15.75" x14ac:dyDescent="0.25">
      <c r="A452" s="87">
        <v>448</v>
      </c>
      <c r="B452" s="87" t="s">
        <v>1134</v>
      </c>
      <c r="C452" s="555">
        <v>4748</v>
      </c>
      <c r="D452" s="563">
        <v>15000</v>
      </c>
      <c r="E452" s="573">
        <v>159</v>
      </c>
      <c r="F452" s="563">
        <v>15000</v>
      </c>
      <c r="G452" s="87">
        <f t="shared" si="6"/>
        <v>0</v>
      </c>
      <c r="H452" s="509"/>
      <c r="I452" s="509"/>
      <c r="J452" s="89"/>
      <c r="K452" s="522"/>
      <c r="L452" s="204"/>
      <c r="M452" s="661"/>
      <c r="N452" s="661"/>
    </row>
    <row r="453" spans="1:14" ht="15.75" x14ac:dyDescent="0.25">
      <c r="A453" s="87">
        <v>449</v>
      </c>
      <c r="B453" s="87" t="s">
        <v>1134</v>
      </c>
      <c r="C453" s="555">
        <v>1092</v>
      </c>
      <c r="D453" s="563">
        <v>25000</v>
      </c>
      <c r="E453" s="573">
        <v>260</v>
      </c>
      <c r="F453" s="563">
        <v>25000</v>
      </c>
      <c r="G453" s="87">
        <f t="shared" ref="G453:G516" si="7">D453-F453</f>
        <v>0</v>
      </c>
      <c r="H453" s="509"/>
      <c r="I453" s="509"/>
      <c r="J453" s="89"/>
      <c r="K453" s="522"/>
      <c r="L453" s="204"/>
      <c r="M453" s="661"/>
      <c r="N453" s="661"/>
    </row>
    <row r="454" spans="1:14" ht="15.75" x14ac:dyDescent="0.25">
      <c r="A454" s="87">
        <v>450</v>
      </c>
      <c r="B454" s="87" t="s">
        <v>1134</v>
      </c>
      <c r="C454" s="555">
        <v>9992</v>
      </c>
      <c r="D454" s="563">
        <v>25000</v>
      </c>
      <c r="E454" s="573">
        <v>278</v>
      </c>
      <c r="F454" s="563">
        <v>25000</v>
      </c>
      <c r="G454" s="87">
        <f t="shared" si="7"/>
        <v>0</v>
      </c>
      <c r="H454" s="509"/>
      <c r="I454" s="509"/>
      <c r="J454" s="89"/>
      <c r="K454" s="522"/>
      <c r="L454" s="204"/>
      <c r="M454" s="661"/>
      <c r="N454" s="661"/>
    </row>
    <row r="455" spans="1:14" ht="15.75" x14ac:dyDescent="0.25">
      <c r="A455" s="87">
        <v>451</v>
      </c>
      <c r="B455" s="87" t="s">
        <v>1134</v>
      </c>
      <c r="C455" s="555">
        <v>5594</v>
      </c>
      <c r="D455" s="563">
        <v>25000</v>
      </c>
      <c r="E455" s="573">
        <v>261</v>
      </c>
      <c r="F455" s="563">
        <v>25000</v>
      </c>
      <c r="G455" s="87">
        <f t="shared" si="7"/>
        <v>0</v>
      </c>
      <c r="H455" s="509"/>
      <c r="I455" s="509"/>
      <c r="J455" s="89"/>
      <c r="K455" s="522"/>
      <c r="L455" s="204"/>
      <c r="M455" s="661"/>
      <c r="N455" s="661"/>
    </row>
    <row r="456" spans="1:14" ht="15.75" x14ac:dyDescent="0.25">
      <c r="A456" s="87">
        <v>452</v>
      </c>
      <c r="B456" s="87" t="s">
        <v>1134</v>
      </c>
      <c r="C456" s="555">
        <v>2353</v>
      </c>
      <c r="D456" s="563">
        <v>15000</v>
      </c>
      <c r="E456" s="573">
        <v>167</v>
      </c>
      <c r="F456" s="563">
        <v>15000</v>
      </c>
      <c r="G456" s="87">
        <f t="shared" si="7"/>
        <v>0</v>
      </c>
      <c r="H456" s="509"/>
      <c r="I456" s="509"/>
      <c r="J456" s="89"/>
      <c r="K456" s="522"/>
      <c r="L456" s="204"/>
      <c r="M456" s="661"/>
      <c r="N456" s="661"/>
    </row>
    <row r="457" spans="1:14" ht="15.75" x14ac:dyDescent="0.25">
      <c r="A457" s="87">
        <v>453</v>
      </c>
      <c r="B457" s="87" t="s">
        <v>1134</v>
      </c>
      <c r="C457" s="555">
        <v>2132</v>
      </c>
      <c r="D457" s="563">
        <v>15000</v>
      </c>
      <c r="E457" s="573">
        <v>167</v>
      </c>
      <c r="F457" s="563">
        <v>15000</v>
      </c>
      <c r="G457" s="87">
        <f t="shared" si="7"/>
        <v>0</v>
      </c>
      <c r="H457" s="509"/>
      <c r="I457" s="509"/>
      <c r="J457" s="89"/>
      <c r="K457" s="522"/>
      <c r="L457" s="204"/>
      <c r="M457" s="661"/>
      <c r="N457" s="661"/>
    </row>
    <row r="458" spans="1:14" ht="15.75" x14ac:dyDescent="0.25">
      <c r="A458" s="87">
        <v>454</v>
      </c>
      <c r="B458" s="87" t="s">
        <v>1134</v>
      </c>
      <c r="C458" s="555">
        <v>7697</v>
      </c>
      <c r="D458" s="563">
        <v>40000</v>
      </c>
      <c r="E458" s="573">
        <v>445</v>
      </c>
      <c r="F458" s="563">
        <v>40000</v>
      </c>
      <c r="G458" s="87">
        <f t="shared" si="7"/>
        <v>0</v>
      </c>
      <c r="H458" s="509"/>
      <c r="I458" s="509"/>
      <c r="J458" s="89"/>
      <c r="K458" s="522"/>
      <c r="L458" s="204"/>
      <c r="M458" s="661"/>
      <c r="N458" s="661"/>
    </row>
    <row r="459" spans="1:14" ht="15.75" x14ac:dyDescent="0.25">
      <c r="A459" s="87">
        <v>455</v>
      </c>
      <c r="B459" s="87" t="s">
        <v>1134</v>
      </c>
      <c r="C459" s="555">
        <v>7697</v>
      </c>
      <c r="D459" s="563">
        <v>35000</v>
      </c>
      <c r="E459" s="573">
        <v>389</v>
      </c>
      <c r="F459" s="563">
        <v>35000</v>
      </c>
      <c r="G459" s="87">
        <f t="shared" si="7"/>
        <v>0</v>
      </c>
      <c r="H459" s="509"/>
      <c r="I459" s="509"/>
      <c r="J459" s="89"/>
      <c r="K459" s="522"/>
      <c r="L459" s="204"/>
      <c r="M459" s="661"/>
      <c r="N459" s="661"/>
    </row>
    <row r="460" spans="1:14" ht="15.75" x14ac:dyDescent="0.25">
      <c r="A460" s="87">
        <v>456</v>
      </c>
      <c r="B460" s="87" t="s">
        <v>1134</v>
      </c>
      <c r="C460" s="555">
        <v>2724</v>
      </c>
      <c r="D460" s="563">
        <v>28000</v>
      </c>
      <c r="E460" s="573">
        <v>311</v>
      </c>
      <c r="F460" s="563">
        <v>28000</v>
      </c>
      <c r="G460" s="87">
        <f t="shared" si="7"/>
        <v>0</v>
      </c>
      <c r="H460" s="509"/>
      <c r="I460" s="509"/>
      <c r="J460" s="89"/>
      <c r="K460" s="522"/>
      <c r="L460" s="204"/>
      <c r="M460" s="661"/>
      <c r="N460" s="661"/>
    </row>
    <row r="461" spans="1:14" ht="15.75" x14ac:dyDescent="0.25">
      <c r="A461" s="87">
        <v>457</v>
      </c>
      <c r="B461" s="87" t="s">
        <v>1134</v>
      </c>
      <c r="C461" s="555">
        <v>4739</v>
      </c>
      <c r="D461" s="563">
        <v>30000</v>
      </c>
      <c r="E461" s="573">
        <v>334</v>
      </c>
      <c r="F461" s="563">
        <v>30000</v>
      </c>
      <c r="G461" s="87">
        <f t="shared" si="7"/>
        <v>0</v>
      </c>
      <c r="H461" s="509"/>
      <c r="I461" s="509"/>
      <c r="J461" s="89"/>
      <c r="K461" s="522"/>
      <c r="L461" s="204"/>
      <c r="M461" s="661"/>
      <c r="N461" s="661"/>
    </row>
    <row r="462" spans="1:14" ht="15.75" x14ac:dyDescent="0.25">
      <c r="A462" s="87">
        <v>458</v>
      </c>
      <c r="B462" s="87" t="s">
        <v>1134</v>
      </c>
      <c r="C462" s="555">
        <v>4066</v>
      </c>
      <c r="D462" s="563">
        <v>30000</v>
      </c>
      <c r="E462" s="573">
        <v>334</v>
      </c>
      <c r="F462" s="563">
        <v>30000</v>
      </c>
      <c r="G462" s="87">
        <f t="shared" si="7"/>
        <v>0</v>
      </c>
      <c r="H462" s="509"/>
      <c r="I462" s="509"/>
      <c r="J462" s="89"/>
      <c r="K462" s="522"/>
      <c r="L462" s="204"/>
      <c r="M462" s="661"/>
      <c r="N462" s="661"/>
    </row>
    <row r="463" spans="1:14" ht="15.75" x14ac:dyDescent="0.25">
      <c r="A463" s="87">
        <v>459</v>
      </c>
      <c r="B463" s="87" t="s">
        <v>1136</v>
      </c>
      <c r="C463" s="555">
        <v>8047</v>
      </c>
      <c r="D463" s="563">
        <v>16000</v>
      </c>
      <c r="E463" s="573">
        <v>175</v>
      </c>
      <c r="F463" s="563">
        <v>16000</v>
      </c>
      <c r="G463" s="87">
        <f t="shared" si="7"/>
        <v>0</v>
      </c>
      <c r="H463" s="509"/>
      <c r="I463" s="509"/>
      <c r="J463" s="89"/>
      <c r="K463" s="522"/>
      <c r="L463" s="204"/>
      <c r="M463" s="661"/>
      <c r="N463" s="661"/>
    </row>
    <row r="464" spans="1:14" ht="15.75" x14ac:dyDescent="0.25">
      <c r="A464" s="87">
        <v>460</v>
      </c>
      <c r="B464" s="87" t="s">
        <v>1136</v>
      </c>
      <c r="C464" s="555" t="s">
        <v>30</v>
      </c>
      <c r="D464" s="563">
        <v>3500</v>
      </c>
      <c r="E464" s="573">
        <v>39</v>
      </c>
      <c r="F464" s="563">
        <v>3500</v>
      </c>
      <c r="G464" s="87">
        <f t="shared" si="7"/>
        <v>0</v>
      </c>
      <c r="H464" s="509"/>
      <c r="I464" s="509"/>
      <c r="J464" s="89"/>
      <c r="K464" s="522"/>
      <c r="L464" s="204"/>
      <c r="M464" s="661"/>
      <c r="N464" s="661"/>
    </row>
    <row r="465" spans="1:14" ht="15.75" x14ac:dyDescent="0.25">
      <c r="A465" s="87">
        <v>461</v>
      </c>
      <c r="B465" s="87" t="s">
        <v>1136</v>
      </c>
      <c r="C465" s="555" t="s">
        <v>30</v>
      </c>
      <c r="D465" s="563">
        <v>5000</v>
      </c>
      <c r="E465" s="573">
        <v>55</v>
      </c>
      <c r="F465" s="563">
        <v>5000</v>
      </c>
      <c r="G465" s="87">
        <f t="shared" si="7"/>
        <v>0</v>
      </c>
      <c r="H465" s="509"/>
      <c r="I465" s="509"/>
      <c r="J465" s="89"/>
      <c r="K465" s="522"/>
      <c r="L465" s="204"/>
      <c r="M465" s="661"/>
      <c r="N465" s="661"/>
    </row>
    <row r="466" spans="1:14" ht="15.75" x14ac:dyDescent="0.25">
      <c r="A466" s="87">
        <v>462</v>
      </c>
      <c r="B466" s="87" t="s">
        <v>1136</v>
      </c>
      <c r="C466" s="555">
        <v>7345</v>
      </c>
      <c r="D466" s="563">
        <v>13000</v>
      </c>
      <c r="E466" s="573">
        <v>138</v>
      </c>
      <c r="F466" s="563">
        <v>13000</v>
      </c>
      <c r="G466" s="87">
        <f t="shared" si="7"/>
        <v>0</v>
      </c>
      <c r="H466" s="509"/>
      <c r="I466" s="509"/>
      <c r="J466" s="89"/>
      <c r="K466" s="522"/>
      <c r="L466" s="204"/>
      <c r="M466" s="661"/>
      <c r="N466" s="661"/>
    </row>
    <row r="467" spans="1:14" ht="15.75" x14ac:dyDescent="0.25">
      <c r="A467" s="87">
        <v>463</v>
      </c>
      <c r="B467" s="87" t="s">
        <v>1136</v>
      </c>
      <c r="C467" s="555">
        <v>4371</v>
      </c>
      <c r="D467" s="563">
        <v>13000</v>
      </c>
      <c r="E467" s="573">
        <v>138</v>
      </c>
      <c r="F467" s="563">
        <v>13000</v>
      </c>
      <c r="G467" s="87">
        <f t="shared" si="7"/>
        <v>0</v>
      </c>
      <c r="H467" s="509"/>
      <c r="I467" s="509"/>
      <c r="J467" s="89"/>
      <c r="K467" s="522"/>
      <c r="L467" s="204"/>
      <c r="M467" s="661"/>
      <c r="N467" s="661"/>
    </row>
    <row r="468" spans="1:14" ht="15.75" x14ac:dyDescent="0.25">
      <c r="A468" s="87">
        <v>464</v>
      </c>
      <c r="B468" s="87" t="s">
        <v>1136</v>
      </c>
      <c r="C468" s="555">
        <v>2973</v>
      </c>
      <c r="D468" s="563">
        <v>14000</v>
      </c>
      <c r="E468" s="573">
        <v>149</v>
      </c>
      <c r="F468" s="563">
        <v>14000</v>
      </c>
      <c r="G468" s="87">
        <f t="shared" si="7"/>
        <v>0</v>
      </c>
      <c r="H468" s="509"/>
      <c r="I468" s="509"/>
      <c r="J468" s="89"/>
      <c r="K468" s="522"/>
      <c r="L468" s="204"/>
      <c r="M468" s="661"/>
      <c r="N468" s="661"/>
    </row>
    <row r="469" spans="1:14" ht="15.75" x14ac:dyDescent="0.25">
      <c r="A469" s="87">
        <v>465</v>
      </c>
      <c r="B469" s="87" t="s">
        <v>1136</v>
      </c>
      <c r="C469" s="555" t="s">
        <v>30</v>
      </c>
      <c r="D469" s="563">
        <v>4500</v>
      </c>
      <c r="E469" s="573">
        <v>48</v>
      </c>
      <c r="F469" s="563">
        <v>4500</v>
      </c>
      <c r="G469" s="87">
        <f t="shared" si="7"/>
        <v>0</v>
      </c>
      <c r="H469" s="509"/>
      <c r="I469" s="509"/>
      <c r="J469" s="89"/>
      <c r="K469" s="522"/>
      <c r="L469" s="204"/>
      <c r="M469" s="661"/>
      <c r="N469" s="661"/>
    </row>
    <row r="470" spans="1:14" ht="15.75" x14ac:dyDescent="0.25">
      <c r="A470" s="87">
        <v>466</v>
      </c>
      <c r="B470" s="87" t="s">
        <v>1136</v>
      </c>
      <c r="C470" s="607" t="s">
        <v>890</v>
      </c>
      <c r="D470" s="563">
        <v>14000</v>
      </c>
      <c r="E470" s="573">
        <v>155</v>
      </c>
      <c r="F470" s="563">
        <v>14000</v>
      </c>
      <c r="G470" s="87">
        <f t="shared" si="7"/>
        <v>0</v>
      </c>
      <c r="H470" s="509"/>
      <c r="I470" s="509"/>
      <c r="J470" s="89"/>
      <c r="K470" s="522"/>
      <c r="L470" s="204"/>
      <c r="M470" s="661"/>
      <c r="N470" s="661"/>
    </row>
    <row r="471" spans="1:14" ht="15.75" x14ac:dyDescent="0.25">
      <c r="A471" s="87">
        <v>467</v>
      </c>
      <c r="B471" s="87" t="s">
        <v>1136</v>
      </c>
      <c r="C471" s="555">
        <v>6555</v>
      </c>
      <c r="D471" s="563">
        <v>18000</v>
      </c>
      <c r="E471" s="573">
        <v>200</v>
      </c>
      <c r="F471" s="563">
        <v>18000</v>
      </c>
      <c r="G471" s="87">
        <f t="shared" si="7"/>
        <v>0</v>
      </c>
      <c r="H471" s="509"/>
      <c r="I471" s="509"/>
      <c r="J471" s="89"/>
      <c r="K471" s="522"/>
      <c r="L471" s="204"/>
      <c r="M471" s="661"/>
      <c r="N471" s="661"/>
    </row>
    <row r="472" spans="1:14" ht="15.75" x14ac:dyDescent="0.25">
      <c r="A472" s="87">
        <v>468</v>
      </c>
      <c r="B472" s="87" t="s">
        <v>1136</v>
      </c>
      <c r="C472" s="555" t="s">
        <v>66</v>
      </c>
      <c r="D472" s="563">
        <v>120</v>
      </c>
      <c r="E472" s="573" t="s">
        <v>66</v>
      </c>
      <c r="F472" s="563">
        <v>120</v>
      </c>
      <c r="G472" s="87">
        <f t="shared" si="7"/>
        <v>0</v>
      </c>
      <c r="H472" s="509"/>
      <c r="I472" s="509"/>
      <c r="J472" s="89"/>
      <c r="K472" s="522"/>
      <c r="L472" s="204"/>
      <c r="M472" s="661"/>
      <c r="N472" s="661"/>
    </row>
    <row r="473" spans="1:14" ht="15.75" x14ac:dyDescent="0.25">
      <c r="A473" s="87">
        <v>469</v>
      </c>
      <c r="B473" s="87" t="s">
        <v>1136</v>
      </c>
      <c r="C473" s="555">
        <v>5263</v>
      </c>
      <c r="D473" s="563">
        <v>25000</v>
      </c>
      <c r="E473" s="573">
        <v>267</v>
      </c>
      <c r="F473" s="563">
        <v>25000</v>
      </c>
      <c r="G473" s="87">
        <f t="shared" si="7"/>
        <v>0</v>
      </c>
      <c r="H473" s="509"/>
      <c r="I473" s="509"/>
      <c r="J473" s="89"/>
      <c r="K473" s="522"/>
      <c r="L473" s="204"/>
      <c r="M473" s="661"/>
      <c r="N473" s="661"/>
    </row>
    <row r="474" spans="1:14" ht="15.75" x14ac:dyDescent="0.25">
      <c r="A474" s="87">
        <v>470</v>
      </c>
      <c r="B474" s="87" t="s">
        <v>1136</v>
      </c>
      <c r="C474" s="555">
        <v>2199</v>
      </c>
      <c r="D474" s="563">
        <v>25000</v>
      </c>
      <c r="E474" s="573">
        <v>278</v>
      </c>
      <c r="F474" s="563">
        <v>25000</v>
      </c>
      <c r="G474" s="87">
        <f t="shared" si="7"/>
        <v>0</v>
      </c>
      <c r="H474" s="509"/>
      <c r="I474" s="509"/>
      <c r="J474" s="89"/>
      <c r="K474" s="522"/>
      <c r="L474" s="204"/>
      <c r="M474" s="661"/>
      <c r="N474" s="661"/>
    </row>
    <row r="475" spans="1:14" ht="15.75" x14ac:dyDescent="0.25">
      <c r="A475" s="87">
        <v>471</v>
      </c>
      <c r="B475" s="87" t="s">
        <v>1136</v>
      </c>
      <c r="C475" s="555">
        <v>3159</v>
      </c>
      <c r="D475" s="563">
        <v>30000</v>
      </c>
      <c r="E475" s="573">
        <v>334</v>
      </c>
      <c r="F475" s="563">
        <v>30000</v>
      </c>
      <c r="G475" s="87">
        <f t="shared" si="7"/>
        <v>0</v>
      </c>
      <c r="H475" s="509"/>
      <c r="I475" s="509"/>
      <c r="J475" s="89"/>
      <c r="K475" s="522"/>
      <c r="L475" s="204"/>
      <c r="M475" s="661"/>
      <c r="N475" s="661"/>
    </row>
    <row r="476" spans="1:14" ht="15.75" x14ac:dyDescent="0.25">
      <c r="A476" s="87">
        <v>472</v>
      </c>
      <c r="B476" s="87" t="s">
        <v>1136</v>
      </c>
      <c r="C476" s="555">
        <v>3158</v>
      </c>
      <c r="D476" s="563">
        <v>30000</v>
      </c>
      <c r="E476" s="573">
        <v>312</v>
      </c>
      <c r="F476" s="563">
        <v>30000</v>
      </c>
      <c r="G476" s="87">
        <f t="shared" si="7"/>
        <v>0</v>
      </c>
      <c r="H476" s="509"/>
      <c r="I476" s="509"/>
      <c r="J476" s="89"/>
      <c r="K476" s="522"/>
      <c r="L476" s="204"/>
      <c r="M476" s="661"/>
      <c r="N476" s="661"/>
    </row>
    <row r="477" spans="1:14" ht="15.75" x14ac:dyDescent="0.25">
      <c r="A477" s="87">
        <v>473</v>
      </c>
      <c r="B477" s="87" t="s">
        <v>1136</v>
      </c>
      <c r="C477" s="555">
        <v>8666</v>
      </c>
      <c r="D477" s="563">
        <v>20000</v>
      </c>
      <c r="E477" s="573">
        <v>222</v>
      </c>
      <c r="F477" s="563">
        <v>20000</v>
      </c>
      <c r="G477" s="87">
        <f t="shared" si="7"/>
        <v>0</v>
      </c>
      <c r="H477" s="509"/>
      <c r="I477" s="509"/>
      <c r="J477" s="89"/>
      <c r="K477" s="522"/>
      <c r="L477" s="204"/>
      <c r="M477" s="661"/>
      <c r="N477" s="661"/>
    </row>
    <row r="478" spans="1:14" ht="15.75" x14ac:dyDescent="0.25">
      <c r="A478" s="87">
        <v>474</v>
      </c>
      <c r="B478" s="87" t="s">
        <v>1136</v>
      </c>
      <c r="C478" s="555">
        <v>2544</v>
      </c>
      <c r="D478" s="563">
        <v>28000</v>
      </c>
      <c r="E478" s="573">
        <v>334</v>
      </c>
      <c r="F478" s="563">
        <v>28000</v>
      </c>
      <c r="G478" s="87">
        <f t="shared" si="7"/>
        <v>0</v>
      </c>
      <c r="H478" s="509"/>
      <c r="I478" s="509"/>
      <c r="J478" s="89"/>
      <c r="K478" s="522"/>
      <c r="L478" s="204"/>
      <c r="M478" s="661"/>
      <c r="N478" s="661"/>
    </row>
    <row r="479" spans="1:14" ht="15.75" x14ac:dyDescent="0.25">
      <c r="A479" s="87">
        <v>475</v>
      </c>
      <c r="B479" s="87" t="s">
        <v>1136</v>
      </c>
      <c r="C479" s="555">
        <v>2499</v>
      </c>
      <c r="D479" s="563">
        <v>18000</v>
      </c>
      <c r="E479" s="573">
        <v>183</v>
      </c>
      <c r="F479" s="563">
        <v>18000</v>
      </c>
      <c r="G479" s="87">
        <f t="shared" si="7"/>
        <v>0</v>
      </c>
      <c r="H479" s="509"/>
      <c r="I479" s="509"/>
      <c r="J479" s="89"/>
      <c r="K479" s="522"/>
      <c r="L479" s="204"/>
      <c r="M479" s="661"/>
      <c r="N479" s="661"/>
    </row>
    <row r="480" spans="1:14" ht="15.75" x14ac:dyDescent="0.25">
      <c r="A480" s="87">
        <v>476</v>
      </c>
      <c r="B480" s="87" t="s">
        <v>1136</v>
      </c>
      <c r="C480" s="555">
        <v>5629</v>
      </c>
      <c r="D480" s="563">
        <v>24000</v>
      </c>
      <c r="E480" s="573">
        <v>239</v>
      </c>
      <c r="F480" s="563">
        <v>24000</v>
      </c>
      <c r="G480" s="87">
        <f t="shared" si="7"/>
        <v>0</v>
      </c>
      <c r="H480" s="509"/>
      <c r="I480" s="509"/>
      <c r="J480" s="89"/>
      <c r="K480" s="522"/>
      <c r="L480" s="204"/>
      <c r="M480" s="661"/>
      <c r="N480" s="661"/>
    </row>
    <row r="481" spans="1:14" ht="15.75" x14ac:dyDescent="0.25">
      <c r="A481" s="87">
        <v>477</v>
      </c>
      <c r="B481" s="87" t="s">
        <v>1136</v>
      </c>
      <c r="C481" s="555">
        <v>6318</v>
      </c>
      <c r="D481" s="563">
        <v>22000</v>
      </c>
      <c r="E481" s="573">
        <v>220</v>
      </c>
      <c r="F481" s="563">
        <v>22000</v>
      </c>
      <c r="G481" s="87">
        <f t="shared" si="7"/>
        <v>0</v>
      </c>
      <c r="H481" s="509"/>
      <c r="I481" s="509"/>
      <c r="J481" s="89"/>
      <c r="K481" s="522"/>
      <c r="L481" s="204"/>
      <c r="M481" s="661"/>
      <c r="N481" s="661"/>
    </row>
    <row r="482" spans="1:14" ht="15.75" x14ac:dyDescent="0.25">
      <c r="A482" s="87">
        <v>478</v>
      </c>
      <c r="B482" s="87" t="s">
        <v>1135</v>
      </c>
      <c r="C482" s="555" t="s">
        <v>66</v>
      </c>
      <c r="D482" s="563">
        <v>310</v>
      </c>
      <c r="E482" s="573" t="s">
        <v>66</v>
      </c>
      <c r="F482" s="563">
        <v>310</v>
      </c>
      <c r="G482" s="87">
        <f t="shared" si="7"/>
        <v>0</v>
      </c>
      <c r="H482" s="509"/>
      <c r="I482" s="509"/>
      <c r="J482" s="89"/>
      <c r="K482" s="522"/>
      <c r="L482" s="204"/>
      <c r="M482" s="661"/>
      <c r="N482" s="661"/>
    </row>
    <row r="483" spans="1:14" ht="15.75" x14ac:dyDescent="0.25">
      <c r="A483" s="87">
        <v>479</v>
      </c>
      <c r="B483" s="87" t="s">
        <v>1135</v>
      </c>
      <c r="C483" s="555">
        <v>5252</v>
      </c>
      <c r="D483" s="563">
        <v>18000</v>
      </c>
      <c r="E483" s="573">
        <v>200</v>
      </c>
      <c r="F483" s="563">
        <v>18000</v>
      </c>
      <c r="G483" s="87">
        <f t="shared" si="7"/>
        <v>0</v>
      </c>
      <c r="H483" s="509"/>
      <c r="I483" s="509"/>
      <c r="J483" s="89"/>
      <c r="K483" s="522"/>
      <c r="L483" s="204"/>
      <c r="M483" s="661"/>
      <c r="N483" s="661"/>
    </row>
    <row r="484" spans="1:14" ht="15.75" x14ac:dyDescent="0.25">
      <c r="A484" s="87">
        <v>480</v>
      </c>
      <c r="B484" s="87" t="s">
        <v>1135</v>
      </c>
      <c r="C484" s="555">
        <v>6133</v>
      </c>
      <c r="D484" s="563">
        <v>16000</v>
      </c>
      <c r="E484" s="573">
        <v>178</v>
      </c>
      <c r="F484" s="563">
        <v>16000</v>
      </c>
      <c r="G484" s="87">
        <f t="shared" si="7"/>
        <v>0</v>
      </c>
      <c r="H484" s="509"/>
      <c r="I484" s="509"/>
      <c r="J484" s="89"/>
      <c r="K484" s="522"/>
      <c r="L484" s="204"/>
      <c r="M484" s="661"/>
      <c r="N484" s="661"/>
    </row>
    <row r="485" spans="1:14" ht="15.75" x14ac:dyDescent="0.25">
      <c r="A485" s="87">
        <v>481</v>
      </c>
      <c r="B485" s="87" t="s">
        <v>1135</v>
      </c>
      <c r="C485" s="555">
        <v>9426</v>
      </c>
      <c r="D485" s="563">
        <v>16000</v>
      </c>
      <c r="E485" s="573">
        <v>178</v>
      </c>
      <c r="F485" s="563">
        <v>16000</v>
      </c>
      <c r="G485" s="87">
        <f t="shared" si="7"/>
        <v>0</v>
      </c>
      <c r="H485" s="509"/>
      <c r="I485" s="509"/>
      <c r="J485" s="89"/>
      <c r="K485" s="522"/>
      <c r="L485" s="204"/>
      <c r="M485" s="661"/>
      <c r="N485" s="661"/>
    </row>
    <row r="486" spans="1:14" ht="15.75" x14ac:dyDescent="0.25">
      <c r="A486" s="87">
        <v>482</v>
      </c>
      <c r="B486" s="87" t="s">
        <v>1135</v>
      </c>
      <c r="C486" s="555">
        <v>9602</v>
      </c>
      <c r="D486" s="563">
        <v>17000</v>
      </c>
      <c r="E486" s="573">
        <v>181</v>
      </c>
      <c r="F486" s="563">
        <v>17000</v>
      </c>
      <c r="G486" s="87">
        <f t="shared" si="7"/>
        <v>0</v>
      </c>
      <c r="H486" s="509"/>
      <c r="I486" s="509"/>
      <c r="J486" s="89"/>
      <c r="K486" s="522"/>
      <c r="L486" s="204"/>
      <c r="M486" s="661"/>
      <c r="N486" s="661"/>
    </row>
    <row r="487" spans="1:14" ht="15.75" x14ac:dyDescent="0.25">
      <c r="A487" s="87">
        <v>483</v>
      </c>
      <c r="B487" s="87" t="s">
        <v>1135</v>
      </c>
      <c r="C487" s="555">
        <v>5838</v>
      </c>
      <c r="D487" s="563">
        <v>16000</v>
      </c>
      <c r="E487" s="573">
        <v>178</v>
      </c>
      <c r="F487" s="563">
        <v>16000</v>
      </c>
      <c r="G487" s="87">
        <f t="shared" si="7"/>
        <v>0</v>
      </c>
      <c r="H487" s="509"/>
      <c r="I487" s="509"/>
      <c r="J487" s="89"/>
      <c r="K487" s="522"/>
      <c r="L487" s="204"/>
      <c r="M487" s="661"/>
      <c r="N487" s="661"/>
    </row>
    <row r="488" spans="1:14" ht="15.75" x14ac:dyDescent="0.25">
      <c r="A488" s="87">
        <v>484</v>
      </c>
      <c r="B488" s="87" t="s">
        <v>1135</v>
      </c>
      <c r="C488" s="555" t="s">
        <v>30</v>
      </c>
      <c r="D488" s="563">
        <v>5000</v>
      </c>
      <c r="E488" s="573">
        <v>55</v>
      </c>
      <c r="F488" s="563">
        <v>5000</v>
      </c>
      <c r="G488" s="87">
        <f t="shared" si="7"/>
        <v>0</v>
      </c>
      <c r="H488" s="509"/>
      <c r="I488" s="509"/>
      <c r="J488" s="89"/>
      <c r="K488" s="522"/>
      <c r="L488" s="204"/>
      <c r="M488" s="661"/>
      <c r="N488" s="661"/>
    </row>
    <row r="489" spans="1:14" ht="15.75" x14ac:dyDescent="0.25">
      <c r="A489" s="87">
        <v>485</v>
      </c>
      <c r="B489" s="87" t="s">
        <v>1135</v>
      </c>
      <c r="C489" s="555">
        <v>2526</v>
      </c>
      <c r="D489" s="563">
        <v>20000</v>
      </c>
      <c r="E489" s="573">
        <v>222</v>
      </c>
      <c r="F489" s="563">
        <v>20000</v>
      </c>
      <c r="G489" s="87">
        <f t="shared" si="7"/>
        <v>0</v>
      </c>
      <c r="H489" s="509"/>
      <c r="I489" s="509"/>
      <c r="J489" s="89"/>
      <c r="K489" s="522"/>
      <c r="L489" s="204"/>
      <c r="M489" s="661"/>
      <c r="N489" s="661"/>
    </row>
    <row r="490" spans="1:14" ht="15.75" x14ac:dyDescent="0.25">
      <c r="A490" s="87">
        <v>486</v>
      </c>
      <c r="B490" s="87" t="s">
        <v>1135</v>
      </c>
      <c r="C490" s="555">
        <v>2835</v>
      </c>
      <c r="D490" s="563">
        <v>42000</v>
      </c>
      <c r="E490" s="573">
        <v>467</v>
      </c>
      <c r="F490" s="563">
        <v>42000</v>
      </c>
      <c r="G490" s="87">
        <f t="shared" si="7"/>
        <v>0</v>
      </c>
      <c r="H490" s="509"/>
      <c r="I490" s="509"/>
      <c r="J490" s="89"/>
      <c r="K490" s="522"/>
      <c r="L490" s="204"/>
      <c r="M490" s="661"/>
      <c r="N490" s="661"/>
    </row>
    <row r="491" spans="1:14" ht="15.75" x14ac:dyDescent="0.25">
      <c r="A491" s="87">
        <v>487</v>
      </c>
      <c r="B491" s="87" t="s">
        <v>1135</v>
      </c>
      <c r="C491" s="555">
        <v>7945</v>
      </c>
      <c r="D491" s="563">
        <v>42000</v>
      </c>
      <c r="E491" s="573">
        <v>467</v>
      </c>
      <c r="F491" s="563">
        <v>42000</v>
      </c>
      <c r="G491" s="87">
        <f t="shared" si="7"/>
        <v>0</v>
      </c>
      <c r="H491" s="509"/>
      <c r="I491" s="509"/>
      <c r="J491" s="89"/>
      <c r="K491" s="522"/>
      <c r="L491" s="204"/>
      <c r="M491" s="661"/>
      <c r="N491" s="661"/>
    </row>
    <row r="492" spans="1:14" ht="15.75" x14ac:dyDescent="0.25">
      <c r="A492" s="87">
        <v>488</v>
      </c>
      <c r="B492" s="87" t="s">
        <v>1135</v>
      </c>
      <c r="C492" s="607" t="s">
        <v>992</v>
      </c>
      <c r="D492" s="563">
        <v>15000</v>
      </c>
      <c r="E492" s="573">
        <v>167</v>
      </c>
      <c r="F492" s="563">
        <v>15000</v>
      </c>
      <c r="G492" s="87">
        <f t="shared" si="7"/>
        <v>0</v>
      </c>
      <c r="H492" s="509"/>
      <c r="I492" s="509"/>
      <c r="J492" s="89"/>
      <c r="K492" s="522"/>
      <c r="L492" s="204"/>
      <c r="M492" s="661"/>
      <c r="N492" s="661"/>
    </row>
    <row r="493" spans="1:14" ht="15.75" x14ac:dyDescent="0.25">
      <c r="A493" s="87">
        <v>489</v>
      </c>
      <c r="B493" s="87" t="s">
        <v>1135</v>
      </c>
      <c r="C493" s="607" t="s">
        <v>928</v>
      </c>
      <c r="D493" s="563">
        <v>22000</v>
      </c>
      <c r="E493" s="573">
        <v>245</v>
      </c>
      <c r="F493" s="563">
        <v>22000</v>
      </c>
      <c r="G493" s="87">
        <f t="shared" si="7"/>
        <v>0</v>
      </c>
      <c r="H493" s="509"/>
      <c r="I493" s="509"/>
      <c r="J493" s="89"/>
      <c r="K493" s="522"/>
      <c r="L493" s="204"/>
      <c r="M493" s="661"/>
      <c r="N493" s="661"/>
    </row>
    <row r="494" spans="1:14" ht="15.75" x14ac:dyDescent="0.25">
      <c r="A494" s="87">
        <v>490</v>
      </c>
      <c r="B494" s="87" t="s">
        <v>1135</v>
      </c>
      <c r="C494" s="607" t="s">
        <v>1175</v>
      </c>
      <c r="D494" s="563">
        <v>20000</v>
      </c>
      <c r="E494" s="573">
        <v>193</v>
      </c>
      <c r="F494" s="563">
        <v>20000</v>
      </c>
      <c r="G494" s="87">
        <f t="shared" si="7"/>
        <v>0</v>
      </c>
      <c r="H494" s="509"/>
      <c r="I494" s="509"/>
      <c r="J494" s="89"/>
      <c r="K494" s="522"/>
      <c r="L494" s="204"/>
      <c r="M494" s="661"/>
      <c r="N494" s="661"/>
    </row>
    <row r="495" spans="1:14" ht="15.75" x14ac:dyDescent="0.25">
      <c r="A495" s="87">
        <v>491</v>
      </c>
      <c r="B495" s="87" t="s">
        <v>1135</v>
      </c>
      <c r="C495" s="555">
        <v>5443</v>
      </c>
      <c r="D495" s="563">
        <v>15000</v>
      </c>
      <c r="E495" s="573">
        <v>167</v>
      </c>
      <c r="F495" s="563">
        <v>15000</v>
      </c>
      <c r="G495" s="87">
        <f t="shared" si="7"/>
        <v>0</v>
      </c>
      <c r="H495" s="509"/>
      <c r="I495" s="509"/>
      <c r="J495" s="89"/>
      <c r="K495" s="522"/>
      <c r="L495" s="204"/>
      <c r="M495" s="661"/>
      <c r="N495" s="661"/>
    </row>
    <row r="496" spans="1:14" ht="15.75" x14ac:dyDescent="0.25">
      <c r="A496" s="87">
        <v>492</v>
      </c>
      <c r="B496" s="87" t="s">
        <v>1135</v>
      </c>
      <c r="C496" s="555">
        <v>1217</v>
      </c>
      <c r="D496" s="563">
        <v>32000</v>
      </c>
      <c r="E496" s="573">
        <v>356</v>
      </c>
      <c r="F496" s="563">
        <v>32000</v>
      </c>
      <c r="G496" s="87">
        <f t="shared" si="7"/>
        <v>0</v>
      </c>
      <c r="H496" s="509"/>
      <c r="I496" s="509"/>
      <c r="J496" s="89"/>
      <c r="K496" s="522"/>
      <c r="L496" s="204"/>
      <c r="M496" s="661"/>
      <c r="N496" s="661"/>
    </row>
    <row r="497" spans="1:14" ht="15.75" x14ac:dyDescent="0.25">
      <c r="A497" s="87">
        <v>493</v>
      </c>
      <c r="B497" s="87" t="s">
        <v>1135</v>
      </c>
      <c r="C497" s="555">
        <v>7086</v>
      </c>
      <c r="D497" s="563">
        <v>25000</v>
      </c>
      <c r="E497" s="573">
        <v>278</v>
      </c>
      <c r="F497" s="563">
        <v>25000</v>
      </c>
      <c r="G497" s="87">
        <f t="shared" si="7"/>
        <v>0</v>
      </c>
      <c r="H497" s="509"/>
      <c r="I497" s="509"/>
      <c r="J497" s="89"/>
      <c r="K497" s="522"/>
      <c r="L497" s="204"/>
      <c r="M497" s="661"/>
      <c r="N497" s="661"/>
    </row>
    <row r="498" spans="1:14" ht="15.75" x14ac:dyDescent="0.25">
      <c r="A498" s="87">
        <v>494</v>
      </c>
      <c r="B498" s="87" t="s">
        <v>1135</v>
      </c>
      <c r="C498" s="555">
        <v>3464</v>
      </c>
      <c r="D498" s="563">
        <v>30000</v>
      </c>
      <c r="E498" s="573">
        <v>324</v>
      </c>
      <c r="F498" s="563">
        <v>30000</v>
      </c>
      <c r="G498" s="87">
        <f t="shared" si="7"/>
        <v>0</v>
      </c>
      <c r="H498" s="509"/>
      <c r="I498" s="509"/>
      <c r="J498" s="89"/>
      <c r="K498" s="522"/>
      <c r="L498" s="204"/>
      <c r="M498" s="661"/>
      <c r="N498" s="661"/>
    </row>
    <row r="499" spans="1:14" ht="15.75" x14ac:dyDescent="0.25">
      <c r="A499" s="87">
        <v>495</v>
      </c>
      <c r="B499" s="87" t="s">
        <v>1135</v>
      </c>
      <c r="C499" s="555">
        <v>1145</v>
      </c>
      <c r="D499" s="563">
        <v>20000</v>
      </c>
      <c r="E499" s="573">
        <v>222</v>
      </c>
      <c r="F499" s="563">
        <v>20000</v>
      </c>
      <c r="G499" s="87">
        <f t="shared" si="7"/>
        <v>0</v>
      </c>
      <c r="H499" s="509"/>
      <c r="I499" s="509"/>
      <c r="J499" s="89"/>
      <c r="K499" s="522"/>
      <c r="L499" s="204"/>
      <c r="M499" s="661"/>
      <c r="N499" s="661"/>
    </row>
    <row r="500" spans="1:14" ht="15.75" x14ac:dyDescent="0.25">
      <c r="A500" s="87">
        <v>496</v>
      </c>
      <c r="B500" s="87" t="s">
        <v>1135</v>
      </c>
      <c r="C500" s="555">
        <v>5968</v>
      </c>
      <c r="D500" s="563">
        <v>28000</v>
      </c>
      <c r="E500" s="573">
        <v>311</v>
      </c>
      <c r="F500" s="563">
        <v>28000</v>
      </c>
      <c r="G500" s="87">
        <f t="shared" si="7"/>
        <v>0</v>
      </c>
      <c r="H500" s="509"/>
      <c r="I500" s="509"/>
      <c r="J500" s="89"/>
      <c r="K500" s="522"/>
      <c r="L500" s="204"/>
      <c r="M500" s="661"/>
      <c r="N500" s="661"/>
    </row>
    <row r="501" spans="1:14" ht="15.75" x14ac:dyDescent="0.25">
      <c r="A501" s="87">
        <v>497</v>
      </c>
      <c r="B501" s="87" t="s">
        <v>1137</v>
      </c>
      <c r="C501" s="555" t="s">
        <v>30</v>
      </c>
      <c r="D501" s="563">
        <v>2850</v>
      </c>
      <c r="E501" s="573">
        <v>27</v>
      </c>
      <c r="F501" s="563">
        <v>2850</v>
      </c>
      <c r="G501" s="87">
        <f t="shared" si="7"/>
        <v>0</v>
      </c>
      <c r="H501" s="509"/>
      <c r="I501" s="509"/>
      <c r="J501" s="89"/>
      <c r="K501" s="522"/>
      <c r="L501" s="204"/>
      <c r="M501" s="661"/>
      <c r="N501" s="661"/>
    </row>
    <row r="502" spans="1:14" ht="15.75" x14ac:dyDescent="0.25">
      <c r="A502" s="87">
        <v>498</v>
      </c>
      <c r="B502" s="87" t="s">
        <v>1137</v>
      </c>
      <c r="C502" s="555">
        <v>4058</v>
      </c>
      <c r="D502" s="563">
        <v>17000</v>
      </c>
      <c r="E502" s="573">
        <v>189</v>
      </c>
      <c r="F502" s="563">
        <v>17000</v>
      </c>
      <c r="G502" s="87">
        <f t="shared" si="7"/>
        <v>0</v>
      </c>
      <c r="H502" s="509"/>
      <c r="I502" s="509"/>
      <c r="J502" s="89"/>
      <c r="K502" s="522"/>
      <c r="L502" s="204"/>
      <c r="M502" s="661"/>
      <c r="N502" s="661"/>
    </row>
    <row r="503" spans="1:14" ht="15.75" x14ac:dyDescent="0.25">
      <c r="A503" s="87">
        <v>499</v>
      </c>
      <c r="B503" s="87" t="s">
        <v>1137</v>
      </c>
      <c r="C503" s="555">
        <v>3662</v>
      </c>
      <c r="D503" s="563">
        <v>18000</v>
      </c>
      <c r="E503" s="573">
        <v>200</v>
      </c>
      <c r="F503" s="563">
        <v>18000</v>
      </c>
      <c r="G503" s="87">
        <f t="shared" si="7"/>
        <v>0</v>
      </c>
      <c r="H503" s="509"/>
      <c r="I503" s="509"/>
      <c r="J503" s="89"/>
      <c r="K503" s="522"/>
      <c r="L503" s="204"/>
      <c r="M503" s="661"/>
      <c r="N503" s="661"/>
    </row>
    <row r="504" spans="1:14" ht="15.75" x14ac:dyDescent="0.25">
      <c r="A504" s="87">
        <v>500</v>
      </c>
      <c r="B504" s="87" t="s">
        <v>1137</v>
      </c>
      <c r="C504" s="555" t="s">
        <v>66</v>
      </c>
      <c r="D504" s="563">
        <v>210</v>
      </c>
      <c r="E504" s="573" t="s">
        <v>66</v>
      </c>
      <c r="F504" s="563">
        <v>210</v>
      </c>
      <c r="G504" s="87">
        <f t="shared" si="7"/>
        <v>0</v>
      </c>
      <c r="H504" s="509"/>
      <c r="I504" s="509"/>
      <c r="J504" s="89"/>
      <c r="K504" s="522"/>
      <c r="L504" s="204"/>
      <c r="M504" s="661"/>
      <c r="N504" s="661"/>
    </row>
    <row r="505" spans="1:14" ht="15.75" x14ac:dyDescent="0.25">
      <c r="A505" s="87">
        <v>501</v>
      </c>
      <c r="B505" s="87" t="s">
        <v>1137</v>
      </c>
      <c r="C505" s="607" t="s">
        <v>1094</v>
      </c>
      <c r="D505" s="563">
        <v>26000</v>
      </c>
      <c r="E505" s="573">
        <v>289</v>
      </c>
      <c r="F505" s="563">
        <v>26000</v>
      </c>
      <c r="G505" s="87">
        <f t="shared" si="7"/>
        <v>0</v>
      </c>
      <c r="H505" s="509"/>
      <c r="I505" s="509"/>
      <c r="J505" s="89"/>
      <c r="K505" s="522"/>
      <c r="L505" s="204"/>
      <c r="M505" s="661"/>
      <c r="N505" s="661"/>
    </row>
    <row r="506" spans="1:14" ht="15.75" x14ac:dyDescent="0.25">
      <c r="A506" s="87">
        <v>502</v>
      </c>
      <c r="B506" s="87" t="s">
        <v>1137</v>
      </c>
      <c r="C506" s="555">
        <v>4024</v>
      </c>
      <c r="D506" s="563">
        <v>10000</v>
      </c>
      <c r="E506" s="573">
        <v>111</v>
      </c>
      <c r="F506" s="563">
        <v>10000</v>
      </c>
      <c r="G506" s="87">
        <f t="shared" si="7"/>
        <v>0</v>
      </c>
      <c r="H506" s="509"/>
      <c r="I506" s="509"/>
      <c r="J506" s="89"/>
      <c r="K506" s="522"/>
      <c r="L506" s="204"/>
      <c r="M506" s="661"/>
      <c r="N506" s="661"/>
    </row>
    <row r="507" spans="1:14" ht="15.75" x14ac:dyDescent="0.25">
      <c r="A507" s="87">
        <v>503</v>
      </c>
      <c r="B507" s="87" t="s">
        <v>1137</v>
      </c>
      <c r="C507" s="555" t="s">
        <v>30</v>
      </c>
      <c r="D507" s="563">
        <v>10000</v>
      </c>
      <c r="E507" s="573">
        <v>111</v>
      </c>
      <c r="F507" s="563">
        <v>10000</v>
      </c>
      <c r="G507" s="87">
        <f t="shared" si="7"/>
        <v>0</v>
      </c>
      <c r="H507" s="509"/>
      <c r="I507" s="509"/>
      <c r="J507" s="89"/>
      <c r="K507" s="522"/>
      <c r="L507" s="204"/>
      <c r="M507" s="661"/>
      <c r="N507" s="661"/>
    </row>
    <row r="508" spans="1:14" ht="15.75" x14ac:dyDescent="0.25">
      <c r="A508" s="87">
        <v>504</v>
      </c>
      <c r="B508" s="87" t="s">
        <v>1137</v>
      </c>
      <c r="C508" s="555">
        <v>1771</v>
      </c>
      <c r="D508" s="563">
        <v>20000</v>
      </c>
      <c r="E508" s="573">
        <v>222</v>
      </c>
      <c r="F508" s="563">
        <v>20000</v>
      </c>
      <c r="G508" s="87">
        <f t="shared" si="7"/>
        <v>0</v>
      </c>
      <c r="H508" s="509"/>
      <c r="I508" s="509"/>
      <c r="J508" s="89"/>
      <c r="K508" s="522"/>
      <c r="L508" s="204"/>
      <c r="M508" s="661"/>
      <c r="N508" s="661"/>
    </row>
    <row r="509" spans="1:14" ht="15.75" x14ac:dyDescent="0.25">
      <c r="A509" s="87">
        <v>505</v>
      </c>
      <c r="B509" s="87" t="s">
        <v>1137</v>
      </c>
      <c r="C509" s="555">
        <v>6957</v>
      </c>
      <c r="D509" s="563">
        <v>20000</v>
      </c>
      <c r="E509" s="573">
        <v>222</v>
      </c>
      <c r="F509" s="563">
        <v>20000</v>
      </c>
      <c r="G509" s="87">
        <f t="shared" si="7"/>
        <v>0</v>
      </c>
      <c r="H509" s="509"/>
      <c r="I509" s="509"/>
      <c r="J509" s="89"/>
      <c r="K509" s="522"/>
      <c r="L509" s="204"/>
      <c r="M509" s="661"/>
      <c r="N509" s="661"/>
    </row>
    <row r="510" spans="1:14" ht="15.75" x14ac:dyDescent="0.25">
      <c r="A510" s="87">
        <v>506</v>
      </c>
      <c r="B510" s="87" t="s">
        <v>1137</v>
      </c>
      <c r="C510" s="555">
        <v>4838</v>
      </c>
      <c r="D510" s="563">
        <v>14000</v>
      </c>
      <c r="E510" s="573">
        <v>155</v>
      </c>
      <c r="F510" s="563">
        <v>14000</v>
      </c>
      <c r="G510" s="87">
        <f t="shared" si="7"/>
        <v>0</v>
      </c>
      <c r="H510" s="509"/>
      <c r="I510" s="509"/>
      <c r="J510" s="89"/>
      <c r="K510" s="522"/>
      <c r="L510" s="204"/>
      <c r="M510" s="661"/>
      <c r="N510" s="661"/>
    </row>
    <row r="511" spans="1:14" ht="15.75" x14ac:dyDescent="0.25">
      <c r="A511" s="87">
        <v>507</v>
      </c>
      <c r="B511" s="87" t="s">
        <v>1137</v>
      </c>
      <c r="C511" s="555">
        <v>1491</v>
      </c>
      <c r="D511" s="563">
        <v>14000</v>
      </c>
      <c r="E511" s="573">
        <v>155</v>
      </c>
      <c r="F511" s="563">
        <v>14000</v>
      </c>
      <c r="G511" s="87">
        <f t="shared" si="7"/>
        <v>0</v>
      </c>
      <c r="H511" s="509"/>
      <c r="I511" s="509"/>
      <c r="J511" s="89"/>
      <c r="K511" s="522"/>
      <c r="L511" s="204"/>
      <c r="M511" s="661"/>
      <c r="N511" s="661"/>
    </row>
    <row r="512" spans="1:14" ht="15.75" x14ac:dyDescent="0.25">
      <c r="A512" s="87">
        <v>508</v>
      </c>
      <c r="B512" s="87" t="s">
        <v>1137</v>
      </c>
      <c r="C512" s="555">
        <v>2774</v>
      </c>
      <c r="D512" s="563">
        <v>15000</v>
      </c>
      <c r="E512" s="573">
        <v>167</v>
      </c>
      <c r="F512" s="563">
        <v>15000</v>
      </c>
      <c r="G512" s="87">
        <f t="shared" si="7"/>
        <v>0</v>
      </c>
      <c r="H512" s="509"/>
      <c r="I512" s="509"/>
      <c r="J512" s="89"/>
      <c r="K512" s="522"/>
      <c r="L512" s="204"/>
      <c r="M512" s="661"/>
      <c r="N512" s="661"/>
    </row>
    <row r="513" spans="1:14" ht="15.75" x14ac:dyDescent="0.25">
      <c r="A513" s="87">
        <v>509</v>
      </c>
      <c r="B513" s="87" t="s">
        <v>1137</v>
      </c>
      <c r="C513" s="555">
        <v>1220</v>
      </c>
      <c r="D513" s="563">
        <v>15000</v>
      </c>
      <c r="E513" s="573">
        <v>167</v>
      </c>
      <c r="F513" s="563">
        <v>15000</v>
      </c>
      <c r="G513" s="87">
        <f t="shared" si="7"/>
        <v>0</v>
      </c>
      <c r="H513" s="509"/>
      <c r="I513" s="509"/>
      <c r="J513" s="89"/>
      <c r="K513" s="522"/>
      <c r="L513" s="204"/>
      <c r="M513" s="661"/>
      <c r="N513" s="661"/>
    </row>
    <row r="514" spans="1:14" ht="15.75" x14ac:dyDescent="0.25">
      <c r="A514" s="87">
        <v>510</v>
      </c>
      <c r="B514" s="87" t="s">
        <v>1137</v>
      </c>
      <c r="C514" s="607" t="s">
        <v>1095</v>
      </c>
      <c r="D514" s="563">
        <v>30000</v>
      </c>
      <c r="E514" s="573">
        <v>334</v>
      </c>
      <c r="F514" s="563">
        <v>30000</v>
      </c>
      <c r="G514" s="87">
        <f t="shared" si="7"/>
        <v>0</v>
      </c>
      <c r="H514" s="509"/>
      <c r="I514" s="509"/>
      <c r="J514" s="89"/>
      <c r="K514" s="522"/>
      <c r="L514" s="204"/>
      <c r="M514" s="661"/>
      <c r="N514" s="661"/>
    </row>
    <row r="515" spans="1:14" ht="15.75" x14ac:dyDescent="0.25">
      <c r="A515" s="87">
        <v>511</v>
      </c>
      <c r="B515" s="87" t="s">
        <v>1137</v>
      </c>
      <c r="C515" s="555">
        <v>8468</v>
      </c>
      <c r="D515" s="563">
        <v>18000</v>
      </c>
      <c r="E515" s="573">
        <v>200</v>
      </c>
      <c r="F515" s="563">
        <v>18000</v>
      </c>
      <c r="G515" s="87">
        <f t="shared" si="7"/>
        <v>0</v>
      </c>
      <c r="H515" s="509"/>
      <c r="I515" s="509"/>
      <c r="J515" s="89"/>
      <c r="K515" s="522"/>
      <c r="L515" s="204"/>
      <c r="M515" s="661"/>
      <c r="N515" s="661"/>
    </row>
    <row r="516" spans="1:14" ht="15.75" x14ac:dyDescent="0.25">
      <c r="A516" s="87">
        <v>512</v>
      </c>
      <c r="B516" s="87" t="s">
        <v>1137</v>
      </c>
      <c r="C516" s="555">
        <v>6573</v>
      </c>
      <c r="D516" s="563">
        <v>16000</v>
      </c>
      <c r="E516" s="573">
        <v>178</v>
      </c>
      <c r="F516" s="563">
        <v>16000</v>
      </c>
      <c r="G516" s="87">
        <f t="shared" si="7"/>
        <v>0</v>
      </c>
      <c r="H516" s="509"/>
      <c r="I516" s="509"/>
      <c r="J516" s="89"/>
      <c r="K516" s="522"/>
      <c r="L516" s="204"/>
      <c r="M516" s="661"/>
      <c r="N516" s="661"/>
    </row>
    <row r="517" spans="1:14" ht="15.75" x14ac:dyDescent="0.25">
      <c r="A517" s="87">
        <v>513</v>
      </c>
      <c r="B517" s="87" t="s">
        <v>1137</v>
      </c>
      <c r="C517" s="555">
        <v>9426</v>
      </c>
      <c r="D517" s="563">
        <v>19000</v>
      </c>
      <c r="E517" s="573">
        <v>211</v>
      </c>
      <c r="F517" s="563">
        <v>19000</v>
      </c>
      <c r="G517" s="87">
        <f t="shared" ref="G517:G580" si="8">D517-F517</f>
        <v>0</v>
      </c>
      <c r="H517" s="509"/>
      <c r="I517" s="509"/>
      <c r="J517" s="89"/>
      <c r="K517" s="522"/>
      <c r="L517" s="204"/>
      <c r="M517" s="661"/>
      <c r="N517" s="661"/>
    </row>
    <row r="518" spans="1:14" ht="15.75" x14ac:dyDescent="0.25">
      <c r="A518" s="87">
        <v>514</v>
      </c>
      <c r="B518" s="87" t="s">
        <v>1137</v>
      </c>
      <c r="C518" s="555">
        <v>4137</v>
      </c>
      <c r="D518" s="563">
        <v>21000</v>
      </c>
      <c r="E518" s="573">
        <v>233</v>
      </c>
      <c r="F518" s="563">
        <v>21000</v>
      </c>
      <c r="G518" s="87">
        <f t="shared" si="8"/>
        <v>0</v>
      </c>
      <c r="H518" s="509"/>
      <c r="I518" s="509"/>
      <c r="J518" s="89"/>
      <c r="K518" s="522"/>
      <c r="L518" s="204"/>
      <c r="M518" s="661"/>
      <c r="N518" s="661"/>
    </row>
    <row r="519" spans="1:14" ht="15.75" x14ac:dyDescent="0.25">
      <c r="A519" s="87">
        <v>515</v>
      </c>
      <c r="B519" s="87" t="s">
        <v>1137</v>
      </c>
      <c r="C519" s="555">
        <v>1738</v>
      </c>
      <c r="D519" s="563">
        <v>17000</v>
      </c>
      <c r="E519" s="573">
        <v>189</v>
      </c>
      <c r="F519" s="563">
        <v>17000</v>
      </c>
      <c r="G519" s="87">
        <f t="shared" si="8"/>
        <v>0</v>
      </c>
      <c r="H519" s="509"/>
      <c r="I519" s="509"/>
      <c r="J519" s="89"/>
      <c r="K519" s="522"/>
      <c r="L519" s="204"/>
      <c r="M519" s="661"/>
      <c r="N519" s="661"/>
    </row>
    <row r="520" spans="1:14" ht="15.75" x14ac:dyDescent="0.25">
      <c r="A520" s="87">
        <v>516</v>
      </c>
      <c r="B520" s="87" t="s">
        <v>1137</v>
      </c>
      <c r="C520" s="555">
        <v>1197</v>
      </c>
      <c r="D520" s="563">
        <v>28000</v>
      </c>
      <c r="E520" s="573">
        <v>311</v>
      </c>
      <c r="F520" s="563">
        <v>28000</v>
      </c>
      <c r="G520" s="87">
        <f t="shared" si="8"/>
        <v>0</v>
      </c>
      <c r="H520" s="509"/>
      <c r="I520" s="509"/>
      <c r="J520" s="89"/>
      <c r="K520" s="522"/>
      <c r="L520" s="204"/>
      <c r="M520" s="661"/>
      <c r="N520" s="661"/>
    </row>
    <row r="521" spans="1:14" ht="15.75" x14ac:dyDescent="0.25">
      <c r="A521" s="87">
        <v>517</v>
      </c>
      <c r="B521" s="87" t="s">
        <v>1137</v>
      </c>
      <c r="C521" s="555" t="s">
        <v>30</v>
      </c>
      <c r="D521" s="563">
        <v>5000</v>
      </c>
      <c r="E521" s="573">
        <v>55</v>
      </c>
      <c r="F521" s="563">
        <v>5000</v>
      </c>
      <c r="G521" s="87">
        <f t="shared" si="8"/>
        <v>0</v>
      </c>
      <c r="H521" s="509"/>
      <c r="I521" s="509"/>
      <c r="J521" s="89"/>
      <c r="K521" s="522"/>
      <c r="L521" s="204"/>
      <c r="M521" s="661"/>
      <c r="N521" s="661"/>
    </row>
    <row r="522" spans="1:14" ht="15.75" x14ac:dyDescent="0.25">
      <c r="A522" s="87">
        <v>518</v>
      </c>
      <c r="B522" s="87" t="s">
        <v>1137</v>
      </c>
      <c r="C522" s="555" t="s">
        <v>819</v>
      </c>
      <c r="D522" s="563">
        <v>1500</v>
      </c>
      <c r="E522" s="573">
        <v>16</v>
      </c>
      <c r="F522" s="563">
        <v>1500</v>
      </c>
      <c r="G522" s="87">
        <f t="shared" si="8"/>
        <v>0</v>
      </c>
      <c r="H522" s="509"/>
      <c r="I522" s="509"/>
      <c r="J522" s="89"/>
      <c r="K522" s="522"/>
      <c r="L522" s="204"/>
      <c r="M522" s="661"/>
      <c r="N522" s="661"/>
    </row>
    <row r="523" spans="1:14" ht="15.75" x14ac:dyDescent="0.25">
      <c r="A523" s="87">
        <v>519</v>
      </c>
      <c r="B523" s="87" t="s">
        <v>1137</v>
      </c>
      <c r="C523" s="555" t="s">
        <v>66</v>
      </c>
      <c r="D523" s="563">
        <v>100</v>
      </c>
      <c r="E523" s="573" t="s">
        <v>66</v>
      </c>
      <c r="F523" s="563">
        <v>100</v>
      </c>
      <c r="G523" s="87">
        <f t="shared" si="8"/>
        <v>0</v>
      </c>
      <c r="H523" s="509"/>
      <c r="I523" s="509"/>
      <c r="J523" s="89"/>
      <c r="K523" s="522"/>
      <c r="L523" s="204"/>
      <c r="M523" s="661"/>
      <c r="N523" s="661"/>
    </row>
    <row r="524" spans="1:14" ht="15.75" x14ac:dyDescent="0.25">
      <c r="A524" s="87">
        <v>520</v>
      </c>
      <c r="B524" s="87" t="s">
        <v>1137</v>
      </c>
      <c r="C524" s="555">
        <v>4059</v>
      </c>
      <c r="D524" s="563">
        <v>17000</v>
      </c>
      <c r="E524" s="573">
        <v>189</v>
      </c>
      <c r="F524" s="563">
        <v>17000</v>
      </c>
      <c r="G524" s="87">
        <f t="shared" si="8"/>
        <v>0</v>
      </c>
      <c r="H524" s="509"/>
      <c r="I524" s="509"/>
      <c r="J524" s="89"/>
      <c r="K524" s="522"/>
      <c r="L524" s="204"/>
      <c r="M524" s="661"/>
      <c r="N524" s="661"/>
    </row>
    <row r="525" spans="1:14" ht="15.75" x14ac:dyDescent="0.25">
      <c r="A525" s="87">
        <v>521</v>
      </c>
      <c r="B525" s="87" t="s">
        <v>1137</v>
      </c>
      <c r="C525" s="555">
        <v>8820</v>
      </c>
      <c r="D525" s="563">
        <v>16000</v>
      </c>
      <c r="E525" s="573">
        <v>178</v>
      </c>
      <c r="F525" s="563">
        <v>16000</v>
      </c>
      <c r="G525" s="87">
        <f t="shared" si="8"/>
        <v>0</v>
      </c>
      <c r="H525" s="509"/>
      <c r="I525" s="509"/>
      <c r="J525" s="89"/>
      <c r="K525" s="522"/>
      <c r="L525" s="204"/>
      <c r="M525" s="661"/>
      <c r="N525" s="661"/>
    </row>
    <row r="526" spans="1:14" ht="15.75" x14ac:dyDescent="0.25">
      <c r="A526" s="87">
        <v>522</v>
      </c>
      <c r="B526" s="87" t="s">
        <v>1137</v>
      </c>
      <c r="C526" s="555">
        <v>6735</v>
      </c>
      <c r="D526" s="563">
        <v>16000</v>
      </c>
      <c r="E526" s="573">
        <v>178</v>
      </c>
      <c r="F526" s="563">
        <v>16000</v>
      </c>
      <c r="G526" s="87">
        <f t="shared" si="8"/>
        <v>0</v>
      </c>
      <c r="H526" s="509"/>
      <c r="I526" s="509"/>
      <c r="J526" s="89"/>
      <c r="K526" s="522"/>
      <c r="L526" s="204"/>
      <c r="M526" s="661"/>
      <c r="N526" s="661"/>
    </row>
    <row r="527" spans="1:14" ht="15.75" x14ac:dyDescent="0.25">
      <c r="A527" s="87">
        <v>523</v>
      </c>
      <c r="B527" s="87" t="s">
        <v>1137</v>
      </c>
      <c r="C527" s="555">
        <v>7820</v>
      </c>
      <c r="D527" s="563">
        <v>16000</v>
      </c>
      <c r="E527" s="573">
        <v>178</v>
      </c>
      <c r="F527" s="563">
        <v>16000</v>
      </c>
      <c r="G527" s="87">
        <f t="shared" si="8"/>
        <v>0</v>
      </c>
      <c r="H527" s="509"/>
      <c r="I527" s="509"/>
      <c r="J527" s="89"/>
      <c r="K527" s="522"/>
      <c r="L527" s="204"/>
      <c r="M527" s="661"/>
      <c r="N527" s="661"/>
    </row>
    <row r="528" spans="1:14" ht="15.75" x14ac:dyDescent="0.25">
      <c r="A528" s="87">
        <v>524</v>
      </c>
      <c r="B528" s="87" t="s">
        <v>1137</v>
      </c>
      <c r="C528" s="555">
        <v>9021</v>
      </c>
      <c r="D528" s="563">
        <v>24000</v>
      </c>
      <c r="E528" s="573">
        <v>267</v>
      </c>
      <c r="F528" s="563">
        <v>24000</v>
      </c>
      <c r="G528" s="87">
        <f t="shared" si="8"/>
        <v>0</v>
      </c>
      <c r="H528" s="509"/>
      <c r="I528" s="509"/>
      <c r="J528" s="89"/>
      <c r="K528" s="522"/>
      <c r="L528" s="204"/>
      <c r="M528" s="661"/>
      <c r="N528" s="661"/>
    </row>
    <row r="529" spans="1:14" ht="15.75" x14ac:dyDescent="0.25">
      <c r="A529" s="87">
        <v>525</v>
      </c>
      <c r="B529" s="87" t="s">
        <v>1137</v>
      </c>
      <c r="C529" s="555">
        <v>3377</v>
      </c>
      <c r="D529" s="563">
        <v>26000</v>
      </c>
      <c r="E529" s="573">
        <v>278</v>
      </c>
      <c r="F529" s="563">
        <v>26000</v>
      </c>
      <c r="G529" s="87">
        <f t="shared" si="8"/>
        <v>0</v>
      </c>
      <c r="H529" s="509"/>
      <c r="I529" s="509"/>
      <c r="J529" s="89"/>
      <c r="K529" s="522"/>
      <c r="L529" s="204"/>
      <c r="M529" s="661"/>
      <c r="N529" s="661"/>
    </row>
    <row r="530" spans="1:14" ht="15.75" x14ac:dyDescent="0.25">
      <c r="A530" s="87">
        <v>526</v>
      </c>
      <c r="B530" s="87" t="s">
        <v>1137</v>
      </c>
      <c r="C530" s="555">
        <v>8908</v>
      </c>
      <c r="D530" s="563">
        <v>20000</v>
      </c>
      <c r="E530" s="573">
        <v>217</v>
      </c>
      <c r="F530" s="563">
        <v>20000</v>
      </c>
      <c r="G530" s="87">
        <f t="shared" si="8"/>
        <v>0</v>
      </c>
      <c r="H530" s="509"/>
      <c r="I530" s="509"/>
      <c r="J530" s="89"/>
      <c r="K530" s="522"/>
      <c r="L530" s="204"/>
      <c r="M530" s="661"/>
      <c r="N530" s="661"/>
    </row>
    <row r="531" spans="1:14" ht="15.75" x14ac:dyDescent="0.25">
      <c r="A531" s="87">
        <v>527</v>
      </c>
      <c r="B531" s="87" t="s">
        <v>1137</v>
      </c>
      <c r="C531" s="555">
        <v>6624</v>
      </c>
      <c r="D531" s="563">
        <v>27000</v>
      </c>
      <c r="E531" s="573">
        <v>300</v>
      </c>
      <c r="F531" s="563">
        <v>27000</v>
      </c>
      <c r="G531" s="87">
        <f t="shared" si="8"/>
        <v>0</v>
      </c>
      <c r="H531" s="509"/>
      <c r="I531" s="509"/>
      <c r="J531" s="89"/>
      <c r="K531" s="522"/>
      <c r="L531" s="204"/>
      <c r="M531" s="661"/>
      <c r="N531" s="661"/>
    </row>
    <row r="532" spans="1:14" ht="15.75" x14ac:dyDescent="0.25">
      <c r="A532" s="87">
        <v>528</v>
      </c>
      <c r="B532" s="87" t="s">
        <v>1137</v>
      </c>
      <c r="C532" s="607" t="s">
        <v>1096</v>
      </c>
      <c r="D532" s="563">
        <v>10000</v>
      </c>
      <c r="E532" s="573">
        <v>111</v>
      </c>
      <c r="F532" s="563">
        <v>10000</v>
      </c>
      <c r="G532" s="87">
        <f t="shared" si="8"/>
        <v>0</v>
      </c>
      <c r="H532" s="509"/>
      <c r="I532" s="509"/>
      <c r="J532" s="89"/>
      <c r="K532" s="522"/>
      <c r="L532" s="204"/>
      <c r="M532" s="661"/>
      <c r="N532" s="661"/>
    </row>
    <row r="533" spans="1:14" ht="15.75" x14ac:dyDescent="0.25">
      <c r="A533" s="87">
        <v>529</v>
      </c>
      <c r="B533" s="87" t="s">
        <v>1137</v>
      </c>
      <c r="C533" s="555">
        <v>8786</v>
      </c>
      <c r="D533" s="563">
        <v>10000</v>
      </c>
      <c r="E533" s="573">
        <v>111</v>
      </c>
      <c r="F533" s="563">
        <v>10000</v>
      </c>
      <c r="G533" s="87">
        <f t="shared" si="8"/>
        <v>0</v>
      </c>
      <c r="H533" s="509"/>
      <c r="I533" s="509"/>
      <c r="J533" s="89"/>
      <c r="K533" s="522"/>
      <c r="L533" s="204"/>
      <c r="M533" s="661"/>
      <c r="N533" s="661"/>
    </row>
    <row r="534" spans="1:14" ht="15.75" x14ac:dyDescent="0.25">
      <c r="A534" s="87">
        <v>530</v>
      </c>
      <c r="B534" s="87" t="s">
        <v>1137</v>
      </c>
      <c r="C534" s="555">
        <v>3728</v>
      </c>
      <c r="D534" s="563">
        <v>10000</v>
      </c>
      <c r="E534" s="573">
        <v>111</v>
      </c>
      <c r="F534" s="563">
        <v>10000</v>
      </c>
      <c r="G534" s="87">
        <f t="shared" si="8"/>
        <v>0</v>
      </c>
      <c r="H534" s="509"/>
      <c r="I534" s="509"/>
      <c r="J534" s="89"/>
      <c r="K534" s="522"/>
      <c r="L534" s="204"/>
      <c r="M534" s="661"/>
      <c r="N534" s="661"/>
    </row>
    <row r="535" spans="1:14" ht="15.75" x14ac:dyDescent="0.25">
      <c r="A535" s="87">
        <v>531</v>
      </c>
      <c r="B535" s="87" t="s">
        <v>1137</v>
      </c>
      <c r="C535" s="555">
        <v>2004</v>
      </c>
      <c r="D535" s="563">
        <v>22000</v>
      </c>
      <c r="E535" s="573">
        <v>231</v>
      </c>
      <c r="F535" s="563">
        <v>22000</v>
      </c>
      <c r="G535" s="87">
        <f t="shared" si="8"/>
        <v>0</v>
      </c>
      <c r="H535" s="509"/>
      <c r="I535" s="509"/>
      <c r="J535" s="89"/>
      <c r="K535" s="522"/>
      <c r="L535" s="204"/>
      <c r="M535" s="661"/>
      <c r="N535" s="661"/>
    </row>
    <row r="536" spans="1:14" ht="15.75" x14ac:dyDescent="0.25">
      <c r="A536" s="87">
        <v>532</v>
      </c>
      <c r="B536" s="87" t="s">
        <v>1137</v>
      </c>
      <c r="C536" s="555">
        <v>5142</v>
      </c>
      <c r="D536" s="563">
        <v>10000</v>
      </c>
      <c r="E536" s="573">
        <v>111</v>
      </c>
      <c r="F536" s="563">
        <v>10000</v>
      </c>
      <c r="G536" s="87">
        <f t="shared" si="8"/>
        <v>0</v>
      </c>
      <c r="H536" s="509"/>
      <c r="I536" s="509"/>
      <c r="J536" s="89"/>
      <c r="K536" s="522"/>
      <c r="L536" s="204"/>
      <c r="M536" s="661"/>
      <c r="N536" s="661"/>
    </row>
    <row r="537" spans="1:14" ht="15.75" x14ac:dyDescent="0.25">
      <c r="A537" s="87">
        <v>533</v>
      </c>
      <c r="B537" s="87" t="s">
        <v>1137</v>
      </c>
      <c r="C537" s="555">
        <v>6464</v>
      </c>
      <c r="D537" s="563">
        <v>24000</v>
      </c>
      <c r="E537" s="573">
        <v>267</v>
      </c>
      <c r="F537" s="563">
        <v>24000</v>
      </c>
      <c r="G537" s="87">
        <f t="shared" si="8"/>
        <v>0</v>
      </c>
      <c r="H537" s="509"/>
      <c r="I537" s="509"/>
      <c r="J537" s="89"/>
      <c r="K537" s="522"/>
      <c r="L537" s="204"/>
      <c r="M537" s="661"/>
      <c r="N537" s="661"/>
    </row>
    <row r="538" spans="1:14" ht="15.75" x14ac:dyDescent="0.25">
      <c r="A538" s="87">
        <v>534</v>
      </c>
      <c r="B538" s="87" t="s">
        <v>1137</v>
      </c>
      <c r="C538" s="607" t="s">
        <v>1097</v>
      </c>
      <c r="D538" s="563">
        <v>20000</v>
      </c>
      <c r="E538" s="573">
        <v>222</v>
      </c>
      <c r="F538" s="563">
        <v>20000</v>
      </c>
      <c r="G538" s="87">
        <f t="shared" si="8"/>
        <v>0</v>
      </c>
      <c r="H538" s="509"/>
      <c r="I538" s="509"/>
      <c r="J538" s="89"/>
      <c r="K538" s="522"/>
      <c r="L538" s="204"/>
      <c r="M538" s="661"/>
      <c r="N538" s="661"/>
    </row>
    <row r="539" spans="1:14" ht="15.75" x14ac:dyDescent="0.25">
      <c r="A539" s="87">
        <v>535</v>
      </c>
      <c r="B539" s="87" t="s">
        <v>1137</v>
      </c>
      <c r="C539" s="555">
        <v>4829</v>
      </c>
      <c r="D539" s="563">
        <v>33000</v>
      </c>
      <c r="E539" s="573">
        <v>367</v>
      </c>
      <c r="F539" s="563">
        <v>33000</v>
      </c>
      <c r="G539" s="87">
        <f t="shared" si="8"/>
        <v>0</v>
      </c>
      <c r="H539" s="509"/>
      <c r="I539" s="509"/>
      <c r="J539" s="89"/>
      <c r="K539" s="522"/>
      <c r="L539" s="204"/>
      <c r="M539" s="661"/>
      <c r="N539" s="661"/>
    </row>
    <row r="540" spans="1:14" ht="15.75" x14ac:dyDescent="0.25">
      <c r="A540" s="87">
        <v>536</v>
      </c>
      <c r="B540" s="87" t="s">
        <v>1137</v>
      </c>
      <c r="C540" s="555">
        <v>4936</v>
      </c>
      <c r="D540" s="563">
        <v>17000</v>
      </c>
      <c r="E540" s="573">
        <v>169</v>
      </c>
      <c r="F540" s="563">
        <v>17000</v>
      </c>
      <c r="G540" s="87">
        <f t="shared" si="8"/>
        <v>0</v>
      </c>
      <c r="H540" s="509"/>
      <c r="I540" s="509"/>
      <c r="J540" s="89"/>
      <c r="K540" s="522"/>
      <c r="L540" s="204"/>
      <c r="M540" s="661"/>
      <c r="N540" s="661"/>
    </row>
    <row r="541" spans="1:14" ht="15.75" x14ac:dyDescent="0.25">
      <c r="A541" s="87">
        <v>537</v>
      </c>
      <c r="B541" s="87" t="s">
        <v>1137</v>
      </c>
      <c r="C541" s="607" t="s">
        <v>1098</v>
      </c>
      <c r="D541" s="563">
        <v>30000</v>
      </c>
      <c r="E541" s="573">
        <v>314</v>
      </c>
      <c r="F541" s="563">
        <v>30000</v>
      </c>
      <c r="G541" s="87">
        <f t="shared" si="8"/>
        <v>0</v>
      </c>
      <c r="H541" s="509"/>
      <c r="I541" s="509"/>
      <c r="J541" s="89"/>
      <c r="K541" s="522"/>
      <c r="L541" s="204"/>
      <c r="M541" s="661"/>
      <c r="N541" s="661"/>
    </row>
    <row r="542" spans="1:14" ht="15.75" x14ac:dyDescent="0.25">
      <c r="A542" s="87">
        <v>538</v>
      </c>
      <c r="B542" s="87" t="s">
        <v>1137</v>
      </c>
      <c r="C542" s="555">
        <v>8291</v>
      </c>
      <c r="D542" s="563">
        <v>25000</v>
      </c>
      <c r="E542" s="573">
        <v>278</v>
      </c>
      <c r="F542" s="563">
        <v>25000</v>
      </c>
      <c r="G542" s="87">
        <f t="shared" si="8"/>
        <v>0</v>
      </c>
      <c r="H542" s="509"/>
      <c r="I542" s="509"/>
      <c r="J542" s="89"/>
      <c r="K542" s="522"/>
      <c r="L542" s="204"/>
      <c r="M542" s="661"/>
      <c r="N542" s="661"/>
    </row>
    <row r="543" spans="1:14" ht="15.75" x14ac:dyDescent="0.25">
      <c r="A543" s="87">
        <v>539</v>
      </c>
      <c r="B543" s="87" t="s">
        <v>1137</v>
      </c>
      <c r="C543" s="555">
        <v>7886</v>
      </c>
      <c r="D543" s="563">
        <v>25000</v>
      </c>
      <c r="E543" s="573">
        <v>278</v>
      </c>
      <c r="F543" s="563">
        <v>25000</v>
      </c>
      <c r="G543" s="87">
        <f t="shared" si="8"/>
        <v>0</v>
      </c>
      <c r="H543" s="509"/>
      <c r="I543" s="509"/>
      <c r="J543" s="89"/>
      <c r="K543" s="522"/>
      <c r="L543" s="204"/>
      <c r="M543" s="661"/>
      <c r="N543" s="661"/>
    </row>
    <row r="544" spans="1:14" ht="15.75" x14ac:dyDescent="0.25">
      <c r="A544" s="87">
        <v>540</v>
      </c>
      <c r="B544" s="87" t="s">
        <v>1137</v>
      </c>
      <c r="C544" s="607" t="s">
        <v>1099</v>
      </c>
      <c r="D544" s="563">
        <v>15000</v>
      </c>
      <c r="E544" s="573">
        <v>167</v>
      </c>
      <c r="F544" s="563">
        <v>15000</v>
      </c>
      <c r="G544" s="87">
        <f t="shared" si="8"/>
        <v>0</v>
      </c>
      <c r="H544" s="509"/>
      <c r="I544" s="509"/>
      <c r="J544" s="89"/>
      <c r="K544" s="522"/>
      <c r="L544" s="204"/>
      <c r="M544" s="661"/>
      <c r="N544" s="661"/>
    </row>
    <row r="545" spans="1:14" ht="15.75" x14ac:dyDescent="0.25">
      <c r="A545" s="87">
        <v>541</v>
      </c>
      <c r="B545" s="87" t="s">
        <v>1137</v>
      </c>
      <c r="C545" s="555">
        <v>1034</v>
      </c>
      <c r="D545" s="563">
        <v>22500</v>
      </c>
      <c r="E545" s="573">
        <v>250</v>
      </c>
      <c r="F545" s="563">
        <v>22500</v>
      </c>
      <c r="G545" s="87">
        <f t="shared" si="8"/>
        <v>0</v>
      </c>
      <c r="H545" s="509"/>
      <c r="I545" s="509"/>
      <c r="J545" s="89"/>
      <c r="K545" s="522"/>
      <c r="L545" s="204"/>
      <c r="M545" s="661"/>
      <c r="N545" s="661"/>
    </row>
    <row r="546" spans="1:14" ht="15.75" x14ac:dyDescent="0.25">
      <c r="A546" s="87">
        <v>542</v>
      </c>
      <c r="B546" s="87" t="s">
        <v>1137</v>
      </c>
      <c r="C546" s="555">
        <v>3507</v>
      </c>
      <c r="D546" s="563">
        <v>16000</v>
      </c>
      <c r="E546" s="573">
        <v>178</v>
      </c>
      <c r="F546" s="563">
        <v>16000</v>
      </c>
      <c r="G546" s="87">
        <f t="shared" si="8"/>
        <v>0</v>
      </c>
      <c r="H546" s="509"/>
      <c r="I546" s="509"/>
      <c r="J546" s="89"/>
      <c r="K546" s="522"/>
      <c r="L546" s="204"/>
      <c r="M546" s="661"/>
      <c r="N546" s="661"/>
    </row>
    <row r="547" spans="1:14" ht="15.75" x14ac:dyDescent="0.25">
      <c r="A547" s="87">
        <v>543</v>
      </c>
      <c r="B547" s="87" t="s">
        <v>1137</v>
      </c>
      <c r="C547" s="555">
        <v>7777</v>
      </c>
      <c r="D547" s="563">
        <v>34000</v>
      </c>
      <c r="E547" s="573">
        <v>362</v>
      </c>
      <c r="F547" s="563">
        <v>34000</v>
      </c>
      <c r="G547" s="87">
        <f t="shared" si="8"/>
        <v>0</v>
      </c>
      <c r="H547" s="509"/>
      <c r="I547" s="509"/>
      <c r="J547" s="89"/>
      <c r="K547" s="522"/>
      <c r="L547" s="204"/>
      <c r="M547" s="661"/>
      <c r="N547" s="661"/>
    </row>
    <row r="548" spans="1:14" ht="15.75" x14ac:dyDescent="0.25">
      <c r="A548" s="87">
        <v>544</v>
      </c>
      <c r="B548" s="87" t="s">
        <v>1137</v>
      </c>
      <c r="C548" s="555">
        <v>1597</v>
      </c>
      <c r="D548" s="563">
        <v>34000</v>
      </c>
      <c r="E548" s="573">
        <v>367</v>
      </c>
      <c r="F548" s="563">
        <v>34000</v>
      </c>
      <c r="G548" s="87">
        <f t="shared" si="8"/>
        <v>0</v>
      </c>
      <c r="H548" s="509"/>
      <c r="I548" s="509"/>
      <c r="J548" s="89"/>
      <c r="K548" s="522"/>
      <c r="L548" s="204"/>
      <c r="M548" s="661"/>
      <c r="N548" s="661"/>
    </row>
    <row r="549" spans="1:14" ht="15.75" x14ac:dyDescent="0.25">
      <c r="A549" s="87">
        <v>545</v>
      </c>
      <c r="B549" s="87" t="s">
        <v>1137</v>
      </c>
      <c r="C549" s="555" t="s">
        <v>66</v>
      </c>
      <c r="D549" s="563">
        <v>100</v>
      </c>
      <c r="E549" s="573" t="s">
        <v>66</v>
      </c>
      <c r="F549" s="563">
        <v>100</v>
      </c>
      <c r="G549" s="87">
        <f t="shared" si="8"/>
        <v>0</v>
      </c>
      <c r="H549" s="509"/>
      <c r="I549" s="509"/>
      <c r="J549" s="89"/>
      <c r="K549" s="522"/>
      <c r="L549" s="204"/>
      <c r="M549" s="661"/>
      <c r="N549" s="661"/>
    </row>
    <row r="550" spans="1:14" ht="15.75" x14ac:dyDescent="0.25">
      <c r="A550" s="87">
        <v>546</v>
      </c>
      <c r="B550" s="87" t="s">
        <v>1137</v>
      </c>
      <c r="C550" s="555" t="s">
        <v>30</v>
      </c>
      <c r="D550" s="563">
        <v>4500</v>
      </c>
      <c r="E550" s="573">
        <v>50</v>
      </c>
      <c r="F550" s="563">
        <v>4500</v>
      </c>
      <c r="G550" s="87">
        <f t="shared" si="8"/>
        <v>0</v>
      </c>
      <c r="H550" s="509"/>
      <c r="I550" s="509"/>
      <c r="J550" s="89"/>
      <c r="K550" s="522"/>
      <c r="L550" s="204"/>
      <c r="M550" s="661"/>
      <c r="N550" s="661"/>
    </row>
    <row r="551" spans="1:14" ht="15.75" x14ac:dyDescent="0.25">
      <c r="A551" s="87">
        <v>547</v>
      </c>
      <c r="B551" s="87" t="s">
        <v>1137</v>
      </c>
      <c r="C551" s="555">
        <v>1725</v>
      </c>
      <c r="D551" s="563">
        <v>23000</v>
      </c>
      <c r="E551" s="573">
        <v>246</v>
      </c>
      <c r="F551" s="563">
        <v>23000</v>
      </c>
      <c r="G551" s="87">
        <f t="shared" si="8"/>
        <v>0</v>
      </c>
      <c r="H551" s="509"/>
      <c r="I551" s="509"/>
      <c r="J551" s="89"/>
      <c r="K551" s="522"/>
      <c r="L551" s="204"/>
      <c r="M551" s="661"/>
      <c r="N551" s="661"/>
    </row>
    <row r="552" spans="1:14" ht="15.75" x14ac:dyDescent="0.25">
      <c r="A552" s="87">
        <v>548</v>
      </c>
      <c r="B552" s="87" t="s">
        <v>1137</v>
      </c>
      <c r="C552" s="555">
        <v>5655</v>
      </c>
      <c r="D552" s="563">
        <v>30000</v>
      </c>
      <c r="E552" s="573">
        <v>334</v>
      </c>
      <c r="F552" s="563">
        <v>30000</v>
      </c>
      <c r="G552" s="87">
        <f t="shared" si="8"/>
        <v>0</v>
      </c>
      <c r="H552" s="509"/>
      <c r="I552" s="509"/>
      <c r="J552" s="89"/>
      <c r="K552" s="522"/>
      <c r="L552" s="204"/>
      <c r="M552" s="661"/>
      <c r="N552" s="661"/>
    </row>
    <row r="553" spans="1:14" ht="15.75" x14ac:dyDescent="0.25">
      <c r="A553" s="87">
        <v>549</v>
      </c>
      <c r="B553" s="87" t="s">
        <v>1176</v>
      </c>
      <c r="C553" s="555">
        <v>8148</v>
      </c>
      <c r="D553" s="563">
        <v>25000</v>
      </c>
      <c r="E553" s="573">
        <v>278</v>
      </c>
      <c r="F553" s="563">
        <v>25000</v>
      </c>
      <c r="G553" s="87">
        <f t="shared" si="8"/>
        <v>0</v>
      </c>
      <c r="H553" s="509"/>
      <c r="I553" s="509"/>
      <c r="J553" s="89"/>
      <c r="K553" s="522"/>
      <c r="L553" s="204"/>
      <c r="M553" s="661"/>
      <c r="N553" s="661"/>
    </row>
    <row r="554" spans="1:14" ht="15.75" x14ac:dyDescent="0.25">
      <c r="A554" s="87">
        <v>550</v>
      </c>
      <c r="B554" s="87" t="s">
        <v>1176</v>
      </c>
      <c r="C554" s="555" t="s">
        <v>30</v>
      </c>
      <c r="D554" s="563">
        <v>1800</v>
      </c>
      <c r="E554" s="573">
        <v>20</v>
      </c>
      <c r="F554" s="563">
        <v>1800</v>
      </c>
      <c r="G554" s="87">
        <f t="shared" si="8"/>
        <v>0</v>
      </c>
      <c r="H554" s="509"/>
      <c r="I554" s="509"/>
      <c r="J554" s="89"/>
      <c r="K554" s="522"/>
      <c r="L554" s="204"/>
      <c r="M554" s="661"/>
      <c r="N554" s="661"/>
    </row>
    <row r="555" spans="1:14" ht="15.75" x14ac:dyDescent="0.25">
      <c r="A555" s="87">
        <v>551</v>
      </c>
      <c r="B555" s="87" t="s">
        <v>1176</v>
      </c>
      <c r="C555" s="555">
        <v>5477</v>
      </c>
      <c r="D555" s="563">
        <v>25000</v>
      </c>
      <c r="E555" s="573">
        <v>278</v>
      </c>
      <c r="F555" s="563">
        <v>25000</v>
      </c>
      <c r="G555" s="87">
        <f t="shared" si="8"/>
        <v>0</v>
      </c>
      <c r="H555" s="509"/>
      <c r="I555" s="509"/>
      <c r="J555" s="89"/>
      <c r="K555" s="522"/>
      <c r="L555" s="204"/>
      <c r="M555" s="661"/>
      <c r="N555" s="661"/>
    </row>
    <row r="556" spans="1:14" ht="15.75" x14ac:dyDescent="0.25">
      <c r="A556" s="87">
        <v>552</v>
      </c>
      <c r="B556" s="87" t="s">
        <v>1176</v>
      </c>
      <c r="C556" s="555">
        <v>1977</v>
      </c>
      <c r="D556" s="563">
        <v>10000</v>
      </c>
      <c r="E556" s="573">
        <v>111</v>
      </c>
      <c r="F556" s="563">
        <v>10000</v>
      </c>
      <c r="G556" s="87">
        <f t="shared" si="8"/>
        <v>0</v>
      </c>
      <c r="H556" s="509"/>
      <c r="I556" s="509"/>
      <c r="J556" s="89"/>
      <c r="K556" s="522"/>
      <c r="L556" s="204"/>
      <c r="M556" s="661"/>
      <c r="N556" s="661"/>
    </row>
    <row r="557" spans="1:14" ht="15.75" x14ac:dyDescent="0.25">
      <c r="A557" s="87">
        <v>553</v>
      </c>
      <c r="B557" s="87" t="s">
        <v>1176</v>
      </c>
      <c r="C557" s="607" t="s">
        <v>1100</v>
      </c>
      <c r="D557" s="563">
        <v>15000</v>
      </c>
      <c r="E557" s="573">
        <v>167</v>
      </c>
      <c r="F557" s="563">
        <v>15000</v>
      </c>
      <c r="G557" s="87">
        <f t="shared" si="8"/>
        <v>0</v>
      </c>
      <c r="H557" s="509"/>
      <c r="I557" s="509"/>
      <c r="J557" s="89"/>
      <c r="K557" s="522"/>
      <c r="L557" s="204"/>
      <c r="M557" s="661"/>
      <c r="N557" s="661"/>
    </row>
    <row r="558" spans="1:14" ht="15.75" x14ac:dyDescent="0.25">
      <c r="A558" s="87">
        <v>554</v>
      </c>
      <c r="B558" s="87" t="s">
        <v>1176</v>
      </c>
      <c r="C558" s="555">
        <v>9102</v>
      </c>
      <c r="D558" s="563">
        <v>20000</v>
      </c>
      <c r="E558" s="573">
        <v>222</v>
      </c>
      <c r="F558" s="563">
        <v>20000</v>
      </c>
      <c r="G558" s="87">
        <f t="shared" si="8"/>
        <v>0</v>
      </c>
      <c r="H558" s="509"/>
      <c r="I558" s="509"/>
      <c r="J558" s="89"/>
      <c r="K558" s="522"/>
      <c r="L558" s="204"/>
      <c r="M558" s="661"/>
      <c r="N558" s="661"/>
    </row>
    <row r="559" spans="1:14" ht="15.75" x14ac:dyDescent="0.25">
      <c r="A559" s="87">
        <v>555</v>
      </c>
      <c r="B559" s="87" t="s">
        <v>1176</v>
      </c>
      <c r="C559" s="607" t="s">
        <v>890</v>
      </c>
      <c r="D559" s="563">
        <v>14000</v>
      </c>
      <c r="E559" s="573">
        <v>155</v>
      </c>
      <c r="F559" s="563">
        <v>14000</v>
      </c>
      <c r="G559" s="87">
        <f t="shared" si="8"/>
        <v>0</v>
      </c>
      <c r="H559" s="509"/>
      <c r="I559" s="509"/>
      <c r="J559" s="89"/>
      <c r="K559" s="522"/>
      <c r="L559" s="204"/>
      <c r="M559" s="661"/>
      <c r="N559" s="661"/>
    </row>
    <row r="560" spans="1:14" ht="15.75" x14ac:dyDescent="0.25">
      <c r="A560" s="87">
        <v>556</v>
      </c>
      <c r="B560" s="87" t="s">
        <v>1176</v>
      </c>
      <c r="C560" s="555">
        <v>3673</v>
      </c>
      <c r="D560" s="563">
        <v>25000</v>
      </c>
      <c r="E560" s="573">
        <v>278</v>
      </c>
      <c r="F560" s="563">
        <v>25000</v>
      </c>
      <c r="G560" s="87">
        <f t="shared" si="8"/>
        <v>0</v>
      </c>
      <c r="H560" s="509"/>
      <c r="I560" s="509"/>
      <c r="J560" s="89"/>
      <c r="K560" s="522"/>
      <c r="L560" s="204"/>
      <c r="M560" s="661"/>
      <c r="N560" s="661"/>
    </row>
    <row r="561" spans="1:14" ht="15.75" x14ac:dyDescent="0.25">
      <c r="A561" s="87">
        <v>557</v>
      </c>
      <c r="B561" s="87" t="s">
        <v>1176</v>
      </c>
      <c r="C561" s="555">
        <v>7189</v>
      </c>
      <c r="D561" s="563">
        <v>25000</v>
      </c>
      <c r="E561" s="573">
        <v>278</v>
      </c>
      <c r="F561" s="563">
        <v>25000</v>
      </c>
      <c r="G561" s="87">
        <f t="shared" si="8"/>
        <v>0</v>
      </c>
      <c r="H561" s="509"/>
      <c r="I561" s="509"/>
      <c r="J561" s="89"/>
      <c r="K561" s="522"/>
      <c r="L561" s="204"/>
      <c r="M561" s="661"/>
      <c r="N561" s="661"/>
    </row>
    <row r="562" spans="1:14" ht="15.75" x14ac:dyDescent="0.25">
      <c r="A562" s="87">
        <v>558</v>
      </c>
      <c r="B562" s="87" t="s">
        <v>1176</v>
      </c>
      <c r="C562" s="555">
        <v>5888</v>
      </c>
      <c r="D562" s="563">
        <v>25000</v>
      </c>
      <c r="E562" s="573">
        <v>278</v>
      </c>
      <c r="F562" s="563">
        <v>25000</v>
      </c>
      <c r="G562" s="87">
        <f t="shared" si="8"/>
        <v>0</v>
      </c>
      <c r="H562" s="509"/>
      <c r="I562" s="509"/>
      <c r="J562" s="89"/>
      <c r="K562" s="522"/>
      <c r="L562" s="204"/>
      <c r="M562" s="661"/>
      <c r="N562" s="661"/>
    </row>
    <row r="563" spans="1:14" ht="15.75" x14ac:dyDescent="0.25">
      <c r="A563" s="87">
        <v>559</v>
      </c>
      <c r="B563" s="87" t="s">
        <v>1176</v>
      </c>
      <c r="C563" s="607" t="s">
        <v>1177</v>
      </c>
      <c r="D563" s="563">
        <v>25000</v>
      </c>
      <c r="E563" s="573">
        <v>278</v>
      </c>
      <c r="F563" s="563">
        <v>25000</v>
      </c>
      <c r="G563" s="87">
        <f t="shared" si="8"/>
        <v>0</v>
      </c>
      <c r="H563" s="509"/>
      <c r="I563" s="509"/>
      <c r="J563" s="89"/>
      <c r="K563" s="522"/>
      <c r="L563" s="204"/>
      <c r="M563" s="661"/>
      <c r="N563" s="661"/>
    </row>
    <row r="564" spans="1:14" ht="15.75" x14ac:dyDescent="0.25">
      <c r="A564" s="87">
        <v>560</v>
      </c>
      <c r="B564" s="87" t="s">
        <v>1176</v>
      </c>
      <c r="C564" s="555">
        <v>8726</v>
      </c>
      <c r="D564" s="563">
        <v>16000</v>
      </c>
      <c r="E564" s="573">
        <v>178</v>
      </c>
      <c r="F564" s="563">
        <v>16000</v>
      </c>
      <c r="G564" s="87">
        <f t="shared" si="8"/>
        <v>0</v>
      </c>
      <c r="H564" s="509"/>
      <c r="I564" s="509"/>
      <c r="J564" s="89"/>
      <c r="K564" s="522"/>
      <c r="L564" s="204"/>
      <c r="M564" s="661"/>
      <c r="N564" s="661"/>
    </row>
    <row r="565" spans="1:14" ht="15.75" x14ac:dyDescent="0.25">
      <c r="A565" s="87">
        <v>561</v>
      </c>
      <c r="B565" s="87" t="s">
        <v>1176</v>
      </c>
      <c r="C565" s="555">
        <v>2963</v>
      </c>
      <c r="D565" s="563">
        <v>16000</v>
      </c>
      <c r="E565" s="573">
        <v>178</v>
      </c>
      <c r="F565" s="563">
        <v>16000</v>
      </c>
      <c r="G565" s="87">
        <f t="shared" si="8"/>
        <v>0</v>
      </c>
      <c r="H565" s="509"/>
      <c r="I565" s="509"/>
      <c r="J565" s="89"/>
      <c r="K565" s="522"/>
      <c r="L565" s="204"/>
      <c r="M565" s="661"/>
      <c r="N565" s="661"/>
    </row>
    <row r="566" spans="1:14" ht="15.75" x14ac:dyDescent="0.25">
      <c r="A566" s="87">
        <v>562</v>
      </c>
      <c r="B566" s="87" t="s">
        <v>1176</v>
      </c>
      <c r="C566" s="555">
        <v>8326</v>
      </c>
      <c r="D566" s="563">
        <v>16000</v>
      </c>
      <c r="E566" s="573">
        <v>178</v>
      </c>
      <c r="F566" s="563">
        <v>16000</v>
      </c>
      <c r="G566" s="87">
        <f t="shared" si="8"/>
        <v>0</v>
      </c>
      <c r="H566" s="509"/>
      <c r="I566" s="509"/>
      <c r="J566" s="89"/>
      <c r="K566" s="522"/>
      <c r="L566" s="204"/>
      <c r="M566" s="661"/>
      <c r="N566" s="661"/>
    </row>
    <row r="567" spans="1:14" ht="15.75" x14ac:dyDescent="0.25">
      <c r="A567" s="87">
        <v>563</v>
      </c>
      <c r="B567" s="87" t="s">
        <v>1176</v>
      </c>
      <c r="C567" s="555">
        <v>9426</v>
      </c>
      <c r="D567" s="563">
        <v>16000</v>
      </c>
      <c r="E567" s="573">
        <v>176</v>
      </c>
      <c r="F567" s="563">
        <v>16000</v>
      </c>
      <c r="G567" s="87">
        <f t="shared" si="8"/>
        <v>0</v>
      </c>
      <c r="H567" s="509"/>
      <c r="I567" s="509"/>
      <c r="J567" s="89"/>
      <c r="K567" s="522"/>
      <c r="L567" s="204"/>
      <c r="M567" s="661"/>
      <c r="N567" s="661"/>
    </row>
    <row r="568" spans="1:14" ht="15.75" x14ac:dyDescent="0.25">
      <c r="A568" s="87">
        <v>564</v>
      </c>
      <c r="B568" s="87" t="s">
        <v>1176</v>
      </c>
      <c r="C568" s="555">
        <v>7087</v>
      </c>
      <c r="D568" s="563">
        <v>10000</v>
      </c>
      <c r="E568" s="573">
        <v>94</v>
      </c>
      <c r="F568" s="563">
        <v>10000</v>
      </c>
      <c r="G568" s="87">
        <f t="shared" si="8"/>
        <v>0</v>
      </c>
      <c r="H568" s="509"/>
      <c r="I568" s="509"/>
      <c r="J568" s="89"/>
      <c r="K568" s="522"/>
      <c r="L568" s="204"/>
      <c r="M568" s="661"/>
      <c r="N568" s="661"/>
    </row>
    <row r="569" spans="1:14" ht="15.75" x14ac:dyDescent="0.25">
      <c r="A569" s="87">
        <v>565</v>
      </c>
      <c r="B569" s="87" t="s">
        <v>1176</v>
      </c>
      <c r="C569" s="555">
        <v>6487</v>
      </c>
      <c r="D569" s="563">
        <v>10000</v>
      </c>
      <c r="E569" s="573">
        <v>111</v>
      </c>
      <c r="F569" s="563">
        <v>10000</v>
      </c>
      <c r="G569" s="87">
        <f t="shared" si="8"/>
        <v>0</v>
      </c>
      <c r="H569" s="509"/>
      <c r="I569" s="509"/>
      <c r="J569" s="89"/>
      <c r="K569" s="522"/>
      <c r="L569" s="204"/>
      <c r="M569" s="661"/>
      <c r="N569" s="661"/>
    </row>
    <row r="570" spans="1:14" ht="15.75" x14ac:dyDescent="0.25">
      <c r="A570" s="87">
        <v>566</v>
      </c>
      <c r="B570" s="87" t="s">
        <v>1176</v>
      </c>
      <c r="C570" s="555">
        <v>7085</v>
      </c>
      <c r="D570" s="563">
        <v>10000</v>
      </c>
      <c r="E570" s="573">
        <v>111</v>
      </c>
      <c r="F570" s="563">
        <v>10000</v>
      </c>
      <c r="G570" s="87">
        <f t="shared" si="8"/>
        <v>0</v>
      </c>
      <c r="H570" s="509"/>
      <c r="I570" s="509"/>
      <c r="J570" s="89"/>
      <c r="K570" s="522"/>
      <c r="L570" s="204"/>
      <c r="M570" s="661"/>
      <c r="N570" s="661"/>
    </row>
    <row r="571" spans="1:14" ht="15.75" x14ac:dyDescent="0.25">
      <c r="A571" s="87">
        <v>567</v>
      </c>
      <c r="B571" s="87" t="s">
        <v>1176</v>
      </c>
      <c r="C571" s="555">
        <v>6955</v>
      </c>
      <c r="D571" s="563">
        <v>18000</v>
      </c>
      <c r="E571" s="573">
        <v>200</v>
      </c>
      <c r="F571" s="563">
        <v>18000</v>
      </c>
      <c r="G571" s="87">
        <f t="shared" si="8"/>
        <v>0</v>
      </c>
      <c r="H571" s="509"/>
      <c r="I571" s="509"/>
      <c r="J571" s="89"/>
      <c r="K571" s="522"/>
      <c r="L571" s="204"/>
      <c r="M571" s="661"/>
      <c r="N571" s="661"/>
    </row>
    <row r="572" spans="1:14" ht="15.75" x14ac:dyDescent="0.25">
      <c r="A572" s="87">
        <v>568</v>
      </c>
      <c r="B572" s="87" t="s">
        <v>1176</v>
      </c>
      <c r="C572" s="555">
        <v>6555</v>
      </c>
      <c r="D572" s="563">
        <v>18000</v>
      </c>
      <c r="E572" s="573">
        <v>200</v>
      </c>
      <c r="F572" s="563">
        <v>18000</v>
      </c>
      <c r="G572" s="87">
        <f t="shared" si="8"/>
        <v>0</v>
      </c>
      <c r="H572" s="509"/>
      <c r="I572" s="509"/>
      <c r="J572" s="89"/>
      <c r="K572" s="522"/>
      <c r="L572" s="204"/>
      <c r="M572" s="661"/>
      <c r="N572" s="661"/>
    </row>
    <row r="573" spans="1:14" ht="15.75" x14ac:dyDescent="0.25">
      <c r="A573" s="87">
        <v>569</v>
      </c>
      <c r="B573" s="87" t="s">
        <v>1176</v>
      </c>
      <c r="C573" s="555">
        <v>2962</v>
      </c>
      <c r="D573" s="563">
        <v>26000</v>
      </c>
      <c r="E573" s="573">
        <v>284</v>
      </c>
      <c r="F573" s="563">
        <v>26000</v>
      </c>
      <c r="G573" s="87">
        <f t="shared" si="8"/>
        <v>0</v>
      </c>
      <c r="H573" s="509"/>
      <c r="I573" s="509"/>
      <c r="J573" s="89"/>
      <c r="K573" s="522"/>
      <c r="L573" s="204"/>
      <c r="M573" s="661"/>
      <c r="N573" s="661"/>
    </row>
    <row r="574" spans="1:14" ht="15.75" x14ac:dyDescent="0.25">
      <c r="A574" s="87">
        <v>570</v>
      </c>
      <c r="B574" s="87" t="s">
        <v>1176</v>
      </c>
      <c r="C574" s="555" t="s">
        <v>30</v>
      </c>
      <c r="D574" s="563">
        <v>4500</v>
      </c>
      <c r="E574" s="573">
        <v>50</v>
      </c>
      <c r="F574" s="563">
        <v>4500</v>
      </c>
      <c r="G574" s="87">
        <f t="shared" si="8"/>
        <v>0</v>
      </c>
      <c r="H574" s="509"/>
      <c r="I574" s="509"/>
      <c r="J574" s="89"/>
      <c r="K574" s="522"/>
      <c r="L574" s="204"/>
      <c r="M574" s="661"/>
      <c r="N574" s="661"/>
    </row>
    <row r="575" spans="1:14" ht="15.75" x14ac:dyDescent="0.25">
      <c r="A575" s="87">
        <v>571</v>
      </c>
      <c r="B575" s="87" t="s">
        <v>1176</v>
      </c>
      <c r="C575" s="555">
        <v>9666</v>
      </c>
      <c r="D575" s="563">
        <v>5000</v>
      </c>
      <c r="E575" s="573">
        <v>55</v>
      </c>
      <c r="F575" s="563">
        <v>5000</v>
      </c>
      <c r="G575" s="87">
        <f t="shared" si="8"/>
        <v>0</v>
      </c>
      <c r="H575" s="509"/>
      <c r="I575" s="509"/>
      <c r="J575" s="89"/>
      <c r="K575" s="522"/>
      <c r="L575" s="204"/>
      <c r="M575" s="661"/>
      <c r="N575" s="661"/>
    </row>
    <row r="576" spans="1:14" ht="15.75" x14ac:dyDescent="0.25">
      <c r="A576" s="87">
        <v>572</v>
      </c>
      <c r="B576" s="87" t="s">
        <v>1176</v>
      </c>
      <c r="C576" s="607" t="s">
        <v>1008</v>
      </c>
      <c r="D576" s="563">
        <v>17000</v>
      </c>
      <c r="E576" s="573">
        <v>182</v>
      </c>
      <c r="F576" s="563">
        <v>17000</v>
      </c>
      <c r="G576" s="87">
        <f t="shared" si="8"/>
        <v>0</v>
      </c>
      <c r="H576" s="509"/>
      <c r="I576" s="509"/>
      <c r="J576" s="89"/>
      <c r="K576" s="522"/>
      <c r="L576" s="204"/>
      <c r="M576" s="661"/>
      <c r="N576" s="661"/>
    </row>
    <row r="577" spans="1:14" ht="15.75" x14ac:dyDescent="0.25">
      <c r="A577" s="87">
        <v>573</v>
      </c>
      <c r="B577" s="87" t="s">
        <v>1176</v>
      </c>
      <c r="C577" s="555">
        <v>6051</v>
      </c>
      <c r="D577" s="563">
        <v>17000</v>
      </c>
      <c r="E577" s="573">
        <v>186</v>
      </c>
      <c r="F577" s="563">
        <v>17000</v>
      </c>
      <c r="G577" s="87">
        <f t="shared" si="8"/>
        <v>0</v>
      </c>
      <c r="H577" s="509"/>
      <c r="I577" s="509"/>
      <c r="J577" s="89"/>
      <c r="K577" s="522"/>
      <c r="L577" s="204"/>
      <c r="M577" s="661"/>
      <c r="N577" s="661"/>
    </row>
    <row r="578" spans="1:14" ht="15.75" x14ac:dyDescent="0.25">
      <c r="A578" s="87">
        <v>574</v>
      </c>
      <c r="B578" s="87" t="s">
        <v>1176</v>
      </c>
      <c r="C578" s="555">
        <v>5151</v>
      </c>
      <c r="D578" s="563">
        <v>17000</v>
      </c>
      <c r="E578" s="573">
        <v>186</v>
      </c>
      <c r="F578" s="563">
        <v>17000</v>
      </c>
      <c r="G578" s="87">
        <f t="shared" si="8"/>
        <v>0</v>
      </c>
      <c r="H578" s="509"/>
      <c r="I578" s="509"/>
      <c r="J578" s="89"/>
      <c r="K578" s="522"/>
      <c r="L578" s="204"/>
      <c r="M578" s="661"/>
      <c r="N578" s="661"/>
    </row>
    <row r="579" spans="1:14" ht="15.75" x14ac:dyDescent="0.25">
      <c r="A579" s="87">
        <v>575</v>
      </c>
      <c r="B579" s="87" t="s">
        <v>1176</v>
      </c>
      <c r="C579" s="555">
        <v>8112</v>
      </c>
      <c r="D579" s="563">
        <v>28000</v>
      </c>
      <c r="E579" s="573">
        <v>311</v>
      </c>
      <c r="F579" s="563">
        <v>28000</v>
      </c>
      <c r="G579" s="87">
        <f t="shared" si="8"/>
        <v>0</v>
      </c>
      <c r="H579" s="509"/>
      <c r="I579" s="509"/>
      <c r="J579" s="89"/>
      <c r="K579" s="522"/>
      <c r="L579" s="204"/>
      <c r="M579" s="661"/>
      <c r="N579" s="661"/>
    </row>
    <row r="580" spans="1:14" ht="15.75" x14ac:dyDescent="0.25">
      <c r="A580" s="87">
        <v>576</v>
      </c>
      <c r="B580" s="87" t="s">
        <v>1176</v>
      </c>
      <c r="C580" s="555">
        <v>1346</v>
      </c>
      <c r="D580" s="563">
        <v>30000</v>
      </c>
      <c r="E580" s="573">
        <v>314</v>
      </c>
      <c r="F580" s="563">
        <v>30000</v>
      </c>
      <c r="G580" s="87">
        <f t="shared" si="8"/>
        <v>0</v>
      </c>
      <c r="H580" s="509"/>
      <c r="I580" s="509"/>
      <c r="J580" s="89"/>
      <c r="K580" s="522"/>
      <c r="L580" s="204"/>
      <c r="M580" s="661"/>
      <c r="N580" s="661"/>
    </row>
    <row r="581" spans="1:14" ht="15.75" x14ac:dyDescent="0.25">
      <c r="A581" s="87">
        <v>577</v>
      </c>
      <c r="B581" s="87" t="s">
        <v>1138</v>
      </c>
      <c r="C581" s="555" t="s">
        <v>1178</v>
      </c>
      <c r="D581" s="563">
        <v>210</v>
      </c>
      <c r="E581" s="573"/>
      <c r="F581" s="563">
        <v>210</v>
      </c>
      <c r="G581" s="87">
        <f t="shared" ref="G581:G644" si="9">D581-F581</f>
        <v>0</v>
      </c>
      <c r="H581" s="509"/>
      <c r="I581" s="509"/>
      <c r="J581" s="89"/>
      <c r="K581" s="522"/>
      <c r="L581" s="204"/>
      <c r="M581" s="661"/>
      <c r="N581" s="661"/>
    </row>
    <row r="582" spans="1:14" ht="15.75" x14ac:dyDescent="0.25">
      <c r="A582" s="87">
        <v>578</v>
      </c>
      <c r="B582" s="87" t="s">
        <v>1138</v>
      </c>
      <c r="C582" s="555" t="s">
        <v>30</v>
      </c>
      <c r="D582" s="563">
        <v>3500</v>
      </c>
      <c r="E582" s="573">
        <v>39</v>
      </c>
      <c r="F582" s="563">
        <v>3500</v>
      </c>
      <c r="G582" s="87">
        <f t="shared" si="9"/>
        <v>0</v>
      </c>
      <c r="H582" s="509"/>
      <c r="I582" s="509"/>
      <c r="J582" s="89"/>
      <c r="K582" s="522"/>
      <c r="L582" s="204"/>
      <c r="M582" s="661"/>
      <c r="N582" s="661"/>
    </row>
    <row r="583" spans="1:14" ht="15.75" x14ac:dyDescent="0.25">
      <c r="A583" s="87">
        <v>579</v>
      </c>
      <c r="B583" s="87" t="s">
        <v>1138</v>
      </c>
      <c r="C583" s="555">
        <v>2961</v>
      </c>
      <c r="D583" s="563">
        <v>17000</v>
      </c>
      <c r="E583" s="573">
        <v>189</v>
      </c>
      <c r="F583" s="563">
        <v>17000</v>
      </c>
      <c r="G583" s="87">
        <f t="shared" si="9"/>
        <v>0</v>
      </c>
      <c r="H583" s="509"/>
      <c r="I583" s="509"/>
      <c r="J583" s="89"/>
      <c r="K583" s="522"/>
      <c r="L583" s="204"/>
      <c r="M583" s="661"/>
      <c r="N583" s="661"/>
    </row>
    <row r="584" spans="1:14" ht="15.75" x14ac:dyDescent="0.25">
      <c r="A584" s="87">
        <v>580</v>
      </c>
      <c r="B584" s="87" t="s">
        <v>1138</v>
      </c>
      <c r="C584" s="555">
        <v>9525</v>
      </c>
      <c r="D584" s="563">
        <v>16000</v>
      </c>
      <c r="E584" s="573">
        <v>178</v>
      </c>
      <c r="F584" s="563">
        <v>16000</v>
      </c>
      <c r="G584" s="87">
        <f t="shared" si="9"/>
        <v>0</v>
      </c>
      <c r="H584" s="509"/>
      <c r="I584" s="509"/>
      <c r="J584" s="89"/>
      <c r="K584" s="522"/>
      <c r="L584" s="204"/>
      <c r="M584" s="661"/>
      <c r="N584" s="661"/>
    </row>
    <row r="585" spans="1:14" ht="15.75" x14ac:dyDescent="0.25">
      <c r="A585" s="87">
        <v>581</v>
      </c>
      <c r="B585" s="87" t="s">
        <v>1138</v>
      </c>
      <c r="C585" s="555">
        <v>6133</v>
      </c>
      <c r="D585" s="563">
        <v>16000</v>
      </c>
      <c r="E585" s="573">
        <v>178</v>
      </c>
      <c r="F585" s="563">
        <v>16000</v>
      </c>
      <c r="G585" s="87">
        <f t="shared" si="9"/>
        <v>0</v>
      </c>
      <c r="H585" s="509"/>
      <c r="I585" s="509"/>
      <c r="J585" s="89"/>
      <c r="K585" s="522"/>
      <c r="L585" s="204"/>
      <c r="M585" s="661"/>
      <c r="N585" s="661"/>
    </row>
    <row r="586" spans="1:14" ht="15.75" x14ac:dyDescent="0.25">
      <c r="A586" s="87">
        <v>582</v>
      </c>
      <c r="B586" s="87" t="s">
        <v>1138</v>
      </c>
      <c r="C586" s="555">
        <v>9957</v>
      </c>
      <c r="D586" s="563">
        <v>15000</v>
      </c>
      <c r="E586" s="573">
        <v>152</v>
      </c>
      <c r="F586" s="563">
        <v>15000</v>
      </c>
      <c r="G586" s="87">
        <f t="shared" si="9"/>
        <v>0</v>
      </c>
      <c r="H586" s="509"/>
      <c r="I586" s="509"/>
      <c r="J586" s="89"/>
      <c r="K586" s="522"/>
      <c r="L586" s="204"/>
      <c r="M586" s="661"/>
      <c r="N586" s="661"/>
    </row>
    <row r="587" spans="1:14" ht="15.75" x14ac:dyDescent="0.25">
      <c r="A587" s="87">
        <v>583</v>
      </c>
      <c r="B587" s="87" t="s">
        <v>1138</v>
      </c>
      <c r="C587" s="555">
        <v>9857</v>
      </c>
      <c r="D587" s="563">
        <v>15000</v>
      </c>
      <c r="E587" s="573">
        <v>167</v>
      </c>
      <c r="F587" s="563">
        <v>15000</v>
      </c>
      <c r="G587" s="87">
        <f t="shared" si="9"/>
        <v>0</v>
      </c>
      <c r="H587" s="509"/>
      <c r="I587" s="509"/>
      <c r="J587" s="89"/>
      <c r="K587" s="522"/>
      <c r="L587" s="204"/>
      <c r="M587" s="661"/>
      <c r="N587" s="661"/>
    </row>
    <row r="588" spans="1:14" ht="15.75" x14ac:dyDescent="0.25">
      <c r="A588" s="87">
        <v>584</v>
      </c>
      <c r="B588" s="87" t="s">
        <v>1138</v>
      </c>
      <c r="C588" s="555">
        <v>4332</v>
      </c>
      <c r="D588" s="563">
        <v>15000</v>
      </c>
      <c r="E588" s="573">
        <v>167</v>
      </c>
      <c r="F588" s="563">
        <v>15000</v>
      </c>
      <c r="G588" s="87">
        <f t="shared" si="9"/>
        <v>0</v>
      </c>
      <c r="H588" s="509"/>
      <c r="I588" s="509"/>
      <c r="J588" s="89"/>
      <c r="K588" s="522"/>
      <c r="L588" s="204"/>
      <c r="M588" s="661"/>
      <c r="N588" s="661"/>
    </row>
    <row r="589" spans="1:14" ht="15.75" x14ac:dyDescent="0.25">
      <c r="A589" s="87">
        <v>585</v>
      </c>
      <c r="B589" s="87" t="s">
        <v>1138</v>
      </c>
      <c r="C589" s="555">
        <v>5826</v>
      </c>
      <c r="D589" s="563">
        <v>15000</v>
      </c>
      <c r="E589" s="573">
        <v>159</v>
      </c>
      <c r="F589" s="563">
        <v>15000</v>
      </c>
      <c r="G589" s="87">
        <f t="shared" si="9"/>
        <v>0</v>
      </c>
      <c r="H589" s="509"/>
      <c r="I589" s="509"/>
      <c r="J589" s="89"/>
      <c r="K589" s="522"/>
      <c r="L589" s="204"/>
      <c r="M589" s="661"/>
      <c r="N589" s="661"/>
    </row>
    <row r="590" spans="1:14" ht="15.75" x14ac:dyDescent="0.25">
      <c r="A590" s="87">
        <v>586</v>
      </c>
      <c r="B590" s="87" t="s">
        <v>1138</v>
      </c>
      <c r="C590" s="555">
        <v>9594</v>
      </c>
      <c r="D590" s="563">
        <v>13000</v>
      </c>
      <c r="E590" s="573">
        <v>144</v>
      </c>
      <c r="F590" s="563">
        <v>13000</v>
      </c>
      <c r="G590" s="87">
        <f t="shared" si="9"/>
        <v>0</v>
      </c>
      <c r="H590" s="509"/>
      <c r="I590" s="509"/>
      <c r="J590" s="89"/>
      <c r="K590" s="522"/>
      <c r="L590" s="204"/>
      <c r="M590" s="661"/>
      <c r="N590" s="661"/>
    </row>
    <row r="591" spans="1:14" ht="15.75" x14ac:dyDescent="0.25">
      <c r="A591" s="87">
        <v>587</v>
      </c>
      <c r="B591" s="87" t="s">
        <v>1138</v>
      </c>
      <c r="C591" s="555">
        <v>2645</v>
      </c>
      <c r="D591" s="563">
        <v>23000</v>
      </c>
      <c r="E591" s="573">
        <v>245</v>
      </c>
      <c r="F591" s="563">
        <v>23000</v>
      </c>
      <c r="G591" s="87">
        <f t="shared" si="9"/>
        <v>0</v>
      </c>
      <c r="H591" s="509"/>
      <c r="I591" s="509"/>
      <c r="J591" s="89"/>
      <c r="K591" s="522"/>
      <c r="L591" s="204"/>
      <c r="M591" s="661"/>
      <c r="N591" s="661"/>
    </row>
    <row r="592" spans="1:14" ht="15.75" x14ac:dyDescent="0.25">
      <c r="A592" s="87">
        <v>588</v>
      </c>
      <c r="B592" s="87" t="s">
        <v>1138</v>
      </c>
      <c r="C592" s="555">
        <v>3426</v>
      </c>
      <c r="D592" s="563">
        <v>20000</v>
      </c>
      <c r="E592" s="573">
        <v>213</v>
      </c>
      <c r="F592" s="563">
        <v>20000</v>
      </c>
      <c r="G592" s="87">
        <f t="shared" si="9"/>
        <v>0</v>
      </c>
      <c r="H592" s="509"/>
      <c r="I592" s="509"/>
      <c r="J592" s="89"/>
      <c r="K592" s="522"/>
      <c r="L592" s="204"/>
      <c r="M592" s="661"/>
      <c r="N592" s="661"/>
    </row>
    <row r="593" spans="1:14" ht="15.75" x14ac:dyDescent="0.25">
      <c r="A593" s="87">
        <v>589</v>
      </c>
      <c r="B593" s="87" t="s">
        <v>1138</v>
      </c>
      <c r="C593" s="555">
        <v>4602</v>
      </c>
      <c r="D593" s="563">
        <v>14000</v>
      </c>
      <c r="E593" s="573">
        <v>149</v>
      </c>
      <c r="F593" s="563">
        <v>14000</v>
      </c>
      <c r="G593" s="87">
        <f t="shared" si="9"/>
        <v>0</v>
      </c>
      <c r="H593" s="509"/>
      <c r="I593" s="509"/>
      <c r="J593" s="89"/>
      <c r="K593" s="522"/>
      <c r="L593" s="204"/>
      <c r="M593" s="661"/>
      <c r="N593" s="661"/>
    </row>
    <row r="594" spans="1:14" ht="15.75" x14ac:dyDescent="0.25">
      <c r="A594" s="87">
        <v>590</v>
      </c>
      <c r="B594" s="87" t="s">
        <v>1138</v>
      </c>
      <c r="C594" s="555">
        <v>5498</v>
      </c>
      <c r="D594" s="563">
        <v>20000</v>
      </c>
      <c r="E594" s="573">
        <v>222</v>
      </c>
      <c r="F594" s="563">
        <v>20000</v>
      </c>
      <c r="G594" s="87">
        <f t="shared" si="9"/>
        <v>0</v>
      </c>
      <c r="H594" s="509"/>
      <c r="I594" s="509"/>
      <c r="J594" s="89"/>
      <c r="K594" s="522"/>
      <c r="L594" s="204"/>
      <c r="M594" s="661"/>
      <c r="N594" s="661"/>
    </row>
    <row r="595" spans="1:14" ht="15.75" x14ac:dyDescent="0.25">
      <c r="A595" s="87">
        <v>591</v>
      </c>
      <c r="B595" s="87" t="s">
        <v>1138</v>
      </c>
      <c r="C595" s="555">
        <v>6168</v>
      </c>
      <c r="D595" s="563">
        <v>27000</v>
      </c>
      <c r="E595" s="573">
        <v>300</v>
      </c>
      <c r="F595" s="563">
        <v>27000</v>
      </c>
      <c r="G595" s="87">
        <f t="shared" si="9"/>
        <v>0</v>
      </c>
      <c r="H595" s="509"/>
      <c r="I595" s="509"/>
      <c r="J595" s="89"/>
      <c r="K595" s="522"/>
      <c r="L595" s="204"/>
      <c r="M595" s="661"/>
      <c r="N595" s="661"/>
    </row>
    <row r="596" spans="1:14" ht="15.75" x14ac:dyDescent="0.25">
      <c r="A596" s="87">
        <v>592</v>
      </c>
      <c r="B596" s="87" t="s">
        <v>1138</v>
      </c>
      <c r="C596" s="555">
        <v>8936</v>
      </c>
      <c r="D596" s="563">
        <v>16000</v>
      </c>
      <c r="E596" s="573">
        <v>178</v>
      </c>
      <c r="F596" s="563">
        <v>16000</v>
      </c>
      <c r="G596" s="87">
        <f t="shared" si="9"/>
        <v>0</v>
      </c>
      <c r="H596" s="509"/>
      <c r="I596" s="509"/>
      <c r="J596" s="89"/>
      <c r="K596" s="522"/>
      <c r="L596" s="204"/>
      <c r="M596" s="661"/>
      <c r="N596" s="661"/>
    </row>
    <row r="597" spans="1:14" ht="15.75" x14ac:dyDescent="0.25">
      <c r="A597" s="87">
        <v>593</v>
      </c>
      <c r="B597" s="87" t="s">
        <v>1138</v>
      </c>
      <c r="C597" s="555">
        <v>4204</v>
      </c>
      <c r="D597" s="563">
        <v>14500</v>
      </c>
      <c r="E597" s="573">
        <v>161</v>
      </c>
      <c r="F597" s="563">
        <v>14500</v>
      </c>
      <c r="G597" s="87">
        <f t="shared" si="9"/>
        <v>0</v>
      </c>
      <c r="H597" s="509"/>
      <c r="I597" s="509"/>
      <c r="J597" s="89"/>
      <c r="K597" s="522"/>
      <c r="L597" s="204"/>
      <c r="M597" s="661"/>
      <c r="N597" s="661"/>
    </row>
    <row r="598" spans="1:14" ht="15.75" x14ac:dyDescent="0.25">
      <c r="A598" s="87">
        <v>594</v>
      </c>
      <c r="B598" s="87" t="s">
        <v>1138</v>
      </c>
      <c r="C598" s="555">
        <v>3585</v>
      </c>
      <c r="D598" s="563">
        <v>30000</v>
      </c>
      <c r="E598" s="573">
        <v>316</v>
      </c>
      <c r="F598" s="563">
        <v>30000</v>
      </c>
      <c r="G598" s="87">
        <f t="shared" si="9"/>
        <v>0</v>
      </c>
      <c r="H598" s="509"/>
      <c r="I598" s="509"/>
      <c r="J598" s="89"/>
      <c r="K598" s="522"/>
      <c r="L598" s="204"/>
      <c r="M598" s="661"/>
      <c r="N598" s="661"/>
    </row>
    <row r="599" spans="1:14" ht="15.75" x14ac:dyDescent="0.25">
      <c r="A599" s="87">
        <v>595</v>
      </c>
      <c r="B599" s="87" t="s">
        <v>1138</v>
      </c>
      <c r="C599" s="555">
        <v>7344</v>
      </c>
      <c r="D599" s="563">
        <v>17000</v>
      </c>
      <c r="E599" s="573">
        <v>189</v>
      </c>
      <c r="F599" s="563">
        <v>17000</v>
      </c>
      <c r="G599" s="87">
        <f t="shared" si="9"/>
        <v>0</v>
      </c>
      <c r="H599" s="509"/>
      <c r="I599" s="509"/>
      <c r="J599" s="89"/>
      <c r="K599" s="522"/>
      <c r="L599" s="204"/>
      <c r="M599" s="661"/>
      <c r="N599" s="661"/>
    </row>
    <row r="600" spans="1:14" ht="15.75" x14ac:dyDescent="0.25">
      <c r="A600" s="87">
        <v>596</v>
      </c>
      <c r="B600" s="87" t="s">
        <v>1138</v>
      </c>
      <c r="C600" s="607" t="s">
        <v>918</v>
      </c>
      <c r="D600" s="563">
        <v>23000</v>
      </c>
      <c r="E600" s="573">
        <v>242</v>
      </c>
      <c r="F600" s="563">
        <v>23000</v>
      </c>
      <c r="G600" s="87">
        <f t="shared" si="9"/>
        <v>0</v>
      </c>
      <c r="H600" s="509"/>
      <c r="I600" s="509"/>
      <c r="J600" s="89"/>
      <c r="K600" s="522"/>
      <c r="L600" s="204"/>
      <c r="M600" s="661"/>
      <c r="N600" s="661"/>
    </row>
    <row r="601" spans="1:14" ht="15.75" x14ac:dyDescent="0.25">
      <c r="A601" s="87">
        <v>597</v>
      </c>
      <c r="B601" s="87" t="s">
        <v>1138</v>
      </c>
      <c r="C601" s="555">
        <v>7446</v>
      </c>
      <c r="D601" s="563">
        <v>20000</v>
      </c>
      <c r="E601" s="573">
        <v>222</v>
      </c>
      <c r="F601" s="563">
        <v>20000</v>
      </c>
      <c r="G601" s="87">
        <f t="shared" si="9"/>
        <v>0</v>
      </c>
      <c r="H601" s="509"/>
      <c r="I601" s="509"/>
      <c r="J601" s="89"/>
      <c r="K601" s="522"/>
      <c r="L601" s="204"/>
      <c r="M601" s="661"/>
      <c r="N601" s="661"/>
    </row>
    <row r="602" spans="1:14" ht="15.75" x14ac:dyDescent="0.25">
      <c r="A602" s="87">
        <v>598</v>
      </c>
      <c r="B602" s="87" t="s">
        <v>1138</v>
      </c>
      <c r="C602" s="555">
        <v>8705</v>
      </c>
      <c r="D602" s="563">
        <v>27000</v>
      </c>
      <c r="E602" s="573">
        <v>300</v>
      </c>
      <c r="F602" s="563">
        <v>27000</v>
      </c>
      <c r="G602" s="87">
        <f t="shared" si="9"/>
        <v>0</v>
      </c>
      <c r="H602" s="509"/>
      <c r="I602" s="509"/>
      <c r="J602" s="89"/>
      <c r="K602" s="522"/>
      <c r="L602" s="204"/>
      <c r="M602" s="661"/>
      <c r="N602" s="661"/>
    </row>
    <row r="603" spans="1:14" ht="15.75" x14ac:dyDescent="0.25">
      <c r="A603" s="87">
        <v>599</v>
      </c>
      <c r="B603" s="87" t="s">
        <v>1138</v>
      </c>
      <c r="C603" s="555" t="s">
        <v>1178</v>
      </c>
      <c r="D603" s="563">
        <v>120</v>
      </c>
      <c r="E603" s="573"/>
      <c r="F603" s="563">
        <v>120</v>
      </c>
      <c r="G603" s="87">
        <f t="shared" si="9"/>
        <v>0</v>
      </c>
      <c r="H603" s="509"/>
      <c r="I603" s="509"/>
      <c r="J603" s="89"/>
      <c r="K603" s="522"/>
      <c r="L603" s="204"/>
      <c r="M603" s="661"/>
      <c r="N603" s="661"/>
    </row>
    <row r="604" spans="1:14" ht="15.75" x14ac:dyDescent="0.25">
      <c r="A604" s="87">
        <v>600</v>
      </c>
      <c r="B604" s="87" t="s">
        <v>1139</v>
      </c>
      <c r="C604" s="555">
        <v>9426</v>
      </c>
      <c r="D604" s="563">
        <v>18000</v>
      </c>
      <c r="E604" s="573">
        <v>200</v>
      </c>
      <c r="F604" s="563">
        <v>18000</v>
      </c>
      <c r="G604" s="87">
        <f t="shared" si="9"/>
        <v>0</v>
      </c>
      <c r="H604" s="509"/>
      <c r="I604" s="509"/>
      <c r="J604" s="89"/>
      <c r="K604" s="522"/>
      <c r="L604" s="204"/>
      <c r="M604" s="661"/>
      <c r="N604" s="661"/>
    </row>
    <row r="605" spans="1:14" ht="15.75" x14ac:dyDescent="0.25">
      <c r="A605" s="87">
        <v>601</v>
      </c>
      <c r="B605" s="87" t="s">
        <v>1139</v>
      </c>
      <c r="C605" s="555">
        <v>8326</v>
      </c>
      <c r="D605" s="563">
        <v>16000</v>
      </c>
      <c r="E605" s="573">
        <v>178</v>
      </c>
      <c r="F605" s="563">
        <v>16000</v>
      </c>
      <c r="G605" s="87">
        <f t="shared" si="9"/>
        <v>0</v>
      </c>
      <c r="H605" s="509"/>
      <c r="I605" s="509"/>
      <c r="J605" s="89"/>
      <c r="K605" s="522"/>
      <c r="L605" s="204"/>
      <c r="M605" s="661"/>
      <c r="N605" s="661"/>
    </row>
    <row r="606" spans="1:14" ht="15.75" x14ac:dyDescent="0.25">
      <c r="A606" s="87">
        <v>602</v>
      </c>
      <c r="B606" s="87" t="s">
        <v>1139</v>
      </c>
      <c r="C606" s="555">
        <v>2963</v>
      </c>
      <c r="D606" s="563">
        <v>16000</v>
      </c>
      <c r="E606" s="573">
        <v>178</v>
      </c>
      <c r="F606" s="563">
        <v>16000</v>
      </c>
      <c r="G606" s="87">
        <f t="shared" si="9"/>
        <v>0</v>
      </c>
      <c r="H606" s="509"/>
      <c r="I606" s="509"/>
      <c r="J606" s="89"/>
      <c r="K606" s="522"/>
      <c r="L606" s="204"/>
      <c r="M606" s="661"/>
      <c r="N606" s="661"/>
    </row>
    <row r="607" spans="1:14" ht="15.75" x14ac:dyDescent="0.25">
      <c r="A607" s="87">
        <v>603</v>
      </c>
      <c r="B607" s="87" t="s">
        <v>1139</v>
      </c>
      <c r="C607" s="555">
        <v>2962</v>
      </c>
      <c r="D607" s="563">
        <v>16000</v>
      </c>
      <c r="E607" s="573">
        <v>178</v>
      </c>
      <c r="F607" s="563">
        <v>16000</v>
      </c>
      <c r="G607" s="87">
        <f t="shared" si="9"/>
        <v>0</v>
      </c>
      <c r="H607" s="509"/>
      <c r="I607" s="509"/>
      <c r="J607" s="89"/>
      <c r="K607" s="522"/>
      <c r="L607" s="204"/>
      <c r="M607" s="661"/>
      <c r="N607" s="661"/>
    </row>
    <row r="608" spans="1:14" ht="15.75" x14ac:dyDescent="0.25">
      <c r="A608" s="87">
        <v>604</v>
      </c>
      <c r="B608" s="87" t="s">
        <v>1139</v>
      </c>
      <c r="C608" s="555">
        <v>5748</v>
      </c>
      <c r="D608" s="563">
        <v>20000</v>
      </c>
      <c r="E608" s="573">
        <v>222</v>
      </c>
      <c r="F608" s="563">
        <v>20000</v>
      </c>
      <c r="G608" s="87">
        <f t="shared" si="9"/>
        <v>0</v>
      </c>
      <c r="H608" s="509"/>
      <c r="I608" s="509"/>
      <c r="J608" s="89"/>
      <c r="K608" s="522"/>
      <c r="L608" s="204"/>
      <c r="M608" s="661"/>
      <c r="N608" s="661"/>
    </row>
    <row r="609" spans="1:14" ht="15.75" x14ac:dyDescent="0.25">
      <c r="A609" s="87">
        <v>605</v>
      </c>
      <c r="B609" s="87" t="s">
        <v>1139</v>
      </c>
      <c r="C609" s="555" t="s">
        <v>30</v>
      </c>
      <c r="D609" s="563">
        <v>2000</v>
      </c>
      <c r="E609" s="573">
        <v>22</v>
      </c>
      <c r="F609" s="563">
        <v>2000</v>
      </c>
      <c r="G609" s="87">
        <f t="shared" si="9"/>
        <v>0</v>
      </c>
      <c r="H609" s="509"/>
      <c r="I609" s="509"/>
      <c r="J609" s="89"/>
      <c r="K609" s="522"/>
      <c r="L609" s="204"/>
      <c r="M609" s="661"/>
      <c r="N609" s="661"/>
    </row>
    <row r="610" spans="1:14" ht="15.75" x14ac:dyDescent="0.25">
      <c r="A610" s="87">
        <v>606</v>
      </c>
      <c r="B610" s="87" t="s">
        <v>1139</v>
      </c>
      <c r="C610" s="555" t="s">
        <v>30</v>
      </c>
      <c r="D610" s="563">
        <v>3500</v>
      </c>
      <c r="E610" s="573">
        <v>39</v>
      </c>
      <c r="F610" s="563">
        <v>3500</v>
      </c>
      <c r="G610" s="87">
        <f t="shared" si="9"/>
        <v>0</v>
      </c>
      <c r="H610" s="509"/>
      <c r="I610" s="509"/>
      <c r="J610" s="89"/>
      <c r="K610" s="522"/>
      <c r="L610" s="204"/>
      <c r="M610" s="661"/>
      <c r="N610" s="661"/>
    </row>
    <row r="611" spans="1:14" ht="15.75" x14ac:dyDescent="0.25">
      <c r="A611" s="87">
        <v>607</v>
      </c>
      <c r="B611" s="87" t="s">
        <v>1139</v>
      </c>
      <c r="C611" s="555">
        <v>3176</v>
      </c>
      <c r="D611" s="563">
        <v>6000</v>
      </c>
      <c r="E611" s="573">
        <v>66</v>
      </c>
      <c r="F611" s="563">
        <v>6000</v>
      </c>
      <c r="G611" s="87">
        <f t="shared" si="9"/>
        <v>0</v>
      </c>
      <c r="H611" s="509"/>
      <c r="I611" s="509"/>
      <c r="J611" s="89"/>
      <c r="K611" s="522"/>
      <c r="L611" s="204"/>
      <c r="M611" s="661"/>
      <c r="N611" s="661"/>
    </row>
    <row r="612" spans="1:14" ht="15.75" x14ac:dyDescent="0.25">
      <c r="A612" s="87">
        <v>608</v>
      </c>
      <c r="B612" s="87" t="s">
        <v>1139</v>
      </c>
      <c r="C612" s="555">
        <v>8526</v>
      </c>
      <c r="D612" s="563">
        <v>16000</v>
      </c>
      <c r="E612" s="573">
        <v>178</v>
      </c>
      <c r="F612" s="563">
        <v>16000</v>
      </c>
      <c r="G612" s="87">
        <f t="shared" si="9"/>
        <v>0</v>
      </c>
      <c r="H612" s="509"/>
      <c r="I612" s="509"/>
      <c r="J612" s="89"/>
      <c r="K612" s="522"/>
      <c r="L612" s="204"/>
      <c r="M612" s="661"/>
      <c r="N612" s="661"/>
    </row>
    <row r="613" spans="1:14" ht="15.75" x14ac:dyDescent="0.25">
      <c r="A613" s="87">
        <v>609</v>
      </c>
      <c r="B613" s="87" t="s">
        <v>1139</v>
      </c>
      <c r="C613" s="607" t="s">
        <v>978</v>
      </c>
      <c r="D613" s="563">
        <v>25000</v>
      </c>
      <c r="E613" s="573">
        <v>265</v>
      </c>
      <c r="F613" s="563">
        <v>25000</v>
      </c>
      <c r="G613" s="87">
        <f t="shared" si="9"/>
        <v>0</v>
      </c>
      <c r="H613" s="509"/>
      <c r="I613" s="509"/>
      <c r="J613" s="89"/>
      <c r="K613" s="522"/>
      <c r="L613" s="204"/>
      <c r="M613" s="661"/>
      <c r="N613" s="661"/>
    </row>
    <row r="614" spans="1:14" ht="15.75" x14ac:dyDescent="0.25">
      <c r="A614" s="87">
        <v>610</v>
      </c>
      <c r="B614" s="87" t="s">
        <v>1139</v>
      </c>
      <c r="C614" s="555" t="s">
        <v>30</v>
      </c>
      <c r="D614" s="563">
        <v>10000</v>
      </c>
      <c r="E614" s="573">
        <v>111</v>
      </c>
      <c r="F614" s="563">
        <v>10000</v>
      </c>
      <c r="G614" s="87">
        <f t="shared" si="9"/>
        <v>0</v>
      </c>
      <c r="H614" s="509"/>
      <c r="I614" s="509"/>
      <c r="J614" s="89"/>
      <c r="K614" s="522"/>
      <c r="L614" s="204"/>
      <c r="M614" s="661"/>
      <c r="N614" s="661"/>
    </row>
    <row r="615" spans="1:14" ht="15.75" x14ac:dyDescent="0.25">
      <c r="A615" s="87">
        <v>611</v>
      </c>
      <c r="B615" s="87" t="s">
        <v>1139</v>
      </c>
      <c r="C615" s="555">
        <v>8326</v>
      </c>
      <c r="D615" s="563">
        <v>13000</v>
      </c>
      <c r="E615" s="573">
        <v>144</v>
      </c>
      <c r="F615" s="563">
        <v>13000</v>
      </c>
      <c r="G615" s="87">
        <f t="shared" si="9"/>
        <v>0</v>
      </c>
      <c r="H615" s="509"/>
      <c r="I615" s="509"/>
      <c r="J615" s="89"/>
      <c r="K615" s="522"/>
      <c r="L615" s="204"/>
      <c r="M615" s="661"/>
      <c r="N615" s="661"/>
    </row>
    <row r="616" spans="1:14" ht="15.75" x14ac:dyDescent="0.25">
      <c r="A616" s="87">
        <v>612</v>
      </c>
      <c r="B616" s="87" t="s">
        <v>1139</v>
      </c>
      <c r="C616" s="555">
        <v>9626</v>
      </c>
      <c r="D616" s="563">
        <v>16000</v>
      </c>
      <c r="E616" s="573">
        <v>178</v>
      </c>
      <c r="F616" s="563">
        <v>16000</v>
      </c>
      <c r="G616" s="87">
        <f t="shared" si="9"/>
        <v>0</v>
      </c>
      <c r="H616" s="509"/>
      <c r="I616" s="509"/>
      <c r="J616" s="89"/>
      <c r="K616" s="522"/>
      <c r="L616" s="204"/>
      <c r="M616" s="661"/>
      <c r="N616" s="661"/>
    </row>
    <row r="617" spans="1:14" ht="15.75" x14ac:dyDescent="0.25">
      <c r="A617" s="87">
        <v>613</v>
      </c>
      <c r="B617" s="87" t="s">
        <v>1139</v>
      </c>
      <c r="C617" s="555">
        <v>7976</v>
      </c>
      <c r="D617" s="563">
        <v>5000</v>
      </c>
      <c r="E617" s="573">
        <v>55</v>
      </c>
      <c r="F617" s="563">
        <v>5000</v>
      </c>
      <c r="G617" s="87">
        <f t="shared" si="9"/>
        <v>0</v>
      </c>
      <c r="H617" s="509"/>
      <c r="I617" s="509"/>
      <c r="J617" s="89"/>
      <c r="K617" s="522"/>
      <c r="L617" s="204"/>
      <c r="M617" s="661"/>
      <c r="N617" s="661"/>
    </row>
    <row r="618" spans="1:14" ht="15.75" x14ac:dyDescent="0.25">
      <c r="A618" s="87">
        <v>614</v>
      </c>
      <c r="B618" s="87" t="s">
        <v>1139</v>
      </c>
      <c r="C618" s="555">
        <v>2618</v>
      </c>
      <c r="D618" s="563">
        <v>25000</v>
      </c>
      <c r="E618" s="573">
        <v>264</v>
      </c>
      <c r="F618" s="563">
        <v>25000</v>
      </c>
      <c r="G618" s="87">
        <f t="shared" si="9"/>
        <v>0</v>
      </c>
      <c r="H618" s="509"/>
      <c r="I618" s="509"/>
      <c r="J618" s="89"/>
      <c r="K618" s="522"/>
      <c r="L618" s="204"/>
      <c r="M618" s="661"/>
      <c r="N618" s="661"/>
    </row>
    <row r="619" spans="1:14" ht="15.75" x14ac:dyDescent="0.25">
      <c r="A619" s="87">
        <v>615</v>
      </c>
      <c r="B619" s="87" t="s">
        <v>1139</v>
      </c>
      <c r="C619" s="555">
        <v>2752</v>
      </c>
      <c r="D619" s="563">
        <v>25000</v>
      </c>
      <c r="E619" s="573">
        <v>256</v>
      </c>
      <c r="F619" s="563">
        <v>25000</v>
      </c>
      <c r="G619" s="87">
        <f t="shared" si="9"/>
        <v>0</v>
      </c>
      <c r="H619" s="509"/>
      <c r="I619" s="509"/>
      <c r="J619" s="89"/>
      <c r="K619" s="522"/>
      <c r="L619" s="204"/>
      <c r="M619" s="661"/>
      <c r="N619" s="661"/>
    </row>
    <row r="620" spans="1:14" ht="15.75" x14ac:dyDescent="0.25">
      <c r="A620" s="87">
        <v>616</v>
      </c>
      <c r="B620" s="87" t="s">
        <v>1139</v>
      </c>
      <c r="C620" s="555">
        <v>2750</v>
      </c>
      <c r="D620" s="563">
        <v>25000</v>
      </c>
      <c r="E620" s="573">
        <v>251</v>
      </c>
      <c r="F620" s="563">
        <v>25000</v>
      </c>
      <c r="G620" s="87">
        <f t="shared" si="9"/>
        <v>0</v>
      </c>
      <c r="H620" s="509"/>
      <c r="I620" s="509"/>
      <c r="J620" s="89"/>
      <c r="K620" s="522"/>
      <c r="L620" s="204"/>
      <c r="M620" s="661"/>
      <c r="N620" s="661"/>
    </row>
    <row r="621" spans="1:14" ht="15.75" x14ac:dyDescent="0.25">
      <c r="A621" s="87">
        <v>617</v>
      </c>
      <c r="B621" s="87" t="s">
        <v>1139</v>
      </c>
      <c r="C621" s="555">
        <v>3877</v>
      </c>
      <c r="D621" s="563">
        <v>25000</v>
      </c>
      <c r="E621" s="573">
        <v>278</v>
      </c>
      <c r="F621" s="563">
        <v>25000</v>
      </c>
      <c r="G621" s="87">
        <f t="shared" si="9"/>
        <v>0</v>
      </c>
      <c r="H621" s="509"/>
      <c r="I621" s="509"/>
      <c r="J621" s="89"/>
      <c r="K621" s="522"/>
      <c r="L621" s="204"/>
      <c r="M621" s="661"/>
      <c r="N621" s="661"/>
    </row>
    <row r="622" spans="1:14" ht="15.75" x14ac:dyDescent="0.25">
      <c r="A622" s="87">
        <v>618</v>
      </c>
      <c r="B622" s="87" t="s">
        <v>1139</v>
      </c>
      <c r="C622" s="555">
        <v>3545</v>
      </c>
      <c r="D622" s="563">
        <v>21000</v>
      </c>
      <c r="E622" s="573">
        <v>233</v>
      </c>
      <c r="F622" s="563">
        <v>21000</v>
      </c>
      <c r="G622" s="87">
        <f t="shared" si="9"/>
        <v>0</v>
      </c>
      <c r="H622" s="509"/>
      <c r="I622" s="509"/>
      <c r="J622" s="89"/>
      <c r="K622" s="522"/>
      <c r="L622" s="204"/>
      <c r="M622" s="661"/>
      <c r="N622" s="661"/>
    </row>
    <row r="623" spans="1:14" ht="15.75" x14ac:dyDescent="0.25">
      <c r="A623" s="87">
        <v>619</v>
      </c>
      <c r="B623" s="87" t="s">
        <v>1139</v>
      </c>
      <c r="C623" s="555">
        <v>6171</v>
      </c>
      <c r="D623" s="563">
        <v>21000</v>
      </c>
      <c r="E623" s="573">
        <v>233</v>
      </c>
      <c r="F623" s="563">
        <v>21000</v>
      </c>
      <c r="G623" s="87">
        <f t="shared" si="9"/>
        <v>0</v>
      </c>
      <c r="H623" s="509"/>
      <c r="I623" s="509"/>
      <c r="J623" s="89"/>
      <c r="K623" s="522"/>
      <c r="L623" s="204"/>
      <c r="M623" s="661"/>
      <c r="N623" s="661"/>
    </row>
    <row r="624" spans="1:14" ht="15.75" x14ac:dyDescent="0.25">
      <c r="A624" s="87">
        <v>620</v>
      </c>
      <c r="B624" s="87" t="s">
        <v>1139</v>
      </c>
      <c r="C624" s="555">
        <v>4711</v>
      </c>
      <c r="D624" s="563">
        <v>21000</v>
      </c>
      <c r="E624" s="573">
        <v>233</v>
      </c>
      <c r="F624" s="563">
        <v>21000</v>
      </c>
      <c r="G624" s="87">
        <f t="shared" si="9"/>
        <v>0</v>
      </c>
      <c r="H624" s="509"/>
      <c r="I624" s="509"/>
      <c r="J624" s="89"/>
      <c r="K624" s="522"/>
      <c r="L624" s="204"/>
      <c r="M624" s="661"/>
      <c r="N624" s="661"/>
    </row>
    <row r="625" spans="1:14" ht="15.75" x14ac:dyDescent="0.25">
      <c r="A625" s="87">
        <v>621</v>
      </c>
      <c r="B625" s="87" t="s">
        <v>1139</v>
      </c>
      <c r="C625" s="555">
        <v>5237</v>
      </c>
      <c r="D625" s="563">
        <v>27000</v>
      </c>
      <c r="E625" s="573">
        <v>300</v>
      </c>
      <c r="F625" s="563">
        <v>27000</v>
      </c>
      <c r="G625" s="87">
        <f t="shared" si="9"/>
        <v>0</v>
      </c>
      <c r="H625" s="509"/>
      <c r="I625" s="509"/>
      <c r="J625" s="89"/>
      <c r="K625" s="522"/>
      <c r="L625" s="204"/>
      <c r="M625" s="661"/>
      <c r="N625" s="661"/>
    </row>
    <row r="626" spans="1:14" ht="15.75" x14ac:dyDescent="0.25">
      <c r="A626" s="87">
        <v>622</v>
      </c>
      <c r="B626" s="87" t="s">
        <v>1139</v>
      </c>
      <c r="C626" s="555">
        <v>8666</v>
      </c>
      <c r="D626" s="563">
        <v>27000</v>
      </c>
      <c r="E626" s="573">
        <v>300</v>
      </c>
      <c r="F626" s="563">
        <v>27000</v>
      </c>
      <c r="G626" s="87">
        <f t="shared" si="9"/>
        <v>0</v>
      </c>
      <c r="H626" s="509"/>
      <c r="I626" s="509"/>
      <c r="J626" s="89"/>
      <c r="K626" s="522"/>
      <c r="L626" s="204"/>
      <c r="M626" s="661"/>
      <c r="N626" s="661"/>
    </row>
    <row r="627" spans="1:14" ht="15.75" x14ac:dyDescent="0.25">
      <c r="A627" s="87">
        <v>623</v>
      </c>
      <c r="B627" s="87" t="s">
        <v>1140</v>
      </c>
      <c r="C627" s="555">
        <v>4055</v>
      </c>
      <c r="D627" s="563">
        <v>14190</v>
      </c>
      <c r="E627" s="573">
        <v>158</v>
      </c>
      <c r="F627" s="563">
        <v>14190</v>
      </c>
      <c r="G627" s="87">
        <f t="shared" si="9"/>
        <v>0</v>
      </c>
      <c r="H627" s="509"/>
      <c r="I627" s="509"/>
      <c r="J627" s="89"/>
      <c r="K627" s="522"/>
      <c r="L627" s="204"/>
      <c r="M627" s="661"/>
      <c r="N627" s="661"/>
    </row>
    <row r="628" spans="1:14" ht="15.75" x14ac:dyDescent="0.25">
      <c r="A628" s="87">
        <v>624</v>
      </c>
      <c r="B628" s="87" t="s">
        <v>1140</v>
      </c>
      <c r="C628" s="555">
        <v>6271</v>
      </c>
      <c r="D628" s="563">
        <v>20000</v>
      </c>
      <c r="E628" s="573">
        <v>222</v>
      </c>
      <c r="F628" s="563">
        <v>20000</v>
      </c>
      <c r="G628" s="87">
        <f t="shared" si="9"/>
        <v>0</v>
      </c>
      <c r="H628" s="509"/>
      <c r="I628" s="509"/>
      <c r="J628" s="89"/>
      <c r="K628" s="522"/>
      <c r="L628" s="204"/>
      <c r="M628" s="661"/>
      <c r="N628" s="661"/>
    </row>
    <row r="629" spans="1:14" ht="15.75" x14ac:dyDescent="0.25">
      <c r="A629" s="87">
        <v>625</v>
      </c>
      <c r="B629" s="87" t="s">
        <v>1140</v>
      </c>
      <c r="C629" s="555">
        <v>9525</v>
      </c>
      <c r="D629" s="563">
        <v>17000</v>
      </c>
      <c r="E629" s="573">
        <v>189</v>
      </c>
      <c r="F629" s="563">
        <v>17000</v>
      </c>
      <c r="G629" s="87">
        <f t="shared" si="9"/>
        <v>0</v>
      </c>
      <c r="H629" s="509"/>
      <c r="I629" s="509"/>
      <c r="J629" s="89"/>
      <c r="K629" s="522"/>
      <c r="L629" s="204"/>
      <c r="M629" s="661"/>
      <c r="N629" s="661"/>
    </row>
    <row r="630" spans="1:14" ht="15.75" x14ac:dyDescent="0.25">
      <c r="A630" s="87">
        <v>626</v>
      </c>
      <c r="B630" s="87" t="s">
        <v>1140</v>
      </c>
      <c r="C630" s="555">
        <v>8726</v>
      </c>
      <c r="D630" s="563">
        <v>16000</v>
      </c>
      <c r="E630" s="573">
        <v>178</v>
      </c>
      <c r="F630" s="563">
        <v>16000</v>
      </c>
      <c r="G630" s="87">
        <f t="shared" si="9"/>
        <v>0</v>
      </c>
      <c r="H630" s="509"/>
      <c r="I630" s="509"/>
      <c r="J630" s="89"/>
      <c r="K630" s="522"/>
      <c r="L630" s="204"/>
      <c r="M630" s="661"/>
      <c r="N630" s="661"/>
    </row>
    <row r="631" spans="1:14" ht="15.75" x14ac:dyDescent="0.25">
      <c r="A631" s="87">
        <v>627</v>
      </c>
      <c r="B631" s="87" t="s">
        <v>1140</v>
      </c>
      <c r="C631" s="555">
        <v>5152</v>
      </c>
      <c r="D631" s="563">
        <v>12000</v>
      </c>
      <c r="E631" s="573">
        <v>133</v>
      </c>
      <c r="F631" s="563">
        <v>12000</v>
      </c>
      <c r="G631" s="87">
        <f t="shared" si="9"/>
        <v>0</v>
      </c>
      <c r="H631" s="509"/>
      <c r="I631" s="509"/>
      <c r="J631" s="89"/>
      <c r="K631" s="522"/>
      <c r="L631" s="204"/>
      <c r="M631" s="661"/>
      <c r="N631" s="661"/>
    </row>
    <row r="632" spans="1:14" ht="15.75" x14ac:dyDescent="0.25">
      <c r="A632" s="87">
        <v>628</v>
      </c>
      <c r="B632" s="87" t="s">
        <v>1140</v>
      </c>
      <c r="C632" s="607" t="s">
        <v>950</v>
      </c>
      <c r="D632" s="563">
        <v>25000</v>
      </c>
      <c r="E632" s="573">
        <v>278</v>
      </c>
      <c r="F632" s="563">
        <v>25000</v>
      </c>
      <c r="G632" s="87">
        <f t="shared" si="9"/>
        <v>0</v>
      </c>
      <c r="H632" s="509"/>
      <c r="I632" s="509"/>
      <c r="J632" s="89"/>
      <c r="K632" s="522"/>
      <c r="L632" s="204"/>
      <c r="M632" s="661"/>
      <c r="N632" s="661"/>
    </row>
    <row r="633" spans="1:14" ht="15.75" x14ac:dyDescent="0.25">
      <c r="A633" s="87">
        <v>629</v>
      </c>
      <c r="B633" s="87" t="s">
        <v>1140</v>
      </c>
      <c r="C633" s="555">
        <v>7677</v>
      </c>
      <c r="D633" s="563">
        <v>15000</v>
      </c>
      <c r="E633" s="573">
        <v>167</v>
      </c>
      <c r="F633" s="563">
        <v>15000</v>
      </c>
      <c r="G633" s="87">
        <f t="shared" si="9"/>
        <v>0</v>
      </c>
      <c r="H633" s="509"/>
      <c r="I633" s="509"/>
      <c r="J633" s="89"/>
      <c r="K633" s="522"/>
      <c r="L633" s="204"/>
      <c r="M633" s="661"/>
      <c r="N633" s="661"/>
    </row>
    <row r="634" spans="1:14" ht="15.75" x14ac:dyDescent="0.25">
      <c r="A634" s="87">
        <v>630</v>
      </c>
      <c r="B634" s="87" t="s">
        <v>1140</v>
      </c>
      <c r="C634" s="555">
        <v>7472</v>
      </c>
      <c r="D634" s="563">
        <v>20000</v>
      </c>
      <c r="E634" s="573">
        <v>222</v>
      </c>
      <c r="F634" s="563">
        <v>20000</v>
      </c>
      <c r="G634" s="87">
        <f t="shared" si="9"/>
        <v>0</v>
      </c>
      <c r="H634" s="509"/>
      <c r="I634" s="509"/>
      <c r="J634" s="89"/>
      <c r="K634" s="522"/>
      <c r="L634" s="204"/>
      <c r="M634" s="661"/>
      <c r="N634" s="661"/>
    </row>
    <row r="635" spans="1:14" ht="15.75" x14ac:dyDescent="0.25">
      <c r="A635" s="87">
        <v>631</v>
      </c>
      <c r="B635" s="87" t="s">
        <v>1140</v>
      </c>
      <c r="C635" s="555" t="s">
        <v>30</v>
      </c>
      <c r="D635" s="563">
        <v>3500</v>
      </c>
      <c r="E635" s="573">
        <v>39</v>
      </c>
      <c r="F635" s="563">
        <v>3500</v>
      </c>
      <c r="G635" s="87">
        <f t="shared" si="9"/>
        <v>0</v>
      </c>
      <c r="H635" s="509"/>
      <c r="I635" s="509"/>
      <c r="J635" s="89"/>
      <c r="K635" s="522"/>
      <c r="L635" s="204"/>
      <c r="M635" s="661"/>
      <c r="N635" s="661"/>
    </row>
    <row r="636" spans="1:14" ht="15.75" x14ac:dyDescent="0.25">
      <c r="A636" s="87">
        <v>632</v>
      </c>
      <c r="B636" s="87" t="s">
        <v>1140</v>
      </c>
      <c r="C636" s="555" t="s">
        <v>30</v>
      </c>
      <c r="D636" s="563">
        <v>3500</v>
      </c>
      <c r="E636" s="573">
        <v>39</v>
      </c>
      <c r="F636" s="563">
        <v>3500</v>
      </c>
      <c r="G636" s="87">
        <f t="shared" si="9"/>
        <v>0</v>
      </c>
      <c r="H636" s="509"/>
      <c r="I636" s="509"/>
      <c r="J636" s="89"/>
      <c r="K636" s="522"/>
      <c r="L636" s="204"/>
      <c r="M636" s="661"/>
      <c r="N636" s="661"/>
    </row>
    <row r="637" spans="1:14" ht="15.75" x14ac:dyDescent="0.25">
      <c r="A637" s="87">
        <v>633</v>
      </c>
      <c r="B637" s="87" t="s">
        <v>1140</v>
      </c>
      <c r="C637" s="555">
        <v>8304</v>
      </c>
      <c r="D637" s="563">
        <v>25000</v>
      </c>
      <c r="E637" s="573">
        <v>278</v>
      </c>
      <c r="F637" s="563">
        <v>25000</v>
      </c>
      <c r="G637" s="87">
        <f t="shared" si="9"/>
        <v>0</v>
      </c>
      <c r="H637" s="509"/>
      <c r="I637" s="509"/>
      <c r="J637" s="89"/>
      <c r="K637" s="522"/>
      <c r="L637" s="204"/>
      <c r="M637" s="661"/>
      <c r="N637" s="661"/>
    </row>
    <row r="638" spans="1:14" ht="15.75" x14ac:dyDescent="0.25">
      <c r="A638" s="87">
        <v>634</v>
      </c>
      <c r="B638" s="87" t="s">
        <v>1140</v>
      </c>
      <c r="C638" s="555">
        <v>6955</v>
      </c>
      <c r="D638" s="563">
        <v>18000</v>
      </c>
      <c r="E638" s="573">
        <v>200</v>
      </c>
      <c r="F638" s="563">
        <v>18000</v>
      </c>
      <c r="G638" s="87">
        <f t="shared" si="9"/>
        <v>0</v>
      </c>
      <c r="H638" s="509"/>
      <c r="I638" s="509"/>
      <c r="J638" s="89"/>
      <c r="K638" s="522"/>
      <c r="L638" s="204"/>
      <c r="M638" s="661"/>
      <c r="N638" s="661"/>
    </row>
    <row r="639" spans="1:14" ht="15.75" x14ac:dyDescent="0.25">
      <c r="A639" s="87">
        <v>635</v>
      </c>
      <c r="B639" s="87" t="s">
        <v>1140</v>
      </c>
      <c r="C639" s="555">
        <v>6625</v>
      </c>
      <c r="D639" s="563">
        <v>10000</v>
      </c>
      <c r="E639" s="573">
        <v>111</v>
      </c>
      <c r="F639" s="563">
        <v>10000</v>
      </c>
      <c r="G639" s="87">
        <f t="shared" si="9"/>
        <v>0</v>
      </c>
      <c r="H639" s="509"/>
      <c r="I639" s="509"/>
      <c r="J639" s="89"/>
      <c r="K639" s="522"/>
      <c r="L639" s="204"/>
      <c r="M639" s="661"/>
      <c r="N639" s="661"/>
    </row>
    <row r="640" spans="1:14" ht="15.75" x14ac:dyDescent="0.25">
      <c r="A640" s="87">
        <v>636</v>
      </c>
      <c r="B640" s="87" t="s">
        <v>1140</v>
      </c>
      <c r="C640" s="555">
        <v>3352</v>
      </c>
      <c r="D640" s="563">
        <v>10000</v>
      </c>
      <c r="E640" s="573">
        <v>111</v>
      </c>
      <c r="F640" s="563">
        <v>10000</v>
      </c>
      <c r="G640" s="87">
        <f t="shared" si="9"/>
        <v>0</v>
      </c>
      <c r="H640" s="509"/>
      <c r="I640" s="509"/>
      <c r="J640" s="89"/>
      <c r="K640" s="522"/>
      <c r="L640" s="204"/>
      <c r="M640" s="661"/>
      <c r="N640" s="661"/>
    </row>
    <row r="641" spans="1:14" ht="15.75" x14ac:dyDescent="0.25">
      <c r="A641" s="87">
        <v>637</v>
      </c>
      <c r="B641" s="87" t="s">
        <v>1140</v>
      </c>
      <c r="C641" s="555">
        <v>2174</v>
      </c>
      <c r="D641" s="563">
        <v>30000</v>
      </c>
      <c r="E641" s="573">
        <v>324</v>
      </c>
      <c r="F641" s="563">
        <v>30000</v>
      </c>
      <c r="G641" s="87">
        <f t="shared" si="9"/>
        <v>0</v>
      </c>
      <c r="H641" s="509"/>
      <c r="I641" s="509"/>
      <c r="J641" s="89"/>
      <c r="K641" s="522"/>
      <c r="L641" s="204"/>
      <c r="M641" s="661"/>
      <c r="N641" s="661"/>
    </row>
    <row r="642" spans="1:14" ht="15.75" x14ac:dyDescent="0.25">
      <c r="A642" s="87">
        <v>638</v>
      </c>
      <c r="B642" s="87" t="s">
        <v>1140</v>
      </c>
      <c r="C642" s="555">
        <v>2546</v>
      </c>
      <c r="D642" s="563">
        <v>30000</v>
      </c>
      <c r="E642" s="573">
        <v>317</v>
      </c>
      <c r="F642" s="563">
        <v>30000</v>
      </c>
      <c r="G642" s="87">
        <f t="shared" si="9"/>
        <v>0</v>
      </c>
      <c r="H642" s="509"/>
      <c r="I642" s="509"/>
      <c r="J642" s="89"/>
      <c r="K642" s="522"/>
      <c r="L642" s="204"/>
      <c r="M642" s="661"/>
      <c r="N642" s="661"/>
    </row>
    <row r="643" spans="1:14" ht="15.75" x14ac:dyDescent="0.25">
      <c r="A643" s="87">
        <v>639</v>
      </c>
      <c r="B643" s="87" t="s">
        <v>1140</v>
      </c>
      <c r="C643" s="555">
        <v>7709</v>
      </c>
      <c r="D643" s="563">
        <v>20000</v>
      </c>
      <c r="E643" s="573">
        <v>222</v>
      </c>
      <c r="F643" s="563">
        <v>20000</v>
      </c>
      <c r="G643" s="87">
        <f t="shared" si="9"/>
        <v>0</v>
      </c>
      <c r="H643" s="509"/>
      <c r="I643" s="509"/>
      <c r="J643" s="89"/>
      <c r="K643" s="522"/>
      <c r="L643" s="204"/>
      <c r="M643" s="661"/>
      <c r="N643" s="661"/>
    </row>
    <row r="644" spans="1:14" ht="15.75" x14ac:dyDescent="0.25">
      <c r="A644" s="87">
        <v>640</v>
      </c>
      <c r="B644" s="87" t="s">
        <v>1140</v>
      </c>
      <c r="C644" s="555">
        <v>4818</v>
      </c>
      <c r="D644" s="563">
        <v>25000</v>
      </c>
      <c r="E644" s="573">
        <v>278</v>
      </c>
      <c r="F644" s="563">
        <v>25000</v>
      </c>
      <c r="G644" s="87">
        <f t="shared" si="9"/>
        <v>0</v>
      </c>
      <c r="H644" s="509"/>
      <c r="I644" s="509"/>
      <c r="J644" s="89"/>
      <c r="K644" s="522"/>
      <c r="L644" s="204"/>
      <c r="M644" s="661"/>
      <c r="N644" s="661"/>
    </row>
    <row r="645" spans="1:14" ht="15.75" x14ac:dyDescent="0.25">
      <c r="A645" s="87">
        <v>641</v>
      </c>
      <c r="B645" s="87" t="s">
        <v>1140</v>
      </c>
      <c r="C645" s="555">
        <v>3662</v>
      </c>
      <c r="D645" s="563">
        <v>27000</v>
      </c>
      <c r="E645" s="573">
        <v>284</v>
      </c>
      <c r="F645" s="563">
        <v>27000</v>
      </c>
      <c r="G645" s="87">
        <f t="shared" ref="G645:G708" si="10">D645-F645</f>
        <v>0</v>
      </c>
      <c r="H645" s="509"/>
      <c r="I645" s="509"/>
      <c r="J645" s="89"/>
      <c r="K645" s="522"/>
      <c r="L645" s="204"/>
      <c r="M645" s="661"/>
      <c r="N645" s="661"/>
    </row>
    <row r="646" spans="1:14" ht="15.75" x14ac:dyDescent="0.25">
      <c r="A646" s="87">
        <v>642</v>
      </c>
      <c r="B646" s="87" t="s">
        <v>1140</v>
      </c>
      <c r="C646" s="555">
        <v>7089</v>
      </c>
      <c r="D646" s="563">
        <v>33000</v>
      </c>
      <c r="E646" s="573">
        <v>358</v>
      </c>
      <c r="F646" s="563">
        <v>33000</v>
      </c>
      <c r="G646" s="87">
        <f t="shared" si="10"/>
        <v>0</v>
      </c>
      <c r="H646" s="509"/>
      <c r="I646" s="509"/>
      <c r="J646" s="89"/>
      <c r="K646" s="522"/>
      <c r="L646" s="204"/>
      <c r="M646" s="661"/>
      <c r="N646" s="661"/>
    </row>
    <row r="647" spans="1:14" ht="15.75" x14ac:dyDescent="0.25">
      <c r="A647" s="87">
        <v>643</v>
      </c>
      <c r="B647" s="87" t="s">
        <v>1141</v>
      </c>
      <c r="C647" s="555">
        <v>8792</v>
      </c>
      <c r="D647" s="563">
        <v>23000</v>
      </c>
      <c r="E647" s="573">
        <v>256</v>
      </c>
      <c r="F647" s="563">
        <v>23000</v>
      </c>
      <c r="G647" s="87">
        <f t="shared" si="10"/>
        <v>0</v>
      </c>
      <c r="H647" s="509"/>
      <c r="I647" s="509"/>
      <c r="J647" s="89"/>
      <c r="K647" s="522"/>
      <c r="L647" s="204"/>
      <c r="M647" s="661"/>
      <c r="N647" s="661"/>
    </row>
    <row r="648" spans="1:14" ht="15.75" x14ac:dyDescent="0.25">
      <c r="A648" s="87">
        <v>644</v>
      </c>
      <c r="B648" s="87" t="s">
        <v>1141</v>
      </c>
      <c r="C648" s="555">
        <v>5481</v>
      </c>
      <c r="D648" s="563">
        <v>30000</v>
      </c>
      <c r="E648" s="573">
        <v>334</v>
      </c>
      <c r="F648" s="563">
        <v>30000</v>
      </c>
      <c r="G648" s="87">
        <f t="shared" si="10"/>
        <v>0</v>
      </c>
      <c r="H648" s="509"/>
      <c r="I648" s="509"/>
      <c r="J648" s="89"/>
      <c r="K648" s="522"/>
      <c r="L648" s="204"/>
      <c r="M648" s="661"/>
      <c r="N648" s="661"/>
    </row>
    <row r="649" spans="1:14" ht="15.75" x14ac:dyDescent="0.25">
      <c r="A649" s="87">
        <v>645</v>
      </c>
      <c r="B649" s="87" t="s">
        <v>1141</v>
      </c>
      <c r="C649" s="555">
        <v>9957</v>
      </c>
      <c r="D649" s="563">
        <v>15000</v>
      </c>
      <c r="E649" s="573">
        <v>167</v>
      </c>
      <c r="F649" s="563">
        <v>15000</v>
      </c>
      <c r="G649" s="87">
        <f t="shared" si="10"/>
        <v>0</v>
      </c>
      <c r="H649" s="509"/>
      <c r="I649" s="509"/>
      <c r="J649" s="89"/>
      <c r="K649" s="522"/>
      <c r="L649" s="204"/>
      <c r="M649" s="661"/>
      <c r="N649" s="661"/>
    </row>
    <row r="650" spans="1:14" ht="15.75" x14ac:dyDescent="0.25">
      <c r="A650" s="87">
        <v>646</v>
      </c>
      <c r="B650" s="87" t="s">
        <v>1141</v>
      </c>
      <c r="C650" s="555">
        <v>7219</v>
      </c>
      <c r="D650" s="563">
        <v>20000</v>
      </c>
      <c r="E650" s="573">
        <v>222</v>
      </c>
      <c r="F650" s="563">
        <v>20000</v>
      </c>
      <c r="G650" s="87">
        <f t="shared" si="10"/>
        <v>0</v>
      </c>
      <c r="H650" s="509"/>
      <c r="I650" s="509"/>
      <c r="J650" s="89"/>
      <c r="K650" s="522"/>
      <c r="L650" s="204"/>
      <c r="M650" s="661"/>
      <c r="N650" s="661"/>
    </row>
    <row r="651" spans="1:14" ht="15.75" x14ac:dyDescent="0.25">
      <c r="A651" s="87">
        <v>647</v>
      </c>
      <c r="B651" s="87" t="s">
        <v>1141</v>
      </c>
      <c r="C651" s="555">
        <v>8762</v>
      </c>
      <c r="D651" s="563">
        <v>23000</v>
      </c>
      <c r="E651" s="573">
        <v>256</v>
      </c>
      <c r="F651" s="563">
        <v>23000</v>
      </c>
      <c r="G651" s="87">
        <f t="shared" si="10"/>
        <v>0</v>
      </c>
      <c r="H651" s="509"/>
      <c r="I651" s="509"/>
      <c r="J651" s="89"/>
      <c r="K651" s="522"/>
      <c r="L651" s="204"/>
      <c r="M651" s="661"/>
      <c r="N651" s="661"/>
    </row>
    <row r="652" spans="1:14" ht="15.75" x14ac:dyDescent="0.25">
      <c r="A652" s="87">
        <v>648</v>
      </c>
      <c r="B652" s="87" t="s">
        <v>1141</v>
      </c>
      <c r="C652" s="555">
        <v>9097</v>
      </c>
      <c r="D652" s="563">
        <v>25000</v>
      </c>
      <c r="E652" s="573">
        <v>278</v>
      </c>
      <c r="F652" s="563">
        <v>25000</v>
      </c>
      <c r="G652" s="87">
        <f t="shared" si="10"/>
        <v>0</v>
      </c>
      <c r="H652" s="509"/>
      <c r="I652" s="509"/>
      <c r="J652" s="89"/>
      <c r="K652" s="522"/>
      <c r="L652" s="204"/>
      <c r="M652" s="661"/>
      <c r="N652" s="661"/>
    </row>
    <row r="653" spans="1:14" ht="15.75" x14ac:dyDescent="0.25">
      <c r="A653" s="87">
        <v>649</v>
      </c>
      <c r="B653" s="87" t="s">
        <v>1141</v>
      </c>
      <c r="C653" s="555">
        <v>3611</v>
      </c>
      <c r="D653" s="563">
        <v>23000</v>
      </c>
      <c r="E653" s="573">
        <v>256</v>
      </c>
      <c r="F653" s="563">
        <v>23000</v>
      </c>
      <c r="G653" s="87">
        <f t="shared" si="10"/>
        <v>0</v>
      </c>
      <c r="H653" s="509"/>
      <c r="I653" s="509"/>
      <c r="J653" s="89"/>
      <c r="K653" s="522"/>
      <c r="L653" s="204"/>
      <c r="M653" s="661"/>
      <c r="N653" s="661"/>
    </row>
    <row r="654" spans="1:14" ht="15.75" x14ac:dyDescent="0.25">
      <c r="A654" s="87">
        <v>650</v>
      </c>
      <c r="B654" s="87" t="s">
        <v>1141</v>
      </c>
      <c r="C654" s="555">
        <v>7974</v>
      </c>
      <c r="D654" s="563">
        <v>27000</v>
      </c>
      <c r="E654" s="573">
        <v>300</v>
      </c>
      <c r="F654" s="563">
        <v>27000</v>
      </c>
      <c r="G654" s="87">
        <f t="shared" si="10"/>
        <v>0</v>
      </c>
      <c r="H654" s="509"/>
      <c r="I654" s="509"/>
      <c r="J654" s="89"/>
      <c r="K654" s="522"/>
      <c r="L654" s="204"/>
      <c r="M654" s="661"/>
      <c r="N654" s="661"/>
    </row>
    <row r="655" spans="1:14" ht="15.75" x14ac:dyDescent="0.25">
      <c r="A655" s="87">
        <v>651</v>
      </c>
      <c r="B655" s="87" t="s">
        <v>1141</v>
      </c>
      <c r="C655" s="555">
        <v>5225</v>
      </c>
      <c r="D655" s="563">
        <v>14000</v>
      </c>
      <c r="E655" s="573">
        <v>155</v>
      </c>
      <c r="F655" s="563">
        <v>14000</v>
      </c>
      <c r="G655" s="87">
        <f t="shared" si="10"/>
        <v>0</v>
      </c>
      <c r="H655" s="509"/>
      <c r="I655" s="509"/>
      <c r="J655" s="89"/>
      <c r="K655" s="522"/>
      <c r="L655" s="204"/>
      <c r="M655" s="661"/>
      <c r="N655" s="661"/>
    </row>
    <row r="656" spans="1:14" ht="15.75" x14ac:dyDescent="0.25">
      <c r="A656" s="87">
        <v>652</v>
      </c>
      <c r="B656" s="87" t="s">
        <v>1141</v>
      </c>
      <c r="C656" s="555" t="s">
        <v>30</v>
      </c>
      <c r="D656" s="563">
        <v>3500</v>
      </c>
      <c r="E656" s="573">
        <v>39</v>
      </c>
      <c r="F656" s="563">
        <v>3500</v>
      </c>
      <c r="G656" s="87">
        <f t="shared" si="10"/>
        <v>0</v>
      </c>
      <c r="H656" s="509"/>
      <c r="I656" s="509"/>
      <c r="J656" s="89"/>
      <c r="K656" s="522"/>
      <c r="L656" s="204"/>
      <c r="M656" s="661"/>
      <c r="N656" s="661"/>
    </row>
    <row r="657" spans="1:14" ht="15.75" x14ac:dyDescent="0.25">
      <c r="A657" s="87">
        <v>653</v>
      </c>
      <c r="B657" s="87" t="s">
        <v>1141</v>
      </c>
      <c r="C657" s="555">
        <v>5082</v>
      </c>
      <c r="D657" s="563">
        <v>31000</v>
      </c>
      <c r="E657" s="573">
        <v>345</v>
      </c>
      <c r="F657" s="563">
        <v>31000</v>
      </c>
      <c r="G657" s="87">
        <f t="shared" si="10"/>
        <v>0</v>
      </c>
      <c r="H657" s="509"/>
      <c r="I657" s="509"/>
      <c r="J657" s="89"/>
      <c r="K657" s="522"/>
      <c r="L657" s="204"/>
      <c r="M657" s="661"/>
      <c r="N657" s="661"/>
    </row>
    <row r="658" spans="1:14" ht="15.75" x14ac:dyDescent="0.25">
      <c r="A658" s="87">
        <v>654</v>
      </c>
      <c r="B658" s="87" t="s">
        <v>1141</v>
      </c>
      <c r="C658" s="555">
        <v>1367</v>
      </c>
      <c r="D658" s="563">
        <v>20000</v>
      </c>
      <c r="E658" s="573">
        <v>222</v>
      </c>
      <c r="F658" s="563">
        <v>20000</v>
      </c>
      <c r="G658" s="87">
        <f t="shared" si="10"/>
        <v>0</v>
      </c>
      <c r="H658" s="509"/>
      <c r="I658" s="509"/>
      <c r="J658" s="89"/>
      <c r="K658" s="522"/>
      <c r="L658" s="204"/>
      <c r="M658" s="661"/>
      <c r="N658" s="661"/>
    </row>
    <row r="659" spans="1:14" ht="15.75" x14ac:dyDescent="0.25">
      <c r="A659" s="87">
        <v>655</v>
      </c>
      <c r="B659" s="87" t="s">
        <v>1141</v>
      </c>
      <c r="C659" s="555" t="s">
        <v>30</v>
      </c>
      <c r="D659" s="563">
        <v>3500</v>
      </c>
      <c r="E659" s="573">
        <v>39</v>
      </c>
      <c r="F659" s="563">
        <v>3500</v>
      </c>
      <c r="G659" s="87">
        <f t="shared" si="10"/>
        <v>0</v>
      </c>
      <c r="H659" s="509"/>
      <c r="I659" s="509"/>
      <c r="J659" s="89"/>
      <c r="K659" s="522"/>
      <c r="L659" s="204"/>
      <c r="M659" s="661"/>
      <c r="N659" s="661"/>
    </row>
    <row r="660" spans="1:14" ht="15.75" x14ac:dyDescent="0.25">
      <c r="A660" s="87">
        <v>656</v>
      </c>
      <c r="B660" s="87" t="s">
        <v>1141</v>
      </c>
      <c r="C660" s="555" t="s">
        <v>30</v>
      </c>
      <c r="D660" s="563">
        <v>4500</v>
      </c>
      <c r="E660" s="573">
        <v>50</v>
      </c>
      <c r="F660" s="563">
        <v>4500</v>
      </c>
      <c r="G660" s="87">
        <f t="shared" si="10"/>
        <v>0</v>
      </c>
      <c r="H660" s="509"/>
      <c r="I660" s="509"/>
      <c r="J660" s="89"/>
      <c r="K660" s="522"/>
      <c r="L660" s="204"/>
      <c r="M660" s="661"/>
      <c r="N660" s="661"/>
    </row>
    <row r="661" spans="1:14" ht="15.75" x14ac:dyDescent="0.25">
      <c r="A661" s="87">
        <v>657</v>
      </c>
      <c r="B661" s="87" t="s">
        <v>1141</v>
      </c>
      <c r="C661" s="555">
        <v>6555</v>
      </c>
      <c r="D661" s="563">
        <v>18000</v>
      </c>
      <c r="E661" s="573">
        <v>200</v>
      </c>
      <c r="F661" s="563">
        <v>18000</v>
      </c>
      <c r="G661" s="87">
        <f t="shared" si="10"/>
        <v>0</v>
      </c>
      <c r="H661" s="509"/>
      <c r="I661" s="509"/>
      <c r="J661" s="89"/>
      <c r="K661" s="522"/>
      <c r="L661" s="204"/>
      <c r="M661" s="661"/>
      <c r="N661" s="661"/>
    </row>
    <row r="662" spans="1:14" ht="15.75" x14ac:dyDescent="0.25">
      <c r="A662" s="87">
        <v>658</v>
      </c>
      <c r="B662" s="87" t="s">
        <v>1141</v>
      </c>
      <c r="C662" s="555">
        <v>2961</v>
      </c>
      <c r="D662" s="563">
        <v>16000</v>
      </c>
      <c r="E662" s="573">
        <v>178</v>
      </c>
      <c r="F662" s="563">
        <v>16000</v>
      </c>
      <c r="G662" s="87">
        <f t="shared" si="10"/>
        <v>0</v>
      </c>
      <c r="H662" s="509"/>
      <c r="I662" s="509"/>
      <c r="J662" s="89"/>
      <c r="K662" s="522"/>
      <c r="L662" s="204"/>
      <c r="M662" s="661"/>
      <c r="N662" s="661"/>
    </row>
    <row r="663" spans="1:14" ht="15.75" x14ac:dyDescent="0.25">
      <c r="A663" s="87">
        <v>659</v>
      </c>
      <c r="B663" s="87" t="s">
        <v>1141</v>
      </c>
      <c r="C663" s="555">
        <v>5252</v>
      </c>
      <c r="D663" s="563">
        <v>18000</v>
      </c>
      <c r="E663" s="573">
        <v>198</v>
      </c>
      <c r="F663" s="563">
        <v>18000</v>
      </c>
      <c r="G663" s="87">
        <f t="shared" si="10"/>
        <v>0</v>
      </c>
      <c r="H663" s="509"/>
      <c r="I663" s="509"/>
      <c r="J663" s="89"/>
      <c r="K663" s="522"/>
      <c r="L663" s="204"/>
      <c r="M663" s="661"/>
      <c r="N663" s="661"/>
    </row>
    <row r="664" spans="1:14" ht="15.75" x14ac:dyDescent="0.25">
      <c r="A664" s="87">
        <v>660</v>
      </c>
      <c r="B664" s="87" t="s">
        <v>1141</v>
      </c>
      <c r="C664" s="555">
        <v>9876</v>
      </c>
      <c r="D664" s="563">
        <v>18000</v>
      </c>
      <c r="E664" s="573">
        <v>193</v>
      </c>
      <c r="F664" s="563">
        <v>18000</v>
      </c>
      <c r="G664" s="87">
        <f t="shared" si="10"/>
        <v>0</v>
      </c>
      <c r="H664" s="509"/>
      <c r="I664" s="509"/>
      <c r="J664" s="89"/>
      <c r="K664" s="522"/>
      <c r="L664" s="204"/>
      <c r="M664" s="661"/>
      <c r="N664" s="661"/>
    </row>
    <row r="665" spans="1:14" ht="15.75" x14ac:dyDescent="0.25">
      <c r="A665" s="87">
        <v>661</v>
      </c>
      <c r="B665" s="87" t="s">
        <v>1141</v>
      </c>
      <c r="C665" s="555">
        <v>9777</v>
      </c>
      <c r="D665" s="563">
        <v>18000</v>
      </c>
      <c r="E665" s="573">
        <v>197</v>
      </c>
      <c r="F665" s="563">
        <v>18000</v>
      </c>
      <c r="G665" s="87">
        <f t="shared" si="10"/>
        <v>0</v>
      </c>
      <c r="H665" s="509"/>
      <c r="I665" s="509"/>
      <c r="J665" s="89"/>
      <c r="K665" s="522"/>
      <c r="L665" s="204"/>
      <c r="M665" s="661"/>
      <c r="N665" s="661"/>
    </row>
    <row r="666" spans="1:14" ht="15.75" x14ac:dyDescent="0.25">
      <c r="A666" s="87">
        <v>662</v>
      </c>
      <c r="B666" s="87" t="s">
        <v>1141</v>
      </c>
      <c r="C666" s="555" t="s">
        <v>66</v>
      </c>
      <c r="D666" s="563">
        <v>120</v>
      </c>
      <c r="E666" s="573" t="s">
        <v>66</v>
      </c>
      <c r="F666" s="563">
        <v>120</v>
      </c>
      <c r="G666" s="87">
        <f t="shared" si="10"/>
        <v>0</v>
      </c>
      <c r="H666" s="509"/>
      <c r="I666" s="509"/>
      <c r="J666" s="89"/>
      <c r="K666" s="522"/>
      <c r="L666" s="204"/>
      <c r="M666" s="661"/>
      <c r="N666" s="661"/>
    </row>
    <row r="667" spans="1:14" ht="15.75" x14ac:dyDescent="0.25">
      <c r="A667" s="87">
        <v>663</v>
      </c>
      <c r="B667" s="87" t="s">
        <v>1141</v>
      </c>
      <c r="C667" s="555">
        <v>8222</v>
      </c>
      <c r="D667" s="563">
        <v>26100</v>
      </c>
      <c r="E667" s="573">
        <v>290</v>
      </c>
      <c r="F667" s="563">
        <v>26100</v>
      </c>
      <c r="G667" s="87">
        <f t="shared" si="10"/>
        <v>0</v>
      </c>
      <c r="H667" s="509"/>
      <c r="I667" s="509"/>
      <c r="J667" s="89"/>
      <c r="K667" s="522"/>
      <c r="L667" s="204"/>
      <c r="M667" s="661"/>
      <c r="N667" s="661"/>
    </row>
    <row r="668" spans="1:14" ht="15.75" x14ac:dyDescent="0.25">
      <c r="A668" s="87">
        <v>664</v>
      </c>
      <c r="B668" s="87" t="s">
        <v>1141</v>
      </c>
      <c r="C668" s="555">
        <v>5032</v>
      </c>
      <c r="D668" s="563">
        <v>22000</v>
      </c>
      <c r="E668" s="573">
        <v>245</v>
      </c>
      <c r="F668" s="563">
        <v>22000</v>
      </c>
      <c r="G668" s="87">
        <f t="shared" si="10"/>
        <v>0</v>
      </c>
      <c r="H668" s="509"/>
      <c r="I668" s="509"/>
      <c r="J668" s="89"/>
      <c r="K668" s="522"/>
      <c r="L668" s="204"/>
      <c r="M668" s="661"/>
      <c r="N668" s="661"/>
    </row>
    <row r="669" spans="1:14" ht="15.75" x14ac:dyDescent="0.25">
      <c r="A669" s="87">
        <v>665</v>
      </c>
      <c r="B669" s="87" t="s">
        <v>1141</v>
      </c>
      <c r="C669" s="555">
        <v>6848</v>
      </c>
      <c r="D669" s="563">
        <v>10000</v>
      </c>
      <c r="E669" s="573">
        <v>111</v>
      </c>
      <c r="F669" s="563">
        <v>10000</v>
      </c>
      <c r="G669" s="87">
        <f t="shared" si="10"/>
        <v>0</v>
      </c>
      <c r="H669" s="509"/>
      <c r="I669" s="509"/>
      <c r="J669" s="89"/>
      <c r="K669" s="522"/>
      <c r="L669" s="204"/>
      <c r="M669" s="661"/>
      <c r="N669" s="661"/>
    </row>
    <row r="670" spans="1:14" ht="15.75" x14ac:dyDescent="0.25">
      <c r="A670" s="87">
        <v>666</v>
      </c>
      <c r="B670" s="87" t="s">
        <v>1141</v>
      </c>
      <c r="C670" s="555">
        <v>2546</v>
      </c>
      <c r="D670" s="563">
        <v>26000</v>
      </c>
      <c r="E670" s="573">
        <v>279</v>
      </c>
      <c r="F670" s="563">
        <v>26000</v>
      </c>
      <c r="G670" s="87">
        <f t="shared" si="10"/>
        <v>0</v>
      </c>
      <c r="H670" s="509"/>
      <c r="I670" s="509"/>
      <c r="J670" s="89"/>
      <c r="K670" s="522"/>
      <c r="L670" s="204"/>
      <c r="M670" s="661"/>
      <c r="N670" s="661"/>
    </row>
    <row r="671" spans="1:14" ht="15.75" x14ac:dyDescent="0.25">
      <c r="A671" s="87">
        <v>667</v>
      </c>
      <c r="B671" s="87" t="s">
        <v>1141</v>
      </c>
      <c r="C671" s="555">
        <v>9903</v>
      </c>
      <c r="D671" s="563">
        <v>23000</v>
      </c>
      <c r="E671" s="573">
        <v>256</v>
      </c>
      <c r="F671" s="563">
        <v>23000</v>
      </c>
      <c r="G671" s="87">
        <f t="shared" si="10"/>
        <v>0</v>
      </c>
      <c r="H671" s="509"/>
      <c r="I671" s="509"/>
      <c r="J671" s="89"/>
      <c r="K671" s="522"/>
      <c r="L671" s="204"/>
      <c r="M671" s="661"/>
      <c r="N671" s="661"/>
    </row>
    <row r="672" spans="1:14" ht="15.75" x14ac:dyDescent="0.25">
      <c r="A672" s="87">
        <v>668</v>
      </c>
      <c r="B672" s="87" t="s">
        <v>1141</v>
      </c>
      <c r="C672" s="555">
        <v>4168</v>
      </c>
      <c r="D672" s="563">
        <v>12000</v>
      </c>
      <c r="E672" s="573">
        <v>133</v>
      </c>
      <c r="F672" s="563">
        <v>12000</v>
      </c>
      <c r="G672" s="87">
        <f t="shared" si="10"/>
        <v>0</v>
      </c>
      <c r="H672" s="509"/>
      <c r="I672" s="509"/>
      <c r="J672" s="89"/>
      <c r="K672" s="522"/>
      <c r="L672" s="204"/>
      <c r="M672" s="661"/>
      <c r="N672" s="661"/>
    </row>
    <row r="673" spans="1:14" ht="15.75" x14ac:dyDescent="0.25">
      <c r="A673" s="87">
        <v>669</v>
      </c>
      <c r="B673" s="87" t="s">
        <v>1141</v>
      </c>
      <c r="C673" s="555">
        <v>1294</v>
      </c>
      <c r="D673" s="563">
        <v>20000</v>
      </c>
      <c r="E673" s="573">
        <v>222</v>
      </c>
      <c r="F673" s="563">
        <v>20000</v>
      </c>
      <c r="G673" s="87">
        <f t="shared" si="10"/>
        <v>0</v>
      </c>
      <c r="H673" s="509"/>
      <c r="I673" s="509"/>
      <c r="J673" s="89"/>
      <c r="K673" s="522"/>
      <c r="L673" s="204"/>
      <c r="M673" s="661"/>
      <c r="N673" s="661"/>
    </row>
    <row r="674" spans="1:14" ht="15.75" x14ac:dyDescent="0.25">
      <c r="A674" s="87">
        <v>670</v>
      </c>
      <c r="B674" s="87" t="s">
        <v>1141</v>
      </c>
      <c r="C674" s="555">
        <v>5243</v>
      </c>
      <c r="D674" s="563">
        <v>22000</v>
      </c>
      <c r="E674" s="573">
        <v>245</v>
      </c>
      <c r="F674" s="563">
        <v>22000</v>
      </c>
      <c r="G674" s="87">
        <f t="shared" si="10"/>
        <v>0</v>
      </c>
      <c r="H674" s="509"/>
      <c r="I674" s="509"/>
      <c r="J674" s="89"/>
      <c r="K674" s="522"/>
      <c r="L674" s="204"/>
      <c r="M674" s="661"/>
      <c r="N674" s="661"/>
    </row>
    <row r="675" spans="1:14" ht="15.75" x14ac:dyDescent="0.25">
      <c r="A675" s="87">
        <v>671</v>
      </c>
      <c r="B675" s="87" t="s">
        <v>1141</v>
      </c>
      <c r="C675" s="607" t="s">
        <v>897</v>
      </c>
      <c r="D675" s="563">
        <v>32000</v>
      </c>
      <c r="E675" s="573">
        <v>356</v>
      </c>
      <c r="F675" s="563">
        <v>32000</v>
      </c>
      <c r="G675" s="87">
        <f t="shared" si="10"/>
        <v>0</v>
      </c>
      <c r="H675" s="509"/>
      <c r="I675" s="509"/>
      <c r="J675" s="89"/>
      <c r="K675" s="522"/>
      <c r="L675" s="204"/>
      <c r="M675" s="661"/>
      <c r="N675" s="661"/>
    </row>
    <row r="676" spans="1:14" ht="15.75" x14ac:dyDescent="0.25">
      <c r="A676" s="87">
        <v>672</v>
      </c>
      <c r="B676" s="87" t="s">
        <v>1141</v>
      </c>
      <c r="C676" s="555">
        <v>3184</v>
      </c>
      <c r="D676" s="563">
        <v>25000</v>
      </c>
      <c r="E676" s="573">
        <v>278</v>
      </c>
      <c r="F676" s="563">
        <v>25000</v>
      </c>
      <c r="G676" s="87">
        <f t="shared" si="10"/>
        <v>0</v>
      </c>
      <c r="H676" s="509"/>
      <c r="I676" s="509"/>
      <c r="J676" s="89"/>
      <c r="K676" s="522"/>
      <c r="L676" s="204"/>
      <c r="M676" s="661"/>
      <c r="N676" s="661"/>
    </row>
    <row r="677" spans="1:14" ht="15.75" x14ac:dyDescent="0.25">
      <c r="A677" s="87">
        <v>673</v>
      </c>
      <c r="B677" s="87" t="s">
        <v>1141</v>
      </c>
      <c r="C677" s="607" t="s">
        <v>1039</v>
      </c>
      <c r="D677" s="563">
        <v>20000</v>
      </c>
      <c r="E677" s="573">
        <v>211</v>
      </c>
      <c r="F677" s="563">
        <v>20000</v>
      </c>
      <c r="G677" s="87">
        <f t="shared" si="10"/>
        <v>0</v>
      </c>
      <c r="H677" s="509"/>
      <c r="I677" s="509"/>
      <c r="J677" s="89"/>
      <c r="K677" s="522"/>
      <c r="L677" s="204"/>
      <c r="M677" s="661"/>
      <c r="N677" s="661"/>
    </row>
    <row r="678" spans="1:14" ht="15.75" x14ac:dyDescent="0.25">
      <c r="A678" s="87">
        <v>674</v>
      </c>
      <c r="B678" s="87" t="s">
        <v>1179</v>
      </c>
      <c r="C678" s="555" t="s">
        <v>66</v>
      </c>
      <c r="D678" s="563">
        <v>210</v>
      </c>
      <c r="E678" s="573" t="s">
        <v>66</v>
      </c>
      <c r="F678" s="563">
        <v>210</v>
      </c>
      <c r="G678" s="87">
        <f t="shared" si="10"/>
        <v>0</v>
      </c>
      <c r="H678" s="509"/>
      <c r="I678" s="509"/>
      <c r="J678" s="89"/>
      <c r="K678" s="522"/>
      <c r="L678" s="204"/>
      <c r="M678" s="661"/>
      <c r="N678" s="661"/>
    </row>
    <row r="679" spans="1:14" ht="15.75" x14ac:dyDescent="0.25">
      <c r="A679" s="87">
        <v>675</v>
      </c>
      <c r="B679" s="87" t="s">
        <v>1179</v>
      </c>
      <c r="C679" s="555">
        <v>6133</v>
      </c>
      <c r="D679" s="563">
        <v>17000</v>
      </c>
      <c r="E679" s="573">
        <v>189</v>
      </c>
      <c r="F679" s="563">
        <v>17000</v>
      </c>
      <c r="G679" s="87">
        <f t="shared" si="10"/>
        <v>0</v>
      </c>
      <c r="H679" s="509"/>
      <c r="I679" s="509"/>
      <c r="J679" s="89"/>
      <c r="K679" s="522"/>
      <c r="L679" s="204"/>
      <c r="M679" s="661"/>
      <c r="N679" s="661"/>
    </row>
    <row r="680" spans="1:14" ht="15.75" x14ac:dyDescent="0.25">
      <c r="A680" s="87">
        <v>676</v>
      </c>
      <c r="B680" s="87" t="s">
        <v>1179</v>
      </c>
      <c r="C680" s="555">
        <v>8326</v>
      </c>
      <c r="D680" s="563">
        <v>16000</v>
      </c>
      <c r="E680" s="573">
        <v>178</v>
      </c>
      <c r="F680" s="563">
        <v>16000</v>
      </c>
      <c r="G680" s="87">
        <f t="shared" si="10"/>
        <v>0</v>
      </c>
      <c r="H680" s="509"/>
      <c r="I680" s="509"/>
      <c r="J680" s="89"/>
      <c r="K680" s="522"/>
      <c r="L680" s="204"/>
      <c r="M680" s="661"/>
      <c r="N680" s="661"/>
    </row>
    <row r="681" spans="1:14" ht="15.75" x14ac:dyDescent="0.25">
      <c r="A681" s="87">
        <v>677</v>
      </c>
      <c r="B681" s="87" t="s">
        <v>1179</v>
      </c>
      <c r="C681" s="555">
        <v>9426</v>
      </c>
      <c r="D681" s="563">
        <v>16000</v>
      </c>
      <c r="E681" s="573">
        <v>178</v>
      </c>
      <c r="F681" s="563">
        <v>16000</v>
      </c>
      <c r="G681" s="87">
        <f t="shared" si="10"/>
        <v>0</v>
      </c>
      <c r="H681" s="509"/>
      <c r="I681" s="509"/>
      <c r="J681" s="89"/>
      <c r="K681" s="522"/>
      <c r="L681" s="204"/>
      <c r="M681" s="661"/>
      <c r="N681" s="661"/>
    </row>
    <row r="682" spans="1:14" ht="15.75" x14ac:dyDescent="0.25">
      <c r="A682" s="87">
        <v>678</v>
      </c>
      <c r="B682" s="87" t="s">
        <v>1179</v>
      </c>
      <c r="C682" s="555">
        <v>9857</v>
      </c>
      <c r="D682" s="563">
        <v>15000</v>
      </c>
      <c r="E682" s="573">
        <v>167</v>
      </c>
      <c r="F682" s="563">
        <v>15000</v>
      </c>
      <c r="G682" s="87">
        <f t="shared" si="10"/>
        <v>0</v>
      </c>
      <c r="H682" s="509"/>
      <c r="I682" s="509"/>
      <c r="J682" s="89"/>
      <c r="K682" s="522"/>
      <c r="L682" s="204"/>
      <c r="M682" s="661"/>
      <c r="N682" s="661"/>
    </row>
    <row r="683" spans="1:14" ht="15.75" x14ac:dyDescent="0.25">
      <c r="A683" s="87">
        <v>679</v>
      </c>
      <c r="B683" s="87" t="s">
        <v>1179</v>
      </c>
      <c r="C683" s="555">
        <v>9525</v>
      </c>
      <c r="D683" s="563">
        <v>25000</v>
      </c>
      <c r="E683" s="573">
        <v>278</v>
      </c>
      <c r="F683" s="563">
        <v>25000</v>
      </c>
      <c r="G683" s="87">
        <f t="shared" si="10"/>
        <v>0</v>
      </c>
      <c r="H683" s="509"/>
      <c r="I683" s="509"/>
      <c r="J683" s="89"/>
      <c r="K683" s="522"/>
      <c r="L683" s="204"/>
      <c r="M683" s="661"/>
      <c r="N683" s="661"/>
    </row>
    <row r="684" spans="1:14" ht="15.75" x14ac:dyDescent="0.25">
      <c r="A684" s="87">
        <v>680</v>
      </c>
      <c r="B684" s="87" t="s">
        <v>1179</v>
      </c>
      <c r="C684" s="555">
        <v>6623</v>
      </c>
      <c r="D684" s="563">
        <v>15000</v>
      </c>
      <c r="E684" s="573">
        <v>167</v>
      </c>
      <c r="F684" s="563">
        <v>15000</v>
      </c>
      <c r="G684" s="87">
        <f t="shared" si="10"/>
        <v>0</v>
      </c>
      <c r="H684" s="509"/>
      <c r="I684" s="509"/>
      <c r="J684" s="89"/>
      <c r="K684" s="522"/>
      <c r="L684" s="204"/>
      <c r="M684" s="661"/>
      <c r="N684" s="661"/>
    </row>
    <row r="685" spans="1:14" ht="15.75" x14ac:dyDescent="0.25">
      <c r="A685" s="87">
        <v>681</v>
      </c>
      <c r="B685" s="87" t="s">
        <v>1179</v>
      </c>
      <c r="C685" s="555">
        <v>3328</v>
      </c>
      <c r="D685" s="563">
        <v>20000</v>
      </c>
      <c r="E685" s="573">
        <v>222</v>
      </c>
      <c r="F685" s="563">
        <v>20000</v>
      </c>
      <c r="G685" s="87">
        <f t="shared" si="10"/>
        <v>0</v>
      </c>
      <c r="H685" s="509"/>
      <c r="I685" s="509"/>
      <c r="J685" s="89"/>
      <c r="K685" s="522"/>
      <c r="L685" s="204"/>
      <c r="M685" s="661"/>
      <c r="N685" s="661"/>
    </row>
    <row r="686" spans="1:14" ht="15.75" x14ac:dyDescent="0.25">
      <c r="A686" s="87">
        <v>682</v>
      </c>
      <c r="B686" s="87" t="s">
        <v>1179</v>
      </c>
      <c r="C686" s="555">
        <v>5152</v>
      </c>
      <c r="D686" s="563">
        <v>5000</v>
      </c>
      <c r="E686" s="573">
        <v>55</v>
      </c>
      <c r="F686" s="563">
        <v>5000</v>
      </c>
      <c r="G686" s="87">
        <f t="shared" si="10"/>
        <v>0</v>
      </c>
      <c r="H686" s="509"/>
      <c r="I686" s="509"/>
      <c r="J686" s="89"/>
      <c r="K686" s="522"/>
      <c r="L686" s="204"/>
      <c r="M686" s="661"/>
      <c r="N686" s="661"/>
    </row>
    <row r="687" spans="1:14" ht="15.75" x14ac:dyDescent="0.25">
      <c r="A687" s="87">
        <v>683</v>
      </c>
      <c r="B687" s="87" t="s">
        <v>1179</v>
      </c>
      <c r="C687" s="555">
        <v>3662</v>
      </c>
      <c r="D687" s="563">
        <v>31000</v>
      </c>
      <c r="E687" s="573">
        <v>345</v>
      </c>
      <c r="F687" s="563">
        <v>31000</v>
      </c>
      <c r="G687" s="87">
        <f t="shared" si="10"/>
        <v>0</v>
      </c>
      <c r="H687" s="509"/>
      <c r="I687" s="509"/>
      <c r="J687" s="89"/>
      <c r="K687" s="522"/>
      <c r="L687" s="204"/>
      <c r="M687" s="661"/>
      <c r="N687" s="661"/>
    </row>
    <row r="688" spans="1:14" ht="15.75" x14ac:dyDescent="0.25">
      <c r="A688" s="87">
        <v>684</v>
      </c>
      <c r="B688" s="87" t="s">
        <v>1179</v>
      </c>
      <c r="C688" s="555">
        <v>3776</v>
      </c>
      <c r="D688" s="563">
        <v>18000</v>
      </c>
      <c r="E688" s="573">
        <v>200</v>
      </c>
      <c r="F688" s="563">
        <v>18000</v>
      </c>
      <c r="G688" s="87">
        <f t="shared" si="10"/>
        <v>0</v>
      </c>
      <c r="H688" s="509"/>
      <c r="I688" s="509"/>
      <c r="J688" s="89"/>
      <c r="K688" s="522"/>
      <c r="L688" s="204"/>
      <c r="M688" s="661"/>
      <c r="N688" s="661"/>
    </row>
    <row r="689" spans="1:14" ht="15.75" x14ac:dyDescent="0.25">
      <c r="A689" s="87">
        <v>685</v>
      </c>
      <c r="B689" s="87" t="s">
        <v>1179</v>
      </c>
      <c r="C689" s="555">
        <v>2963</v>
      </c>
      <c r="D689" s="563">
        <v>15000</v>
      </c>
      <c r="E689" s="573">
        <v>167</v>
      </c>
      <c r="F689" s="563">
        <v>15000</v>
      </c>
      <c r="G689" s="87">
        <f t="shared" si="10"/>
        <v>0</v>
      </c>
      <c r="H689" s="509"/>
      <c r="I689" s="509"/>
      <c r="J689" s="89"/>
      <c r="K689" s="522"/>
      <c r="L689" s="204"/>
      <c r="M689" s="661"/>
      <c r="N689" s="661"/>
    </row>
    <row r="690" spans="1:14" ht="15.75" x14ac:dyDescent="0.25">
      <c r="A690" s="87">
        <v>686</v>
      </c>
      <c r="B690" s="87" t="s">
        <v>1179</v>
      </c>
      <c r="C690" s="607" t="s">
        <v>1180</v>
      </c>
      <c r="D690" s="563">
        <v>15000</v>
      </c>
      <c r="E690" s="573">
        <v>167</v>
      </c>
      <c r="F690" s="563">
        <v>15000</v>
      </c>
      <c r="G690" s="87">
        <f t="shared" si="10"/>
        <v>0</v>
      </c>
      <c r="H690" s="509"/>
      <c r="I690" s="509"/>
      <c r="J690" s="89"/>
      <c r="K690" s="522"/>
      <c r="L690" s="204"/>
      <c r="M690" s="661"/>
      <c r="N690" s="661"/>
    </row>
    <row r="691" spans="1:14" ht="15.75" x14ac:dyDescent="0.25">
      <c r="A691" s="87">
        <v>687</v>
      </c>
      <c r="B691" s="87" t="s">
        <v>1179</v>
      </c>
      <c r="C691" s="607" t="s">
        <v>936</v>
      </c>
      <c r="D691" s="563">
        <v>15000</v>
      </c>
      <c r="E691" s="573">
        <v>167</v>
      </c>
      <c r="F691" s="563">
        <v>15000</v>
      </c>
      <c r="G691" s="87">
        <f t="shared" si="10"/>
        <v>0</v>
      </c>
      <c r="H691" s="509"/>
      <c r="I691" s="509"/>
      <c r="J691" s="89"/>
      <c r="K691" s="522"/>
      <c r="L691" s="204"/>
      <c r="M691" s="661"/>
      <c r="N691" s="661"/>
    </row>
    <row r="692" spans="1:14" ht="15.75" x14ac:dyDescent="0.25">
      <c r="A692" s="87">
        <v>688</v>
      </c>
      <c r="B692" s="87" t="s">
        <v>1179</v>
      </c>
      <c r="C692" s="555">
        <v>2962</v>
      </c>
      <c r="D692" s="563">
        <v>16000</v>
      </c>
      <c r="E692" s="573">
        <v>178</v>
      </c>
      <c r="F692" s="563">
        <v>16000</v>
      </c>
      <c r="G692" s="87">
        <f t="shared" si="10"/>
        <v>0</v>
      </c>
      <c r="H692" s="509"/>
      <c r="I692" s="509"/>
      <c r="J692" s="89"/>
      <c r="K692" s="522"/>
      <c r="L692" s="204"/>
      <c r="M692" s="661"/>
      <c r="N692" s="661"/>
    </row>
    <row r="693" spans="1:14" ht="15.75" x14ac:dyDescent="0.25">
      <c r="A693" s="87">
        <v>689</v>
      </c>
      <c r="B693" s="87" t="s">
        <v>1179</v>
      </c>
      <c r="C693" s="555">
        <v>4748</v>
      </c>
      <c r="D693" s="563">
        <v>15000</v>
      </c>
      <c r="E693" s="573">
        <v>167</v>
      </c>
      <c r="F693" s="563">
        <v>15000</v>
      </c>
      <c r="G693" s="87">
        <f t="shared" si="10"/>
        <v>0</v>
      </c>
      <c r="H693" s="509"/>
      <c r="I693" s="509"/>
      <c r="J693" s="89"/>
      <c r="K693" s="522"/>
      <c r="L693" s="204"/>
      <c r="M693" s="661"/>
      <c r="N693" s="661"/>
    </row>
    <row r="694" spans="1:14" ht="15.75" x14ac:dyDescent="0.25">
      <c r="A694" s="87">
        <v>690</v>
      </c>
      <c r="B694" s="87" t="s">
        <v>1179</v>
      </c>
      <c r="C694" s="555" t="s">
        <v>30</v>
      </c>
      <c r="D694" s="563">
        <v>10000</v>
      </c>
      <c r="E694" s="573">
        <v>111</v>
      </c>
      <c r="F694" s="563">
        <v>10000</v>
      </c>
      <c r="G694" s="87">
        <f t="shared" si="10"/>
        <v>0</v>
      </c>
      <c r="H694" s="509"/>
      <c r="I694" s="509"/>
      <c r="J694" s="89"/>
      <c r="K694" s="522"/>
      <c r="L694" s="204"/>
      <c r="M694" s="661"/>
      <c r="N694" s="661"/>
    </row>
    <row r="695" spans="1:14" ht="15.75" x14ac:dyDescent="0.25">
      <c r="A695" s="87">
        <v>691</v>
      </c>
      <c r="B695" s="87" t="s">
        <v>1179</v>
      </c>
      <c r="C695" s="607" t="s">
        <v>1181</v>
      </c>
      <c r="D695" s="563">
        <v>15000</v>
      </c>
      <c r="E695" s="573">
        <v>167</v>
      </c>
      <c r="F695" s="563">
        <v>15000</v>
      </c>
      <c r="G695" s="87">
        <f t="shared" si="10"/>
        <v>0</v>
      </c>
      <c r="H695" s="509"/>
      <c r="I695" s="509"/>
      <c r="J695" s="89"/>
      <c r="K695" s="522"/>
      <c r="L695" s="204"/>
      <c r="M695" s="661"/>
      <c r="N695" s="661"/>
    </row>
    <row r="696" spans="1:14" ht="15.75" x14ac:dyDescent="0.25">
      <c r="A696" s="87">
        <v>692</v>
      </c>
      <c r="B696" s="87" t="s">
        <v>1179</v>
      </c>
      <c r="C696" s="555">
        <v>9500</v>
      </c>
      <c r="D696" s="563">
        <v>30000</v>
      </c>
      <c r="E696" s="573">
        <v>334</v>
      </c>
      <c r="F696" s="563">
        <v>30000</v>
      </c>
      <c r="G696" s="87">
        <f t="shared" si="10"/>
        <v>0</v>
      </c>
      <c r="H696" s="509"/>
      <c r="I696" s="509"/>
      <c r="J696" s="89"/>
      <c r="K696" s="522"/>
      <c r="L696" s="204"/>
      <c r="M696" s="661"/>
      <c r="N696" s="661"/>
    </row>
    <row r="697" spans="1:14" ht="15.75" x14ac:dyDescent="0.25">
      <c r="A697" s="87">
        <v>693</v>
      </c>
      <c r="B697" s="87" t="s">
        <v>1179</v>
      </c>
      <c r="C697" s="555">
        <v>2371</v>
      </c>
      <c r="D697" s="563">
        <v>20000</v>
      </c>
      <c r="E697" s="573">
        <v>222</v>
      </c>
      <c r="F697" s="563">
        <v>20000</v>
      </c>
      <c r="G697" s="87">
        <f t="shared" si="10"/>
        <v>0</v>
      </c>
      <c r="H697" s="509"/>
      <c r="I697" s="509"/>
      <c r="J697" s="89"/>
      <c r="K697" s="522"/>
      <c r="L697" s="204"/>
      <c r="M697" s="661"/>
      <c r="N697" s="661"/>
    </row>
    <row r="698" spans="1:14" ht="15.75" x14ac:dyDescent="0.25">
      <c r="A698" s="87">
        <v>694</v>
      </c>
      <c r="B698" s="87" t="s">
        <v>1179</v>
      </c>
      <c r="C698" s="555">
        <v>4919</v>
      </c>
      <c r="D698" s="563">
        <v>20000</v>
      </c>
      <c r="E698" s="573">
        <v>222</v>
      </c>
      <c r="F698" s="563">
        <v>20000</v>
      </c>
      <c r="G698" s="87">
        <f t="shared" si="10"/>
        <v>0</v>
      </c>
      <c r="H698" s="509"/>
      <c r="I698" s="509"/>
      <c r="J698" s="89"/>
      <c r="K698" s="522"/>
      <c r="L698" s="204"/>
      <c r="M698" s="661"/>
      <c r="N698" s="661"/>
    </row>
    <row r="699" spans="1:14" ht="15.75" x14ac:dyDescent="0.25">
      <c r="A699" s="87">
        <v>695</v>
      </c>
      <c r="B699" s="87" t="s">
        <v>1179</v>
      </c>
      <c r="C699" s="555">
        <v>1006</v>
      </c>
      <c r="D699" s="563">
        <v>30000</v>
      </c>
      <c r="E699" s="573">
        <v>334</v>
      </c>
      <c r="F699" s="563">
        <v>30000</v>
      </c>
      <c r="G699" s="87">
        <f t="shared" si="10"/>
        <v>0</v>
      </c>
      <c r="H699" s="509"/>
      <c r="I699" s="509"/>
      <c r="J699" s="89"/>
      <c r="K699" s="522"/>
      <c r="L699" s="204"/>
      <c r="M699" s="661"/>
      <c r="N699" s="661"/>
    </row>
    <row r="700" spans="1:14" ht="15.75" x14ac:dyDescent="0.25">
      <c r="A700" s="87">
        <v>696</v>
      </c>
      <c r="B700" s="87" t="s">
        <v>1179</v>
      </c>
      <c r="C700" s="555">
        <v>7632</v>
      </c>
      <c r="D700" s="563">
        <v>32000</v>
      </c>
      <c r="E700" s="573">
        <v>350</v>
      </c>
      <c r="F700" s="563">
        <v>32000</v>
      </c>
      <c r="G700" s="87">
        <f t="shared" si="10"/>
        <v>0</v>
      </c>
      <c r="H700" s="509"/>
      <c r="I700" s="509"/>
      <c r="J700" s="89"/>
      <c r="K700" s="522"/>
      <c r="L700" s="204"/>
      <c r="M700" s="661"/>
      <c r="N700" s="661"/>
    </row>
    <row r="701" spans="1:14" ht="15.75" x14ac:dyDescent="0.25">
      <c r="A701" s="87">
        <v>697</v>
      </c>
      <c r="B701" s="87" t="s">
        <v>1179</v>
      </c>
      <c r="C701" s="555">
        <v>8357</v>
      </c>
      <c r="D701" s="563">
        <v>32000</v>
      </c>
      <c r="E701" s="573">
        <v>356</v>
      </c>
      <c r="F701" s="563">
        <v>32000</v>
      </c>
      <c r="G701" s="87">
        <f t="shared" si="10"/>
        <v>0</v>
      </c>
      <c r="H701" s="509"/>
      <c r="I701" s="509"/>
      <c r="J701" s="89"/>
      <c r="K701" s="522"/>
      <c r="L701" s="204"/>
      <c r="M701" s="661"/>
      <c r="N701" s="661"/>
    </row>
    <row r="702" spans="1:14" ht="15.75" x14ac:dyDescent="0.25">
      <c r="A702" s="87">
        <v>698</v>
      </c>
      <c r="B702" s="87" t="s">
        <v>1179</v>
      </c>
      <c r="C702" s="555">
        <v>4262</v>
      </c>
      <c r="D702" s="563">
        <v>30000</v>
      </c>
      <c r="E702" s="573">
        <v>334</v>
      </c>
      <c r="F702" s="563">
        <v>30000</v>
      </c>
      <c r="G702" s="87">
        <f t="shared" si="10"/>
        <v>0</v>
      </c>
      <c r="H702" s="509"/>
      <c r="I702" s="509"/>
      <c r="J702" s="89"/>
      <c r="K702" s="522"/>
      <c r="L702" s="204"/>
      <c r="M702" s="661"/>
      <c r="N702" s="661"/>
    </row>
    <row r="703" spans="1:14" ht="15.75" x14ac:dyDescent="0.25">
      <c r="A703" s="87">
        <v>699</v>
      </c>
      <c r="B703" s="87" t="s">
        <v>1179</v>
      </c>
      <c r="C703" s="555">
        <v>2028</v>
      </c>
      <c r="D703" s="563">
        <v>30000</v>
      </c>
      <c r="E703" s="573">
        <v>334</v>
      </c>
      <c r="F703" s="563">
        <v>30000</v>
      </c>
      <c r="G703" s="87">
        <f t="shared" si="10"/>
        <v>0</v>
      </c>
      <c r="H703" s="509"/>
      <c r="I703" s="509"/>
      <c r="J703" s="89"/>
      <c r="K703" s="522"/>
      <c r="L703" s="204"/>
      <c r="M703" s="661"/>
      <c r="N703" s="661"/>
    </row>
    <row r="704" spans="1:14" ht="15.75" x14ac:dyDescent="0.25">
      <c r="A704" s="87">
        <v>700</v>
      </c>
      <c r="B704" s="87" t="s">
        <v>1179</v>
      </c>
      <c r="C704" s="555">
        <v>9456</v>
      </c>
      <c r="D704" s="563">
        <v>20000</v>
      </c>
      <c r="E704" s="573">
        <v>222</v>
      </c>
      <c r="F704" s="563">
        <v>20000</v>
      </c>
      <c r="G704" s="87">
        <f t="shared" si="10"/>
        <v>0</v>
      </c>
      <c r="H704" s="509"/>
      <c r="I704" s="509"/>
      <c r="J704" s="89"/>
      <c r="K704" s="522"/>
      <c r="L704" s="204"/>
      <c r="M704" s="661"/>
      <c r="N704" s="661"/>
    </row>
    <row r="705" spans="1:14" ht="15.75" x14ac:dyDescent="0.25">
      <c r="A705" s="87">
        <v>701</v>
      </c>
      <c r="B705" s="87" t="s">
        <v>1179</v>
      </c>
      <c r="C705" s="555">
        <v>5241</v>
      </c>
      <c r="D705" s="563">
        <v>22000</v>
      </c>
      <c r="E705" s="573">
        <v>245</v>
      </c>
      <c r="F705" s="563">
        <v>22000</v>
      </c>
      <c r="G705" s="87">
        <f t="shared" si="10"/>
        <v>0</v>
      </c>
      <c r="H705" s="509"/>
      <c r="I705" s="509"/>
      <c r="J705" s="89"/>
      <c r="K705" s="522"/>
      <c r="L705" s="204"/>
      <c r="M705" s="661"/>
      <c r="N705" s="661"/>
    </row>
    <row r="706" spans="1:14" ht="15.75" x14ac:dyDescent="0.25">
      <c r="A706" s="87">
        <v>702</v>
      </c>
      <c r="B706" s="87" t="s">
        <v>1142</v>
      </c>
      <c r="C706" s="555">
        <v>4591</v>
      </c>
      <c r="D706" s="563">
        <v>27000</v>
      </c>
      <c r="E706" s="573">
        <v>298</v>
      </c>
      <c r="F706" s="563">
        <v>27000</v>
      </c>
      <c r="G706" s="87">
        <f t="shared" si="10"/>
        <v>0</v>
      </c>
      <c r="H706" s="509"/>
      <c r="I706" s="509"/>
      <c r="J706" s="89"/>
      <c r="K706" s="522"/>
      <c r="L706" s="204"/>
      <c r="M706" s="661"/>
      <c r="N706" s="661"/>
    </row>
    <row r="707" spans="1:14" ht="15.75" x14ac:dyDescent="0.25">
      <c r="A707" s="87">
        <v>703</v>
      </c>
      <c r="B707" s="87" t="s">
        <v>1142</v>
      </c>
      <c r="C707" s="555">
        <v>2961</v>
      </c>
      <c r="D707" s="563">
        <v>16000</v>
      </c>
      <c r="E707" s="573">
        <v>170</v>
      </c>
      <c r="F707" s="563">
        <v>16000</v>
      </c>
      <c r="G707" s="87">
        <f t="shared" si="10"/>
        <v>0</v>
      </c>
      <c r="H707" s="509"/>
      <c r="I707" s="509"/>
      <c r="J707" s="89"/>
      <c r="K707" s="522"/>
      <c r="L707" s="204"/>
      <c r="M707" s="661"/>
      <c r="N707" s="661"/>
    </row>
    <row r="708" spans="1:14" ht="15.75" x14ac:dyDescent="0.25">
      <c r="A708" s="87">
        <v>704</v>
      </c>
      <c r="B708" s="87" t="s">
        <v>1142</v>
      </c>
      <c r="C708" s="555">
        <v>5957</v>
      </c>
      <c r="D708" s="563">
        <v>32000</v>
      </c>
      <c r="E708" s="573">
        <v>340</v>
      </c>
      <c r="F708" s="563">
        <v>32000</v>
      </c>
      <c r="G708" s="87">
        <f t="shared" si="10"/>
        <v>0</v>
      </c>
      <c r="H708" s="509"/>
      <c r="I708" s="509"/>
      <c r="J708" s="89"/>
      <c r="K708" s="522"/>
      <c r="L708" s="204"/>
      <c r="M708" s="661"/>
      <c r="N708" s="661"/>
    </row>
    <row r="709" spans="1:14" ht="15.75" x14ac:dyDescent="0.25">
      <c r="A709" s="87">
        <v>705</v>
      </c>
      <c r="B709" s="87" t="s">
        <v>1142</v>
      </c>
      <c r="C709" s="555">
        <v>4332</v>
      </c>
      <c r="D709" s="563">
        <v>25000</v>
      </c>
      <c r="E709" s="573">
        <v>266</v>
      </c>
      <c r="F709" s="563">
        <v>25000</v>
      </c>
      <c r="G709" s="87">
        <f t="shared" ref="G709:G772" si="11">D709-F709</f>
        <v>0</v>
      </c>
      <c r="H709" s="509"/>
      <c r="I709" s="509"/>
      <c r="J709" s="89"/>
      <c r="K709" s="522"/>
      <c r="L709" s="204"/>
      <c r="M709" s="661"/>
      <c r="N709" s="661"/>
    </row>
    <row r="710" spans="1:14" ht="15.75" x14ac:dyDescent="0.25">
      <c r="A710" s="87">
        <v>706</v>
      </c>
      <c r="B710" s="87" t="s">
        <v>1142</v>
      </c>
      <c r="C710" s="555">
        <v>4602</v>
      </c>
      <c r="D710" s="563">
        <v>17000</v>
      </c>
      <c r="E710" s="573">
        <v>187</v>
      </c>
      <c r="F710" s="563">
        <v>17000</v>
      </c>
      <c r="G710" s="87">
        <f t="shared" si="11"/>
        <v>0</v>
      </c>
      <c r="H710" s="509"/>
      <c r="I710" s="509"/>
      <c r="J710" s="89"/>
      <c r="K710" s="522"/>
      <c r="L710" s="204"/>
      <c r="M710" s="661"/>
      <c r="N710" s="661"/>
    </row>
    <row r="711" spans="1:14" ht="15.75" x14ac:dyDescent="0.25">
      <c r="A711" s="87">
        <v>707</v>
      </c>
      <c r="B711" s="87" t="s">
        <v>1142</v>
      </c>
      <c r="C711" s="555" t="s">
        <v>30</v>
      </c>
      <c r="D711" s="563">
        <v>4500</v>
      </c>
      <c r="E711" s="573">
        <v>50</v>
      </c>
      <c r="F711" s="563">
        <v>4500</v>
      </c>
      <c r="G711" s="87">
        <f t="shared" si="11"/>
        <v>0</v>
      </c>
      <c r="H711" s="509"/>
      <c r="I711" s="509"/>
      <c r="J711" s="89"/>
      <c r="K711" s="522"/>
      <c r="L711" s="204"/>
      <c r="M711" s="661"/>
      <c r="N711" s="661"/>
    </row>
    <row r="712" spans="1:14" ht="15.75" x14ac:dyDescent="0.25">
      <c r="A712" s="87">
        <v>708</v>
      </c>
      <c r="B712" s="87" t="s">
        <v>1142</v>
      </c>
      <c r="C712" s="555">
        <v>8347</v>
      </c>
      <c r="D712" s="563">
        <v>25000</v>
      </c>
      <c r="E712" s="573">
        <v>266</v>
      </c>
      <c r="F712" s="563">
        <v>25000</v>
      </c>
      <c r="G712" s="87">
        <f t="shared" si="11"/>
        <v>0</v>
      </c>
      <c r="H712" s="509"/>
      <c r="I712" s="509"/>
      <c r="J712" s="89"/>
      <c r="K712" s="522"/>
      <c r="L712" s="204"/>
      <c r="M712" s="661"/>
      <c r="N712" s="661"/>
    </row>
    <row r="713" spans="1:14" ht="15.75" x14ac:dyDescent="0.25">
      <c r="A713" s="87">
        <v>709</v>
      </c>
      <c r="B713" s="87" t="s">
        <v>1142</v>
      </c>
      <c r="C713" s="555">
        <v>6579</v>
      </c>
      <c r="D713" s="563">
        <v>25000</v>
      </c>
      <c r="E713" s="573">
        <v>266</v>
      </c>
      <c r="F713" s="563">
        <v>25000</v>
      </c>
      <c r="G713" s="87">
        <f t="shared" si="11"/>
        <v>0</v>
      </c>
      <c r="H713" s="509"/>
      <c r="I713" s="509"/>
      <c r="J713" s="89"/>
      <c r="K713" s="522"/>
      <c r="L713" s="204"/>
      <c r="M713" s="661"/>
      <c r="N713" s="661"/>
    </row>
    <row r="714" spans="1:14" ht="15.75" x14ac:dyDescent="0.25">
      <c r="A714" s="87">
        <v>710</v>
      </c>
      <c r="B714" s="87" t="s">
        <v>1142</v>
      </c>
      <c r="C714" s="555">
        <v>8010</v>
      </c>
      <c r="D714" s="563">
        <v>20000</v>
      </c>
      <c r="E714" s="573">
        <v>213</v>
      </c>
      <c r="F714" s="563">
        <v>20000</v>
      </c>
      <c r="G714" s="87">
        <f t="shared" si="11"/>
        <v>0</v>
      </c>
      <c r="H714" s="509"/>
      <c r="I714" s="509"/>
      <c r="J714" s="89"/>
      <c r="K714" s="522"/>
      <c r="L714" s="204"/>
      <c r="M714" s="661"/>
      <c r="N714" s="661"/>
    </row>
    <row r="715" spans="1:14" ht="15.75" x14ac:dyDescent="0.25">
      <c r="A715" s="87">
        <v>711</v>
      </c>
      <c r="B715" s="87" t="s">
        <v>1142</v>
      </c>
      <c r="C715" s="555">
        <v>5386</v>
      </c>
      <c r="D715" s="563">
        <v>25000</v>
      </c>
      <c r="E715" s="573">
        <v>149</v>
      </c>
      <c r="F715" s="563">
        <v>25000</v>
      </c>
      <c r="G715" s="87">
        <f t="shared" si="11"/>
        <v>0</v>
      </c>
      <c r="H715" s="509"/>
      <c r="I715" s="509"/>
      <c r="J715" s="89"/>
      <c r="K715" s="522"/>
      <c r="L715" s="204"/>
      <c r="M715" s="661"/>
      <c r="N715" s="661"/>
    </row>
    <row r="716" spans="1:14" ht="15.75" x14ac:dyDescent="0.25">
      <c r="A716" s="87">
        <v>712</v>
      </c>
      <c r="B716" s="87" t="s">
        <v>1142</v>
      </c>
      <c r="C716" s="555">
        <v>6287</v>
      </c>
      <c r="D716" s="563">
        <v>26000</v>
      </c>
      <c r="E716" s="573">
        <v>272</v>
      </c>
      <c r="F716" s="563">
        <v>26000</v>
      </c>
      <c r="G716" s="87">
        <f t="shared" si="11"/>
        <v>0</v>
      </c>
      <c r="H716" s="509"/>
      <c r="I716" s="509"/>
      <c r="J716" s="89"/>
      <c r="K716" s="522"/>
      <c r="L716" s="204"/>
      <c r="M716" s="661"/>
      <c r="N716" s="661"/>
    </row>
    <row r="717" spans="1:14" ht="15.75" x14ac:dyDescent="0.25">
      <c r="A717" s="87">
        <v>713</v>
      </c>
      <c r="B717" s="87" t="s">
        <v>1142</v>
      </c>
      <c r="C717" s="555">
        <v>2028</v>
      </c>
      <c r="D717" s="563">
        <v>27000</v>
      </c>
      <c r="E717" s="573">
        <v>300</v>
      </c>
      <c r="F717" s="563">
        <v>27000</v>
      </c>
      <c r="G717" s="87">
        <f t="shared" si="11"/>
        <v>0</v>
      </c>
      <c r="H717" s="509"/>
      <c r="I717" s="509"/>
      <c r="J717" s="89"/>
      <c r="K717" s="522"/>
      <c r="L717" s="204"/>
      <c r="M717" s="661"/>
      <c r="N717" s="661"/>
    </row>
    <row r="718" spans="1:14" ht="15.75" x14ac:dyDescent="0.25">
      <c r="A718" s="87">
        <v>714</v>
      </c>
      <c r="B718" s="87" t="s">
        <v>1142</v>
      </c>
      <c r="C718" s="555" t="s">
        <v>30</v>
      </c>
      <c r="D718" s="563">
        <v>3500</v>
      </c>
      <c r="E718" s="573">
        <v>38</v>
      </c>
      <c r="F718" s="563">
        <v>3500</v>
      </c>
      <c r="G718" s="87">
        <f t="shared" si="11"/>
        <v>0</v>
      </c>
      <c r="H718" s="509"/>
      <c r="I718" s="509"/>
      <c r="J718" s="89"/>
      <c r="K718" s="522"/>
      <c r="L718" s="204"/>
      <c r="M718" s="661"/>
      <c r="N718" s="661"/>
    </row>
    <row r="719" spans="1:14" ht="15.75" x14ac:dyDescent="0.25">
      <c r="A719" s="87">
        <v>715</v>
      </c>
      <c r="B719" s="87" t="s">
        <v>1142</v>
      </c>
      <c r="C719" s="555">
        <v>2225</v>
      </c>
      <c r="D719" s="563">
        <v>20000</v>
      </c>
      <c r="E719" s="573">
        <v>215</v>
      </c>
      <c r="F719" s="563">
        <v>20000</v>
      </c>
      <c r="G719" s="87">
        <f t="shared" si="11"/>
        <v>0</v>
      </c>
      <c r="H719" s="509"/>
      <c r="I719" s="509"/>
      <c r="J719" s="89"/>
      <c r="K719" s="522"/>
      <c r="L719" s="204"/>
      <c r="M719" s="661"/>
      <c r="N719" s="661"/>
    </row>
    <row r="720" spans="1:14" ht="15.75" x14ac:dyDescent="0.25">
      <c r="A720" s="87">
        <v>716</v>
      </c>
      <c r="B720" s="87" t="s">
        <v>1142</v>
      </c>
      <c r="C720" s="607" t="s">
        <v>1182</v>
      </c>
      <c r="D720" s="563">
        <v>22000</v>
      </c>
      <c r="E720" s="573">
        <v>245</v>
      </c>
      <c r="F720" s="563">
        <v>22000</v>
      </c>
      <c r="G720" s="87">
        <f t="shared" si="11"/>
        <v>0</v>
      </c>
      <c r="H720" s="509"/>
      <c r="I720" s="509"/>
      <c r="J720" s="89"/>
      <c r="K720" s="522"/>
      <c r="L720" s="204"/>
      <c r="M720" s="661"/>
      <c r="N720" s="661"/>
    </row>
    <row r="721" spans="1:14" ht="15.75" x14ac:dyDescent="0.25">
      <c r="A721" s="87">
        <v>717</v>
      </c>
      <c r="B721" s="87" t="s">
        <v>1142</v>
      </c>
      <c r="C721" s="555">
        <v>7599</v>
      </c>
      <c r="D721" s="563">
        <v>24000</v>
      </c>
      <c r="E721" s="573">
        <v>267</v>
      </c>
      <c r="F721" s="563">
        <v>24000</v>
      </c>
      <c r="G721" s="87">
        <f t="shared" si="11"/>
        <v>0</v>
      </c>
      <c r="H721" s="509"/>
      <c r="I721" s="509"/>
      <c r="J721" s="89"/>
      <c r="K721" s="522"/>
      <c r="L721" s="204"/>
      <c r="M721" s="661"/>
      <c r="N721" s="661"/>
    </row>
    <row r="722" spans="1:14" ht="15.75" x14ac:dyDescent="0.25">
      <c r="A722" s="87">
        <v>718</v>
      </c>
      <c r="B722" s="87" t="s">
        <v>1142</v>
      </c>
      <c r="C722" s="607" t="s">
        <v>876</v>
      </c>
      <c r="D722" s="563">
        <v>13000</v>
      </c>
      <c r="E722" s="573">
        <v>144</v>
      </c>
      <c r="F722" s="563">
        <v>13000</v>
      </c>
      <c r="G722" s="87">
        <f t="shared" si="11"/>
        <v>0</v>
      </c>
      <c r="H722" s="509"/>
      <c r="I722" s="509"/>
      <c r="J722" s="89"/>
      <c r="K722" s="522"/>
      <c r="L722" s="204"/>
      <c r="M722" s="661"/>
      <c r="N722" s="661"/>
    </row>
    <row r="723" spans="1:14" ht="15.75" x14ac:dyDescent="0.25">
      <c r="A723" s="87">
        <v>719</v>
      </c>
      <c r="B723" s="87" t="s">
        <v>1142</v>
      </c>
      <c r="C723" s="555">
        <v>9109</v>
      </c>
      <c r="D723" s="563">
        <v>12000</v>
      </c>
      <c r="E723" s="573">
        <v>133</v>
      </c>
      <c r="F723" s="563">
        <v>12000</v>
      </c>
      <c r="G723" s="87">
        <f t="shared" si="11"/>
        <v>0</v>
      </c>
      <c r="H723" s="509"/>
      <c r="I723" s="509"/>
      <c r="J723" s="89"/>
      <c r="K723" s="522"/>
      <c r="L723" s="204"/>
      <c r="M723" s="661"/>
      <c r="N723" s="661"/>
    </row>
    <row r="724" spans="1:14" ht="15.75" x14ac:dyDescent="0.25">
      <c r="A724" s="87">
        <v>720</v>
      </c>
      <c r="B724" s="87" t="s">
        <v>1142</v>
      </c>
      <c r="C724" s="607" t="s">
        <v>1183</v>
      </c>
      <c r="D724" s="563">
        <v>25000</v>
      </c>
      <c r="E724" s="573">
        <v>278</v>
      </c>
      <c r="F724" s="563">
        <v>25000</v>
      </c>
      <c r="G724" s="87">
        <f t="shared" si="11"/>
        <v>0</v>
      </c>
      <c r="H724" s="509"/>
      <c r="I724" s="509"/>
      <c r="J724" s="89"/>
      <c r="K724" s="522"/>
      <c r="L724" s="204"/>
      <c r="M724" s="661"/>
      <c r="N724" s="661"/>
    </row>
    <row r="725" spans="1:14" ht="15.75" x14ac:dyDescent="0.25">
      <c r="A725" s="87">
        <v>721</v>
      </c>
      <c r="B725" s="87" t="s">
        <v>1142</v>
      </c>
      <c r="C725" s="555">
        <v>5929</v>
      </c>
      <c r="D725" s="563">
        <v>25000</v>
      </c>
      <c r="E725" s="573">
        <v>278</v>
      </c>
      <c r="F725" s="563">
        <v>25000</v>
      </c>
      <c r="G725" s="87">
        <f t="shared" si="11"/>
        <v>0</v>
      </c>
      <c r="H725" s="509"/>
      <c r="I725" s="509"/>
      <c r="J725" s="89"/>
      <c r="K725" s="522"/>
      <c r="L725" s="204"/>
      <c r="M725" s="661"/>
      <c r="N725" s="661"/>
    </row>
    <row r="726" spans="1:14" ht="15.75" x14ac:dyDescent="0.25">
      <c r="A726" s="87">
        <v>722</v>
      </c>
      <c r="B726" s="87" t="s">
        <v>1142</v>
      </c>
      <c r="C726" s="555">
        <v>7806</v>
      </c>
      <c r="D726" s="563">
        <v>30000</v>
      </c>
      <c r="E726" s="573">
        <v>334</v>
      </c>
      <c r="F726" s="563">
        <v>30000</v>
      </c>
      <c r="G726" s="87">
        <f t="shared" si="11"/>
        <v>0</v>
      </c>
      <c r="H726" s="509"/>
      <c r="I726" s="509"/>
      <c r="J726" s="89"/>
      <c r="K726" s="522"/>
      <c r="L726" s="204"/>
      <c r="M726" s="661"/>
      <c r="N726" s="661"/>
    </row>
    <row r="727" spans="1:14" ht="15.75" x14ac:dyDescent="0.25">
      <c r="A727" s="87">
        <v>723</v>
      </c>
      <c r="B727" s="87" t="s">
        <v>1142</v>
      </c>
      <c r="C727" s="607" t="s">
        <v>890</v>
      </c>
      <c r="D727" s="563">
        <v>14000</v>
      </c>
      <c r="E727" s="573">
        <v>155</v>
      </c>
      <c r="F727" s="563">
        <v>14000</v>
      </c>
      <c r="G727" s="87">
        <f t="shared" si="11"/>
        <v>0</v>
      </c>
      <c r="H727" s="509"/>
      <c r="I727" s="509"/>
      <c r="J727" s="89"/>
      <c r="K727" s="522"/>
      <c r="L727" s="204"/>
      <c r="M727" s="661"/>
      <c r="N727" s="661"/>
    </row>
    <row r="728" spans="1:14" ht="15.75" x14ac:dyDescent="0.25">
      <c r="A728" s="87">
        <v>724</v>
      </c>
      <c r="B728" s="87" t="s">
        <v>1142</v>
      </c>
      <c r="C728" s="555">
        <v>5184</v>
      </c>
      <c r="D728" s="563">
        <v>30000</v>
      </c>
      <c r="E728" s="573">
        <v>324</v>
      </c>
      <c r="F728" s="563">
        <v>30000</v>
      </c>
      <c r="G728" s="87">
        <f t="shared" si="11"/>
        <v>0</v>
      </c>
      <c r="H728" s="509"/>
      <c r="I728" s="509"/>
      <c r="J728" s="89"/>
      <c r="K728" s="522"/>
      <c r="L728" s="204"/>
      <c r="M728" s="661"/>
      <c r="N728" s="661"/>
    </row>
    <row r="729" spans="1:14" ht="15.75" x14ac:dyDescent="0.25">
      <c r="A729" s="87">
        <v>725</v>
      </c>
      <c r="B729" s="87" t="s">
        <v>1142</v>
      </c>
      <c r="C729" s="555">
        <v>9457</v>
      </c>
      <c r="D729" s="563">
        <v>28000</v>
      </c>
      <c r="E729" s="573">
        <v>300</v>
      </c>
      <c r="F729" s="563">
        <v>28000</v>
      </c>
      <c r="G729" s="87">
        <f t="shared" si="11"/>
        <v>0</v>
      </c>
      <c r="H729" s="509"/>
      <c r="I729" s="509"/>
      <c r="J729" s="89"/>
      <c r="K729" s="522"/>
      <c r="L729" s="204"/>
      <c r="M729" s="661"/>
      <c r="N729" s="661"/>
    </row>
    <row r="730" spans="1:14" ht="15.75" x14ac:dyDescent="0.25">
      <c r="A730" s="87">
        <v>726</v>
      </c>
      <c r="B730" s="87" t="s">
        <v>1142</v>
      </c>
      <c r="C730" s="555">
        <v>2353</v>
      </c>
      <c r="D730" s="563">
        <v>20000</v>
      </c>
      <c r="E730" s="573">
        <v>196</v>
      </c>
      <c r="F730" s="563">
        <v>20000</v>
      </c>
      <c r="G730" s="87">
        <f t="shared" si="11"/>
        <v>0</v>
      </c>
      <c r="H730" s="509"/>
      <c r="I730" s="509"/>
      <c r="J730" s="89"/>
      <c r="K730" s="522"/>
      <c r="L730" s="204"/>
      <c r="M730" s="661"/>
      <c r="N730" s="661"/>
    </row>
    <row r="731" spans="1:14" ht="15.75" x14ac:dyDescent="0.25">
      <c r="A731" s="87">
        <v>727</v>
      </c>
      <c r="B731" s="87" t="s">
        <v>1142</v>
      </c>
      <c r="C731" s="555">
        <v>4192</v>
      </c>
      <c r="D731" s="563">
        <v>30000</v>
      </c>
      <c r="E731" s="573">
        <v>334</v>
      </c>
      <c r="F731" s="563">
        <v>30000</v>
      </c>
      <c r="G731" s="87">
        <f t="shared" si="11"/>
        <v>0</v>
      </c>
      <c r="H731" s="509"/>
      <c r="I731" s="509"/>
      <c r="J731" s="89"/>
      <c r="K731" s="522"/>
      <c r="L731" s="204"/>
      <c r="M731" s="661"/>
      <c r="N731" s="661"/>
    </row>
    <row r="732" spans="1:14" ht="15.75" x14ac:dyDescent="0.25">
      <c r="A732" s="87">
        <v>728</v>
      </c>
      <c r="B732" s="87" t="s">
        <v>1142</v>
      </c>
      <c r="C732" s="555">
        <v>2892</v>
      </c>
      <c r="D732" s="563">
        <v>26000</v>
      </c>
      <c r="E732" s="573">
        <v>289</v>
      </c>
      <c r="F732" s="563">
        <v>26000</v>
      </c>
      <c r="G732" s="87">
        <f t="shared" si="11"/>
        <v>0</v>
      </c>
      <c r="H732" s="509"/>
      <c r="I732" s="509"/>
      <c r="J732" s="89"/>
      <c r="K732" s="522"/>
      <c r="L732" s="204"/>
      <c r="M732" s="661"/>
      <c r="N732" s="661"/>
    </row>
    <row r="733" spans="1:14" ht="15.75" x14ac:dyDescent="0.25">
      <c r="A733" s="87">
        <v>729</v>
      </c>
      <c r="B733" s="87" t="s">
        <v>1142</v>
      </c>
      <c r="C733" s="555">
        <v>8291</v>
      </c>
      <c r="D733" s="563">
        <v>22000</v>
      </c>
      <c r="E733" s="573">
        <v>236</v>
      </c>
      <c r="F733" s="563">
        <v>22000</v>
      </c>
      <c r="G733" s="87">
        <f t="shared" si="11"/>
        <v>0</v>
      </c>
      <c r="H733" s="509"/>
      <c r="I733" s="509"/>
      <c r="J733" s="89"/>
      <c r="K733" s="522"/>
      <c r="L733" s="204"/>
      <c r="M733" s="661"/>
      <c r="N733" s="661"/>
    </row>
    <row r="734" spans="1:14" ht="15.75" x14ac:dyDescent="0.25">
      <c r="A734" s="87">
        <v>730</v>
      </c>
      <c r="B734" s="87" t="s">
        <v>1142</v>
      </c>
      <c r="C734" s="555">
        <v>2132</v>
      </c>
      <c r="D734" s="563">
        <v>18100</v>
      </c>
      <c r="E734" s="573">
        <v>201</v>
      </c>
      <c r="F734" s="563">
        <v>18100</v>
      </c>
      <c r="G734" s="87">
        <f t="shared" si="11"/>
        <v>0</v>
      </c>
      <c r="H734" s="509"/>
      <c r="I734" s="509"/>
      <c r="J734" s="89"/>
      <c r="K734" s="522"/>
      <c r="L734" s="204"/>
      <c r="M734" s="661"/>
      <c r="N734" s="661"/>
    </row>
    <row r="735" spans="1:14" ht="15.75" x14ac:dyDescent="0.25">
      <c r="A735" s="87">
        <v>731</v>
      </c>
      <c r="B735" s="87" t="s">
        <v>1142</v>
      </c>
      <c r="C735" s="607" t="s">
        <v>1069</v>
      </c>
      <c r="D735" s="563">
        <v>30000</v>
      </c>
      <c r="E735" s="573">
        <v>334</v>
      </c>
      <c r="F735" s="563">
        <v>30000</v>
      </c>
      <c r="G735" s="87">
        <f t="shared" si="11"/>
        <v>0</v>
      </c>
      <c r="H735" s="509"/>
      <c r="I735" s="509"/>
      <c r="J735" s="89"/>
      <c r="K735" s="522"/>
      <c r="L735" s="204"/>
      <c r="M735" s="661"/>
      <c r="N735" s="661"/>
    </row>
    <row r="736" spans="1:14" ht="15.75" x14ac:dyDescent="0.25">
      <c r="A736" s="87">
        <v>732</v>
      </c>
      <c r="B736" s="87" t="s">
        <v>1142</v>
      </c>
      <c r="C736" s="555">
        <v>2652</v>
      </c>
      <c r="D736" s="563">
        <v>30000</v>
      </c>
      <c r="E736" s="573">
        <v>321</v>
      </c>
      <c r="F736" s="563">
        <v>30000</v>
      </c>
      <c r="G736" s="87">
        <f t="shared" si="11"/>
        <v>0</v>
      </c>
      <c r="H736" s="509"/>
      <c r="I736" s="509"/>
      <c r="J736" s="89"/>
      <c r="K736" s="522"/>
      <c r="L736" s="204"/>
      <c r="M736" s="661"/>
      <c r="N736" s="661"/>
    </row>
    <row r="737" spans="1:14" ht="15.75" x14ac:dyDescent="0.25">
      <c r="A737" s="87">
        <v>733</v>
      </c>
      <c r="B737" s="87" t="s">
        <v>1142</v>
      </c>
      <c r="C737" s="607" t="s">
        <v>1184</v>
      </c>
      <c r="D737" s="563">
        <v>30000</v>
      </c>
      <c r="E737" s="573">
        <v>315</v>
      </c>
      <c r="F737" s="563">
        <v>30000</v>
      </c>
      <c r="G737" s="87">
        <f t="shared" si="11"/>
        <v>0</v>
      </c>
      <c r="H737" s="509"/>
      <c r="I737" s="509"/>
      <c r="J737" s="89"/>
      <c r="K737" s="522"/>
      <c r="L737" s="204"/>
      <c r="M737" s="661"/>
      <c r="N737" s="661"/>
    </row>
    <row r="738" spans="1:14" ht="15.75" x14ac:dyDescent="0.25">
      <c r="A738" s="87">
        <v>734</v>
      </c>
      <c r="B738" s="87" t="s">
        <v>1142</v>
      </c>
      <c r="C738" s="555">
        <v>6071</v>
      </c>
      <c r="D738" s="563">
        <v>20000</v>
      </c>
      <c r="E738" s="573">
        <v>222</v>
      </c>
      <c r="F738" s="563">
        <v>20000</v>
      </c>
      <c r="G738" s="87">
        <f t="shared" si="11"/>
        <v>0</v>
      </c>
      <c r="H738" s="509"/>
      <c r="I738" s="509"/>
      <c r="J738" s="89"/>
      <c r="K738" s="522"/>
      <c r="L738" s="204"/>
      <c r="M738" s="661"/>
      <c r="N738" s="661"/>
    </row>
    <row r="739" spans="1:14" ht="15.75" x14ac:dyDescent="0.25">
      <c r="A739" s="87">
        <v>735</v>
      </c>
      <c r="B739" s="87" t="s">
        <v>1185</v>
      </c>
      <c r="C739" s="555">
        <v>9837</v>
      </c>
      <c r="D739" s="563">
        <v>26000</v>
      </c>
      <c r="E739" s="573">
        <v>277</v>
      </c>
      <c r="F739" s="563">
        <v>26000</v>
      </c>
      <c r="G739" s="87">
        <f t="shared" si="11"/>
        <v>0</v>
      </c>
      <c r="H739" s="509"/>
      <c r="I739" s="509"/>
      <c r="J739" s="89"/>
      <c r="K739" s="522"/>
      <c r="L739" s="204"/>
      <c r="M739" s="661"/>
      <c r="N739" s="661"/>
    </row>
    <row r="740" spans="1:14" ht="15.75" x14ac:dyDescent="0.25">
      <c r="A740" s="87">
        <v>736</v>
      </c>
      <c r="B740" s="87" t="s">
        <v>1185</v>
      </c>
      <c r="C740" s="555">
        <v>1377</v>
      </c>
      <c r="D740" s="563">
        <v>26000</v>
      </c>
      <c r="E740" s="573">
        <v>289</v>
      </c>
      <c r="F740" s="563">
        <v>26000</v>
      </c>
      <c r="G740" s="87">
        <f t="shared" si="11"/>
        <v>0</v>
      </c>
      <c r="H740" s="509"/>
      <c r="I740" s="509"/>
      <c r="J740" s="89"/>
      <c r="K740" s="522"/>
      <c r="L740" s="204"/>
      <c r="M740" s="661"/>
      <c r="N740" s="661"/>
    </row>
    <row r="741" spans="1:14" ht="15.75" x14ac:dyDescent="0.25">
      <c r="A741" s="87">
        <v>737</v>
      </c>
      <c r="B741" s="87" t="s">
        <v>1185</v>
      </c>
      <c r="C741" s="555">
        <v>6659</v>
      </c>
      <c r="D741" s="563">
        <v>29000</v>
      </c>
      <c r="E741" s="573">
        <v>323</v>
      </c>
      <c r="F741" s="563">
        <v>29000</v>
      </c>
      <c r="G741" s="87">
        <f t="shared" si="11"/>
        <v>0</v>
      </c>
      <c r="H741" s="509"/>
      <c r="I741" s="509"/>
      <c r="J741" s="89"/>
      <c r="K741" s="522"/>
      <c r="L741" s="204"/>
      <c r="M741" s="661"/>
      <c r="N741" s="661"/>
    </row>
    <row r="742" spans="1:14" ht="15.75" x14ac:dyDescent="0.25">
      <c r="A742" s="87">
        <v>738</v>
      </c>
      <c r="B742" s="87" t="s">
        <v>1185</v>
      </c>
      <c r="C742" s="555">
        <v>2962</v>
      </c>
      <c r="D742" s="563">
        <v>16000</v>
      </c>
      <c r="E742" s="573">
        <v>178</v>
      </c>
      <c r="F742" s="563">
        <v>16000</v>
      </c>
      <c r="G742" s="87">
        <f t="shared" si="11"/>
        <v>0</v>
      </c>
      <c r="H742" s="509"/>
      <c r="I742" s="509"/>
      <c r="J742" s="89"/>
      <c r="K742" s="522"/>
      <c r="L742" s="204"/>
      <c r="M742" s="661"/>
      <c r="N742" s="661"/>
    </row>
    <row r="743" spans="1:14" ht="15.75" x14ac:dyDescent="0.25">
      <c r="A743" s="87">
        <v>739</v>
      </c>
      <c r="B743" s="87" t="s">
        <v>1185</v>
      </c>
      <c r="C743" s="555">
        <v>2612</v>
      </c>
      <c r="D743" s="563">
        <v>30000</v>
      </c>
      <c r="E743" s="573">
        <v>334</v>
      </c>
      <c r="F743" s="563">
        <v>30000</v>
      </c>
      <c r="G743" s="87">
        <f t="shared" si="11"/>
        <v>0</v>
      </c>
      <c r="H743" s="509"/>
      <c r="I743" s="509"/>
      <c r="J743" s="89"/>
      <c r="K743" s="522"/>
      <c r="L743" s="204"/>
      <c r="M743" s="661"/>
      <c r="N743" s="661"/>
    </row>
    <row r="744" spans="1:14" ht="15.75" x14ac:dyDescent="0.25">
      <c r="A744" s="87">
        <v>740</v>
      </c>
      <c r="B744" s="87" t="s">
        <v>1185</v>
      </c>
      <c r="C744" s="555">
        <v>8326</v>
      </c>
      <c r="D744" s="563">
        <v>15000</v>
      </c>
      <c r="E744" s="573">
        <v>167</v>
      </c>
      <c r="F744" s="563">
        <v>15000</v>
      </c>
      <c r="G744" s="87">
        <f t="shared" si="11"/>
        <v>0</v>
      </c>
      <c r="H744" s="509"/>
      <c r="I744" s="509"/>
      <c r="J744" s="89"/>
      <c r="K744" s="522"/>
      <c r="L744" s="204"/>
      <c r="M744" s="661"/>
      <c r="N744" s="661"/>
    </row>
    <row r="745" spans="1:14" ht="15.75" x14ac:dyDescent="0.25">
      <c r="A745" s="87">
        <v>741</v>
      </c>
      <c r="B745" s="87" t="s">
        <v>1185</v>
      </c>
      <c r="C745" s="555">
        <v>6555</v>
      </c>
      <c r="D745" s="563">
        <v>13000</v>
      </c>
      <c r="E745" s="573">
        <v>189</v>
      </c>
      <c r="F745" s="563">
        <v>13000</v>
      </c>
      <c r="G745" s="87">
        <f t="shared" si="11"/>
        <v>0</v>
      </c>
      <c r="H745" s="509"/>
      <c r="I745" s="509"/>
      <c r="J745" s="89"/>
      <c r="K745" s="522"/>
      <c r="L745" s="204"/>
      <c r="M745" s="661"/>
      <c r="N745" s="661"/>
    </row>
    <row r="746" spans="1:14" ht="15.75" x14ac:dyDescent="0.25">
      <c r="A746" s="87">
        <v>742</v>
      </c>
      <c r="B746" s="87" t="s">
        <v>1185</v>
      </c>
      <c r="C746" s="555">
        <v>2884</v>
      </c>
      <c r="D746" s="563">
        <v>29000</v>
      </c>
      <c r="E746" s="573">
        <v>303</v>
      </c>
      <c r="F746" s="563">
        <v>29000</v>
      </c>
      <c r="G746" s="87">
        <f t="shared" si="11"/>
        <v>0</v>
      </c>
      <c r="H746" s="509"/>
      <c r="I746" s="509"/>
      <c r="J746" s="89"/>
      <c r="K746" s="522"/>
      <c r="L746" s="204"/>
      <c r="M746" s="661"/>
      <c r="N746" s="661"/>
    </row>
    <row r="747" spans="1:14" ht="15.75" x14ac:dyDescent="0.25">
      <c r="A747" s="87">
        <v>743</v>
      </c>
      <c r="B747" s="87" t="s">
        <v>1185</v>
      </c>
      <c r="C747" s="555">
        <v>6955</v>
      </c>
      <c r="D747" s="563">
        <v>17000</v>
      </c>
      <c r="E747" s="573">
        <v>189</v>
      </c>
      <c r="F747" s="563">
        <v>17000</v>
      </c>
      <c r="G747" s="87">
        <f t="shared" si="11"/>
        <v>0</v>
      </c>
      <c r="H747" s="509"/>
      <c r="I747" s="509"/>
      <c r="J747" s="89"/>
      <c r="K747" s="522"/>
      <c r="L747" s="204"/>
      <c r="M747" s="661"/>
      <c r="N747" s="661"/>
    </row>
    <row r="748" spans="1:14" ht="15.75" x14ac:dyDescent="0.25">
      <c r="A748" s="87">
        <v>744</v>
      </c>
      <c r="B748" s="87" t="s">
        <v>1185</v>
      </c>
      <c r="C748" s="555" t="s">
        <v>30</v>
      </c>
      <c r="D748" s="563">
        <v>5000</v>
      </c>
      <c r="E748" s="573">
        <v>55</v>
      </c>
      <c r="F748" s="563">
        <v>5000</v>
      </c>
      <c r="G748" s="87">
        <f t="shared" si="11"/>
        <v>0</v>
      </c>
      <c r="H748" s="509"/>
      <c r="I748" s="509"/>
      <c r="J748" s="89"/>
      <c r="K748" s="522"/>
      <c r="L748" s="204"/>
      <c r="M748" s="661"/>
      <c r="N748" s="661"/>
    </row>
    <row r="749" spans="1:14" ht="15.75" x14ac:dyDescent="0.25">
      <c r="A749" s="87">
        <v>745</v>
      </c>
      <c r="B749" s="87" t="s">
        <v>1185</v>
      </c>
      <c r="C749" s="555">
        <v>3327</v>
      </c>
      <c r="D749" s="563">
        <v>15000</v>
      </c>
      <c r="E749" s="573">
        <v>167</v>
      </c>
      <c r="F749" s="563">
        <v>15000</v>
      </c>
      <c r="G749" s="87">
        <f t="shared" si="11"/>
        <v>0</v>
      </c>
      <c r="H749" s="509"/>
      <c r="I749" s="509"/>
      <c r="J749" s="89"/>
      <c r="K749" s="522"/>
      <c r="L749" s="204"/>
      <c r="M749" s="661"/>
      <c r="N749" s="661"/>
    </row>
    <row r="750" spans="1:14" ht="15.75" x14ac:dyDescent="0.25">
      <c r="A750" s="87">
        <v>746</v>
      </c>
      <c r="B750" s="87" t="s">
        <v>1185</v>
      </c>
      <c r="C750" s="555">
        <v>6443</v>
      </c>
      <c r="D750" s="563">
        <v>20000</v>
      </c>
      <c r="E750" s="573">
        <v>222</v>
      </c>
      <c r="F750" s="563">
        <v>20000</v>
      </c>
      <c r="G750" s="87">
        <f t="shared" si="11"/>
        <v>0</v>
      </c>
      <c r="H750" s="509"/>
      <c r="I750" s="509"/>
      <c r="J750" s="89"/>
      <c r="K750" s="522"/>
      <c r="L750" s="204"/>
      <c r="M750" s="661"/>
      <c r="N750" s="661"/>
    </row>
    <row r="751" spans="1:14" ht="15.75" x14ac:dyDescent="0.25">
      <c r="A751" s="87">
        <v>747</v>
      </c>
      <c r="B751" s="87" t="s">
        <v>1185</v>
      </c>
      <c r="C751" s="555">
        <v>9857</v>
      </c>
      <c r="D751" s="563">
        <v>15500</v>
      </c>
      <c r="E751" s="573">
        <v>172</v>
      </c>
      <c r="F751" s="563">
        <v>15500</v>
      </c>
      <c r="G751" s="87">
        <f t="shared" si="11"/>
        <v>0</v>
      </c>
      <c r="H751" s="509"/>
      <c r="I751" s="509"/>
      <c r="J751" s="89"/>
      <c r="K751" s="522"/>
      <c r="L751" s="204"/>
      <c r="M751" s="661"/>
      <c r="N751" s="661"/>
    </row>
    <row r="752" spans="1:14" ht="15.75" x14ac:dyDescent="0.25">
      <c r="A752" s="87">
        <v>748</v>
      </c>
      <c r="B752" s="87" t="s">
        <v>1185</v>
      </c>
      <c r="C752" s="555">
        <v>2667</v>
      </c>
      <c r="D752" s="563">
        <v>9000</v>
      </c>
      <c r="E752" s="573">
        <v>100</v>
      </c>
      <c r="F752" s="563">
        <v>9000</v>
      </c>
      <c r="G752" s="87">
        <f t="shared" si="11"/>
        <v>0</v>
      </c>
      <c r="H752" s="509"/>
      <c r="I752" s="509"/>
      <c r="J752" s="89"/>
      <c r="K752" s="522"/>
      <c r="L752" s="204"/>
      <c r="M752" s="661"/>
      <c r="N752" s="661"/>
    </row>
    <row r="753" spans="1:14" ht="15.75" x14ac:dyDescent="0.25">
      <c r="A753" s="87">
        <v>749</v>
      </c>
      <c r="B753" s="87" t="s">
        <v>1185</v>
      </c>
      <c r="C753" s="555">
        <v>1328</v>
      </c>
      <c r="D753" s="563">
        <v>23000</v>
      </c>
      <c r="E753" s="573">
        <v>245</v>
      </c>
      <c r="F753" s="563">
        <v>23000</v>
      </c>
      <c r="G753" s="87">
        <f t="shared" si="11"/>
        <v>0</v>
      </c>
      <c r="H753" s="509"/>
      <c r="I753" s="509"/>
      <c r="J753" s="89"/>
      <c r="K753" s="522"/>
      <c r="L753" s="204"/>
      <c r="M753" s="661"/>
      <c r="N753" s="661"/>
    </row>
    <row r="754" spans="1:14" ht="15.75" x14ac:dyDescent="0.25">
      <c r="A754" s="87">
        <v>750</v>
      </c>
      <c r="B754" s="87" t="s">
        <v>1185</v>
      </c>
      <c r="C754" s="555" t="s">
        <v>30</v>
      </c>
      <c r="D754" s="563">
        <v>3500</v>
      </c>
      <c r="E754" s="573">
        <v>39</v>
      </c>
      <c r="F754" s="563">
        <v>3500</v>
      </c>
      <c r="G754" s="87">
        <f t="shared" si="11"/>
        <v>0</v>
      </c>
      <c r="H754" s="509"/>
      <c r="I754" s="509"/>
      <c r="J754" s="89"/>
      <c r="K754" s="522"/>
      <c r="L754" s="204"/>
      <c r="M754" s="661"/>
      <c r="N754" s="661"/>
    </row>
    <row r="755" spans="1:14" ht="15.75" x14ac:dyDescent="0.25">
      <c r="A755" s="87">
        <v>751</v>
      </c>
      <c r="B755" s="87" t="s">
        <v>1185</v>
      </c>
      <c r="C755" s="607" t="s">
        <v>1180</v>
      </c>
      <c r="D755" s="563">
        <v>14000</v>
      </c>
      <c r="E755" s="573">
        <v>155</v>
      </c>
      <c r="F755" s="563">
        <v>14000</v>
      </c>
      <c r="G755" s="87">
        <f t="shared" si="11"/>
        <v>0</v>
      </c>
      <c r="H755" s="509"/>
      <c r="I755" s="509"/>
      <c r="J755" s="89"/>
      <c r="K755" s="522"/>
      <c r="L755" s="204"/>
      <c r="M755" s="661"/>
      <c r="N755" s="661"/>
    </row>
    <row r="756" spans="1:14" ht="15.75" x14ac:dyDescent="0.25">
      <c r="A756" s="87">
        <v>752</v>
      </c>
      <c r="B756" s="87" t="s">
        <v>1185</v>
      </c>
      <c r="C756" s="555">
        <v>5152</v>
      </c>
      <c r="D756" s="563">
        <v>13000</v>
      </c>
      <c r="E756" s="573">
        <v>144</v>
      </c>
      <c r="F756" s="563">
        <v>13000</v>
      </c>
      <c r="G756" s="87">
        <f t="shared" si="11"/>
        <v>0</v>
      </c>
      <c r="H756" s="509"/>
      <c r="I756" s="509"/>
      <c r="J756" s="89"/>
      <c r="K756" s="522"/>
      <c r="L756" s="204"/>
      <c r="M756" s="661"/>
      <c r="N756" s="661"/>
    </row>
    <row r="757" spans="1:14" ht="15.75" x14ac:dyDescent="0.25">
      <c r="A757" s="87">
        <v>753</v>
      </c>
      <c r="B757" s="87" t="s">
        <v>1185</v>
      </c>
      <c r="C757" s="555">
        <v>4846</v>
      </c>
      <c r="D757" s="563">
        <v>22000</v>
      </c>
      <c r="E757" s="573">
        <v>244</v>
      </c>
      <c r="F757" s="563">
        <v>22000</v>
      </c>
      <c r="G757" s="87">
        <f t="shared" si="11"/>
        <v>0</v>
      </c>
      <c r="H757" s="509"/>
      <c r="I757" s="509"/>
      <c r="J757" s="89"/>
      <c r="K757" s="522"/>
      <c r="L757" s="204"/>
      <c r="M757" s="661"/>
      <c r="N757" s="661"/>
    </row>
    <row r="758" spans="1:14" ht="15.75" x14ac:dyDescent="0.25">
      <c r="A758" s="87">
        <v>754</v>
      </c>
      <c r="B758" s="87" t="s">
        <v>1185</v>
      </c>
      <c r="C758" s="607" t="s">
        <v>1008</v>
      </c>
      <c r="D758" s="563">
        <v>17000</v>
      </c>
      <c r="E758" s="573">
        <v>183</v>
      </c>
      <c r="F758" s="563">
        <v>17000</v>
      </c>
      <c r="G758" s="87">
        <f t="shared" si="11"/>
        <v>0</v>
      </c>
      <c r="H758" s="509"/>
      <c r="I758" s="509"/>
      <c r="J758" s="89"/>
      <c r="K758" s="522"/>
      <c r="L758" s="204"/>
      <c r="M758" s="661"/>
      <c r="N758" s="661"/>
    </row>
    <row r="759" spans="1:14" ht="15.75" x14ac:dyDescent="0.25">
      <c r="A759" s="87">
        <v>755</v>
      </c>
      <c r="B759" s="87" t="s">
        <v>1185</v>
      </c>
      <c r="C759" s="607" t="s">
        <v>861</v>
      </c>
      <c r="D759" s="563">
        <v>17000</v>
      </c>
      <c r="E759" s="573">
        <v>189</v>
      </c>
      <c r="F759" s="563">
        <v>17000</v>
      </c>
      <c r="G759" s="87">
        <f t="shared" si="11"/>
        <v>0</v>
      </c>
      <c r="H759" s="509"/>
      <c r="I759" s="509"/>
      <c r="J759" s="89"/>
      <c r="K759" s="522"/>
      <c r="L759" s="204"/>
      <c r="M759" s="661"/>
      <c r="N759" s="661"/>
    </row>
    <row r="760" spans="1:14" ht="15.75" x14ac:dyDescent="0.25">
      <c r="A760" s="87">
        <v>756</v>
      </c>
      <c r="B760" s="87" t="s">
        <v>1185</v>
      </c>
      <c r="C760" s="555" t="s">
        <v>30</v>
      </c>
      <c r="D760" s="563">
        <v>4500</v>
      </c>
      <c r="E760" s="573">
        <v>50</v>
      </c>
      <c r="F760" s="563">
        <v>4500</v>
      </c>
      <c r="G760" s="87">
        <f t="shared" si="11"/>
        <v>0</v>
      </c>
      <c r="H760" s="509"/>
      <c r="I760" s="509"/>
      <c r="J760" s="89"/>
      <c r="K760" s="522"/>
      <c r="L760" s="204"/>
      <c r="M760" s="661"/>
      <c r="N760" s="661"/>
    </row>
    <row r="761" spans="1:14" ht="15.75" x14ac:dyDescent="0.25">
      <c r="A761" s="87">
        <v>757</v>
      </c>
      <c r="B761" s="87" t="s">
        <v>1185</v>
      </c>
      <c r="C761" s="555">
        <v>2089</v>
      </c>
      <c r="D761" s="563">
        <v>10000</v>
      </c>
      <c r="E761" s="573">
        <v>111</v>
      </c>
      <c r="F761" s="563">
        <v>10000</v>
      </c>
      <c r="G761" s="87">
        <f t="shared" si="11"/>
        <v>0</v>
      </c>
      <c r="H761" s="509"/>
      <c r="I761" s="509"/>
      <c r="J761" s="89"/>
      <c r="K761" s="522"/>
      <c r="L761" s="204"/>
      <c r="M761" s="661"/>
      <c r="N761" s="661"/>
    </row>
    <row r="762" spans="1:14" ht="15.75" x14ac:dyDescent="0.25">
      <c r="A762" s="87">
        <v>758</v>
      </c>
      <c r="B762" s="87" t="s">
        <v>1185</v>
      </c>
      <c r="C762" s="555">
        <v>5655</v>
      </c>
      <c r="D762" s="563">
        <v>12000</v>
      </c>
      <c r="E762" s="573">
        <v>133</v>
      </c>
      <c r="F762" s="563">
        <v>12000</v>
      </c>
      <c r="G762" s="87">
        <f t="shared" si="11"/>
        <v>0</v>
      </c>
      <c r="H762" s="509"/>
      <c r="I762" s="509"/>
      <c r="J762" s="89"/>
      <c r="K762" s="522"/>
      <c r="L762" s="204"/>
      <c r="M762" s="661"/>
      <c r="N762" s="661"/>
    </row>
    <row r="763" spans="1:14" ht="15.75" x14ac:dyDescent="0.25">
      <c r="A763" s="87">
        <v>759</v>
      </c>
      <c r="B763" s="87" t="s">
        <v>1185</v>
      </c>
      <c r="C763" s="555">
        <v>2928</v>
      </c>
      <c r="D763" s="563">
        <v>26000</v>
      </c>
      <c r="E763" s="573">
        <v>289</v>
      </c>
      <c r="F763" s="563">
        <v>26000</v>
      </c>
      <c r="G763" s="87">
        <f t="shared" si="11"/>
        <v>0</v>
      </c>
      <c r="H763" s="509"/>
      <c r="I763" s="509"/>
      <c r="J763" s="89"/>
      <c r="K763" s="522"/>
      <c r="L763" s="204"/>
      <c r="M763" s="661"/>
      <c r="N763" s="661"/>
    </row>
    <row r="764" spans="1:14" ht="15.75" x14ac:dyDescent="0.25">
      <c r="A764" s="87">
        <v>760</v>
      </c>
      <c r="B764" s="87" t="s">
        <v>1185</v>
      </c>
      <c r="C764" s="555">
        <v>6117</v>
      </c>
      <c r="D764" s="563">
        <v>33000</v>
      </c>
      <c r="E764" s="573">
        <v>367</v>
      </c>
      <c r="F764" s="563">
        <v>33000</v>
      </c>
      <c r="G764" s="87">
        <f t="shared" si="11"/>
        <v>0</v>
      </c>
      <c r="H764" s="509"/>
      <c r="I764" s="509"/>
      <c r="J764" s="89"/>
      <c r="K764" s="522"/>
      <c r="L764" s="204"/>
      <c r="M764" s="661"/>
      <c r="N764" s="661"/>
    </row>
    <row r="765" spans="1:14" ht="15.75" x14ac:dyDescent="0.25">
      <c r="A765" s="87">
        <v>761</v>
      </c>
      <c r="B765" s="87" t="s">
        <v>1185</v>
      </c>
      <c r="C765" s="555">
        <v>2555</v>
      </c>
      <c r="D765" s="563">
        <v>25000</v>
      </c>
      <c r="E765" s="573">
        <v>278</v>
      </c>
      <c r="F765" s="563">
        <v>25000</v>
      </c>
      <c r="G765" s="87">
        <f t="shared" si="11"/>
        <v>0</v>
      </c>
      <c r="H765" s="509"/>
      <c r="I765" s="509"/>
      <c r="J765" s="89"/>
      <c r="K765" s="522"/>
      <c r="L765" s="204"/>
      <c r="M765" s="661"/>
      <c r="N765" s="661"/>
    </row>
    <row r="766" spans="1:14" ht="15.75" x14ac:dyDescent="0.25">
      <c r="A766" s="87">
        <v>762</v>
      </c>
      <c r="B766" s="87" t="s">
        <v>1185</v>
      </c>
      <c r="C766" s="555">
        <v>2458</v>
      </c>
      <c r="D766" s="563">
        <v>28000</v>
      </c>
      <c r="E766" s="573">
        <v>311</v>
      </c>
      <c r="F766" s="563">
        <v>28000</v>
      </c>
      <c r="G766" s="87">
        <f t="shared" si="11"/>
        <v>0</v>
      </c>
      <c r="H766" s="509"/>
      <c r="I766" s="509"/>
      <c r="J766" s="89"/>
      <c r="K766" s="522"/>
      <c r="L766" s="204"/>
      <c r="M766" s="661"/>
      <c r="N766" s="661"/>
    </row>
    <row r="767" spans="1:14" ht="15.75" x14ac:dyDescent="0.25">
      <c r="A767" s="87">
        <v>763</v>
      </c>
      <c r="B767" s="87" t="s">
        <v>1185</v>
      </c>
      <c r="C767" s="607" t="s">
        <v>1024</v>
      </c>
      <c r="D767" s="563">
        <v>28000</v>
      </c>
      <c r="E767" s="573">
        <v>311</v>
      </c>
      <c r="F767" s="563">
        <v>28000</v>
      </c>
      <c r="G767" s="87">
        <f t="shared" si="11"/>
        <v>0</v>
      </c>
      <c r="H767" s="509"/>
      <c r="I767" s="509"/>
      <c r="J767" s="89"/>
      <c r="K767" s="522"/>
      <c r="L767" s="204"/>
      <c r="M767" s="661"/>
      <c r="N767" s="661"/>
    </row>
    <row r="768" spans="1:14" ht="15.75" x14ac:dyDescent="0.25">
      <c r="A768" s="87">
        <v>764</v>
      </c>
      <c r="B768" s="87" t="s">
        <v>1185</v>
      </c>
      <c r="C768" s="555">
        <v>1251</v>
      </c>
      <c r="D768" s="563">
        <v>27000</v>
      </c>
      <c r="E768" s="573">
        <v>322</v>
      </c>
      <c r="F768" s="563">
        <v>27000</v>
      </c>
      <c r="G768" s="87">
        <f t="shared" si="11"/>
        <v>0</v>
      </c>
      <c r="H768" s="509"/>
      <c r="I768" s="509"/>
      <c r="J768" s="89"/>
      <c r="K768" s="522"/>
      <c r="L768" s="204"/>
      <c r="M768" s="661"/>
      <c r="N768" s="661"/>
    </row>
    <row r="769" spans="1:14" ht="15.75" x14ac:dyDescent="0.25">
      <c r="A769" s="87">
        <v>765</v>
      </c>
      <c r="B769" s="87" t="s">
        <v>1185</v>
      </c>
      <c r="C769" s="555">
        <v>5027</v>
      </c>
      <c r="D769" s="563">
        <v>20000</v>
      </c>
      <c r="E769" s="573">
        <v>222</v>
      </c>
      <c r="F769" s="563">
        <v>20000</v>
      </c>
      <c r="G769" s="87">
        <f t="shared" si="11"/>
        <v>0</v>
      </c>
      <c r="H769" s="509"/>
      <c r="I769" s="509"/>
      <c r="J769" s="89"/>
      <c r="K769" s="522"/>
      <c r="L769" s="204"/>
      <c r="M769" s="661"/>
      <c r="N769" s="661"/>
    </row>
    <row r="770" spans="1:14" ht="15.75" x14ac:dyDescent="0.25">
      <c r="A770" s="87">
        <v>766</v>
      </c>
      <c r="B770" s="87" t="s">
        <v>1185</v>
      </c>
      <c r="C770" s="555">
        <v>3135</v>
      </c>
      <c r="D770" s="563">
        <v>22000</v>
      </c>
      <c r="E770" s="573">
        <v>245</v>
      </c>
      <c r="F770" s="563">
        <v>22000</v>
      </c>
      <c r="G770" s="87">
        <f t="shared" si="11"/>
        <v>0</v>
      </c>
      <c r="H770" s="509"/>
      <c r="I770" s="509"/>
      <c r="J770" s="89"/>
      <c r="K770" s="522"/>
      <c r="L770" s="204"/>
      <c r="M770" s="661"/>
      <c r="N770" s="661"/>
    </row>
    <row r="771" spans="1:14" ht="15.75" x14ac:dyDescent="0.25">
      <c r="A771" s="87">
        <v>767</v>
      </c>
      <c r="B771" s="87" t="s">
        <v>1185</v>
      </c>
      <c r="C771" s="607" t="s">
        <v>881</v>
      </c>
      <c r="D771" s="563">
        <v>26000</v>
      </c>
      <c r="E771" s="573">
        <v>289</v>
      </c>
      <c r="F771" s="563">
        <v>26000</v>
      </c>
      <c r="G771" s="87">
        <f t="shared" si="11"/>
        <v>0</v>
      </c>
      <c r="H771" s="509"/>
      <c r="I771" s="509"/>
      <c r="J771" s="89"/>
      <c r="K771" s="522"/>
      <c r="L771" s="204"/>
      <c r="M771" s="661"/>
      <c r="N771" s="661"/>
    </row>
    <row r="772" spans="1:14" ht="15.75" x14ac:dyDescent="0.25">
      <c r="A772" s="87">
        <v>768</v>
      </c>
      <c r="B772" s="87" t="s">
        <v>1185</v>
      </c>
      <c r="C772" s="555" t="s">
        <v>30</v>
      </c>
      <c r="D772" s="563">
        <v>10000</v>
      </c>
      <c r="E772" s="573">
        <v>111</v>
      </c>
      <c r="F772" s="563">
        <v>10000</v>
      </c>
      <c r="G772" s="87">
        <f t="shared" si="11"/>
        <v>0</v>
      </c>
      <c r="H772" s="509"/>
      <c r="I772" s="509"/>
      <c r="J772" s="89"/>
      <c r="K772" s="522"/>
      <c r="L772" s="204"/>
      <c r="M772" s="661"/>
      <c r="N772" s="661"/>
    </row>
    <row r="773" spans="1:14" ht="15.75" x14ac:dyDescent="0.25">
      <c r="A773" s="87">
        <v>769</v>
      </c>
      <c r="B773" s="87" t="s">
        <v>1185</v>
      </c>
      <c r="C773" s="555">
        <v>8077</v>
      </c>
      <c r="D773" s="563">
        <v>30000</v>
      </c>
      <c r="E773" s="573">
        <v>334</v>
      </c>
      <c r="F773" s="563">
        <v>30000</v>
      </c>
      <c r="G773" s="87">
        <f t="shared" ref="G773:G836" si="12">D773-F773</f>
        <v>0</v>
      </c>
      <c r="H773" s="509"/>
      <c r="I773" s="509"/>
      <c r="J773" s="89"/>
      <c r="K773" s="522"/>
      <c r="L773" s="204"/>
      <c r="M773" s="661"/>
      <c r="N773" s="661"/>
    </row>
    <row r="774" spans="1:14" ht="15.75" x14ac:dyDescent="0.25">
      <c r="A774" s="87">
        <v>770</v>
      </c>
      <c r="B774" s="87" t="s">
        <v>1185</v>
      </c>
      <c r="C774" s="555">
        <v>1895</v>
      </c>
      <c r="D774" s="563">
        <v>30000</v>
      </c>
      <c r="E774" s="573">
        <v>334</v>
      </c>
      <c r="F774" s="563">
        <v>30000</v>
      </c>
      <c r="G774" s="87">
        <f t="shared" si="12"/>
        <v>0</v>
      </c>
      <c r="H774" s="509"/>
      <c r="I774" s="509"/>
      <c r="J774" s="89"/>
      <c r="K774" s="522"/>
      <c r="L774" s="204"/>
      <c r="M774" s="661"/>
      <c r="N774" s="661"/>
    </row>
    <row r="775" spans="1:14" ht="15.75" x14ac:dyDescent="0.25">
      <c r="A775" s="87">
        <v>771</v>
      </c>
      <c r="B775" s="87" t="s">
        <v>1185</v>
      </c>
      <c r="C775" s="555">
        <v>9177</v>
      </c>
      <c r="D775" s="563">
        <v>30000</v>
      </c>
      <c r="E775" s="573">
        <v>334</v>
      </c>
      <c r="F775" s="563">
        <v>30000</v>
      </c>
      <c r="G775" s="87">
        <f t="shared" si="12"/>
        <v>0</v>
      </c>
      <c r="H775" s="509"/>
      <c r="I775" s="509"/>
      <c r="J775" s="89"/>
      <c r="K775" s="522"/>
      <c r="L775" s="204"/>
      <c r="M775" s="661"/>
      <c r="N775" s="661"/>
    </row>
    <row r="776" spans="1:14" ht="15.75" x14ac:dyDescent="0.25">
      <c r="A776" s="87">
        <v>772</v>
      </c>
      <c r="B776" s="87" t="s">
        <v>1185</v>
      </c>
      <c r="C776" s="555">
        <v>8987</v>
      </c>
      <c r="D776" s="563">
        <v>31000</v>
      </c>
      <c r="E776" s="573">
        <v>336</v>
      </c>
      <c r="F776" s="563">
        <v>31000</v>
      </c>
      <c r="G776" s="87">
        <f t="shared" si="12"/>
        <v>0</v>
      </c>
      <c r="H776" s="509"/>
      <c r="I776" s="509"/>
      <c r="J776" s="89"/>
      <c r="K776" s="522"/>
      <c r="L776" s="204"/>
      <c r="M776" s="661"/>
      <c r="N776" s="661"/>
    </row>
    <row r="777" spans="1:14" ht="15.75" x14ac:dyDescent="0.25">
      <c r="A777" s="87">
        <v>773</v>
      </c>
      <c r="B777" s="87" t="s">
        <v>1185</v>
      </c>
      <c r="C777" s="555">
        <v>9744</v>
      </c>
      <c r="D777" s="563">
        <v>18000</v>
      </c>
      <c r="E777" s="573">
        <v>200</v>
      </c>
      <c r="F777" s="563">
        <v>18000</v>
      </c>
      <c r="G777" s="87">
        <f t="shared" si="12"/>
        <v>0</v>
      </c>
      <c r="H777" s="509"/>
      <c r="I777" s="509"/>
      <c r="J777" s="89"/>
      <c r="K777" s="522"/>
      <c r="L777" s="204"/>
      <c r="M777" s="661"/>
      <c r="N777" s="661"/>
    </row>
    <row r="778" spans="1:14" ht="15.75" x14ac:dyDescent="0.25">
      <c r="A778" s="87">
        <v>774</v>
      </c>
      <c r="B778" s="87" t="s">
        <v>1143</v>
      </c>
      <c r="C778" s="555">
        <v>9873</v>
      </c>
      <c r="D778" s="563">
        <v>10000</v>
      </c>
      <c r="E778" s="573">
        <v>111</v>
      </c>
      <c r="F778" s="563">
        <v>10000</v>
      </c>
      <c r="G778" s="87">
        <f t="shared" si="12"/>
        <v>0</v>
      </c>
      <c r="H778" s="509"/>
      <c r="I778" s="509"/>
      <c r="J778" s="89"/>
      <c r="K778" s="522"/>
      <c r="L778" s="204"/>
      <c r="M778" s="661"/>
      <c r="N778" s="661"/>
    </row>
    <row r="779" spans="1:14" ht="15.75" x14ac:dyDescent="0.25">
      <c r="A779" s="87">
        <v>775</v>
      </c>
      <c r="B779" s="87" t="s">
        <v>1143</v>
      </c>
      <c r="C779" s="555">
        <v>4838</v>
      </c>
      <c r="D779" s="563">
        <v>28000</v>
      </c>
      <c r="E779" s="573">
        <v>277</v>
      </c>
      <c r="F779" s="563">
        <v>28000</v>
      </c>
      <c r="G779" s="87">
        <f t="shared" si="12"/>
        <v>0</v>
      </c>
      <c r="H779" s="509"/>
      <c r="I779" s="509"/>
      <c r="J779" s="89"/>
      <c r="K779" s="522"/>
      <c r="L779" s="204"/>
      <c r="M779" s="661"/>
      <c r="N779" s="661"/>
    </row>
    <row r="780" spans="1:14" ht="15.75" x14ac:dyDescent="0.25">
      <c r="A780" s="87">
        <v>776</v>
      </c>
      <c r="B780" s="87" t="s">
        <v>1143</v>
      </c>
      <c r="C780" s="555" t="s">
        <v>30</v>
      </c>
      <c r="D780" s="563">
        <v>5000</v>
      </c>
      <c r="E780" s="573">
        <v>55</v>
      </c>
      <c r="F780" s="563">
        <v>5000</v>
      </c>
      <c r="G780" s="87">
        <f t="shared" si="12"/>
        <v>0</v>
      </c>
      <c r="H780" s="509"/>
      <c r="I780" s="509"/>
      <c r="J780" s="89"/>
      <c r="K780" s="522"/>
      <c r="L780" s="204"/>
      <c r="M780" s="661"/>
      <c r="N780" s="661"/>
    </row>
    <row r="781" spans="1:14" ht="15.75" x14ac:dyDescent="0.25">
      <c r="A781" s="87">
        <v>777</v>
      </c>
      <c r="B781" s="87" t="s">
        <v>1143</v>
      </c>
      <c r="C781" s="555">
        <v>4024</v>
      </c>
      <c r="D781" s="563">
        <v>21000</v>
      </c>
      <c r="E781" s="573">
        <v>233</v>
      </c>
      <c r="F781" s="563">
        <v>21000</v>
      </c>
      <c r="G781" s="87">
        <f t="shared" si="12"/>
        <v>0</v>
      </c>
      <c r="H781" s="509"/>
      <c r="I781" s="509"/>
      <c r="J781" s="89"/>
      <c r="K781" s="522"/>
      <c r="L781" s="204"/>
      <c r="M781" s="661"/>
      <c r="N781" s="661"/>
    </row>
    <row r="782" spans="1:14" ht="15.75" x14ac:dyDescent="0.25">
      <c r="A782" s="87">
        <v>778</v>
      </c>
      <c r="B782" s="87" t="s">
        <v>1143</v>
      </c>
      <c r="C782" s="555">
        <v>9957</v>
      </c>
      <c r="D782" s="563">
        <v>15000</v>
      </c>
      <c r="E782" s="573">
        <v>167</v>
      </c>
      <c r="F782" s="563">
        <v>15000</v>
      </c>
      <c r="G782" s="87">
        <f t="shared" si="12"/>
        <v>0</v>
      </c>
      <c r="H782" s="509"/>
      <c r="I782" s="509"/>
      <c r="J782" s="89"/>
      <c r="K782" s="522"/>
      <c r="L782" s="204"/>
      <c r="M782" s="661"/>
      <c r="N782" s="661"/>
    </row>
    <row r="783" spans="1:14" ht="15.75" x14ac:dyDescent="0.25">
      <c r="A783" s="87">
        <v>779</v>
      </c>
      <c r="B783" s="87" t="s">
        <v>1143</v>
      </c>
      <c r="C783" s="555">
        <v>6593</v>
      </c>
      <c r="D783" s="563">
        <v>20000</v>
      </c>
      <c r="E783" s="573">
        <v>222</v>
      </c>
      <c r="F783" s="563">
        <v>20000</v>
      </c>
      <c r="G783" s="87">
        <f t="shared" si="12"/>
        <v>0</v>
      </c>
      <c r="H783" s="509"/>
      <c r="I783" s="509"/>
      <c r="J783" s="89"/>
      <c r="K783" s="522"/>
      <c r="L783" s="204"/>
      <c r="M783" s="661"/>
      <c r="N783" s="661"/>
    </row>
    <row r="784" spans="1:14" ht="15.75" x14ac:dyDescent="0.25">
      <c r="A784" s="87">
        <v>780</v>
      </c>
      <c r="B784" s="87" t="s">
        <v>1143</v>
      </c>
      <c r="C784" s="607" t="s">
        <v>936</v>
      </c>
      <c r="D784" s="563">
        <v>10000</v>
      </c>
      <c r="E784" s="573">
        <v>111</v>
      </c>
      <c r="F784" s="563">
        <v>10000</v>
      </c>
      <c r="G784" s="87">
        <f t="shared" si="12"/>
        <v>0</v>
      </c>
      <c r="H784" s="509"/>
      <c r="I784" s="509"/>
      <c r="J784" s="89"/>
      <c r="K784" s="522"/>
      <c r="L784" s="204"/>
      <c r="M784" s="661"/>
      <c r="N784" s="661"/>
    </row>
    <row r="785" spans="1:14" ht="15.75" x14ac:dyDescent="0.25">
      <c r="A785" s="87">
        <v>781</v>
      </c>
      <c r="B785" s="87" t="s">
        <v>1143</v>
      </c>
      <c r="C785" s="555">
        <v>9426</v>
      </c>
      <c r="D785" s="563">
        <v>16000</v>
      </c>
      <c r="E785" s="573">
        <v>178</v>
      </c>
      <c r="F785" s="563">
        <v>16000</v>
      </c>
      <c r="G785" s="87">
        <f t="shared" si="12"/>
        <v>0</v>
      </c>
      <c r="H785" s="509"/>
      <c r="I785" s="509"/>
      <c r="J785" s="89"/>
      <c r="K785" s="522"/>
      <c r="L785" s="204"/>
      <c r="M785" s="661"/>
      <c r="N785" s="661"/>
    </row>
    <row r="786" spans="1:14" ht="15.75" x14ac:dyDescent="0.25">
      <c r="A786" s="87">
        <v>782</v>
      </c>
      <c r="B786" s="87" t="s">
        <v>1143</v>
      </c>
      <c r="C786" s="555">
        <v>1827</v>
      </c>
      <c r="D786" s="563">
        <v>17000</v>
      </c>
      <c r="E786" s="573">
        <v>189</v>
      </c>
      <c r="F786" s="563">
        <v>17000</v>
      </c>
      <c r="G786" s="87">
        <f t="shared" si="12"/>
        <v>0</v>
      </c>
      <c r="H786" s="509"/>
      <c r="I786" s="509"/>
      <c r="J786" s="89"/>
      <c r="K786" s="522"/>
      <c r="L786" s="204"/>
      <c r="M786" s="661"/>
      <c r="N786" s="661"/>
    </row>
    <row r="787" spans="1:14" ht="15.75" x14ac:dyDescent="0.25">
      <c r="A787" s="87">
        <v>783</v>
      </c>
      <c r="B787" s="87" t="s">
        <v>1143</v>
      </c>
      <c r="C787" s="555">
        <v>2391</v>
      </c>
      <c r="D787" s="563">
        <v>33000</v>
      </c>
      <c r="E787" s="573">
        <v>352</v>
      </c>
      <c r="F787" s="563">
        <v>33000</v>
      </c>
      <c r="G787" s="87">
        <f t="shared" si="12"/>
        <v>0</v>
      </c>
      <c r="H787" s="509"/>
      <c r="I787" s="509"/>
      <c r="J787" s="89"/>
      <c r="K787" s="522"/>
      <c r="L787" s="204"/>
      <c r="M787" s="661"/>
      <c r="N787" s="661"/>
    </row>
    <row r="788" spans="1:14" ht="15.75" x14ac:dyDescent="0.25">
      <c r="A788" s="87">
        <v>784</v>
      </c>
      <c r="B788" s="87" t="s">
        <v>1143</v>
      </c>
      <c r="C788" s="555">
        <v>7565</v>
      </c>
      <c r="D788" s="563">
        <v>25000</v>
      </c>
      <c r="E788" s="573">
        <v>278</v>
      </c>
      <c r="F788" s="563">
        <v>25000</v>
      </c>
      <c r="G788" s="87">
        <f t="shared" si="12"/>
        <v>0</v>
      </c>
      <c r="H788" s="509"/>
      <c r="I788" s="509"/>
      <c r="J788" s="89"/>
      <c r="K788" s="522"/>
      <c r="L788" s="204"/>
      <c r="M788" s="661"/>
      <c r="N788" s="661"/>
    </row>
    <row r="789" spans="1:14" ht="15.75" x14ac:dyDescent="0.25">
      <c r="A789" s="87">
        <v>785</v>
      </c>
      <c r="B789" s="87" t="s">
        <v>1143</v>
      </c>
      <c r="C789" s="555">
        <v>1907</v>
      </c>
      <c r="D789" s="563">
        <v>23000</v>
      </c>
      <c r="E789" s="573">
        <v>236</v>
      </c>
      <c r="F789" s="563">
        <v>23000</v>
      </c>
      <c r="G789" s="87">
        <f t="shared" si="12"/>
        <v>0</v>
      </c>
      <c r="H789" s="509"/>
      <c r="I789" s="509"/>
      <c r="J789" s="89"/>
      <c r="K789" s="522"/>
      <c r="L789" s="204"/>
      <c r="M789" s="661"/>
      <c r="N789" s="661"/>
    </row>
    <row r="790" spans="1:14" ht="15.75" x14ac:dyDescent="0.25">
      <c r="A790" s="87">
        <v>786</v>
      </c>
      <c r="B790" s="87" t="s">
        <v>1143</v>
      </c>
      <c r="C790" s="555">
        <v>7880</v>
      </c>
      <c r="D790" s="563">
        <v>24000</v>
      </c>
      <c r="E790" s="573">
        <v>267</v>
      </c>
      <c r="F790" s="563">
        <v>24000</v>
      </c>
      <c r="G790" s="87">
        <f t="shared" si="12"/>
        <v>0</v>
      </c>
      <c r="H790" s="509"/>
      <c r="I790" s="509"/>
      <c r="J790" s="89"/>
      <c r="K790" s="522"/>
      <c r="L790" s="204"/>
      <c r="M790" s="661"/>
      <c r="N790" s="661"/>
    </row>
    <row r="791" spans="1:14" ht="15.75" x14ac:dyDescent="0.25">
      <c r="A791" s="87">
        <v>787</v>
      </c>
      <c r="B791" s="87" t="s">
        <v>1143</v>
      </c>
      <c r="C791" s="555">
        <v>1805</v>
      </c>
      <c r="D791" s="563">
        <v>32000</v>
      </c>
      <c r="E791" s="573">
        <v>328</v>
      </c>
      <c r="F791" s="563">
        <v>32000</v>
      </c>
      <c r="G791" s="87">
        <f t="shared" si="12"/>
        <v>0</v>
      </c>
      <c r="H791" s="509"/>
      <c r="I791" s="509"/>
      <c r="J791" s="89"/>
      <c r="K791" s="522"/>
      <c r="L791" s="204"/>
      <c r="M791" s="661"/>
      <c r="N791" s="661"/>
    </row>
    <row r="792" spans="1:14" ht="15.75" x14ac:dyDescent="0.25">
      <c r="A792" s="87">
        <v>788</v>
      </c>
      <c r="B792" s="87" t="s">
        <v>1143</v>
      </c>
      <c r="C792" s="555">
        <v>2961</v>
      </c>
      <c r="D792" s="563">
        <v>16000</v>
      </c>
      <c r="E792" s="573">
        <v>178</v>
      </c>
      <c r="F792" s="563">
        <v>16000</v>
      </c>
      <c r="G792" s="87">
        <f t="shared" si="12"/>
        <v>0</v>
      </c>
      <c r="H792" s="509"/>
      <c r="I792" s="509"/>
      <c r="J792" s="89"/>
      <c r="K792" s="522"/>
      <c r="L792" s="204"/>
      <c r="M792" s="661"/>
      <c r="N792" s="661"/>
    </row>
    <row r="793" spans="1:14" ht="15.75" x14ac:dyDescent="0.25">
      <c r="A793" s="87">
        <v>789</v>
      </c>
      <c r="B793" s="87" t="s">
        <v>1143</v>
      </c>
      <c r="C793" s="555">
        <v>4077</v>
      </c>
      <c r="D793" s="563">
        <v>14000</v>
      </c>
      <c r="E793" s="573">
        <v>155</v>
      </c>
      <c r="F793" s="563">
        <v>14000</v>
      </c>
      <c r="G793" s="87">
        <f t="shared" si="12"/>
        <v>0</v>
      </c>
      <c r="H793" s="509"/>
      <c r="I793" s="509"/>
      <c r="J793" s="89"/>
      <c r="K793" s="522"/>
      <c r="L793" s="204"/>
      <c r="M793" s="661"/>
      <c r="N793" s="661"/>
    </row>
    <row r="794" spans="1:14" ht="15.75" x14ac:dyDescent="0.25">
      <c r="A794" s="87">
        <v>790</v>
      </c>
      <c r="B794" s="87" t="s">
        <v>1143</v>
      </c>
      <c r="C794" s="555" t="s">
        <v>819</v>
      </c>
      <c r="D794" s="563">
        <v>3500</v>
      </c>
      <c r="E794" s="573">
        <v>39</v>
      </c>
      <c r="F794" s="563">
        <v>3500</v>
      </c>
      <c r="G794" s="87">
        <f t="shared" si="12"/>
        <v>0</v>
      </c>
      <c r="H794" s="509"/>
      <c r="I794" s="509"/>
      <c r="J794" s="89"/>
      <c r="K794" s="522"/>
      <c r="L794" s="204"/>
      <c r="M794" s="661"/>
      <c r="N794" s="661"/>
    </row>
    <row r="795" spans="1:14" ht="15.75" x14ac:dyDescent="0.25">
      <c r="A795" s="87">
        <v>791</v>
      </c>
      <c r="B795" s="87" t="s">
        <v>1143</v>
      </c>
      <c r="C795" s="607" t="s">
        <v>1186</v>
      </c>
      <c r="D795" s="563">
        <v>25000</v>
      </c>
      <c r="E795" s="573">
        <v>266</v>
      </c>
      <c r="F795" s="563">
        <v>25000</v>
      </c>
      <c r="G795" s="87">
        <f t="shared" si="12"/>
        <v>0</v>
      </c>
      <c r="H795" s="509"/>
      <c r="I795" s="509"/>
      <c r="J795" s="89"/>
      <c r="K795" s="522"/>
      <c r="L795" s="204"/>
      <c r="M795" s="661"/>
      <c r="N795" s="661"/>
    </row>
    <row r="796" spans="1:14" ht="15.75" x14ac:dyDescent="0.25">
      <c r="A796" s="87">
        <v>792</v>
      </c>
      <c r="B796" s="87" t="s">
        <v>1143</v>
      </c>
      <c r="C796" s="555">
        <v>9035</v>
      </c>
      <c r="D796" s="563">
        <v>35000</v>
      </c>
      <c r="E796" s="573">
        <v>389</v>
      </c>
      <c r="F796" s="563">
        <v>35000</v>
      </c>
      <c r="G796" s="87">
        <f t="shared" si="12"/>
        <v>0</v>
      </c>
      <c r="H796" s="509"/>
      <c r="I796" s="509"/>
      <c r="J796" s="89"/>
      <c r="K796" s="522"/>
      <c r="L796" s="204"/>
      <c r="M796" s="661"/>
      <c r="N796" s="661"/>
    </row>
    <row r="797" spans="1:14" ht="15.75" x14ac:dyDescent="0.25">
      <c r="A797" s="87">
        <v>793</v>
      </c>
      <c r="B797" s="87" t="s">
        <v>1143</v>
      </c>
      <c r="C797" s="555" t="s">
        <v>1178</v>
      </c>
      <c r="D797" s="563">
        <v>210</v>
      </c>
      <c r="E797" s="573" t="s">
        <v>66</v>
      </c>
      <c r="F797" s="563">
        <v>210</v>
      </c>
      <c r="G797" s="87">
        <f t="shared" si="12"/>
        <v>0</v>
      </c>
      <c r="H797" s="509"/>
      <c r="I797" s="509"/>
      <c r="J797" s="89"/>
      <c r="K797" s="522"/>
      <c r="L797" s="204"/>
      <c r="M797" s="661"/>
      <c r="N797" s="661"/>
    </row>
    <row r="798" spans="1:14" ht="15.75" x14ac:dyDescent="0.25">
      <c r="A798" s="87">
        <v>794</v>
      </c>
      <c r="B798" s="87" t="s">
        <v>1143</v>
      </c>
      <c r="C798" s="555">
        <v>1550</v>
      </c>
      <c r="D798" s="563">
        <v>30000</v>
      </c>
      <c r="E798" s="573">
        <v>334</v>
      </c>
      <c r="F798" s="563">
        <v>30000</v>
      </c>
      <c r="G798" s="87">
        <f t="shared" si="12"/>
        <v>0</v>
      </c>
      <c r="H798" s="509"/>
      <c r="I798" s="509"/>
      <c r="J798" s="89"/>
      <c r="K798" s="522"/>
      <c r="L798" s="204"/>
      <c r="M798" s="661"/>
      <c r="N798" s="661"/>
    </row>
    <row r="799" spans="1:14" ht="15.75" x14ac:dyDescent="0.25">
      <c r="A799" s="87">
        <v>795</v>
      </c>
      <c r="B799" s="87" t="s">
        <v>1143</v>
      </c>
      <c r="C799" s="607" t="s">
        <v>1187</v>
      </c>
      <c r="D799" s="563">
        <v>30000</v>
      </c>
      <c r="E799" s="573">
        <v>334</v>
      </c>
      <c r="F799" s="563">
        <v>30000</v>
      </c>
      <c r="G799" s="87">
        <f t="shared" si="12"/>
        <v>0</v>
      </c>
      <c r="H799" s="509"/>
      <c r="I799" s="509"/>
      <c r="J799" s="89"/>
      <c r="K799" s="522"/>
      <c r="L799" s="204"/>
      <c r="M799" s="661"/>
      <c r="N799" s="661"/>
    </row>
    <row r="800" spans="1:14" ht="15.75" x14ac:dyDescent="0.25">
      <c r="A800" s="87">
        <v>796</v>
      </c>
      <c r="B800" s="87" t="s">
        <v>1143</v>
      </c>
      <c r="C800" s="555">
        <v>5340</v>
      </c>
      <c r="D800" s="563">
        <v>17000</v>
      </c>
      <c r="E800" s="573">
        <v>189</v>
      </c>
      <c r="F800" s="563">
        <v>17000</v>
      </c>
      <c r="G800" s="87">
        <f t="shared" si="12"/>
        <v>0</v>
      </c>
      <c r="H800" s="509"/>
      <c r="I800" s="509"/>
      <c r="J800" s="89"/>
      <c r="K800" s="522"/>
      <c r="L800" s="204"/>
      <c r="M800" s="661"/>
      <c r="N800" s="661"/>
    </row>
    <row r="801" spans="1:14" ht="15.75" x14ac:dyDescent="0.25">
      <c r="A801" s="87">
        <v>797</v>
      </c>
      <c r="B801" s="87" t="s">
        <v>1143</v>
      </c>
      <c r="C801" s="555">
        <v>8490</v>
      </c>
      <c r="D801" s="563">
        <v>30000</v>
      </c>
      <c r="E801" s="573">
        <v>323</v>
      </c>
      <c r="F801" s="563">
        <v>30000</v>
      </c>
      <c r="G801" s="87">
        <f t="shared" si="12"/>
        <v>0</v>
      </c>
      <c r="H801" s="509"/>
      <c r="I801" s="509"/>
      <c r="J801" s="89"/>
      <c r="K801" s="522"/>
      <c r="L801" s="204"/>
      <c r="M801" s="661"/>
      <c r="N801" s="661"/>
    </row>
    <row r="802" spans="1:14" ht="15.75" x14ac:dyDescent="0.25">
      <c r="A802" s="87">
        <v>798</v>
      </c>
      <c r="B802" s="87" t="s">
        <v>1143</v>
      </c>
      <c r="C802" s="555">
        <v>1141</v>
      </c>
      <c r="D802" s="563">
        <v>30000</v>
      </c>
      <c r="E802" s="573">
        <v>334</v>
      </c>
      <c r="F802" s="563">
        <v>30000</v>
      </c>
      <c r="G802" s="87">
        <f t="shared" si="12"/>
        <v>0</v>
      </c>
      <c r="H802" s="509"/>
      <c r="I802" s="509"/>
      <c r="J802" s="89"/>
      <c r="K802" s="522"/>
      <c r="L802" s="204"/>
      <c r="M802" s="661"/>
      <c r="N802" s="661"/>
    </row>
    <row r="803" spans="1:14" ht="15.75" x14ac:dyDescent="0.25">
      <c r="A803" s="87">
        <v>799</v>
      </c>
      <c r="B803" s="87" t="s">
        <v>1143</v>
      </c>
      <c r="C803" s="555">
        <v>4584</v>
      </c>
      <c r="D803" s="563">
        <v>12000</v>
      </c>
      <c r="E803" s="573">
        <v>133</v>
      </c>
      <c r="F803" s="563">
        <v>12000</v>
      </c>
      <c r="G803" s="87">
        <f t="shared" si="12"/>
        <v>0</v>
      </c>
      <c r="H803" s="509"/>
      <c r="I803" s="509"/>
      <c r="J803" s="89"/>
      <c r="K803" s="522"/>
      <c r="L803" s="204"/>
      <c r="M803" s="661"/>
      <c r="N803" s="661"/>
    </row>
    <row r="804" spans="1:14" ht="15.75" x14ac:dyDescent="0.25">
      <c r="A804" s="87">
        <v>800</v>
      </c>
      <c r="B804" s="87" t="s">
        <v>1143</v>
      </c>
      <c r="C804" s="555">
        <v>7816</v>
      </c>
      <c r="D804" s="563">
        <v>20000</v>
      </c>
      <c r="E804" s="573">
        <v>222</v>
      </c>
      <c r="F804" s="563">
        <v>20000</v>
      </c>
      <c r="G804" s="87">
        <f t="shared" si="12"/>
        <v>0</v>
      </c>
      <c r="H804" s="509"/>
      <c r="I804" s="509"/>
      <c r="J804" s="89"/>
      <c r="K804" s="522"/>
      <c r="L804" s="204"/>
      <c r="M804" s="661"/>
      <c r="N804" s="661"/>
    </row>
    <row r="805" spans="1:14" ht="15.75" x14ac:dyDescent="0.25">
      <c r="A805" s="87">
        <v>801</v>
      </c>
      <c r="B805" s="87" t="s">
        <v>1143</v>
      </c>
      <c r="C805" s="555">
        <v>7226</v>
      </c>
      <c r="D805" s="563">
        <v>27000</v>
      </c>
      <c r="E805" s="573">
        <v>300</v>
      </c>
      <c r="F805" s="563">
        <v>27000</v>
      </c>
      <c r="G805" s="87">
        <f t="shared" si="12"/>
        <v>0</v>
      </c>
      <c r="H805" s="509"/>
      <c r="I805" s="509"/>
      <c r="J805" s="89"/>
      <c r="K805" s="522"/>
      <c r="L805" s="204"/>
      <c r="M805" s="661"/>
      <c r="N805" s="661"/>
    </row>
    <row r="806" spans="1:14" ht="15.75" x14ac:dyDescent="0.25">
      <c r="A806" s="87">
        <v>802</v>
      </c>
      <c r="B806" s="87" t="s">
        <v>1143</v>
      </c>
      <c r="C806" s="555" t="s">
        <v>1068</v>
      </c>
      <c r="D806" s="563">
        <v>120</v>
      </c>
      <c r="E806" s="573" t="s">
        <v>66</v>
      </c>
      <c r="F806" s="563">
        <v>120</v>
      </c>
      <c r="G806" s="87">
        <f t="shared" si="12"/>
        <v>0</v>
      </c>
      <c r="H806" s="509"/>
      <c r="I806" s="509"/>
      <c r="J806" s="89"/>
      <c r="K806" s="522"/>
      <c r="L806" s="204"/>
      <c r="M806" s="661"/>
      <c r="N806" s="661"/>
    </row>
    <row r="807" spans="1:14" ht="15.75" x14ac:dyDescent="0.25">
      <c r="A807" s="87">
        <v>803</v>
      </c>
      <c r="B807" s="87" t="s">
        <v>1144</v>
      </c>
      <c r="C807" s="555">
        <v>9977</v>
      </c>
      <c r="D807" s="563">
        <v>18000</v>
      </c>
      <c r="E807" s="573">
        <v>196</v>
      </c>
      <c r="F807" s="563">
        <v>18000</v>
      </c>
      <c r="G807" s="87">
        <f t="shared" si="12"/>
        <v>0</v>
      </c>
      <c r="H807" s="509"/>
      <c r="I807" s="509"/>
      <c r="J807" s="89"/>
      <c r="K807" s="522"/>
      <c r="L807" s="204"/>
      <c r="M807" s="661"/>
      <c r="N807" s="661"/>
    </row>
    <row r="808" spans="1:14" ht="15.75" x14ac:dyDescent="0.25">
      <c r="A808" s="87">
        <v>804</v>
      </c>
      <c r="B808" s="87" t="s">
        <v>1144</v>
      </c>
      <c r="C808" s="555">
        <v>8534</v>
      </c>
      <c r="D808" s="563">
        <v>25000</v>
      </c>
      <c r="E808" s="573">
        <v>278</v>
      </c>
      <c r="F808" s="563">
        <v>25000</v>
      </c>
      <c r="G808" s="87">
        <f t="shared" si="12"/>
        <v>0</v>
      </c>
      <c r="H808" s="509"/>
      <c r="I808" s="509"/>
      <c r="J808" s="89"/>
      <c r="K808" s="522"/>
      <c r="L808" s="204"/>
      <c r="M808" s="661"/>
      <c r="N808" s="661"/>
    </row>
    <row r="809" spans="1:14" ht="15.75" x14ac:dyDescent="0.25">
      <c r="A809" s="87">
        <v>805</v>
      </c>
      <c r="B809" s="87" t="s">
        <v>1144</v>
      </c>
      <c r="C809" s="555">
        <v>1197</v>
      </c>
      <c r="D809" s="563">
        <v>30000</v>
      </c>
      <c r="E809" s="573">
        <v>334</v>
      </c>
      <c r="F809" s="563">
        <v>30000</v>
      </c>
      <c r="G809" s="87">
        <f t="shared" si="12"/>
        <v>0</v>
      </c>
      <c r="H809" s="509"/>
      <c r="I809" s="509"/>
      <c r="J809" s="89"/>
      <c r="K809" s="522"/>
      <c r="L809" s="204"/>
      <c r="M809" s="661"/>
      <c r="N809" s="661"/>
    </row>
    <row r="810" spans="1:14" ht="15.75" x14ac:dyDescent="0.25">
      <c r="A810" s="87">
        <v>806</v>
      </c>
      <c r="B810" s="87" t="s">
        <v>1144</v>
      </c>
      <c r="C810" s="555">
        <v>6133</v>
      </c>
      <c r="D810" s="563">
        <v>21000</v>
      </c>
      <c r="E810" s="573">
        <v>233</v>
      </c>
      <c r="F810" s="563">
        <v>21000</v>
      </c>
      <c r="G810" s="87">
        <f t="shared" si="12"/>
        <v>0</v>
      </c>
      <c r="H810" s="509"/>
      <c r="I810" s="509"/>
      <c r="J810" s="89"/>
      <c r="K810" s="522"/>
      <c r="L810" s="204"/>
      <c r="M810" s="661"/>
      <c r="N810" s="661"/>
    </row>
    <row r="811" spans="1:14" ht="15.75" x14ac:dyDescent="0.25">
      <c r="A811" s="87">
        <v>807</v>
      </c>
      <c r="B811" s="87" t="s">
        <v>1144</v>
      </c>
      <c r="C811" s="555">
        <v>5152</v>
      </c>
      <c r="D811" s="563">
        <v>14000</v>
      </c>
      <c r="E811" s="573">
        <v>155</v>
      </c>
      <c r="F811" s="563">
        <v>14000</v>
      </c>
      <c r="G811" s="87">
        <f t="shared" si="12"/>
        <v>0</v>
      </c>
      <c r="H811" s="509"/>
      <c r="I811" s="509"/>
      <c r="J811" s="89"/>
      <c r="K811" s="522"/>
      <c r="L811" s="204"/>
      <c r="M811" s="661"/>
      <c r="N811" s="661"/>
    </row>
    <row r="812" spans="1:14" ht="15.75" x14ac:dyDescent="0.25">
      <c r="A812" s="87">
        <v>808</v>
      </c>
      <c r="B812" s="87" t="s">
        <v>1144</v>
      </c>
      <c r="C812" s="555" t="s">
        <v>30</v>
      </c>
      <c r="D812" s="563">
        <v>3500</v>
      </c>
      <c r="E812" s="573">
        <v>39</v>
      </c>
      <c r="F812" s="563">
        <v>3500</v>
      </c>
      <c r="G812" s="87">
        <f t="shared" si="12"/>
        <v>0</v>
      </c>
      <c r="H812" s="509"/>
      <c r="I812" s="509"/>
      <c r="J812" s="89"/>
      <c r="K812" s="522"/>
      <c r="L812" s="204"/>
      <c r="M812" s="661"/>
      <c r="N812" s="661"/>
    </row>
    <row r="813" spans="1:14" ht="15.75" x14ac:dyDescent="0.25">
      <c r="A813" s="87">
        <v>809</v>
      </c>
      <c r="B813" s="87" t="s">
        <v>1144</v>
      </c>
      <c r="C813" s="555">
        <v>6207</v>
      </c>
      <c r="D813" s="563">
        <v>21000</v>
      </c>
      <c r="E813" s="573">
        <v>233</v>
      </c>
      <c r="F813" s="563">
        <v>21000</v>
      </c>
      <c r="G813" s="87">
        <f t="shared" si="12"/>
        <v>0</v>
      </c>
      <c r="H813" s="509"/>
      <c r="I813" s="509"/>
      <c r="J813" s="89"/>
      <c r="K813" s="522"/>
      <c r="L813" s="204"/>
      <c r="M813" s="661"/>
      <c r="N813" s="661"/>
    </row>
    <row r="814" spans="1:14" ht="15.75" x14ac:dyDescent="0.25">
      <c r="A814" s="87">
        <v>810</v>
      </c>
      <c r="B814" s="87" t="s">
        <v>1144</v>
      </c>
      <c r="C814" s="555">
        <v>8793</v>
      </c>
      <c r="D814" s="563">
        <v>22000</v>
      </c>
      <c r="E814" s="573">
        <v>245</v>
      </c>
      <c r="F814" s="563">
        <v>22000</v>
      </c>
      <c r="G814" s="87">
        <f t="shared" si="12"/>
        <v>0</v>
      </c>
      <c r="H814" s="509"/>
      <c r="I814" s="509"/>
      <c r="J814" s="89"/>
      <c r="K814" s="522"/>
      <c r="L814" s="204"/>
      <c r="M814" s="661"/>
      <c r="N814" s="661"/>
    </row>
    <row r="815" spans="1:14" ht="15.75" x14ac:dyDescent="0.25">
      <c r="A815" s="87">
        <v>811</v>
      </c>
      <c r="B815" s="87" t="s">
        <v>1144</v>
      </c>
      <c r="C815" s="555">
        <v>2843</v>
      </c>
      <c r="D815" s="563">
        <v>20000</v>
      </c>
      <c r="E815" s="573">
        <v>222</v>
      </c>
      <c r="F815" s="563">
        <v>20000</v>
      </c>
      <c r="G815" s="87">
        <f t="shared" si="12"/>
        <v>0</v>
      </c>
      <c r="H815" s="509"/>
      <c r="I815" s="509"/>
      <c r="J815" s="89"/>
      <c r="K815" s="522"/>
      <c r="L815" s="204"/>
      <c r="M815" s="661"/>
      <c r="N815" s="661"/>
    </row>
    <row r="816" spans="1:14" ht="15.75" x14ac:dyDescent="0.25">
      <c r="A816" s="87">
        <v>812</v>
      </c>
      <c r="B816" s="87" t="s">
        <v>1144</v>
      </c>
      <c r="C816" s="555">
        <v>7761</v>
      </c>
      <c r="D816" s="563">
        <v>21000</v>
      </c>
      <c r="E816" s="573">
        <v>225</v>
      </c>
      <c r="F816" s="563">
        <v>21000</v>
      </c>
      <c r="G816" s="87">
        <f t="shared" si="12"/>
        <v>0</v>
      </c>
      <c r="H816" s="509"/>
      <c r="I816" s="509"/>
      <c r="J816" s="89"/>
      <c r="K816" s="522"/>
      <c r="L816" s="204"/>
      <c r="M816" s="661"/>
      <c r="N816" s="661"/>
    </row>
    <row r="817" spans="1:14" ht="15.75" x14ac:dyDescent="0.25">
      <c r="A817" s="87">
        <v>813</v>
      </c>
      <c r="B817" s="87" t="s">
        <v>1144</v>
      </c>
      <c r="C817" s="555">
        <v>2723</v>
      </c>
      <c r="D817" s="563">
        <v>15000</v>
      </c>
      <c r="E817" s="573">
        <v>167</v>
      </c>
      <c r="F817" s="563">
        <v>15000</v>
      </c>
      <c r="G817" s="87">
        <f t="shared" si="12"/>
        <v>0</v>
      </c>
      <c r="H817" s="509"/>
      <c r="I817" s="509"/>
      <c r="J817" s="89"/>
      <c r="K817" s="522"/>
      <c r="L817" s="204"/>
      <c r="M817" s="661"/>
      <c r="N817" s="661"/>
    </row>
    <row r="818" spans="1:14" ht="15.75" x14ac:dyDescent="0.25">
      <c r="A818" s="87">
        <v>814</v>
      </c>
      <c r="B818" s="87" t="s">
        <v>1144</v>
      </c>
      <c r="C818" s="555">
        <v>7122</v>
      </c>
      <c r="D818" s="563">
        <v>26000</v>
      </c>
      <c r="E818" s="573">
        <v>289</v>
      </c>
      <c r="F818" s="563">
        <v>26000</v>
      </c>
      <c r="G818" s="87">
        <f t="shared" si="12"/>
        <v>0</v>
      </c>
      <c r="H818" s="509"/>
      <c r="I818" s="509"/>
      <c r="J818" s="89"/>
      <c r="K818" s="522"/>
      <c r="L818" s="204"/>
      <c r="M818" s="661"/>
      <c r="N818" s="661"/>
    </row>
    <row r="819" spans="1:14" ht="15.75" x14ac:dyDescent="0.25">
      <c r="A819" s="87">
        <v>815</v>
      </c>
      <c r="B819" s="87" t="s">
        <v>1144</v>
      </c>
      <c r="C819" s="555">
        <v>7611</v>
      </c>
      <c r="D819" s="563">
        <v>18000</v>
      </c>
      <c r="E819" s="573">
        <v>200</v>
      </c>
      <c r="F819" s="563">
        <v>18000</v>
      </c>
      <c r="G819" s="87">
        <f t="shared" si="12"/>
        <v>0</v>
      </c>
      <c r="H819" s="509"/>
      <c r="I819" s="509"/>
      <c r="J819" s="89"/>
      <c r="K819" s="522"/>
      <c r="L819" s="204"/>
      <c r="M819" s="661"/>
      <c r="N819" s="661"/>
    </row>
    <row r="820" spans="1:14" ht="15.75" x14ac:dyDescent="0.25">
      <c r="A820" s="87">
        <v>816</v>
      </c>
      <c r="B820" s="87" t="s">
        <v>1144</v>
      </c>
      <c r="C820" s="555">
        <v>1497</v>
      </c>
      <c r="D820" s="563">
        <v>32000</v>
      </c>
      <c r="E820" s="573">
        <v>353</v>
      </c>
      <c r="F820" s="563">
        <v>32000</v>
      </c>
      <c r="G820" s="87">
        <f t="shared" si="12"/>
        <v>0</v>
      </c>
      <c r="H820" s="509"/>
      <c r="I820" s="509"/>
      <c r="J820" s="89"/>
      <c r="K820" s="522"/>
      <c r="L820" s="204"/>
      <c r="M820" s="661"/>
      <c r="N820" s="661"/>
    </row>
    <row r="821" spans="1:14" ht="15.75" x14ac:dyDescent="0.25">
      <c r="A821" s="87">
        <v>817</v>
      </c>
      <c r="B821" s="87" t="s">
        <v>1144</v>
      </c>
      <c r="C821" s="555">
        <v>6671</v>
      </c>
      <c r="D821" s="563">
        <v>16000</v>
      </c>
      <c r="E821" s="573">
        <v>178</v>
      </c>
      <c r="F821" s="563">
        <v>16000</v>
      </c>
      <c r="G821" s="87">
        <f t="shared" si="12"/>
        <v>0</v>
      </c>
      <c r="H821" s="509"/>
      <c r="I821" s="509"/>
      <c r="J821" s="89"/>
      <c r="K821" s="522"/>
      <c r="L821" s="204"/>
      <c r="M821" s="661"/>
      <c r="N821" s="661"/>
    </row>
    <row r="822" spans="1:14" ht="15.75" x14ac:dyDescent="0.25">
      <c r="A822" s="87">
        <v>818</v>
      </c>
      <c r="B822" s="87" t="s">
        <v>1144</v>
      </c>
      <c r="C822" s="555">
        <v>4924</v>
      </c>
      <c r="D822" s="563">
        <v>21000</v>
      </c>
      <c r="E822" s="573">
        <v>233</v>
      </c>
      <c r="F822" s="563">
        <v>21000</v>
      </c>
      <c r="G822" s="87">
        <f t="shared" si="12"/>
        <v>0</v>
      </c>
      <c r="H822" s="509"/>
      <c r="I822" s="509"/>
      <c r="J822" s="89"/>
      <c r="K822" s="522"/>
      <c r="L822" s="204"/>
      <c r="M822" s="661"/>
      <c r="N822" s="661"/>
    </row>
    <row r="823" spans="1:14" ht="15.75" x14ac:dyDescent="0.25">
      <c r="A823" s="87">
        <v>819</v>
      </c>
      <c r="B823" s="87" t="s">
        <v>1144</v>
      </c>
      <c r="C823" s="555">
        <v>9880</v>
      </c>
      <c r="D823" s="563">
        <v>25000</v>
      </c>
      <c r="E823" s="573">
        <v>278</v>
      </c>
      <c r="F823" s="563">
        <v>25000</v>
      </c>
      <c r="G823" s="87">
        <f t="shared" si="12"/>
        <v>0</v>
      </c>
      <c r="H823" s="509"/>
      <c r="I823" s="509"/>
      <c r="J823" s="89"/>
      <c r="K823" s="522"/>
      <c r="L823" s="204"/>
      <c r="M823" s="661"/>
      <c r="N823" s="661"/>
    </row>
    <row r="824" spans="1:14" ht="15.75" x14ac:dyDescent="0.25">
      <c r="A824" s="87">
        <v>820</v>
      </c>
      <c r="B824" s="87" t="s">
        <v>1144</v>
      </c>
      <c r="C824" s="555">
        <v>1226</v>
      </c>
      <c r="D824" s="563">
        <v>19000</v>
      </c>
      <c r="E824" s="573">
        <v>211</v>
      </c>
      <c r="F824" s="563">
        <v>19000</v>
      </c>
      <c r="G824" s="87">
        <f t="shared" si="12"/>
        <v>0</v>
      </c>
      <c r="H824" s="509"/>
      <c r="I824" s="509"/>
      <c r="J824" s="89"/>
      <c r="K824" s="522"/>
      <c r="L824" s="204"/>
      <c r="M824" s="661"/>
      <c r="N824" s="661"/>
    </row>
    <row r="825" spans="1:14" ht="15.75" x14ac:dyDescent="0.25">
      <c r="A825" s="87">
        <v>821</v>
      </c>
      <c r="B825" s="87" t="s">
        <v>1144</v>
      </c>
      <c r="C825" s="555">
        <v>2062</v>
      </c>
      <c r="D825" s="563">
        <v>6000</v>
      </c>
      <c r="E825" s="573">
        <v>66</v>
      </c>
      <c r="F825" s="563">
        <v>6000</v>
      </c>
      <c r="G825" s="87">
        <f t="shared" si="12"/>
        <v>0</v>
      </c>
      <c r="H825" s="509"/>
      <c r="I825" s="509"/>
      <c r="J825" s="89"/>
      <c r="K825" s="522"/>
      <c r="L825" s="204"/>
      <c r="M825" s="661"/>
      <c r="N825" s="661"/>
    </row>
    <row r="826" spans="1:14" ht="15.75" x14ac:dyDescent="0.25">
      <c r="A826" s="87">
        <v>822</v>
      </c>
      <c r="B826" s="87" t="s">
        <v>1144</v>
      </c>
      <c r="C826" s="555">
        <v>4602</v>
      </c>
      <c r="D826" s="563">
        <v>17000</v>
      </c>
      <c r="E826" s="573">
        <v>189</v>
      </c>
      <c r="F826" s="563">
        <v>17000</v>
      </c>
      <c r="G826" s="87">
        <f t="shared" si="12"/>
        <v>0</v>
      </c>
      <c r="H826" s="509"/>
      <c r="I826" s="509"/>
      <c r="J826" s="89"/>
      <c r="K826" s="522"/>
      <c r="L826" s="204"/>
      <c r="M826" s="661"/>
      <c r="N826" s="661"/>
    </row>
    <row r="827" spans="1:14" ht="15.75" x14ac:dyDescent="0.25">
      <c r="A827" s="87">
        <v>823</v>
      </c>
      <c r="B827" s="87" t="s">
        <v>1144</v>
      </c>
      <c r="C827" s="607" t="s">
        <v>1166</v>
      </c>
      <c r="D827" s="563">
        <v>25000</v>
      </c>
      <c r="E827" s="573">
        <v>278</v>
      </c>
      <c r="F827" s="563">
        <v>25000</v>
      </c>
      <c r="G827" s="87">
        <f t="shared" si="12"/>
        <v>0</v>
      </c>
      <c r="H827" s="509"/>
      <c r="I827" s="509"/>
      <c r="J827" s="89"/>
      <c r="K827" s="522"/>
      <c r="L827" s="204"/>
      <c r="M827" s="661"/>
      <c r="N827" s="661"/>
    </row>
    <row r="828" spans="1:14" ht="15.75" x14ac:dyDescent="0.25">
      <c r="A828" s="87">
        <v>824</v>
      </c>
      <c r="B828" s="87" t="s">
        <v>1144</v>
      </c>
      <c r="C828" s="555">
        <v>4528</v>
      </c>
      <c r="D828" s="563">
        <v>35000</v>
      </c>
      <c r="E828" s="573">
        <v>389</v>
      </c>
      <c r="F828" s="563">
        <v>35000</v>
      </c>
      <c r="G828" s="87">
        <f t="shared" si="12"/>
        <v>0</v>
      </c>
      <c r="H828" s="509"/>
      <c r="I828" s="509"/>
      <c r="J828" s="89"/>
      <c r="K828" s="522"/>
      <c r="L828" s="204"/>
      <c r="M828" s="661"/>
      <c r="N828" s="661"/>
    </row>
    <row r="829" spans="1:14" ht="15.75" x14ac:dyDescent="0.25">
      <c r="A829" s="87">
        <v>825</v>
      </c>
      <c r="B829" s="87" t="s">
        <v>1144</v>
      </c>
      <c r="C829" s="555">
        <v>4872</v>
      </c>
      <c r="D829" s="563">
        <v>23000</v>
      </c>
      <c r="E829" s="573">
        <v>256</v>
      </c>
      <c r="F829" s="563">
        <v>23000</v>
      </c>
      <c r="G829" s="87">
        <f t="shared" si="12"/>
        <v>0</v>
      </c>
      <c r="H829" s="509"/>
      <c r="I829" s="509"/>
      <c r="J829" s="89"/>
      <c r="K829" s="522"/>
      <c r="L829" s="204"/>
      <c r="M829" s="661"/>
      <c r="N829" s="661"/>
    </row>
    <row r="830" spans="1:14" ht="15.75" x14ac:dyDescent="0.25">
      <c r="A830" s="87">
        <v>826</v>
      </c>
      <c r="B830" s="87" t="s">
        <v>1144</v>
      </c>
      <c r="C830" s="555">
        <v>3954</v>
      </c>
      <c r="D830" s="563">
        <v>29000</v>
      </c>
      <c r="E830" s="573">
        <v>307</v>
      </c>
      <c r="F830" s="563">
        <v>29000</v>
      </c>
      <c r="G830" s="87">
        <f t="shared" si="12"/>
        <v>0</v>
      </c>
      <c r="H830" s="509"/>
      <c r="I830" s="509"/>
      <c r="J830" s="89"/>
      <c r="K830" s="522"/>
      <c r="L830" s="204"/>
      <c r="M830" s="661"/>
      <c r="N830" s="661"/>
    </row>
    <row r="831" spans="1:14" ht="15.75" x14ac:dyDescent="0.25">
      <c r="A831" s="87">
        <v>827</v>
      </c>
      <c r="B831" s="87" t="s">
        <v>1144</v>
      </c>
      <c r="C831" s="555">
        <v>7878</v>
      </c>
      <c r="D831" s="563">
        <v>25000</v>
      </c>
      <c r="E831" s="573">
        <v>219</v>
      </c>
      <c r="F831" s="563">
        <v>25000</v>
      </c>
      <c r="G831" s="87">
        <f t="shared" si="12"/>
        <v>0</v>
      </c>
      <c r="H831" s="509"/>
      <c r="I831" s="509"/>
      <c r="J831" s="89"/>
      <c r="K831" s="522"/>
      <c r="L831" s="204"/>
      <c r="M831" s="661"/>
      <c r="N831" s="661"/>
    </row>
    <row r="832" spans="1:14" ht="15.75" x14ac:dyDescent="0.25">
      <c r="A832" s="87">
        <v>828</v>
      </c>
      <c r="B832" s="87" t="s">
        <v>1144</v>
      </c>
      <c r="C832" s="555">
        <v>7775</v>
      </c>
      <c r="D832" s="563">
        <v>25000</v>
      </c>
      <c r="E832" s="573">
        <v>212</v>
      </c>
      <c r="F832" s="563">
        <v>25000</v>
      </c>
      <c r="G832" s="87">
        <f t="shared" si="12"/>
        <v>0</v>
      </c>
      <c r="H832" s="509"/>
      <c r="I832" s="509"/>
      <c r="J832" s="89"/>
      <c r="K832" s="522"/>
      <c r="L832" s="204"/>
      <c r="M832" s="661"/>
      <c r="N832" s="661"/>
    </row>
    <row r="833" spans="1:14" ht="15.75" x14ac:dyDescent="0.25">
      <c r="A833" s="87">
        <v>829</v>
      </c>
      <c r="B833" s="87" t="s">
        <v>1144</v>
      </c>
      <c r="C833" s="555">
        <v>1684</v>
      </c>
      <c r="D833" s="563">
        <v>32000</v>
      </c>
      <c r="E833" s="573">
        <v>356</v>
      </c>
      <c r="F833" s="563">
        <v>32000</v>
      </c>
      <c r="G833" s="87">
        <f t="shared" si="12"/>
        <v>0</v>
      </c>
      <c r="H833" s="509"/>
      <c r="I833" s="509"/>
      <c r="J833" s="89"/>
      <c r="K833" s="522"/>
      <c r="L833" s="204"/>
      <c r="M833" s="661"/>
      <c r="N833" s="661"/>
    </row>
    <row r="834" spans="1:14" ht="15.75" x14ac:dyDescent="0.25">
      <c r="A834" s="87">
        <v>830</v>
      </c>
      <c r="B834" s="87" t="s">
        <v>1144</v>
      </c>
      <c r="C834" s="555">
        <v>5138</v>
      </c>
      <c r="D834" s="563">
        <v>20000</v>
      </c>
      <c r="E834" s="573">
        <v>222</v>
      </c>
      <c r="F834" s="563">
        <v>20000</v>
      </c>
      <c r="G834" s="87">
        <f t="shared" si="12"/>
        <v>0</v>
      </c>
      <c r="H834" s="509"/>
      <c r="I834" s="509"/>
      <c r="J834" s="89"/>
      <c r="K834" s="522"/>
      <c r="L834" s="204"/>
      <c r="M834" s="661"/>
      <c r="N834" s="661"/>
    </row>
    <row r="835" spans="1:14" ht="15.75" x14ac:dyDescent="0.25">
      <c r="A835" s="87">
        <v>831</v>
      </c>
      <c r="B835" s="87" t="s">
        <v>1144</v>
      </c>
      <c r="C835" s="555">
        <v>8296</v>
      </c>
      <c r="D835" s="563">
        <v>22000</v>
      </c>
      <c r="E835" s="573">
        <v>245</v>
      </c>
      <c r="F835" s="563">
        <v>22000</v>
      </c>
      <c r="G835" s="87">
        <f t="shared" si="12"/>
        <v>0</v>
      </c>
      <c r="H835" s="509"/>
      <c r="I835" s="509"/>
      <c r="J835" s="89"/>
      <c r="K835" s="522"/>
      <c r="L835" s="204"/>
      <c r="M835" s="661"/>
      <c r="N835" s="661"/>
    </row>
    <row r="836" spans="1:14" ht="15.75" x14ac:dyDescent="0.25">
      <c r="A836" s="87">
        <v>832</v>
      </c>
      <c r="B836" s="87" t="s">
        <v>1144</v>
      </c>
      <c r="C836" s="555">
        <v>3613</v>
      </c>
      <c r="D836" s="563">
        <v>28000</v>
      </c>
      <c r="E836" s="573">
        <v>301</v>
      </c>
      <c r="F836" s="563">
        <v>28000</v>
      </c>
      <c r="G836" s="87">
        <f t="shared" si="12"/>
        <v>0</v>
      </c>
      <c r="H836" s="509"/>
      <c r="I836" s="509"/>
      <c r="J836" s="89"/>
      <c r="K836" s="522"/>
      <c r="L836" s="204"/>
      <c r="M836" s="661"/>
      <c r="N836" s="661"/>
    </row>
    <row r="837" spans="1:14" ht="15.75" x14ac:dyDescent="0.25">
      <c r="A837" s="87">
        <v>833</v>
      </c>
      <c r="B837" s="87" t="s">
        <v>1144</v>
      </c>
      <c r="C837" s="555">
        <v>9628</v>
      </c>
      <c r="D837" s="563">
        <v>30000</v>
      </c>
      <c r="E837" s="573">
        <v>334</v>
      </c>
      <c r="F837" s="563">
        <v>30000</v>
      </c>
      <c r="G837" s="87">
        <f t="shared" ref="G837:G890" si="13">D837-F837</f>
        <v>0</v>
      </c>
      <c r="H837" s="509"/>
      <c r="I837" s="509"/>
      <c r="J837" s="89"/>
      <c r="K837" s="522"/>
      <c r="L837" s="204"/>
      <c r="M837" s="661"/>
      <c r="N837" s="661"/>
    </row>
    <row r="838" spans="1:14" ht="15.75" x14ac:dyDescent="0.25">
      <c r="A838" s="87">
        <v>834</v>
      </c>
      <c r="B838" s="87" t="s">
        <v>1144</v>
      </c>
      <c r="C838" s="555" t="s">
        <v>30</v>
      </c>
      <c r="D838" s="563">
        <v>4500</v>
      </c>
      <c r="E838" s="573">
        <v>50</v>
      </c>
      <c r="F838" s="563">
        <v>4500</v>
      </c>
      <c r="G838" s="87">
        <f t="shared" si="13"/>
        <v>0</v>
      </c>
      <c r="H838" s="509"/>
      <c r="I838" s="509"/>
      <c r="J838" s="89"/>
      <c r="K838" s="522"/>
      <c r="L838" s="204"/>
      <c r="M838" s="661"/>
      <c r="N838" s="661"/>
    </row>
    <row r="839" spans="1:14" ht="15.75" x14ac:dyDescent="0.25">
      <c r="A839" s="87">
        <v>835</v>
      </c>
      <c r="B839" s="87" t="s">
        <v>1144</v>
      </c>
      <c r="C839" s="555">
        <v>1597</v>
      </c>
      <c r="D839" s="563">
        <v>30000</v>
      </c>
      <c r="E839" s="573">
        <v>339</v>
      </c>
      <c r="F839" s="563">
        <v>30000</v>
      </c>
      <c r="G839" s="87">
        <f t="shared" si="13"/>
        <v>0</v>
      </c>
      <c r="H839" s="509"/>
      <c r="I839" s="509"/>
      <c r="J839" s="89"/>
      <c r="K839" s="522"/>
      <c r="L839" s="204"/>
      <c r="M839" s="661"/>
      <c r="N839" s="661"/>
    </row>
    <row r="840" spans="1:14" ht="15.75" x14ac:dyDescent="0.25">
      <c r="A840" s="87">
        <v>836</v>
      </c>
      <c r="B840" s="87" t="s">
        <v>1144</v>
      </c>
      <c r="C840" s="555">
        <v>2232</v>
      </c>
      <c r="D840" s="563">
        <v>30500</v>
      </c>
      <c r="E840" s="573">
        <v>339</v>
      </c>
      <c r="F840" s="563">
        <v>30500</v>
      </c>
      <c r="G840" s="87">
        <f t="shared" si="13"/>
        <v>0</v>
      </c>
      <c r="H840" s="509"/>
      <c r="I840" s="509"/>
      <c r="J840" s="89"/>
      <c r="K840" s="522"/>
      <c r="L840" s="204"/>
      <c r="M840" s="661"/>
      <c r="N840" s="661"/>
    </row>
    <row r="841" spans="1:14" ht="15.75" x14ac:dyDescent="0.25">
      <c r="A841" s="87">
        <v>837</v>
      </c>
      <c r="B841" s="87" t="s">
        <v>1144</v>
      </c>
      <c r="C841" s="555">
        <v>6777</v>
      </c>
      <c r="D841" s="563">
        <v>25000</v>
      </c>
      <c r="E841" s="573">
        <v>278</v>
      </c>
      <c r="F841" s="563">
        <v>25000</v>
      </c>
      <c r="G841" s="87">
        <f t="shared" si="13"/>
        <v>0</v>
      </c>
      <c r="H841" s="509"/>
      <c r="I841" s="509"/>
      <c r="J841" s="89"/>
      <c r="K841" s="522"/>
      <c r="L841" s="204"/>
      <c r="M841" s="661"/>
      <c r="N841" s="661"/>
    </row>
    <row r="842" spans="1:14" ht="15.75" x14ac:dyDescent="0.25">
      <c r="A842" s="87">
        <v>838</v>
      </c>
      <c r="B842" s="87" t="s">
        <v>1145</v>
      </c>
      <c r="C842" s="555">
        <v>8587</v>
      </c>
      <c r="D842" s="563">
        <v>15000</v>
      </c>
      <c r="E842" s="573">
        <v>167</v>
      </c>
      <c r="F842" s="563">
        <v>15000</v>
      </c>
      <c r="G842" s="87">
        <f t="shared" si="13"/>
        <v>0</v>
      </c>
      <c r="H842" s="509"/>
      <c r="I842" s="509"/>
      <c r="J842" s="89"/>
      <c r="K842" s="522"/>
      <c r="L842" s="204"/>
      <c r="M842" s="661"/>
      <c r="N842" s="661"/>
    </row>
    <row r="843" spans="1:14" ht="15.75" x14ac:dyDescent="0.25">
      <c r="A843" s="87">
        <v>839</v>
      </c>
      <c r="B843" s="87" t="s">
        <v>1145</v>
      </c>
      <c r="C843" s="555">
        <v>2962</v>
      </c>
      <c r="D843" s="563">
        <v>15000</v>
      </c>
      <c r="E843" s="573">
        <v>167</v>
      </c>
      <c r="F843" s="563">
        <v>15000</v>
      </c>
      <c r="G843" s="87">
        <f t="shared" si="13"/>
        <v>0</v>
      </c>
      <c r="H843" s="509"/>
      <c r="I843" s="509"/>
      <c r="J843" s="89"/>
      <c r="K843" s="522"/>
      <c r="L843" s="204"/>
      <c r="M843" s="661"/>
      <c r="N843" s="661"/>
    </row>
    <row r="844" spans="1:14" ht="15.75" x14ac:dyDescent="0.25">
      <c r="A844" s="87">
        <v>840</v>
      </c>
      <c r="B844" s="87" t="s">
        <v>1145</v>
      </c>
      <c r="C844" s="555">
        <v>8326</v>
      </c>
      <c r="D844" s="563">
        <v>15000</v>
      </c>
      <c r="E844" s="573">
        <v>167</v>
      </c>
      <c r="F844" s="563">
        <v>15000</v>
      </c>
      <c r="G844" s="87">
        <f t="shared" si="13"/>
        <v>0</v>
      </c>
      <c r="H844" s="509"/>
      <c r="I844" s="509"/>
      <c r="J844" s="89"/>
      <c r="K844" s="522"/>
      <c r="L844" s="204"/>
      <c r="M844" s="661"/>
      <c r="N844" s="661"/>
    </row>
    <row r="845" spans="1:14" ht="15.75" x14ac:dyDescent="0.25">
      <c r="A845" s="87">
        <v>841</v>
      </c>
      <c r="B845" s="87" t="s">
        <v>1145</v>
      </c>
      <c r="C845" s="555">
        <v>6555</v>
      </c>
      <c r="D845" s="563">
        <v>17000</v>
      </c>
      <c r="E845" s="573">
        <v>189</v>
      </c>
      <c r="F845" s="563">
        <v>17000</v>
      </c>
      <c r="G845" s="87">
        <f t="shared" si="13"/>
        <v>0</v>
      </c>
      <c r="H845" s="509"/>
      <c r="I845" s="509"/>
      <c r="J845" s="89"/>
      <c r="K845" s="522"/>
      <c r="L845" s="204"/>
      <c r="M845" s="661"/>
      <c r="N845" s="661"/>
    </row>
    <row r="846" spans="1:14" ht="15.75" x14ac:dyDescent="0.25">
      <c r="A846" s="87">
        <v>842</v>
      </c>
      <c r="B846" s="87" t="s">
        <v>1145</v>
      </c>
      <c r="C846" s="555">
        <v>6955</v>
      </c>
      <c r="D846" s="563">
        <v>17000</v>
      </c>
      <c r="E846" s="573">
        <v>189</v>
      </c>
      <c r="F846" s="563">
        <v>17000</v>
      </c>
      <c r="G846" s="87">
        <f t="shared" si="13"/>
        <v>0</v>
      </c>
      <c r="H846" s="509"/>
      <c r="I846" s="509"/>
      <c r="J846" s="89"/>
      <c r="K846" s="522"/>
      <c r="L846" s="204"/>
      <c r="M846" s="661"/>
      <c r="N846" s="661"/>
    </row>
    <row r="847" spans="1:14" ht="15.75" x14ac:dyDescent="0.25">
      <c r="A847" s="87">
        <v>843</v>
      </c>
      <c r="B847" s="87" t="s">
        <v>1145</v>
      </c>
      <c r="C847" s="555" t="s">
        <v>30</v>
      </c>
      <c r="D847" s="563">
        <v>10000</v>
      </c>
      <c r="E847" s="573">
        <v>111</v>
      </c>
      <c r="F847" s="563">
        <v>10000</v>
      </c>
      <c r="G847" s="87">
        <f t="shared" si="13"/>
        <v>0</v>
      </c>
      <c r="H847" s="509"/>
      <c r="I847" s="509"/>
      <c r="J847" s="89"/>
      <c r="K847" s="522"/>
      <c r="L847" s="204"/>
      <c r="M847" s="661"/>
      <c r="N847" s="661"/>
    </row>
    <row r="848" spans="1:14" ht="15.75" x14ac:dyDescent="0.25">
      <c r="A848" s="87">
        <v>844</v>
      </c>
      <c r="B848" s="87" t="s">
        <v>1145</v>
      </c>
      <c r="C848" s="555">
        <v>4291</v>
      </c>
      <c r="D848" s="563">
        <v>26000</v>
      </c>
      <c r="E848" s="573">
        <v>254</v>
      </c>
      <c r="F848" s="563">
        <v>26000</v>
      </c>
      <c r="G848" s="87">
        <f t="shared" si="13"/>
        <v>0</v>
      </c>
      <c r="H848" s="509"/>
      <c r="I848" s="509"/>
      <c r="J848" s="89"/>
      <c r="K848" s="522"/>
      <c r="L848" s="204"/>
      <c r="M848" s="661"/>
      <c r="N848" s="661"/>
    </row>
    <row r="849" spans="1:14" ht="15.75" x14ac:dyDescent="0.25">
      <c r="A849" s="87">
        <v>845</v>
      </c>
      <c r="B849" s="87" t="s">
        <v>1145</v>
      </c>
      <c r="C849" s="555">
        <v>3496</v>
      </c>
      <c r="D849" s="563">
        <v>15000</v>
      </c>
      <c r="E849" s="573">
        <v>167</v>
      </c>
      <c r="F849" s="563">
        <v>15000</v>
      </c>
      <c r="G849" s="87">
        <f t="shared" si="13"/>
        <v>0</v>
      </c>
      <c r="H849" s="509"/>
      <c r="I849" s="509"/>
      <c r="J849" s="89"/>
      <c r="K849" s="522"/>
      <c r="L849" s="204"/>
      <c r="M849" s="661"/>
      <c r="N849" s="661"/>
    </row>
    <row r="850" spans="1:14" ht="15.75" x14ac:dyDescent="0.25">
      <c r="A850" s="87">
        <v>846</v>
      </c>
      <c r="B850" s="87" t="s">
        <v>1145</v>
      </c>
      <c r="C850" s="555">
        <v>6371</v>
      </c>
      <c r="D850" s="563">
        <v>18000</v>
      </c>
      <c r="E850" s="573">
        <v>167</v>
      </c>
      <c r="F850" s="563">
        <v>18000</v>
      </c>
      <c r="G850" s="87">
        <f t="shared" si="13"/>
        <v>0</v>
      </c>
      <c r="H850" s="509"/>
      <c r="I850" s="509"/>
      <c r="J850" s="89"/>
      <c r="K850" s="522"/>
      <c r="L850" s="204"/>
      <c r="M850" s="661"/>
      <c r="N850" s="661"/>
    </row>
    <row r="851" spans="1:14" ht="15.75" x14ac:dyDescent="0.25">
      <c r="A851" s="87">
        <v>847</v>
      </c>
      <c r="B851" s="87" t="s">
        <v>1145</v>
      </c>
      <c r="C851" s="555">
        <v>5820</v>
      </c>
      <c r="D851" s="563">
        <v>16000</v>
      </c>
      <c r="E851" s="573">
        <v>178</v>
      </c>
      <c r="F851" s="563">
        <v>16000</v>
      </c>
      <c r="G851" s="87">
        <f t="shared" si="13"/>
        <v>0</v>
      </c>
      <c r="H851" s="509"/>
      <c r="I851" s="509"/>
      <c r="J851" s="89"/>
      <c r="K851" s="522"/>
      <c r="L851" s="204"/>
      <c r="M851" s="661"/>
      <c r="N851" s="661"/>
    </row>
    <row r="852" spans="1:14" ht="15.75" x14ac:dyDescent="0.25">
      <c r="A852" s="87">
        <v>848</v>
      </c>
      <c r="B852" s="87" t="s">
        <v>1145</v>
      </c>
      <c r="C852" s="555">
        <v>8820</v>
      </c>
      <c r="D852" s="563">
        <v>16000</v>
      </c>
      <c r="E852" s="573">
        <v>178</v>
      </c>
      <c r="F852" s="563">
        <v>16000</v>
      </c>
      <c r="G852" s="87">
        <f t="shared" si="13"/>
        <v>0</v>
      </c>
      <c r="H852" s="509"/>
      <c r="I852" s="509"/>
      <c r="J852" s="89"/>
      <c r="K852" s="522"/>
      <c r="L852" s="204"/>
      <c r="M852" s="661"/>
      <c r="N852" s="661"/>
    </row>
    <row r="853" spans="1:14" ht="15.75" x14ac:dyDescent="0.25">
      <c r="A853" s="87">
        <v>849</v>
      </c>
      <c r="B853" s="87" t="s">
        <v>1145</v>
      </c>
      <c r="C853" s="555">
        <v>4820</v>
      </c>
      <c r="D853" s="563">
        <v>16000</v>
      </c>
      <c r="E853" s="573">
        <v>178</v>
      </c>
      <c r="F853" s="563">
        <v>16000</v>
      </c>
      <c r="G853" s="87">
        <f t="shared" si="13"/>
        <v>0</v>
      </c>
      <c r="H853" s="509"/>
      <c r="I853" s="509"/>
      <c r="J853" s="89"/>
      <c r="K853" s="522"/>
      <c r="L853" s="204"/>
      <c r="M853" s="661"/>
      <c r="N853" s="661"/>
    </row>
    <row r="854" spans="1:14" ht="15.75" x14ac:dyDescent="0.25">
      <c r="A854" s="87">
        <v>850</v>
      </c>
      <c r="B854" s="87" t="s">
        <v>1145</v>
      </c>
      <c r="C854" s="555">
        <v>6929</v>
      </c>
      <c r="D854" s="563">
        <v>16000</v>
      </c>
      <c r="E854" s="573">
        <v>178</v>
      </c>
      <c r="F854" s="563">
        <v>16000</v>
      </c>
      <c r="G854" s="87">
        <f t="shared" si="13"/>
        <v>0</v>
      </c>
      <c r="H854" s="509"/>
      <c r="I854" s="509"/>
      <c r="J854" s="89"/>
      <c r="K854" s="522"/>
      <c r="L854" s="204"/>
      <c r="M854" s="661"/>
      <c r="N854" s="661"/>
    </row>
    <row r="855" spans="1:14" ht="15.75" x14ac:dyDescent="0.25">
      <c r="A855" s="87">
        <v>851</v>
      </c>
      <c r="B855" s="87" t="s">
        <v>1145</v>
      </c>
      <c r="C855" s="555">
        <v>6930</v>
      </c>
      <c r="D855" s="563">
        <v>16000</v>
      </c>
      <c r="E855" s="573">
        <v>178</v>
      </c>
      <c r="F855" s="563">
        <v>16000</v>
      </c>
      <c r="G855" s="87">
        <f t="shared" si="13"/>
        <v>0</v>
      </c>
      <c r="H855" s="509"/>
      <c r="I855" s="509"/>
      <c r="J855" s="89"/>
      <c r="K855" s="522"/>
      <c r="L855" s="204"/>
      <c r="M855" s="661"/>
      <c r="N855" s="661"/>
    </row>
    <row r="856" spans="1:14" ht="15.75" x14ac:dyDescent="0.25">
      <c r="A856" s="87">
        <v>852</v>
      </c>
      <c r="B856" s="87" t="s">
        <v>1145</v>
      </c>
      <c r="C856" s="555">
        <v>6820</v>
      </c>
      <c r="D856" s="563">
        <v>16000</v>
      </c>
      <c r="E856" s="573">
        <v>178</v>
      </c>
      <c r="F856" s="563">
        <v>16000</v>
      </c>
      <c r="G856" s="87">
        <f t="shared" si="13"/>
        <v>0</v>
      </c>
      <c r="H856" s="509"/>
      <c r="I856" s="509"/>
      <c r="J856" s="89"/>
      <c r="K856" s="522"/>
      <c r="L856" s="204"/>
      <c r="M856" s="661"/>
      <c r="N856" s="661"/>
    </row>
    <row r="857" spans="1:14" ht="15.75" x14ac:dyDescent="0.25">
      <c r="A857" s="87">
        <v>853</v>
      </c>
      <c r="B857" s="87" t="s">
        <v>1145</v>
      </c>
      <c r="C857" s="555">
        <v>8726</v>
      </c>
      <c r="D857" s="563">
        <v>16000</v>
      </c>
      <c r="E857" s="573">
        <v>178</v>
      </c>
      <c r="F857" s="563">
        <v>16000</v>
      </c>
      <c r="G857" s="87">
        <f t="shared" si="13"/>
        <v>0</v>
      </c>
      <c r="H857" s="509"/>
      <c r="I857" s="509"/>
      <c r="J857" s="89"/>
      <c r="K857" s="522"/>
      <c r="L857" s="204"/>
      <c r="M857" s="661"/>
      <c r="N857" s="661"/>
    </row>
    <row r="858" spans="1:14" ht="15.75" x14ac:dyDescent="0.25">
      <c r="A858" s="87">
        <v>854</v>
      </c>
      <c r="B858" s="87" t="s">
        <v>1145</v>
      </c>
      <c r="C858" s="555">
        <v>2963</v>
      </c>
      <c r="D858" s="563">
        <v>16000</v>
      </c>
      <c r="E858" s="573">
        <v>178</v>
      </c>
      <c r="F858" s="563">
        <v>16000</v>
      </c>
      <c r="G858" s="87">
        <f t="shared" si="13"/>
        <v>0</v>
      </c>
      <c r="H858" s="509"/>
      <c r="I858" s="509"/>
      <c r="J858" s="89"/>
      <c r="K858" s="522"/>
      <c r="L858" s="204"/>
      <c r="M858" s="661"/>
      <c r="N858" s="661"/>
    </row>
    <row r="859" spans="1:14" ht="15.75" x14ac:dyDescent="0.25">
      <c r="A859" s="87">
        <v>855</v>
      </c>
      <c r="B859" s="87" t="s">
        <v>1145</v>
      </c>
      <c r="C859" s="555">
        <v>6734</v>
      </c>
      <c r="D859" s="563">
        <v>16000</v>
      </c>
      <c r="E859" s="573">
        <v>178</v>
      </c>
      <c r="F859" s="563">
        <v>16000</v>
      </c>
      <c r="G859" s="87">
        <f t="shared" si="13"/>
        <v>0</v>
      </c>
      <c r="H859" s="509"/>
      <c r="I859" s="509"/>
      <c r="J859" s="89"/>
      <c r="K859" s="522"/>
      <c r="L859" s="204"/>
      <c r="M859" s="661"/>
      <c r="N859" s="661"/>
    </row>
    <row r="860" spans="1:14" ht="15.75" x14ac:dyDescent="0.25">
      <c r="A860" s="87">
        <v>856</v>
      </c>
      <c r="B860" s="87" t="s">
        <v>1145</v>
      </c>
      <c r="C860" s="555">
        <v>2961</v>
      </c>
      <c r="D860" s="563">
        <v>16000</v>
      </c>
      <c r="E860" s="573">
        <v>165</v>
      </c>
      <c r="F860" s="563">
        <v>16000</v>
      </c>
      <c r="G860" s="87">
        <f t="shared" si="13"/>
        <v>0</v>
      </c>
      <c r="H860" s="509"/>
      <c r="I860" s="509"/>
      <c r="J860" s="89"/>
      <c r="K860" s="522"/>
      <c r="L860" s="204"/>
      <c r="M860" s="661"/>
      <c r="N860" s="661"/>
    </row>
    <row r="861" spans="1:14" ht="15.75" x14ac:dyDescent="0.25">
      <c r="A861" s="87">
        <v>857</v>
      </c>
      <c r="B861" s="87" t="s">
        <v>1145</v>
      </c>
      <c r="C861" s="555">
        <v>9426</v>
      </c>
      <c r="D861" s="563">
        <v>16000</v>
      </c>
      <c r="E861" s="573">
        <v>178</v>
      </c>
      <c r="F861" s="563">
        <v>16000</v>
      </c>
      <c r="G861" s="87">
        <f t="shared" si="13"/>
        <v>0</v>
      </c>
      <c r="H861" s="509"/>
      <c r="I861" s="509"/>
      <c r="J861" s="89"/>
      <c r="K861" s="522"/>
      <c r="L861" s="204"/>
      <c r="M861" s="661"/>
      <c r="N861" s="661"/>
    </row>
    <row r="862" spans="1:14" ht="15.75" x14ac:dyDescent="0.25">
      <c r="A862" s="87">
        <v>858</v>
      </c>
      <c r="B862" s="87" t="s">
        <v>1145</v>
      </c>
      <c r="C862" s="555">
        <v>5978</v>
      </c>
      <c r="D862" s="563">
        <v>16000</v>
      </c>
      <c r="E862" s="573">
        <v>178</v>
      </c>
      <c r="F862" s="563">
        <v>16000</v>
      </c>
      <c r="G862" s="87">
        <f t="shared" si="13"/>
        <v>0</v>
      </c>
      <c r="H862" s="509"/>
      <c r="I862" s="509"/>
      <c r="J862" s="89"/>
      <c r="K862" s="522"/>
      <c r="L862" s="204"/>
      <c r="M862" s="661"/>
      <c r="N862" s="661"/>
    </row>
    <row r="863" spans="1:14" ht="15.75" x14ac:dyDescent="0.25">
      <c r="A863" s="87">
        <v>859</v>
      </c>
      <c r="B863" s="87" t="s">
        <v>1145</v>
      </c>
      <c r="C863" s="607" t="s">
        <v>950</v>
      </c>
      <c r="D863" s="563">
        <v>25000</v>
      </c>
      <c r="E863" s="573">
        <v>278</v>
      </c>
      <c r="F863" s="563">
        <v>25000</v>
      </c>
      <c r="G863" s="87">
        <f t="shared" si="13"/>
        <v>0</v>
      </c>
      <c r="H863" s="509"/>
      <c r="I863" s="509"/>
      <c r="J863" s="89"/>
      <c r="K863" s="522"/>
      <c r="L863" s="204"/>
      <c r="M863" s="661"/>
      <c r="N863" s="661"/>
    </row>
    <row r="864" spans="1:14" ht="15.75" x14ac:dyDescent="0.25">
      <c r="A864" s="87">
        <v>860</v>
      </c>
      <c r="B864" s="87" t="s">
        <v>1145</v>
      </c>
      <c r="C864" s="555">
        <v>3377</v>
      </c>
      <c r="D864" s="563">
        <v>25000</v>
      </c>
      <c r="E864" s="573">
        <v>278</v>
      </c>
      <c r="F864" s="563">
        <v>25000</v>
      </c>
      <c r="G864" s="87">
        <f t="shared" si="13"/>
        <v>0</v>
      </c>
      <c r="H864" s="509"/>
      <c r="I864" s="509"/>
      <c r="J864" s="89"/>
      <c r="K864" s="522"/>
      <c r="L864" s="204"/>
      <c r="M864" s="661"/>
      <c r="N864" s="661"/>
    </row>
    <row r="865" spans="1:14" ht="15.75" x14ac:dyDescent="0.25">
      <c r="A865" s="87">
        <v>861</v>
      </c>
      <c r="B865" s="87" t="s">
        <v>1145</v>
      </c>
      <c r="C865" s="555">
        <v>9894</v>
      </c>
      <c r="D865" s="563">
        <v>26000</v>
      </c>
      <c r="E865" s="573">
        <v>289</v>
      </c>
      <c r="F865" s="563">
        <v>26000</v>
      </c>
      <c r="G865" s="87">
        <f t="shared" si="13"/>
        <v>0</v>
      </c>
      <c r="H865" s="509"/>
      <c r="I865" s="509"/>
      <c r="J865" s="89"/>
      <c r="K865" s="522"/>
      <c r="L865" s="204"/>
      <c r="M865" s="661"/>
      <c r="N865" s="661"/>
    </row>
    <row r="866" spans="1:14" ht="15.75" x14ac:dyDescent="0.25">
      <c r="A866" s="87">
        <v>862</v>
      </c>
      <c r="B866" s="87" t="s">
        <v>1145</v>
      </c>
      <c r="C866" s="555">
        <v>7782</v>
      </c>
      <c r="D866" s="563">
        <v>20000</v>
      </c>
      <c r="E866" s="573">
        <v>215</v>
      </c>
      <c r="F866" s="563">
        <v>20000</v>
      </c>
      <c r="G866" s="87">
        <f t="shared" si="13"/>
        <v>0</v>
      </c>
      <c r="H866" s="509"/>
      <c r="I866" s="509"/>
      <c r="J866" s="89"/>
      <c r="K866" s="522"/>
      <c r="L866" s="204"/>
      <c r="M866" s="661"/>
      <c r="N866" s="661"/>
    </row>
    <row r="867" spans="1:14" ht="15.75" x14ac:dyDescent="0.25">
      <c r="A867" s="87">
        <v>863</v>
      </c>
      <c r="B867" s="87" t="s">
        <v>1145</v>
      </c>
      <c r="C867" s="555">
        <v>1033</v>
      </c>
      <c r="D867" s="563">
        <v>14000</v>
      </c>
      <c r="E867" s="573">
        <v>155</v>
      </c>
      <c r="F867" s="563">
        <v>14000</v>
      </c>
      <c r="G867" s="87">
        <f t="shared" si="13"/>
        <v>0</v>
      </c>
      <c r="H867" s="509"/>
      <c r="I867" s="509"/>
      <c r="J867" s="89"/>
      <c r="K867" s="522"/>
      <c r="L867" s="204"/>
      <c r="M867" s="661"/>
      <c r="N867" s="661"/>
    </row>
    <row r="868" spans="1:14" ht="15.75" x14ac:dyDescent="0.25">
      <c r="A868" s="87">
        <v>864</v>
      </c>
      <c r="B868" s="87" t="s">
        <v>1145</v>
      </c>
      <c r="C868" s="555" t="s">
        <v>30</v>
      </c>
      <c r="D868" s="563">
        <v>5000</v>
      </c>
      <c r="E868" s="573">
        <v>55</v>
      </c>
      <c r="F868" s="563">
        <v>5000</v>
      </c>
      <c r="G868" s="87">
        <f t="shared" si="13"/>
        <v>0</v>
      </c>
      <c r="H868" s="509"/>
      <c r="I868" s="509"/>
      <c r="J868" s="89"/>
      <c r="K868" s="522"/>
      <c r="L868" s="204"/>
      <c r="M868" s="661"/>
      <c r="N868" s="661"/>
    </row>
    <row r="869" spans="1:14" ht="15.75" x14ac:dyDescent="0.25">
      <c r="A869" s="87">
        <v>865</v>
      </c>
      <c r="B869" s="87" t="s">
        <v>1145</v>
      </c>
      <c r="C869" s="555" t="s">
        <v>30</v>
      </c>
      <c r="D869" s="563">
        <v>3500</v>
      </c>
      <c r="E869" s="573">
        <v>39</v>
      </c>
      <c r="F869" s="563">
        <v>3500</v>
      </c>
      <c r="G869" s="87">
        <f t="shared" si="13"/>
        <v>0</v>
      </c>
      <c r="H869" s="509"/>
      <c r="I869" s="509"/>
      <c r="J869" s="89"/>
      <c r="K869" s="522"/>
      <c r="L869" s="204"/>
      <c r="M869" s="661"/>
      <c r="N869" s="661"/>
    </row>
    <row r="870" spans="1:14" ht="15.75" x14ac:dyDescent="0.25">
      <c r="A870" s="87">
        <v>866</v>
      </c>
      <c r="B870" s="87" t="s">
        <v>1145</v>
      </c>
      <c r="C870" s="555">
        <v>4071</v>
      </c>
      <c r="D870" s="563">
        <v>21000</v>
      </c>
      <c r="E870" s="573">
        <v>233</v>
      </c>
      <c r="F870" s="563">
        <v>21000</v>
      </c>
      <c r="G870" s="87">
        <f t="shared" si="13"/>
        <v>0</v>
      </c>
      <c r="H870" s="509"/>
      <c r="I870" s="509"/>
      <c r="J870" s="89"/>
      <c r="K870" s="522"/>
      <c r="L870" s="204"/>
      <c r="M870" s="661"/>
      <c r="N870" s="661"/>
    </row>
    <row r="871" spans="1:14" ht="15.75" x14ac:dyDescent="0.25">
      <c r="A871" s="87">
        <v>867</v>
      </c>
      <c r="B871" s="87" t="s">
        <v>1145</v>
      </c>
      <c r="C871" s="555">
        <v>6671</v>
      </c>
      <c r="D871" s="563">
        <v>20000</v>
      </c>
      <c r="E871" s="573">
        <v>222</v>
      </c>
      <c r="F871" s="563">
        <v>20000</v>
      </c>
      <c r="G871" s="87">
        <f t="shared" si="13"/>
        <v>0</v>
      </c>
      <c r="H871" s="509"/>
      <c r="I871" s="509"/>
      <c r="J871" s="89"/>
      <c r="K871" s="522"/>
      <c r="L871" s="204"/>
      <c r="M871" s="661"/>
      <c r="N871" s="661"/>
    </row>
    <row r="872" spans="1:14" ht="15.75" x14ac:dyDescent="0.25">
      <c r="A872" s="87">
        <v>868</v>
      </c>
      <c r="B872" s="87" t="s">
        <v>1145</v>
      </c>
      <c r="C872" s="555">
        <v>9876</v>
      </c>
      <c r="D872" s="563">
        <v>18000</v>
      </c>
      <c r="E872" s="573">
        <v>200</v>
      </c>
      <c r="F872" s="563">
        <v>18000</v>
      </c>
      <c r="G872" s="87">
        <f t="shared" si="13"/>
        <v>0</v>
      </c>
      <c r="H872" s="509"/>
      <c r="I872" s="509"/>
      <c r="J872" s="89"/>
      <c r="K872" s="522"/>
      <c r="L872" s="204"/>
      <c r="M872" s="661"/>
      <c r="N872" s="661"/>
    </row>
    <row r="873" spans="1:14" ht="15.75" x14ac:dyDescent="0.25">
      <c r="A873" s="87">
        <v>869</v>
      </c>
      <c r="B873" s="87" t="s">
        <v>1145</v>
      </c>
      <c r="C873" s="555" t="s">
        <v>66</v>
      </c>
      <c r="D873" s="563">
        <v>150</v>
      </c>
      <c r="E873" s="573" t="s">
        <v>66</v>
      </c>
      <c r="F873" s="563">
        <v>150</v>
      </c>
      <c r="G873" s="87">
        <f t="shared" si="13"/>
        <v>0</v>
      </c>
      <c r="H873" s="509"/>
      <c r="I873" s="509"/>
      <c r="J873" s="89"/>
      <c r="K873" s="522"/>
      <c r="L873" s="204"/>
      <c r="M873" s="661"/>
      <c r="N873" s="661"/>
    </row>
    <row r="874" spans="1:14" ht="15.75" x14ac:dyDescent="0.25">
      <c r="A874" s="87">
        <v>870</v>
      </c>
      <c r="B874" s="87" t="s">
        <v>1145</v>
      </c>
      <c r="C874" s="607" t="s">
        <v>1188</v>
      </c>
      <c r="D874" s="563">
        <v>17000</v>
      </c>
      <c r="E874" s="573">
        <v>189</v>
      </c>
      <c r="F874" s="563">
        <v>17000</v>
      </c>
      <c r="G874" s="87">
        <f t="shared" si="13"/>
        <v>0</v>
      </c>
      <c r="H874" s="509"/>
      <c r="I874" s="509"/>
      <c r="J874" s="89"/>
      <c r="K874" s="522"/>
      <c r="L874" s="204"/>
      <c r="M874" s="661"/>
      <c r="N874" s="661"/>
    </row>
    <row r="875" spans="1:14" ht="15.75" x14ac:dyDescent="0.25">
      <c r="A875" s="87">
        <v>871</v>
      </c>
      <c r="B875" s="87" t="s">
        <v>1145</v>
      </c>
      <c r="C875" s="555">
        <v>2478</v>
      </c>
      <c r="D875" s="563">
        <v>25000</v>
      </c>
      <c r="E875" s="573">
        <v>278</v>
      </c>
      <c r="F875" s="563">
        <v>25000</v>
      </c>
      <c r="G875" s="87">
        <f t="shared" si="13"/>
        <v>0</v>
      </c>
      <c r="H875" s="509"/>
      <c r="I875" s="509"/>
      <c r="J875" s="89"/>
      <c r="K875" s="522"/>
      <c r="L875" s="204"/>
      <c r="M875" s="661"/>
      <c r="N875" s="661"/>
    </row>
    <row r="876" spans="1:14" ht="15.75" x14ac:dyDescent="0.25">
      <c r="A876" s="87">
        <v>872</v>
      </c>
      <c r="B876" s="87" t="s">
        <v>1145</v>
      </c>
      <c r="C876" s="555">
        <v>9379</v>
      </c>
      <c r="D876" s="563">
        <v>27000</v>
      </c>
      <c r="E876" s="573">
        <v>300</v>
      </c>
      <c r="F876" s="563">
        <v>27000</v>
      </c>
      <c r="G876" s="87">
        <f t="shared" si="13"/>
        <v>0</v>
      </c>
      <c r="H876" s="509"/>
      <c r="I876" s="509"/>
      <c r="J876" s="89"/>
      <c r="K876" s="522"/>
      <c r="L876" s="204"/>
      <c r="M876" s="661"/>
      <c r="N876" s="661"/>
    </row>
    <row r="877" spans="1:14" ht="15.75" x14ac:dyDescent="0.25">
      <c r="A877" s="87">
        <v>873</v>
      </c>
      <c r="B877" s="87" t="s">
        <v>1145</v>
      </c>
      <c r="C877" s="555">
        <v>5070</v>
      </c>
      <c r="D877" s="563">
        <v>20000</v>
      </c>
      <c r="E877" s="573">
        <v>222</v>
      </c>
      <c r="F877" s="563">
        <v>20000</v>
      </c>
      <c r="G877" s="87">
        <f t="shared" si="13"/>
        <v>0</v>
      </c>
      <c r="H877" s="509"/>
      <c r="I877" s="509"/>
      <c r="J877" s="89"/>
      <c r="K877" s="522"/>
      <c r="L877" s="204"/>
      <c r="M877" s="661"/>
      <c r="N877" s="661"/>
    </row>
    <row r="878" spans="1:14" ht="15.75" x14ac:dyDescent="0.25">
      <c r="A878" s="87">
        <v>874</v>
      </c>
      <c r="B878" s="87" t="s">
        <v>1145</v>
      </c>
      <c r="C878" s="555">
        <v>6979</v>
      </c>
      <c r="D878" s="563">
        <v>19000</v>
      </c>
      <c r="E878" s="573">
        <v>211</v>
      </c>
      <c r="F878" s="563">
        <v>19000</v>
      </c>
      <c r="G878" s="87">
        <f t="shared" si="13"/>
        <v>0</v>
      </c>
      <c r="H878" s="509"/>
      <c r="I878" s="509"/>
      <c r="J878" s="89"/>
      <c r="K878" s="522"/>
      <c r="L878" s="204"/>
      <c r="M878" s="661"/>
      <c r="N878" s="661"/>
    </row>
    <row r="879" spans="1:14" ht="15.75" x14ac:dyDescent="0.25">
      <c r="A879" s="87">
        <v>875</v>
      </c>
      <c r="B879" s="87" t="s">
        <v>1145</v>
      </c>
      <c r="C879" s="555">
        <v>9929</v>
      </c>
      <c r="D879" s="563">
        <v>30000</v>
      </c>
      <c r="E879" s="573">
        <v>334</v>
      </c>
      <c r="F879" s="563">
        <v>30000</v>
      </c>
      <c r="G879" s="87">
        <f t="shared" si="13"/>
        <v>0</v>
      </c>
      <c r="H879" s="509"/>
      <c r="I879" s="509"/>
      <c r="J879" s="89"/>
      <c r="K879" s="522"/>
      <c r="L879" s="204"/>
      <c r="M879" s="661"/>
      <c r="N879" s="661"/>
    </row>
    <row r="880" spans="1:14" ht="15.75" x14ac:dyDescent="0.25">
      <c r="A880" s="87">
        <v>876</v>
      </c>
      <c r="B880" s="87" t="s">
        <v>1145</v>
      </c>
      <c r="C880" s="555">
        <v>4025</v>
      </c>
      <c r="D880" s="563">
        <v>25000</v>
      </c>
      <c r="E880" s="573">
        <v>278</v>
      </c>
      <c r="F880" s="563">
        <v>25000</v>
      </c>
      <c r="G880" s="87">
        <f t="shared" si="13"/>
        <v>0</v>
      </c>
      <c r="H880" s="509"/>
      <c r="I880" s="509"/>
      <c r="J880" s="89"/>
      <c r="K880" s="522"/>
      <c r="L880" s="204"/>
      <c r="M880" s="661"/>
      <c r="N880" s="661"/>
    </row>
    <row r="881" spans="1:14" ht="15.75" x14ac:dyDescent="0.25">
      <c r="A881" s="87">
        <v>877</v>
      </c>
      <c r="B881" s="87" t="s">
        <v>1145</v>
      </c>
      <c r="C881" s="555">
        <v>2470</v>
      </c>
      <c r="D881" s="563">
        <v>10000</v>
      </c>
      <c r="E881" s="573">
        <v>100</v>
      </c>
      <c r="F881" s="563">
        <v>10000</v>
      </c>
      <c r="G881" s="87">
        <f t="shared" si="13"/>
        <v>0</v>
      </c>
      <c r="H881" s="509"/>
      <c r="I881" s="509"/>
      <c r="J881" s="89"/>
      <c r="K881" s="522"/>
      <c r="L881" s="204"/>
      <c r="M881" s="661"/>
      <c r="N881" s="661"/>
    </row>
    <row r="882" spans="1:14" ht="15.75" x14ac:dyDescent="0.25">
      <c r="A882" s="87">
        <v>878</v>
      </c>
      <c r="B882" s="87" t="s">
        <v>1145</v>
      </c>
      <c r="C882" s="607" t="s">
        <v>1189</v>
      </c>
      <c r="D882" s="563">
        <v>23000</v>
      </c>
      <c r="E882" s="573">
        <v>256</v>
      </c>
      <c r="F882" s="563">
        <v>23000</v>
      </c>
      <c r="G882" s="87">
        <f t="shared" si="13"/>
        <v>0</v>
      </c>
      <c r="H882" s="509"/>
      <c r="I882" s="509"/>
      <c r="J882" s="89"/>
      <c r="K882" s="522"/>
      <c r="L882" s="204"/>
      <c r="M882" s="661"/>
      <c r="N882" s="661"/>
    </row>
    <row r="883" spans="1:14" ht="15.75" x14ac:dyDescent="0.25">
      <c r="A883" s="87">
        <v>879</v>
      </c>
      <c r="B883" s="87" t="s">
        <v>1145</v>
      </c>
      <c r="C883" s="555">
        <v>5485</v>
      </c>
      <c r="D883" s="563">
        <v>28000</v>
      </c>
      <c r="E883" s="573">
        <v>300</v>
      </c>
      <c r="F883" s="563">
        <v>28000</v>
      </c>
      <c r="G883" s="87">
        <f t="shared" si="13"/>
        <v>0</v>
      </c>
      <c r="H883" s="509"/>
      <c r="I883" s="509"/>
      <c r="J883" s="89"/>
      <c r="K883" s="522"/>
      <c r="L883" s="204"/>
      <c r="M883" s="661"/>
      <c r="N883" s="661"/>
    </row>
    <row r="884" spans="1:14" ht="15.75" x14ac:dyDescent="0.25">
      <c r="A884" s="87">
        <v>880</v>
      </c>
      <c r="B884" s="87" t="s">
        <v>1145</v>
      </c>
      <c r="C884" s="555">
        <v>3579</v>
      </c>
      <c r="D884" s="563">
        <v>50000</v>
      </c>
      <c r="E884" s="573">
        <v>557</v>
      </c>
      <c r="F884" s="563">
        <v>50000</v>
      </c>
      <c r="G884" s="87">
        <f t="shared" si="13"/>
        <v>0</v>
      </c>
      <c r="H884" s="509"/>
      <c r="I884" s="509"/>
      <c r="J884" s="89"/>
      <c r="K884" s="522"/>
      <c r="L884" s="204"/>
      <c r="M884" s="661"/>
      <c r="N884" s="661"/>
    </row>
    <row r="885" spans="1:14" ht="15.75" x14ac:dyDescent="0.25">
      <c r="A885" s="87">
        <v>881</v>
      </c>
      <c r="B885" s="87" t="s">
        <v>1145</v>
      </c>
      <c r="C885" s="555">
        <v>2819</v>
      </c>
      <c r="D885" s="563">
        <v>29000</v>
      </c>
      <c r="E885" s="573">
        <v>289</v>
      </c>
      <c r="F885" s="563">
        <v>29000</v>
      </c>
      <c r="G885" s="87">
        <f t="shared" si="13"/>
        <v>0</v>
      </c>
      <c r="H885" s="509"/>
      <c r="I885" s="509"/>
      <c r="J885" s="89"/>
      <c r="K885" s="522"/>
      <c r="L885" s="204"/>
      <c r="M885" s="661"/>
      <c r="N885" s="661"/>
    </row>
    <row r="886" spans="1:14" ht="15.75" x14ac:dyDescent="0.25">
      <c r="A886" s="87">
        <v>882</v>
      </c>
      <c r="B886" s="87" t="s">
        <v>1145</v>
      </c>
      <c r="C886" s="555">
        <v>8596</v>
      </c>
      <c r="D886" s="563">
        <v>28000</v>
      </c>
      <c r="E886" s="573">
        <v>296</v>
      </c>
      <c r="F886" s="563">
        <v>28000</v>
      </c>
      <c r="G886" s="87">
        <f t="shared" si="13"/>
        <v>0</v>
      </c>
      <c r="H886" s="509"/>
      <c r="I886" s="509"/>
      <c r="J886" s="89"/>
      <c r="K886" s="522"/>
      <c r="L886" s="204"/>
      <c r="M886" s="661"/>
      <c r="N886" s="661"/>
    </row>
    <row r="887" spans="1:14" ht="15.75" x14ac:dyDescent="0.25">
      <c r="A887" s="87">
        <v>883</v>
      </c>
      <c r="B887" s="87" t="s">
        <v>1145</v>
      </c>
      <c r="C887" s="555">
        <v>3162</v>
      </c>
      <c r="D887" s="563">
        <v>28000</v>
      </c>
      <c r="E887" s="573">
        <v>296</v>
      </c>
      <c r="F887" s="563">
        <v>28000</v>
      </c>
      <c r="G887" s="87">
        <f t="shared" si="13"/>
        <v>0</v>
      </c>
      <c r="H887" s="509"/>
      <c r="I887" s="509"/>
      <c r="J887" s="89"/>
      <c r="K887" s="522"/>
      <c r="L887" s="204"/>
      <c r="M887" s="661"/>
      <c r="N887" s="661"/>
    </row>
    <row r="888" spans="1:14" ht="15.75" x14ac:dyDescent="0.25">
      <c r="A888" s="87">
        <v>884</v>
      </c>
      <c r="B888" s="87" t="s">
        <v>1145</v>
      </c>
      <c r="C888" s="555" t="s">
        <v>1190</v>
      </c>
      <c r="D888" s="563">
        <v>22000</v>
      </c>
      <c r="E888" s="573">
        <v>223</v>
      </c>
      <c r="F888" s="563">
        <v>22000</v>
      </c>
      <c r="G888" s="87">
        <f t="shared" si="13"/>
        <v>0</v>
      </c>
      <c r="H888" s="509"/>
      <c r="I888" s="509"/>
      <c r="J888" s="89"/>
      <c r="K888" s="522"/>
      <c r="L888" s="204"/>
      <c r="M888" s="661"/>
      <c r="N888" s="661"/>
    </row>
    <row r="889" spans="1:14" ht="15.75" x14ac:dyDescent="0.25">
      <c r="A889" s="87">
        <v>885</v>
      </c>
      <c r="B889" s="87" t="s">
        <v>1145</v>
      </c>
      <c r="C889" s="555" t="s">
        <v>1191</v>
      </c>
      <c r="D889" s="563">
        <v>30000</v>
      </c>
      <c r="E889" s="573">
        <v>334</v>
      </c>
      <c r="F889" s="563">
        <v>30000</v>
      </c>
      <c r="G889" s="87">
        <f t="shared" si="13"/>
        <v>0</v>
      </c>
      <c r="H889" s="509"/>
      <c r="I889" s="509"/>
      <c r="J889" s="89"/>
      <c r="K889" s="522"/>
      <c r="L889" s="204"/>
      <c r="M889" s="661"/>
      <c r="N889" s="661"/>
    </row>
    <row r="890" spans="1:14" ht="15.75" x14ac:dyDescent="0.25">
      <c r="A890" s="87">
        <v>886</v>
      </c>
      <c r="B890" s="87" t="s">
        <v>1145</v>
      </c>
      <c r="C890" s="555">
        <v>9777</v>
      </c>
      <c r="D890" s="563">
        <v>23657</v>
      </c>
      <c r="E890" s="573">
        <v>263</v>
      </c>
      <c r="F890" s="563">
        <v>23657</v>
      </c>
      <c r="G890" s="96">
        <f t="shared" si="13"/>
        <v>0</v>
      </c>
      <c r="H890" s="665"/>
      <c r="I890" s="665"/>
      <c r="J890" s="204"/>
      <c r="K890" s="522"/>
      <c r="L890" s="204"/>
      <c r="M890" s="661"/>
      <c r="N890" s="661"/>
    </row>
    <row r="891" spans="1:14" ht="15.75" x14ac:dyDescent="0.25">
      <c r="A891" s="32"/>
      <c r="B891" s="32"/>
      <c r="C891" s="602" t="s">
        <v>9</v>
      </c>
      <c r="D891" s="569">
        <f>SUM(D4:D890)</f>
        <v>18235704</v>
      </c>
      <c r="E891" s="569">
        <f>SUM(E5:E890)</f>
        <v>184085.15</v>
      </c>
      <c r="F891" s="569">
        <f>SUM(F4:F890)</f>
        <v>18235704</v>
      </c>
      <c r="G891" s="603"/>
      <c r="H891" s="665"/>
      <c r="I891" s="665"/>
      <c r="J891" s="204"/>
      <c r="K891" s="522"/>
      <c r="L891" s="204"/>
    </row>
    <row r="892" spans="1:14" ht="15.75" x14ac:dyDescent="0.25">
      <c r="A892" s="87"/>
      <c r="B892" s="87"/>
      <c r="C892" s="602" t="s">
        <v>10</v>
      </c>
      <c r="D892" s="601">
        <f>SUM(D891-H892)</f>
        <v>1735704</v>
      </c>
      <c r="E892" s="569"/>
      <c r="F892" s="601">
        <f>SUM(F891-H892)</f>
        <v>1735704</v>
      </c>
      <c r="G892" s="601"/>
      <c r="H892" s="639">
        <f>SUM(H5:H886)</f>
        <v>16500000</v>
      </c>
      <c r="I892" s="509"/>
      <c r="J892" s="6"/>
      <c r="K892" s="6"/>
      <c r="L892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9"/>
  <sheetViews>
    <sheetView workbookViewId="0">
      <selection activeCell="H23" sqref="H23:H30"/>
    </sheetView>
  </sheetViews>
  <sheetFormatPr defaultRowHeight="14.25" x14ac:dyDescent="0.2"/>
  <cols>
    <col min="1" max="1" width="7.5" customWidth="1"/>
    <col min="3" max="3" width="13.875" bestFit="1" customWidth="1"/>
    <col min="4" max="4" width="13.125" customWidth="1"/>
    <col min="6" max="6" width="11" customWidth="1"/>
    <col min="7" max="7" width="15.75" customWidth="1"/>
    <col min="8" max="8" width="13.625" customWidth="1"/>
    <col min="9" max="9" width="9.75" customWidth="1"/>
  </cols>
  <sheetData>
    <row r="1" spans="1:12" ht="20.25" x14ac:dyDescent="0.3">
      <c r="A1" s="510"/>
      <c r="B1" s="510"/>
      <c r="C1" s="557"/>
      <c r="D1" s="565" t="s">
        <v>772</v>
      </c>
      <c r="E1" s="565"/>
      <c r="F1" s="565"/>
      <c r="G1" s="510"/>
      <c r="H1" s="510"/>
      <c r="I1" s="510"/>
      <c r="J1" s="667"/>
      <c r="K1" s="667"/>
      <c r="L1" s="667"/>
    </row>
    <row r="2" spans="1:12" ht="15" x14ac:dyDescent="0.25">
      <c r="A2" s="510"/>
      <c r="B2" s="510"/>
      <c r="C2" s="557"/>
      <c r="D2" s="566"/>
      <c r="E2" s="666" t="s">
        <v>1195</v>
      </c>
      <c r="F2" s="571"/>
      <c r="G2" s="510"/>
      <c r="H2" s="510"/>
      <c r="I2" s="510"/>
      <c r="J2" s="667"/>
      <c r="K2" s="667"/>
      <c r="L2" s="667"/>
    </row>
    <row r="3" spans="1:12" ht="15.75" x14ac:dyDescent="0.25">
      <c r="A3" s="30" t="s">
        <v>1</v>
      </c>
      <c r="B3" s="30" t="s">
        <v>2</v>
      </c>
      <c r="C3" s="558" t="s">
        <v>97</v>
      </c>
      <c r="D3" s="567" t="s">
        <v>4</v>
      </c>
      <c r="E3" s="567" t="s">
        <v>5</v>
      </c>
      <c r="F3" s="567" t="s">
        <v>4</v>
      </c>
      <c r="G3" s="30" t="s">
        <v>98</v>
      </c>
      <c r="H3" s="417" t="s">
        <v>8</v>
      </c>
      <c r="I3" s="417" t="s">
        <v>2</v>
      </c>
      <c r="J3" s="667"/>
      <c r="K3" s="667"/>
      <c r="L3" s="667"/>
    </row>
    <row r="4" spans="1:12" ht="15.75" x14ac:dyDescent="0.25">
      <c r="A4" s="42"/>
      <c r="B4" s="108" t="s">
        <v>1119</v>
      </c>
      <c r="C4" s="559" t="s">
        <v>374</v>
      </c>
      <c r="D4" s="568">
        <v>2507157</v>
      </c>
      <c r="E4" s="572"/>
      <c r="F4" s="568">
        <v>2507157</v>
      </c>
      <c r="G4" s="30"/>
      <c r="H4" s="107"/>
      <c r="I4" s="451"/>
      <c r="J4" s="667"/>
      <c r="K4" s="667"/>
      <c r="L4" s="667"/>
    </row>
    <row r="5" spans="1:12" ht="15.75" x14ac:dyDescent="0.25">
      <c r="A5" s="87">
        <v>1</v>
      </c>
      <c r="B5" s="87" t="s">
        <v>1146</v>
      </c>
      <c r="C5" s="553" t="s">
        <v>30</v>
      </c>
      <c r="D5" s="563">
        <v>4500</v>
      </c>
      <c r="E5" s="573">
        <v>50</v>
      </c>
      <c r="F5" s="563">
        <v>4500</v>
      </c>
      <c r="G5" s="87">
        <f t="shared" ref="G5:G68" si="0">D5-F5</f>
        <v>0</v>
      </c>
      <c r="H5" s="509">
        <v>1000000</v>
      </c>
      <c r="I5" s="509" t="s">
        <v>1146</v>
      </c>
      <c r="J5" s="89" t="s">
        <v>482</v>
      </c>
      <c r="K5" s="522"/>
      <c r="L5" s="204"/>
    </row>
    <row r="6" spans="1:12" ht="15.75" x14ac:dyDescent="0.25">
      <c r="A6" s="87">
        <v>2</v>
      </c>
      <c r="B6" s="87" t="s">
        <v>1146</v>
      </c>
      <c r="C6" s="553">
        <v>3662</v>
      </c>
      <c r="D6" s="563">
        <v>25000</v>
      </c>
      <c r="E6" s="573">
        <v>278</v>
      </c>
      <c r="F6" s="563">
        <v>25000</v>
      </c>
      <c r="G6" s="87">
        <f t="shared" si="0"/>
        <v>0</v>
      </c>
      <c r="H6" s="509">
        <v>600000</v>
      </c>
      <c r="I6" s="509" t="s">
        <v>1147</v>
      </c>
      <c r="J6" s="89" t="s">
        <v>482</v>
      </c>
      <c r="K6" s="522"/>
      <c r="L6" s="204"/>
    </row>
    <row r="7" spans="1:12" ht="15.75" x14ac:dyDescent="0.25">
      <c r="A7" s="87">
        <v>3</v>
      </c>
      <c r="B7" s="87" t="s">
        <v>1146</v>
      </c>
      <c r="C7" s="554" t="s">
        <v>1196</v>
      </c>
      <c r="D7" s="563">
        <v>25000</v>
      </c>
      <c r="E7" s="573">
        <v>278</v>
      </c>
      <c r="F7" s="563">
        <v>25000</v>
      </c>
      <c r="G7" s="87">
        <f t="shared" si="0"/>
        <v>0</v>
      </c>
      <c r="H7" s="509">
        <v>500000</v>
      </c>
      <c r="I7" s="509" t="s">
        <v>1148</v>
      </c>
      <c r="J7" s="89" t="s">
        <v>482</v>
      </c>
      <c r="K7" s="522"/>
      <c r="L7" s="204"/>
    </row>
    <row r="8" spans="1:12" ht="15.75" x14ac:dyDescent="0.25">
      <c r="A8" s="87">
        <v>4</v>
      </c>
      <c r="B8" s="87" t="s">
        <v>1146</v>
      </c>
      <c r="C8" s="553">
        <v>5152</v>
      </c>
      <c r="D8" s="563">
        <v>14000</v>
      </c>
      <c r="E8" s="573">
        <v>155</v>
      </c>
      <c r="F8" s="563">
        <v>14000</v>
      </c>
      <c r="G8" s="87">
        <f t="shared" si="0"/>
        <v>0</v>
      </c>
      <c r="H8" s="509">
        <v>1000000</v>
      </c>
      <c r="I8" s="509" t="s">
        <v>1149</v>
      </c>
      <c r="J8" s="89" t="s">
        <v>482</v>
      </c>
      <c r="K8" s="522"/>
      <c r="L8" s="204"/>
    </row>
    <row r="9" spans="1:12" ht="15.75" x14ac:dyDescent="0.25">
      <c r="A9" s="87">
        <v>5</v>
      </c>
      <c r="B9" s="87" t="s">
        <v>1146</v>
      </c>
      <c r="C9" s="554" t="s">
        <v>890</v>
      </c>
      <c r="D9" s="563">
        <v>14000</v>
      </c>
      <c r="E9" s="573">
        <v>155</v>
      </c>
      <c r="F9" s="563">
        <v>14000</v>
      </c>
      <c r="G9" s="87">
        <f t="shared" si="0"/>
        <v>0</v>
      </c>
      <c r="H9" s="509">
        <v>300000</v>
      </c>
      <c r="I9" s="509" t="s">
        <v>1151</v>
      </c>
      <c r="J9" s="89" t="s">
        <v>482</v>
      </c>
      <c r="K9" s="522"/>
      <c r="L9" s="204"/>
    </row>
    <row r="10" spans="1:12" ht="15.75" x14ac:dyDescent="0.25">
      <c r="A10" s="87">
        <v>6</v>
      </c>
      <c r="B10" s="87" t="s">
        <v>1146</v>
      </c>
      <c r="C10" s="553">
        <v>6794</v>
      </c>
      <c r="D10" s="563">
        <v>16000</v>
      </c>
      <c r="E10" s="573">
        <v>178</v>
      </c>
      <c r="F10" s="563">
        <v>16000</v>
      </c>
      <c r="G10" s="87">
        <f t="shared" si="0"/>
        <v>0</v>
      </c>
      <c r="H10" s="509">
        <v>500000</v>
      </c>
      <c r="I10" s="668" t="s">
        <v>1197</v>
      </c>
      <c r="J10" s="89" t="s">
        <v>482</v>
      </c>
      <c r="K10" s="522"/>
      <c r="L10" s="204"/>
    </row>
    <row r="11" spans="1:12" ht="15.75" x14ac:dyDescent="0.25">
      <c r="A11" s="87">
        <v>7</v>
      </c>
      <c r="B11" s="87" t="s">
        <v>1146</v>
      </c>
      <c r="C11" s="553">
        <v>9857</v>
      </c>
      <c r="D11" s="563">
        <v>15000</v>
      </c>
      <c r="E11" s="573">
        <v>167</v>
      </c>
      <c r="F11" s="563">
        <v>15000</v>
      </c>
      <c r="G11" s="87">
        <f t="shared" si="0"/>
        <v>0</v>
      </c>
      <c r="H11" s="509">
        <v>500000</v>
      </c>
      <c r="I11" s="668" t="s">
        <v>1198</v>
      </c>
      <c r="J11" s="89" t="s">
        <v>482</v>
      </c>
      <c r="K11" s="522"/>
      <c r="L11" s="204"/>
    </row>
    <row r="12" spans="1:12" ht="15.75" x14ac:dyDescent="0.25">
      <c r="A12" s="87">
        <v>8</v>
      </c>
      <c r="B12" s="87" t="s">
        <v>1146</v>
      </c>
      <c r="C12" s="553">
        <v>8762</v>
      </c>
      <c r="D12" s="563">
        <v>22000</v>
      </c>
      <c r="E12" s="573">
        <v>245</v>
      </c>
      <c r="F12" s="563">
        <v>22000</v>
      </c>
      <c r="G12" s="87">
        <f t="shared" si="0"/>
        <v>0</v>
      </c>
      <c r="H12" s="509">
        <v>500000</v>
      </c>
      <c r="I12" s="668" t="s">
        <v>1199</v>
      </c>
      <c r="J12" s="89" t="s">
        <v>482</v>
      </c>
      <c r="K12" s="522"/>
      <c r="L12" s="204"/>
    </row>
    <row r="13" spans="1:12" ht="15.75" x14ac:dyDescent="0.25">
      <c r="A13" s="87">
        <v>9</v>
      </c>
      <c r="B13" s="87" t="s">
        <v>1146</v>
      </c>
      <c r="C13" s="553">
        <v>1980</v>
      </c>
      <c r="D13" s="563">
        <v>22000</v>
      </c>
      <c r="E13" s="573">
        <v>245</v>
      </c>
      <c r="F13" s="563">
        <v>22000</v>
      </c>
      <c r="G13" s="87">
        <f t="shared" si="0"/>
        <v>0</v>
      </c>
      <c r="H13" s="509">
        <v>600000</v>
      </c>
      <c r="I13" s="668" t="s">
        <v>1200</v>
      </c>
      <c r="J13" s="89" t="s">
        <v>482</v>
      </c>
      <c r="K13" s="522"/>
      <c r="L13" s="204"/>
    </row>
    <row r="14" spans="1:12" ht="15.75" x14ac:dyDescent="0.25">
      <c r="A14" s="87">
        <v>10</v>
      </c>
      <c r="B14" s="87" t="s">
        <v>1146</v>
      </c>
      <c r="C14" s="555">
        <v>6471</v>
      </c>
      <c r="D14" s="563">
        <v>22000</v>
      </c>
      <c r="E14" s="573">
        <v>245</v>
      </c>
      <c r="F14" s="563">
        <v>22000</v>
      </c>
      <c r="G14" s="87">
        <f t="shared" si="0"/>
        <v>0</v>
      </c>
      <c r="H14" s="509">
        <v>900000</v>
      </c>
      <c r="I14" s="668" t="s">
        <v>1201</v>
      </c>
      <c r="J14" s="667"/>
      <c r="K14" s="667"/>
      <c r="L14" s="667"/>
    </row>
    <row r="15" spans="1:12" ht="15.75" x14ac:dyDescent="0.25">
      <c r="A15" s="87">
        <v>11</v>
      </c>
      <c r="B15" s="87" t="s">
        <v>1146</v>
      </c>
      <c r="C15" s="555">
        <v>9705</v>
      </c>
      <c r="D15" s="563">
        <v>18000</v>
      </c>
      <c r="E15" s="573">
        <v>200</v>
      </c>
      <c r="F15" s="563">
        <v>18000</v>
      </c>
      <c r="G15" s="87">
        <f t="shared" si="0"/>
        <v>0</v>
      </c>
      <c r="H15" s="509">
        <v>400000</v>
      </c>
      <c r="I15" s="525" t="s">
        <v>1202</v>
      </c>
      <c r="J15" s="667"/>
      <c r="K15" s="667"/>
      <c r="L15" s="667"/>
    </row>
    <row r="16" spans="1:12" ht="15.75" x14ac:dyDescent="0.25">
      <c r="A16" s="87">
        <v>12</v>
      </c>
      <c r="B16" s="87" t="s">
        <v>1146</v>
      </c>
      <c r="C16" s="555">
        <v>9097</v>
      </c>
      <c r="D16" s="563">
        <v>24000</v>
      </c>
      <c r="E16" s="573">
        <v>267</v>
      </c>
      <c r="F16" s="563">
        <v>24000</v>
      </c>
      <c r="G16" s="87">
        <f t="shared" si="0"/>
        <v>0</v>
      </c>
      <c r="H16" s="509">
        <v>200000</v>
      </c>
      <c r="I16" s="525" t="s">
        <v>1203</v>
      </c>
      <c r="J16" s="667"/>
      <c r="K16" s="667"/>
      <c r="L16" s="667"/>
    </row>
    <row r="17" spans="1:14" ht="15.75" x14ac:dyDescent="0.25">
      <c r="A17" s="87">
        <v>13</v>
      </c>
      <c r="B17" s="87" t="s">
        <v>1146</v>
      </c>
      <c r="C17" s="555">
        <v>3738</v>
      </c>
      <c r="D17" s="563">
        <v>26000</v>
      </c>
      <c r="E17" s="573">
        <v>289</v>
      </c>
      <c r="F17" s="563">
        <v>26000</v>
      </c>
      <c r="G17" s="87">
        <f t="shared" si="0"/>
        <v>0</v>
      </c>
      <c r="H17" s="509">
        <v>200000</v>
      </c>
      <c r="I17" s="525" t="s">
        <v>1204</v>
      </c>
      <c r="J17" s="667"/>
      <c r="K17" s="667"/>
      <c r="L17" s="667"/>
    </row>
    <row r="18" spans="1:14" ht="15.75" x14ac:dyDescent="0.25">
      <c r="A18" s="87">
        <v>14</v>
      </c>
      <c r="B18" s="87" t="s">
        <v>1146</v>
      </c>
      <c r="C18" s="555" t="s">
        <v>30</v>
      </c>
      <c r="D18" s="563">
        <v>5000</v>
      </c>
      <c r="E18" s="573">
        <v>55</v>
      </c>
      <c r="F18" s="563">
        <v>5000</v>
      </c>
      <c r="G18" s="87">
        <f t="shared" si="0"/>
        <v>0</v>
      </c>
      <c r="H18" s="509">
        <v>500000</v>
      </c>
      <c r="I18" s="525" t="s">
        <v>1205</v>
      </c>
      <c r="J18" s="667"/>
      <c r="K18" s="667"/>
      <c r="L18" s="667"/>
    </row>
    <row r="19" spans="1:14" ht="15.75" x14ac:dyDescent="0.25">
      <c r="A19" s="87">
        <v>15</v>
      </c>
      <c r="B19" s="87" t="s">
        <v>1146</v>
      </c>
      <c r="C19" s="555" t="s">
        <v>1068</v>
      </c>
      <c r="D19" s="563">
        <v>210</v>
      </c>
      <c r="E19" s="573">
        <v>2</v>
      </c>
      <c r="F19" s="563">
        <v>210</v>
      </c>
      <c r="G19" s="87">
        <f t="shared" si="0"/>
        <v>0</v>
      </c>
      <c r="H19" s="509">
        <v>700000</v>
      </c>
      <c r="I19" s="525" t="s">
        <v>1206</v>
      </c>
      <c r="J19" s="667"/>
      <c r="K19" s="667"/>
      <c r="L19" s="667"/>
    </row>
    <row r="20" spans="1:14" ht="15.75" x14ac:dyDescent="0.25">
      <c r="A20" s="87">
        <v>16</v>
      </c>
      <c r="B20" s="87" t="s">
        <v>1146</v>
      </c>
      <c r="C20" s="555">
        <v>6832</v>
      </c>
      <c r="D20" s="563">
        <v>20000</v>
      </c>
      <c r="E20" s="573">
        <v>213</v>
      </c>
      <c r="F20" s="563">
        <v>20000</v>
      </c>
      <c r="G20" s="87">
        <f t="shared" si="0"/>
        <v>0</v>
      </c>
      <c r="H20" s="509">
        <v>500000</v>
      </c>
      <c r="I20" s="509" t="s">
        <v>1207</v>
      </c>
      <c r="J20" s="667"/>
      <c r="K20" s="667"/>
      <c r="L20" s="667"/>
    </row>
    <row r="21" spans="1:14" ht="15.75" x14ac:dyDescent="0.25">
      <c r="A21" s="87">
        <v>17</v>
      </c>
      <c r="B21" s="87" t="s">
        <v>1146</v>
      </c>
      <c r="C21" s="555">
        <v>4270</v>
      </c>
      <c r="D21" s="563">
        <v>26000</v>
      </c>
      <c r="E21" s="573">
        <v>289</v>
      </c>
      <c r="F21" s="563">
        <v>26000</v>
      </c>
      <c r="G21" s="87">
        <f t="shared" si="0"/>
        <v>0</v>
      </c>
      <c r="H21" s="509">
        <v>500000</v>
      </c>
      <c r="I21" s="509" t="s">
        <v>1208</v>
      </c>
      <c r="J21" s="667"/>
      <c r="K21" s="667"/>
      <c r="L21" s="667"/>
    </row>
    <row r="22" spans="1:14" ht="18.75" x14ac:dyDescent="0.3">
      <c r="A22" s="87">
        <v>18</v>
      </c>
      <c r="B22" s="87" t="s">
        <v>1146</v>
      </c>
      <c r="C22" s="555">
        <v>4347</v>
      </c>
      <c r="D22" s="563">
        <v>25000</v>
      </c>
      <c r="E22" s="573">
        <v>278</v>
      </c>
      <c r="F22" s="563">
        <v>25000</v>
      </c>
      <c r="G22" s="87">
        <f t="shared" si="0"/>
        <v>0</v>
      </c>
      <c r="H22" s="550">
        <v>100000</v>
      </c>
      <c r="I22" s="550" t="s">
        <v>1248</v>
      </c>
      <c r="J22" s="185" t="s">
        <v>1249</v>
      </c>
      <c r="K22" s="185"/>
      <c r="L22" s="185"/>
    </row>
    <row r="23" spans="1:14" ht="15.75" x14ac:dyDescent="0.25">
      <c r="A23" s="87">
        <v>19</v>
      </c>
      <c r="B23" s="87" t="s">
        <v>1146</v>
      </c>
      <c r="C23" s="555">
        <v>5313</v>
      </c>
      <c r="D23" s="563">
        <v>10000</v>
      </c>
      <c r="E23" s="573">
        <v>111</v>
      </c>
      <c r="F23" s="563">
        <v>10000</v>
      </c>
      <c r="G23" s="87">
        <f t="shared" si="0"/>
        <v>0</v>
      </c>
      <c r="H23" s="509">
        <v>500000</v>
      </c>
      <c r="I23" s="509" t="s">
        <v>1248</v>
      </c>
      <c r="J23" s="89" t="s">
        <v>548</v>
      </c>
      <c r="K23" s="522"/>
      <c r="L23" s="204"/>
      <c r="M23" s="51"/>
      <c r="N23" s="51"/>
    </row>
    <row r="24" spans="1:14" ht="15.75" x14ac:dyDescent="0.25">
      <c r="A24" s="87">
        <v>20</v>
      </c>
      <c r="B24" s="87" t="s">
        <v>1146</v>
      </c>
      <c r="C24" s="555">
        <v>6871</v>
      </c>
      <c r="D24" s="563">
        <v>20000</v>
      </c>
      <c r="E24" s="573">
        <v>213</v>
      </c>
      <c r="F24" s="563">
        <v>20000</v>
      </c>
      <c r="G24" s="87">
        <f t="shared" si="0"/>
        <v>0</v>
      </c>
      <c r="H24" s="509">
        <v>500000</v>
      </c>
      <c r="I24" s="509" t="s">
        <v>1248</v>
      </c>
      <c r="J24" s="89" t="s">
        <v>1250</v>
      </c>
      <c r="K24" s="522"/>
      <c r="L24" s="204"/>
      <c r="M24" s="51"/>
      <c r="N24" s="51"/>
    </row>
    <row r="25" spans="1:14" ht="15.75" x14ac:dyDescent="0.25">
      <c r="A25" s="87">
        <v>21</v>
      </c>
      <c r="B25" s="87" t="s">
        <v>1146</v>
      </c>
      <c r="C25" s="555">
        <v>7349</v>
      </c>
      <c r="D25" s="563">
        <v>20000</v>
      </c>
      <c r="E25" s="573">
        <v>213</v>
      </c>
      <c r="F25" s="563">
        <v>20000</v>
      </c>
      <c r="G25" s="87">
        <f t="shared" si="0"/>
        <v>0</v>
      </c>
      <c r="H25" s="509">
        <v>600000</v>
      </c>
      <c r="I25" s="509" t="s">
        <v>1251</v>
      </c>
      <c r="J25" s="89" t="s">
        <v>548</v>
      </c>
      <c r="K25" s="522"/>
      <c r="L25" s="204"/>
      <c r="M25" s="51"/>
    </row>
    <row r="26" spans="1:14" ht="15.75" x14ac:dyDescent="0.25">
      <c r="A26" s="87">
        <v>22</v>
      </c>
      <c r="B26" s="87" t="s">
        <v>1146</v>
      </c>
      <c r="C26" s="555">
        <v>1771</v>
      </c>
      <c r="D26" s="563">
        <v>20000</v>
      </c>
      <c r="E26" s="573">
        <v>213</v>
      </c>
      <c r="F26" s="563">
        <v>20000</v>
      </c>
      <c r="G26" s="87">
        <f t="shared" si="0"/>
        <v>0</v>
      </c>
      <c r="H26" s="509">
        <v>900000</v>
      </c>
      <c r="I26" s="509" t="s">
        <v>1252</v>
      </c>
      <c r="J26" s="89" t="s">
        <v>548</v>
      </c>
      <c r="K26" s="522"/>
      <c r="L26" s="204"/>
      <c r="M26" s="51"/>
    </row>
    <row r="27" spans="1:14" ht="15.75" x14ac:dyDescent="0.25">
      <c r="A27" s="87">
        <v>23</v>
      </c>
      <c r="B27" s="87" t="s">
        <v>1146</v>
      </c>
      <c r="C27" s="555" t="s">
        <v>819</v>
      </c>
      <c r="D27" s="563">
        <v>3500</v>
      </c>
      <c r="E27" s="573">
        <v>39</v>
      </c>
      <c r="F27" s="563">
        <v>3500</v>
      </c>
      <c r="G27" s="87">
        <f t="shared" si="0"/>
        <v>0</v>
      </c>
      <c r="H27" s="509">
        <v>1600000</v>
      </c>
      <c r="I27" s="509" t="s">
        <v>1253</v>
      </c>
      <c r="J27" s="89" t="s">
        <v>548</v>
      </c>
      <c r="K27" s="522"/>
      <c r="L27" s="204"/>
      <c r="M27" s="51"/>
    </row>
    <row r="28" spans="1:14" ht="15.75" x14ac:dyDescent="0.25">
      <c r="A28" s="87">
        <v>24</v>
      </c>
      <c r="B28" s="87" t="s">
        <v>1146</v>
      </c>
      <c r="C28" s="555">
        <v>2779</v>
      </c>
      <c r="D28" s="563">
        <v>25000</v>
      </c>
      <c r="E28" s="573">
        <v>256</v>
      </c>
      <c r="F28" s="563">
        <v>25000</v>
      </c>
      <c r="G28" s="87">
        <f t="shared" si="0"/>
        <v>0</v>
      </c>
      <c r="H28" s="509">
        <v>700000</v>
      </c>
      <c r="I28" s="509" t="s">
        <v>1254</v>
      </c>
      <c r="J28" s="89" t="s">
        <v>548</v>
      </c>
      <c r="K28" s="522"/>
      <c r="L28" s="204"/>
      <c r="M28" s="51"/>
    </row>
    <row r="29" spans="1:14" ht="15.75" x14ac:dyDescent="0.25">
      <c r="A29" s="87">
        <v>25</v>
      </c>
      <c r="B29" s="87" t="s">
        <v>1146</v>
      </c>
      <c r="C29" s="555">
        <v>2045</v>
      </c>
      <c r="D29" s="563">
        <v>34000</v>
      </c>
      <c r="E29" s="573">
        <v>349</v>
      </c>
      <c r="F29" s="563">
        <v>34000</v>
      </c>
      <c r="G29" s="87">
        <f t="shared" si="0"/>
        <v>0</v>
      </c>
      <c r="H29" s="509">
        <v>800000</v>
      </c>
      <c r="I29" s="509" t="s">
        <v>1255</v>
      </c>
      <c r="J29" s="89" t="s">
        <v>548</v>
      </c>
      <c r="K29" s="522"/>
      <c r="L29" s="204"/>
      <c r="M29" s="51"/>
      <c r="N29" s="679"/>
    </row>
    <row r="30" spans="1:14" ht="15.75" x14ac:dyDescent="0.25">
      <c r="A30" s="87">
        <v>26</v>
      </c>
      <c r="B30" s="87" t="s">
        <v>1146</v>
      </c>
      <c r="C30" s="607" t="s">
        <v>1170</v>
      </c>
      <c r="D30" s="563">
        <v>20000</v>
      </c>
      <c r="E30" s="573">
        <v>222</v>
      </c>
      <c r="F30" s="563">
        <v>20000</v>
      </c>
      <c r="G30" s="87">
        <f t="shared" si="0"/>
        <v>0</v>
      </c>
      <c r="H30" s="509">
        <v>700000</v>
      </c>
      <c r="I30" s="509" t="s">
        <v>1256</v>
      </c>
      <c r="J30" s="89" t="s">
        <v>548</v>
      </c>
      <c r="K30" s="522"/>
      <c r="L30" s="204"/>
      <c r="M30" s="51"/>
      <c r="N30" s="680"/>
    </row>
    <row r="31" spans="1:14" ht="15.75" x14ac:dyDescent="0.25">
      <c r="A31" s="87">
        <v>27</v>
      </c>
      <c r="B31" s="87" t="s">
        <v>1146</v>
      </c>
      <c r="C31" s="555">
        <v>4055</v>
      </c>
      <c r="D31" s="563">
        <v>19000</v>
      </c>
      <c r="E31" s="573">
        <v>211</v>
      </c>
      <c r="F31" s="563">
        <v>19000</v>
      </c>
      <c r="G31" s="87">
        <f t="shared" si="0"/>
        <v>0</v>
      </c>
      <c r="H31" s="509"/>
      <c r="I31" s="509"/>
      <c r="J31" s="667"/>
      <c r="K31" s="667"/>
      <c r="L31" s="667"/>
    </row>
    <row r="32" spans="1:14" ht="15.75" x14ac:dyDescent="0.25">
      <c r="A32" s="87">
        <v>28</v>
      </c>
      <c r="B32" s="87" t="s">
        <v>1146</v>
      </c>
      <c r="C32" s="555">
        <v>2092</v>
      </c>
      <c r="D32" s="563">
        <v>24800</v>
      </c>
      <c r="E32" s="573">
        <v>276</v>
      </c>
      <c r="F32" s="563">
        <v>24800</v>
      </c>
      <c r="G32" s="87">
        <f t="shared" si="0"/>
        <v>0</v>
      </c>
      <c r="H32" s="509"/>
      <c r="I32" s="509"/>
      <c r="J32" s="667"/>
      <c r="K32" s="667"/>
      <c r="L32" s="667"/>
    </row>
    <row r="33" spans="1:12" ht="15.75" x14ac:dyDescent="0.25">
      <c r="A33" s="87">
        <v>29</v>
      </c>
      <c r="B33" s="87" t="s">
        <v>1146</v>
      </c>
      <c r="C33" s="555">
        <v>5655</v>
      </c>
      <c r="D33" s="563">
        <v>12000</v>
      </c>
      <c r="E33" s="573">
        <v>133</v>
      </c>
      <c r="F33" s="563">
        <v>12000</v>
      </c>
      <c r="G33" s="87">
        <f t="shared" si="0"/>
        <v>0</v>
      </c>
      <c r="H33" s="509"/>
      <c r="I33" s="509"/>
      <c r="J33" s="667"/>
      <c r="K33" s="667"/>
      <c r="L33" s="667"/>
    </row>
    <row r="34" spans="1:12" ht="15.75" x14ac:dyDescent="0.25">
      <c r="A34" s="87">
        <v>30</v>
      </c>
      <c r="B34" s="87" t="s">
        <v>1146</v>
      </c>
      <c r="C34" s="555">
        <v>4204</v>
      </c>
      <c r="D34" s="563">
        <v>16500</v>
      </c>
      <c r="E34" s="573">
        <v>183</v>
      </c>
      <c r="F34" s="563">
        <v>16500</v>
      </c>
      <c r="G34" s="87">
        <f t="shared" si="0"/>
        <v>0</v>
      </c>
      <c r="H34" s="509"/>
      <c r="I34" s="509"/>
      <c r="J34" s="667"/>
      <c r="K34" s="667"/>
      <c r="L34" s="667"/>
    </row>
    <row r="35" spans="1:12" ht="15.75" x14ac:dyDescent="0.25">
      <c r="A35" s="87">
        <v>31</v>
      </c>
      <c r="B35" s="87" t="s">
        <v>1146</v>
      </c>
      <c r="C35" s="555">
        <v>2972</v>
      </c>
      <c r="D35" s="563">
        <v>15000</v>
      </c>
      <c r="E35" s="573">
        <v>167</v>
      </c>
      <c r="F35" s="563">
        <v>15000</v>
      </c>
      <c r="G35" s="87">
        <f t="shared" si="0"/>
        <v>0</v>
      </c>
      <c r="H35" s="509"/>
      <c r="I35" s="509"/>
      <c r="J35" s="667"/>
      <c r="K35" s="667"/>
      <c r="L35" s="667"/>
    </row>
    <row r="36" spans="1:12" ht="15.75" x14ac:dyDescent="0.25">
      <c r="A36" s="87">
        <v>32</v>
      </c>
      <c r="B36" s="87" t="s">
        <v>1146</v>
      </c>
      <c r="C36" s="555">
        <v>6644</v>
      </c>
      <c r="D36" s="563">
        <v>20000</v>
      </c>
      <c r="E36" s="573">
        <v>222</v>
      </c>
      <c r="F36" s="563">
        <v>20000</v>
      </c>
      <c r="G36" s="87">
        <f t="shared" si="0"/>
        <v>0</v>
      </c>
      <c r="H36" s="509"/>
      <c r="I36" s="509"/>
      <c r="J36" s="667"/>
      <c r="K36" s="667"/>
      <c r="L36" s="667"/>
    </row>
    <row r="37" spans="1:12" ht="15.75" x14ac:dyDescent="0.25">
      <c r="A37" s="87">
        <v>33</v>
      </c>
      <c r="B37" s="87" t="s">
        <v>1146</v>
      </c>
      <c r="C37" s="555">
        <v>2089</v>
      </c>
      <c r="D37" s="563">
        <v>10000</v>
      </c>
      <c r="E37" s="573">
        <v>111</v>
      </c>
      <c r="F37" s="563">
        <v>10000</v>
      </c>
      <c r="G37" s="87">
        <f t="shared" si="0"/>
        <v>0</v>
      </c>
      <c r="H37" s="509"/>
      <c r="I37" s="509"/>
      <c r="J37" s="667"/>
      <c r="K37" s="667"/>
      <c r="L37" s="667"/>
    </row>
    <row r="38" spans="1:12" ht="15.75" x14ac:dyDescent="0.25">
      <c r="A38" s="87">
        <v>34</v>
      </c>
      <c r="B38" s="87" t="s">
        <v>1146</v>
      </c>
      <c r="C38" s="555">
        <v>5457</v>
      </c>
      <c r="D38" s="563">
        <v>16000</v>
      </c>
      <c r="E38" s="573">
        <v>167</v>
      </c>
      <c r="F38" s="563">
        <v>16000</v>
      </c>
      <c r="G38" s="87">
        <f t="shared" si="0"/>
        <v>0</v>
      </c>
      <c r="H38" s="509"/>
      <c r="I38" s="509"/>
      <c r="J38" s="667"/>
      <c r="K38" s="667"/>
      <c r="L38" s="667"/>
    </row>
    <row r="39" spans="1:12" ht="15.75" x14ac:dyDescent="0.25">
      <c r="A39" s="87">
        <v>35</v>
      </c>
      <c r="B39" s="87" t="s">
        <v>1146</v>
      </c>
      <c r="C39" s="607" t="s">
        <v>1082</v>
      </c>
      <c r="D39" s="563">
        <v>33000</v>
      </c>
      <c r="E39" s="573">
        <v>367</v>
      </c>
      <c r="F39" s="563">
        <v>33000</v>
      </c>
      <c r="G39" s="87">
        <f t="shared" si="0"/>
        <v>0</v>
      </c>
      <c r="H39" s="509"/>
      <c r="I39" s="525"/>
      <c r="J39" s="667"/>
      <c r="K39" s="667"/>
      <c r="L39" s="667"/>
    </row>
    <row r="40" spans="1:12" ht="15.75" x14ac:dyDescent="0.25">
      <c r="A40" s="87">
        <v>36</v>
      </c>
      <c r="B40" s="87" t="s">
        <v>1146</v>
      </c>
      <c r="C40" s="555">
        <v>9610</v>
      </c>
      <c r="D40" s="563">
        <v>32000</v>
      </c>
      <c r="E40" s="573">
        <v>339</v>
      </c>
      <c r="F40" s="563">
        <v>32000</v>
      </c>
      <c r="G40" s="87">
        <f t="shared" si="0"/>
        <v>0</v>
      </c>
      <c r="H40" s="509"/>
      <c r="I40" s="525"/>
      <c r="J40" s="667"/>
      <c r="K40" s="667"/>
      <c r="L40" s="667"/>
    </row>
    <row r="41" spans="1:12" ht="15.75" x14ac:dyDescent="0.25">
      <c r="A41" s="87">
        <v>37</v>
      </c>
      <c r="B41" s="87" t="s">
        <v>1146</v>
      </c>
      <c r="C41" s="555">
        <v>5171</v>
      </c>
      <c r="D41" s="563">
        <v>8000</v>
      </c>
      <c r="E41" s="573">
        <v>89</v>
      </c>
      <c r="F41" s="563">
        <v>8000</v>
      </c>
      <c r="G41" s="87">
        <f t="shared" si="0"/>
        <v>0</v>
      </c>
      <c r="H41" s="509"/>
      <c r="I41" s="525"/>
      <c r="J41" s="667"/>
      <c r="K41" s="667"/>
      <c r="L41" s="667"/>
    </row>
    <row r="42" spans="1:12" ht="15.75" x14ac:dyDescent="0.25">
      <c r="A42" s="87">
        <v>38</v>
      </c>
      <c r="B42" s="87" t="s">
        <v>1147</v>
      </c>
      <c r="C42" s="555">
        <v>9240</v>
      </c>
      <c r="D42" s="563">
        <v>26000</v>
      </c>
      <c r="E42" s="573">
        <v>249</v>
      </c>
      <c r="F42" s="563">
        <v>26000</v>
      </c>
      <c r="G42" s="87">
        <f t="shared" si="0"/>
        <v>0</v>
      </c>
      <c r="H42" s="509"/>
      <c r="I42" s="525"/>
      <c r="J42" s="667"/>
      <c r="K42" s="667"/>
      <c r="L42" s="667"/>
    </row>
    <row r="43" spans="1:12" ht="15.75" x14ac:dyDescent="0.25">
      <c r="A43" s="87">
        <v>39</v>
      </c>
      <c r="B43" s="87" t="s">
        <v>1147</v>
      </c>
      <c r="C43" s="555">
        <v>8326</v>
      </c>
      <c r="D43" s="563">
        <v>15000</v>
      </c>
      <c r="E43" s="573">
        <v>167</v>
      </c>
      <c r="F43" s="563">
        <v>15000</v>
      </c>
      <c r="G43" s="87">
        <f t="shared" si="0"/>
        <v>0</v>
      </c>
      <c r="H43" s="509"/>
      <c r="I43" s="525"/>
      <c r="J43" s="667"/>
      <c r="K43" s="667"/>
      <c r="L43" s="667"/>
    </row>
    <row r="44" spans="1:12" ht="15.75" x14ac:dyDescent="0.25">
      <c r="A44" s="87">
        <v>40</v>
      </c>
      <c r="B44" s="87" t="s">
        <v>1147</v>
      </c>
      <c r="C44" s="555">
        <v>9957</v>
      </c>
      <c r="D44" s="563">
        <v>15000</v>
      </c>
      <c r="E44" s="573">
        <v>167</v>
      </c>
      <c r="F44" s="563">
        <v>15000</v>
      </c>
      <c r="G44" s="87">
        <f t="shared" si="0"/>
        <v>0</v>
      </c>
      <c r="H44" s="509"/>
      <c r="I44" s="525"/>
      <c r="J44" s="667"/>
      <c r="K44" s="667"/>
      <c r="L44" s="667"/>
    </row>
    <row r="45" spans="1:12" ht="15.75" x14ac:dyDescent="0.25">
      <c r="A45" s="87">
        <v>41</v>
      </c>
      <c r="B45" s="87" t="s">
        <v>1147</v>
      </c>
      <c r="C45" s="555">
        <v>5526</v>
      </c>
      <c r="D45" s="563">
        <v>15000</v>
      </c>
      <c r="E45" s="573">
        <v>167</v>
      </c>
      <c r="F45" s="563">
        <v>15000</v>
      </c>
      <c r="G45" s="87">
        <f t="shared" si="0"/>
        <v>0</v>
      </c>
      <c r="H45" s="509"/>
      <c r="I45" s="525"/>
      <c r="J45" s="667"/>
      <c r="K45" s="667"/>
      <c r="L45" s="667"/>
    </row>
    <row r="46" spans="1:12" ht="15.75" x14ac:dyDescent="0.25">
      <c r="A46" s="87">
        <v>42</v>
      </c>
      <c r="B46" s="87" t="s">
        <v>1147</v>
      </c>
      <c r="C46" s="555">
        <v>2963</v>
      </c>
      <c r="D46" s="563">
        <v>16000</v>
      </c>
      <c r="E46" s="573">
        <v>178</v>
      </c>
      <c r="F46" s="563">
        <v>16000</v>
      </c>
      <c r="G46" s="87">
        <f t="shared" si="0"/>
        <v>0</v>
      </c>
      <c r="H46" s="509"/>
      <c r="I46" s="525"/>
      <c r="J46" s="667"/>
      <c r="K46" s="667"/>
      <c r="L46" s="667"/>
    </row>
    <row r="47" spans="1:12" ht="15.75" x14ac:dyDescent="0.25">
      <c r="A47" s="87">
        <v>43</v>
      </c>
      <c r="B47" s="87" t="s">
        <v>1147</v>
      </c>
      <c r="C47" s="555">
        <v>8726</v>
      </c>
      <c r="D47" s="563">
        <v>16000</v>
      </c>
      <c r="E47" s="573">
        <v>178</v>
      </c>
      <c r="F47" s="563">
        <v>16000</v>
      </c>
      <c r="G47" s="87">
        <f t="shared" si="0"/>
        <v>0</v>
      </c>
      <c r="H47" s="509"/>
      <c r="I47" s="525"/>
      <c r="J47" s="667"/>
      <c r="K47" s="667"/>
      <c r="L47" s="667"/>
    </row>
    <row r="48" spans="1:12" ht="15.75" x14ac:dyDescent="0.25">
      <c r="A48" s="87">
        <v>44</v>
      </c>
      <c r="B48" s="87" t="s">
        <v>1147</v>
      </c>
      <c r="C48" s="607" t="s">
        <v>1209</v>
      </c>
      <c r="D48" s="563">
        <v>23000</v>
      </c>
      <c r="E48" s="573">
        <v>256</v>
      </c>
      <c r="F48" s="563">
        <v>23000</v>
      </c>
      <c r="G48" s="87">
        <f t="shared" si="0"/>
        <v>0</v>
      </c>
      <c r="H48" s="509"/>
      <c r="I48" s="525"/>
      <c r="J48" s="667"/>
      <c r="K48" s="667"/>
      <c r="L48" s="667"/>
    </row>
    <row r="49" spans="1:12" ht="15.75" x14ac:dyDescent="0.25">
      <c r="A49" s="87">
        <v>45</v>
      </c>
      <c r="B49" s="87" t="s">
        <v>1147</v>
      </c>
      <c r="C49" s="555">
        <v>9426</v>
      </c>
      <c r="D49" s="563">
        <v>22000</v>
      </c>
      <c r="E49" s="573">
        <v>245</v>
      </c>
      <c r="F49" s="563">
        <v>22000</v>
      </c>
      <c r="G49" s="87">
        <f t="shared" si="0"/>
        <v>0</v>
      </c>
      <c r="H49" s="509"/>
      <c r="I49" s="525"/>
      <c r="J49" s="667"/>
      <c r="K49" s="667"/>
      <c r="L49" s="667"/>
    </row>
    <row r="50" spans="1:12" ht="15.75" x14ac:dyDescent="0.25">
      <c r="A50" s="87">
        <v>46</v>
      </c>
      <c r="B50" s="87" t="s">
        <v>1147</v>
      </c>
      <c r="C50" s="555" t="s">
        <v>30</v>
      </c>
      <c r="D50" s="563">
        <v>3500</v>
      </c>
      <c r="E50" s="573">
        <v>39</v>
      </c>
      <c r="F50" s="563">
        <v>3500</v>
      </c>
      <c r="G50" s="87">
        <f t="shared" si="0"/>
        <v>0</v>
      </c>
      <c r="H50" s="509"/>
      <c r="I50" s="525"/>
      <c r="J50" s="667"/>
      <c r="K50" s="667"/>
      <c r="L50" s="667"/>
    </row>
    <row r="51" spans="1:12" ht="15.75" x14ac:dyDescent="0.25">
      <c r="A51" s="87">
        <v>47</v>
      </c>
      <c r="B51" s="87" t="s">
        <v>1147</v>
      </c>
      <c r="C51" s="555">
        <v>7595</v>
      </c>
      <c r="D51" s="563">
        <v>25000</v>
      </c>
      <c r="E51" s="573">
        <v>278</v>
      </c>
      <c r="F51" s="563">
        <v>25000</v>
      </c>
      <c r="G51" s="87">
        <f t="shared" si="0"/>
        <v>0</v>
      </c>
      <c r="H51" s="509"/>
      <c r="I51" s="525"/>
      <c r="J51" s="667"/>
      <c r="K51" s="667"/>
      <c r="L51" s="667"/>
    </row>
    <row r="52" spans="1:12" ht="15.75" x14ac:dyDescent="0.25">
      <c r="A52" s="87">
        <v>48</v>
      </c>
      <c r="B52" s="87" t="s">
        <v>1147</v>
      </c>
      <c r="C52" s="607" t="s">
        <v>1210</v>
      </c>
      <c r="D52" s="563">
        <v>10000</v>
      </c>
      <c r="E52" s="573">
        <v>111</v>
      </c>
      <c r="F52" s="563">
        <v>10000</v>
      </c>
      <c r="G52" s="87">
        <f t="shared" si="0"/>
        <v>0</v>
      </c>
      <c r="H52" s="509"/>
      <c r="I52" s="525"/>
      <c r="J52" s="667"/>
      <c r="K52" s="667"/>
      <c r="L52" s="667"/>
    </row>
    <row r="53" spans="1:12" ht="15.75" x14ac:dyDescent="0.25">
      <c r="A53" s="87">
        <v>49</v>
      </c>
      <c r="B53" s="87" t="s">
        <v>1147</v>
      </c>
      <c r="C53" s="555">
        <v>2961</v>
      </c>
      <c r="D53" s="563">
        <v>16000</v>
      </c>
      <c r="E53" s="573">
        <v>178</v>
      </c>
      <c r="F53" s="563">
        <v>16000</v>
      </c>
      <c r="G53" s="87">
        <f t="shared" si="0"/>
        <v>0</v>
      </c>
      <c r="H53" s="509"/>
      <c r="I53" s="525"/>
      <c r="J53" s="667"/>
      <c r="K53" s="667"/>
      <c r="L53" s="667"/>
    </row>
    <row r="54" spans="1:12" ht="15.75" x14ac:dyDescent="0.25">
      <c r="A54" s="87">
        <v>50</v>
      </c>
      <c r="B54" s="87" t="s">
        <v>1147</v>
      </c>
      <c r="C54" s="555">
        <v>2962</v>
      </c>
      <c r="D54" s="563">
        <v>15000</v>
      </c>
      <c r="E54" s="573">
        <v>167</v>
      </c>
      <c r="F54" s="563">
        <v>15000</v>
      </c>
      <c r="G54" s="87">
        <f t="shared" si="0"/>
        <v>0</v>
      </c>
      <c r="H54" s="509"/>
      <c r="I54" s="525"/>
      <c r="J54" s="667"/>
      <c r="K54" s="667"/>
      <c r="L54" s="667"/>
    </row>
    <row r="55" spans="1:12" ht="15.75" x14ac:dyDescent="0.25">
      <c r="A55" s="87">
        <v>51</v>
      </c>
      <c r="B55" s="87" t="s">
        <v>1147</v>
      </c>
      <c r="C55" s="555">
        <v>1192</v>
      </c>
      <c r="D55" s="563">
        <v>28000</v>
      </c>
      <c r="E55" s="573">
        <v>311</v>
      </c>
      <c r="F55" s="563">
        <v>28000</v>
      </c>
      <c r="G55" s="87">
        <f t="shared" si="0"/>
        <v>0</v>
      </c>
      <c r="H55" s="509"/>
      <c r="I55" s="525"/>
      <c r="J55" s="667"/>
      <c r="K55" s="667"/>
      <c r="L55" s="667"/>
    </row>
    <row r="56" spans="1:12" ht="15.75" x14ac:dyDescent="0.25">
      <c r="A56" s="87">
        <v>52</v>
      </c>
      <c r="B56" s="87" t="s">
        <v>1147</v>
      </c>
      <c r="C56" s="555">
        <v>5445</v>
      </c>
      <c r="D56" s="563">
        <v>18000</v>
      </c>
      <c r="E56" s="573">
        <v>200</v>
      </c>
      <c r="F56" s="563">
        <v>18000</v>
      </c>
      <c r="G56" s="87">
        <f t="shared" si="0"/>
        <v>0</v>
      </c>
      <c r="H56" s="509"/>
      <c r="I56" s="525"/>
      <c r="J56" s="667"/>
      <c r="K56" s="667"/>
      <c r="L56" s="667"/>
    </row>
    <row r="57" spans="1:12" ht="15.75" x14ac:dyDescent="0.25">
      <c r="A57" s="87">
        <v>53</v>
      </c>
      <c r="B57" s="87" t="s">
        <v>1147</v>
      </c>
      <c r="C57" s="607" t="s">
        <v>1169</v>
      </c>
      <c r="D57" s="563">
        <v>15000</v>
      </c>
      <c r="E57" s="573">
        <v>167</v>
      </c>
      <c r="F57" s="563">
        <v>15000</v>
      </c>
      <c r="G57" s="87">
        <f t="shared" si="0"/>
        <v>0</v>
      </c>
      <c r="H57" s="509"/>
      <c r="I57" s="525"/>
      <c r="J57" s="667"/>
      <c r="K57" s="667"/>
      <c r="L57" s="667"/>
    </row>
    <row r="58" spans="1:12" ht="15.75" x14ac:dyDescent="0.25">
      <c r="A58" s="87">
        <v>54</v>
      </c>
      <c r="B58" s="87" t="s">
        <v>1147</v>
      </c>
      <c r="C58" s="555">
        <v>8083</v>
      </c>
      <c r="D58" s="563">
        <v>28000</v>
      </c>
      <c r="E58" s="573">
        <v>311</v>
      </c>
      <c r="F58" s="563">
        <v>28000</v>
      </c>
      <c r="G58" s="87">
        <f t="shared" si="0"/>
        <v>0</v>
      </c>
      <c r="H58" s="509"/>
      <c r="I58" s="525"/>
      <c r="J58" s="667"/>
      <c r="K58" s="667"/>
      <c r="L58" s="667"/>
    </row>
    <row r="59" spans="1:12" ht="15.75" x14ac:dyDescent="0.25">
      <c r="A59" s="87">
        <v>55</v>
      </c>
      <c r="B59" s="87" t="s">
        <v>1147</v>
      </c>
      <c r="C59" s="555" t="s">
        <v>30</v>
      </c>
      <c r="D59" s="563">
        <v>10000</v>
      </c>
      <c r="E59" s="573">
        <v>111</v>
      </c>
      <c r="F59" s="563">
        <v>10000</v>
      </c>
      <c r="G59" s="87">
        <f t="shared" si="0"/>
        <v>0</v>
      </c>
      <c r="H59" s="509"/>
      <c r="I59" s="525"/>
      <c r="J59" s="667"/>
      <c r="K59" s="667"/>
      <c r="L59" s="667"/>
    </row>
    <row r="60" spans="1:12" ht="15.75" x14ac:dyDescent="0.25">
      <c r="A60" s="87">
        <v>56</v>
      </c>
      <c r="B60" s="87" t="s">
        <v>1147</v>
      </c>
      <c r="C60" s="607" t="s">
        <v>876</v>
      </c>
      <c r="D60" s="563">
        <v>6000</v>
      </c>
      <c r="E60" s="573">
        <v>66</v>
      </c>
      <c r="F60" s="563">
        <v>6000</v>
      </c>
      <c r="G60" s="87">
        <f t="shared" si="0"/>
        <v>0</v>
      </c>
      <c r="H60" s="509"/>
      <c r="I60" s="525"/>
      <c r="J60" s="667"/>
      <c r="K60" s="667"/>
      <c r="L60" s="667"/>
    </row>
    <row r="61" spans="1:12" ht="15.75" x14ac:dyDescent="0.25">
      <c r="A61" s="87">
        <v>57</v>
      </c>
      <c r="B61" s="87" t="s">
        <v>1147</v>
      </c>
      <c r="C61" s="555">
        <v>5374</v>
      </c>
      <c r="D61" s="563">
        <v>6000</v>
      </c>
      <c r="E61" s="573">
        <v>66</v>
      </c>
      <c r="F61" s="563">
        <v>6000</v>
      </c>
      <c r="G61" s="87">
        <f t="shared" si="0"/>
        <v>0</v>
      </c>
      <c r="H61" s="509"/>
      <c r="I61" s="525"/>
      <c r="J61" s="667"/>
      <c r="K61" s="667"/>
      <c r="L61" s="667"/>
    </row>
    <row r="62" spans="1:12" ht="15.75" x14ac:dyDescent="0.25">
      <c r="A62" s="87">
        <v>58</v>
      </c>
      <c r="B62" s="87" t="s">
        <v>1147</v>
      </c>
      <c r="C62" s="555">
        <v>6737</v>
      </c>
      <c r="D62" s="563">
        <v>10000</v>
      </c>
      <c r="E62" s="573">
        <v>111</v>
      </c>
      <c r="F62" s="563">
        <v>10000</v>
      </c>
      <c r="G62" s="87">
        <f t="shared" si="0"/>
        <v>0</v>
      </c>
      <c r="H62" s="509"/>
      <c r="I62" s="525"/>
      <c r="J62" s="667"/>
      <c r="K62" s="667"/>
      <c r="L62" s="667"/>
    </row>
    <row r="63" spans="1:12" ht="15.75" x14ac:dyDescent="0.25">
      <c r="A63" s="87">
        <v>59</v>
      </c>
      <c r="B63" s="87" t="s">
        <v>1147</v>
      </c>
      <c r="C63" s="555">
        <v>3022</v>
      </c>
      <c r="D63" s="563">
        <v>7000</v>
      </c>
      <c r="E63" s="573">
        <v>77</v>
      </c>
      <c r="F63" s="563">
        <v>7000</v>
      </c>
      <c r="G63" s="87">
        <f t="shared" si="0"/>
        <v>0</v>
      </c>
      <c r="H63" s="509"/>
      <c r="I63" s="525"/>
      <c r="J63" s="667"/>
      <c r="K63" s="667"/>
      <c r="L63" s="667"/>
    </row>
    <row r="64" spans="1:12" ht="15.75" x14ac:dyDescent="0.25">
      <c r="A64" s="87">
        <v>60</v>
      </c>
      <c r="B64" s="87" t="s">
        <v>1147</v>
      </c>
      <c r="C64" s="607" t="s">
        <v>1211</v>
      </c>
      <c r="D64" s="563">
        <v>18000</v>
      </c>
      <c r="E64" s="573">
        <v>200</v>
      </c>
      <c r="F64" s="563">
        <v>18000</v>
      </c>
      <c r="G64" s="87">
        <f t="shared" si="0"/>
        <v>0</v>
      </c>
      <c r="H64" s="509"/>
      <c r="I64" s="525"/>
      <c r="J64" s="667"/>
      <c r="K64" s="667"/>
      <c r="L64" s="667"/>
    </row>
    <row r="65" spans="1:12" ht="15.75" x14ac:dyDescent="0.25">
      <c r="A65" s="87">
        <v>61</v>
      </c>
      <c r="B65" s="87" t="s">
        <v>1147</v>
      </c>
      <c r="C65" s="555">
        <v>2614</v>
      </c>
      <c r="D65" s="563">
        <v>20000</v>
      </c>
      <c r="E65" s="573">
        <v>222</v>
      </c>
      <c r="F65" s="563">
        <v>20000</v>
      </c>
      <c r="G65" s="87">
        <f t="shared" si="0"/>
        <v>0</v>
      </c>
      <c r="H65" s="509"/>
      <c r="I65" s="525"/>
      <c r="J65" s="667"/>
      <c r="K65" s="667"/>
      <c r="L65" s="667"/>
    </row>
    <row r="66" spans="1:12" ht="15.75" x14ac:dyDescent="0.25">
      <c r="A66" s="87">
        <v>62</v>
      </c>
      <c r="B66" s="87" t="s">
        <v>1147</v>
      </c>
      <c r="C66" s="555">
        <v>2785</v>
      </c>
      <c r="D66" s="563">
        <v>23000</v>
      </c>
      <c r="E66" s="573">
        <v>237</v>
      </c>
      <c r="F66" s="563">
        <v>23000</v>
      </c>
      <c r="G66" s="87">
        <f t="shared" si="0"/>
        <v>0</v>
      </c>
      <c r="H66" s="509"/>
      <c r="I66" s="525"/>
      <c r="J66" s="667"/>
      <c r="K66" s="667"/>
      <c r="L66" s="667"/>
    </row>
    <row r="67" spans="1:12" ht="15.75" x14ac:dyDescent="0.25">
      <c r="A67" s="87">
        <v>63</v>
      </c>
      <c r="B67" s="87" t="s">
        <v>1147</v>
      </c>
      <c r="C67" s="555" t="s">
        <v>66</v>
      </c>
      <c r="D67" s="563">
        <v>120</v>
      </c>
      <c r="E67" s="573" t="s">
        <v>66</v>
      </c>
      <c r="F67" s="563">
        <v>120</v>
      </c>
      <c r="G67" s="87">
        <f t="shared" si="0"/>
        <v>0</v>
      </c>
      <c r="H67" s="509"/>
      <c r="I67" s="525"/>
      <c r="J67" s="667"/>
      <c r="K67" s="667"/>
      <c r="L67" s="667"/>
    </row>
    <row r="68" spans="1:12" ht="15.75" x14ac:dyDescent="0.25">
      <c r="A68" s="87">
        <v>64</v>
      </c>
      <c r="B68" s="87" t="s">
        <v>1148</v>
      </c>
      <c r="C68" s="555">
        <v>4584</v>
      </c>
      <c r="D68" s="563">
        <v>14000</v>
      </c>
      <c r="E68" s="573">
        <v>155</v>
      </c>
      <c r="F68" s="563">
        <v>14000</v>
      </c>
      <c r="G68" s="87">
        <f t="shared" si="0"/>
        <v>0</v>
      </c>
      <c r="H68" s="509"/>
      <c r="I68" s="525"/>
      <c r="J68" s="667"/>
      <c r="K68" s="667"/>
      <c r="L68" s="667"/>
    </row>
    <row r="69" spans="1:12" ht="15.75" x14ac:dyDescent="0.25">
      <c r="A69" s="87">
        <v>65</v>
      </c>
      <c r="B69" s="87" t="s">
        <v>1148</v>
      </c>
      <c r="C69" s="555">
        <v>9857</v>
      </c>
      <c r="D69" s="563">
        <v>15000</v>
      </c>
      <c r="E69" s="573">
        <v>167</v>
      </c>
      <c r="F69" s="563">
        <v>15000</v>
      </c>
      <c r="G69" s="87">
        <f t="shared" ref="G69:G132" si="1">D69-F69</f>
        <v>0</v>
      </c>
      <c r="H69" s="509"/>
      <c r="I69" s="525"/>
      <c r="J69" s="667"/>
      <c r="K69" s="667"/>
      <c r="L69" s="667"/>
    </row>
    <row r="70" spans="1:12" ht="15.75" x14ac:dyDescent="0.25">
      <c r="A70" s="87">
        <v>66</v>
      </c>
      <c r="B70" s="87" t="s">
        <v>1148</v>
      </c>
      <c r="C70" s="555">
        <v>2435</v>
      </c>
      <c r="D70" s="563">
        <v>18000</v>
      </c>
      <c r="E70" s="573">
        <v>200</v>
      </c>
      <c r="F70" s="563">
        <v>18000</v>
      </c>
      <c r="G70" s="87">
        <f t="shared" si="1"/>
        <v>0</v>
      </c>
      <c r="H70" s="509"/>
      <c r="I70" s="525"/>
      <c r="J70" s="667"/>
      <c r="K70" s="667"/>
      <c r="L70" s="667"/>
    </row>
    <row r="71" spans="1:12" ht="15.75" x14ac:dyDescent="0.25">
      <c r="A71" s="87">
        <v>67</v>
      </c>
      <c r="B71" s="87" t="s">
        <v>1148</v>
      </c>
      <c r="C71" s="555">
        <v>7435</v>
      </c>
      <c r="D71" s="563">
        <v>18000</v>
      </c>
      <c r="E71" s="573">
        <v>200</v>
      </c>
      <c r="F71" s="563">
        <v>18000</v>
      </c>
      <c r="G71" s="87">
        <f t="shared" si="1"/>
        <v>0</v>
      </c>
      <c r="H71" s="509"/>
      <c r="I71" s="525"/>
      <c r="J71" s="667"/>
      <c r="K71" s="667"/>
      <c r="L71" s="667"/>
    </row>
    <row r="72" spans="1:12" ht="15.75" x14ac:dyDescent="0.25">
      <c r="A72" s="87">
        <v>68</v>
      </c>
      <c r="B72" s="87" t="s">
        <v>1148</v>
      </c>
      <c r="C72" s="555">
        <v>5152</v>
      </c>
      <c r="D72" s="563">
        <v>14000</v>
      </c>
      <c r="E72" s="573">
        <v>155</v>
      </c>
      <c r="F72" s="563">
        <v>14000</v>
      </c>
      <c r="G72" s="87">
        <f t="shared" si="1"/>
        <v>0</v>
      </c>
      <c r="H72" s="509"/>
      <c r="I72" s="525"/>
      <c r="J72" s="667"/>
      <c r="K72" s="667"/>
      <c r="L72" s="667"/>
    </row>
    <row r="73" spans="1:12" ht="15.75" x14ac:dyDescent="0.25">
      <c r="A73" s="87">
        <v>69</v>
      </c>
      <c r="B73" s="87" t="s">
        <v>1148</v>
      </c>
      <c r="C73" s="555">
        <v>6591</v>
      </c>
      <c r="D73" s="563">
        <v>22000</v>
      </c>
      <c r="E73" s="573">
        <v>245</v>
      </c>
      <c r="F73" s="563">
        <v>22000</v>
      </c>
      <c r="G73" s="87">
        <f t="shared" si="1"/>
        <v>0</v>
      </c>
      <c r="H73" s="509"/>
      <c r="I73" s="525"/>
      <c r="J73" s="667"/>
      <c r="K73" s="667"/>
      <c r="L73" s="667"/>
    </row>
    <row r="74" spans="1:12" ht="15.75" x14ac:dyDescent="0.25">
      <c r="A74" s="87">
        <v>70</v>
      </c>
      <c r="B74" s="87" t="s">
        <v>1148</v>
      </c>
      <c r="C74" s="555">
        <v>3557</v>
      </c>
      <c r="D74" s="563">
        <v>25000</v>
      </c>
      <c r="E74" s="573">
        <v>278</v>
      </c>
      <c r="F74" s="563">
        <v>25000</v>
      </c>
      <c r="G74" s="87">
        <f t="shared" si="1"/>
        <v>0</v>
      </c>
      <c r="H74" s="509"/>
      <c r="I74" s="525"/>
      <c r="J74" s="667"/>
      <c r="K74" s="667"/>
      <c r="L74" s="667"/>
    </row>
    <row r="75" spans="1:12" ht="15.75" x14ac:dyDescent="0.25">
      <c r="A75" s="87">
        <v>71</v>
      </c>
      <c r="B75" s="87" t="s">
        <v>1148</v>
      </c>
      <c r="C75" s="607" t="s">
        <v>936</v>
      </c>
      <c r="D75" s="563">
        <v>12000</v>
      </c>
      <c r="E75" s="573">
        <v>133</v>
      </c>
      <c r="F75" s="563">
        <v>12000</v>
      </c>
      <c r="G75" s="87">
        <f t="shared" si="1"/>
        <v>0</v>
      </c>
      <c r="H75" s="509"/>
      <c r="I75" s="525"/>
      <c r="J75" s="667"/>
      <c r="K75" s="667"/>
      <c r="L75" s="667"/>
    </row>
    <row r="76" spans="1:12" ht="15.75" x14ac:dyDescent="0.25">
      <c r="A76" s="87">
        <v>72</v>
      </c>
      <c r="B76" s="87" t="s">
        <v>1148</v>
      </c>
      <c r="C76" s="555">
        <v>5309</v>
      </c>
      <c r="D76" s="563">
        <v>29000</v>
      </c>
      <c r="E76" s="573">
        <v>323</v>
      </c>
      <c r="F76" s="563">
        <v>29000</v>
      </c>
      <c r="G76" s="87">
        <f t="shared" si="1"/>
        <v>0</v>
      </c>
      <c r="H76" s="509"/>
      <c r="I76" s="525"/>
      <c r="J76" s="667"/>
      <c r="K76" s="667"/>
      <c r="L76" s="667"/>
    </row>
    <row r="77" spans="1:12" ht="15.75" x14ac:dyDescent="0.25">
      <c r="A77" s="87">
        <v>73</v>
      </c>
      <c r="B77" s="87" t="s">
        <v>1148</v>
      </c>
      <c r="C77" s="555">
        <v>6955</v>
      </c>
      <c r="D77" s="563">
        <v>16000</v>
      </c>
      <c r="E77" s="573">
        <v>178</v>
      </c>
      <c r="F77" s="563">
        <v>16000</v>
      </c>
      <c r="G77" s="87">
        <f t="shared" si="1"/>
        <v>0</v>
      </c>
      <c r="H77" s="509"/>
      <c r="I77" s="525"/>
      <c r="J77" s="667"/>
      <c r="K77" s="667"/>
      <c r="L77" s="667"/>
    </row>
    <row r="78" spans="1:12" ht="15.75" x14ac:dyDescent="0.25">
      <c r="A78" s="87">
        <v>74</v>
      </c>
      <c r="B78" s="87" t="s">
        <v>1148</v>
      </c>
      <c r="C78" s="555">
        <v>6555</v>
      </c>
      <c r="D78" s="563">
        <v>16000</v>
      </c>
      <c r="E78" s="573">
        <v>178</v>
      </c>
      <c r="F78" s="563">
        <v>16000</v>
      </c>
      <c r="G78" s="87">
        <f t="shared" si="1"/>
        <v>0</v>
      </c>
      <c r="H78" s="509"/>
      <c r="I78" s="525"/>
      <c r="J78" s="667"/>
      <c r="K78" s="667"/>
      <c r="L78" s="667"/>
    </row>
    <row r="79" spans="1:12" ht="15.75" x14ac:dyDescent="0.25">
      <c r="A79" s="87">
        <v>75</v>
      </c>
      <c r="B79" s="87" t="s">
        <v>1148</v>
      </c>
      <c r="C79" s="607" t="s">
        <v>890</v>
      </c>
      <c r="D79" s="563">
        <v>14000</v>
      </c>
      <c r="E79" s="573">
        <v>155</v>
      </c>
      <c r="F79" s="563">
        <v>14000</v>
      </c>
      <c r="G79" s="87">
        <f t="shared" si="1"/>
        <v>0</v>
      </c>
      <c r="H79" s="509"/>
      <c r="I79" s="525"/>
      <c r="J79" s="667"/>
      <c r="K79" s="667"/>
      <c r="L79" s="667"/>
    </row>
    <row r="80" spans="1:12" ht="15.75" x14ac:dyDescent="0.25">
      <c r="A80" s="87">
        <v>76</v>
      </c>
      <c r="B80" s="87" t="s">
        <v>1148</v>
      </c>
      <c r="C80" s="555">
        <v>4602</v>
      </c>
      <c r="D80" s="563">
        <v>17000</v>
      </c>
      <c r="E80" s="573">
        <v>189</v>
      </c>
      <c r="F80" s="563">
        <v>17000</v>
      </c>
      <c r="G80" s="87">
        <f t="shared" si="1"/>
        <v>0</v>
      </c>
      <c r="H80" s="509"/>
      <c r="I80" s="525"/>
      <c r="J80" s="667"/>
      <c r="K80" s="667"/>
      <c r="L80" s="667"/>
    </row>
    <row r="81" spans="1:12" ht="15.75" x14ac:dyDescent="0.25">
      <c r="A81" s="87">
        <v>77</v>
      </c>
      <c r="B81" s="87" t="s">
        <v>1148</v>
      </c>
      <c r="C81" s="555">
        <v>3744</v>
      </c>
      <c r="D81" s="563">
        <v>23000</v>
      </c>
      <c r="E81" s="573">
        <v>256</v>
      </c>
      <c r="F81" s="563">
        <v>23000</v>
      </c>
      <c r="G81" s="87">
        <f t="shared" si="1"/>
        <v>0</v>
      </c>
      <c r="H81" s="509"/>
      <c r="I81" s="525"/>
      <c r="J81" s="667"/>
      <c r="K81" s="667"/>
      <c r="L81" s="667"/>
    </row>
    <row r="82" spans="1:12" ht="15.75" x14ac:dyDescent="0.25">
      <c r="A82" s="87">
        <v>78</v>
      </c>
      <c r="B82" s="87" t="s">
        <v>1148</v>
      </c>
      <c r="C82" s="555">
        <v>3476</v>
      </c>
      <c r="D82" s="563">
        <v>17830</v>
      </c>
      <c r="E82" s="573">
        <v>198</v>
      </c>
      <c r="F82" s="563">
        <v>17830</v>
      </c>
      <c r="G82" s="87">
        <f t="shared" si="1"/>
        <v>0</v>
      </c>
      <c r="H82" s="509"/>
      <c r="I82" s="525"/>
      <c r="J82" s="667"/>
      <c r="K82" s="667"/>
      <c r="L82" s="667"/>
    </row>
    <row r="83" spans="1:12" ht="15.75" x14ac:dyDescent="0.25">
      <c r="A83" s="87">
        <v>79</v>
      </c>
      <c r="B83" s="87" t="s">
        <v>1148</v>
      </c>
      <c r="C83" s="555">
        <v>7344</v>
      </c>
      <c r="D83" s="563">
        <v>20000</v>
      </c>
      <c r="E83" s="573">
        <v>222</v>
      </c>
      <c r="F83" s="563">
        <v>20000</v>
      </c>
      <c r="G83" s="87">
        <f t="shared" si="1"/>
        <v>0</v>
      </c>
      <c r="H83" s="509"/>
      <c r="I83" s="525"/>
      <c r="J83" s="667"/>
      <c r="K83" s="667"/>
      <c r="L83" s="667"/>
    </row>
    <row r="84" spans="1:12" ht="15.75" x14ac:dyDescent="0.25">
      <c r="A84" s="87">
        <v>80</v>
      </c>
      <c r="B84" s="87" t="s">
        <v>1148</v>
      </c>
      <c r="C84" s="555">
        <v>4092</v>
      </c>
      <c r="D84" s="563">
        <v>20000</v>
      </c>
      <c r="E84" s="573">
        <v>222</v>
      </c>
      <c r="F84" s="563">
        <v>20000</v>
      </c>
      <c r="G84" s="87">
        <f t="shared" si="1"/>
        <v>0</v>
      </c>
      <c r="H84" s="509"/>
      <c r="I84" s="525"/>
      <c r="J84" s="667"/>
      <c r="K84" s="667"/>
      <c r="L84" s="667"/>
    </row>
    <row r="85" spans="1:12" ht="15.75" x14ac:dyDescent="0.25">
      <c r="A85" s="87">
        <v>81</v>
      </c>
      <c r="B85" s="87" t="s">
        <v>1148</v>
      </c>
      <c r="C85" s="555">
        <v>6319</v>
      </c>
      <c r="D85" s="563">
        <v>20000</v>
      </c>
      <c r="E85" s="573">
        <v>222</v>
      </c>
      <c r="F85" s="563">
        <v>20000</v>
      </c>
      <c r="G85" s="87">
        <f t="shared" si="1"/>
        <v>0</v>
      </c>
      <c r="H85" s="509"/>
      <c r="I85" s="525"/>
      <c r="J85" s="667"/>
      <c r="K85" s="667"/>
      <c r="L85" s="667"/>
    </row>
    <row r="86" spans="1:12" ht="15.75" x14ac:dyDescent="0.25">
      <c r="A86" s="87">
        <v>82</v>
      </c>
      <c r="B86" s="87" t="s">
        <v>1148</v>
      </c>
      <c r="C86" s="607" t="s">
        <v>1212</v>
      </c>
      <c r="D86" s="563">
        <v>22000</v>
      </c>
      <c r="E86" s="573">
        <v>245</v>
      </c>
      <c r="F86" s="563">
        <v>22000</v>
      </c>
      <c r="G86" s="87">
        <f t="shared" si="1"/>
        <v>0</v>
      </c>
      <c r="H86" s="509"/>
      <c r="I86" s="525"/>
      <c r="J86" s="667"/>
      <c r="K86" s="667"/>
      <c r="L86" s="667"/>
    </row>
    <row r="87" spans="1:12" ht="15.75" x14ac:dyDescent="0.25">
      <c r="A87" s="87">
        <v>83</v>
      </c>
      <c r="B87" s="87" t="s">
        <v>1148</v>
      </c>
      <c r="C87" s="555">
        <v>9875</v>
      </c>
      <c r="D87" s="563">
        <v>26000</v>
      </c>
      <c r="E87" s="573">
        <v>289</v>
      </c>
      <c r="F87" s="563">
        <v>26000</v>
      </c>
      <c r="G87" s="87">
        <f t="shared" si="1"/>
        <v>0</v>
      </c>
      <c r="H87" s="509"/>
      <c r="I87" s="525"/>
      <c r="J87" s="667"/>
      <c r="K87" s="667"/>
      <c r="L87" s="667"/>
    </row>
    <row r="88" spans="1:12" ht="15.75" x14ac:dyDescent="0.25">
      <c r="A88" s="87">
        <v>84</v>
      </c>
      <c r="B88" s="87" t="s">
        <v>1148</v>
      </c>
      <c r="C88" s="555">
        <v>2475</v>
      </c>
      <c r="D88" s="563">
        <v>13000</v>
      </c>
      <c r="E88" s="573">
        <v>149</v>
      </c>
      <c r="F88" s="563">
        <v>13000</v>
      </c>
      <c r="G88" s="87">
        <f t="shared" si="1"/>
        <v>0</v>
      </c>
      <c r="H88" s="509"/>
      <c r="I88" s="525"/>
      <c r="J88" s="667"/>
      <c r="K88" s="667"/>
      <c r="L88" s="667"/>
    </row>
    <row r="89" spans="1:12" ht="15.75" x14ac:dyDescent="0.25">
      <c r="A89" s="87">
        <v>85</v>
      </c>
      <c r="B89" s="87" t="s">
        <v>1148</v>
      </c>
      <c r="C89" s="555" t="s">
        <v>30</v>
      </c>
      <c r="D89" s="563">
        <v>5000</v>
      </c>
      <c r="E89" s="573">
        <v>55</v>
      </c>
      <c r="F89" s="563">
        <v>5000</v>
      </c>
      <c r="G89" s="87">
        <f t="shared" si="1"/>
        <v>0</v>
      </c>
      <c r="H89" s="509"/>
      <c r="I89" s="525"/>
      <c r="J89" s="667"/>
      <c r="K89" s="667"/>
      <c r="L89" s="667"/>
    </row>
    <row r="90" spans="1:12" ht="15.75" x14ac:dyDescent="0.25">
      <c r="A90" s="87">
        <v>86</v>
      </c>
      <c r="B90" s="87" t="s">
        <v>1148</v>
      </c>
      <c r="C90" s="555">
        <v>9941</v>
      </c>
      <c r="D90" s="563">
        <v>26000</v>
      </c>
      <c r="E90" s="573">
        <v>276</v>
      </c>
      <c r="F90" s="563">
        <v>26000</v>
      </c>
      <c r="G90" s="87">
        <f t="shared" si="1"/>
        <v>0</v>
      </c>
      <c r="H90" s="509"/>
      <c r="I90" s="525"/>
      <c r="J90" s="667"/>
      <c r="K90" s="667"/>
      <c r="L90" s="667"/>
    </row>
    <row r="91" spans="1:12" ht="15.75" x14ac:dyDescent="0.25">
      <c r="A91" s="87">
        <v>87</v>
      </c>
      <c r="B91" s="87" t="s">
        <v>1148</v>
      </c>
      <c r="C91" s="555">
        <v>4106</v>
      </c>
      <c r="D91" s="563">
        <v>28000</v>
      </c>
      <c r="E91" s="573">
        <v>311</v>
      </c>
      <c r="F91" s="563">
        <v>28000</v>
      </c>
      <c r="G91" s="87">
        <f t="shared" si="1"/>
        <v>0</v>
      </c>
      <c r="H91" s="509"/>
      <c r="I91" s="525"/>
      <c r="J91" s="667"/>
      <c r="K91" s="667"/>
      <c r="L91" s="667"/>
    </row>
    <row r="92" spans="1:12" ht="15.75" x14ac:dyDescent="0.25">
      <c r="A92" s="87">
        <v>88</v>
      </c>
      <c r="B92" s="87" t="s">
        <v>1213</v>
      </c>
      <c r="C92" s="555" t="s">
        <v>1068</v>
      </c>
      <c r="D92" s="563">
        <v>210</v>
      </c>
      <c r="E92" s="573">
        <v>2</v>
      </c>
      <c r="F92" s="563">
        <v>210</v>
      </c>
      <c r="G92" s="87">
        <f t="shared" si="1"/>
        <v>0</v>
      </c>
      <c r="H92" s="509"/>
      <c r="I92" s="525"/>
      <c r="J92" s="667"/>
      <c r="K92" s="667"/>
      <c r="L92" s="667"/>
    </row>
    <row r="93" spans="1:12" ht="15.75" x14ac:dyDescent="0.25">
      <c r="A93" s="87">
        <v>89</v>
      </c>
      <c r="B93" s="87" t="s">
        <v>1213</v>
      </c>
      <c r="C93" s="607" t="s">
        <v>1180</v>
      </c>
      <c r="D93" s="563">
        <v>5000</v>
      </c>
      <c r="E93" s="573">
        <v>55</v>
      </c>
      <c r="F93" s="563">
        <v>5000</v>
      </c>
      <c r="G93" s="87">
        <f t="shared" si="1"/>
        <v>0</v>
      </c>
      <c r="H93" s="509"/>
      <c r="I93" s="525"/>
      <c r="J93" s="667"/>
      <c r="K93" s="667"/>
      <c r="L93" s="667"/>
    </row>
    <row r="94" spans="1:12" ht="15.75" x14ac:dyDescent="0.25">
      <c r="A94" s="87">
        <v>90</v>
      </c>
      <c r="B94" s="87" t="s">
        <v>1213</v>
      </c>
      <c r="C94" s="555">
        <v>9777</v>
      </c>
      <c r="D94" s="563">
        <v>18000</v>
      </c>
      <c r="E94" s="573">
        <v>200</v>
      </c>
      <c r="F94" s="563">
        <v>18000</v>
      </c>
      <c r="G94" s="87">
        <f t="shared" si="1"/>
        <v>0</v>
      </c>
      <c r="H94" s="509"/>
      <c r="I94" s="525"/>
      <c r="J94" s="667"/>
      <c r="K94" s="667"/>
      <c r="L94" s="667"/>
    </row>
    <row r="95" spans="1:12" ht="15.75" x14ac:dyDescent="0.25">
      <c r="A95" s="87">
        <v>91</v>
      </c>
      <c r="B95" s="87" t="s">
        <v>1213</v>
      </c>
      <c r="C95" s="555">
        <v>2963</v>
      </c>
      <c r="D95" s="563">
        <v>18000</v>
      </c>
      <c r="E95" s="573">
        <v>200</v>
      </c>
      <c r="F95" s="563">
        <v>18000</v>
      </c>
      <c r="G95" s="87">
        <f t="shared" si="1"/>
        <v>0</v>
      </c>
      <c r="H95" s="509"/>
      <c r="I95" s="525"/>
      <c r="J95" s="667"/>
      <c r="K95" s="667"/>
      <c r="L95" s="667"/>
    </row>
    <row r="96" spans="1:12" ht="15.75" x14ac:dyDescent="0.25">
      <c r="A96" s="87">
        <v>92</v>
      </c>
      <c r="B96" s="87" t="s">
        <v>1213</v>
      </c>
      <c r="C96" s="555">
        <v>3226</v>
      </c>
      <c r="D96" s="563">
        <v>17000</v>
      </c>
      <c r="E96" s="573">
        <v>189</v>
      </c>
      <c r="F96" s="563">
        <v>17000</v>
      </c>
      <c r="G96" s="87">
        <f t="shared" si="1"/>
        <v>0</v>
      </c>
      <c r="H96" s="509"/>
      <c r="I96" s="525"/>
      <c r="J96" s="667"/>
      <c r="K96" s="667"/>
      <c r="L96" s="667"/>
    </row>
    <row r="97" spans="1:12" ht="15.75" x14ac:dyDescent="0.25">
      <c r="A97" s="87">
        <v>93</v>
      </c>
      <c r="B97" s="87" t="s">
        <v>1213</v>
      </c>
      <c r="C97" s="555">
        <v>2497</v>
      </c>
      <c r="D97" s="563">
        <v>17000</v>
      </c>
      <c r="E97" s="573">
        <v>189</v>
      </c>
      <c r="F97" s="563">
        <v>17000</v>
      </c>
      <c r="G97" s="87">
        <f t="shared" si="1"/>
        <v>0</v>
      </c>
      <c r="H97" s="509"/>
      <c r="I97" s="525"/>
      <c r="J97" s="667"/>
      <c r="K97" s="667"/>
      <c r="L97" s="667"/>
    </row>
    <row r="98" spans="1:12" ht="15.75" x14ac:dyDescent="0.25">
      <c r="A98" s="87">
        <v>94</v>
      </c>
      <c r="B98" s="87" t="s">
        <v>1213</v>
      </c>
      <c r="C98" s="555" t="s">
        <v>30</v>
      </c>
      <c r="D98" s="563">
        <v>4500</v>
      </c>
      <c r="E98" s="573">
        <v>50</v>
      </c>
      <c r="F98" s="563">
        <v>4500</v>
      </c>
      <c r="G98" s="87">
        <f t="shared" si="1"/>
        <v>0</v>
      </c>
      <c r="H98" s="509"/>
      <c r="I98" s="525"/>
      <c r="J98" s="667"/>
      <c r="K98" s="667"/>
      <c r="L98" s="667"/>
    </row>
    <row r="99" spans="1:12" ht="15.75" x14ac:dyDescent="0.25">
      <c r="A99" s="87">
        <v>95</v>
      </c>
      <c r="B99" s="87" t="s">
        <v>1213</v>
      </c>
      <c r="C99" s="555" t="s">
        <v>819</v>
      </c>
      <c r="D99" s="563">
        <v>3500</v>
      </c>
      <c r="E99" s="573">
        <v>39</v>
      </c>
      <c r="F99" s="563">
        <v>3500</v>
      </c>
      <c r="G99" s="87">
        <f t="shared" si="1"/>
        <v>0</v>
      </c>
      <c r="H99" s="509"/>
      <c r="I99" s="525"/>
      <c r="J99" s="667"/>
      <c r="K99" s="667"/>
      <c r="L99" s="667"/>
    </row>
    <row r="100" spans="1:12" ht="15.75" x14ac:dyDescent="0.25">
      <c r="A100" s="87">
        <v>96</v>
      </c>
      <c r="B100" s="87" t="s">
        <v>1213</v>
      </c>
      <c r="C100" s="555">
        <v>7796</v>
      </c>
      <c r="D100" s="563">
        <v>12000</v>
      </c>
      <c r="E100" s="573">
        <v>133</v>
      </c>
      <c r="F100" s="563">
        <v>12000</v>
      </c>
      <c r="G100" s="87">
        <f t="shared" si="1"/>
        <v>0</v>
      </c>
      <c r="H100" s="509"/>
      <c r="I100" s="525"/>
      <c r="J100" s="667"/>
      <c r="K100" s="667"/>
      <c r="L100" s="667"/>
    </row>
    <row r="101" spans="1:12" ht="15.75" x14ac:dyDescent="0.25">
      <c r="A101" s="87">
        <v>97</v>
      </c>
      <c r="B101" s="87" t="s">
        <v>1213</v>
      </c>
      <c r="C101" s="555">
        <v>5526</v>
      </c>
      <c r="D101" s="563">
        <v>15000</v>
      </c>
      <c r="E101" s="573">
        <v>167</v>
      </c>
      <c r="F101" s="563">
        <v>15000</v>
      </c>
      <c r="G101" s="87">
        <f t="shared" si="1"/>
        <v>0</v>
      </c>
      <c r="H101" s="509"/>
      <c r="I101" s="525"/>
      <c r="J101" s="667"/>
      <c r="K101" s="667"/>
      <c r="L101" s="667"/>
    </row>
    <row r="102" spans="1:12" ht="15.75" x14ac:dyDescent="0.25">
      <c r="A102" s="87">
        <v>98</v>
      </c>
      <c r="B102" s="87" t="s">
        <v>1213</v>
      </c>
      <c r="C102" s="555">
        <v>2962</v>
      </c>
      <c r="D102" s="563">
        <v>15000</v>
      </c>
      <c r="E102" s="573">
        <v>167</v>
      </c>
      <c r="F102" s="563">
        <v>15000</v>
      </c>
      <c r="G102" s="87">
        <f t="shared" si="1"/>
        <v>0</v>
      </c>
      <c r="H102" s="509"/>
      <c r="I102" s="525"/>
      <c r="J102" s="667"/>
      <c r="K102" s="667"/>
      <c r="L102" s="667"/>
    </row>
    <row r="103" spans="1:12" ht="15.75" x14ac:dyDescent="0.25">
      <c r="A103" s="87">
        <v>99</v>
      </c>
      <c r="B103" s="87" t="s">
        <v>1213</v>
      </c>
      <c r="C103" s="555">
        <v>9957</v>
      </c>
      <c r="D103" s="563">
        <v>15000</v>
      </c>
      <c r="E103" s="573">
        <v>167</v>
      </c>
      <c r="F103" s="563">
        <v>15000</v>
      </c>
      <c r="G103" s="87">
        <f t="shared" si="1"/>
        <v>0</v>
      </c>
      <c r="H103" s="509"/>
      <c r="I103" s="525"/>
      <c r="J103" s="667"/>
      <c r="K103" s="667"/>
      <c r="L103" s="667"/>
    </row>
    <row r="104" spans="1:12" ht="15.75" x14ac:dyDescent="0.25">
      <c r="A104" s="87">
        <v>100</v>
      </c>
      <c r="B104" s="87" t="s">
        <v>1213</v>
      </c>
      <c r="C104" s="555">
        <v>8326</v>
      </c>
      <c r="D104" s="563">
        <v>15000</v>
      </c>
      <c r="E104" s="573">
        <v>167</v>
      </c>
      <c r="F104" s="563">
        <v>15000</v>
      </c>
      <c r="G104" s="87">
        <f t="shared" si="1"/>
        <v>0</v>
      </c>
      <c r="H104" s="509"/>
      <c r="I104" s="525"/>
      <c r="J104" s="667"/>
      <c r="K104" s="667"/>
      <c r="L104" s="667"/>
    </row>
    <row r="105" spans="1:12" ht="15.75" x14ac:dyDescent="0.25">
      <c r="A105" s="87">
        <v>101</v>
      </c>
      <c r="B105" s="87" t="s">
        <v>1213</v>
      </c>
      <c r="C105" s="555">
        <v>1001</v>
      </c>
      <c r="D105" s="563">
        <v>22000</v>
      </c>
      <c r="E105" s="573">
        <v>232</v>
      </c>
      <c r="F105" s="563">
        <v>22000</v>
      </c>
      <c r="G105" s="87">
        <f t="shared" si="1"/>
        <v>0</v>
      </c>
      <c r="H105" s="509"/>
      <c r="I105" s="525"/>
      <c r="J105" s="667"/>
      <c r="K105" s="667"/>
      <c r="L105" s="667"/>
    </row>
    <row r="106" spans="1:12" ht="15.75" x14ac:dyDescent="0.25">
      <c r="A106" s="87">
        <v>102</v>
      </c>
      <c r="B106" s="87" t="s">
        <v>1213</v>
      </c>
      <c r="C106" s="555">
        <v>7775</v>
      </c>
      <c r="D106" s="563">
        <v>22000</v>
      </c>
      <c r="E106" s="573">
        <v>245</v>
      </c>
      <c r="F106" s="563">
        <v>22000</v>
      </c>
      <c r="G106" s="87">
        <f t="shared" si="1"/>
        <v>0</v>
      </c>
      <c r="H106" s="509"/>
      <c r="I106" s="525"/>
      <c r="J106" s="667"/>
      <c r="K106" s="667"/>
      <c r="L106" s="667"/>
    </row>
    <row r="107" spans="1:12" ht="15.75" x14ac:dyDescent="0.25">
      <c r="A107" s="87">
        <v>103</v>
      </c>
      <c r="B107" s="87" t="s">
        <v>1213</v>
      </c>
      <c r="C107" s="555">
        <v>6571</v>
      </c>
      <c r="D107" s="563">
        <v>20000</v>
      </c>
      <c r="E107" s="573">
        <v>222</v>
      </c>
      <c r="F107" s="563">
        <v>20000</v>
      </c>
      <c r="G107" s="87">
        <f t="shared" si="1"/>
        <v>0</v>
      </c>
      <c r="H107" s="509"/>
      <c r="I107" s="525"/>
      <c r="J107" s="667"/>
      <c r="K107" s="667"/>
      <c r="L107" s="667"/>
    </row>
    <row r="108" spans="1:12" ht="15.75" x14ac:dyDescent="0.25">
      <c r="A108" s="87">
        <v>104</v>
      </c>
      <c r="B108" s="87" t="s">
        <v>1213</v>
      </c>
      <c r="C108" s="555">
        <v>7471</v>
      </c>
      <c r="D108" s="563">
        <v>20000</v>
      </c>
      <c r="E108" s="573">
        <v>216</v>
      </c>
      <c r="F108" s="563">
        <v>20000</v>
      </c>
      <c r="G108" s="87">
        <f t="shared" si="1"/>
        <v>0</v>
      </c>
      <c r="H108" s="509"/>
      <c r="I108" s="525"/>
      <c r="J108" s="667"/>
      <c r="K108" s="667"/>
      <c r="L108" s="667"/>
    </row>
    <row r="109" spans="1:12" ht="15.75" x14ac:dyDescent="0.25">
      <c r="A109" s="87">
        <v>105</v>
      </c>
      <c r="B109" s="87" t="s">
        <v>1213</v>
      </c>
      <c r="C109" s="555">
        <v>7709</v>
      </c>
      <c r="D109" s="563">
        <v>20000</v>
      </c>
      <c r="E109" s="573">
        <v>222</v>
      </c>
      <c r="F109" s="563">
        <v>20000</v>
      </c>
      <c r="G109" s="87">
        <f t="shared" si="1"/>
        <v>0</v>
      </c>
      <c r="H109" s="509"/>
      <c r="I109" s="525"/>
      <c r="J109" s="667"/>
      <c r="K109" s="667"/>
      <c r="L109" s="667"/>
    </row>
    <row r="110" spans="1:12" ht="15.75" x14ac:dyDescent="0.25">
      <c r="A110" s="87">
        <v>106</v>
      </c>
      <c r="B110" s="87" t="s">
        <v>1213</v>
      </c>
      <c r="C110" s="555">
        <v>7472</v>
      </c>
      <c r="D110" s="563">
        <v>20000</v>
      </c>
      <c r="E110" s="573">
        <v>222</v>
      </c>
      <c r="F110" s="563">
        <v>20000</v>
      </c>
      <c r="G110" s="87">
        <f t="shared" si="1"/>
        <v>0</v>
      </c>
      <c r="H110" s="509"/>
      <c r="I110" s="525"/>
      <c r="J110" s="667"/>
      <c r="K110" s="667"/>
      <c r="L110" s="667"/>
    </row>
    <row r="111" spans="1:12" ht="15.75" x14ac:dyDescent="0.25">
      <c r="A111" s="87">
        <v>107</v>
      </c>
      <c r="B111" s="87" t="s">
        <v>1213</v>
      </c>
      <c r="C111" s="555">
        <v>6271</v>
      </c>
      <c r="D111" s="563">
        <v>20000</v>
      </c>
      <c r="E111" s="573">
        <v>222</v>
      </c>
      <c r="F111" s="563">
        <v>20000</v>
      </c>
      <c r="G111" s="87">
        <f t="shared" si="1"/>
        <v>0</v>
      </c>
      <c r="H111" s="509"/>
      <c r="I111" s="525"/>
      <c r="J111" s="667"/>
      <c r="K111" s="667"/>
      <c r="L111" s="667"/>
    </row>
    <row r="112" spans="1:12" ht="15.75" x14ac:dyDescent="0.25">
      <c r="A112" s="87">
        <v>108</v>
      </c>
      <c r="B112" s="87" t="s">
        <v>1213</v>
      </c>
      <c r="C112" s="555">
        <v>7878</v>
      </c>
      <c r="D112" s="563">
        <v>35000</v>
      </c>
      <c r="E112" s="573">
        <v>389</v>
      </c>
      <c r="F112" s="563">
        <v>35000</v>
      </c>
      <c r="G112" s="87">
        <f t="shared" si="1"/>
        <v>0</v>
      </c>
      <c r="H112" s="509"/>
      <c r="I112" s="525"/>
      <c r="J112" s="667"/>
      <c r="K112" s="667"/>
      <c r="L112" s="667"/>
    </row>
    <row r="113" spans="1:12" ht="15.75" x14ac:dyDescent="0.25">
      <c r="A113" s="87">
        <v>109</v>
      </c>
      <c r="B113" s="87" t="s">
        <v>1213</v>
      </c>
      <c r="C113" s="555">
        <v>1822</v>
      </c>
      <c r="D113" s="563">
        <v>26000</v>
      </c>
      <c r="E113" s="573">
        <v>290</v>
      </c>
      <c r="F113" s="563">
        <v>26000</v>
      </c>
      <c r="G113" s="87">
        <f t="shared" si="1"/>
        <v>0</v>
      </c>
      <c r="H113" s="509"/>
      <c r="I113" s="525"/>
      <c r="J113" s="667"/>
      <c r="K113" s="667"/>
      <c r="L113" s="667"/>
    </row>
    <row r="114" spans="1:12" ht="15.75" x14ac:dyDescent="0.25">
      <c r="A114" s="87">
        <v>110</v>
      </c>
      <c r="B114" s="87" t="s">
        <v>1213</v>
      </c>
      <c r="C114" s="555">
        <v>2961</v>
      </c>
      <c r="D114" s="563">
        <v>16000</v>
      </c>
      <c r="E114" s="573">
        <v>170</v>
      </c>
      <c r="F114" s="563">
        <v>16000</v>
      </c>
      <c r="G114" s="87">
        <f t="shared" si="1"/>
        <v>0</v>
      </c>
      <c r="H114" s="509"/>
      <c r="I114" s="525"/>
      <c r="J114" s="667"/>
      <c r="K114" s="667"/>
      <c r="L114" s="667"/>
    </row>
    <row r="115" spans="1:12" ht="15.75" x14ac:dyDescent="0.25">
      <c r="A115" s="87">
        <v>111</v>
      </c>
      <c r="B115" s="87" t="s">
        <v>1213</v>
      </c>
      <c r="C115" s="555">
        <v>8726</v>
      </c>
      <c r="D115" s="563">
        <v>16000</v>
      </c>
      <c r="E115" s="573">
        <v>178</v>
      </c>
      <c r="F115" s="563">
        <v>16000</v>
      </c>
      <c r="G115" s="87">
        <f t="shared" si="1"/>
        <v>0</v>
      </c>
      <c r="H115" s="509"/>
      <c r="I115" s="525"/>
      <c r="J115" s="667"/>
      <c r="K115" s="667"/>
      <c r="L115" s="667"/>
    </row>
    <row r="116" spans="1:12" ht="15.75" x14ac:dyDescent="0.25">
      <c r="A116" s="87">
        <v>112</v>
      </c>
      <c r="B116" s="87" t="s">
        <v>1213</v>
      </c>
      <c r="C116" s="555">
        <v>9426</v>
      </c>
      <c r="D116" s="563">
        <v>16000</v>
      </c>
      <c r="E116" s="573">
        <v>167</v>
      </c>
      <c r="F116" s="563">
        <v>16000</v>
      </c>
      <c r="G116" s="87">
        <f t="shared" si="1"/>
        <v>0</v>
      </c>
      <c r="H116" s="509"/>
      <c r="I116" s="525"/>
      <c r="J116" s="667"/>
      <c r="K116" s="667"/>
      <c r="L116" s="667"/>
    </row>
    <row r="117" spans="1:12" ht="15.75" x14ac:dyDescent="0.25">
      <c r="A117" s="87">
        <v>113</v>
      </c>
      <c r="B117" s="87" t="s">
        <v>1213</v>
      </c>
      <c r="C117" s="555" t="s">
        <v>30</v>
      </c>
      <c r="D117" s="563">
        <v>10000</v>
      </c>
      <c r="E117" s="573">
        <v>111</v>
      </c>
      <c r="F117" s="563">
        <v>10000</v>
      </c>
      <c r="G117" s="87">
        <f t="shared" si="1"/>
        <v>0</v>
      </c>
      <c r="H117" s="509"/>
      <c r="I117" s="525"/>
      <c r="J117" s="667"/>
      <c r="K117" s="667"/>
      <c r="L117" s="667"/>
    </row>
    <row r="118" spans="1:12" ht="15.75" x14ac:dyDescent="0.25">
      <c r="A118" s="87">
        <v>114</v>
      </c>
      <c r="B118" s="87" t="s">
        <v>1213</v>
      </c>
      <c r="C118" s="555">
        <v>6071</v>
      </c>
      <c r="D118" s="563">
        <v>20000</v>
      </c>
      <c r="E118" s="573">
        <v>222</v>
      </c>
      <c r="F118" s="563">
        <v>20000</v>
      </c>
      <c r="G118" s="87">
        <f t="shared" si="1"/>
        <v>0</v>
      </c>
      <c r="H118" s="509"/>
      <c r="I118" s="525"/>
      <c r="J118" s="667"/>
      <c r="K118" s="667"/>
      <c r="L118" s="667"/>
    </row>
    <row r="119" spans="1:12" ht="15.75" x14ac:dyDescent="0.25">
      <c r="A119" s="87">
        <v>115</v>
      </c>
      <c r="B119" s="87" t="s">
        <v>1213</v>
      </c>
      <c r="C119" s="555">
        <v>5826</v>
      </c>
      <c r="D119" s="563">
        <v>18000</v>
      </c>
      <c r="E119" s="573">
        <v>200</v>
      </c>
      <c r="F119" s="563">
        <v>18000</v>
      </c>
      <c r="G119" s="87">
        <f t="shared" si="1"/>
        <v>0</v>
      </c>
      <c r="H119" s="509"/>
      <c r="I119" s="525"/>
      <c r="J119" s="667"/>
      <c r="K119" s="667"/>
      <c r="L119" s="667"/>
    </row>
    <row r="120" spans="1:12" ht="15.75" x14ac:dyDescent="0.25">
      <c r="A120" s="87">
        <v>116</v>
      </c>
      <c r="B120" s="87" t="s">
        <v>1213</v>
      </c>
      <c r="C120" s="555" t="s">
        <v>30</v>
      </c>
      <c r="D120" s="563">
        <v>5000</v>
      </c>
      <c r="E120" s="573">
        <v>55</v>
      </c>
      <c r="F120" s="563">
        <v>5000</v>
      </c>
      <c r="G120" s="87">
        <f t="shared" si="1"/>
        <v>0</v>
      </c>
      <c r="H120" s="509"/>
      <c r="I120" s="525"/>
      <c r="J120" s="667"/>
      <c r="K120" s="667"/>
      <c r="L120" s="667"/>
    </row>
    <row r="121" spans="1:12" ht="15.75" x14ac:dyDescent="0.25">
      <c r="A121" s="87">
        <v>117</v>
      </c>
      <c r="B121" s="87" t="s">
        <v>1213</v>
      </c>
      <c r="C121" s="555">
        <v>7626</v>
      </c>
      <c r="D121" s="563">
        <v>23000</v>
      </c>
      <c r="E121" s="573">
        <v>256</v>
      </c>
      <c r="F121" s="563">
        <v>23000</v>
      </c>
      <c r="G121" s="87">
        <f t="shared" si="1"/>
        <v>0</v>
      </c>
      <c r="H121" s="509"/>
      <c r="I121" s="525"/>
      <c r="J121" s="667"/>
      <c r="K121" s="667"/>
      <c r="L121" s="667"/>
    </row>
    <row r="122" spans="1:12" ht="15.75" x14ac:dyDescent="0.25">
      <c r="A122" s="87">
        <v>118</v>
      </c>
      <c r="B122" s="87" t="s">
        <v>1213</v>
      </c>
      <c r="C122" s="555">
        <v>4365</v>
      </c>
      <c r="D122" s="563">
        <v>19000</v>
      </c>
      <c r="E122" s="573">
        <v>200</v>
      </c>
      <c r="F122" s="563">
        <v>19000</v>
      </c>
      <c r="G122" s="87">
        <f t="shared" si="1"/>
        <v>0</v>
      </c>
      <c r="H122" s="509"/>
      <c r="I122" s="525"/>
      <c r="J122" s="667"/>
      <c r="K122" s="667"/>
      <c r="L122" s="667"/>
    </row>
    <row r="123" spans="1:12" ht="15.75" x14ac:dyDescent="0.25">
      <c r="A123" s="87">
        <v>119</v>
      </c>
      <c r="B123" s="87" t="s">
        <v>1213</v>
      </c>
      <c r="C123" s="555">
        <v>2004</v>
      </c>
      <c r="D123" s="563">
        <v>17000</v>
      </c>
      <c r="E123" s="573">
        <v>189</v>
      </c>
      <c r="F123" s="563">
        <v>17000</v>
      </c>
      <c r="G123" s="87">
        <f t="shared" si="1"/>
        <v>0</v>
      </c>
      <c r="H123" s="509"/>
      <c r="I123" s="525"/>
      <c r="J123" s="667"/>
      <c r="K123" s="667"/>
      <c r="L123" s="667"/>
    </row>
    <row r="124" spans="1:12" ht="15.75" x14ac:dyDescent="0.25">
      <c r="A124" s="87">
        <v>120</v>
      </c>
      <c r="B124" s="87" t="s">
        <v>1213</v>
      </c>
      <c r="C124" s="555">
        <v>1017</v>
      </c>
      <c r="D124" s="563">
        <v>25000</v>
      </c>
      <c r="E124" s="573">
        <v>278</v>
      </c>
      <c r="F124" s="563">
        <v>25000</v>
      </c>
      <c r="G124" s="87">
        <f t="shared" si="1"/>
        <v>0</v>
      </c>
      <c r="H124" s="509"/>
      <c r="I124" s="525"/>
      <c r="J124" s="667"/>
      <c r="K124" s="667"/>
      <c r="L124" s="667"/>
    </row>
    <row r="125" spans="1:12" ht="15.75" x14ac:dyDescent="0.25">
      <c r="A125" s="87">
        <v>121</v>
      </c>
      <c r="B125" s="87" t="s">
        <v>1213</v>
      </c>
      <c r="C125" s="555">
        <v>8399</v>
      </c>
      <c r="D125" s="563">
        <v>29000</v>
      </c>
      <c r="E125" s="573">
        <v>317</v>
      </c>
      <c r="F125" s="563">
        <v>29000</v>
      </c>
      <c r="G125" s="87">
        <f t="shared" si="1"/>
        <v>0</v>
      </c>
      <c r="H125" s="509"/>
      <c r="I125" s="525"/>
      <c r="J125" s="667"/>
      <c r="K125" s="667"/>
      <c r="L125" s="667"/>
    </row>
    <row r="126" spans="1:12" ht="15.75" x14ac:dyDescent="0.25">
      <c r="A126" s="87">
        <v>122</v>
      </c>
      <c r="B126" s="87" t="s">
        <v>1149</v>
      </c>
      <c r="C126" s="555">
        <v>5152</v>
      </c>
      <c r="D126" s="563">
        <v>14000</v>
      </c>
      <c r="E126" s="573">
        <v>155</v>
      </c>
      <c r="F126" s="563">
        <v>14000</v>
      </c>
      <c r="G126" s="87">
        <f t="shared" si="1"/>
        <v>0</v>
      </c>
      <c r="H126" s="509"/>
      <c r="I126" s="525"/>
      <c r="J126" s="667"/>
      <c r="K126" s="667"/>
      <c r="L126" s="667"/>
    </row>
    <row r="127" spans="1:12" ht="15.75" x14ac:dyDescent="0.25">
      <c r="A127" s="87">
        <v>123</v>
      </c>
      <c r="B127" s="87" t="s">
        <v>1149</v>
      </c>
      <c r="C127" s="607" t="s">
        <v>936</v>
      </c>
      <c r="D127" s="563">
        <v>15000</v>
      </c>
      <c r="E127" s="573">
        <v>167</v>
      </c>
      <c r="F127" s="563">
        <v>15000</v>
      </c>
      <c r="G127" s="87">
        <f t="shared" si="1"/>
        <v>0</v>
      </c>
      <c r="H127" s="509"/>
      <c r="I127" s="525"/>
      <c r="J127" s="667"/>
      <c r="K127" s="667"/>
      <c r="L127" s="667"/>
    </row>
    <row r="128" spans="1:12" ht="15.75" x14ac:dyDescent="0.25">
      <c r="A128" s="87">
        <v>124</v>
      </c>
      <c r="B128" s="87" t="s">
        <v>1149</v>
      </c>
      <c r="C128" s="555">
        <v>5047</v>
      </c>
      <c r="D128" s="563">
        <v>25000</v>
      </c>
      <c r="E128" s="573">
        <v>278</v>
      </c>
      <c r="F128" s="563">
        <v>25000</v>
      </c>
      <c r="G128" s="87">
        <f t="shared" si="1"/>
        <v>0</v>
      </c>
      <c r="H128" s="509"/>
      <c r="I128" s="525"/>
      <c r="J128" s="667"/>
      <c r="K128" s="667"/>
      <c r="L128" s="667"/>
    </row>
    <row r="129" spans="1:12" ht="15.75" x14ac:dyDescent="0.25">
      <c r="A129" s="87">
        <v>125</v>
      </c>
      <c r="B129" s="87" t="s">
        <v>1149</v>
      </c>
      <c r="C129" s="555">
        <v>9875</v>
      </c>
      <c r="D129" s="563">
        <v>16000</v>
      </c>
      <c r="E129" s="573">
        <v>178</v>
      </c>
      <c r="F129" s="563">
        <v>16000</v>
      </c>
      <c r="G129" s="87">
        <f t="shared" si="1"/>
        <v>0</v>
      </c>
      <c r="H129" s="509"/>
      <c r="I129" s="525"/>
      <c r="J129" s="667"/>
      <c r="K129" s="667"/>
      <c r="L129" s="667"/>
    </row>
    <row r="130" spans="1:12" ht="15.75" x14ac:dyDescent="0.25">
      <c r="A130" s="87">
        <v>126</v>
      </c>
      <c r="B130" s="87" t="s">
        <v>1149</v>
      </c>
      <c r="C130" s="607" t="s">
        <v>1214</v>
      </c>
      <c r="D130" s="563">
        <v>20000</v>
      </c>
      <c r="E130" s="573">
        <v>222</v>
      </c>
      <c r="F130" s="563">
        <v>20000</v>
      </c>
      <c r="G130" s="87">
        <f t="shared" si="1"/>
        <v>0</v>
      </c>
      <c r="H130" s="509"/>
      <c r="I130" s="525"/>
      <c r="J130" s="667"/>
      <c r="K130" s="667"/>
      <c r="L130" s="667"/>
    </row>
    <row r="131" spans="1:12" ht="15.75" x14ac:dyDescent="0.25">
      <c r="A131" s="87">
        <v>127</v>
      </c>
      <c r="B131" s="87" t="s">
        <v>1149</v>
      </c>
      <c r="C131" s="555">
        <v>5445</v>
      </c>
      <c r="D131" s="563">
        <v>18000</v>
      </c>
      <c r="E131" s="573">
        <v>200</v>
      </c>
      <c r="F131" s="563">
        <v>18000</v>
      </c>
      <c r="G131" s="87">
        <f t="shared" si="1"/>
        <v>0</v>
      </c>
      <c r="H131" s="509"/>
      <c r="I131" s="525"/>
      <c r="J131" s="667"/>
      <c r="K131" s="667"/>
      <c r="L131" s="667"/>
    </row>
    <row r="132" spans="1:12" ht="15.75" x14ac:dyDescent="0.25">
      <c r="A132" s="87">
        <v>128</v>
      </c>
      <c r="B132" s="87" t="s">
        <v>1149</v>
      </c>
      <c r="C132" s="607" t="s">
        <v>1215</v>
      </c>
      <c r="D132" s="563">
        <v>19000</v>
      </c>
      <c r="E132" s="573">
        <v>211</v>
      </c>
      <c r="F132" s="563">
        <v>19000</v>
      </c>
      <c r="G132" s="87">
        <f t="shared" si="1"/>
        <v>0</v>
      </c>
      <c r="H132" s="509"/>
      <c r="I132" s="525"/>
      <c r="J132" s="667"/>
      <c r="K132" s="667"/>
      <c r="L132" s="667"/>
    </row>
    <row r="133" spans="1:12" ht="15.75" x14ac:dyDescent="0.25">
      <c r="A133" s="87">
        <v>129</v>
      </c>
      <c r="B133" s="87" t="s">
        <v>1149</v>
      </c>
      <c r="C133" s="555">
        <v>6655</v>
      </c>
      <c r="D133" s="563">
        <v>35000</v>
      </c>
      <c r="E133" s="573">
        <v>389</v>
      </c>
      <c r="F133" s="563">
        <v>35000</v>
      </c>
      <c r="G133" s="87">
        <f t="shared" ref="G133:G196" si="2">D133-F133</f>
        <v>0</v>
      </c>
      <c r="H133" s="509"/>
      <c r="I133" s="525"/>
      <c r="J133" s="667"/>
      <c r="K133" s="667"/>
      <c r="L133" s="667"/>
    </row>
    <row r="134" spans="1:12" ht="15.75" x14ac:dyDescent="0.25">
      <c r="A134" s="87">
        <v>130</v>
      </c>
      <c r="B134" s="87" t="s">
        <v>1149</v>
      </c>
      <c r="C134" s="555">
        <v>8661</v>
      </c>
      <c r="D134" s="563">
        <v>26000</v>
      </c>
      <c r="E134" s="573">
        <v>289</v>
      </c>
      <c r="F134" s="563">
        <v>26000</v>
      </c>
      <c r="G134" s="87">
        <f t="shared" si="2"/>
        <v>0</v>
      </c>
      <c r="H134" s="509"/>
      <c r="I134" s="525"/>
      <c r="J134" s="667"/>
      <c r="K134" s="667"/>
      <c r="L134" s="667"/>
    </row>
    <row r="135" spans="1:12" ht="15.75" x14ac:dyDescent="0.25">
      <c r="A135" s="87">
        <v>131</v>
      </c>
      <c r="B135" s="87" t="s">
        <v>1149</v>
      </c>
      <c r="C135" s="555">
        <v>7988</v>
      </c>
      <c r="D135" s="563">
        <v>27000</v>
      </c>
      <c r="E135" s="573">
        <v>300</v>
      </c>
      <c r="F135" s="563">
        <v>27000</v>
      </c>
      <c r="G135" s="87">
        <f t="shared" si="2"/>
        <v>0</v>
      </c>
      <c r="H135" s="509"/>
      <c r="I135" s="525"/>
      <c r="J135" s="667"/>
      <c r="K135" s="667"/>
      <c r="L135" s="667"/>
    </row>
    <row r="136" spans="1:12" ht="15.75" x14ac:dyDescent="0.25">
      <c r="A136" s="87">
        <v>132</v>
      </c>
      <c r="B136" s="87" t="s">
        <v>1149</v>
      </c>
      <c r="C136" s="555">
        <v>5073</v>
      </c>
      <c r="D136" s="563">
        <v>15000</v>
      </c>
      <c r="E136" s="573">
        <v>167</v>
      </c>
      <c r="F136" s="563">
        <v>15000</v>
      </c>
      <c r="G136" s="87">
        <f t="shared" si="2"/>
        <v>0</v>
      </c>
      <c r="H136" s="509"/>
      <c r="I136" s="525"/>
      <c r="J136" s="667"/>
      <c r="K136" s="667"/>
      <c r="L136" s="667"/>
    </row>
    <row r="137" spans="1:12" ht="15.75" x14ac:dyDescent="0.25">
      <c r="A137" s="87">
        <v>133</v>
      </c>
      <c r="B137" s="87" t="s">
        <v>1149</v>
      </c>
      <c r="C137" s="555">
        <v>1033</v>
      </c>
      <c r="D137" s="563">
        <v>12000</v>
      </c>
      <c r="E137" s="573">
        <v>133</v>
      </c>
      <c r="F137" s="563">
        <v>12000</v>
      </c>
      <c r="G137" s="87">
        <f t="shared" si="2"/>
        <v>0</v>
      </c>
      <c r="H137" s="509"/>
      <c r="I137" s="525"/>
      <c r="J137" s="667"/>
      <c r="K137" s="667"/>
      <c r="L137" s="667"/>
    </row>
    <row r="138" spans="1:12" ht="15.75" x14ac:dyDescent="0.25">
      <c r="A138" s="87">
        <v>134</v>
      </c>
      <c r="B138" s="87" t="s">
        <v>1149</v>
      </c>
      <c r="C138" s="555">
        <v>2089</v>
      </c>
      <c r="D138" s="563">
        <v>12000</v>
      </c>
      <c r="E138" s="573">
        <v>133</v>
      </c>
      <c r="F138" s="563">
        <v>12000</v>
      </c>
      <c r="G138" s="87">
        <f t="shared" si="2"/>
        <v>0</v>
      </c>
      <c r="H138" s="509"/>
      <c r="I138" s="525"/>
      <c r="J138" s="667"/>
      <c r="K138" s="667"/>
      <c r="L138" s="667"/>
    </row>
    <row r="139" spans="1:12" ht="15.75" x14ac:dyDescent="0.25">
      <c r="A139" s="87">
        <v>135</v>
      </c>
      <c r="B139" s="87" t="s">
        <v>1149</v>
      </c>
      <c r="C139" s="555">
        <v>5171</v>
      </c>
      <c r="D139" s="563">
        <v>12000</v>
      </c>
      <c r="E139" s="573">
        <v>133</v>
      </c>
      <c r="F139" s="563">
        <v>12000</v>
      </c>
      <c r="G139" s="87">
        <f t="shared" si="2"/>
        <v>0</v>
      </c>
      <c r="H139" s="509"/>
      <c r="I139" s="525"/>
      <c r="J139" s="667"/>
      <c r="K139" s="667"/>
      <c r="L139" s="667"/>
    </row>
    <row r="140" spans="1:12" ht="15.75" x14ac:dyDescent="0.25">
      <c r="A140" s="87">
        <v>136</v>
      </c>
      <c r="B140" s="87" t="s">
        <v>1149</v>
      </c>
      <c r="C140" s="607" t="s">
        <v>1008</v>
      </c>
      <c r="D140" s="563">
        <v>18000</v>
      </c>
      <c r="E140" s="573">
        <v>189</v>
      </c>
      <c r="F140" s="563">
        <v>18000</v>
      </c>
      <c r="G140" s="87">
        <f t="shared" si="2"/>
        <v>0</v>
      </c>
      <c r="H140" s="509"/>
      <c r="I140" s="525"/>
      <c r="J140" s="667"/>
      <c r="K140" s="667"/>
      <c r="L140" s="667"/>
    </row>
    <row r="141" spans="1:12" ht="15.75" x14ac:dyDescent="0.25">
      <c r="A141" s="87">
        <v>137</v>
      </c>
      <c r="B141" s="87" t="s">
        <v>1149</v>
      </c>
      <c r="C141" s="555">
        <v>5151</v>
      </c>
      <c r="D141" s="563">
        <v>18000</v>
      </c>
      <c r="E141" s="573">
        <v>200</v>
      </c>
      <c r="F141" s="563">
        <v>18000</v>
      </c>
      <c r="G141" s="87">
        <f t="shared" si="2"/>
        <v>0</v>
      </c>
      <c r="H141" s="509"/>
      <c r="I141" s="525"/>
      <c r="J141" s="667"/>
      <c r="K141" s="667"/>
      <c r="L141" s="667"/>
    </row>
    <row r="142" spans="1:12" ht="15.75" x14ac:dyDescent="0.25">
      <c r="A142" s="87">
        <v>138</v>
      </c>
      <c r="B142" s="87" t="s">
        <v>1149</v>
      </c>
      <c r="C142" s="555">
        <v>5498</v>
      </c>
      <c r="D142" s="563">
        <v>20000</v>
      </c>
      <c r="E142" s="573">
        <v>222</v>
      </c>
      <c r="F142" s="563">
        <v>20000</v>
      </c>
      <c r="G142" s="87">
        <f t="shared" si="2"/>
        <v>0</v>
      </c>
      <c r="H142" s="509"/>
      <c r="I142" s="525"/>
      <c r="J142" s="667"/>
      <c r="K142" s="667"/>
      <c r="L142" s="667"/>
    </row>
    <row r="143" spans="1:12" ht="15.75" x14ac:dyDescent="0.25">
      <c r="A143" s="87">
        <v>139</v>
      </c>
      <c r="B143" s="87" t="s">
        <v>1151</v>
      </c>
      <c r="C143" s="555">
        <v>1899</v>
      </c>
      <c r="D143" s="563">
        <v>22000</v>
      </c>
      <c r="E143" s="573">
        <v>231</v>
      </c>
      <c r="F143" s="563">
        <v>22000</v>
      </c>
      <c r="G143" s="87">
        <f t="shared" si="2"/>
        <v>0</v>
      </c>
      <c r="H143" s="509"/>
      <c r="I143" s="525"/>
      <c r="J143" s="667"/>
      <c r="K143" s="667"/>
      <c r="L143" s="667"/>
    </row>
    <row r="144" spans="1:12" ht="15.75" x14ac:dyDescent="0.25">
      <c r="A144" s="87">
        <v>140</v>
      </c>
      <c r="B144" s="87" t="s">
        <v>1151</v>
      </c>
      <c r="C144" s="555">
        <v>8571</v>
      </c>
      <c r="D144" s="563">
        <v>23000</v>
      </c>
      <c r="E144" s="573">
        <v>256</v>
      </c>
      <c r="F144" s="563">
        <v>23000</v>
      </c>
      <c r="G144" s="87">
        <f t="shared" si="2"/>
        <v>0</v>
      </c>
      <c r="H144" s="509"/>
      <c r="I144" s="525"/>
      <c r="J144" s="667"/>
      <c r="K144" s="667"/>
      <c r="L144" s="667"/>
    </row>
    <row r="145" spans="1:12" ht="15.75" x14ac:dyDescent="0.25">
      <c r="A145" s="87">
        <v>141</v>
      </c>
      <c r="B145" s="87" t="s">
        <v>1151</v>
      </c>
      <c r="C145" s="555">
        <v>1594</v>
      </c>
      <c r="D145" s="563">
        <v>10000</v>
      </c>
      <c r="E145" s="573">
        <v>111</v>
      </c>
      <c r="F145" s="563">
        <v>10000</v>
      </c>
      <c r="G145" s="87">
        <f t="shared" si="2"/>
        <v>0</v>
      </c>
      <c r="H145" s="509"/>
      <c r="I145" s="525"/>
      <c r="J145" s="667"/>
      <c r="K145" s="667"/>
      <c r="L145" s="667"/>
    </row>
    <row r="146" spans="1:12" ht="15.75" x14ac:dyDescent="0.25">
      <c r="A146" s="87">
        <v>142</v>
      </c>
      <c r="B146" s="87" t="s">
        <v>1151</v>
      </c>
      <c r="C146" s="555">
        <v>9916</v>
      </c>
      <c r="D146" s="563">
        <v>10000</v>
      </c>
      <c r="E146" s="573">
        <v>111</v>
      </c>
      <c r="F146" s="563">
        <v>10000</v>
      </c>
      <c r="G146" s="87">
        <f t="shared" si="2"/>
        <v>0</v>
      </c>
      <c r="H146" s="509"/>
      <c r="I146" s="525"/>
      <c r="J146" s="667"/>
      <c r="K146" s="667"/>
      <c r="L146" s="667"/>
    </row>
    <row r="147" spans="1:12" ht="15.75" x14ac:dyDescent="0.25">
      <c r="A147" s="87">
        <v>143</v>
      </c>
      <c r="B147" s="87" t="s">
        <v>1151</v>
      </c>
      <c r="C147" s="607" t="s">
        <v>1216</v>
      </c>
      <c r="D147" s="563">
        <v>10000</v>
      </c>
      <c r="E147" s="573">
        <v>111</v>
      </c>
      <c r="F147" s="563">
        <v>10000</v>
      </c>
      <c r="G147" s="87">
        <f t="shared" si="2"/>
        <v>0</v>
      </c>
      <c r="H147" s="509"/>
      <c r="I147" s="525"/>
      <c r="J147" s="667"/>
      <c r="K147" s="667"/>
      <c r="L147" s="667"/>
    </row>
    <row r="148" spans="1:12" ht="15.75" x14ac:dyDescent="0.25">
      <c r="A148" s="87">
        <v>144</v>
      </c>
      <c r="B148" s="87" t="s">
        <v>1151</v>
      </c>
      <c r="C148" s="607" t="s">
        <v>1087</v>
      </c>
      <c r="D148" s="563">
        <v>15000</v>
      </c>
      <c r="E148" s="573">
        <v>167</v>
      </c>
      <c r="F148" s="563">
        <v>15000</v>
      </c>
      <c r="G148" s="87">
        <f t="shared" si="2"/>
        <v>0</v>
      </c>
      <c r="H148" s="509"/>
      <c r="I148" s="525"/>
      <c r="J148" s="667"/>
      <c r="K148" s="667"/>
      <c r="L148" s="667"/>
    </row>
    <row r="149" spans="1:12" ht="15.75" x14ac:dyDescent="0.25">
      <c r="A149" s="87">
        <v>145</v>
      </c>
      <c r="B149" s="87" t="s">
        <v>1151</v>
      </c>
      <c r="C149" s="555">
        <v>9052</v>
      </c>
      <c r="D149" s="563">
        <v>15000</v>
      </c>
      <c r="E149" s="573">
        <v>167</v>
      </c>
      <c r="F149" s="563">
        <v>15000</v>
      </c>
      <c r="G149" s="87">
        <f t="shared" si="2"/>
        <v>0</v>
      </c>
      <c r="H149" s="509"/>
      <c r="I149" s="525"/>
      <c r="J149" s="667"/>
      <c r="K149" s="667"/>
      <c r="L149" s="667"/>
    </row>
    <row r="150" spans="1:12" ht="15.75" x14ac:dyDescent="0.25">
      <c r="A150" s="87">
        <v>146</v>
      </c>
      <c r="B150" s="87" t="s">
        <v>1151</v>
      </c>
      <c r="C150" s="607" t="s">
        <v>1186</v>
      </c>
      <c r="D150" s="563">
        <v>26000</v>
      </c>
      <c r="E150" s="573">
        <v>189</v>
      </c>
      <c r="F150" s="563">
        <v>26000</v>
      </c>
      <c r="G150" s="87">
        <f t="shared" si="2"/>
        <v>0</v>
      </c>
      <c r="H150" s="509"/>
      <c r="I150" s="525"/>
      <c r="J150" s="667"/>
      <c r="K150" s="667"/>
      <c r="L150" s="667"/>
    </row>
    <row r="151" spans="1:12" ht="15.75" x14ac:dyDescent="0.25">
      <c r="A151" s="87">
        <v>147</v>
      </c>
      <c r="B151" s="87" t="s">
        <v>1151</v>
      </c>
      <c r="C151" s="555">
        <v>5114</v>
      </c>
      <c r="D151" s="563">
        <v>26000</v>
      </c>
      <c r="E151" s="573">
        <v>189</v>
      </c>
      <c r="F151" s="563">
        <v>26000</v>
      </c>
      <c r="G151" s="87">
        <f t="shared" si="2"/>
        <v>0</v>
      </c>
      <c r="H151" s="509"/>
      <c r="I151" s="525"/>
      <c r="J151" s="667"/>
      <c r="K151" s="667"/>
      <c r="L151" s="667"/>
    </row>
    <row r="152" spans="1:12" ht="15.75" x14ac:dyDescent="0.25">
      <c r="A152" s="87">
        <v>148</v>
      </c>
      <c r="B152" s="87" t="s">
        <v>1151</v>
      </c>
      <c r="C152" s="555">
        <v>8600</v>
      </c>
      <c r="D152" s="563">
        <v>24000</v>
      </c>
      <c r="E152" s="573">
        <v>267</v>
      </c>
      <c r="F152" s="563">
        <v>24000</v>
      </c>
      <c r="G152" s="87">
        <f t="shared" si="2"/>
        <v>0</v>
      </c>
      <c r="H152" s="509"/>
      <c r="I152" s="525"/>
      <c r="J152" s="667"/>
      <c r="K152" s="667"/>
      <c r="L152" s="667"/>
    </row>
    <row r="153" spans="1:12" ht="15.75" x14ac:dyDescent="0.25">
      <c r="A153" s="87">
        <v>149</v>
      </c>
      <c r="B153" s="87" t="s">
        <v>1151</v>
      </c>
      <c r="C153" s="607" t="s">
        <v>1182</v>
      </c>
      <c r="D153" s="563">
        <v>22000</v>
      </c>
      <c r="E153" s="573">
        <v>245</v>
      </c>
      <c r="F153" s="563">
        <v>22000</v>
      </c>
      <c r="G153" s="87">
        <f t="shared" si="2"/>
        <v>0</v>
      </c>
      <c r="H153" s="509"/>
      <c r="I153" s="525"/>
      <c r="J153" s="667"/>
      <c r="K153" s="667"/>
      <c r="L153" s="667"/>
    </row>
    <row r="154" spans="1:12" ht="15.75" x14ac:dyDescent="0.25">
      <c r="A154" s="87">
        <v>150</v>
      </c>
      <c r="B154" s="87" t="s">
        <v>1151</v>
      </c>
      <c r="C154" s="607" t="s">
        <v>959</v>
      </c>
      <c r="D154" s="563">
        <v>28000</v>
      </c>
      <c r="E154" s="573">
        <v>311</v>
      </c>
      <c r="F154" s="563">
        <v>28000</v>
      </c>
      <c r="G154" s="87">
        <f t="shared" si="2"/>
        <v>0</v>
      </c>
      <c r="H154" s="509"/>
      <c r="I154" s="525"/>
      <c r="J154" s="667"/>
      <c r="K154" s="667"/>
      <c r="L154" s="667"/>
    </row>
    <row r="155" spans="1:12" ht="15.75" x14ac:dyDescent="0.25">
      <c r="A155" s="87">
        <v>151</v>
      </c>
      <c r="B155" s="87" t="s">
        <v>1151</v>
      </c>
      <c r="C155" s="555">
        <v>1350</v>
      </c>
      <c r="D155" s="563">
        <v>6000</v>
      </c>
      <c r="E155" s="573">
        <v>66</v>
      </c>
      <c r="F155" s="563">
        <v>6000</v>
      </c>
      <c r="G155" s="87">
        <f t="shared" si="2"/>
        <v>0</v>
      </c>
      <c r="H155" s="509"/>
      <c r="I155" s="525"/>
      <c r="J155" s="667"/>
      <c r="K155" s="667"/>
      <c r="L155" s="667"/>
    </row>
    <row r="156" spans="1:12" ht="15.75" x14ac:dyDescent="0.25">
      <c r="A156" s="87">
        <v>152</v>
      </c>
      <c r="B156" s="87" t="s">
        <v>1151</v>
      </c>
      <c r="C156" s="555">
        <v>2045</v>
      </c>
      <c r="D156" s="563">
        <v>26000</v>
      </c>
      <c r="E156" s="573">
        <v>289</v>
      </c>
      <c r="F156" s="563">
        <v>26000</v>
      </c>
      <c r="G156" s="87">
        <f t="shared" si="2"/>
        <v>0</v>
      </c>
      <c r="H156" s="509"/>
      <c r="I156" s="525"/>
      <c r="J156" s="667"/>
      <c r="K156" s="667"/>
      <c r="L156" s="667"/>
    </row>
    <row r="157" spans="1:12" ht="15.75" x14ac:dyDescent="0.25">
      <c r="A157" s="87">
        <v>153</v>
      </c>
      <c r="B157" s="87" t="s">
        <v>1151</v>
      </c>
      <c r="C157" s="555">
        <v>9857</v>
      </c>
      <c r="D157" s="563">
        <v>15000</v>
      </c>
      <c r="E157" s="573">
        <v>167</v>
      </c>
      <c r="F157" s="563">
        <v>15000</v>
      </c>
      <c r="G157" s="87">
        <f t="shared" si="2"/>
        <v>0</v>
      </c>
      <c r="H157" s="509"/>
      <c r="I157" s="525"/>
      <c r="J157" s="667"/>
      <c r="K157" s="667"/>
      <c r="L157" s="667"/>
    </row>
    <row r="158" spans="1:12" ht="15.75" x14ac:dyDescent="0.25">
      <c r="A158" s="87">
        <v>154</v>
      </c>
      <c r="B158" s="87" t="s">
        <v>1151</v>
      </c>
      <c r="C158" s="555">
        <v>6555</v>
      </c>
      <c r="D158" s="563">
        <v>15000</v>
      </c>
      <c r="E158" s="573">
        <v>167</v>
      </c>
      <c r="F158" s="563">
        <v>15000</v>
      </c>
      <c r="G158" s="87">
        <f t="shared" si="2"/>
        <v>0</v>
      </c>
      <c r="H158" s="509"/>
      <c r="I158" s="525"/>
      <c r="J158" s="667"/>
      <c r="K158" s="667"/>
      <c r="L158" s="667"/>
    </row>
    <row r="159" spans="1:12" ht="15.75" x14ac:dyDescent="0.25">
      <c r="A159" s="87">
        <v>155</v>
      </c>
      <c r="B159" s="87" t="s">
        <v>1151</v>
      </c>
      <c r="C159" s="555">
        <v>6012</v>
      </c>
      <c r="D159" s="563">
        <v>15000</v>
      </c>
      <c r="E159" s="573">
        <v>167</v>
      </c>
      <c r="F159" s="563">
        <v>15000</v>
      </c>
      <c r="G159" s="87">
        <f t="shared" si="2"/>
        <v>0</v>
      </c>
      <c r="H159" s="509"/>
      <c r="I159" s="525"/>
      <c r="J159" s="667"/>
      <c r="K159" s="667"/>
      <c r="L159" s="667"/>
    </row>
    <row r="160" spans="1:12" ht="15.75" x14ac:dyDescent="0.25">
      <c r="A160" s="87">
        <v>156</v>
      </c>
      <c r="B160" s="87" t="s">
        <v>1151</v>
      </c>
      <c r="C160" s="555">
        <v>1491</v>
      </c>
      <c r="D160" s="563">
        <v>15000</v>
      </c>
      <c r="E160" s="573">
        <v>167</v>
      </c>
      <c r="F160" s="563">
        <v>15000</v>
      </c>
      <c r="G160" s="87">
        <f t="shared" si="2"/>
        <v>0</v>
      </c>
      <c r="H160" s="509"/>
      <c r="I160" s="525"/>
      <c r="J160" s="667"/>
      <c r="K160" s="667"/>
      <c r="L160" s="667"/>
    </row>
    <row r="161" spans="1:12" ht="15.75" x14ac:dyDescent="0.25">
      <c r="A161" s="87">
        <v>157</v>
      </c>
      <c r="B161" s="87" t="s">
        <v>1151</v>
      </c>
      <c r="C161" s="555">
        <v>1515</v>
      </c>
      <c r="D161" s="563">
        <v>22000</v>
      </c>
      <c r="E161" s="573">
        <v>245</v>
      </c>
      <c r="F161" s="563">
        <v>22000</v>
      </c>
      <c r="G161" s="87">
        <f t="shared" si="2"/>
        <v>0</v>
      </c>
      <c r="H161" s="509"/>
      <c r="I161" s="525"/>
      <c r="J161" s="667"/>
      <c r="K161" s="667"/>
      <c r="L161" s="667"/>
    </row>
    <row r="162" spans="1:12" ht="15.75" x14ac:dyDescent="0.25">
      <c r="A162" s="87">
        <v>158</v>
      </c>
      <c r="B162" s="87" t="s">
        <v>1151</v>
      </c>
      <c r="C162" s="555">
        <v>9894</v>
      </c>
      <c r="D162" s="563">
        <v>25000</v>
      </c>
      <c r="E162" s="573">
        <v>278</v>
      </c>
      <c r="F162" s="563">
        <v>25000</v>
      </c>
      <c r="G162" s="87">
        <f t="shared" si="2"/>
        <v>0</v>
      </c>
      <c r="H162" s="509"/>
      <c r="I162" s="525"/>
      <c r="J162" s="667"/>
      <c r="K162" s="667"/>
      <c r="L162" s="667"/>
    </row>
    <row r="163" spans="1:12" ht="15.75" x14ac:dyDescent="0.25">
      <c r="A163" s="87">
        <v>159</v>
      </c>
      <c r="B163" s="87" t="s">
        <v>1151</v>
      </c>
      <c r="C163" s="607" t="s">
        <v>1211</v>
      </c>
      <c r="D163" s="563">
        <v>19000</v>
      </c>
      <c r="E163" s="573">
        <v>211</v>
      </c>
      <c r="F163" s="563">
        <v>19000</v>
      </c>
      <c r="G163" s="87">
        <f t="shared" si="2"/>
        <v>0</v>
      </c>
      <c r="H163" s="509"/>
      <c r="I163" s="525"/>
      <c r="J163" s="667"/>
      <c r="K163" s="667"/>
      <c r="L163" s="667"/>
    </row>
    <row r="164" spans="1:12" ht="15.75" x14ac:dyDescent="0.25">
      <c r="A164" s="87">
        <v>160</v>
      </c>
      <c r="B164" s="87" t="s">
        <v>1151</v>
      </c>
      <c r="C164" s="607" t="s">
        <v>890</v>
      </c>
      <c r="D164" s="563">
        <v>14000</v>
      </c>
      <c r="E164" s="573">
        <v>155</v>
      </c>
      <c r="F164" s="563">
        <v>14000</v>
      </c>
      <c r="G164" s="87">
        <f t="shared" si="2"/>
        <v>0</v>
      </c>
      <c r="H164" s="509"/>
      <c r="I164" s="525"/>
      <c r="J164" s="667"/>
      <c r="K164" s="667"/>
      <c r="L164" s="667"/>
    </row>
    <row r="165" spans="1:12" ht="15.75" x14ac:dyDescent="0.25">
      <c r="A165" s="87">
        <v>161</v>
      </c>
      <c r="B165" s="87" t="s">
        <v>1151</v>
      </c>
      <c r="C165" s="555" t="s">
        <v>30</v>
      </c>
      <c r="D165" s="563">
        <v>5000</v>
      </c>
      <c r="E165" s="573">
        <v>55</v>
      </c>
      <c r="F165" s="563">
        <v>5000</v>
      </c>
      <c r="G165" s="87">
        <f t="shared" si="2"/>
        <v>0</v>
      </c>
      <c r="H165" s="509"/>
      <c r="I165" s="525"/>
      <c r="J165" s="667"/>
      <c r="K165" s="667"/>
      <c r="L165" s="667"/>
    </row>
    <row r="166" spans="1:12" ht="15.75" x14ac:dyDescent="0.25">
      <c r="A166" s="87">
        <v>162</v>
      </c>
      <c r="B166" s="87" t="s">
        <v>1151</v>
      </c>
      <c r="C166" s="555">
        <v>9705</v>
      </c>
      <c r="D166" s="563">
        <v>32000</v>
      </c>
      <c r="E166" s="573">
        <v>329</v>
      </c>
      <c r="F166" s="563">
        <v>32000</v>
      </c>
      <c r="G166" s="87">
        <f t="shared" si="2"/>
        <v>0</v>
      </c>
      <c r="H166" s="509"/>
      <c r="I166" s="525"/>
      <c r="J166" s="667"/>
      <c r="K166" s="667"/>
      <c r="L166" s="667"/>
    </row>
    <row r="167" spans="1:12" ht="15.75" x14ac:dyDescent="0.25">
      <c r="A167" s="87">
        <v>163</v>
      </c>
      <c r="B167" s="87" t="s">
        <v>1151</v>
      </c>
      <c r="C167" s="555">
        <v>5526</v>
      </c>
      <c r="D167" s="563">
        <v>12000</v>
      </c>
      <c r="E167" s="573">
        <v>133</v>
      </c>
      <c r="F167" s="563">
        <v>12000</v>
      </c>
      <c r="G167" s="87">
        <f t="shared" si="2"/>
        <v>0</v>
      </c>
      <c r="H167" s="509"/>
      <c r="I167" s="525"/>
      <c r="J167" s="667"/>
      <c r="K167" s="667"/>
      <c r="L167" s="667"/>
    </row>
    <row r="168" spans="1:12" ht="15.75" x14ac:dyDescent="0.25">
      <c r="A168" s="87">
        <v>164</v>
      </c>
      <c r="B168" s="87" t="s">
        <v>1151</v>
      </c>
      <c r="C168" s="555">
        <v>1640</v>
      </c>
      <c r="D168" s="563">
        <v>30000</v>
      </c>
      <c r="E168" s="573">
        <v>317</v>
      </c>
      <c r="F168" s="563">
        <v>30000</v>
      </c>
      <c r="G168" s="87">
        <f t="shared" si="2"/>
        <v>0</v>
      </c>
      <c r="H168" s="509"/>
      <c r="I168" s="525"/>
      <c r="J168" s="667"/>
      <c r="K168" s="667"/>
      <c r="L168" s="667"/>
    </row>
    <row r="169" spans="1:12" ht="15.75" x14ac:dyDescent="0.25">
      <c r="A169" s="87">
        <v>165</v>
      </c>
      <c r="B169" s="87" t="s">
        <v>1151</v>
      </c>
      <c r="C169" s="555">
        <v>7437</v>
      </c>
      <c r="D169" s="563">
        <v>32000</v>
      </c>
      <c r="E169" s="573">
        <v>356</v>
      </c>
      <c r="F169" s="563">
        <v>32000</v>
      </c>
      <c r="G169" s="87">
        <f t="shared" si="2"/>
        <v>0</v>
      </c>
      <c r="H169" s="509"/>
      <c r="I169" s="525"/>
      <c r="J169" s="667"/>
      <c r="K169" s="667"/>
      <c r="L169" s="667"/>
    </row>
    <row r="170" spans="1:12" ht="15.75" x14ac:dyDescent="0.25">
      <c r="A170" s="87">
        <v>166</v>
      </c>
      <c r="B170" s="87" t="s">
        <v>1197</v>
      </c>
      <c r="C170" s="555">
        <v>6955</v>
      </c>
      <c r="D170" s="563">
        <v>15000</v>
      </c>
      <c r="E170" s="573">
        <v>159</v>
      </c>
      <c r="F170" s="563">
        <v>15000</v>
      </c>
      <c r="G170" s="87">
        <f t="shared" si="2"/>
        <v>0</v>
      </c>
      <c r="H170" s="509"/>
      <c r="I170" s="525"/>
      <c r="J170" s="667"/>
      <c r="K170" s="667"/>
      <c r="L170" s="667"/>
    </row>
    <row r="171" spans="1:12" ht="15.75" x14ac:dyDescent="0.25">
      <c r="A171" s="87">
        <v>167</v>
      </c>
      <c r="B171" s="87" t="s">
        <v>1197</v>
      </c>
      <c r="C171" s="555" t="s">
        <v>30</v>
      </c>
      <c r="D171" s="563">
        <v>4500</v>
      </c>
      <c r="E171" s="573">
        <v>50</v>
      </c>
      <c r="F171" s="563">
        <v>4500</v>
      </c>
      <c r="G171" s="87">
        <f t="shared" si="2"/>
        <v>0</v>
      </c>
      <c r="H171" s="509"/>
      <c r="I171" s="525"/>
      <c r="J171" s="667"/>
      <c r="K171" s="667"/>
      <c r="L171" s="667"/>
    </row>
    <row r="172" spans="1:12" ht="15.75" x14ac:dyDescent="0.25">
      <c r="A172" s="87">
        <v>168</v>
      </c>
      <c r="B172" s="87" t="s">
        <v>1197</v>
      </c>
      <c r="C172" s="555">
        <v>4338</v>
      </c>
      <c r="D172" s="563">
        <v>22000</v>
      </c>
      <c r="E172" s="573">
        <v>245</v>
      </c>
      <c r="F172" s="563">
        <v>22000</v>
      </c>
      <c r="G172" s="87">
        <f t="shared" si="2"/>
        <v>0</v>
      </c>
      <c r="H172" s="509"/>
      <c r="I172" s="525"/>
      <c r="J172" s="667"/>
      <c r="K172" s="667"/>
      <c r="L172" s="667"/>
    </row>
    <row r="173" spans="1:12" ht="15.75" x14ac:dyDescent="0.25">
      <c r="A173" s="87">
        <v>169</v>
      </c>
      <c r="B173" s="87" t="s">
        <v>1197</v>
      </c>
      <c r="C173" s="555">
        <v>5200</v>
      </c>
      <c r="D173" s="563">
        <v>14000</v>
      </c>
      <c r="E173" s="573">
        <v>155</v>
      </c>
      <c r="F173" s="563">
        <v>14000</v>
      </c>
      <c r="G173" s="87">
        <f t="shared" si="2"/>
        <v>0</v>
      </c>
      <c r="H173" s="509"/>
      <c r="I173" s="525"/>
      <c r="J173" s="667"/>
      <c r="K173" s="667"/>
      <c r="L173" s="667"/>
    </row>
    <row r="174" spans="1:12" ht="15.75" x14ac:dyDescent="0.25">
      <c r="A174" s="87">
        <v>170</v>
      </c>
      <c r="B174" s="87" t="s">
        <v>1197</v>
      </c>
      <c r="C174" s="555">
        <v>3611</v>
      </c>
      <c r="D174" s="563">
        <v>23000</v>
      </c>
      <c r="E174" s="573">
        <v>256</v>
      </c>
      <c r="F174" s="563">
        <v>23000</v>
      </c>
      <c r="G174" s="87">
        <f t="shared" si="2"/>
        <v>0</v>
      </c>
      <c r="H174" s="509"/>
      <c r="I174" s="525"/>
      <c r="J174" s="667"/>
      <c r="K174" s="667"/>
      <c r="L174" s="667"/>
    </row>
    <row r="175" spans="1:12" ht="15.75" x14ac:dyDescent="0.25">
      <c r="A175" s="87">
        <v>171</v>
      </c>
      <c r="B175" s="87" t="s">
        <v>1197</v>
      </c>
      <c r="C175" s="555">
        <v>6615</v>
      </c>
      <c r="D175" s="563">
        <v>14000</v>
      </c>
      <c r="E175" s="573">
        <v>155</v>
      </c>
      <c r="F175" s="563">
        <v>14000</v>
      </c>
      <c r="G175" s="87">
        <f t="shared" si="2"/>
        <v>0</v>
      </c>
      <c r="H175" s="509"/>
      <c r="I175" s="525"/>
      <c r="J175" s="667"/>
      <c r="K175" s="667"/>
      <c r="L175" s="667"/>
    </row>
    <row r="176" spans="1:12" ht="15.75" x14ac:dyDescent="0.25">
      <c r="A176" s="87">
        <v>172</v>
      </c>
      <c r="B176" s="87" t="s">
        <v>1197</v>
      </c>
      <c r="C176" s="555">
        <v>7186</v>
      </c>
      <c r="D176" s="563">
        <v>8000</v>
      </c>
      <c r="E176" s="573">
        <v>189</v>
      </c>
      <c r="F176" s="563">
        <v>8000</v>
      </c>
      <c r="G176" s="87">
        <f t="shared" si="2"/>
        <v>0</v>
      </c>
      <c r="H176" s="509"/>
      <c r="I176" s="525"/>
      <c r="J176" s="667"/>
      <c r="K176" s="667"/>
      <c r="L176" s="667"/>
    </row>
    <row r="177" spans="1:12" ht="15.75" x14ac:dyDescent="0.25">
      <c r="A177" s="87">
        <v>173</v>
      </c>
      <c r="B177" s="87" t="s">
        <v>1197</v>
      </c>
      <c r="C177" s="555" t="s">
        <v>30</v>
      </c>
      <c r="D177" s="563">
        <v>9000</v>
      </c>
      <c r="E177" s="573">
        <v>100</v>
      </c>
      <c r="F177" s="563">
        <v>9000</v>
      </c>
      <c r="G177" s="87">
        <f t="shared" si="2"/>
        <v>0</v>
      </c>
      <c r="H177" s="509"/>
      <c r="I177" s="525"/>
      <c r="J177" s="667"/>
      <c r="K177" s="667"/>
      <c r="L177" s="667"/>
    </row>
    <row r="178" spans="1:12" ht="15.75" x14ac:dyDescent="0.25">
      <c r="A178" s="87">
        <v>174</v>
      </c>
      <c r="B178" s="87" t="s">
        <v>1197</v>
      </c>
      <c r="C178" s="555">
        <v>5185</v>
      </c>
      <c r="D178" s="563">
        <v>22000</v>
      </c>
      <c r="E178" s="573">
        <v>245</v>
      </c>
      <c r="F178" s="563">
        <v>22000</v>
      </c>
      <c r="G178" s="87">
        <f t="shared" si="2"/>
        <v>0</v>
      </c>
      <c r="H178" s="509"/>
      <c r="I178" s="525"/>
      <c r="J178" s="667"/>
      <c r="K178" s="667"/>
      <c r="L178" s="667"/>
    </row>
    <row r="179" spans="1:12" ht="15.75" x14ac:dyDescent="0.25">
      <c r="A179" s="87">
        <v>175</v>
      </c>
      <c r="B179" s="87" t="s">
        <v>1197</v>
      </c>
      <c r="C179" s="555">
        <v>6517</v>
      </c>
      <c r="D179" s="563">
        <v>23000</v>
      </c>
      <c r="E179" s="573">
        <v>240</v>
      </c>
      <c r="F179" s="563">
        <v>23000</v>
      </c>
      <c r="G179" s="87">
        <f t="shared" si="2"/>
        <v>0</v>
      </c>
      <c r="H179" s="509"/>
      <c r="I179" s="525"/>
      <c r="J179" s="667"/>
      <c r="K179" s="667"/>
      <c r="L179" s="667"/>
    </row>
    <row r="180" spans="1:12" ht="15.75" x14ac:dyDescent="0.25">
      <c r="A180" s="87">
        <v>176</v>
      </c>
      <c r="B180" s="87" t="s">
        <v>1197</v>
      </c>
      <c r="C180" s="555">
        <v>8238</v>
      </c>
      <c r="D180" s="563">
        <v>20000</v>
      </c>
      <c r="E180" s="573">
        <v>222</v>
      </c>
      <c r="F180" s="563">
        <v>20000</v>
      </c>
      <c r="G180" s="87">
        <f t="shared" si="2"/>
        <v>0</v>
      </c>
      <c r="H180" s="509"/>
      <c r="I180" s="525"/>
      <c r="J180" s="667"/>
      <c r="K180" s="667"/>
      <c r="L180" s="667"/>
    </row>
    <row r="181" spans="1:12" ht="15.75" x14ac:dyDescent="0.25">
      <c r="A181" s="87">
        <v>177</v>
      </c>
      <c r="B181" s="87" t="s">
        <v>1197</v>
      </c>
      <c r="C181" s="555">
        <v>2781</v>
      </c>
      <c r="D181" s="563">
        <v>10000</v>
      </c>
      <c r="E181" s="573">
        <v>111</v>
      </c>
      <c r="F181" s="563">
        <v>10000</v>
      </c>
      <c r="G181" s="87">
        <f t="shared" si="2"/>
        <v>0</v>
      </c>
      <c r="H181" s="509"/>
      <c r="I181" s="525"/>
      <c r="J181" s="667"/>
      <c r="K181" s="667"/>
      <c r="L181" s="667"/>
    </row>
    <row r="182" spans="1:12" ht="15.75" x14ac:dyDescent="0.25">
      <c r="A182" s="87">
        <v>178</v>
      </c>
      <c r="B182" s="87" t="s">
        <v>1197</v>
      </c>
      <c r="C182" s="555">
        <v>4602</v>
      </c>
      <c r="D182" s="563">
        <v>17000</v>
      </c>
      <c r="E182" s="573">
        <v>189</v>
      </c>
      <c r="F182" s="563">
        <v>17000</v>
      </c>
      <c r="G182" s="87">
        <f t="shared" si="2"/>
        <v>0</v>
      </c>
      <c r="H182" s="509"/>
      <c r="I182" s="525"/>
      <c r="J182" s="667"/>
      <c r="K182" s="667"/>
      <c r="L182" s="667"/>
    </row>
    <row r="183" spans="1:12" ht="15.75" x14ac:dyDescent="0.25">
      <c r="A183" s="87">
        <v>179</v>
      </c>
      <c r="B183" s="87" t="s">
        <v>1197</v>
      </c>
      <c r="C183" s="555">
        <v>8308</v>
      </c>
      <c r="D183" s="563">
        <v>20000</v>
      </c>
      <c r="E183" s="573">
        <v>222</v>
      </c>
      <c r="F183" s="563">
        <v>20000</v>
      </c>
      <c r="G183" s="87">
        <f t="shared" si="2"/>
        <v>0</v>
      </c>
      <c r="H183" s="509"/>
      <c r="I183" s="525"/>
      <c r="J183" s="667"/>
      <c r="K183" s="667"/>
      <c r="L183" s="667"/>
    </row>
    <row r="184" spans="1:12" ht="15.75" x14ac:dyDescent="0.25">
      <c r="A184" s="87">
        <v>180</v>
      </c>
      <c r="B184" s="87" t="s">
        <v>1197</v>
      </c>
      <c r="C184" s="555">
        <v>3131</v>
      </c>
      <c r="D184" s="563">
        <v>17000</v>
      </c>
      <c r="E184" s="573">
        <v>189</v>
      </c>
      <c r="F184" s="563">
        <v>17000</v>
      </c>
      <c r="G184" s="87">
        <f t="shared" si="2"/>
        <v>0</v>
      </c>
      <c r="H184" s="509"/>
      <c r="I184" s="525"/>
      <c r="J184" s="667"/>
      <c r="K184" s="667"/>
      <c r="L184" s="667"/>
    </row>
    <row r="185" spans="1:12" ht="15.75" x14ac:dyDescent="0.25">
      <c r="A185" s="87">
        <v>181</v>
      </c>
      <c r="B185" s="87" t="s">
        <v>1197</v>
      </c>
      <c r="C185" s="555">
        <v>5457</v>
      </c>
      <c r="D185" s="563">
        <v>17000</v>
      </c>
      <c r="E185" s="573">
        <v>172</v>
      </c>
      <c r="F185" s="563">
        <v>17000</v>
      </c>
      <c r="G185" s="87">
        <f t="shared" si="2"/>
        <v>0</v>
      </c>
      <c r="H185" s="509"/>
      <c r="I185" s="525"/>
      <c r="J185" s="667"/>
      <c r="K185" s="667"/>
      <c r="L185" s="667"/>
    </row>
    <row r="186" spans="1:12" ht="15.75" x14ac:dyDescent="0.25">
      <c r="A186" s="87">
        <v>182</v>
      </c>
      <c r="B186" s="87" t="s">
        <v>1197</v>
      </c>
      <c r="C186" s="607" t="s">
        <v>1094</v>
      </c>
      <c r="D186" s="563">
        <v>22000</v>
      </c>
      <c r="E186" s="573">
        <v>241</v>
      </c>
      <c r="F186" s="563">
        <v>22000</v>
      </c>
      <c r="G186" s="87">
        <f t="shared" si="2"/>
        <v>0</v>
      </c>
      <c r="H186" s="509"/>
      <c r="I186" s="525"/>
      <c r="J186" s="667"/>
      <c r="K186" s="667"/>
      <c r="L186" s="667"/>
    </row>
    <row r="187" spans="1:12" ht="15.75" x14ac:dyDescent="0.25">
      <c r="A187" s="87">
        <v>183</v>
      </c>
      <c r="B187" s="87" t="s">
        <v>1197</v>
      </c>
      <c r="C187" s="555">
        <v>4032</v>
      </c>
      <c r="D187" s="563">
        <v>21000</v>
      </c>
      <c r="E187" s="573">
        <v>233</v>
      </c>
      <c r="F187" s="563">
        <v>21000</v>
      </c>
      <c r="G187" s="87">
        <f t="shared" si="2"/>
        <v>0</v>
      </c>
      <c r="H187" s="509"/>
      <c r="I187" s="525"/>
      <c r="J187" s="667"/>
      <c r="K187" s="667"/>
      <c r="L187" s="667"/>
    </row>
    <row r="188" spans="1:12" ht="15.75" x14ac:dyDescent="0.25">
      <c r="A188" s="87">
        <v>184</v>
      </c>
      <c r="B188" s="87" t="s">
        <v>1197</v>
      </c>
      <c r="C188" s="607" t="s">
        <v>1217</v>
      </c>
      <c r="D188" s="563">
        <v>22000</v>
      </c>
      <c r="E188" s="573">
        <v>210</v>
      </c>
      <c r="F188" s="563">
        <v>22000</v>
      </c>
      <c r="G188" s="87">
        <f t="shared" si="2"/>
        <v>0</v>
      </c>
      <c r="H188" s="509"/>
      <c r="I188" s="525"/>
      <c r="J188" s="667"/>
      <c r="K188" s="667"/>
      <c r="L188" s="667"/>
    </row>
    <row r="189" spans="1:12" ht="15.75" x14ac:dyDescent="0.25">
      <c r="A189" s="87">
        <v>185</v>
      </c>
      <c r="B189" s="87" t="s">
        <v>1197</v>
      </c>
      <c r="C189" s="607" t="s">
        <v>1218</v>
      </c>
      <c r="D189" s="563">
        <v>13000</v>
      </c>
      <c r="E189" s="573">
        <v>144</v>
      </c>
      <c r="F189" s="563">
        <v>13000</v>
      </c>
      <c r="G189" s="87">
        <f t="shared" si="2"/>
        <v>0</v>
      </c>
      <c r="H189" s="509"/>
      <c r="I189" s="525"/>
      <c r="J189" s="667"/>
      <c r="K189" s="667"/>
      <c r="L189" s="667"/>
    </row>
    <row r="190" spans="1:12" ht="15.75" x14ac:dyDescent="0.25">
      <c r="A190" s="87">
        <v>186</v>
      </c>
      <c r="B190" s="87" t="s">
        <v>1197</v>
      </c>
      <c r="C190" s="555">
        <v>1775</v>
      </c>
      <c r="D190" s="563">
        <v>25000</v>
      </c>
      <c r="E190" s="573">
        <v>278</v>
      </c>
      <c r="F190" s="563">
        <v>25000</v>
      </c>
      <c r="G190" s="87">
        <f t="shared" si="2"/>
        <v>0</v>
      </c>
      <c r="H190" s="509"/>
      <c r="I190" s="525"/>
      <c r="J190" s="667"/>
      <c r="K190" s="667"/>
      <c r="L190" s="667"/>
    </row>
    <row r="191" spans="1:12" ht="15.75" x14ac:dyDescent="0.25">
      <c r="A191" s="87">
        <v>187</v>
      </c>
      <c r="B191" s="87" t="s">
        <v>1197</v>
      </c>
      <c r="C191" s="555" t="s">
        <v>1178</v>
      </c>
      <c r="D191" s="563">
        <v>210</v>
      </c>
      <c r="E191" s="573">
        <v>2.0499999999999998</v>
      </c>
      <c r="F191" s="563">
        <v>210</v>
      </c>
      <c r="G191" s="87">
        <f t="shared" si="2"/>
        <v>0</v>
      </c>
      <c r="H191" s="509"/>
      <c r="I191" s="525"/>
      <c r="J191" s="667"/>
      <c r="K191" s="667"/>
      <c r="L191" s="667"/>
    </row>
    <row r="192" spans="1:12" ht="15.75" x14ac:dyDescent="0.25">
      <c r="A192" s="87">
        <v>188</v>
      </c>
      <c r="B192" s="87" t="s">
        <v>1197</v>
      </c>
      <c r="C192" s="555" t="s">
        <v>1178</v>
      </c>
      <c r="D192" s="563">
        <v>100</v>
      </c>
      <c r="E192" s="573">
        <v>1.04</v>
      </c>
      <c r="F192" s="563">
        <v>100</v>
      </c>
      <c r="G192" s="87">
        <f t="shared" si="2"/>
        <v>0</v>
      </c>
      <c r="H192" s="509"/>
      <c r="I192" s="525"/>
      <c r="J192" s="667"/>
      <c r="K192" s="667"/>
      <c r="L192" s="667"/>
    </row>
    <row r="193" spans="1:12" ht="15.75" x14ac:dyDescent="0.25">
      <c r="A193" s="87">
        <v>189</v>
      </c>
      <c r="B193" s="87" t="s">
        <v>1197</v>
      </c>
      <c r="C193" s="555">
        <v>9120</v>
      </c>
      <c r="D193" s="563">
        <v>22000</v>
      </c>
      <c r="E193" s="573">
        <v>213</v>
      </c>
      <c r="F193" s="563">
        <v>22000</v>
      </c>
      <c r="G193" s="87">
        <f t="shared" si="2"/>
        <v>0</v>
      </c>
      <c r="H193" s="509"/>
      <c r="I193" s="525"/>
      <c r="J193" s="667"/>
      <c r="K193" s="667"/>
      <c r="L193" s="667"/>
    </row>
    <row r="194" spans="1:12" ht="15.75" x14ac:dyDescent="0.25">
      <c r="A194" s="87">
        <v>190</v>
      </c>
      <c r="B194" s="87" t="s">
        <v>1197</v>
      </c>
      <c r="C194" s="607" t="s">
        <v>1057</v>
      </c>
      <c r="D194" s="563">
        <v>27000</v>
      </c>
      <c r="E194" s="573">
        <v>300</v>
      </c>
      <c r="F194" s="563">
        <v>27000</v>
      </c>
      <c r="G194" s="87">
        <f t="shared" si="2"/>
        <v>0</v>
      </c>
      <c r="H194" s="509"/>
      <c r="I194" s="525"/>
      <c r="J194" s="667"/>
      <c r="K194" s="667"/>
      <c r="L194" s="667"/>
    </row>
    <row r="195" spans="1:12" ht="15.75" x14ac:dyDescent="0.25">
      <c r="A195" s="87">
        <v>191</v>
      </c>
      <c r="B195" s="87" t="s">
        <v>1197</v>
      </c>
      <c r="C195" s="555">
        <v>6089</v>
      </c>
      <c r="D195" s="563">
        <v>23000</v>
      </c>
      <c r="E195" s="573">
        <v>245</v>
      </c>
      <c r="F195" s="563">
        <v>23000</v>
      </c>
      <c r="G195" s="87">
        <f t="shared" si="2"/>
        <v>0</v>
      </c>
      <c r="H195" s="509"/>
      <c r="I195" s="525"/>
      <c r="J195" s="667"/>
      <c r="K195" s="667"/>
      <c r="L195" s="667"/>
    </row>
    <row r="196" spans="1:12" ht="15.75" x14ac:dyDescent="0.25">
      <c r="A196" s="87">
        <v>192</v>
      </c>
      <c r="B196" s="87" t="s">
        <v>1197</v>
      </c>
      <c r="C196" s="555">
        <v>9642</v>
      </c>
      <c r="D196" s="563">
        <v>12000</v>
      </c>
      <c r="E196" s="573">
        <v>133</v>
      </c>
      <c r="F196" s="563">
        <v>12000</v>
      </c>
      <c r="G196" s="87">
        <f t="shared" si="2"/>
        <v>0</v>
      </c>
      <c r="H196" s="509"/>
      <c r="I196" s="525"/>
      <c r="J196" s="667"/>
      <c r="K196" s="667"/>
      <c r="L196" s="667"/>
    </row>
    <row r="197" spans="1:12" ht="15.75" x14ac:dyDescent="0.25">
      <c r="A197" s="87">
        <v>193</v>
      </c>
      <c r="B197" s="87" t="s">
        <v>1197</v>
      </c>
      <c r="C197" s="555">
        <v>9457</v>
      </c>
      <c r="D197" s="563">
        <v>28000</v>
      </c>
      <c r="E197" s="573">
        <v>311</v>
      </c>
      <c r="F197" s="563">
        <v>28000</v>
      </c>
      <c r="G197" s="87">
        <f t="shared" ref="G197:G260" si="3">D197-F197</f>
        <v>0</v>
      </c>
      <c r="H197" s="509"/>
      <c r="I197" s="525"/>
      <c r="J197" s="667"/>
      <c r="K197" s="667"/>
      <c r="L197" s="667"/>
    </row>
    <row r="198" spans="1:12" ht="15.75" x14ac:dyDescent="0.25">
      <c r="A198" s="87">
        <v>194</v>
      </c>
      <c r="B198" s="87" t="s">
        <v>1197</v>
      </c>
      <c r="C198" s="555">
        <v>5271</v>
      </c>
      <c r="D198" s="563">
        <v>14384</v>
      </c>
      <c r="E198" s="573">
        <v>160</v>
      </c>
      <c r="F198" s="563">
        <v>14384</v>
      </c>
      <c r="G198" s="87">
        <f t="shared" si="3"/>
        <v>0</v>
      </c>
      <c r="H198" s="509"/>
      <c r="I198" s="525"/>
      <c r="J198" s="667"/>
      <c r="K198" s="667"/>
      <c r="L198" s="667"/>
    </row>
    <row r="199" spans="1:12" ht="15.75" x14ac:dyDescent="0.25">
      <c r="A199" s="87">
        <v>195</v>
      </c>
      <c r="B199" s="87" t="s">
        <v>1198</v>
      </c>
      <c r="C199" s="555">
        <v>5906</v>
      </c>
      <c r="D199" s="563">
        <v>20000</v>
      </c>
      <c r="E199" s="573">
        <v>213</v>
      </c>
      <c r="F199" s="563">
        <v>20000</v>
      </c>
      <c r="G199" s="87">
        <f t="shared" si="3"/>
        <v>0</v>
      </c>
      <c r="H199" s="509"/>
      <c r="I199" s="525"/>
      <c r="J199" s="667"/>
      <c r="K199" s="667"/>
      <c r="L199" s="667"/>
    </row>
    <row r="200" spans="1:12" ht="15.75" x14ac:dyDescent="0.25">
      <c r="A200" s="87">
        <v>196</v>
      </c>
      <c r="B200" s="87" t="s">
        <v>1198</v>
      </c>
      <c r="C200" s="555">
        <v>7344</v>
      </c>
      <c r="D200" s="563">
        <v>13000</v>
      </c>
      <c r="E200" s="573">
        <v>138</v>
      </c>
      <c r="F200" s="563">
        <v>13000</v>
      </c>
      <c r="G200" s="87">
        <f t="shared" si="3"/>
        <v>0</v>
      </c>
      <c r="H200" s="509"/>
      <c r="I200" s="525"/>
      <c r="J200" s="667"/>
      <c r="K200" s="667"/>
      <c r="L200" s="667"/>
    </row>
    <row r="201" spans="1:12" ht="15.75" x14ac:dyDescent="0.25">
      <c r="A201" s="87">
        <v>197</v>
      </c>
      <c r="B201" s="87" t="s">
        <v>1198</v>
      </c>
      <c r="C201" s="555">
        <v>6785</v>
      </c>
      <c r="D201" s="563">
        <v>14000</v>
      </c>
      <c r="E201" s="573">
        <v>149</v>
      </c>
      <c r="F201" s="563">
        <v>14000</v>
      </c>
      <c r="G201" s="87">
        <f t="shared" si="3"/>
        <v>0</v>
      </c>
      <c r="H201" s="509"/>
      <c r="I201" s="525"/>
      <c r="J201" s="667"/>
      <c r="K201" s="667"/>
      <c r="L201" s="667"/>
    </row>
    <row r="202" spans="1:12" ht="15.75" x14ac:dyDescent="0.25">
      <c r="A202" s="87">
        <v>198</v>
      </c>
      <c r="B202" s="87" t="s">
        <v>1198</v>
      </c>
      <c r="C202" s="555">
        <v>9144</v>
      </c>
      <c r="D202" s="563">
        <v>15000</v>
      </c>
      <c r="E202" s="573">
        <v>159</v>
      </c>
      <c r="F202" s="563">
        <v>15000</v>
      </c>
      <c r="G202" s="87">
        <f t="shared" si="3"/>
        <v>0</v>
      </c>
      <c r="H202" s="509"/>
      <c r="I202" s="525"/>
      <c r="J202" s="667"/>
      <c r="K202" s="667"/>
      <c r="L202" s="667"/>
    </row>
    <row r="203" spans="1:12" ht="15.75" x14ac:dyDescent="0.25">
      <c r="A203" s="87">
        <v>199</v>
      </c>
      <c r="B203" s="87" t="s">
        <v>1198</v>
      </c>
      <c r="C203" s="555">
        <v>1309</v>
      </c>
      <c r="D203" s="563">
        <v>24000</v>
      </c>
      <c r="E203" s="573">
        <v>255</v>
      </c>
      <c r="F203" s="563">
        <v>24000</v>
      </c>
      <c r="G203" s="87">
        <f t="shared" si="3"/>
        <v>0</v>
      </c>
      <c r="H203" s="509"/>
      <c r="I203" s="525"/>
      <c r="J203" s="667"/>
      <c r="K203" s="667"/>
      <c r="L203" s="667"/>
    </row>
    <row r="204" spans="1:12" ht="15.75" x14ac:dyDescent="0.25">
      <c r="A204" s="87">
        <v>200</v>
      </c>
      <c r="B204" s="87" t="s">
        <v>1198</v>
      </c>
      <c r="C204" s="555">
        <v>4270</v>
      </c>
      <c r="D204" s="563">
        <v>10000</v>
      </c>
      <c r="E204" s="573">
        <v>106</v>
      </c>
      <c r="F204" s="563">
        <v>10000</v>
      </c>
      <c r="G204" s="87">
        <f t="shared" si="3"/>
        <v>0</v>
      </c>
      <c r="H204" s="509"/>
      <c r="I204" s="525"/>
      <c r="J204" s="667"/>
      <c r="K204" s="667"/>
      <c r="L204" s="667"/>
    </row>
    <row r="205" spans="1:12" ht="15.75" x14ac:dyDescent="0.25">
      <c r="A205" s="87">
        <v>201</v>
      </c>
      <c r="B205" s="87" t="s">
        <v>1198</v>
      </c>
      <c r="C205" s="555">
        <v>5036</v>
      </c>
      <c r="D205" s="563">
        <v>10000</v>
      </c>
      <c r="E205" s="573">
        <v>106</v>
      </c>
      <c r="F205" s="563">
        <v>10000</v>
      </c>
      <c r="G205" s="87">
        <f t="shared" si="3"/>
        <v>0</v>
      </c>
      <c r="H205" s="509"/>
      <c r="I205" s="525"/>
      <c r="J205" s="667"/>
      <c r="K205" s="667"/>
      <c r="L205" s="667"/>
    </row>
    <row r="206" spans="1:12" ht="15.75" x14ac:dyDescent="0.25">
      <c r="A206" s="87">
        <v>202</v>
      </c>
      <c r="B206" s="87" t="s">
        <v>1198</v>
      </c>
      <c r="C206" s="607" t="s">
        <v>938</v>
      </c>
      <c r="D206" s="563">
        <v>14000</v>
      </c>
      <c r="E206" s="573">
        <v>149</v>
      </c>
      <c r="F206" s="563">
        <v>14000</v>
      </c>
      <c r="G206" s="87">
        <f t="shared" si="3"/>
        <v>0</v>
      </c>
      <c r="H206" s="509"/>
      <c r="I206" s="525"/>
      <c r="J206" s="667"/>
      <c r="K206" s="667"/>
      <c r="L206" s="667"/>
    </row>
    <row r="207" spans="1:12" ht="15.75" x14ac:dyDescent="0.25">
      <c r="A207" s="87">
        <v>203</v>
      </c>
      <c r="B207" s="87" t="s">
        <v>1198</v>
      </c>
      <c r="C207" s="555">
        <v>5235</v>
      </c>
      <c r="D207" s="563">
        <v>20000</v>
      </c>
      <c r="E207" s="573">
        <v>213</v>
      </c>
      <c r="F207" s="563">
        <v>20000</v>
      </c>
      <c r="G207" s="87">
        <f t="shared" si="3"/>
        <v>0</v>
      </c>
      <c r="H207" s="509"/>
      <c r="I207" s="525"/>
      <c r="J207" s="667"/>
      <c r="K207" s="667"/>
      <c r="L207" s="667"/>
    </row>
    <row r="208" spans="1:12" ht="15.75" x14ac:dyDescent="0.25">
      <c r="A208" s="87">
        <v>204</v>
      </c>
      <c r="B208" s="87" t="s">
        <v>1198</v>
      </c>
      <c r="C208" s="555">
        <v>5152</v>
      </c>
      <c r="D208" s="563">
        <v>13000</v>
      </c>
      <c r="E208" s="573">
        <v>144</v>
      </c>
      <c r="F208" s="563">
        <v>13000</v>
      </c>
      <c r="G208" s="87">
        <f t="shared" si="3"/>
        <v>0</v>
      </c>
      <c r="H208" s="509"/>
      <c r="I208" s="525"/>
      <c r="J208" s="667"/>
      <c r="K208" s="667"/>
      <c r="L208" s="667"/>
    </row>
    <row r="209" spans="1:12" ht="15.75" x14ac:dyDescent="0.25">
      <c r="A209" s="87">
        <v>205</v>
      </c>
      <c r="B209" s="87" t="s">
        <v>1198</v>
      </c>
      <c r="C209" s="555">
        <v>3352</v>
      </c>
      <c r="D209" s="563">
        <v>8000</v>
      </c>
      <c r="E209" s="573">
        <v>89</v>
      </c>
      <c r="F209" s="563">
        <v>8000</v>
      </c>
      <c r="G209" s="87">
        <f t="shared" si="3"/>
        <v>0</v>
      </c>
      <c r="H209" s="509"/>
      <c r="I209" s="525"/>
      <c r="J209" s="667"/>
      <c r="K209" s="667"/>
      <c r="L209" s="667"/>
    </row>
    <row r="210" spans="1:12" ht="15.75" x14ac:dyDescent="0.25">
      <c r="A210" s="87">
        <v>206</v>
      </c>
      <c r="B210" s="87" t="s">
        <v>1198</v>
      </c>
      <c r="C210" s="555">
        <v>9857</v>
      </c>
      <c r="D210" s="563">
        <v>15000</v>
      </c>
      <c r="E210" s="573">
        <v>167</v>
      </c>
      <c r="F210" s="563">
        <v>15000</v>
      </c>
      <c r="G210" s="87">
        <f t="shared" si="3"/>
        <v>0</v>
      </c>
      <c r="H210" s="509"/>
      <c r="I210" s="525"/>
      <c r="J210" s="667"/>
      <c r="K210" s="667"/>
      <c r="L210" s="667"/>
    </row>
    <row r="211" spans="1:12" ht="15.75" x14ac:dyDescent="0.25">
      <c r="A211" s="87">
        <v>207</v>
      </c>
      <c r="B211" s="87" t="s">
        <v>1198</v>
      </c>
      <c r="C211" s="555">
        <v>7345</v>
      </c>
      <c r="D211" s="563">
        <v>13000</v>
      </c>
      <c r="E211" s="573">
        <v>144</v>
      </c>
      <c r="F211" s="563">
        <v>13000</v>
      </c>
      <c r="G211" s="87">
        <f t="shared" si="3"/>
        <v>0</v>
      </c>
      <c r="H211" s="509"/>
      <c r="I211" s="525"/>
      <c r="J211" s="667"/>
      <c r="K211" s="667"/>
      <c r="L211" s="667"/>
    </row>
    <row r="212" spans="1:12" ht="15.75" x14ac:dyDescent="0.25">
      <c r="A212" s="87">
        <v>208</v>
      </c>
      <c r="B212" s="87" t="s">
        <v>1198</v>
      </c>
      <c r="C212" s="607" t="s">
        <v>1219</v>
      </c>
      <c r="D212" s="563">
        <v>11000</v>
      </c>
      <c r="E212" s="573">
        <v>122</v>
      </c>
      <c r="F212" s="563">
        <v>11000</v>
      </c>
      <c r="G212" s="87">
        <f t="shared" si="3"/>
        <v>0</v>
      </c>
      <c r="H212" s="509"/>
      <c r="I212" s="525"/>
      <c r="J212" s="667"/>
      <c r="K212" s="667"/>
      <c r="L212" s="667"/>
    </row>
    <row r="213" spans="1:12" ht="15.75" x14ac:dyDescent="0.25">
      <c r="A213" s="87">
        <v>209</v>
      </c>
      <c r="B213" s="87" t="s">
        <v>1198</v>
      </c>
      <c r="C213" s="555">
        <v>2225</v>
      </c>
      <c r="D213" s="563">
        <v>14000</v>
      </c>
      <c r="E213" s="573">
        <v>155</v>
      </c>
      <c r="F213" s="563">
        <v>14000</v>
      </c>
      <c r="G213" s="87">
        <f t="shared" si="3"/>
        <v>0</v>
      </c>
      <c r="H213" s="509"/>
      <c r="I213" s="525"/>
      <c r="J213" s="667"/>
      <c r="K213" s="667"/>
      <c r="L213" s="667"/>
    </row>
    <row r="214" spans="1:12" ht="15.75" x14ac:dyDescent="0.25">
      <c r="A214" s="87">
        <v>210</v>
      </c>
      <c r="B214" s="87" t="s">
        <v>1198</v>
      </c>
      <c r="C214" s="555" t="s">
        <v>30</v>
      </c>
      <c r="D214" s="563">
        <v>5000</v>
      </c>
      <c r="E214" s="573">
        <v>55</v>
      </c>
      <c r="F214" s="563">
        <v>5000</v>
      </c>
      <c r="G214" s="87">
        <f t="shared" si="3"/>
        <v>0</v>
      </c>
      <c r="H214" s="509"/>
      <c r="I214" s="525"/>
      <c r="J214" s="667"/>
      <c r="K214" s="667"/>
      <c r="L214" s="667"/>
    </row>
    <row r="215" spans="1:12" ht="15.75" x14ac:dyDescent="0.25">
      <c r="A215" s="87">
        <v>211</v>
      </c>
      <c r="B215" s="87" t="s">
        <v>1198</v>
      </c>
      <c r="C215" s="607" t="s">
        <v>890</v>
      </c>
      <c r="D215" s="563">
        <v>14000</v>
      </c>
      <c r="E215" s="573">
        <v>155</v>
      </c>
      <c r="F215" s="563">
        <v>14000</v>
      </c>
      <c r="G215" s="87">
        <f t="shared" si="3"/>
        <v>0</v>
      </c>
      <c r="H215" s="509"/>
      <c r="I215" s="525"/>
      <c r="J215" s="667"/>
      <c r="K215" s="667"/>
      <c r="L215" s="667"/>
    </row>
    <row r="216" spans="1:12" ht="15.75" x14ac:dyDescent="0.25">
      <c r="A216" s="87">
        <v>212</v>
      </c>
      <c r="B216" s="87" t="s">
        <v>1198</v>
      </c>
      <c r="C216" s="555">
        <v>9957</v>
      </c>
      <c r="D216" s="563">
        <v>15000</v>
      </c>
      <c r="E216" s="573">
        <v>161</v>
      </c>
      <c r="F216" s="563">
        <v>15000</v>
      </c>
      <c r="G216" s="87">
        <f t="shared" si="3"/>
        <v>0</v>
      </c>
      <c r="H216" s="509"/>
      <c r="I216" s="525"/>
      <c r="J216" s="667"/>
      <c r="K216" s="667"/>
      <c r="L216" s="667"/>
    </row>
    <row r="217" spans="1:12" ht="15.75" x14ac:dyDescent="0.25">
      <c r="A217" s="87">
        <v>213</v>
      </c>
      <c r="B217" s="87" t="s">
        <v>1198</v>
      </c>
      <c r="C217" s="555">
        <v>7568</v>
      </c>
      <c r="D217" s="563">
        <v>25000</v>
      </c>
      <c r="E217" s="573">
        <v>278</v>
      </c>
      <c r="F217" s="563">
        <v>25000</v>
      </c>
      <c r="G217" s="87">
        <f t="shared" si="3"/>
        <v>0</v>
      </c>
      <c r="H217" s="509"/>
      <c r="I217" s="525"/>
      <c r="J217" s="667"/>
      <c r="K217" s="667"/>
      <c r="L217" s="667"/>
    </row>
    <row r="218" spans="1:12" ht="15.75" x14ac:dyDescent="0.25">
      <c r="A218" s="87">
        <v>214</v>
      </c>
      <c r="B218" s="87" t="s">
        <v>1198</v>
      </c>
      <c r="C218" s="555">
        <v>5526</v>
      </c>
      <c r="D218" s="563">
        <v>12000</v>
      </c>
      <c r="E218" s="573">
        <v>133</v>
      </c>
      <c r="F218" s="563">
        <v>12000</v>
      </c>
      <c r="G218" s="87">
        <f t="shared" si="3"/>
        <v>0</v>
      </c>
      <c r="H218" s="509"/>
      <c r="I218" s="525"/>
      <c r="J218" s="667"/>
      <c r="K218" s="667"/>
      <c r="L218" s="667"/>
    </row>
    <row r="219" spans="1:12" ht="15.75" x14ac:dyDescent="0.25">
      <c r="A219" s="87">
        <v>215</v>
      </c>
      <c r="B219" s="87" t="s">
        <v>1198</v>
      </c>
      <c r="C219" s="555">
        <v>5650</v>
      </c>
      <c r="D219" s="563">
        <v>25000</v>
      </c>
      <c r="E219" s="573">
        <v>278</v>
      </c>
      <c r="F219" s="563">
        <v>25000</v>
      </c>
      <c r="G219" s="87">
        <f t="shared" si="3"/>
        <v>0</v>
      </c>
      <c r="H219" s="509"/>
      <c r="I219" s="525"/>
      <c r="J219" s="667"/>
      <c r="K219" s="667"/>
      <c r="L219" s="667"/>
    </row>
    <row r="220" spans="1:12" ht="15.75" x14ac:dyDescent="0.25">
      <c r="A220" s="87">
        <v>216</v>
      </c>
      <c r="B220" s="87" t="s">
        <v>1198</v>
      </c>
      <c r="C220" s="555">
        <v>6350</v>
      </c>
      <c r="D220" s="563">
        <v>10000</v>
      </c>
      <c r="E220" s="573">
        <v>111</v>
      </c>
      <c r="F220" s="563">
        <v>10000</v>
      </c>
      <c r="G220" s="87">
        <f t="shared" si="3"/>
        <v>0</v>
      </c>
      <c r="H220" s="509"/>
      <c r="I220" s="525"/>
      <c r="J220" s="667"/>
      <c r="K220" s="667"/>
      <c r="L220" s="667"/>
    </row>
    <row r="221" spans="1:12" ht="15.75" x14ac:dyDescent="0.25">
      <c r="A221" s="87">
        <v>217</v>
      </c>
      <c r="B221" s="87" t="s">
        <v>1198</v>
      </c>
      <c r="C221" s="555">
        <v>3860</v>
      </c>
      <c r="D221" s="563">
        <v>10000</v>
      </c>
      <c r="E221" s="573">
        <v>111</v>
      </c>
      <c r="F221" s="563">
        <v>10000</v>
      </c>
      <c r="G221" s="87">
        <f t="shared" si="3"/>
        <v>0</v>
      </c>
      <c r="H221" s="509"/>
      <c r="I221" s="525"/>
      <c r="J221" s="667"/>
      <c r="K221" s="667"/>
      <c r="L221" s="667"/>
    </row>
    <row r="222" spans="1:12" ht="15.75" x14ac:dyDescent="0.25">
      <c r="A222" s="87">
        <v>218</v>
      </c>
      <c r="B222" s="87" t="s">
        <v>1198</v>
      </c>
      <c r="C222" s="555">
        <v>2435</v>
      </c>
      <c r="D222" s="563">
        <v>14000</v>
      </c>
      <c r="E222" s="573">
        <v>155</v>
      </c>
      <c r="F222" s="563">
        <v>14000</v>
      </c>
      <c r="G222" s="87">
        <f t="shared" si="3"/>
        <v>0</v>
      </c>
      <c r="H222" s="509"/>
      <c r="I222" s="525"/>
      <c r="J222" s="667"/>
      <c r="K222" s="667"/>
      <c r="L222" s="667"/>
    </row>
    <row r="223" spans="1:12" ht="15.75" x14ac:dyDescent="0.25">
      <c r="A223" s="87">
        <v>219</v>
      </c>
      <c r="B223" s="87" t="s">
        <v>1198</v>
      </c>
      <c r="C223" s="555">
        <v>2481</v>
      </c>
      <c r="D223" s="563">
        <v>7000</v>
      </c>
      <c r="E223" s="573">
        <v>77</v>
      </c>
      <c r="F223" s="563">
        <v>7000</v>
      </c>
      <c r="G223" s="87">
        <f t="shared" si="3"/>
        <v>0</v>
      </c>
      <c r="H223" s="509"/>
      <c r="I223" s="525"/>
      <c r="J223" s="667"/>
      <c r="K223" s="667"/>
      <c r="L223" s="667"/>
    </row>
    <row r="224" spans="1:12" ht="15.75" x14ac:dyDescent="0.25">
      <c r="A224" s="87">
        <v>220</v>
      </c>
      <c r="B224" s="87" t="s">
        <v>1198</v>
      </c>
      <c r="C224" s="555">
        <v>4615</v>
      </c>
      <c r="D224" s="563">
        <v>15000</v>
      </c>
      <c r="E224" s="573">
        <v>167</v>
      </c>
      <c r="F224" s="563">
        <v>15000</v>
      </c>
      <c r="G224" s="87">
        <f t="shared" si="3"/>
        <v>0</v>
      </c>
      <c r="H224" s="509"/>
      <c r="I224" s="525"/>
      <c r="J224" s="667"/>
      <c r="K224" s="667"/>
      <c r="L224" s="667"/>
    </row>
    <row r="225" spans="1:12" ht="15.75" x14ac:dyDescent="0.25">
      <c r="A225" s="87">
        <v>221</v>
      </c>
      <c r="B225" s="87" t="s">
        <v>1198</v>
      </c>
      <c r="C225" s="555">
        <v>1367</v>
      </c>
      <c r="D225" s="563">
        <v>20000</v>
      </c>
      <c r="E225" s="573">
        <v>213</v>
      </c>
      <c r="F225" s="563">
        <v>20000</v>
      </c>
      <c r="G225" s="87">
        <f t="shared" si="3"/>
        <v>0</v>
      </c>
      <c r="H225" s="509"/>
      <c r="I225" s="525"/>
      <c r="J225" s="667"/>
      <c r="K225" s="667"/>
      <c r="L225" s="667"/>
    </row>
    <row r="226" spans="1:12" ht="15.75" x14ac:dyDescent="0.25">
      <c r="A226" s="87">
        <v>222</v>
      </c>
      <c r="B226" s="87" t="s">
        <v>1198</v>
      </c>
      <c r="C226" s="555">
        <v>3135</v>
      </c>
      <c r="D226" s="563">
        <v>22000</v>
      </c>
      <c r="E226" s="573">
        <v>245</v>
      </c>
      <c r="F226" s="563">
        <v>22000</v>
      </c>
      <c r="G226" s="87">
        <f t="shared" si="3"/>
        <v>0</v>
      </c>
      <c r="H226" s="509"/>
      <c r="I226" s="525"/>
      <c r="J226" s="667"/>
      <c r="K226" s="667"/>
      <c r="L226" s="667"/>
    </row>
    <row r="227" spans="1:12" ht="15.75" x14ac:dyDescent="0.25">
      <c r="A227" s="87">
        <v>223</v>
      </c>
      <c r="B227" s="87" t="s">
        <v>1198</v>
      </c>
      <c r="C227" s="555">
        <v>7761</v>
      </c>
      <c r="D227" s="563">
        <v>23000</v>
      </c>
      <c r="E227" s="573">
        <v>256</v>
      </c>
      <c r="F227" s="563">
        <v>23000</v>
      </c>
      <c r="G227" s="87">
        <f t="shared" si="3"/>
        <v>0</v>
      </c>
      <c r="H227" s="509"/>
      <c r="I227" s="525"/>
      <c r="J227" s="667"/>
      <c r="K227" s="667"/>
      <c r="L227" s="667"/>
    </row>
    <row r="228" spans="1:12" ht="15.75" x14ac:dyDescent="0.25">
      <c r="A228" s="87">
        <v>224</v>
      </c>
      <c r="B228" s="87" t="s">
        <v>1198</v>
      </c>
      <c r="C228" s="555">
        <v>2587</v>
      </c>
      <c r="D228" s="563">
        <v>14000</v>
      </c>
      <c r="E228" s="573">
        <v>155</v>
      </c>
      <c r="F228" s="563">
        <v>14000</v>
      </c>
      <c r="G228" s="87">
        <f t="shared" si="3"/>
        <v>0</v>
      </c>
      <c r="H228" s="509"/>
      <c r="I228" s="525"/>
      <c r="J228" s="667"/>
      <c r="K228" s="667"/>
      <c r="L228" s="667"/>
    </row>
    <row r="229" spans="1:12" ht="15.75" x14ac:dyDescent="0.25">
      <c r="A229" s="87">
        <v>225</v>
      </c>
      <c r="B229" s="87" t="s">
        <v>1198</v>
      </c>
      <c r="C229" s="607" t="s">
        <v>928</v>
      </c>
      <c r="D229" s="563">
        <v>27000</v>
      </c>
      <c r="E229" s="573">
        <v>300</v>
      </c>
      <c r="F229" s="563">
        <v>27000</v>
      </c>
      <c r="G229" s="87">
        <f t="shared" si="3"/>
        <v>0</v>
      </c>
      <c r="H229" s="509"/>
      <c r="I229" s="525"/>
      <c r="J229" s="667"/>
      <c r="K229" s="667"/>
      <c r="L229" s="667"/>
    </row>
    <row r="230" spans="1:12" ht="15.75" x14ac:dyDescent="0.25">
      <c r="A230" s="87">
        <v>226</v>
      </c>
      <c r="B230" s="87" t="s">
        <v>1199</v>
      </c>
      <c r="C230" s="555">
        <v>2013</v>
      </c>
      <c r="D230" s="563">
        <v>26000</v>
      </c>
      <c r="E230" s="573">
        <v>289</v>
      </c>
      <c r="F230" s="563">
        <v>26000</v>
      </c>
      <c r="G230" s="87">
        <f t="shared" si="3"/>
        <v>0</v>
      </c>
      <c r="H230" s="509"/>
      <c r="I230" s="525"/>
      <c r="J230" s="667"/>
      <c r="K230" s="667"/>
      <c r="L230" s="667"/>
    </row>
    <row r="231" spans="1:12" ht="15.75" x14ac:dyDescent="0.25">
      <c r="A231" s="87">
        <v>227</v>
      </c>
      <c r="B231" s="87" t="s">
        <v>1199</v>
      </c>
      <c r="C231" s="607" t="s">
        <v>1214</v>
      </c>
      <c r="D231" s="563">
        <v>24000</v>
      </c>
      <c r="E231" s="573">
        <v>267</v>
      </c>
      <c r="F231" s="563">
        <v>24000</v>
      </c>
      <c r="G231" s="87">
        <f t="shared" si="3"/>
        <v>0</v>
      </c>
      <c r="H231" s="509"/>
      <c r="I231" s="525"/>
      <c r="J231" s="667"/>
      <c r="K231" s="667"/>
      <c r="L231" s="667"/>
    </row>
    <row r="232" spans="1:12" ht="15.75" x14ac:dyDescent="0.25">
      <c r="A232" s="87">
        <v>228</v>
      </c>
      <c r="B232" s="87" t="s">
        <v>1199</v>
      </c>
      <c r="C232" s="555">
        <v>8181</v>
      </c>
      <c r="D232" s="563">
        <v>18000</v>
      </c>
      <c r="E232" s="573">
        <v>200</v>
      </c>
      <c r="F232" s="563">
        <v>18000</v>
      </c>
      <c r="G232" s="87">
        <f t="shared" si="3"/>
        <v>0</v>
      </c>
      <c r="H232" s="509"/>
      <c r="I232" s="525"/>
      <c r="J232" s="667"/>
      <c r="K232" s="667"/>
      <c r="L232" s="667"/>
    </row>
    <row r="233" spans="1:12" ht="15.75" x14ac:dyDescent="0.25">
      <c r="A233" s="87">
        <v>229</v>
      </c>
      <c r="B233" s="87" t="s">
        <v>1199</v>
      </c>
      <c r="C233" s="607" t="s">
        <v>1220</v>
      </c>
      <c r="D233" s="563">
        <v>10000</v>
      </c>
      <c r="E233" s="573">
        <v>111</v>
      </c>
      <c r="F233" s="563">
        <v>10000</v>
      </c>
      <c r="G233" s="87">
        <f t="shared" si="3"/>
        <v>0</v>
      </c>
      <c r="H233" s="509"/>
      <c r="I233" s="525"/>
      <c r="J233" s="667"/>
      <c r="K233" s="667"/>
      <c r="L233" s="667"/>
    </row>
    <row r="234" spans="1:12" ht="15.75" x14ac:dyDescent="0.25">
      <c r="A234" s="87">
        <v>230</v>
      </c>
      <c r="B234" s="87" t="s">
        <v>1199</v>
      </c>
      <c r="C234" s="555">
        <v>1500</v>
      </c>
      <c r="D234" s="563">
        <v>21000</v>
      </c>
      <c r="E234" s="573">
        <v>222</v>
      </c>
      <c r="F234" s="563">
        <v>21000</v>
      </c>
      <c r="G234" s="87">
        <f t="shared" si="3"/>
        <v>0</v>
      </c>
      <c r="H234" s="509"/>
      <c r="I234" s="525"/>
      <c r="J234" s="667"/>
      <c r="K234" s="667"/>
      <c r="L234" s="667"/>
    </row>
    <row r="235" spans="1:12" ht="15.75" x14ac:dyDescent="0.25">
      <c r="A235" s="87">
        <v>231</v>
      </c>
      <c r="B235" s="87" t="s">
        <v>1199</v>
      </c>
      <c r="C235" s="555">
        <v>3715</v>
      </c>
      <c r="D235" s="563">
        <v>27000</v>
      </c>
      <c r="E235" s="573">
        <v>300</v>
      </c>
      <c r="F235" s="563">
        <v>27000</v>
      </c>
      <c r="G235" s="87">
        <f t="shared" si="3"/>
        <v>0</v>
      </c>
      <c r="H235" s="509"/>
      <c r="I235" s="525"/>
      <c r="J235" s="667"/>
      <c r="K235" s="667"/>
      <c r="L235" s="667"/>
    </row>
    <row r="236" spans="1:12" ht="15.75" x14ac:dyDescent="0.25">
      <c r="A236" s="87">
        <v>232</v>
      </c>
      <c r="B236" s="87" t="s">
        <v>1199</v>
      </c>
      <c r="C236" s="555">
        <v>7827</v>
      </c>
      <c r="D236" s="563">
        <v>10000</v>
      </c>
      <c r="E236" s="573">
        <v>111</v>
      </c>
      <c r="F236" s="563">
        <v>10000</v>
      </c>
      <c r="G236" s="87">
        <f t="shared" si="3"/>
        <v>0</v>
      </c>
      <c r="H236" s="509"/>
      <c r="I236" s="525"/>
      <c r="J236" s="667"/>
      <c r="K236" s="667"/>
      <c r="L236" s="667"/>
    </row>
    <row r="237" spans="1:12" ht="15.75" x14ac:dyDescent="0.25">
      <c r="A237" s="87">
        <v>233</v>
      </c>
      <c r="B237" s="87" t="s">
        <v>1199</v>
      </c>
      <c r="C237" s="555">
        <v>2089</v>
      </c>
      <c r="D237" s="563">
        <v>17000</v>
      </c>
      <c r="E237" s="573">
        <v>189</v>
      </c>
      <c r="F237" s="563">
        <v>17000</v>
      </c>
      <c r="G237" s="87">
        <f t="shared" si="3"/>
        <v>0</v>
      </c>
      <c r="H237" s="509"/>
      <c r="I237" s="525"/>
      <c r="J237" s="667"/>
      <c r="K237" s="667"/>
      <c r="L237" s="667"/>
    </row>
    <row r="238" spans="1:12" ht="15.75" x14ac:dyDescent="0.25">
      <c r="A238" s="87">
        <v>234</v>
      </c>
      <c r="B238" s="87" t="s">
        <v>1199</v>
      </c>
      <c r="C238" s="555">
        <v>9705</v>
      </c>
      <c r="D238" s="563">
        <v>20000</v>
      </c>
      <c r="E238" s="573">
        <v>222</v>
      </c>
      <c r="F238" s="563">
        <v>20000</v>
      </c>
      <c r="G238" s="87">
        <f t="shared" si="3"/>
        <v>0</v>
      </c>
      <c r="H238" s="509"/>
      <c r="I238" s="525"/>
      <c r="J238" s="667"/>
      <c r="K238" s="667"/>
      <c r="L238" s="667"/>
    </row>
    <row r="239" spans="1:12" ht="15.75" x14ac:dyDescent="0.25">
      <c r="A239" s="87">
        <v>235</v>
      </c>
      <c r="B239" s="87" t="s">
        <v>1199</v>
      </c>
      <c r="C239" s="607" t="s">
        <v>1212</v>
      </c>
      <c r="D239" s="563">
        <v>22000</v>
      </c>
      <c r="E239" s="573">
        <v>245</v>
      </c>
      <c r="F239" s="563">
        <v>22000</v>
      </c>
      <c r="G239" s="87">
        <f t="shared" si="3"/>
        <v>0</v>
      </c>
      <c r="H239" s="509"/>
      <c r="I239" s="525"/>
      <c r="J239" s="667"/>
      <c r="K239" s="667"/>
      <c r="L239" s="667"/>
    </row>
    <row r="240" spans="1:12" ht="15.75" x14ac:dyDescent="0.25">
      <c r="A240" s="87">
        <v>236</v>
      </c>
      <c r="B240" s="87" t="s">
        <v>1199</v>
      </c>
      <c r="C240" s="555">
        <v>2475</v>
      </c>
      <c r="D240" s="563">
        <v>22000</v>
      </c>
      <c r="E240" s="573">
        <v>245</v>
      </c>
      <c r="F240" s="563">
        <v>22000</v>
      </c>
      <c r="G240" s="87">
        <f t="shared" si="3"/>
        <v>0</v>
      </c>
      <c r="H240" s="509"/>
      <c r="I240" s="525"/>
      <c r="J240" s="667"/>
      <c r="K240" s="667"/>
      <c r="L240" s="667"/>
    </row>
    <row r="241" spans="1:12" ht="15.75" x14ac:dyDescent="0.25">
      <c r="A241" s="87">
        <v>237</v>
      </c>
      <c r="B241" s="87" t="s">
        <v>1199</v>
      </c>
      <c r="C241" s="555">
        <v>3887</v>
      </c>
      <c r="D241" s="563">
        <v>16000</v>
      </c>
      <c r="E241" s="573">
        <v>178</v>
      </c>
      <c r="F241" s="563">
        <v>16000</v>
      </c>
      <c r="G241" s="87">
        <f t="shared" si="3"/>
        <v>0</v>
      </c>
      <c r="H241" s="509"/>
      <c r="I241" s="525"/>
      <c r="J241" s="667"/>
      <c r="K241" s="667"/>
      <c r="L241" s="667"/>
    </row>
    <row r="242" spans="1:12" ht="15.75" x14ac:dyDescent="0.25">
      <c r="A242" s="87">
        <v>238</v>
      </c>
      <c r="B242" s="87" t="s">
        <v>1199</v>
      </c>
      <c r="C242" s="555">
        <v>1827</v>
      </c>
      <c r="D242" s="563">
        <v>18000</v>
      </c>
      <c r="E242" s="573">
        <v>200</v>
      </c>
      <c r="F242" s="563">
        <v>18000</v>
      </c>
      <c r="G242" s="87">
        <f t="shared" si="3"/>
        <v>0</v>
      </c>
      <c r="H242" s="509"/>
      <c r="I242" s="525"/>
      <c r="J242" s="667"/>
      <c r="K242" s="667"/>
      <c r="L242" s="667"/>
    </row>
    <row r="243" spans="1:12" ht="15.75" x14ac:dyDescent="0.25">
      <c r="A243" s="87">
        <v>239</v>
      </c>
      <c r="B243" s="87" t="s">
        <v>1199</v>
      </c>
      <c r="C243" s="555">
        <v>8381</v>
      </c>
      <c r="D243" s="563">
        <v>8000</v>
      </c>
      <c r="E243" s="573">
        <v>89</v>
      </c>
      <c r="F243" s="563">
        <v>8000</v>
      </c>
      <c r="G243" s="87">
        <f t="shared" si="3"/>
        <v>0</v>
      </c>
      <c r="H243" s="509"/>
      <c r="I243" s="525"/>
      <c r="J243" s="667"/>
      <c r="K243" s="667"/>
      <c r="L243" s="667"/>
    </row>
    <row r="244" spans="1:12" ht="15.75" x14ac:dyDescent="0.25">
      <c r="A244" s="87">
        <v>240</v>
      </c>
      <c r="B244" s="87" t="s">
        <v>1199</v>
      </c>
      <c r="C244" s="555">
        <v>8762</v>
      </c>
      <c r="D244" s="563">
        <v>24000</v>
      </c>
      <c r="E244" s="573">
        <v>267</v>
      </c>
      <c r="F244" s="563">
        <v>24000</v>
      </c>
      <c r="G244" s="87">
        <f t="shared" si="3"/>
        <v>0</v>
      </c>
      <c r="H244" s="509"/>
      <c r="I244" s="525"/>
      <c r="J244" s="667"/>
      <c r="K244" s="667"/>
      <c r="L244" s="667"/>
    </row>
    <row r="245" spans="1:12" ht="15.75" x14ac:dyDescent="0.25">
      <c r="A245" s="87">
        <v>241</v>
      </c>
      <c r="B245" s="87" t="s">
        <v>1199</v>
      </c>
      <c r="C245" s="607" t="s">
        <v>1221</v>
      </c>
      <c r="D245" s="563">
        <v>10000</v>
      </c>
      <c r="E245" s="573">
        <v>111</v>
      </c>
      <c r="F245" s="563">
        <v>10000</v>
      </c>
      <c r="G245" s="87">
        <f t="shared" si="3"/>
        <v>0</v>
      </c>
      <c r="H245" s="509"/>
      <c r="I245" s="525"/>
      <c r="J245" s="667"/>
      <c r="K245" s="667"/>
      <c r="L245" s="667"/>
    </row>
    <row r="246" spans="1:12" ht="15.75" x14ac:dyDescent="0.25">
      <c r="A246" s="87">
        <v>242</v>
      </c>
      <c r="B246" s="87" t="s">
        <v>1199</v>
      </c>
      <c r="C246" s="555">
        <v>1515</v>
      </c>
      <c r="D246" s="563">
        <v>22000</v>
      </c>
      <c r="E246" s="573">
        <v>245</v>
      </c>
      <c r="F246" s="563">
        <v>22000</v>
      </c>
      <c r="G246" s="87">
        <f t="shared" si="3"/>
        <v>0</v>
      </c>
      <c r="H246" s="509"/>
      <c r="I246" s="525"/>
      <c r="J246" s="667"/>
      <c r="K246" s="667"/>
      <c r="L246" s="667"/>
    </row>
    <row r="247" spans="1:12" ht="15.75" x14ac:dyDescent="0.25">
      <c r="A247" s="87">
        <v>243</v>
      </c>
      <c r="B247" s="87" t="s">
        <v>1199</v>
      </c>
      <c r="C247" s="555">
        <v>5171</v>
      </c>
      <c r="D247" s="563">
        <v>18000</v>
      </c>
      <c r="E247" s="573">
        <v>200</v>
      </c>
      <c r="F247" s="563">
        <v>18000</v>
      </c>
      <c r="G247" s="87">
        <f t="shared" si="3"/>
        <v>0</v>
      </c>
      <c r="H247" s="509"/>
      <c r="I247" s="525"/>
      <c r="J247" s="667"/>
      <c r="K247" s="667"/>
      <c r="L247" s="667"/>
    </row>
    <row r="248" spans="1:12" ht="15.75" x14ac:dyDescent="0.25">
      <c r="A248" s="87">
        <v>244</v>
      </c>
      <c r="B248" s="87" t="s">
        <v>1199</v>
      </c>
      <c r="C248" s="555">
        <v>4338</v>
      </c>
      <c r="D248" s="563">
        <v>26000</v>
      </c>
      <c r="E248" s="573">
        <v>289</v>
      </c>
      <c r="F248" s="563">
        <v>26000</v>
      </c>
      <c r="G248" s="87">
        <f t="shared" si="3"/>
        <v>0</v>
      </c>
      <c r="H248" s="509"/>
      <c r="I248" s="525"/>
      <c r="J248" s="667"/>
      <c r="K248" s="667"/>
      <c r="L248" s="667"/>
    </row>
    <row r="249" spans="1:12" ht="15.75" x14ac:dyDescent="0.25">
      <c r="A249" s="87">
        <v>245</v>
      </c>
      <c r="B249" s="87" t="s">
        <v>1199</v>
      </c>
      <c r="C249" s="555">
        <v>4024</v>
      </c>
      <c r="D249" s="563">
        <v>20000</v>
      </c>
      <c r="E249" s="573">
        <v>222</v>
      </c>
      <c r="F249" s="563">
        <v>20000</v>
      </c>
      <c r="G249" s="87">
        <f t="shared" si="3"/>
        <v>0</v>
      </c>
      <c r="H249" s="509"/>
      <c r="I249" s="525"/>
      <c r="J249" s="667"/>
      <c r="K249" s="667"/>
      <c r="L249" s="667"/>
    </row>
    <row r="250" spans="1:12" ht="15.75" x14ac:dyDescent="0.25">
      <c r="A250" s="87">
        <v>246</v>
      </c>
      <c r="B250" s="87" t="s">
        <v>1199</v>
      </c>
      <c r="C250" s="555">
        <v>2141</v>
      </c>
      <c r="D250" s="563">
        <v>15000</v>
      </c>
      <c r="E250" s="573">
        <v>167</v>
      </c>
      <c r="F250" s="563">
        <v>15000</v>
      </c>
      <c r="G250" s="87">
        <f t="shared" si="3"/>
        <v>0</v>
      </c>
      <c r="H250" s="509"/>
      <c r="I250" s="525"/>
      <c r="J250" s="667"/>
      <c r="K250" s="667"/>
      <c r="L250" s="667"/>
    </row>
    <row r="251" spans="1:12" ht="15.75" x14ac:dyDescent="0.25">
      <c r="A251" s="87">
        <v>247</v>
      </c>
      <c r="B251" s="87" t="s">
        <v>1199</v>
      </c>
      <c r="C251" s="555">
        <v>1640</v>
      </c>
      <c r="D251" s="563">
        <v>24000</v>
      </c>
      <c r="E251" s="573">
        <v>250</v>
      </c>
      <c r="F251" s="563">
        <v>24000</v>
      </c>
      <c r="G251" s="87">
        <f t="shared" si="3"/>
        <v>0</v>
      </c>
      <c r="H251" s="509"/>
      <c r="I251" s="525"/>
      <c r="J251" s="667"/>
      <c r="K251" s="667"/>
      <c r="L251" s="667"/>
    </row>
    <row r="252" spans="1:12" ht="15.75" x14ac:dyDescent="0.25">
      <c r="A252" s="87">
        <v>248</v>
      </c>
      <c r="B252" s="87" t="s">
        <v>1199</v>
      </c>
      <c r="C252" s="555">
        <v>8993</v>
      </c>
      <c r="D252" s="563">
        <v>23000</v>
      </c>
      <c r="E252" s="573">
        <v>256</v>
      </c>
      <c r="F252" s="563">
        <v>23000</v>
      </c>
      <c r="G252" s="87">
        <f t="shared" si="3"/>
        <v>0</v>
      </c>
      <c r="H252" s="509"/>
      <c r="I252" s="525"/>
      <c r="J252" s="667"/>
      <c r="K252" s="667"/>
      <c r="L252" s="667"/>
    </row>
    <row r="253" spans="1:12" ht="15.75" x14ac:dyDescent="0.25">
      <c r="A253" s="87">
        <v>249</v>
      </c>
      <c r="B253" s="87" t="s">
        <v>1199</v>
      </c>
      <c r="C253" s="555">
        <v>8017</v>
      </c>
      <c r="D253" s="563">
        <v>10000</v>
      </c>
      <c r="E253" s="573">
        <v>111</v>
      </c>
      <c r="F253" s="563">
        <v>10000</v>
      </c>
      <c r="G253" s="87">
        <f t="shared" si="3"/>
        <v>0</v>
      </c>
      <c r="H253" s="509"/>
      <c r="I253" s="525"/>
      <c r="J253" s="667"/>
      <c r="K253" s="667"/>
      <c r="L253" s="667"/>
    </row>
    <row r="254" spans="1:12" ht="15.75" x14ac:dyDescent="0.25">
      <c r="A254" s="87">
        <v>250</v>
      </c>
      <c r="B254" s="87" t="s">
        <v>1199</v>
      </c>
      <c r="C254" s="555" t="s">
        <v>30</v>
      </c>
      <c r="D254" s="563">
        <v>5000</v>
      </c>
      <c r="E254" s="573">
        <v>55</v>
      </c>
      <c r="F254" s="563">
        <v>5000</v>
      </c>
      <c r="G254" s="87">
        <f t="shared" si="3"/>
        <v>0</v>
      </c>
      <c r="H254" s="509"/>
      <c r="I254" s="525"/>
      <c r="J254" s="667"/>
      <c r="K254" s="667"/>
      <c r="L254" s="667"/>
    </row>
    <row r="255" spans="1:12" ht="15.75" x14ac:dyDescent="0.25">
      <c r="A255" s="87">
        <v>251</v>
      </c>
      <c r="B255" s="87" t="s">
        <v>1199</v>
      </c>
      <c r="C255" s="555" t="s">
        <v>819</v>
      </c>
      <c r="D255" s="563">
        <v>3500</v>
      </c>
      <c r="E255" s="573">
        <v>38</v>
      </c>
      <c r="F255" s="563">
        <v>3500</v>
      </c>
      <c r="G255" s="87">
        <f t="shared" si="3"/>
        <v>0</v>
      </c>
      <c r="H255" s="509"/>
      <c r="I255" s="525"/>
      <c r="J255" s="667"/>
      <c r="K255" s="667"/>
      <c r="L255" s="667"/>
    </row>
    <row r="256" spans="1:12" ht="15.75" x14ac:dyDescent="0.25">
      <c r="A256" s="87">
        <v>252</v>
      </c>
      <c r="B256" s="87" t="s">
        <v>1199</v>
      </c>
      <c r="C256" s="555" t="s">
        <v>30</v>
      </c>
      <c r="D256" s="563">
        <v>4500</v>
      </c>
      <c r="E256" s="573">
        <v>50</v>
      </c>
      <c r="F256" s="563">
        <v>4500</v>
      </c>
      <c r="G256" s="87">
        <f t="shared" si="3"/>
        <v>0</v>
      </c>
      <c r="H256" s="509"/>
      <c r="I256" s="525"/>
      <c r="J256" s="667"/>
      <c r="K256" s="667"/>
      <c r="L256" s="667"/>
    </row>
    <row r="257" spans="1:12" ht="15.75" x14ac:dyDescent="0.25">
      <c r="A257" s="87">
        <v>253</v>
      </c>
      <c r="B257" s="87" t="s">
        <v>1199</v>
      </c>
      <c r="C257" s="555" t="s">
        <v>30</v>
      </c>
      <c r="D257" s="563">
        <v>10000</v>
      </c>
      <c r="E257" s="573">
        <v>111</v>
      </c>
      <c r="F257" s="563">
        <v>10000</v>
      </c>
      <c r="G257" s="87">
        <f t="shared" si="3"/>
        <v>0</v>
      </c>
      <c r="H257" s="509"/>
      <c r="I257" s="525"/>
      <c r="J257" s="667"/>
      <c r="K257" s="667"/>
      <c r="L257" s="667"/>
    </row>
    <row r="258" spans="1:12" ht="15.75" x14ac:dyDescent="0.25">
      <c r="A258" s="87">
        <v>254</v>
      </c>
      <c r="B258" s="87" t="s">
        <v>1199</v>
      </c>
      <c r="C258" s="555">
        <v>9543</v>
      </c>
      <c r="D258" s="563">
        <v>28000</v>
      </c>
      <c r="E258" s="573">
        <v>288</v>
      </c>
      <c r="F258" s="563">
        <v>28000</v>
      </c>
      <c r="G258" s="87">
        <f t="shared" si="3"/>
        <v>0</v>
      </c>
      <c r="H258" s="509"/>
      <c r="I258" s="525"/>
      <c r="J258" s="667"/>
      <c r="K258" s="667"/>
      <c r="L258" s="667"/>
    </row>
    <row r="259" spans="1:12" ht="15.75" x14ac:dyDescent="0.25">
      <c r="A259" s="87">
        <v>255</v>
      </c>
      <c r="B259" s="87" t="s">
        <v>1199</v>
      </c>
      <c r="C259" s="555">
        <v>9700</v>
      </c>
      <c r="D259" s="563">
        <v>33000</v>
      </c>
      <c r="E259" s="573">
        <v>367</v>
      </c>
      <c r="F259" s="563">
        <v>33000</v>
      </c>
      <c r="G259" s="87">
        <f t="shared" si="3"/>
        <v>0</v>
      </c>
      <c r="H259" s="509"/>
      <c r="I259" s="525"/>
      <c r="J259" s="667"/>
      <c r="K259" s="667"/>
      <c r="L259" s="667"/>
    </row>
    <row r="260" spans="1:12" ht="15.75" x14ac:dyDescent="0.25">
      <c r="A260" s="87">
        <v>256</v>
      </c>
      <c r="B260" s="87" t="s">
        <v>1199</v>
      </c>
      <c r="C260" s="555">
        <v>2593</v>
      </c>
      <c r="D260" s="563">
        <v>30000</v>
      </c>
      <c r="E260" s="573">
        <v>334</v>
      </c>
      <c r="F260" s="563">
        <v>30000</v>
      </c>
      <c r="G260" s="87">
        <f t="shared" si="3"/>
        <v>0</v>
      </c>
      <c r="H260" s="509"/>
      <c r="I260" s="525"/>
      <c r="J260" s="667"/>
      <c r="K260" s="667"/>
      <c r="L260" s="667"/>
    </row>
    <row r="261" spans="1:12" ht="15.75" x14ac:dyDescent="0.25">
      <c r="A261" s="87">
        <v>257</v>
      </c>
      <c r="B261" s="87" t="s">
        <v>1199</v>
      </c>
      <c r="C261" s="607" t="s">
        <v>1222</v>
      </c>
      <c r="D261" s="563">
        <v>18000</v>
      </c>
      <c r="E261" s="573">
        <v>200</v>
      </c>
      <c r="F261" s="563">
        <v>18000</v>
      </c>
      <c r="G261" s="87">
        <f t="shared" ref="G261:G324" si="4">D261-F261</f>
        <v>0</v>
      </c>
      <c r="H261" s="509"/>
      <c r="I261" s="525"/>
      <c r="J261" s="667"/>
      <c r="K261" s="667"/>
      <c r="L261" s="667"/>
    </row>
    <row r="262" spans="1:12" ht="15.75" x14ac:dyDescent="0.25">
      <c r="A262" s="87">
        <v>258</v>
      </c>
      <c r="B262" s="87" t="s">
        <v>1199</v>
      </c>
      <c r="C262" s="555">
        <v>3072</v>
      </c>
      <c r="D262" s="563">
        <v>9000</v>
      </c>
      <c r="E262" s="573">
        <v>100</v>
      </c>
      <c r="F262" s="563">
        <v>9000</v>
      </c>
      <c r="G262" s="87">
        <f t="shared" si="4"/>
        <v>0</v>
      </c>
      <c r="H262" s="509"/>
      <c r="I262" s="525"/>
      <c r="J262" s="667"/>
      <c r="K262" s="667"/>
      <c r="L262" s="667"/>
    </row>
    <row r="263" spans="1:12" ht="15.75" x14ac:dyDescent="0.25">
      <c r="A263" s="87"/>
      <c r="B263" s="87" t="s">
        <v>1200</v>
      </c>
      <c r="C263" s="555">
        <v>3072</v>
      </c>
      <c r="D263" s="563">
        <v>9000</v>
      </c>
      <c r="E263" s="573">
        <v>100</v>
      </c>
      <c r="F263" s="563">
        <v>9000</v>
      </c>
      <c r="G263" s="87">
        <f t="shared" si="4"/>
        <v>0</v>
      </c>
      <c r="H263" s="509"/>
      <c r="I263" s="525"/>
      <c r="J263" s="667"/>
      <c r="K263" s="667"/>
      <c r="L263" s="667"/>
    </row>
    <row r="264" spans="1:12" ht="15.75" x14ac:dyDescent="0.25">
      <c r="A264" s="87"/>
      <c r="B264" s="87" t="s">
        <v>1200</v>
      </c>
      <c r="C264" s="555">
        <v>3072</v>
      </c>
      <c r="D264" s="563">
        <v>9000</v>
      </c>
      <c r="E264" s="573">
        <v>100</v>
      </c>
      <c r="F264" s="563">
        <v>9000</v>
      </c>
      <c r="G264" s="87">
        <f t="shared" si="4"/>
        <v>0</v>
      </c>
      <c r="H264" s="509"/>
      <c r="I264" s="525"/>
      <c r="J264" s="667"/>
      <c r="K264" s="667"/>
      <c r="L264" s="667"/>
    </row>
    <row r="265" spans="1:12" ht="15.75" x14ac:dyDescent="0.25">
      <c r="A265" s="87"/>
      <c r="B265" s="87" t="s">
        <v>1200</v>
      </c>
      <c r="C265" s="555">
        <v>3072</v>
      </c>
      <c r="D265" s="563">
        <v>9000</v>
      </c>
      <c r="E265" s="573">
        <v>100</v>
      </c>
      <c r="F265" s="563">
        <v>9000</v>
      </c>
      <c r="G265" s="87">
        <f t="shared" si="4"/>
        <v>0</v>
      </c>
      <c r="H265" s="509"/>
      <c r="I265" s="525"/>
      <c r="J265" s="667"/>
      <c r="K265" s="667"/>
      <c r="L265" s="667"/>
    </row>
    <row r="266" spans="1:12" ht="15.75" x14ac:dyDescent="0.25">
      <c r="A266" s="87"/>
      <c r="B266" s="87" t="s">
        <v>1200</v>
      </c>
      <c r="C266" s="555">
        <v>3072</v>
      </c>
      <c r="D266" s="563">
        <v>9000</v>
      </c>
      <c r="E266" s="573">
        <v>100</v>
      </c>
      <c r="F266" s="563">
        <v>9000</v>
      </c>
      <c r="G266" s="87">
        <f t="shared" si="4"/>
        <v>0</v>
      </c>
      <c r="H266" s="509"/>
      <c r="I266" s="525"/>
      <c r="J266" s="667"/>
      <c r="K266" s="667"/>
      <c r="L266" s="667"/>
    </row>
    <row r="267" spans="1:12" ht="15.75" x14ac:dyDescent="0.25">
      <c r="A267" s="87"/>
      <c r="B267" s="87" t="s">
        <v>1200</v>
      </c>
      <c r="C267" s="555">
        <v>3072</v>
      </c>
      <c r="D267" s="563">
        <v>9000</v>
      </c>
      <c r="E267" s="573">
        <v>100</v>
      </c>
      <c r="F267" s="563">
        <v>9000</v>
      </c>
      <c r="G267" s="87">
        <f t="shared" si="4"/>
        <v>0</v>
      </c>
      <c r="H267" s="509"/>
      <c r="I267" s="525"/>
      <c r="J267" s="667"/>
      <c r="K267" s="667"/>
      <c r="L267" s="667"/>
    </row>
    <row r="268" spans="1:12" ht="15.75" x14ac:dyDescent="0.25">
      <c r="A268" s="87"/>
      <c r="B268" s="87" t="s">
        <v>1200</v>
      </c>
      <c r="C268" s="555">
        <v>3072</v>
      </c>
      <c r="D268" s="563">
        <v>9000</v>
      </c>
      <c r="E268" s="573">
        <v>100</v>
      </c>
      <c r="F268" s="563">
        <v>9000</v>
      </c>
      <c r="G268" s="87">
        <f t="shared" si="4"/>
        <v>0</v>
      </c>
      <c r="H268" s="509"/>
      <c r="I268" s="525"/>
      <c r="J268" s="667"/>
      <c r="K268" s="667"/>
      <c r="L268" s="667"/>
    </row>
    <row r="269" spans="1:12" ht="15.75" x14ac:dyDescent="0.25">
      <c r="A269" s="87"/>
      <c r="B269" s="87" t="s">
        <v>1200</v>
      </c>
      <c r="C269" s="555">
        <v>3072</v>
      </c>
      <c r="D269" s="563">
        <v>9000</v>
      </c>
      <c r="E269" s="573">
        <v>100</v>
      </c>
      <c r="F269" s="563">
        <v>9000</v>
      </c>
      <c r="G269" s="87">
        <f t="shared" si="4"/>
        <v>0</v>
      </c>
      <c r="H269" s="509"/>
      <c r="I269" s="525"/>
      <c r="J269" s="667"/>
      <c r="K269" s="667"/>
      <c r="L269" s="667"/>
    </row>
    <row r="270" spans="1:12" ht="15.75" x14ac:dyDescent="0.25">
      <c r="A270" s="87"/>
      <c r="B270" s="87" t="s">
        <v>1200</v>
      </c>
      <c r="C270" s="555">
        <v>3072</v>
      </c>
      <c r="D270" s="563">
        <v>9000</v>
      </c>
      <c r="E270" s="573">
        <v>100</v>
      </c>
      <c r="F270" s="563">
        <v>9000</v>
      </c>
      <c r="G270" s="87">
        <f t="shared" si="4"/>
        <v>0</v>
      </c>
      <c r="H270" s="509"/>
      <c r="I270" s="525"/>
      <c r="J270" s="667"/>
      <c r="K270" s="667"/>
      <c r="L270" s="667"/>
    </row>
    <row r="271" spans="1:12" ht="15.75" x14ac:dyDescent="0.25">
      <c r="A271" s="87"/>
      <c r="B271" s="87" t="s">
        <v>1200</v>
      </c>
      <c r="C271" s="555">
        <v>3072</v>
      </c>
      <c r="D271" s="563">
        <v>9000</v>
      </c>
      <c r="E271" s="573">
        <v>100</v>
      </c>
      <c r="F271" s="563">
        <v>9000</v>
      </c>
      <c r="G271" s="87">
        <f t="shared" si="4"/>
        <v>0</v>
      </c>
      <c r="H271" s="509"/>
      <c r="I271" s="525"/>
      <c r="J271" s="667"/>
      <c r="K271" s="667"/>
      <c r="L271" s="667"/>
    </row>
    <row r="272" spans="1:12" ht="15.75" x14ac:dyDescent="0.25">
      <c r="A272" s="87"/>
      <c r="B272" s="87" t="s">
        <v>1200</v>
      </c>
      <c r="C272" s="555">
        <v>3072</v>
      </c>
      <c r="D272" s="563">
        <v>9000</v>
      </c>
      <c r="E272" s="573">
        <v>100</v>
      </c>
      <c r="F272" s="563">
        <v>9000</v>
      </c>
      <c r="G272" s="87">
        <f t="shared" si="4"/>
        <v>0</v>
      </c>
      <c r="H272" s="509"/>
      <c r="I272" s="525"/>
      <c r="J272" s="667"/>
      <c r="K272" s="667"/>
      <c r="L272" s="667"/>
    </row>
    <row r="273" spans="1:12" ht="15.75" x14ac:dyDescent="0.25">
      <c r="A273" s="87"/>
      <c r="B273" s="87" t="s">
        <v>1200</v>
      </c>
      <c r="C273" s="555">
        <v>3072</v>
      </c>
      <c r="D273" s="563">
        <v>9000</v>
      </c>
      <c r="E273" s="573">
        <v>100</v>
      </c>
      <c r="F273" s="563">
        <v>9000</v>
      </c>
      <c r="G273" s="87">
        <f t="shared" si="4"/>
        <v>0</v>
      </c>
      <c r="H273" s="509"/>
      <c r="I273" s="525"/>
      <c r="J273" s="667"/>
      <c r="K273" s="667"/>
      <c r="L273" s="667"/>
    </row>
    <row r="274" spans="1:12" ht="15.75" x14ac:dyDescent="0.25">
      <c r="A274" s="87"/>
      <c r="B274" s="87" t="s">
        <v>1200</v>
      </c>
      <c r="C274" s="555">
        <v>3072</v>
      </c>
      <c r="D274" s="563">
        <v>9000</v>
      </c>
      <c r="E274" s="573">
        <v>100</v>
      </c>
      <c r="F274" s="563">
        <v>9000</v>
      </c>
      <c r="G274" s="87">
        <f t="shared" si="4"/>
        <v>0</v>
      </c>
      <c r="H274" s="509"/>
      <c r="I274" s="525"/>
      <c r="J274" s="667"/>
      <c r="K274" s="667"/>
      <c r="L274" s="667"/>
    </row>
    <row r="275" spans="1:12" ht="15.75" x14ac:dyDescent="0.25">
      <c r="A275" s="87"/>
      <c r="B275" s="87" t="s">
        <v>1200</v>
      </c>
      <c r="C275" s="555">
        <v>3072</v>
      </c>
      <c r="D275" s="563">
        <v>9000</v>
      </c>
      <c r="E275" s="573">
        <v>100</v>
      </c>
      <c r="F275" s="563">
        <v>9000</v>
      </c>
      <c r="G275" s="87">
        <f t="shared" si="4"/>
        <v>0</v>
      </c>
      <c r="H275" s="509"/>
      <c r="I275" s="525"/>
      <c r="J275" s="667"/>
      <c r="K275" s="667"/>
      <c r="L275" s="667"/>
    </row>
    <row r="276" spans="1:12" ht="15.75" x14ac:dyDescent="0.25">
      <c r="A276" s="87"/>
      <c r="B276" s="87" t="s">
        <v>1200</v>
      </c>
      <c r="C276" s="555">
        <v>3072</v>
      </c>
      <c r="D276" s="563">
        <v>9000</v>
      </c>
      <c r="E276" s="573">
        <v>100</v>
      </c>
      <c r="F276" s="563">
        <v>9000</v>
      </c>
      <c r="G276" s="87">
        <f t="shared" si="4"/>
        <v>0</v>
      </c>
      <c r="H276" s="509"/>
      <c r="I276" s="525"/>
      <c r="J276" s="667"/>
      <c r="K276" s="667"/>
      <c r="L276" s="667"/>
    </row>
    <row r="277" spans="1:12" ht="15.75" x14ac:dyDescent="0.25">
      <c r="A277" s="87"/>
      <c r="B277" s="87" t="s">
        <v>1200</v>
      </c>
      <c r="C277" s="555">
        <v>3072</v>
      </c>
      <c r="D277" s="563">
        <v>9000</v>
      </c>
      <c r="E277" s="573">
        <v>100</v>
      </c>
      <c r="F277" s="563">
        <v>9000</v>
      </c>
      <c r="G277" s="87">
        <f t="shared" si="4"/>
        <v>0</v>
      </c>
      <c r="H277" s="509"/>
      <c r="I277" s="525"/>
      <c r="J277" s="667"/>
      <c r="K277" s="667"/>
      <c r="L277" s="667"/>
    </row>
    <row r="278" spans="1:12" ht="15.75" x14ac:dyDescent="0.25">
      <c r="A278" s="87"/>
      <c r="B278" s="87" t="s">
        <v>1200</v>
      </c>
      <c r="C278" s="555">
        <v>3072</v>
      </c>
      <c r="D278" s="563">
        <v>9000</v>
      </c>
      <c r="E278" s="573">
        <v>100</v>
      </c>
      <c r="F278" s="563">
        <v>9000</v>
      </c>
      <c r="G278" s="87">
        <f t="shared" si="4"/>
        <v>0</v>
      </c>
      <c r="H278" s="509"/>
      <c r="I278" s="525"/>
      <c r="J278" s="667"/>
      <c r="K278" s="667"/>
      <c r="L278" s="667"/>
    </row>
    <row r="279" spans="1:12" ht="15.75" x14ac:dyDescent="0.25">
      <c r="A279" s="87"/>
      <c r="B279" s="87" t="s">
        <v>1200</v>
      </c>
      <c r="C279" s="555">
        <v>3072</v>
      </c>
      <c r="D279" s="563">
        <v>9000</v>
      </c>
      <c r="E279" s="573">
        <v>100</v>
      </c>
      <c r="F279" s="563">
        <v>9000</v>
      </c>
      <c r="G279" s="87">
        <f t="shared" si="4"/>
        <v>0</v>
      </c>
      <c r="H279" s="509"/>
      <c r="I279" s="525"/>
      <c r="J279" s="667"/>
      <c r="K279" s="667"/>
      <c r="L279" s="667"/>
    </row>
    <row r="280" spans="1:12" ht="15.75" x14ac:dyDescent="0.25">
      <c r="A280" s="87"/>
      <c r="B280" s="87" t="s">
        <v>1200</v>
      </c>
      <c r="C280" s="555">
        <v>3072</v>
      </c>
      <c r="D280" s="563">
        <v>9000</v>
      </c>
      <c r="E280" s="573">
        <v>100</v>
      </c>
      <c r="F280" s="563">
        <v>9000</v>
      </c>
      <c r="G280" s="87">
        <f t="shared" si="4"/>
        <v>0</v>
      </c>
      <c r="H280" s="509"/>
      <c r="I280" s="525"/>
      <c r="J280" s="667"/>
      <c r="K280" s="667"/>
      <c r="L280" s="667"/>
    </row>
    <row r="281" spans="1:12" ht="15.75" x14ac:dyDescent="0.25">
      <c r="A281" s="87"/>
      <c r="B281" s="87" t="s">
        <v>1200</v>
      </c>
      <c r="C281" s="555">
        <v>3072</v>
      </c>
      <c r="D281" s="563">
        <v>9000</v>
      </c>
      <c r="E281" s="573">
        <v>100</v>
      </c>
      <c r="F281" s="563">
        <v>9000</v>
      </c>
      <c r="G281" s="87">
        <f t="shared" si="4"/>
        <v>0</v>
      </c>
      <c r="H281" s="509"/>
      <c r="I281" s="525"/>
      <c r="J281" s="667"/>
      <c r="K281" s="667"/>
      <c r="L281" s="667"/>
    </row>
    <row r="282" spans="1:12" ht="15.75" x14ac:dyDescent="0.25">
      <c r="A282" s="87"/>
      <c r="B282" s="87" t="s">
        <v>1200</v>
      </c>
      <c r="C282" s="555">
        <v>3072</v>
      </c>
      <c r="D282" s="563">
        <v>9000</v>
      </c>
      <c r="E282" s="573">
        <v>100</v>
      </c>
      <c r="F282" s="563">
        <v>9000</v>
      </c>
      <c r="G282" s="87">
        <f t="shared" si="4"/>
        <v>0</v>
      </c>
      <c r="H282" s="509"/>
      <c r="I282" s="525"/>
      <c r="J282" s="667"/>
      <c r="K282" s="667"/>
      <c r="L282" s="667"/>
    </row>
    <row r="283" spans="1:12" ht="15.75" x14ac:dyDescent="0.25">
      <c r="A283" s="87"/>
      <c r="B283" s="87" t="s">
        <v>1200</v>
      </c>
      <c r="C283" s="555">
        <v>3072</v>
      </c>
      <c r="D283" s="563">
        <v>9000</v>
      </c>
      <c r="E283" s="573">
        <v>100</v>
      </c>
      <c r="F283" s="563">
        <v>9000</v>
      </c>
      <c r="G283" s="87">
        <f t="shared" si="4"/>
        <v>0</v>
      </c>
      <c r="H283" s="509"/>
      <c r="I283" s="525"/>
      <c r="J283" s="667"/>
      <c r="K283" s="667"/>
      <c r="L283" s="667"/>
    </row>
    <row r="284" spans="1:12" ht="15.75" x14ac:dyDescent="0.25">
      <c r="A284" s="87"/>
      <c r="B284" s="87" t="s">
        <v>1200</v>
      </c>
      <c r="C284" s="555">
        <v>3072</v>
      </c>
      <c r="D284" s="563">
        <v>9000</v>
      </c>
      <c r="E284" s="573">
        <v>100</v>
      </c>
      <c r="F284" s="563">
        <v>9000</v>
      </c>
      <c r="G284" s="87">
        <f t="shared" si="4"/>
        <v>0</v>
      </c>
      <c r="H284" s="509"/>
      <c r="I284" s="525"/>
      <c r="J284" s="667"/>
      <c r="K284" s="667"/>
      <c r="L284" s="667"/>
    </row>
    <row r="285" spans="1:12" ht="15.75" x14ac:dyDescent="0.25">
      <c r="A285" s="87"/>
      <c r="B285" s="87" t="s">
        <v>1200</v>
      </c>
      <c r="C285" s="555">
        <v>3072</v>
      </c>
      <c r="D285" s="563">
        <v>9000</v>
      </c>
      <c r="E285" s="573">
        <v>100</v>
      </c>
      <c r="F285" s="563">
        <v>9000</v>
      </c>
      <c r="G285" s="87">
        <f t="shared" si="4"/>
        <v>0</v>
      </c>
      <c r="H285" s="509"/>
      <c r="I285" s="525"/>
      <c r="J285" s="667"/>
      <c r="K285" s="667"/>
      <c r="L285" s="667"/>
    </row>
    <row r="286" spans="1:12" ht="15.75" x14ac:dyDescent="0.25">
      <c r="A286" s="87"/>
      <c r="B286" s="87" t="s">
        <v>1200</v>
      </c>
      <c r="C286" s="555">
        <v>3072</v>
      </c>
      <c r="D286" s="563">
        <v>9000</v>
      </c>
      <c r="E286" s="573">
        <v>100</v>
      </c>
      <c r="F286" s="563">
        <v>9000</v>
      </c>
      <c r="G286" s="87">
        <f t="shared" si="4"/>
        <v>0</v>
      </c>
      <c r="H286" s="509"/>
      <c r="I286" s="525"/>
      <c r="J286" s="667"/>
      <c r="K286" s="667"/>
      <c r="L286" s="667"/>
    </row>
    <row r="287" spans="1:12" ht="15.75" x14ac:dyDescent="0.25">
      <c r="A287" s="87"/>
      <c r="B287" s="87" t="s">
        <v>1200</v>
      </c>
      <c r="C287" s="555">
        <v>3072</v>
      </c>
      <c r="D287" s="563">
        <v>9000</v>
      </c>
      <c r="E287" s="573">
        <v>100</v>
      </c>
      <c r="F287" s="563">
        <v>9000</v>
      </c>
      <c r="G287" s="87">
        <f t="shared" si="4"/>
        <v>0</v>
      </c>
      <c r="H287" s="509"/>
      <c r="I287" s="525"/>
      <c r="J287" s="667"/>
      <c r="K287" s="667"/>
      <c r="L287" s="667"/>
    </row>
    <row r="288" spans="1:12" ht="15.75" x14ac:dyDescent="0.25">
      <c r="A288" s="87"/>
      <c r="B288" s="87" t="s">
        <v>1200</v>
      </c>
      <c r="C288" s="555">
        <v>3072</v>
      </c>
      <c r="D288" s="563">
        <v>9000</v>
      </c>
      <c r="E288" s="573">
        <v>100</v>
      </c>
      <c r="F288" s="563">
        <v>9000</v>
      </c>
      <c r="G288" s="87">
        <f t="shared" si="4"/>
        <v>0</v>
      </c>
      <c r="H288" s="509"/>
      <c r="I288" s="525"/>
      <c r="J288" s="667"/>
      <c r="K288" s="667"/>
      <c r="L288" s="667"/>
    </row>
    <row r="289" spans="1:12" ht="15.75" x14ac:dyDescent="0.25">
      <c r="A289" s="87"/>
      <c r="B289" s="87" t="s">
        <v>1200</v>
      </c>
      <c r="C289" s="555">
        <v>3072</v>
      </c>
      <c r="D289" s="563">
        <v>9000</v>
      </c>
      <c r="E289" s="573">
        <v>100</v>
      </c>
      <c r="F289" s="563">
        <v>9000</v>
      </c>
      <c r="G289" s="87">
        <f t="shared" si="4"/>
        <v>0</v>
      </c>
      <c r="H289" s="509"/>
      <c r="I289" s="525"/>
      <c r="J289" s="667"/>
      <c r="K289" s="667"/>
      <c r="L289" s="667"/>
    </row>
    <row r="290" spans="1:12" ht="15.75" x14ac:dyDescent="0.25">
      <c r="A290" s="87"/>
      <c r="B290" s="87" t="s">
        <v>1200</v>
      </c>
      <c r="C290" s="555">
        <v>3072</v>
      </c>
      <c r="D290" s="563">
        <v>9000</v>
      </c>
      <c r="E290" s="573">
        <v>100</v>
      </c>
      <c r="F290" s="563">
        <v>9000</v>
      </c>
      <c r="G290" s="87">
        <f t="shared" si="4"/>
        <v>0</v>
      </c>
      <c r="H290" s="509"/>
      <c r="I290" s="525"/>
      <c r="J290" s="667"/>
      <c r="K290" s="667"/>
      <c r="L290" s="667"/>
    </row>
    <row r="291" spans="1:12" ht="15.75" x14ac:dyDescent="0.25">
      <c r="A291" s="87">
        <v>259</v>
      </c>
      <c r="B291" s="87" t="s">
        <v>1200</v>
      </c>
      <c r="C291" s="555">
        <v>8105</v>
      </c>
      <c r="D291" s="563">
        <v>13500</v>
      </c>
      <c r="E291" s="573">
        <v>150</v>
      </c>
      <c r="F291" s="563">
        <v>13500</v>
      </c>
      <c r="G291" s="87">
        <f t="shared" si="4"/>
        <v>0</v>
      </c>
      <c r="H291" s="509"/>
      <c r="I291" s="525"/>
      <c r="J291" s="667"/>
      <c r="K291" s="667"/>
      <c r="L291" s="667"/>
    </row>
    <row r="292" spans="1:12" ht="15.75" x14ac:dyDescent="0.25">
      <c r="A292" s="87">
        <v>260</v>
      </c>
      <c r="B292" s="87" t="s">
        <v>1200</v>
      </c>
      <c r="C292" s="555">
        <v>1491</v>
      </c>
      <c r="D292" s="563">
        <v>14000</v>
      </c>
      <c r="E292" s="573">
        <v>155</v>
      </c>
      <c r="F292" s="563">
        <v>14000</v>
      </c>
      <c r="G292" s="87">
        <f t="shared" si="4"/>
        <v>0</v>
      </c>
      <c r="H292" s="509"/>
      <c r="I292" s="525"/>
      <c r="J292" s="667"/>
      <c r="K292" s="667"/>
      <c r="L292" s="667"/>
    </row>
    <row r="293" spans="1:12" ht="15.75" x14ac:dyDescent="0.25">
      <c r="A293" s="87">
        <v>261</v>
      </c>
      <c r="B293" s="87" t="s">
        <v>1200</v>
      </c>
      <c r="C293" s="555">
        <v>2497</v>
      </c>
      <c r="D293" s="563">
        <v>17000</v>
      </c>
      <c r="E293" s="573">
        <v>189</v>
      </c>
      <c r="F293" s="563">
        <v>17000</v>
      </c>
      <c r="G293" s="87">
        <f t="shared" si="4"/>
        <v>0</v>
      </c>
      <c r="H293" s="509"/>
      <c r="I293" s="525"/>
      <c r="J293" s="667"/>
      <c r="K293" s="667"/>
      <c r="L293" s="667"/>
    </row>
    <row r="294" spans="1:12" ht="15.75" x14ac:dyDescent="0.25">
      <c r="A294" s="87">
        <v>262</v>
      </c>
      <c r="B294" s="87" t="s">
        <v>1200</v>
      </c>
      <c r="C294" s="555">
        <v>6957</v>
      </c>
      <c r="D294" s="563">
        <v>22000</v>
      </c>
      <c r="E294" s="573">
        <v>233</v>
      </c>
      <c r="F294" s="563">
        <v>22000</v>
      </c>
      <c r="G294" s="87">
        <f t="shared" si="4"/>
        <v>0</v>
      </c>
      <c r="H294" s="509"/>
      <c r="I294" s="525"/>
      <c r="J294" s="667"/>
      <c r="K294" s="667"/>
      <c r="L294" s="667"/>
    </row>
    <row r="295" spans="1:12" ht="15.75" x14ac:dyDescent="0.25">
      <c r="A295" s="87">
        <v>263</v>
      </c>
      <c r="B295" s="87" t="s">
        <v>1200</v>
      </c>
      <c r="C295" s="555">
        <v>1377</v>
      </c>
      <c r="D295" s="563">
        <v>13000</v>
      </c>
      <c r="E295" s="573">
        <v>144</v>
      </c>
      <c r="F295" s="563">
        <v>13000</v>
      </c>
      <c r="G295" s="87">
        <f t="shared" si="4"/>
        <v>0</v>
      </c>
      <c r="H295" s="509"/>
      <c r="I295" s="525"/>
      <c r="J295" s="667"/>
      <c r="K295" s="667"/>
      <c r="L295" s="667"/>
    </row>
    <row r="296" spans="1:12" ht="15.75" x14ac:dyDescent="0.25">
      <c r="A296" s="87">
        <v>264</v>
      </c>
      <c r="B296" s="87" t="s">
        <v>1200</v>
      </c>
      <c r="C296" s="555">
        <v>6625</v>
      </c>
      <c r="D296" s="563">
        <v>30000</v>
      </c>
      <c r="E296" s="573">
        <v>318</v>
      </c>
      <c r="F296" s="563">
        <v>30000</v>
      </c>
      <c r="G296" s="87">
        <f t="shared" si="4"/>
        <v>0</v>
      </c>
      <c r="H296" s="509"/>
      <c r="I296" s="525"/>
      <c r="J296" s="667"/>
      <c r="K296" s="667"/>
      <c r="L296" s="667"/>
    </row>
    <row r="297" spans="1:12" ht="15.75" x14ac:dyDescent="0.25">
      <c r="A297" s="87">
        <v>265</v>
      </c>
      <c r="B297" s="87" t="s">
        <v>1200</v>
      </c>
      <c r="C297" s="607" t="s">
        <v>1077</v>
      </c>
      <c r="D297" s="563">
        <v>8000</v>
      </c>
      <c r="E297" s="573">
        <v>89</v>
      </c>
      <c r="F297" s="563">
        <v>8000</v>
      </c>
      <c r="G297" s="87">
        <f t="shared" si="4"/>
        <v>0</v>
      </c>
      <c r="H297" s="509"/>
      <c r="I297" s="525"/>
      <c r="J297" s="667"/>
      <c r="K297" s="667"/>
      <c r="L297" s="667"/>
    </row>
    <row r="298" spans="1:12" ht="15.75" x14ac:dyDescent="0.25">
      <c r="A298" s="87">
        <v>266</v>
      </c>
      <c r="B298" s="87" t="s">
        <v>1200</v>
      </c>
      <c r="C298" s="555">
        <v>4846</v>
      </c>
      <c r="D298" s="563">
        <v>22000</v>
      </c>
      <c r="E298" s="573">
        <v>235</v>
      </c>
      <c r="F298" s="563">
        <v>22000</v>
      </c>
      <c r="G298" s="87">
        <f t="shared" si="4"/>
        <v>0</v>
      </c>
      <c r="H298" s="509"/>
      <c r="I298" s="525"/>
      <c r="J298" s="667"/>
      <c r="K298" s="667"/>
      <c r="L298" s="667"/>
    </row>
    <row r="299" spans="1:12" ht="15.75" x14ac:dyDescent="0.25">
      <c r="A299" s="87">
        <v>267</v>
      </c>
      <c r="B299" s="87" t="s">
        <v>1200</v>
      </c>
      <c r="C299" s="555" t="s">
        <v>66</v>
      </c>
      <c r="D299" s="563">
        <v>120</v>
      </c>
      <c r="E299" s="573">
        <v>1</v>
      </c>
      <c r="F299" s="563">
        <v>120</v>
      </c>
      <c r="G299" s="87">
        <f t="shared" si="4"/>
        <v>0</v>
      </c>
      <c r="H299" s="509"/>
      <c r="I299" s="525"/>
      <c r="J299" s="667"/>
      <c r="K299" s="667"/>
      <c r="L299" s="667"/>
    </row>
    <row r="300" spans="1:12" ht="15.75" x14ac:dyDescent="0.25">
      <c r="A300" s="87">
        <v>268</v>
      </c>
      <c r="B300" s="87" t="s">
        <v>1200</v>
      </c>
      <c r="C300" s="555">
        <v>5445</v>
      </c>
      <c r="D300" s="563">
        <v>24000</v>
      </c>
      <c r="E300" s="573">
        <v>267</v>
      </c>
      <c r="F300" s="563">
        <v>24000</v>
      </c>
      <c r="G300" s="87">
        <f t="shared" si="4"/>
        <v>0</v>
      </c>
      <c r="H300" s="509"/>
      <c r="I300" s="525"/>
      <c r="J300" s="667"/>
      <c r="K300" s="667"/>
      <c r="L300" s="667"/>
    </row>
    <row r="301" spans="1:12" ht="15.75" x14ac:dyDescent="0.25">
      <c r="A301" s="87">
        <v>269</v>
      </c>
      <c r="B301" s="87" t="s">
        <v>1200</v>
      </c>
      <c r="C301" s="555">
        <v>1681</v>
      </c>
      <c r="D301" s="563">
        <v>20000</v>
      </c>
      <c r="E301" s="573">
        <v>222</v>
      </c>
      <c r="F301" s="563">
        <v>20000</v>
      </c>
      <c r="G301" s="87">
        <f t="shared" si="4"/>
        <v>0</v>
      </c>
      <c r="H301" s="509"/>
      <c r="I301" s="525"/>
      <c r="J301" s="667"/>
      <c r="K301" s="667"/>
      <c r="L301" s="667"/>
    </row>
    <row r="302" spans="1:12" ht="15.75" x14ac:dyDescent="0.25">
      <c r="A302" s="87">
        <v>270</v>
      </c>
      <c r="B302" s="87" t="s">
        <v>1200</v>
      </c>
      <c r="C302" s="555">
        <v>4268</v>
      </c>
      <c r="D302" s="563">
        <v>18000</v>
      </c>
      <c r="E302" s="573">
        <v>200</v>
      </c>
      <c r="F302" s="563">
        <v>18000</v>
      </c>
      <c r="G302" s="87">
        <f t="shared" si="4"/>
        <v>0</v>
      </c>
      <c r="H302" s="509"/>
      <c r="I302" s="525"/>
      <c r="J302" s="667"/>
      <c r="K302" s="667"/>
      <c r="L302" s="667"/>
    </row>
    <row r="303" spans="1:12" ht="15.75" x14ac:dyDescent="0.25">
      <c r="A303" s="87">
        <v>271</v>
      </c>
      <c r="B303" s="87" t="s">
        <v>1200</v>
      </c>
      <c r="C303" s="555">
        <v>6389</v>
      </c>
      <c r="D303" s="563">
        <v>12000</v>
      </c>
      <c r="E303" s="573">
        <v>133</v>
      </c>
      <c r="F303" s="563">
        <v>12000</v>
      </c>
      <c r="G303" s="87">
        <f t="shared" si="4"/>
        <v>0</v>
      </c>
      <c r="H303" s="509"/>
      <c r="I303" s="525"/>
      <c r="J303" s="667"/>
      <c r="K303" s="667"/>
      <c r="L303" s="667"/>
    </row>
    <row r="304" spans="1:12" ht="15.75" x14ac:dyDescent="0.25">
      <c r="A304" s="87">
        <v>272</v>
      </c>
      <c r="B304" s="87" t="s">
        <v>1200</v>
      </c>
      <c r="C304" s="555">
        <v>5443</v>
      </c>
      <c r="D304" s="563">
        <v>25000</v>
      </c>
      <c r="E304" s="573">
        <v>278</v>
      </c>
      <c r="F304" s="563">
        <v>25000</v>
      </c>
      <c r="G304" s="87">
        <f t="shared" si="4"/>
        <v>0</v>
      </c>
      <c r="H304" s="509"/>
      <c r="I304" s="525"/>
      <c r="J304" s="667"/>
      <c r="K304" s="667"/>
      <c r="L304" s="667"/>
    </row>
    <row r="305" spans="1:12" ht="15.75" x14ac:dyDescent="0.25">
      <c r="A305" s="87">
        <v>273</v>
      </c>
      <c r="B305" s="87" t="s">
        <v>1200</v>
      </c>
      <c r="C305" s="555">
        <v>5372</v>
      </c>
      <c r="D305" s="563">
        <v>10000</v>
      </c>
      <c r="E305" s="573">
        <v>111</v>
      </c>
      <c r="F305" s="563">
        <v>10000</v>
      </c>
      <c r="G305" s="87">
        <f t="shared" si="4"/>
        <v>0</v>
      </c>
      <c r="H305" s="509"/>
      <c r="I305" s="525"/>
      <c r="J305" s="667"/>
      <c r="K305" s="667"/>
      <c r="L305" s="667"/>
    </row>
    <row r="306" spans="1:12" ht="15.75" x14ac:dyDescent="0.25">
      <c r="A306" s="87">
        <v>274</v>
      </c>
      <c r="B306" s="87" t="s">
        <v>1200</v>
      </c>
      <c r="C306" s="555">
        <v>5114</v>
      </c>
      <c r="D306" s="563">
        <v>10000</v>
      </c>
      <c r="E306" s="573">
        <v>111</v>
      </c>
      <c r="F306" s="563">
        <v>10000</v>
      </c>
      <c r="G306" s="87">
        <f t="shared" si="4"/>
        <v>0</v>
      </c>
      <c r="H306" s="509"/>
      <c r="I306" s="525"/>
      <c r="J306" s="667"/>
      <c r="K306" s="667"/>
      <c r="L306" s="667"/>
    </row>
    <row r="307" spans="1:12" ht="15.75" x14ac:dyDescent="0.25">
      <c r="A307" s="87">
        <v>275</v>
      </c>
      <c r="B307" s="87" t="s">
        <v>1200</v>
      </c>
      <c r="C307" s="555" t="s">
        <v>30</v>
      </c>
      <c r="D307" s="563">
        <v>5000</v>
      </c>
      <c r="E307" s="573">
        <v>55</v>
      </c>
      <c r="F307" s="563">
        <v>5000</v>
      </c>
      <c r="G307" s="87">
        <f t="shared" si="4"/>
        <v>0</v>
      </c>
      <c r="H307" s="509"/>
      <c r="I307" s="525"/>
      <c r="J307" s="667"/>
      <c r="K307" s="667"/>
      <c r="L307" s="667"/>
    </row>
    <row r="308" spans="1:12" ht="15.75" x14ac:dyDescent="0.25">
      <c r="A308" s="87">
        <v>276</v>
      </c>
      <c r="B308" s="87" t="s">
        <v>1223</v>
      </c>
      <c r="C308" s="555" t="s">
        <v>66</v>
      </c>
      <c r="D308" s="563">
        <v>210</v>
      </c>
      <c r="E308" s="573">
        <v>2.0499999999999998</v>
      </c>
      <c r="F308" s="563">
        <v>210</v>
      </c>
      <c r="G308" s="87">
        <f t="shared" si="4"/>
        <v>0</v>
      </c>
      <c r="H308" s="509"/>
      <c r="I308" s="525"/>
      <c r="J308" s="667"/>
      <c r="K308" s="667"/>
      <c r="L308" s="667"/>
    </row>
    <row r="309" spans="1:12" ht="15.75" x14ac:dyDescent="0.25">
      <c r="A309" s="87">
        <v>277</v>
      </c>
      <c r="B309" s="87" t="s">
        <v>1223</v>
      </c>
      <c r="C309" s="555">
        <v>9426</v>
      </c>
      <c r="D309" s="563">
        <v>15000</v>
      </c>
      <c r="E309" s="573">
        <v>167</v>
      </c>
      <c r="F309" s="563">
        <v>15000</v>
      </c>
      <c r="G309" s="87">
        <f t="shared" si="4"/>
        <v>0</v>
      </c>
      <c r="H309" s="509"/>
      <c r="I309" s="525"/>
      <c r="J309" s="667"/>
      <c r="K309" s="667"/>
      <c r="L309" s="667"/>
    </row>
    <row r="310" spans="1:12" ht="15.75" x14ac:dyDescent="0.25">
      <c r="A310" s="87">
        <v>278</v>
      </c>
      <c r="B310" s="87" t="s">
        <v>1223</v>
      </c>
      <c r="C310" s="555">
        <v>2961</v>
      </c>
      <c r="D310" s="563">
        <v>16000</v>
      </c>
      <c r="E310" s="573">
        <v>159</v>
      </c>
      <c r="F310" s="563">
        <v>16000</v>
      </c>
      <c r="G310" s="87">
        <f t="shared" si="4"/>
        <v>0</v>
      </c>
      <c r="H310" s="509"/>
      <c r="I310" s="525"/>
      <c r="J310" s="667"/>
      <c r="K310" s="667"/>
      <c r="L310" s="667"/>
    </row>
    <row r="311" spans="1:12" ht="15.75" x14ac:dyDescent="0.25">
      <c r="A311" s="87">
        <v>279</v>
      </c>
      <c r="B311" s="87" t="s">
        <v>1223</v>
      </c>
      <c r="C311" s="555">
        <v>1416</v>
      </c>
      <c r="D311" s="563">
        <v>7000</v>
      </c>
      <c r="E311" s="573">
        <v>77</v>
      </c>
      <c r="F311" s="563">
        <v>7000</v>
      </c>
      <c r="G311" s="87">
        <f t="shared" si="4"/>
        <v>0</v>
      </c>
      <c r="H311" s="509"/>
      <c r="I311" s="525"/>
      <c r="J311" s="667"/>
      <c r="K311" s="667"/>
      <c r="L311" s="667"/>
    </row>
    <row r="312" spans="1:12" ht="15.75" x14ac:dyDescent="0.25">
      <c r="A312" s="87">
        <v>280</v>
      </c>
      <c r="B312" s="87" t="s">
        <v>1223</v>
      </c>
      <c r="C312" s="555">
        <v>4122</v>
      </c>
      <c r="D312" s="563">
        <v>10000</v>
      </c>
      <c r="E312" s="573">
        <v>111</v>
      </c>
      <c r="F312" s="563">
        <v>10000</v>
      </c>
      <c r="G312" s="87">
        <f t="shared" si="4"/>
        <v>0</v>
      </c>
      <c r="H312" s="509"/>
      <c r="I312" s="525"/>
      <c r="J312" s="667"/>
      <c r="K312" s="667"/>
      <c r="L312" s="667"/>
    </row>
    <row r="313" spans="1:12" ht="15.75" x14ac:dyDescent="0.25">
      <c r="A313" s="87">
        <v>281</v>
      </c>
      <c r="B313" s="87" t="s">
        <v>1223</v>
      </c>
      <c r="C313" s="555">
        <v>7905</v>
      </c>
      <c r="D313" s="563">
        <v>24000</v>
      </c>
      <c r="E313" s="573">
        <v>256</v>
      </c>
      <c r="F313" s="563">
        <v>24000</v>
      </c>
      <c r="G313" s="87">
        <f t="shared" si="4"/>
        <v>0</v>
      </c>
      <c r="H313" s="509"/>
      <c r="I313" s="525"/>
      <c r="J313" s="667"/>
      <c r="K313" s="667"/>
      <c r="L313" s="667"/>
    </row>
    <row r="314" spans="1:12" ht="15.75" x14ac:dyDescent="0.25">
      <c r="A314" s="87">
        <v>282</v>
      </c>
      <c r="B314" s="87" t="s">
        <v>1223</v>
      </c>
      <c r="C314" s="555">
        <v>6012</v>
      </c>
      <c r="D314" s="563">
        <v>15000</v>
      </c>
      <c r="E314" s="573">
        <v>167</v>
      </c>
      <c r="F314" s="563">
        <v>15000</v>
      </c>
      <c r="G314" s="87">
        <f t="shared" si="4"/>
        <v>0</v>
      </c>
      <c r="H314" s="509"/>
      <c r="I314" s="525"/>
      <c r="J314" s="667"/>
      <c r="K314" s="667"/>
      <c r="L314" s="667"/>
    </row>
    <row r="315" spans="1:12" ht="15.75" x14ac:dyDescent="0.25">
      <c r="A315" s="87">
        <v>283</v>
      </c>
      <c r="B315" s="87" t="s">
        <v>1223</v>
      </c>
      <c r="C315" s="555">
        <v>6615</v>
      </c>
      <c r="D315" s="563">
        <v>14000</v>
      </c>
      <c r="E315" s="573">
        <v>155</v>
      </c>
      <c r="F315" s="563">
        <v>14000</v>
      </c>
      <c r="G315" s="87">
        <f t="shared" si="4"/>
        <v>0</v>
      </c>
      <c r="H315" s="509"/>
      <c r="I315" s="525"/>
      <c r="J315" s="667"/>
      <c r="K315" s="667"/>
      <c r="L315" s="667"/>
    </row>
    <row r="316" spans="1:12" ht="15.75" x14ac:dyDescent="0.25">
      <c r="A316" s="87">
        <v>284</v>
      </c>
      <c r="B316" s="87" t="s">
        <v>1223</v>
      </c>
      <c r="C316" s="555">
        <v>6254</v>
      </c>
      <c r="D316" s="563">
        <v>26000</v>
      </c>
      <c r="E316" s="573">
        <v>289</v>
      </c>
      <c r="F316" s="563">
        <v>26000</v>
      </c>
      <c r="G316" s="87">
        <f t="shared" si="4"/>
        <v>0</v>
      </c>
      <c r="H316" s="509"/>
      <c r="I316" s="525"/>
      <c r="J316" s="667"/>
      <c r="K316" s="667"/>
      <c r="L316" s="667"/>
    </row>
    <row r="317" spans="1:12" ht="15.75" x14ac:dyDescent="0.25">
      <c r="A317" s="87">
        <v>285</v>
      </c>
      <c r="B317" s="87" t="s">
        <v>1223</v>
      </c>
      <c r="C317" s="555">
        <v>6549</v>
      </c>
      <c r="D317" s="563">
        <v>7000</v>
      </c>
      <c r="E317" s="573">
        <v>77</v>
      </c>
      <c r="F317" s="563">
        <v>7000</v>
      </c>
      <c r="G317" s="87">
        <f t="shared" si="4"/>
        <v>0</v>
      </c>
      <c r="H317" s="509"/>
      <c r="I317" s="525"/>
      <c r="J317" s="667"/>
      <c r="K317" s="667"/>
      <c r="L317" s="667"/>
    </row>
    <row r="318" spans="1:12" ht="15.75" x14ac:dyDescent="0.25">
      <c r="A318" s="87">
        <v>286</v>
      </c>
      <c r="B318" s="87" t="s">
        <v>1223</v>
      </c>
      <c r="C318" s="555">
        <v>5200</v>
      </c>
      <c r="D318" s="563">
        <v>15000</v>
      </c>
      <c r="E318" s="573">
        <v>167</v>
      </c>
      <c r="F318" s="563">
        <v>15000</v>
      </c>
      <c r="G318" s="87">
        <f t="shared" si="4"/>
        <v>0</v>
      </c>
      <c r="H318" s="509"/>
      <c r="I318" s="525"/>
      <c r="J318" s="667"/>
      <c r="K318" s="667"/>
      <c r="L318" s="667"/>
    </row>
    <row r="319" spans="1:12" ht="15.75" x14ac:dyDescent="0.25">
      <c r="A319" s="87">
        <v>287</v>
      </c>
      <c r="B319" s="87" t="s">
        <v>1223</v>
      </c>
      <c r="C319" s="555">
        <v>6932</v>
      </c>
      <c r="D319" s="563">
        <v>16000</v>
      </c>
      <c r="E319" s="573">
        <v>178</v>
      </c>
      <c r="F319" s="563">
        <v>16000</v>
      </c>
      <c r="G319" s="87">
        <f t="shared" si="4"/>
        <v>0</v>
      </c>
      <c r="H319" s="509"/>
      <c r="I319" s="525"/>
      <c r="J319" s="667"/>
      <c r="K319" s="667"/>
      <c r="L319" s="667"/>
    </row>
    <row r="320" spans="1:12" ht="15.75" x14ac:dyDescent="0.25">
      <c r="A320" s="87">
        <v>288</v>
      </c>
      <c r="B320" s="87" t="s">
        <v>1223</v>
      </c>
      <c r="C320" s="555">
        <v>4747</v>
      </c>
      <c r="D320" s="563">
        <v>10000</v>
      </c>
      <c r="E320" s="573">
        <v>111</v>
      </c>
      <c r="F320" s="563">
        <v>10000</v>
      </c>
      <c r="G320" s="87">
        <f t="shared" si="4"/>
        <v>0</v>
      </c>
      <c r="H320" s="509"/>
      <c r="I320" s="525"/>
      <c r="J320" s="667"/>
      <c r="K320" s="667"/>
      <c r="L320" s="667"/>
    </row>
    <row r="321" spans="1:12" ht="15.75" x14ac:dyDescent="0.25">
      <c r="A321" s="87">
        <v>289</v>
      </c>
      <c r="B321" s="87" t="s">
        <v>1223</v>
      </c>
      <c r="C321" s="555">
        <v>6769</v>
      </c>
      <c r="D321" s="563">
        <v>10000</v>
      </c>
      <c r="E321" s="573">
        <v>111</v>
      </c>
      <c r="F321" s="563">
        <v>10000</v>
      </c>
      <c r="G321" s="87">
        <f t="shared" si="4"/>
        <v>0</v>
      </c>
      <c r="H321" s="509"/>
      <c r="I321" s="525"/>
      <c r="J321" s="667"/>
      <c r="K321" s="667"/>
      <c r="L321" s="667"/>
    </row>
    <row r="322" spans="1:12" ht="15.75" x14ac:dyDescent="0.25">
      <c r="A322" s="87">
        <v>290</v>
      </c>
      <c r="B322" s="87" t="s">
        <v>1223</v>
      </c>
      <c r="C322" s="555">
        <v>7743</v>
      </c>
      <c r="D322" s="563">
        <v>10000</v>
      </c>
      <c r="E322" s="573">
        <v>111</v>
      </c>
      <c r="F322" s="563">
        <v>10000</v>
      </c>
      <c r="G322" s="87">
        <f t="shared" si="4"/>
        <v>0</v>
      </c>
      <c r="H322" s="509"/>
      <c r="I322" s="525"/>
      <c r="J322" s="667"/>
      <c r="K322" s="667"/>
      <c r="L322" s="667"/>
    </row>
    <row r="323" spans="1:12" ht="15.75" x14ac:dyDescent="0.25">
      <c r="A323" s="87">
        <v>291</v>
      </c>
      <c r="B323" s="87" t="s">
        <v>1223</v>
      </c>
      <c r="C323" s="555">
        <v>2633</v>
      </c>
      <c r="D323" s="563">
        <v>10000</v>
      </c>
      <c r="E323" s="573">
        <v>111</v>
      </c>
      <c r="F323" s="563">
        <v>10000</v>
      </c>
      <c r="G323" s="87">
        <f t="shared" si="4"/>
        <v>0</v>
      </c>
      <c r="H323" s="509"/>
      <c r="I323" s="525"/>
      <c r="J323" s="667"/>
      <c r="K323" s="667"/>
      <c r="L323" s="667"/>
    </row>
    <row r="324" spans="1:12" ht="15.75" x14ac:dyDescent="0.25">
      <c r="A324" s="87">
        <v>292</v>
      </c>
      <c r="B324" s="87" t="s">
        <v>1223</v>
      </c>
      <c r="C324" s="555">
        <v>6751</v>
      </c>
      <c r="D324" s="563">
        <v>10000</v>
      </c>
      <c r="E324" s="573">
        <v>111</v>
      </c>
      <c r="F324" s="563">
        <v>10000</v>
      </c>
      <c r="G324" s="87">
        <f t="shared" si="4"/>
        <v>0</v>
      </c>
      <c r="H324" s="509"/>
      <c r="I324" s="525"/>
      <c r="J324" s="667"/>
      <c r="K324" s="667"/>
      <c r="L324" s="667"/>
    </row>
    <row r="325" spans="1:12" ht="15.75" x14ac:dyDescent="0.25">
      <c r="A325" s="87">
        <v>293</v>
      </c>
      <c r="B325" s="87" t="s">
        <v>1223</v>
      </c>
      <c r="C325" s="555">
        <v>2502</v>
      </c>
      <c r="D325" s="563">
        <v>13000</v>
      </c>
      <c r="E325" s="573">
        <v>144</v>
      </c>
      <c r="F325" s="563">
        <v>13000</v>
      </c>
      <c r="G325" s="87">
        <f t="shared" ref="G325:G388" si="5">D325-F325</f>
        <v>0</v>
      </c>
      <c r="H325" s="509"/>
      <c r="I325" s="525"/>
      <c r="J325" s="667"/>
      <c r="K325" s="667"/>
      <c r="L325" s="667"/>
    </row>
    <row r="326" spans="1:12" ht="15.75" x14ac:dyDescent="0.25">
      <c r="A326" s="87">
        <v>294</v>
      </c>
      <c r="B326" s="87" t="s">
        <v>1223</v>
      </c>
      <c r="C326" s="555">
        <v>6671</v>
      </c>
      <c r="D326" s="563">
        <v>21000</v>
      </c>
      <c r="E326" s="573">
        <v>233</v>
      </c>
      <c r="F326" s="563">
        <v>21000</v>
      </c>
      <c r="G326" s="87">
        <f t="shared" si="5"/>
        <v>0</v>
      </c>
      <c r="H326" s="509"/>
      <c r="I326" s="525"/>
      <c r="J326" s="667"/>
      <c r="K326" s="667"/>
      <c r="L326" s="667"/>
    </row>
    <row r="327" spans="1:12" ht="15.75" x14ac:dyDescent="0.25">
      <c r="A327" s="87">
        <v>295</v>
      </c>
      <c r="B327" s="87" t="s">
        <v>1223</v>
      </c>
      <c r="C327" s="555">
        <v>6271</v>
      </c>
      <c r="D327" s="563">
        <v>23000</v>
      </c>
      <c r="E327" s="573">
        <v>256</v>
      </c>
      <c r="F327" s="563">
        <v>23000</v>
      </c>
      <c r="G327" s="87">
        <f t="shared" si="5"/>
        <v>0</v>
      </c>
      <c r="H327" s="509"/>
      <c r="I327" s="525"/>
      <c r="J327" s="667"/>
      <c r="K327" s="667"/>
      <c r="L327" s="667"/>
    </row>
    <row r="328" spans="1:12" ht="15.75" x14ac:dyDescent="0.25">
      <c r="A328" s="87">
        <v>296</v>
      </c>
      <c r="B328" s="87" t="s">
        <v>1223</v>
      </c>
      <c r="C328" s="555">
        <v>1077</v>
      </c>
      <c r="D328" s="563">
        <v>20000</v>
      </c>
      <c r="E328" s="573">
        <v>222</v>
      </c>
      <c r="F328" s="563">
        <v>20000</v>
      </c>
      <c r="G328" s="87">
        <f t="shared" si="5"/>
        <v>0</v>
      </c>
      <c r="H328" s="509"/>
      <c r="I328" s="525"/>
      <c r="J328" s="667"/>
      <c r="K328" s="667"/>
      <c r="L328" s="667"/>
    </row>
    <row r="329" spans="1:12" ht="15.75" x14ac:dyDescent="0.25">
      <c r="A329" s="87">
        <v>297</v>
      </c>
      <c r="B329" s="87" t="s">
        <v>1223</v>
      </c>
      <c r="C329" s="555">
        <v>8726</v>
      </c>
      <c r="D329" s="563">
        <v>16000</v>
      </c>
      <c r="E329" s="573">
        <v>178</v>
      </c>
      <c r="F329" s="563">
        <v>16000</v>
      </c>
      <c r="G329" s="87">
        <f t="shared" si="5"/>
        <v>0</v>
      </c>
      <c r="H329" s="509"/>
      <c r="I329" s="525"/>
      <c r="J329" s="667"/>
      <c r="K329" s="667"/>
      <c r="L329" s="667"/>
    </row>
    <row r="330" spans="1:12" ht="15.75" x14ac:dyDescent="0.25">
      <c r="A330" s="87">
        <v>298</v>
      </c>
      <c r="B330" s="87" t="s">
        <v>1223</v>
      </c>
      <c r="C330" s="555">
        <v>2963</v>
      </c>
      <c r="D330" s="563">
        <v>16000</v>
      </c>
      <c r="E330" s="573">
        <v>178</v>
      </c>
      <c r="F330" s="563">
        <v>16000</v>
      </c>
      <c r="G330" s="87">
        <f t="shared" si="5"/>
        <v>0</v>
      </c>
      <c r="H330" s="509"/>
      <c r="I330" s="525"/>
      <c r="J330" s="667"/>
      <c r="K330" s="667"/>
      <c r="L330" s="667"/>
    </row>
    <row r="331" spans="1:12" ht="15.75" x14ac:dyDescent="0.25">
      <c r="A331" s="87">
        <v>299</v>
      </c>
      <c r="B331" s="87" t="s">
        <v>1223</v>
      </c>
      <c r="C331" s="555">
        <v>4602</v>
      </c>
      <c r="D331" s="563">
        <v>17000</v>
      </c>
      <c r="E331" s="573">
        <v>189</v>
      </c>
      <c r="F331" s="563">
        <v>17000</v>
      </c>
      <c r="G331" s="87">
        <f t="shared" si="5"/>
        <v>0</v>
      </c>
      <c r="H331" s="509"/>
      <c r="I331" s="525"/>
      <c r="J331" s="667"/>
      <c r="K331" s="667"/>
      <c r="L331" s="667"/>
    </row>
    <row r="332" spans="1:12" ht="15.75" x14ac:dyDescent="0.25">
      <c r="A332" s="87">
        <v>300</v>
      </c>
      <c r="B332" s="87" t="s">
        <v>1223</v>
      </c>
      <c r="C332" s="555">
        <v>9544</v>
      </c>
      <c r="D332" s="563">
        <v>15000</v>
      </c>
      <c r="E332" s="573">
        <v>167</v>
      </c>
      <c r="F332" s="563">
        <v>15000</v>
      </c>
      <c r="G332" s="87">
        <f t="shared" si="5"/>
        <v>0</v>
      </c>
      <c r="H332" s="509"/>
      <c r="I332" s="525"/>
      <c r="J332" s="667"/>
      <c r="K332" s="667"/>
      <c r="L332" s="667"/>
    </row>
    <row r="333" spans="1:12" ht="15.75" x14ac:dyDescent="0.25">
      <c r="A333" s="87">
        <v>301</v>
      </c>
      <c r="B333" s="87" t="s">
        <v>1223</v>
      </c>
      <c r="C333" s="555">
        <v>2962</v>
      </c>
      <c r="D333" s="563">
        <v>15000</v>
      </c>
      <c r="E333" s="573">
        <v>167</v>
      </c>
      <c r="F333" s="563">
        <v>15000</v>
      </c>
      <c r="G333" s="87">
        <f t="shared" si="5"/>
        <v>0</v>
      </c>
      <c r="H333" s="509"/>
      <c r="I333" s="525"/>
      <c r="J333" s="667"/>
      <c r="K333" s="667"/>
      <c r="L333" s="667"/>
    </row>
    <row r="334" spans="1:12" ht="15.75" x14ac:dyDescent="0.25">
      <c r="A334" s="87">
        <v>302</v>
      </c>
      <c r="B334" s="87" t="s">
        <v>1223</v>
      </c>
      <c r="C334" s="555">
        <v>8326</v>
      </c>
      <c r="D334" s="563">
        <v>15000</v>
      </c>
      <c r="E334" s="573">
        <v>167</v>
      </c>
      <c r="F334" s="563">
        <v>15000</v>
      </c>
      <c r="G334" s="87">
        <f t="shared" si="5"/>
        <v>0</v>
      </c>
      <c r="H334" s="509"/>
      <c r="I334" s="525"/>
      <c r="J334" s="667"/>
      <c r="K334" s="667"/>
      <c r="L334" s="667"/>
    </row>
    <row r="335" spans="1:12" ht="15.75" x14ac:dyDescent="0.25">
      <c r="A335" s="87">
        <v>303</v>
      </c>
      <c r="B335" s="87" t="s">
        <v>1223</v>
      </c>
      <c r="C335" s="555" t="s">
        <v>30</v>
      </c>
      <c r="D335" s="563">
        <v>4500</v>
      </c>
      <c r="E335" s="573">
        <v>50</v>
      </c>
      <c r="F335" s="563">
        <v>4500</v>
      </c>
      <c r="G335" s="87">
        <f t="shared" si="5"/>
        <v>0</v>
      </c>
      <c r="H335" s="509"/>
      <c r="I335" s="525"/>
      <c r="J335" s="667"/>
      <c r="K335" s="667"/>
      <c r="L335" s="667"/>
    </row>
    <row r="336" spans="1:12" ht="15.75" x14ac:dyDescent="0.25">
      <c r="A336" s="87">
        <v>304</v>
      </c>
      <c r="B336" s="87" t="s">
        <v>1223</v>
      </c>
      <c r="C336" s="555">
        <v>3885</v>
      </c>
      <c r="D336" s="563">
        <v>5000</v>
      </c>
      <c r="E336" s="573">
        <v>55</v>
      </c>
      <c r="F336" s="563">
        <v>5000</v>
      </c>
      <c r="G336" s="87">
        <f t="shared" si="5"/>
        <v>0</v>
      </c>
      <c r="H336" s="509"/>
      <c r="I336" s="525"/>
      <c r="J336" s="667"/>
      <c r="K336" s="667"/>
      <c r="L336" s="667"/>
    </row>
    <row r="337" spans="1:12" ht="15.75" x14ac:dyDescent="0.25">
      <c r="A337" s="87">
        <v>305</v>
      </c>
      <c r="B337" s="87" t="s">
        <v>1223</v>
      </c>
      <c r="C337" s="607" t="s">
        <v>938</v>
      </c>
      <c r="D337" s="563">
        <v>14000</v>
      </c>
      <c r="E337" s="573">
        <v>155</v>
      </c>
      <c r="F337" s="563">
        <v>14000</v>
      </c>
      <c r="G337" s="87">
        <f t="shared" si="5"/>
        <v>0</v>
      </c>
      <c r="H337" s="509"/>
      <c r="I337" s="525"/>
      <c r="J337" s="667"/>
      <c r="K337" s="667"/>
      <c r="L337" s="667"/>
    </row>
    <row r="338" spans="1:12" ht="15.75" x14ac:dyDescent="0.25">
      <c r="A338" s="87">
        <v>306</v>
      </c>
      <c r="B338" s="87" t="s">
        <v>1223</v>
      </c>
      <c r="C338" s="555">
        <v>2414</v>
      </c>
      <c r="D338" s="563">
        <v>10000</v>
      </c>
      <c r="E338" s="573">
        <v>111</v>
      </c>
      <c r="F338" s="563">
        <v>10000</v>
      </c>
      <c r="G338" s="87">
        <f t="shared" si="5"/>
        <v>0</v>
      </c>
      <c r="H338" s="509"/>
      <c r="I338" s="525"/>
      <c r="J338" s="667"/>
      <c r="K338" s="667"/>
      <c r="L338" s="667"/>
    </row>
    <row r="339" spans="1:12" ht="15.75" x14ac:dyDescent="0.25">
      <c r="A339" s="87">
        <v>307</v>
      </c>
      <c r="B339" s="87" t="s">
        <v>1223</v>
      </c>
      <c r="C339" s="555">
        <v>7890</v>
      </c>
      <c r="D339" s="563">
        <v>20000</v>
      </c>
      <c r="E339" s="573">
        <v>222</v>
      </c>
      <c r="F339" s="563">
        <v>20000</v>
      </c>
      <c r="G339" s="87">
        <f t="shared" si="5"/>
        <v>0</v>
      </c>
      <c r="H339" s="12"/>
      <c r="I339" s="525"/>
      <c r="J339" s="667"/>
      <c r="K339" s="667"/>
      <c r="L339" s="667"/>
    </row>
    <row r="340" spans="1:12" ht="15.75" x14ac:dyDescent="0.25">
      <c r="A340" s="87">
        <v>308</v>
      </c>
      <c r="B340" s="87" t="s">
        <v>1223</v>
      </c>
      <c r="C340" s="607" t="s">
        <v>1224</v>
      </c>
      <c r="D340" s="563">
        <v>17500</v>
      </c>
      <c r="E340" s="573">
        <v>194</v>
      </c>
      <c r="F340" s="563">
        <v>17500</v>
      </c>
      <c r="G340" s="87">
        <f t="shared" si="5"/>
        <v>0</v>
      </c>
      <c r="H340" s="562"/>
      <c r="I340" s="525"/>
      <c r="J340" s="667"/>
      <c r="K340" s="667"/>
      <c r="L340" s="667"/>
    </row>
    <row r="341" spans="1:12" ht="15.75" x14ac:dyDescent="0.25">
      <c r="A341" s="87">
        <v>309</v>
      </c>
      <c r="B341" s="87" t="s">
        <v>1201</v>
      </c>
      <c r="C341" s="555" t="s">
        <v>30</v>
      </c>
      <c r="D341" s="563">
        <v>5000</v>
      </c>
      <c r="E341" s="573">
        <v>55</v>
      </c>
      <c r="F341" s="563">
        <v>5000</v>
      </c>
      <c r="G341" s="87">
        <f t="shared" si="5"/>
        <v>0</v>
      </c>
      <c r="H341" s="509"/>
      <c r="I341" s="525"/>
      <c r="J341" s="667"/>
      <c r="K341" s="667"/>
      <c r="L341" s="667"/>
    </row>
    <row r="342" spans="1:12" ht="15.75" x14ac:dyDescent="0.25">
      <c r="A342" s="87">
        <v>310</v>
      </c>
      <c r="B342" s="87" t="s">
        <v>1201</v>
      </c>
      <c r="C342" s="555" t="s">
        <v>30</v>
      </c>
      <c r="D342" s="563">
        <v>10000</v>
      </c>
      <c r="E342" s="573">
        <v>111</v>
      </c>
      <c r="F342" s="563">
        <v>10000</v>
      </c>
      <c r="G342" s="87">
        <f t="shared" si="5"/>
        <v>0</v>
      </c>
      <c r="H342" s="509"/>
      <c r="I342" s="525"/>
      <c r="J342" s="667"/>
      <c r="K342" s="667"/>
      <c r="L342" s="667"/>
    </row>
    <row r="343" spans="1:12" ht="15.75" x14ac:dyDescent="0.25">
      <c r="A343" s="87">
        <v>311</v>
      </c>
      <c r="B343" s="87" t="s">
        <v>1201</v>
      </c>
      <c r="C343" s="555" t="s">
        <v>1225</v>
      </c>
      <c r="D343" s="563">
        <v>18000</v>
      </c>
      <c r="E343" s="573">
        <v>200</v>
      </c>
      <c r="F343" s="563">
        <v>18000</v>
      </c>
      <c r="G343" s="87">
        <f t="shared" si="5"/>
        <v>0</v>
      </c>
      <c r="H343" s="509"/>
      <c r="I343" s="525"/>
      <c r="J343" s="667"/>
      <c r="K343" s="667"/>
      <c r="L343" s="667"/>
    </row>
    <row r="344" spans="1:12" ht="15.75" x14ac:dyDescent="0.25">
      <c r="A344" s="87">
        <v>312</v>
      </c>
      <c r="B344" s="87" t="s">
        <v>1201</v>
      </c>
      <c r="C344" s="555" t="s">
        <v>1226</v>
      </c>
      <c r="D344" s="563">
        <v>10000</v>
      </c>
      <c r="E344" s="573">
        <v>111</v>
      </c>
      <c r="F344" s="563">
        <v>10000</v>
      </c>
      <c r="G344" s="87">
        <f t="shared" si="5"/>
        <v>0</v>
      </c>
      <c r="H344" s="509"/>
      <c r="I344" s="525"/>
      <c r="J344" s="667"/>
      <c r="K344" s="667"/>
      <c r="L344" s="667"/>
    </row>
    <row r="345" spans="1:12" ht="15.75" x14ac:dyDescent="0.25">
      <c r="A345" s="87">
        <v>313</v>
      </c>
      <c r="B345" s="87" t="s">
        <v>1201</v>
      </c>
      <c r="C345" s="555" t="s">
        <v>1227</v>
      </c>
      <c r="D345" s="563">
        <v>13000</v>
      </c>
      <c r="E345" s="573">
        <v>144</v>
      </c>
      <c r="F345" s="563">
        <v>13000</v>
      </c>
      <c r="G345" s="87">
        <f t="shared" si="5"/>
        <v>0</v>
      </c>
      <c r="H345" s="509"/>
      <c r="I345" s="525"/>
      <c r="J345" s="667"/>
      <c r="K345" s="667"/>
      <c r="L345" s="667"/>
    </row>
    <row r="346" spans="1:12" ht="15.75" x14ac:dyDescent="0.25">
      <c r="A346" s="87">
        <v>314</v>
      </c>
      <c r="B346" s="87" t="s">
        <v>1201</v>
      </c>
      <c r="C346" s="555" t="s">
        <v>1228</v>
      </c>
      <c r="D346" s="563">
        <v>15000</v>
      </c>
      <c r="E346" s="573">
        <v>167</v>
      </c>
      <c r="F346" s="563">
        <v>15000</v>
      </c>
      <c r="G346" s="87">
        <f t="shared" si="5"/>
        <v>0</v>
      </c>
      <c r="H346" s="509"/>
      <c r="I346" s="525"/>
      <c r="J346" s="667"/>
      <c r="K346" s="667"/>
      <c r="L346" s="667"/>
    </row>
    <row r="347" spans="1:12" ht="15.75" x14ac:dyDescent="0.25">
      <c r="A347" s="87">
        <v>315</v>
      </c>
      <c r="B347" s="87" t="s">
        <v>1201</v>
      </c>
      <c r="C347" s="555" t="s">
        <v>1229</v>
      </c>
      <c r="D347" s="563">
        <v>14000</v>
      </c>
      <c r="E347" s="573">
        <v>155</v>
      </c>
      <c r="F347" s="563">
        <v>14000</v>
      </c>
      <c r="G347" s="87">
        <f t="shared" si="5"/>
        <v>0</v>
      </c>
      <c r="H347" s="509"/>
      <c r="I347" s="525"/>
      <c r="J347" s="667"/>
      <c r="K347" s="667"/>
      <c r="L347" s="667"/>
    </row>
    <row r="348" spans="1:12" ht="15.75" x14ac:dyDescent="0.25">
      <c r="A348" s="87">
        <v>316</v>
      </c>
      <c r="B348" s="87" t="s">
        <v>1201</v>
      </c>
      <c r="C348" s="555" t="s">
        <v>1230</v>
      </c>
      <c r="D348" s="563">
        <v>20000</v>
      </c>
      <c r="E348" s="573">
        <v>222</v>
      </c>
      <c r="F348" s="563">
        <v>20000</v>
      </c>
      <c r="G348" s="87">
        <f t="shared" si="5"/>
        <v>0</v>
      </c>
      <c r="H348" s="509"/>
      <c r="I348" s="525"/>
      <c r="J348" s="667"/>
      <c r="K348" s="667"/>
      <c r="L348" s="667"/>
    </row>
    <row r="349" spans="1:12" ht="15.75" x14ac:dyDescent="0.25">
      <c r="A349" s="87">
        <v>317</v>
      </c>
      <c r="B349" s="87" t="s">
        <v>1201</v>
      </c>
      <c r="C349" s="555" t="s">
        <v>1231</v>
      </c>
      <c r="D349" s="563">
        <v>10000</v>
      </c>
      <c r="E349" s="573">
        <v>111</v>
      </c>
      <c r="F349" s="563">
        <v>10000</v>
      </c>
      <c r="G349" s="87">
        <f t="shared" si="5"/>
        <v>0</v>
      </c>
      <c r="H349" s="509"/>
      <c r="I349" s="525"/>
      <c r="J349" s="667"/>
      <c r="K349" s="667"/>
      <c r="L349" s="667"/>
    </row>
    <row r="350" spans="1:12" ht="15.75" x14ac:dyDescent="0.25">
      <c r="A350" s="87">
        <v>318</v>
      </c>
      <c r="B350" s="87" t="s">
        <v>1201</v>
      </c>
      <c r="C350" s="555" t="s">
        <v>1232</v>
      </c>
      <c r="D350" s="563">
        <v>10000</v>
      </c>
      <c r="E350" s="573">
        <v>111</v>
      </c>
      <c r="F350" s="563">
        <v>10000</v>
      </c>
      <c r="G350" s="87">
        <f t="shared" si="5"/>
        <v>0</v>
      </c>
      <c r="H350" s="509"/>
      <c r="I350" s="525"/>
      <c r="J350" s="667"/>
      <c r="K350" s="667"/>
      <c r="L350" s="667"/>
    </row>
    <row r="351" spans="1:12" ht="15.75" x14ac:dyDescent="0.25">
      <c r="A351" s="87">
        <v>319</v>
      </c>
      <c r="B351" s="87" t="s">
        <v>1201</v>
      </c>
      <c r="C351" s="555" t="s">
        <v>1233</v>
      </c>
      <c r="D351" s="563">
        <v>10000</v>
      </c>
      <c r="E351" s="573">
        <v>111</v>
      </c>
      <c r="F351" s="563">
        <v>10000</v>
      </c>
      <c r="G351" s="87">
        <f t="shared" si="5"/>
        <v>0</v>
      </c>
      <c r="H351" s="509"/>
      <c r="I351" s="525"/>
      <c r="J351" s="667"/>
      <c r="K351" s="667"/>
      <c r="L351" s="667"/>
    </row>
    <row r="352" spans="1:12" ht="15.75" x14ac:dyDescent="0.25">
      <c r="A352" s="87">
        <v>320</v>
      </c>
      <c r="B352" s="87" t="s">
        <v>1201</v>
      </c>
      <c r="C352" s="555" t="s">
        <v>1234</v>
      </c>
      <c r="D352" s="563">
        <v>15000</v>
      </c>
      <c r="E352" s="573">
        <v>167</v>
      </c>
      <c r="F352" s="563">
        <v>15000</v>
      </c>
      <c r="G352" s="87">
        <f t="shared" si="5"/>
        <v>0</v>
      </c>
      <c r="H352" s="509"/>
      <c r="I352" s="525"/>
      <c r="J352" s="667"/>
      <c r="K352" s="667"/>
      <c r="L352" s="667"/>
    </row>
    <row r="353" spans="1:12" ht="15.75" x14ac:dyDescent="0.25">
      <c r="A353" s="87">
        <v>321</v>
      </c>
      <c r="B353" s="87" t="s">
        <v>1201</v>
      </c>
      <c r="C353" s="555" t="s">
        <v>1235</v>
      </c>
      <c r="D353" s="563">
        <v>15000</v>
      </c>
      <c r="E353" s="573">
        <v>167</v>
      </c>
      <c r="F353" s="563">
        <v>15000</v>
      </c>
      <c r="G353" s="87">
        <f t="shared" si="5"/>
        <v>0</v>
      </c>
      <c r="H353" s="509"/>
      <c r="I353" s="525"/>
      <c r="J353" s="667"/>
      <c r="K353" s="667"/>
      <c r="L353" s="667"/>
    </row>
    <row r="354" spans="1:12" ht="15.75" x14ac:dyDescent="0.25">
      <c r="A354" s="87">
        <v>322</v>
      </c>
      <c r="B354" s="87" t="s">
        <v>1201</v>
      </c>
      <c r="C354" s="555" t="s">
        <v>1236</v>
      </c>
      <c r="D354" s="563">
        <v>14000</v>
      </c>
      <c r="E354" s="573">
        <v>155</v>
      </c>
      <c r="F354" s="563">
        <v>14000</v>
      </c>
      <c r="G354" s="87">
        <f t="shared" si="5"/>
        <v>0</v>
      </c>
      <c r="H354" s="509"/>
      <c r="I354" s="525"/>
      <c r="J354" s="667"/>
      <c r="K354" s="667"/>
      <c r="L354" s="667"/>
    </row>
    <row r="355" spans="1:12" ht="15.75" x14ac:dyDescent="0.25">
      <c r="A355" s="87">
        <v>323</v>
      </c>
      <c r="B355" s="87" t="s">
        <v>1201</v>
      </c>
      <c r="C355" s="555" t="s">
        <v>1237</v>
      </c>
      <c r="D355" s="563">
        <v>28000</v>
      </c>
      <c r="E355" s="573">
        <v>311.57</v>
      </c>
      <c r="F355" s="563">
        <v>28000</v>
      </c>
      <c r="G355" s="87">
        <f t="shared" si="5"/>
        <v>0</v>
      </c>
      <c r="H355" s="509"/>
      <c r="I355" s="525"/>
      <c r="J355" s="667"/>
      <c r="K355" s="667"/>
      <c r="L355" s="667"/>
    </row>
    <row r="356" spans="1:12" ht="15.75" x14ac:dyDescent="0.25">
      <c r="A356" s="87">
        <v>324</v>
      </c>
      <c r="B356" s="87" t="s">
        <v>1201</v>
      </c>
      <c r="C356" s="555" t="s">
        <v>1238</v>
      </c>
      <c r="D356" s="563">
        <v>14000</v>
      </c>
      <c r="E356" s="573">
        <v>155</v>
      </c>
      <c r="F356" s="563">
        <v>14000</v>
      </c>
      <c r="G356" s="87">
        <f t="shared" si="5"/>
        <v>0</v>
      </c>
      <c r="H356" s="509"/>
      <c r="I356" s="525"/>
      <c r="J356" s="667"/>
      <c r="K356" s="667"/>
      <c r="L356" s="667"/>
    </row>
    <row r="357" spans="1:12" ht="15.75" x14ac:dyDescent="0.25">
      <c r="A357" s="87">
        <v>325</v>
      </c>
      <c r="B357" s="87" t="s">
        <v>1201</v>
      </c>
      <c r="C357" s="555" t="s">
        <v>1239</v>
      </c>
      <c r="D357" s="563">
        <v>20000</v>
      </c>
      <c r="E357" s="573">
        <v>222</v>
      </c>
      <c r="F357" s="563">
        <v>20000</v>
      </c>
      <c r="G357" s="87">
        <f t="shared" si="5"/>
        <v>0</v>
      </c>
      <c r="H357" s="509"/>
      <c r="I357" s="525"/>
      <c r="J357" s="667"/>
      <c r="K357" s="667"/>
      <c r="L357" s="667"/>
    </row>
    <row r="358" spans="1:12" ht="15.75" x14ac:dyDescent="0.25">
      <c r="A358" s="87">
        <v>326</v>
      </c>
      <c r="B358" s="87" t="s">
        <v>1201</v>
      </c>
      <c r="C358" s="555" t="s">
        <v>1240</v>
      </c>
      <c r="D358" s="563">
        <v>26000</v>
      </c>
      <c r="E358" s="573">
        <v>289</v>
      </c>
      <c r="F358" s="563">
        <v>26000</v>
      </c>
      <c r="G358" s="87">
        <f t="shared" si="5"/>
        <v>0</v>
      </c>
      <c r="H358" s="509"/>
      <c r="I358" s="525"/>
      <c r="J358" s="667"/>
      <c r="K358" s="667"/>
      <c r="L358" s="667"/>
    </row>
    <row r="359" spans="1:12" ht="15.75" x14ac:dyDescent="0.25">
      <c r="A359" s="87">
        <v>327</v>
      </c>
      <c r="B359" s="87" t="s">
        <v>1201</v>
      </c>
      <c r="C359" s="555" t="s">
        <v>1241</v>
      </c>
      <c r="D359" s="563">
        <v>28000</v>
      </c>
      <c r="E359" s="573">
        <v>311</v>
      </c>
      <c r="F359" s="563">
        <v>28000</v>
      </c>
      <c r="G359" s="87">
        <f t="shared" si="5"/>
        <v>0</v>
      </c>
      <c r="H359" s="509"/>
      <c r="I359" s="525"/>
      <c r="J359" s="667"/>
      <c r="K359" s="667"/>
      <c r="L359" s="667"/>
    </row>
    <row r="360" spans="1:12" ht="15.75" x14ac:dyDescent="0.25">
      <c r="A360" s="87">
        <v>328</v>
      </c>
      <c r="B360" s="87" t="s">
        <v>1201</v>
      </c>
      <c r="C360" s="555" t="s">
        <v>1242</v>
      </c>
      <c r="D360" s="563">
        <v>25000</v>
      </c>
      <c r="E360" s="573">
        <v>278</v>
      </c>
      <c r="F360" s="563">
        <v>25000</v>
      </c>
      <c r="G360" s="87">
        <f t="shared" si="5"/>
        <v>0</v>
      </c>
      <c r="H360" s="509"/>
      <c r="I360" s="525"/>
      <c r="J360" s="667"/>
      <c r="K360" s="667"/>
      <c r="L360" s="667"/>
    </row>
    <row r="361" spans="1:12" ht="15.75" x14ac:dyDescent="0.25">
      <c r="A361" s="87">
        <v>329</v>
      </c>
      <c r="B361" s="87" t="s">
        <v>1201</v>
      </c>
      <c r="C361" s="555" t="s">
        <v>1243</v>
      </c>
      <c r="D361" s="563">
        <v>18000</v>
      </c>
      <c r="E361" s="573">
        <v>200</v>
      </c>
      <c r="F361" s="563">
        <v>18000</v>
      </c>
      <c r="G361" s="87">
        <f t="shared" si="5"/>
        <v>0</v>
      </c>
      <c r="H361" s="509"/>
      <c r="I361" s="525"/>
      <c r="J361" s="667"/>
      <c r="K361" s="667"/>
      <c r="L361" s="667"/>
    </row>
    <row r="362" spans="1:12" ht="15.75" x14ac:dyDescent="0.25">
      <c r="A362" s="87">
        <v>330</v>
      </c>
      <c r="B362" s="87" t="s">
        <v>1201</v>
      </c>
      <c r="C362" s="555" t="s">
        <v>1244</v>
      </c>
      <c r="D362" s="563">
        <v>25000</v>
      </c>
      <c r="E362" s="573">
        <v>278</v>
      </c>
      <c r="F362" s="563">
        <v>25000</v>
      </c>
      <c r="G362" s="87">
        <f t="shared" si="5"/>
        <v>0</v>
      </c>
      <c r="H362" s="509"/>
      <c r="I362" s="525"/>
      <c r="J362" s="667"/>
      <c r="K362" s="667"/>
      <c r="L362" s="667"/>
    </row>
    <row r="363" spans="1:12" ht="15.75" x14ac:dyDescent="0.25">
      <c r="A363" s="87">
        <v>331</v>
      </c>
      <c r="B363" s="87" t="s">
        <v>1203</v>
      </c>
      <c r="C363" s="555">
        <v>1846</v>
      </c>
      <c r="D363" s="563">
        <v>11000</v>
      </c>
      <c r="E363" s="573">
        <v>122</v>
      </c>
      <c r="F363" s="563">
        <v>11000</v>
      </c>
      <c r="G363" s="87">
        <f t="shared" si="5"/>
        <v>0</v>
      </c>
      <c r="H363" s="509"/>
      <c r="I363" s="525"/>
      <c r="J363" s="667"/>
      <c r="K363" s="667"/>
      <c r="L363" s="667"/>
    </row>
    <row r="364" spans="1:12" ht="15.75" x14ac:dyDescent="0.25">
      <c r="A364" s="87">
        <v>332</v>
      </c>
      <c r="B364" s="87" t="s">
        <v>1203</v>
      </c>
      <c r="C364" s="555">
        <v>8326</v>
      </c>
      <c r="D364" s="563">
        <v>15000</v>
      </c>
      <c r="E364" s="573">
        <v>167</v>
      </c>
      <c r="F364" s="563">
        <v>15000</v>
      </c>
      <c r="G364" s="87">
        <f t="shared" si="5"/>
        <v>0</v>
      </c>
      <c r="H364" s="509"/>
      <c r="I364" s="525"/>
      <c r="J364" s="667"/>
      <c r="K364" s="667"/>
      <c r="L364" s="667"/>
    </row>
    <row r="365" spans="1:12" ht="15.75" x14ac:dyDescent="0.25">
      <c r="A365" s="87">
        <v>333</v>
      </c>
      <c r="B365" s="87" t="s">
        <v>1203</v>
      </c>
      <c r="C365" s="555">
        <v>4204</v>
      </c>
      <c r="D365" s="563">
        <v>15000</v>
      </c>
      <c r="E365" s="573">
        <v>167</v>
      </c>
      <c r="F365" s="563">
        <v>15000</v>
      </c>
      <c r="G365" s="87">
        <f t="shared" si="5"/>
        <v>0</v>
      </c>
      <c r="H365" s="509"/>
      <c r="I365" s="525"/>
      <c r="J365" s="667"/>
      <c r="K365" s="667"/>
      <c r="L365" s="667"/>
    </row>
    <row r="366" spans="1:12" ht="15.75" x14ac:dyDescent="0.25">
      <c r="A366" s="87">
        <v>334</v>
      </c>
      <c r="B366" s="87" t="s">
        <v>1203</v>
      </c>
      <c r="C366" s="555">
        <v>9426</v>
      </c>
      <c r="D366" s="563">
        <v>15000</v>
      </c>
      <c r="E366" s="573">
        <v>167</v>
      </c>
      <c r="F366" s="563">
        <v>15000</v>
      </c>
      <c r="G366" s="87">
        <f t="shared" si="5"/>
        <v>0</v>
      </c>
      <c r="H366" s="509"/>
      <c r="I366" s="525"/>
      <c r="J366" s="667"/>
      <c r="K366" s="667"/>
      <c r="L366" s="667"/>
    </row>
    <row r="367" spans="1:12" ht="15.75" x14ac:dyDescent="0.25">
      <c r="A367" s="87">
        <v>335</v>
      </c>
      <c r="B367" s="87" t="s">
        <v>1203</v>
      </c>
      <c r="C367" s="607" t="s">
        <v>1087</v>
      </c>
      <c r="D367" s="563">
        <v>14000</v>
      </c>
      <c r="E367" s="573">
        <v>155</v>
      </c>
      <c r="F367" s="563">
        <v>14000</v>
      </c>
      <c r="G367" s="87">
        <f t="shared" si="5"/>
        <v>0</v>
      </c>
      <c r="H367" s="509"/>
      <c r="I367" s="525"/>
      <c r="J367" s="667"/>
      <c r="K367" s="667"/>
      <c r="L367" s="667"/>
    </row>
    <row r="368" spans="1:12" ht="15.75" x14ac:dyDescent="0.25">
      <c r="A368" s="87">
        <v>336</v>
      </c>
      <c r="B368" s="87" t="s">
        <v>1203</v>
      </c>
      <c r="C368" s="555">
        <v>1491</v>
      </c>
      <c r="D368" s="563">
        <v>14000</v>
      </c>
      <c r="E368" s="573">
        <v>155</v>
      </c>
      <c r="F368" s="563">
        <v>14000</v>
      </c>
      <c r="G368" s="87">
        <f t="shared" si="5"/>
        <v>0</v>
      </c>
      <c r="H368" s="509"/>
      <c r="I368" s="525"/>
      <c r="J368" s="667"/>
      <c r="K368" s="667"/>
      <c r="L368" s="667"/>
    </row>
    <row r="369" spans="1:12" ht="15.75" x14ac:dyDescent="0.25">
      <c r="A369" s="87">
        <v>337</v>
      </c>
      <c r="B369" s="87" t="s">
        <v>1203</v>
      </c>
      <c r="C369" s="555">
        <v>1377</v>
      </c>
      <c r="D369" s="563">
        <v>14000</v>
      </c>
      <c r="E369" s="573">
        <v>155</v>
      </c>
      <c r="F369" s="563">
        <v>14000</v>
      </c>
      <c r="G369" s="87">
        <f t="shared" si="5"/>
        <v>0</v>
      </c>
      <c r="H369" s="509"/>
      <c r="I369" s="525"/>
      <c r="J369" s="667"/>
      <c r="K369" s="667"/>
      <c r="L369" s="667"/>
    </row>
    <row r="370" spans="1:12" ht="15.75" x14ac:dyDescent="0.25">
      <c r="A370" s="87">
        <v>338</v>
      </c>
      <c r="B370" s="87" t="s">
        <v>1203</v>
      </c>
      <c r="C370" s="555">
        <v>2961</v>
      </c>
      <c r="D370" s="563">
        <v>16000</v>
      </c>
      <c r="E370" s="573">
        <v>161</v>
      </c>
      <c r="F370" s="563">
        <v>16000</v>
      </c>
      <c r="G370" s="87">
        <f t="shared" si="5"/>
        <v>0</v>
      </c>
      <c r="H370" s="509"/>
      <c r="I370" s="525"/>
      <c r="J370" s="667"/>
      <c r="K370" s="667"/>
      <c r="L370" s="667"/>
    </row>
    <row r="371" spans="1:12" ht="15.75" x14ac:dyDescent="0.25">
      <c r="A371" s="87">
        <v>339</v>
      </c>
      <c r="B371" s="87" t="s">
        <v>1203</v>
      </c>
      <c r="C371" s="555">
        <v>8726</v>
      </c>
      <c r="D371" s="563">
        <v>15000</v>
      </c>
      <c r="E371" s="573">
        <v>167</v>
      </c>
      <c r="F371" s="563">
        <v>15000</v>
      </c>
      <c r="G371" s="87">
        <f t="shared" si="5"/>
        <v>0</v>
      </c>
      <c r="H371" s="509"/>
      <c r="I371" s="525"/>
      <c r="J371" s="667"/>
      <c r="K371" s="667"/>
      <c r="L371" s="667"/>
    </row>
    <row r="372" spans="1:12" ht="15.75" x14ac:dyDescent="0.25">
      <c r="A372" s="87">
        <v>340</v>
      </c>
      <c r="B372" s="87" t="s">
        <v>1203</v>
      </c>
      <c r="C372" s="555">
        <v>7158</v>
      </c>
      <c r="D372" s="563">
        <v>10000</v>
      </c>
      <c r="E372" s="573">
        <v>111</v>
      </c>
      <c r="F372" s="563">
        <v>10000</v>
      </c>
      <c r="G372" s="87">
        <f t="shared" si="5"/>
        <v>0</v>
      </c>
      <c r="H372" s="509"/>
      <c r="I372" s="525"/>
      <c r="J372" s="667"/>
      <c r="K372" s="667"/>
      <c r="L372" s="667"/>
    </row>
    <row r="373" spans="1:12" ht="15.75" x14ac:dyDescent="0.25">
      <c r="A373" s="87">
        <v>341</v>
      </c>
      <c r="B373" s="87" t="s">
        <v>1203</v>
      </c>
      <c r="C373" s="555">
        <v>2962</v>
      </c>
      <c r="D373" s="563">
        <v>15000</v>
      </c>
      <c r="E373" s="573">
        <v>167</v>
      </c>
      <c r="F373" s="563">
        <v>15000</v>
      </c>
      <c r="G373" s="87">
        <f t="shared" si="5"/>
        <v>0</v>
      </c>
      <c r="H373" s="509"/>
      <c r="I373" s="525"/>
      <c r="J373" s="667"/>
      <c r="K373" s="667"/>
      <c r="L373" s="667"/>
    </row>
    <row r="374" spans="1:12" ht="15.75" x14ac:dyDescent="0.25">
      <c r="A374" s="87">
        <v>342</v>
      </c>
      <c r="B374" s="87" t="s">
        <v>1203</v>
      </c>
      <c r="C374" s="555">
        <v>3678</v>
      </c>
      <c r="D374" s="563">
        <v>10000</v>
      </c>
      <c r="E374" s="573">
        <v>111</v>
      </c>
      <c r="F374" s="563">
        <v>10000</v>
      </c>
      <c r="G374" s="87">
        <f t="shared" si="5"/>
        <v>0</v>
      </c>
      <c r="H374" s="509"/>
      <c r="I374" s="525"/>
      <c r="J374" s="667"/>
      <c r="K374" s="667"/>
      <c r="L374" s="667"/>
    </row>
    <row r="375" spans="1:12" ht="15.75" x14ac:dyDescent="0.25">
      <c r="A375" s="87">
        <v>343</v>
      </c>
      <c r="B375" s="87" t="s">
        <v>1203</v>
      </c>
      <c r="C375" s="555">
        <v>7799</v>
      </c>
      <c r="D375" s="563">
        <v>5000</v>
      </c>
      <c r="E375" s="573">
        <v>55</v>
      </c>
      <c r="F375" s="563">
        <v>5000</v>
      </c>
      <c r="G375" s="87">
        <f t="shared" si="5"/>
        <v>0</v>
      </c>
      <c r="H375" s="509"/>
      <c r="I375" s="525"/>
      <c r="J375" s="667"/>
      <c r="K375" s="667"/>
      <c r="L375" s="667"/>
    </row>
    <row r="376" spans="1:12" ht="15.75" x14ac:dyDescent="0.25">
      <c r="A376" s="87">
        <v>344</v>
      </c>
      <c r="B376" s="87" t="s">
        <v>1204</v>
      </c>
      <c r="C376" s="555">
        <v>5929</v>
      </c>
      <c r="D376" s="563">
        <v>25000</v>
      </c>
      <c r="E376" s="573">
        <v>278</v>
      </c>
      <c r="F376" s="563">
        <v>25000</v>
      </c>
      <c r="G376" s="87">
        <f t="shared" si="5"/>
        <v>0</v>
      </c>
      <c r="H376" s="509"/>
      <c r="I376" s="525"/>
      <c r="J376" s="667"/>
      <c r="K376" s="667"/>
      <c r="L376" s="667"/>
    </row>
    <row r="377" spans="1:12" ht="15.75" x14ac:dyDescent="0.25">
      <c r="A377" s="87">
        <v>345</v>
      </c>
      <c r="B377" s="87" t="s">
        <v>1204</v>
      </c>
      <c r="C377" s="555">
        <v>5340</v>
      </c>
      <c r="D377" s="563">
        <v>10000</v>
      </c>
      <c r="E377" s="573">
        <v>111</v>
      </c>
      <c r="F377" s="563">
        <v>10000</v>
      </c>
      <c r="G377" s="87">
        <f t="shared" si="5"/>
        <v>0</v>
      </c>
      <c r="H377" s="509"/>
      <c r="I377" s="525"/>
      <c r="J377" s="667"/>
      <c r="K377" s="667"/>
      <c r="L377" s="667"/>
    </row>
    <row r="378" spans="1:12" ht="15.75" x14ac:dyDescent="0.25">
      <c r="A378" s="87">
        <v>346</v>
      </c>
      <c r="B378" s="87" t="s">
        <v>1204</v>
      </c>
      <c r="C378" s="555">
        <v>7606</v>
      </c>
      <c r="D378" s="563">
        <v>10000</v>
      </c>
      <c r="E378" s="573">
        <v>111</v>
      </c>
      <c r="F378" s="563">
        <v>10000</v>
      </c>
      <c r="G378" s="87">
        <f t="shared" si="5"/>
        <v>0</v>
      </c>
      <c r="H378" s="509"/>
      <c r="I378" s="525"/>
      <c r="J378" s="667"/>
      <c r="K378" s="667"/>
      <c r="L378" s="667"/>
    </row>
    <row r="379" spans="1:12" ht="15.75" x14ac:dyDescent="0.25">
      <c r="A379" s="87">
        <v>347</v>
      </c>
      <c r="B379" s="87" t="s">
        <v>1204</v>
      </c>
      <c r="C379" s="555" t="s">
        <v>30</v>
      </c>
      <c r="D379" s="563">
        <v>5000</v>
      </c>
      <c r="E379" s="573">
        <v>55</v>
      </c>
      <c r="F379" s="563">
        <v>5000</v>
      </c>
      <c r="G379" s="87">
        <f t="shared" si="5"/>
        <v>0</v>
      </c>
      <c r="H379" s="509"/>
      <c r="I379" s="525"/>
      <c r="J379" s="667"/>
      <c r="K379" s="667"/>
      <c r="L379" s="667"/>
    </row>
    <row r="380" spans="1:12" ht="15.75" x14ac:dyDescent="0.25">
      <c r="A380" s="87">
        <v>348</v>
      </c>
      <c r="B380" s="87" t="s">
        <v>1204</v>
      </c>
      <c r="C380" s="555">
        <v>8188</v>
      </c>
      <c r="D380" s="563">
        <v>22000</v>
      </c>
      <c r="E380" s="573">
        <v>236</v>
      </c>
      <c r="F380" s="563">
        <v>22000</v>
      </c>
      <c r="G380" s="87">
        <f t="shared" si="5"/>
        <v>0</v>
      </c>
      <c r="H380" s="509"/>
      <c r="I380" s="525"/>
      <c r="J380" s="667"/>
      <c r="K380" s="667"/>
      <c r="L380" s="667"/>
    </row>
    <row r="381" spans="1:12" ht="15.75" x14ac:dyDescent="0.25">
      <c r="A381" s="87">
        <v>349</v>
      </c>
      <c r="B381" s="87" t="s">
        <v>1204</v>
      </c>
      <c r="C381" s="555">
        <v>8793</v>
      </c>
      <c r="D381" s="563">
        <v>22000</v>
      </c>
      <c r="E381" s="573">
        <v>245</v>
      </c>
      <c r="F381" s="563">
        <v>22000</v>
      </c>
      <c r="G381" s="87">
        <f t="shared" si="5"/>
        <v>0</v>
      </c>
      <c r="H381" s="509"/>
      <c r="I381" s="525"/>
      <c r="J381" s="667"/>
      <c r="K381" s="667"/>
      <c r="L381" s="667"/>
    </row>
    <row r="382" spans="1:12" ht="15.75" x14ac:dyDescent="0.25">
      <c r="A382" s="87">
        <v>350</v>
      </c>
      <c r="B382" s="87" t="s">
        <v>1204</v>
      </c>
      <c r="C382" s="555">
        <v>9916</v>
      </c>
      <c r="D382" s="563">
        <v>10000</v>
      </c>
      <c r="E382" s="573">
        <v>111</v>
      </c>
      <c r="F382" s="563">
        <v>10000</v>
      </c>
      <c r="G382" s="87">
        <f t="shared" si="5"/>
        <v>0</v>
      </c>
      <c r="H382" s="509"/>
      <c r="I382" s="525"/>
      <c r="J382" s="667"/>
      <c r="K382" s="667"/>
      <c r="L382" s="667"/>
    </row>
    <row r="383" spans="1:12" ht="15.75" x14ac:dyDescent="0.25">
      <c r="A383" s="87">
        <v>351</v>
      </c>
      <c r="B383" s="87" t="s">
        <v>1204</v>
      </c>
      <c r="C383" s="555">
        <v>1328</v>
      </c>
      <c r="D383" s="563">
        <v>23000</v>
      </c>
      <c r="E383" s="573">
        <v>256</v>
      </c>
      <c r="F383" s="563">
        <v>23000</v>
      </c>
      <c r="G383" s="87">
        <f t="shared" si="5"/>
        <v>0</v>
      </c>
      <c r="H383" s="509"/>
      <c r="I383" s="525"/>
      <c r="J383" s="667"/>
      <c r="K383" s="667"/>
      <c r="L383" s="667"/>
    </row>
    <row r="384" spans="1:12" ht="15.75" x14ac:dyDescent="0.25">
      <c r="A384" s="87">
        <v>352</v>
      </c>
      <c r="B384" s="87" t="s">
        <v>1204</v>
      </c>
      <c r="C384" s="555">
        <v>6615</v>
      </c>
      <c r="D384" s="563">
        <v>14000</v>
      </c>
      <c r="E384" s="573">
        <v>155</v>
      </c>
      <c r="F384" s="563">
        <v>14000</v>
      </c>
      <c r="G384" s="87">
        <f t="shared" si="5"/>
        <v>0</v>
      </c>
      <c r="H384" s="509"/>
      <c r="I384" s="525"/>
      <c r="J384" s="667"/>
      <c r="K384" s="667"/>
      <c r="L384" s="667"/>
    </row>
    <row r="385" spans="1:12" ht="15.75" x14ac:dyDescent="0.25">
      <c r="A385" s="87">
        <v>353</v>
      </c>
      <c r="B385" s="87" t="s">
        <v>1204</v>
      </c>
      <c r="C385" s="555">
        <v>3377</v>
      </c>
      <c r="D385" s="563">
        <v>23000</v>
      </c>
      <c r="E385" s="573">
        <v>256</v>
      </c>
      <c r="F385" s="563">
        <v>23000</v>
      </c>
      <c r="G385" s="87">
        <f t="shared" si="5"/>
        <v>0</v>
      </c>
      <c r="H385" s="509"/>
      <c r="I385" s="525"/>
      <c r="J385" s="667"/>
      <c r="K385" s="667"/>
      <c r="L385" s="667"/>
    </row>
    <row r="386" spans="1:12" ht="15.75" x14ac:dyDescent="0.25">
      <c r="A386" s="87">
        <v>354</v>
      </c>
      <c r="B386" s="87" t="s">
        <v>1204</v>
      </c>
      <c r="C386" s="555">
        <v>6089</v>
      </c>
      <c r="D386" s="563">
        <v>15000</v>
      </c>
      <c r="E386" s="573">
        <v>167</v>
      </c>
      <c r="F386" s="563">
        <v>15000</v>
      </c>
      <c r="G386" s="87">
        <f t="shared" si="5"/>
        <v>0</v>
      </c>
      <c r="H386" s="509"/>
      <c r="I386" s="525"/>
      <c r="J386" s="667"/>
      <c r="K386" s="667"/>
      <c r="L386" s="667"/>
    </row>
    <row r="387" spans="1:12" ht="15.75" x14ac:dyDescent="0.25">
      <c r="A387" s="87">
        <v>355</v>
      </c>
      <c r="B387" s="87" t="s">
        <v>1204</v>
      </c>
      <c r="C387" s="555" t="s">
        <v>66</v>
      </c>
      <c r="D387" s="563">
        <v>210</v>
      </c>
      <c r="E387" s="573">
        <v>2.0499999999999998</v>
      </c>
      <c r="F387" s="563">
        <v>210</v>
      </c>
      <c r="G387" s="87">
        <f t="shared" si="5"/>
        <v>0</v>
      </c>
      <c r="H387" s="509"/>
      <c r="I387" s="525"/>
      <c r="J387" s="667"/>
      <c r="K387" s="667"/>
      <c r="L387" s="667"/>
    </row>
    <row r="388" spans="1:12" ht="15.75" x14ac:dyDescent="0.25">
      <c r="A388" s="87">
        <v>356</v>
      </c>
      <c r="B388" s="87" t="s">
        <v>1204</v>
      </c>
      <c r="C388" s="555" t="s">
        <v>30</v>
      </c>
      <c r="D388" s="563">
        <v>4500</v>
      </c>
      <c r="E388" s="573">
        <v>50</v>
      </c>
      <c r="F388" s="563">
        <v>4500</v>
      </c>
      <c r="G388" s="87">
        <f t="shared" si="5"/>
        <v>0</v>
      </c>
      <c r="H388" s="509"/>
      <c r="I388" s="525"/>
      <c r="J388" s="667"/>
      <c r="K388" s="667"/>
      <c r="L388" s="667"/>
    </row>
    <row r="389" spans="1:12" ht="15.75" x14ac:dyDescent="0.25">
      <c r="A389" s="87">
        <v>357</v>
      </c>
      <c r="B389" s="87" t="s">
        <v>1204</v>
      </c>
      <c r="C389" s="555">
        <v>8198</v>
      </c>
      <c r="D389" s="563">
        <v>15000</v>
      </c>
      <c r="E389" s="573">
        <v>167</v>
      </c>
      <c r="F389" s="563">
        <v>15000</v>
      </c>
      <c r="G389" s="87">
        <f t="shared" ref="G389:G445" si="6">D389-F389</f>
        <v>0</v>
      </c>
      <c r="H389" s="509"/>
      <c r="I389" s="525"/>
      <c r="J389" s="667"/>
      <c r="K389" s="667"/>
      <c r="L389" s="667"/>
    </row>
    <row r="390" spans="1:12" ht="15.75" x14ac:dyDescent="0.25">
      <c r="A390" s="87">
        <v>358</v>
      </c>
      <c r="B390" s="87" t="s">
        <v>1204</v>
      </c>
      <c r="C390" s="555">
        <v>4552</v>
      </c>
      <c r="D390" s="563">
        <v>14000</v>
      </c>
      <c r="E390" s="573">
        <v>155</v>
      </c>
      <c r="F390" s="563">
        <v>14000</v>
      </c>
      <c r="G390" s="87">
        <f t="shared" si="6"/>
        <v>0</v>
      </c>
      <c r="H390" s="509"/>
      <c r="I390" s="525"/>
      <c r="J390" s="667"/>
      <c r="K390" s="667"/>
      <c r="L390" s="667"/>
    </row>
    <row r="391" spans="1:12" ht="15.75" x14ac:dyDescent="0.25">
      <c r="A391" s="87">
        <v>359</v>
      </c>
      <c r="B391" s="87" t="s">
        <v>1204</v>
      </c>
      <c r="C391" s="555">
        <v>7991</v>
      </c>
      <c r="D391" s="563">
        <v>33000</v>
      </c>
      <c r="E391" s="573">
        <v>349</v>
      </c>
      <c r="F391" s="563">
        <v>33000</v>
      </c>
      <c r="G391" s="87">
        <f t="shared" si="6"/>
        <v>0</v>
      </c>
      <c r="H391" s="509"/>
      <c r="I391" s="525"/>
      <c r="J391" s="667"/>
      <c r="K391" s="667"/>
      <c r="L391" s="667"/>
    </row>
    <row r="392" spans="1:12" ht="15.75" x14ac:dyDescent="0.25">
      <c r="A392" s="87">
        <v>360</v>
      </c>
      <c r="B392" s="87" t="s">
        <v>1204</v>
      </c>
      <c r="C392" s="555">
        <v>8486</v>
      </c>
      <c r="D392" s="563">
        <v>32000</v>
      </c>
      <c r="E392" s="573">
        <v>356</v>
      </c>
      <c r="F392" s="563">
        <v>32000</v>
      </c>
      <c r="G392" s="87">
        <f t="shared" si="6"/>
        <v>0</v>
      </c>
      <c r="H392" s="509"/>
      <c r="I392" s="525"/>
      <c r="J392" s="667"/>
      <c r="K392" s="667"/>
      <c r="L392" s="667"/>
    </row>
    <row r="393" spans="1:12" ht="15.75" x14ac:dyDescent="0.25">
      <c r="A393" s="87">
        <v>361</v>
      </c>
      <c r="B393" s="87" t="s">
        <v>1204</v>
      </c>
      <c r="C393" s="555">
        <v>3162</v>
      </c>
      <c r="D393" s="563">
        <v>31380</v>
      </c>
      <c r="E393" s="573">
        <v>349</v>
      </c>
      <c r="F393" s="563">
        <v>31380</v>
      </c>
      <c r="G393" s="87">
        <f t="shared" si="6"/>
        <v>0</v>
      </c>
      <c r="H393" s="509"/>
      <c r="I393" s="525"/>
      <c r="J393" s="667"/>
      <c r="K393" s="667"/>
      <c r="L393" s="667"/>
    </row>
    <row r="394" spans="1:12" ht="15.75" x14ac:dyDescent="0.25">
      <c r="A394" s="87">
        <v>362</v>
      </c>
      <c r="B394" s="87" t="s">
        <v>1204</v>
      </c>
      <c r="C394" s="555">
        <v>9064</v>
      </c>
      <c r="D394" s="563">
        <v>24728</v>
      </c>
      <c r="E394" s="573">
        <v>270</v>
      </c>
      <c r="F394" s="563">
        <v>24728</v>
      </c>
      <c r="G394" s="87">
        <f t="shared" si="6"/>
        <v>0</v>
      </c>
      <c r="H394" s="509"/>
      <c r="I394" s="525"/>
      <c r="J394" s="667"/>
      <c r="K394" s="667"/>
      <c r="L394" s="667"/>
    </row>
    <row r="395" spans="1:12" ht="15.75" x14ac:dyDescent="0.25">
      <c r="A395" s="87">
        <v>363</v>
      </c>
      <c r="B395" s="87" t="s">
        <v>1204</v>
      </c>
      <c r="C395" s="555">
        <v>7075</v>
      </c>
      <c r="D395" s="563">
        <v>30000</v>
      </c>
      <c r="E395" s="573">
        <v>334</v>
      </c>
      <c r="F395" s="563">
        <v>30000</v>
      </c>
      <c r="G395" s="87">
        <f t="shared" si="6"/>
        <v>0</v>
      </c>
      <c r="H395" s="509"/>
      <c r="I395" s="525"/>
      <c r="J395" s="667"/>
      <c r="K395" s="667"/>
      <c r="L395" s="667"/>
    </row>
    <row r="396" spans="1:12" ht="15.75" x14ac:dyDescent="0.25">
      <c r="A396" s="87">
        <v>364</v>
      </c>
      <c r="B396" s="87" t="s">
        <v>1204</v>
      </c>
      <c r="C396" s="555" t="s">
        <v>819</v>
      </c>
      <c r="D396" s="563">
        <v>3500</v>
      </c>
      <c r="E396" s="573">
        <v>38.18</v>
      </c>
      <c r="F396" s="563">
        <v>3500</v>
      </c>
      <c r="G396" s="87">
        <f t="shared" si="6"/>
        <v>0</v>
      </c>
      <c r="H396" s="509"/>
      <c r="I396" s="525"/>
      <c r="J396" s="667"/>
      <c r="K396" s="667"/>
      <c r="L396" s="667"/>
    </row>
    <row r="397" spans="1:12" ht="15.75" x14ac:dyDescent="0.25">
      <c r="A397" s="87">
        <v>365</v>
      </c>
      <c r="B397" s="87" t="s">
        <v>1204</v>
      </c>
      <c r="C397" s="555">
        <v>5526</v>
      </c>
      <c r="D397" s="563">
        <v>15000</v>
      </c>
      <c r="E397" s="573">
        <v>167</v>
      </c>
      <c r="F397" s="563">
        <v>15000</v>
      </c>
      <c r="G397" s="87">
        <f t="shared" si="6"/>
        <v>0</v>
      </c>
      <c r="H397" s="509"/>
      <c r="I397" s="525"/>
      <c r="J397" s="667"/>
      <c r="K397" s="667"/>
      <c r="L397" s="667"/>
    </row>
    <row r="398" spans="1:12" ht="15.75" x14ac:dyDescent="0.25">
      <c r="A398" s="87">
        <v>366</v>
      </c>
      <c r="B398" s="87" t="s">
        <v>1204</v>
      </c>
      <c r="C398" s="555">
        <v>3679</v>
      </c>
      <c r="D398" s="563">
        <v>10000</v>
      </c>
      <c r="E398" s="573">
        <v>111</v>
      </c>
      <c r="F398" s="563">
        <v>10000</v>
      </c>
      <c r="G398" s="87">
        <f t="shared" si="6"/>
        <v>0</v>
      </c>
      <c r="H398" s="509"/>
      <c r="I398" s="525"/>
      <c r="J398" s="667"/>
      <c r="K398" s="667"/>
      <c r="L398" s="667"/>
    </row>
    <row r="399" spans="1:12" ht="15.75" x14ac:dyDescent="0.25">
      <c r="A399" s="87">
        <v>367</v>
      </c>
      <c r="B399" s="87" t="s">
        <v>1204</v>
      </c>
      <c r="C399" s="555">
        <v>4602</v>
      </c>
      <c r="D399" s="563">
        <v>17000</v>
      </c>
      <c r="E399" s="573">
        <v>179</v>
      </c>
      <c r="F399" s="563">
        <v>17000</v>
      </c>
      <c r="G399" s="87">
        <f t="shared" si="6"/>
        <v>0</v>
      </c>
      <c r="H399" s="509"/>
      <c r="I399" s="525"/>
      <c r="J399" s="667"/>
      <c r="K399" s="667"/>
      <c r="L399" s="667"/>
    </row>
    <row r="400" spans="1:12" ht="15.75" x14ac:dyDescent="0.25">
      <c r="A400" s="87">
        <v>368</v>
      </c>
      <c r="B400" s="87" t="s">
        <v>1204</v>
      </c>
      <c r="C400" s="555">
        <v>3738</v>
      </c>
      <c r="D400" s="563">
        <v>28000</v>
      </c>
      <c r="E400" s="573">
        <v>311</v>
      </c>
      <c r="F400" s="563">
        <v>28000</v>
      </c>
      <c r="G400" s="87">
        <f t="shared" si="6"/>
        <v>0</v>
      </c>
      <c r="H400" s="509"/>
      <c r="I400" s="525"/>
      <c r="J400" s="667"/>
      <c r="K400" s="667"/>
      <c r="L400" s="667"/>
    </row>
    <row r="401" spans="1:12" ht="15.75" x14ac:dyDescent="0.25">
      <c r="A401" s="87">
        <v>369</v>
      </c>
      <c r="B401" s="87" t="s">
        <v>1204</v>
      </c>
      <c r="C401" s="555">
        <v>3347</v>
      </c>
      <c r="D401" s="563">
        <v>27000</v>
      </c>
      <c r="E401" s="573">
        <v>300</v>
      </c>
      <c r="F401" s="563">
        <v>27000</v>
      </c>
      <c r="G401" s="87">
        <f t="shared" si="6"/>
        <v>0</v>
      </c>
      <c r="H401" s="509"/>
      <c r="I401" s="525"/>
      <c r="J401" s="667"/>
      <c r="K401" s="667"/>
      <c r="L401" s="667"/>
    </row>
    <row r="402" spans="1:12" ht="15.75" x14ac:dyDescent="0.25">
      <c r="A402" s="87">
        <v>370</v>
      </c>
      <c r="B402" s="87" t="s">
        <v>1204</v>
      </c>
      <c r="C402" s="555">
        <v>9330</v>
      </c>
      <c r="D402" s="563">
        <v>30000</v>
      </c>
      <c r="E402" s="573">
        <v>334</v>
      </c>
      <c r="F402" s="563">
        <v>30000</v>
      </c>
      <c r="G402" s="87">
        <f t="shared" si="6"/>
        <v>0</v>
      </c>
      <c r="H402" s="509"/>
      <c r="I402" s="525"/>
      <c r="J402" s="667"/>
      <c r="K402" s="667"/>
      <c r="L402" s="667"/>
    </row>
    <row r="403" spans="1:12" ht="15.75" x14ac:dyDescent="0.25">
      <c r="A403" s="87">
        <v>371</v>
      </c>
      <c r="B403" s="87" t="s">
        <v>1204</v>
      </c>
      <c r="C403" s="555">
        <v>7598</v>
      </c>
      <c r="D403" s="563">
        <v>15000</v>
      </c>
      <c r="E403" s="573">
        <v>167</v>
      </c>
      <c r="F403" s="563">
        <v>15000</v>
      </c>
      <c r="G403" s="87">
        <f t="shared" si="6"/>
        <v>0</v>
      </c>
      <c r="H403" s="509"/>
      <c r="I403" s="525"/>
      <c r="J403" s="667"/>
      <c r="K403" s="667"/>
      <c r="L403" s="667"/>
    </row>
    <row r="404" spans="1:12" ht="15.75" x14ac:dyDescent="0.25">
      <c r="A404" s="87">
        <v>372</v>
      </c>
      <c r="B404" s="87" t="s">
        <v>1204</v>
      </c>
      <c r="C404" s="555">
        <v>9097</v>
      </c>
      <c r="D404" s="563">
        <v>23000</v>
      </c>
      <c r="E404" s="573">
        <v>256</v>
      </c>
      <c r="F404" s="563">
        <v>23000</v>
      </c>
      <c r="G404" s="87">
        <f t="shared" si="6"/>
        <v>0</v>
      </c>
      <c r="H404" s="509"/>
      <c r="I404" s="525"/>
      <c r="J404" s="667"/>
      <c r="K404" s="667"/>
      <c r="L404" s="667"/>
    </row>
    <row r="405" spans="1:12" ht="15.75" x14ac:dyDescent="0.25">
      <c r="A405" s="87">
        <v>373</v>
      </c>
      <c r="B405" s="87" t="s">
        <v>1204</v>
      </c>
      <c r="C405" s="555">
        <v>2502</v>
      </c>
      <c r="D405" s="563">
        <v>12000</v>
      </c>
      <c r="E405" s="573">
        <v>133</v>
      </c>
      <c r="F405" s="563">
        <v>12000</v>
      </c>
      <c r="G405" s="87">
        <f t="shared" si="6"/>
        <v>0</v>
      </c>
      <c r="H405" s="509"/>
      <c r="I405" s="525"/>
      <c r="J405" s="667"/>
      <c r="K405" s="667"/>
      <c r="L405" s="667"/>
    </row>
    <row r="406" spans="1:12" ht="15.75" x14ac:dyDescent="0.25">
      <c r="A406" s="87">
        <v>374</v>
      </c>
      <c r="B406" s="87" t="s">
        <v>1204</v>
      </c>
      <c r="C406" s="555">
        <v>6012</v>
      </c>
      <c r="D406" s="563">
        <v>15000</v>
      </c>
      <c r="E406" s="573">
        <v>167</v>
      </c>
      <c r="F406" s="563">
        <v>15000</v>
      </c>
      <c r="G406" s="87">
        <f t="shared" si="6"/>
        <v>0</v>
      </c>
      <c r="H406" s="509"/>
      <c r="I406" s="525"/>
      <c r="J406" s="667"/>
      <c r="K406" s="667"/>
      <c r="L406" s="667"/>
    </row>
    <row r="407" spans="1:12" ht="15.75" x14ac:dyDescent="0.25">
      <c r="A407" s="87">
        <v>375</v>
      </c>
      <c r="B407" s="87" t="s">
        <v>1205</v>
      </c>
      <c r="C407" s="555">
        <v>2227</v>
      </c>
      <c r="D407" s="563">
        <v>14000</v>
      </c>
      <c r="E407" s="573">
        <v>155.44999999999999</v>
      </c>
      <c r="F407" s="563">
        <v>14000</v>
      </c>
      <c r="G407" s="87">
        <f t="shared" si="6"/>
        <v>0</v>
      </c>
      <c r="H407" s="509"/>
      <c r="I407" s="525"/>
      <c r="J407" s="667"/>
      <c r="K407" s="667"/>
      <c r="L407" s="667"/>
    </row>
    <row r="408" spans="1:12" ht="15.75" x14ac:dyDescent="0.25">
      <c r="A408" s="87">
        <v>376</v>
      </c>
      <c r="B408" s="87" t="s">
        <v>1205</v>
      </c>
      <c r="C408" s="555">
        <v>7100</v>
      </c>
      <c r="D408" s="563">
        <v>10000</v>
      </c>
      <c r="E408" s="573">
        <v>111.42</v>
      </c>
      <c r="F408" s="563">
        <v>10000</v>
      </c>
      <c r="G408" s="87">
        <f t="shared" si="6"/>
        <v>0</v>
      </c>
      <c r="H408" s="509"/>
      <c r="I408" s="525"/>
      <c r="J408" s="667"/>
      <c r="K408" s="667"/>
      <c r="L408" s="667"/>
    </row>
    <row r="409" spans="1:12" ht="15.75" x14ac:dyDescent="0.25">
      <c r="A409" s="87">
        <v>377</v>
      </c>
      <c r="B409" s="87" t="s">
        <v>1205</v>
      </c>
      <c r="C409" s="555" t="s">
        <v>30</v>
      </c>
      <c r="D409" s="563">
        <v>5000</v>
      </c>
      <c r="E409" s="573">
        <v>55.52</v>
      </c>
      <c r="F409" s="563">
        <v>5000</v>
      </c>
      <c r="G409" s="87">
        <f t="shared" si="6"/>
        <v>0</v>
      </c>
      <c r="H409" s="509"/>
      <c r="I409" s="525"/>
      <c r="J409" s="667"/>
      <c r="K409" s="667"/>
      <c r="L409" s="667"/>
    </row>
    <row r="410" spans="1:12" ht="15.75" x14ac:dyDescent="0.25">
      <c r="A410" s="87">
        <v>378</v>
      </c>
      <c r="B410" s="87" t="s">
        <v>1205</v>
      </c>
      <c r="C410" s="555" t="s">
        <v>30</v>
      </c>
      <c r="D410" s="563">
        <v>5500</v>
      </c>
      <c r="E410" s="573">
        <v>58.48</v>
      </c>
      <c r="F410" s="563">
        <v>5500</v>
      </c>
      <c r="G410" s="87">
        <f t="shared" si="6"/>
        <v>0</v>
      </c>
      <c r="H410" s="509"/>
      <c r="I410" s="525"/>
      <c r="J410" s="667"/>
      <c r="K410" s="667"/>
      <c r="L410" s="667"/>
    </row>
    <row r="411" spans="1:12" ht="15.75" x14ac:dyDescent="0.25">
      <c r="A411" s="87">
        <v>379</v>
      </c>
      <c r="B411" s="87" t="s">
        <v>1205</v>
      </c>
      <c r="C411" s="555">
        <v>8726</v>
      </c>
      <c r="D411" s="563">
        <v>20000</v>
      </c>
      <c r="E411" s="573">
        <v>222.82</v>
      </c>
      <c r="F411" s="563">
        <v>20000</v>
      </c>
      <c r="G411" s="87">
        <f t="shared" si="6"/>
        <v>0</v>
      </c>
      <c r="H411" s="509"/>
      <c r="I411" s="525"/>
      <c r="J411" s="667"/>
      <c r="K411" s="667"/>
      <c r="L411" s="667"/>
    </row>
    <row r="412" spans="1:12" ht="15.75" x14ac:dyDescent="0.25">
      <c r="A412" s="87">
        <v>380</v>
      </c>
      <c r="B412" s="87" t="s">
        <v>1205</v>
      </c>
      <c r="C412" s="555">
        <v>7158</v>
      </c>
      <c r="D412" s="563">
        <v>18000</v>
      </c>
      <c r="E412" s="573">
        <v>200.18</v>
      </c>
      <c r="F412" s="563">
        <v>18000</v>
      </c>
      <c r="G412" s="87">
        <f t="shared" si="6"/>
        <v>0</v>
      </c>
      <c r="H412" s="509"/>
      <c r="I412" s="525"/>
      <c r="J412" s="667"/>
      <c r="K412" s="667"/>
      <c r="L412" s="667"/>
    </row>
    <row r="413" spans="1:12" ht="15.75" x14ac:dyDescent="0.25">
      <c r="A413" s="87">
        <v>381</v>
      </c>
      <c r="B413" s="87" t="s">
        <v>1205</v>
      </c>
      <c r="C413" s="555">
        <v>9426</v>
      </c>
      <c r="D413" s="563">
        <v>16000</v>
      </c>
      <c r="E413" s="573">
        <v>178.22</v>
      </c>
      <c r="F413" s="563">
        <v>16000</v>
      </c>
      <c r="G413" s="87">
        <f t="shared" si="6"/>
        <v>0</v>
      </c>
      <c r="H413" s="509"/>
      <c r="I413" s="525"/>
      <c r="J413" s="667"/>
      <c r="K413" s="667"/>
      <c r="L413" s="667"/>
    </row>
    <row r="414" spans="1:12" ht="15.75" x14ac:dyDescent="0.25">
      <c r="A414" s="87">
        <v>382</v>
      </c>
      <c r="B414" s="87" t="s">
        <v>1205</v>
      </c>
      <c r="C414" s="555">
        <v>4560</v>
      </c>
      <c r="D414" s="563">
        <v>26000</v>
      </c>
      <c r="E414" s="573">
        <v>289.39</v>
      </c>
      <c r="F414" s="563">
        <v>26000</v>
      </c>
      <c r="G414" s="87">
        <f t="shared" si="6"/>
        <v>0</v>
      </c>
      <c r="H414" s="509"/>
      <c r="I414" s="525"/>
      <c r="J414" s="667"/>
      <c r="K414" s="667"/>
      <c r="L414" s="667"/>
    </row>
    <row r="415" spans="1:12" ht="15.75" x14ac:dyDescent="0.25">
      <c r="A415" s="87">
        <v>383</v>
      </c>
      <c r="B415" s="87" t="s">
        <v>1205</v>
      </c>
      <c r="C415" s="607" t="s">
        <v>950</v>
      </c>
      <c r="D415" s="563">
        <v>25000</v>
      </c>
      <c r="E415" s="573">
        <v>278.22000000000003</v>
      </c>
      <c r="F415" s="563">
        <v>25000</v>
      </c>
      <c r="G415" s="87">
        <f t="shared" si="6"/>
        <v>0</v>
      </c>
      <c r="H415" s="509"/>
      <c r="I415" s="525"/>
      <c r="J415" s="667"/>
      <c r="K415" s="667"/>
      <c r="L415" s="667"/>
    </row>
    <row r="416" spans="1:12" ht="15.75" x14ac:dyDescent="0.25">
      <c r="A416" s="87">
        <v>384</v>
      </c>
      <c r="B416" s="87" t="s">
        <v>1205</v>
      </c>
      <c r="C416" s="555">
        <v>2963</v>
      </c>
      <c r="D416" s="563">
        <v>15000</v>
      </c>
      <c r="E416" s="573">
        <v>167.15</v>
      </c>
      <c r="F416" s="563">
        <v>15000</v>
      </c>
      <c r="G416" s="87">
        <f t="shared" si="6"/>
        <v>0</v>
      </c>
      <c r="H416" s="509"/>
      <c r="I416" s="525"/>
      <c r="J416" s="667"/>
      <c r="K416" s="667"/>
      <c r="L416" s="667"/>
    </row>
    <row r="417" spans="1:12" ht="15.75" x14ac:dyDescent="0.25">
      <c r="A417" s="87">
        <v>385</v>
      </c>
      <c r="B417" s="87" t="s">
        <v>1205</v>
      </c>
      <c r="C417" s="555">
        <v>6353</v>
      </c>
      <c r="D417" s="563">
        <v>14000</v>
      </c>
      <c r="E417" s="573">
        <v>155.28</v>
      </c>
      <c r="F417" s="563">
        <v>14000</v>
      </c>
      <c r="G417" s="87">
        <f t="shared" si="6"/>
        <v>0</v>
      </c>
      <c r="H417" s="509"/>
      <c r="I417" s="525"/>
      <c r="J417" s="667"/>
      <c r="K417" s="667"/>
      <c r="L417" s="667"/>
    </row>
    <row r="418" spans="1:12" ht="15.75" x14ac:dyDescent="0.25">
      <c r="A418" s="87">
        <v>386</v>
      </c>
      <c r="B418" s="87" t="s">
        <v>1205</v>
      </c>
      <c r="C418" s="555" t="s">
        <v>30</v>
      </c>
      <c r="D418" s="563">
        <v>10000</v>
      </c>
      <c r="E418" s="573">
        <v>111.42</v>
      </c>
      <c r="F418" s="563">
        <v>10000</v>
      </c>
      <c r="G418" s="87">
        <f t="shared" si="6"/>
        <v>0</v>
      </c>
      <c r="H418" s="509"/>
      <c r="I418" s="525"/>
      <c r="J418" s="667"/>
      <c r="K418" s="667"/>
      <c r="L418" s="667"/>
    </row>
    <row r="419" spans="1:12" ht="15.75" x14ac:dyDescent="0.25">
      <c r="A419" s="87">
        <v>387</v>
      </c>
      <c r="B419" s="87" t="s">
        <v>1205</v>
      </c>
      <c r="C419" s="607" t="s">
        <v>1245</v>
      </c>
      <c r="D419" s="563">
        <v>20000</v>
      </c>
      <c r="E419" s="573">
        <v>222.82</v>
      </c>
      <c r="F419" s="563">
        <v>20000</v>
      </c>
      <c r="G419" s="87">
        <f t="shared" si="6"/>
        <v>0</v>
      </c>
      <c r="H419" s="509"/>
      <c r="I419" s="525"/>
      <c r="J419" s="667"/>
      <c r="K419" s="667"/>
      <c r="L419" s="667"/>
    </row>
    <row r="420" spans="1:12" ht="15.75" x14ac:dyDescent="0.25">
      <c r="A420" s="87">
        <v>388</v>
      </c>
      <c r="B420" s="87" t="s">
        <v>1205</v>
      </c>
      <c r="C420" s="555">
        <v>9426</v>
      </c>
      <c r="D420" s="563">
        <v>20000</v>
      </c>
      <c r="E420" s="573">
        <v>222.82</v>
      </c>
      <c r="F420" s="563">
        <v>20000</v>
      </c>
      <c r="G420" s="87">
        <f t="shared" si="6"/>
        <v>0</v>
      </c>
      <c r="H420" s="509"/>
      <c r="I420" s="525"/>
      <c r="J420" s="667"/>
      <c r="K420" s="667"/>
      <c r="L420" s="667"/>
    </row>
    <row r="421" spans="1:12" ht="15.75" x14ac:dyDescent="0.25">
      <c r="A421" s="87">
        <v>389</v>
      </c>
      <c r="B421" s="87" t="s">
        <v>1205</v>
      </c>
      <c r="C421" s="607" t="s">
        <v>938</v>
      </c>
      <c r="D421" s="563">
        <v>14000</v>
      </c>
      <c r="E421" s="573">
        <v>155.28</v>
      </c>
      <c r="F421" s="563">
        <v>14000</v>
      </c>
      <c r="G421" s="87">
        <f t="shared" si="6"/>
        <v>0</v>
      </c>
      <c r="H421" s="509"/>
      <c r="I421" s="525"/>
      <c r="J421" s="667"/>
      <c r="K421" s="667"/>
      <c r="L421" s="667"/>
    </row>
    <row r="422" spans="1:12" ht="15.75" x14ac:dyDescent="0.25">
      <c r="A422" s="87">
        <v>390</v>
      </c>
      <c r="B422" s="87" t="s">
        <v>1205</v>
      </c>
      <c r="C422" s="555">
        <v>7804</v>
      </c>
      <c r="D422" s="563">
        <v>17000</v>
      </c>
      <c r="E422" s="573">
        <v>179.48</v>
      </c>
      <c r="F422" s="563">
        <v>17000</v>
      </c>
      <c r="G422" s="87">
        <f t="shared" si="6"/>
        <v>0</v>
      </c>
      <c r="H422" s="509"/>
      <c r="I422" s="525"/>
      <c r="J422" s="667"/>
      <c r="K422" s="667"/>
      <c r="L422" s="667"/>
    </row>
    <row r="423" spans="1:12" ht="15.75" x14ac:dyDescent="0.25">
      <c r="A423" s="87">
        <v>391</v>
      </c>
      <c r="B423" s="87" t="s">
        <v>1205</v>
      </c>
      <c r="C423" s="555">
        <v>3886</v>
      </c>
      <c r="D423" s="563">
        <v>18000</v>
      </c>
      <c r="E423" s="573">
        <v>200.18</v>
      </c>
      <c r="F423" s="563">
        <v>18000</v>
      </c>
      <c r="G423" s="87">
        <f t="shared" si="6"/>
        <v>0</v>
      </c>
      <c r="H423" s="509"/>
      <c r="I423" s="525"/>
      <c r="J423" s="667"/>
      <c r="K423" s="667"/>
      <c r="L423" s="667"/>
    </row>
    <row r="424" spans="1:12" ht="15.75" x14ac:dyDescent="0.25">
      <c r="A424" s="87">
        <v>392</v>
      </c>
      <c r="B424" s="87" t="s">
        <v>1205</v>
      </c>
      <c r="C424" s="555">
        <v>1602</v>
      </c>
      <c r="D424" s="563">
        <v>20000</v>
      </c>
      <c r="E424" s="573">
        <v>222.82</v>
      </c>
      <c r="F424" s="563">
        <v>20000</v>
      </c>
      <c r="G424" s="87">
        <f t="shared" si="6"/>
        <v>0</v>
      </c>
      <c r="H424" s="509"/>
      <c r="I424" s="525"/>
      <c r="J424" s="667"/>
      <c r="K424" s="667"/>
      <c r="L424" s="667"/>
    </row>
    <row r="425" spans="1:12" ht="15.75" x14ac:dyDescent="0.25">
      <c r="A425" s="87">
        <v>393</v>
      </c>
      <c r="B425" s="87" t="s">
        <v>1205</v>
      </c>
      <c r="C425" s="607" t="s">
        <v>1246</v>
      </c>
      <c r="D425" s="563">
        <v>14000</v>
      </c>
      <c r="E425" s="573">
        <v>155.28</v>
      </c>
      <c r="F425" s="563">
        <v>14000</v>
      </c>
      <c r="G425" s="87">
        <f t="shared" si="6"/>
        <v>0</v>
      </c>
      <c r="H425" s="509"/>
      <c r="I425" s="525"/>
      <c r="J425" s="667"/>
      <c r="K425" s="667"/>
      <c r="L425" s="667"/>
    </row>
    <row r="426" spans="1:12" ht="15.75" x14ac:dyDescent="0.25">
      <c r="A426" s="87">
        <v>394</v>
      </c>
      <c r="B426" s="87" t="s">
        <v>1205</v>
      </c>
      <c r="C426" s="555">
        <v>6636</v>
      </c>
      <c r="D426" s="563">
        <v>29000</v>
      </c>
      <c r="E426" s="573">
        <v>327.84</v>
      </c>
      <c r="F426" s="563">
        <v>29000</v>
      </c>
      <c r="G426" s="87">
        <f t="shared" si="6"/>
        <v>0</v>
      </c>
      <c r="H426" s="509"/>
      <c r="I426" s="525"/>
      <c r="J426" s="667"/>
      <c r="K426" s="667"/>
      <c r="L426" s="667"/>
    </row>
    <row r="427" spans="1:12" ht="15.75" x14ac:dyDescent="0.25">
      <c r="A427" s="87">
        <v>395</v>
      </c>
      <c r="B427" s="87" t="s">
        <v>1205</v>
      </c>
      <c r="C427" s="555">
        <v>2819</v>
      </c>
      <c r="D427" s="563">
        <v>28000</v>
      </c>
      <c r="E427" s="573">
        <v>311.82</v>
      </c>
      <c r="F427" s="563">
        <v>28000</v>
      </c>
      <c r="G427" s="87">
        <f t="shared" si="6"/>
        <v>0</v>
      </c>
      <c r="H427" s="509"/>
      <c r="I427" s="525"/>
      <c r="J427" s="667"/>
      <c r="K427" s="667"/>
      <c r="L427" s="667"/>
    </row>
    <row r="428" spans="1:12" ht="15.75" x14ac:dyDescent="0.25">
      <c r="A428" s="87">
        <v>396</v>
      </c>
      <c r="B428" s="87" t="s">
        <v>1205</v>
      </c>
      <c r="C428" s="555">
        <v>6764</v>
      </c>
      <c r="D428" s="563">
        <v>30000</v>
      </c>
      <c r="E428" s="573">
        <v>334.72</v>
      </c>
      <c r="F428" s="563">
        <v>30000</v>
      </c>
      <c r="G428" s="87">
        <f t="shared" si="6"/>
        <v>0</v>
      </c>
      <c r="H428" s="509"/>
      <c r="I428" s="525"/>
      <c r="J428" s="667"/>
      <c r="K428" s="667"/>
      <c r="L428" s="667"/>
    </row>
    <row r="429" spans="1:12" ht="15.75" x14ac:dyDescent="0.25">
      <c r="A429" s="87">
        <v>397</v>
      </c>
      <c r="B429" s="87" t="s">
        <v>1205</v>
      </c>
      <c r="C429" s="555" t="s">
        <v>66</v>
      </c>
      <c r="D429" s="563">
        <v>200</v>
      </c>
      <c r="E429" s="573">
        <v>2.08</v>
      </c>
      <c r="F429" s="563">
        <v>200</v>
      </c>
      <c r="G429" s="87">
        <f t="shared" si="6"/>
        <v>0</v>
      </c>
      <c r="H429" s="509"/>
      <c r="I429" s="525"/>
      <c r="J429" s="667"/>
      <c r="K429" s="667"/>
      <c r="L429" s="667"/>
    </row>
    <row r="430" spans="1:12" ht="15.75" x14ac:dyDescent="0.25">
      <c r="A430" s="87">
        <v>398</v>
      </c>
      <c r="B430" s="87" t="s">
        <v>1205</v>
      </c>
      <c r="C430" s="555">
        <v>9391</v>
      </c>
      <c r="D430" s="563">
        <v>28000</v>
      </c>
      <c r="E430" s="573">
        <v>311.82</v>
      </c>
      <c r="F430" s="563">
        <v>28000</v>
      </c>
      <c r="G430" s="87">
        <f t="shared" si="6"/>
        <v>0</v>
      </c>
      <c r="H430" s="509"/>
      <c r="I430" s="525"/>
      <c r="J430" s="667"/>
      <c r="K430" s="667"/>
      <c r="L430" s="667"/>
    </row>
    <row r="431" spans="1:12" ht="15.75" x14ac:dyDescent="0.25">
      <c r="A431" s="87">
        <v>399</v>
      </c>
      <c r="B431" s="87" t="s">
        <v>1205</v>
      </c>
      <c r="C431" s="555">
        <v>3648</v>
      </c>
      <c r="D431" s="563">
        <v>15000</v>
      </c>
      <c r="E431" s="573">
        <v>167.15</v>
      </c>
      <c r="F431" s="563">
        <v>15000</v>
      </c>
      <c r="G431" s="87">
        <f t="shared" si="6"/>
        <v>0</v>
      </c>
      <c r="H431" s="509"/>
      <c r="I431" s="525"/>
      <c r="J431" s="667"/>
      <c r="K431" s="667"/>
      <c r="L431" s="667"/>
    </row>
    <row r="432" spans="1:12" ht="15.75" x14ac:dyDescent="0.25">
      <c r="A432" s="87">
        <v>400</v>
      </c>
      <c r="B432" s="87" t="s">
        <v>1205</v>
      </c>
      <c r="C432" s="555">
        <v>1226</v>
      </c>
      <c r="D432" s="563">
        <v>22000</v>
      </c>
      <c r="E432" s="573">
        <v>242.71</v>
      </c>
      <c r="F432" s="563">
        <v>22000</v>
      </c>
      <c r="G432" s="87">
        <f t="shared" si="6"/>
        <v>0</v>
      </c>
      <c r="H432" s="509"/>
      <c r="I432" s="525"/>
      <c r="J432" s="667"/>
      <c r="K432" s="667"/>
      <c r="L432" s="667"/>
    </row>
    <row r="433" spans="1:12" ht="15.75" x14ac:dyDescent="0.25">
      <c r="A433" s="87">
        <v>401</v>
      </c>
      <c r="B433" s="87" t="s">
        <v>1205</v>
      </c>
      <c r="C433" s="555">
        <v>9941</v>
      </c>
      <c r="D433" s="563">
        <v>18000</v>
      </c>
      <c r="E433" s="573">
        <v>200.82</v>
      </c>
      <c r="F433" s="563">
        <v>18000</v>
      </c>
      <c r="G433" s="87">
        <f t="shared" si="6"/>
        <v>0</v>
      </c>
      <c r="H433" s="509"/>
      <c r="I433" s="525"/>
      <c r="J433" s="667"/>
      <c r="K433" s="667"/>
      <c r="L433" s="667"/>
    </row>
    <row r="434" spans="1:12" ht="15.75" x14ac:dyDescent="0.25">
      <c r="A434" s="87">
        <v>402</v>
      </c>
      <c r="B434" s="87" t="s">
        <v>1205</v>
      </c>
      <c r="C434" s="555">
        <v>6252</v>
      </c>
      <c r="D434" s="563">
        <v>14000</v>
      </c>
      <c r="E434" s="573">
        <v>155.28</v>
      </c>
      <c r="F434" s="563">
        <v>14000</v>
      </c>
      <c r="G434" s="87">
        <f t="shared" si="6"/>
        <v>0</v>
      </c>
      <c r="H434" s="509"/>
      <c r="I434" s="525"/>
      <c r="J434" s="667"/>
      <c r="K434" s="667"/>
      <c r="L434" s="667"/>
    </row>
    <row r="435" spans="1:12" ht="15.75" x14ac:dyDescent="0.25">
      <c r="A435" s="87">
        <v>403</v>
      </c>
      <c r="B435" s="87" t="s">
        <v>1205</v>
      </c>
      <c r="C435" s="555">
        <v>7958</v>
      </c>
      <c r="D435" s="563">
        <v>18000</v>
      </c>
      <c r="E435" s="573">
        <v>200.18</v>
      </c>
      <c r="F435" s="563">
        <v>18000</v>
      </c>
      <c r="G435" s="87">
        <f t="shared" si="6"/>
        <v>0</v>
      </c>
      <c r="H435" s="509"/>
      <c r="I435" s="525"/>
      <c r="J435" s="667"/>
      <c r="K435" s="667"/>
      <c r="L435" s="667"/>
    </row>
    <row r="436" spans="1:12" ht="15.75" x14ac:dyDescent="0.25">
      <c r="A436" s="87">
        <v>404</v>
      </c>
      <c r="B436" s="87" t="s">
        <v>1205</v>
      </c>
      <c r="C436" s="555">
        <v>6089</v>
      </c>
      <c r="D436" s="563">
        <v>22000</v>
      </c>
      <c r="E436" s="573">
        <v>245.22</v>
      </c>
      <c r="F436" s="563">
        <v>22000</v>
      </c>
      <c r="G436" s="87">
        <f t="shared" si="6"/>
        <v>0</v>
      </c>
      <c r="H436" s="509"/>
      <c r="I436" s="525"/>
      <c r="J436" s="667"/>
      <c r="K436" s="667"/>
      <c r="L436" s="667"/>
    </row>
    <row r="437" spans="1:12" ht="15.75" x14ac:dyDescent="0.25">
      <c r="A437" s="87">
        <v>405</v>
      </c>
      <c r="B437" s="87" t="s">
        <v>1205</v>
      </c>
      <c r="C437" s="555">
        <v>9654</v>
      </c>
      <c r="D437" s="563">
        <v>17000</v>
      </c>
      <c r="E437" s="573">
        <v>179.48</v>
      </c>
      <c r="F437" s="563">
        <v>17000</v>
      </c>
      <c r="G437" s="87">
        <f t="shared" si="6"/>
        <v>0</v>
      </c>
      <c r="H437" s="509"/>
      <c r="I437" s="525"/>
      <c r="J437" s="667"/>
      <c r="K437" s="667"/>
      <c r="L437" s="667"/>
    </row>
    <row r="438" spans="1:12" ht="15.75" x14ac:dyDescent="0.25">
      <c r="A438" s="87">
        <v>406</v>
      </c>
      <c r="B438" s="87" t="s">
        <v>1205</v>
      </c>
      <c r="C438" s="607" t="s">
        <v>1247</v>
      </c>
      <c r="D438" s="563">
        <v>17000</v>
      </c>
      <c r="E438" s="573">
        <v>179.48</v>
      </c>
      <c r="F438" s="563">
        <v>17000</v>
      </c>
      <c r="G438" s="87">
        <f t="shared" si="6"/>
        <v>0</v>
      </c>
      <c r="H438" s="509"/>
      <c r="I438" s="525"/>
      <c r="J438" s="667"/>
      <c r="K438" s="667"/>
      <c r="L438" s="667"/>
    </row>
    <row r="439" spans="1:12" ht="15.75" x14ac:dyDescent="0.25">
      <c r="A439" s="87">
        <v>407</v>
      </c>
      <c r="B439" s="87" t="s">
        <v>1205</v>
      </c>
      <c r="C439" s="555">
        <v>3954</v>
      </c>
      <c r="D439" s="563">
        <v>28000</v>
      </c>
      <c r="E439" s="573">
        <v>311.57</v>
      </c>
      <c r="F439" s="563">
        <v>28000</v>
      </c>
      <c r="G439" s="87">
        <f t="shared" si="6"/>
        <v>0</v>
      </c>
      <c r="H439" s="509"/>
      <c r="I439" s="525"/>
      <c r="J439" s="667"/>
      <c r="K439" s="667"/>
      <c r="L439" s="667"/>
    </row>
    <row r="440" spans="1:12" ht="15.75" x14ac:dyDescent="0.25">
      <c r="A440" s="87">
        <v>408</v>
      </c>
      <c r="B440" s="87" t="s">
        <v>1205</v>
      </c>
      <c r="C440" s="555">
        <v>9500</v>
      </c>
      <c r="D440" s="563">
        <v>28000</v>
      </c>
      <c r="E440" s="573">
        <v>311.57</v>
      </c>
      <c r="F440" s="563">
        <v>28000</v>
      </c>
      <c r="G440" s="87">
        <f t="shared" si="6"/>
        <v>0</v>
      </c>
      <c r="H440" s="509"/>
      <c r="I440" s="525"/>
      <c r="J440" s="667"/>
      <c r="K440" s="667"/>
      <c r="L440" s="667"/>
    </row>
    <row r="441" spans="1:12" ht="15.75" x14ac:dyDescent="0.25">
      <c r="A441" s="87">
        <v>409</v>
      </c>
      <c r="B441" s="87" t="s">
        <v>1205</v>
      </c>
      <c r="C441" s="555">
        <v>9656</v>
      </c>
      <c r="D441" s="563">
        <v>25000</v>
      </c>
      <c r="E441" s="573">
        <v>278.22000000000003</v>
      </c>
      <c r="F441" s="563">
        <v>25000</v>
      </c>
      <c r="G441" s="87">
        <f t="shared" si="6"/>
        <v>0</v>
      </c>
      <c r="H441" s="509"/>
      <c r="I441" s="525"/>
      <c r="J441" s="667"/>
      <c r="K441" s="667"/>
      <c r="L441" s="667"/>
    </row>
    <row r="442" spans="1:12" ht="15.75" x14ac:dyDescent="0.25">
      <c r="A442" s="87">
        <v>410</v>
      </c>
      <c r="B442" s="87" t="s">
        <v>1205</v>
      </c>
      <c r="C442" s="555">
        <v>8007</v>
      </c>
      <c r="D442" s="563">
        <v>28000</v>
      </c>
      <c r="E442" s="573">
        <v>311.57</v>
      </c>
      <c r="F442" s="563">
        <v>28000</v>
      </c>
      <c r="G442" s="87">
        <f t="shared" si="6"/>
        <v>0</v>
      </c>
      <c r="H442" s="509"/>
      <c r="I442" s="525"/>
      <c r="J442" s="667"/>
      <c r="K442" s="667"/>
      <c r="L442" s="667"/>
    </row>
    <row r="443" spans="1:12" ht="15.75" x14ac:dyDescent="0.25">
      <c r="A443" s="87">
        <v>411</v>
      </c>
      <c r="B443" s="87" t="s">
        <v>1205</v>
      </c>
      <c r="C443" s="555">
        <v>6979</v>
      </c>
      <c r="D443" s="563">
        <v>16000</v>
      </c>
      <c r="E443" s="573">
        <v>178.22</v>
      </c>
      <c r="F443" s="563">
        <v>16000</v>
      </c>
      <c r="G443" s="87">
        <f t="shared" si="6"/>
        <v>0</v>
      </c>
      <c r="H443" s="509"/>
      <c r="I443" s="525"/>
      <c r="J443" s="667"/>
      <c r="K443" s="667"/>
      <c r="L443" s="667"/>
    </row>
    <row r="444" spans="1:12" ht="15.75" x14ac:dyDescent="0.25">
      <c r="A444" s="87">
        <v>412</v>
      </c>
      <c r="B444" s="87" t="s">
        <v>1205</v>
      </c>
      <c r="C444" s="555">
        <v>2345</v>
      </c>
      <c r="D444" s="563">
        <v>20000</v>
      </c>
      <c r="E444" s="573">
        <v>222.82</v>
      </c>
      <c r="F444" s="563">
        <v>20000</v>
      </c>
      <c r="G444" s="87">
        <f t="shared" si="6"/>
        <v>0</v>
      </c>
      <c r="H444" s="509"/>
      <c r="I444" s="525"/>
      <c r="J444" s="667"/>
      <c r="K444" s="667"/>
      <c r="L444" s="667"/>
    </row>
    <row r="445" spans="1:12" ht="15.75" x14ac:dyDescent="0.25">
      <c r="A445" s="87">
        <v>413</v>
      </c>
      <c r="B445" s="87" t="s">
        <v>1205</v>
      </c>
      <c r="C445" s="555">
        <v>8596</v>
      </c>
      <c r="D445" s="563">
        <v>30000</v>
      </c>
      <c r="E445" s="573">
        <v>334.72</v>
      </c>
      <c r="F445" s="563">
        <v>30000</v>
      </c>
      <c r="G445" s="87">
        <f t="shared" si="6"/>
        <v>0</v>
      </c>
      <c r="H445" s="509"/>
      <c r="I445" s="525"/>
      <c r="J445" s="667"/>
      <c r="K445" s="667"/>
      <c r="L445" s="667"/>
    </row>
    <row r="446" spans="1:12" s="681" customFormat="1" ht="15.75" x14ac:dyDescent="0.25">
      <c r="A446" s="87"/>
      <c r="B446" s="87" t="s">
        <v>1206</v>
      </c>
      <c r="C446" s="555" t="s">
        <v>1270</v>
      </c>
      <c r="D446" s="563">
        <v>14000</v>
      </c>
      <c r="E446" s="573">
        <v>150</v>
      </c>
      <c r="F446" s="563">
        <v>14000</v>
      </c>
      <c r="G446" s="87">
        <f t="shared" ref="G446:G509" si="7">D446-F446</f>
        <v>0</v>
      </c>
      <c r="H446" s="509"/>
      <c r="I446" s="525"/>
    </row>
    <row r="447" spans="1:12" s="681" customFormat="1" ht="15.75" x14ac:dyDescent="0.25">
      <c r="A447" s="87"/>
      <c r="B447" s="87" t="s">
        <v>1206</v>
      </c>
      <c r="C447" s="555" t="s">
        <v>1308</v>
      </c>
      <c r="D447" s="563">
        <v>10000</v>
      </c>
      <c r="E447" s="573">
        <v>111</v>
      </c>
      <c r="F447" s="563">
        <v>10000</v>
      </c>
      <c r="G447" s="87">
        <f t="shared" si="7"/>
        <v>0</v>
      </c>
      <c r="H447" s="509"/>
      <c r="I447" s="525"/>
    </row>
    <row r="448" spans="1:12" s="681" customFormat="1" ht="15.75" x14ac:dyDescent="0.25">
      <c r="A448" s="87"/>
      <c r="B448" s="87" t="s">
        <v>1206</v>
      </c>
      <c r="C448" s="555" t="s">
        <v>1309</v>
      </c>
      <c r="D448" s="563">
        <v>10000</v>
      </c>
      <c r="E448" s="573">
        <v>111</v>
      </c>
      <c r="F448" s="563">
        <v>10000</v>
      </c>
      <c r="G448" s="87">
        <f t="shared" si="7"/>
        <v>0</v>
      </c>
      <c r="H448" s="509"/>
      <c r="I448" s="525"/>
    </row>
    <row r="449" spans="1:9" s="681" customFormat="1" ht="15.75" x14ac:dyDescent="0.25">
      <c r="A449" s="87"/>
      <c r="B449" s="87" t="s">
        <v>1206</v>
      </c>
      <c r="C449" s="555" t="s">
        <v>1310</v>
      </c>
      <c r="D449" s="563">
        <v>7000</v>
      </c>
      <c r="E449" s="573">
        <v>77</v>
      </c>
      <c r="F449" s="563">
        <v>7000</v>
      </c>
      <c r="G449" s="87">
        <f t="shared" si="7"/>
        <v>0</v>
      </c>
      <c r="H449" s="509"/>
      <c r="I449" s="525"/>
    </row>
    <row r="450" spans="1:9" s="681" customFormat="1" ht="15.75" x14ac:dyDescent="0.25">
      <c r="A450" s="87"/>
      <c r="B450" s="87" t="s">
        <v>1206</v>
      </c>
      <c r="C450" s="555" t="s">
        <v>1311</v>
      </c>
      <c r="D450" s="563">
        <v>20000</v>
      </c>
      <c r="E450" s="573">
        <v>229</v>
      </c>
      <c r="F450" s="563">
        <v>20000</v>
      </c>
      <c r="G450" s="87">
        <f t="shared" si="7"/>
        <v>0</v>
      </c>
      <c r="H450" s="509"/>
      <c r="I450" s="525"/>
    </row>
    <row r="451" spans="1:9" s="681" customFormat="1" ht="15.75" x14ac:dyDescent="0.25">
      <c r="A451" s="87"/>
      <c r="B451" s="87" t="s">
        <v>1206</v>
      </c>
      <c r="C451" s="555" t="s">
        <v>1312</v>
      </c>
      <c r="D451" s="563">
        <v>30000</v>
      </c>
      <c r="E451" s="573">
        <v>265</v>
      </c>
      <c r="F451" s="563">
        <v>30000</v>
      </c>
      <c r="G451" s="87">
        <f t="shared" si="7"/>
        <v>0</v>
      </c>
      <c r="H451" s="509"/>
      <c r="I451" s="525"/>
    </row>
    <row r="452" spans="1:9" s="681" customFormat="1" ht="15.75" x14ac:dyDescent="0.25">
      <c r="A452" s="87"/>
      <c r="B452" s="87" t="s">
        <v>1206</v>
      </c>
      <c r="C452" s="555" t="s">
        <v>1276</v>
      </c>
      <c r="D452" s="563">
        <v>14000</v>
      </c>
      <c r="E452" s="573">
        <v>155</v>
      </c>
      <c r="F452" s="563">
        <v>14000</v>
      </c>
      <c r="G452" s="87">
        <f t="shared" si="7"/>
        <v>0</v>
      </c>
      <c r="H452" s="509"/>
      <c r="I452" s="525"/>
    </row>
    <row r="453" spans="1:9" s="681" customFormat="1" ht="15.75" x14ac:dyDescent="0.25">
      <c r="A453" s="87"/>
      <c r="B453" s="87" t="s">
        <v>1206</v>
      </c>
      <c r="C453" s="555" t="s">
        <v>1275</v>
      </c>
      <c r="D453" s="563">
        <v>14000</v>
      </c>
      <c r="E453" s="573">
        <v>155</v>
      </c>
      <c r="F453" s="563">
        <v>14000</v>
      </c>
      <c r="G453" s="87">
        <f t="shared" si="7"/>
        <v>0</v>
      </c>
      <c r="H453" s="509"/>
      <c r="I453" s="525"/>
    </row>
    <row r="454" spans="1:9" s="681" customFormat="1" ht="15.75" x14ac:dyDescent="0.25">
      <c r="A454" s="87"/>
      <c r="B454" s="87" t="s">
        <v>1206</v>
      </c>
      <c r="C454" s="555" t="s">
        <v>1313</v>
      </c>
      <c r="D454" s="563">
        <v>22000</v>
      </c>
      <c r="E454" s="573">
        <v>245</v>
      </c>
      <c r="F454" s="563">
        <v>22000</v>
      </c>
      <c r="G454" s="87">
        <f t="shared" si="7"/>
        <v>0</v>
      </c>
      <c r="H454" s="509"/>
      <c r="I454" s="525"/>
    </row>
    <row r="455" spans="1:9" s="681" customFormat="1" ht="15.75" x14ac:dyDescent="0.25">
      <c r="A455" s="87"/>
      <c r="B455" s="87" t="s">
        <v>1314</v>
      </c>
      <c r="C455" s="555" t="s">
        <v>66</v>
      </c>
      <c r="D455" s="563">
        <v>210</v>
      </c>
      <c r="E455" s="573" t="s">
        <v>66</v>
      </c>
      <c r="F455" s="563">
        <v>210</v>
      </c>
      <c r="G455" s="87">
        <f t="shared" si="7"/>
        <v>0</v>
      </c>
      <c r="H455" s="509"/>
      <c r="I455" s="525"/>
    </row>
    <row r="456" spans="1:9" s="681" customFormat="1" ht="15.75" x14ac:dyDescent="0.25">
      <c r="A456" s="87"/>
      <c r="B456" s="87" t="s">
        <v>1314</v>
      </c>
      <c r="C456" s="555" t="s">
        <v>30</v>
      </c>
      <c r="D456" s="563">
        <v>10000</v>
      </c>
      <c r="E456" s="573">
        <v>111</v>
      </c>
      <c r="F456" s="563">
        <v>10000</v>
      </c>
      <c r="G456" s="87">
        <f t="shared" si="7"/>
        <v>0</v>
      </c>
      <c r="H456" s="509"/>
      <c r="I456" s="525"/>
    </row>
    <row r="457" spans="1:9" s="681" customFormat="1" ht="15.75" x14ac:dyDescent="0.25">
      <c r="A457" s="87"/>
      <c r="B457" s="87" t="s">
        <v>1314</v>
      </c>
      <c r="C457" s="555" t="s">
        <v>30</v>
      </c>
      <c r="D457" s="563">
        <v>5000</v>
      </c>
      <c r="E457" s="573">
        <v>55</v>
      </c>
      <c r="F457" s="563">
        <v>5000</v>
      </c>
      <c r="G457" s="87">
        <f t="shared" si="7"/>
        <v>0</v>
      </c>
      <c r="H457" s="509"/>
      <c r="I457" s="525"/>
    </row>
    <row r="458" spans="1:9" s="681" customFormat="1" ht="15.75" x14ac:dyDescent="0.25">
      <c r="A458" s="87"/>
      <c r="B458" s="87" t="s">
        <v>1314</v>
      </c>
      <c r="C458" s="555" t="s">
        <v>1303</v>
      </c>
      <c r="D458" s="563">
        <v>14000</v>
      </c>
      <c r="E458" s="573">
        <v>155</v>
      </c>
      <c r="F458" s="563">
        <v>14000</v>
      </c>
      <c r="G458" s="87">
        <f t="shared" si="7"/>
        <v>0</v>
      </c>
      <c r="H458" s="509"/>
      <c r="I458" s="525"/>
    </row>
    <row r="459" spans="1:9" s="681" customFormat="1" ht="15.75" x14ac:dyDescent="0.25">
      <c r="A459" s="87"/>
      <c r="B459" s="87" t="s">
        <v>1314</v>
      </c>
      <c r="C459" s="555" t="s">
        <v>1315</v>
      </c>
      <c r="D459" s="563">
        <v>16000</v>
      </c>
      <c r="E459" s="573">
        <v>178</v>
      </c>
      <c r="F459" s="563">
        <v>16000</v>
      </c>
      <c r="G459" s="87">
        <f t="shared" si="7"/>
        <v>0</v>
      </c>
      <c r="H459" s="509"/>
      <c r="I459" s="525"/>
    </row>
    <row r="460" spans="1:9" s="681" customFormat="1" ht="15.75" x14ac:dyDescent="0.25">
      <c r="A460" s="87"/>
      <c r="B460" s="87" t="s">
        <v>1314</v>
      </c>
      <c r="C460" s="555" t="s">
        <v>1316</v>
      </c>
      <c r="D460" s="563">
        <v>14000</v>
      </c>
      <c r="E460" s="573">
        <v>155</v>
      </c>
      <c r="F460" s="563">
        <v>14000</v>
      </c>
      <c r="G460" s="87">
        <f t="shared" si="7"/>
        <v>0</v>
      </c>
      <c r="H460" s="509"/>
      <c r="I460" s="525"/>
    </row>
    <row r="461" spans="1:9" s="681" customFormat="1" ht="15.75" x14ac:dyDescent="0.25">
      <c r="A461" s="87"/>
      <c r="B461" s="87" t="s">
        <v>1314</v>
      </c>
      <c r="C461" s="555" t="s">
        <v>1280</v>
      </c>
      <c r="D461" s="563">
        <v>16000</v>
      </c>
      <c r="E461" s="573">
        <v>178</v>
      </c>
      <c r="F461" s="563">
        <v>16000</v>
      </c>
      <c r="G461" s="87">
        <f t="shared" si="7"/>
        <v>0</v>
      </c>
      <c r="H461" s="509"/>
      <c r="I461" s="525"/>
    </row>
    <row r="462" spans="1:9" s="681" customFormat="1" ht="15.75" x14ac:dyDescent="0.25">
      <c r="A462" s="87"/>
      <c r="B462" s="87" t="s">
        <v>1314</v>
      </c>
      <c r="C462" s="555" t="s">
        <v>1317</v>
      </c>
      <c r="D462" s="563">
        <v>16000</v>
      </c>
      <c r="E462" s="573">
        <v>178</v>
      </c>
      <c r="F462" s="563">
        <v>16000</v>
      </c>
      <c r="G462" s="87">
        <f t="shared" si="7"/>
        <v>0</v>
      </c>
      <c r="H462" s="509"/>
      <c r="I462" s="525"/>
    </row>
    <row r="463" spans="1:9" s="681" customFormat="1" ht="15.75" x14ac:dyDescent="0.25">
      <c r="A463" s="87"/>
      <c r="B463" s="87" t="s">
        <v>1314</v>
      </c>
      <c r="C463" s="555" t="s">
        <v>1299</v>
      </c>
      <c r="D463" s="563">
        <v>10000</v>
      </c>
      <c r="E463" s="573">
        <v>111</v>
      </c>
      <c r="F463" s="563">
        <v>10000</v>
      </c>
      <c r="G463" s="87">
        <f t="shared" si="7"/>
        <v>0</v>
      </c>
      <c r="H463" s="509"/>
      <c r="I463" s="525"/>
    </row>
    <row r="464" spans="1:9" s="681" customFormat="1" ht="15.75" x14ac:dyDescent="0.25">
      <c r="A464" s="87"/>
      <c r="B464" s="87" t="s">
        <v>1314</v>
      </c>
      <c r="C464" s="555" t="s">
        <v>1290</v>
      </c>
      <c r="D464" s="563">
        <v>15000</v>
      </c>
      <c r="E464" s="573">
        <v>155</v>
      </c>
      <c r="F464" s="563">
        <v>15000</v>
      </c>
      <c r="G464" s="87">
        <f t="shared" si="7"/>
        <v>0</v>
      </c>
      <c r="H464" s="509"/>
      <c r="I464" s="525"/>
    </row>
    <row r="465" spans="1:9" s="681" customFormat="1" ht="15.75" x14ac:dyDescent="0.25">
      <c r="A465" s="87"/>
      <c r="B465" s="87" t="s">
        <v>1314</v>
      </c>
      <c r="C465" s="555" t="s">
        <v>1318</v>
      </c>
      <c r="D465" s="563">
        <v>17000</v>
      </c>
      <c r="E465" s="573">
        <v>189</v>
      </c>
      <c r="F465" s="563">
        <v>17000</v>
      </c>
      <c r="G465" s="87">
        <f t="shared" si="7"/>
        <v>0</v>
      </c>
      <c r="H465" s="509"/>
      <c r="I465" s="525"/>
    </row>
    <row r="466" spans="1:9" s="681" customFormat="1" ht="15.75" x14ac:dyDescent="0.25">
      <c r="A466" s="87"/>
      <c r="B466" s="87" t="s">
        <v>1314</v>
      </c>
      <c r="C466" s="555" t="s">
        <v>1235</v>
      </c>
      <c r="D466" s="563">
        <v>16000</v>
      </c>
      <c r="E466" s="573">
        <v>178</v>
      </c>
      <c r="F466" s="563">
        <v>16000</v>
      </c>
      <c r="G466" s="87">
        <f t="shared" si="7"/>
        <v>0</v>
      </c>
      <c r="H466" s="509"/>
      <c r="I466" s="525"/>
    </row>
    <row r="467" spans="1:9" s="681" customFormat="1" ht="15.75" x14ac:dyDescent="0.25">
      <c r="A467" s="87"/>
      <c r="B467" s="87" t="s">
        <v>1314</v>
      </c>
      <c r="C467" s="555" t="s">
        <v>1319</v>
      </c>
      <c r="D467" s="563">
        <v>16000</v>
      </c>
      <c r="E467" s="573">
        <v>178</v>
      </c>
      <c r="F467" s="563">
        <v>16000</v>
      </c>
      <c r="G467" s="87">
        <f t="shared" si="7"/>
        <v>0</v>
      </c>
      <c r="H467" s="509"/>
      <c r="I467" s="525"/>
    </row>
    <row r="468" spans="1:9" s="681" customFormat="1" ht="15.75" x14ac:dyDescent="0.25">
      <c r="A468" s="87"/>
      <c r="B468" s="87" t="s">
        <v>1314</v>
      </c>
      <c r="C468" s="555" t="s">
        <v>1320</v>
      </c>
      <c r="D468" s="563">
        <v>14000</v>
      </c>
      <c r="E468" s="573">
        <v>155</v>
      </c>
      <c r="F468" s="563">
        <v>14000</v>
      </c>
      <c r="G468" s="87">
        <f t="shared" si="7"/>
        <v>0</v>
      </c>
      <c r="H468" s="509"/>
      <c r="I468" s="525"/>
    </row>
    <row r="469" spans="1:9" s="681" customFormat="1" ht="15.75" x14ac:dyDescent="0.25">
      <c r="A469" s="87"/>
      <c r="B469" s="87" t="s">
        <v>1314</v>
      </c>
      <c r="C469" s="555" t="s">
        <v>1288</v>
      </c>
      <c r="D469" s="563">
        <v>17000</v>
      </c>
      <c r="E469" s="573">
        <v>189</v>
      </c>
      <c r="F469" s="563">
        <v>17000</v>
      </c>
      <c r="G469" s="87">
        <f t="shared" si="7"/>
        <v>0</v>
      </c>
      <c r="H469" s="509"/>
      <c r="I469" s="525"/>
    </row>
    <row r="470" spans="1:9" s="681" customFormat="1" ht="15.75" x14ac:dyDescent="0.25">
      <c r="A470" s="87"/>
      <c r="B470" s="87" t="s">
        <v>1314</v>
      </c>
      <c r="C470" s="555" t="s">
        <v>1321</v>
      </c>
      <c r="D470" s="563">
        <v>18000</v>
      </c>
      <c r="E470" s="573">
        <v>200</v>
      </c>
      <c r="F470" s="563">
        <v>18000</v>
      </c>
      <c r="G470" s="87">
        <f t="shared" si="7"/>
        <v>0</v>
      </c>
      <c r="H470" s="509"/>
      <c r="I470" s="525"/>
    </row>
    <row r="471" spans="1:9" s="681" customFormat="1" ht="15.75" x14ac:dyDescent="0.25">
      <c r="A471" s="87"/>
      <c r="B471" s="87" t="s">
        <v>1314</v>
      </c>
      <c r="C471" s="555" t="s">
        <v>1295</v>
      </c>
      <c r="D471" s="563">
        <v>10000</v>
      </c>
      <c r="E471" s="573">
        <v>111</v>
      </c>
      <c r="F471" s="563">
        <v>10000</v>
      </c>
      <c r="G471" s="87">
        <f t="shared" si="7"/>
        <v>0</v>
      </c>
      <c r="H471" s="509"/>
      <c r="I471" s="525"/>
    </row>
    <row r="472" spans="1:9" s="681" customFormat="1" ht="15.75" x14ac:dyDescent="0.25">
      <c r="A472" s="87"/>
      <c r="B472" s="87" t="s">
        <v>1314</v>
      </c>
      <c r="C472" s="555" t="s">
        <v>1322</v>
      </c>
      <c r="D472" s="563">
        <v>10000</v>
      </c>
      <c r="E472" s="573">
        <v>111</v>
      </c>
      <c r="F472" s="563">
        <v>10000</v>
      </c>
      <c r="G472" s="87">
        <f t="shared" si="7"/>
        <v>0</v>
      </c>
      <c r="H472" s="509"/>
      <c r="I472" s="525"/>
    </row>
    <row r="473" spans="1:9" s="681" customFormat="1" ht="15.75" x14ac:dyDescent="0.25">
      <c r="A473" s="87"/>
      <c r="B473" s="87" t="s">
        <v>1314</v>
      </c>
      <c r="C473" s="555" t="s">
        <v>1323</v>
      </c>
      <c r="D473" s="563">
        <v>10000</v>
      </c>
      <c r="E473" s="573">
        <v>111</v>
      </c>
      <c r="F473" s="563">
        <v>10000</v>
      </c>
      <c r="G473" s="87">
        <f t="shared" si="7"/>
        <v>0</v>
      </c>
      <c r="H473" s="509"/>
      <c r="I473" s="525"/>
    </row>
    <row r="474" spans="1:9" s="681" customFormat="1" ht="15.75" x14ac:dyDescent="0.25">
      <c r="A474" s="87"/>
      <c r="B474" s="87" t="s">
        <v>1314</v>
      </c>
      <c r="C474" s="555" t="s">
        <v>1324</v>
      </c>
      <c r="D474" s="563">
        <v>15000</v>
      </c>
      <c r="E474" s="573">
        <v>172</v>
      </c>
      <c r="F474" s="563">
        <v>15000</v>
      </c>
      <c r="G474" s="87">
        <f t="shared" si="7"/>
        <v>0</v>
      </c>
      <c r="H474" s="509"/>
      <c r="I474" s="525"/>
    </row>
    <row r="475" spans="1:9" s="681" customFormat="1" ht="15.75" x14ac:dyDescent="0.25">
      <c r="A475" s="87"/>
      <c r="B475" s="87" t="s">
        <v>1314</v>
      </c>
      <c r="C475" s="555" t="s">
        <v>1325</v>
      </c>
      <c r="D475" s="563">
        <v>25000</v>
      </c>
      <c r="E475" s="573">
        <v>278</v>
      </c>
      <c r="F475" s="563">
        <v>25000</v>
      </c>
      <c r="G475" s="87">
        <f t="shared" si="7"/>
        <v>0</v>
      </c>
      <c r="H475" s="509"/>
      <c r="I475" s="525"/>
    </row>
    <row r="476" spans="1:9" s="681" customFormat="1" ht="15.75" x14ac:dyDescent="0.25">
      <c r="A476" s="87"/>
      <c r="B476" s="87" t="s">
        <v>1314</v>
      </c>
      <c r="C476" s="555" t="s">
        <v>1326</v>
      </c>
      <c r="D476" s="563">
        <v>21000</v>
      </c>
      <c r="E476" s="573">
        <v>233</v>
      </c>
      <c r="F476" s="563">
        <v>21000</v>
      </c>
      <c r="G476" s="87">
        <f t="shared" si="7"/>
        <v>0</v>
      </c>
      <c r="H476" s="509"/>
      <c r="I476" s="525"/>
    </row>
    <row r="477" spans="1:9" s="681" customFormat="1" ht="15.75" x14ac:dyDescent="0.25">
      <c r="A477" s="87"/>
      <c r="B477" s="87" t="s">
        <v>1314</v>
      </c>
      <c r="C477" s="555" t="s">
        <v>66</v>
      </c>
      <c r="D477" s="563">
        <v>200</v>
      </c>
      <c r="E477" s="573" t="s">
        <v>66</v>
      </c>
      <c r="F477" s="563">
        <v>200</v>
      </c>
      <c r="G477" s="87">
        <f t="shared" si="7"/>
        <v>0</v>
      </c>
      <c r="H477" s="509"/>
      <c r="I477" s="525"/>
    </row>
    <row r="478" spans="1:9" s="681" customFormat="1" ht="15.75" x14ac:dyDescent="0.25">
      <c r="A478" s="87"/>
      <c r="B478" s="87" t="s">
        <v>1314</v>
      </c>
      <c r="C478" s="555" t="s">
        <v>1327</v>
      </c>
      <c r="D478" s="563">
        <v>15000</v>
      </c>
      <c r="E478" s="573">
        <v>162</v>
      </c>
      <c r="F478" s="563">
        <v>15000</v>
      </c>
      <c r="G478" s="87">
        <f t="shared" si="7"/>
        <v>0</v>
      </c>
      <c r="H478" s="509"/>
      <c r="I478" s="525"/>
    </row>
    <row r="479" spans="1:9" s="681" customFormat="1" ht="15.75" x14ac:dyDescent="0.25">
      <c r="A479" s="87"/>
      <c r="B479" s="87" t="s">
        <v>1207</v>
      </c>
      <c r="C479" s="555" t="s">
        <v>1277</v>
      </c>
      <c r="D479" s="563">
        <v>16000</v>
      </c>
      <c r="E479" s="573">
        <v>178</v>
      </c>
      <c r="F479" s="563">
        <v>16000</v>
      </c>
      <c r="G479" s="87">
        <f t="shared" si="7"/>
        <v>0</v>
      </c>
      <c r="H479" s="509"/>
      <c r="I479" s="525"/>
    </row>
    <row r="480" spans="1:9" s="681" customFormat="1" ht="15.75" x14ac:dyDescent="0.25">
      <c r="A480" s="87"/>
      <c r="B480" s="87" t="s">
        <v>1207</v>
      </c>
      <c r="C480" s="555" t="s">
        <v>1278</v>
      </c>
      <c r="D480" s="563">
        <v>16000</v>
      </c>
      <c r="E480" s="573">
        <v>178</v>
      </c>
      <c r="F480" s="563">
        <v>16000</v>
      </c>
      <c r="G480" s="87">
        <f t="shared" si="7"/>
        <v>0</v>
      </c>
      <c r="H480" s="509"/>
      <c r="I480" s="525"/>
    </row>
    <row r="481" spans="1:9" s="681" customFormat="1" ht="15.75" x14ac:dyDescent="0.25">
      <c r="A481" s="87"/>
      <c r="B481" s="87" t="s">
        <v>1207</v>
      </c>
      <c r="C481" s="555" t="s">
        <v>1286</v>
      </c>
      <c r="D481" s="563">
        <v>16000</v>
      </c>
      <c r="E481" s="573">
        <v>178</v>
      </c>
      <c r="F481" s="563">
        <v>16000</v>
      </c>
      <c r="G481" s="87">
        <f t="shared" si="7"/>
        <v>0</v>
      </c>
      <c r="H481" s="509"/>
      <c r="I481" s="525"/>
    </row>
    <row r="482" spans="1:9" s="681" customFormat="1" ht="15.75" x14ac:dyDescent="0.25">
      <c r="A482" s="87"/>
      <c r="B482" s="87" t="s">
        <v>1207</v>
      </c>
      <c r="C482" s="555" t="s">
        <v>1289</v>
      </c>
      <c r="D482" s="563">
        <v>16000</v>
      </c>
      <c r="E482" s="573">
        <v>178</v>
      </c>
      <c r="F482" s="563">
        <v>16000</v>
      </c>
      <c r="G482" s="87">
        <f t="shared" si="7"/>
        <v>0</v>
      </c>
      <c r="H482" s="509"/>
      <c r="I482" s="525"/>
    </row>
    <row r="483" spans="1:9" s="681" customFormat="1" ht="15.75" x14ac:dyDescent="0.25">
      <c r="A483" s="87"/>
      <c r="B483" s="87" t="s">
        <v>1207</v>
      </c>
      <c r="C483" s="555" t="s">
        <v>30</v>
      </c>
      <c r="D483" s="563">
        <v>4500</v>
      </c>
      <c r="E483" s="573">
        <v>50</v>
      </c>
      <c r="F483" s="563">
        <v>4500</v>
      </c>
      <c r="G483" s="87">
        <f t="shared" si="7"/>
        <v>0</v>
      </c>
      <c r="H483" s="509"/>
      <c r="I483" s="525"/>
    </row>
    <row r="484" spans="1:9" s="681" customFormat="1" ht="15.75" x14ac:dyDescent="0.25">
      <c r="A484" s="87"/>
      <c r="B484" s="87" t="s">
        <v>1207</v>
      </c>
      <c r="C484" s="555" t="s">
        <v>30</v>
      </c>
      <c r="D484" s="563">
        <v>5000</v>
      </c>
      <c r="E484" s="573">
        <v>55</v>
      </c>
      <c r="F484" s="563">
        <v>5000</v>
      </c>
      <c r="G484" s="87">
        <f t="shared" si="7"/>
        <v>0</v>
      </c>
      <c r="H484" s="509"/>
      <c r="I484" s="525"/>
    </row>
    <row r="485" spans="1:9" s="681" customFormat="1" ht="15.75" x14ac:dyDescent="0.25">
      <c r="A485" s="87"/>
      <c r="B485" s="87" t="s">
        <v>1207</v>
      </c>
      <c r="C485" s="555" t="s">
        <v>1287</v>
      </c>
      <c r="D485" s="563">
        <v>15000</v>
      </c>
      <c r="E485" s="573">
        <v>155</v>
      </c>
      <c r="F485" s="563">
        <v>15000</v>
      </c>
      <c r="G485" s="87">
        <f t="shared" si="7"/>
        <v>0</v>
      </c>
      <c r="H485" s="509"/>
      <c r="I485" s="525"/>
    </row>
    <row r="486" spans="1:9" s="681" customFormat="1" ht="15.75" x14ac:dyDescent="0.25">
      <c r="A486" s="87"/>
      <c r="B486" s="87" t="s">
        <v>1207</v>
      </c>
      <c r="C486" s="555" t="s">
        <v>1328</v>
      </c>
      <c r="D486" s="563">
        <v>14000</v>
      </c>
      <c r="E486" s="573">
        <v>155</v>
      </c>
      <c r="F486" s="563">
        <v>14000</v>
      </c>
      <c r="G486" s="87">
        <f t="shared" si="7"/>
        <v>0</v>
      </c>
      <c r="H486" s="509"/>
      <c r="I486" s="525"/>
    </row>
    <row r="487" spans="1:9" s="681" customFormat="1" ht="15.75" x14ac:dyDescent="0.25">
      <c r="A487" s="87"/>
      <c r="B487" s="87" t="s">
        <v>1207</v>
      </c>
      <c r="C487" s="555" t="s">
        <v>1329</v>
      </c>
      <c r="D487" s="563">
        <v>18000</v>
      </c>
      <c r="E487" s="573">
        <v>200</v>
      </c>
      <c r="F487" s="563">
        <v>18000</v>
      </c>
      <c r="G487" s="87">
        <f t="shared" si="7"/>
        <v>0</v>
      </c>
      <c r="H487" s="509"/>
      <c r="I487" s="525"/>
    </row>
    <row r="488" spans="1:9" s="681" customFormat="1" ht="15.75" x14ac:dyDescent="0.25">
      <c r="A488" s="87"/>
      <c r="B488" s="87" t="s">
        <v>1207</v>
      </c>
      <c r="C488" s="555" t="s">
        <v>1300</v>
      </c>
      <c r="D488" s="563">
        <v>17000</v>
      </c>
      <c r="E488" s="573">
        <v>189</v>
      </c>
      <c r="F488" s="563">
        <v>17000</v>
      </c>
      <c r="G488" s="87">
        <f t="shared" si="7"/>
        <v>0</v>
      </c>
      <c r="H488" s="509"/>
      <c r="I488" s="525"/>
    </row>
    <row r="489" spans="1:9" s="681" customFormat="1" ht="15.75" x14ac:dyDescent="0.25">
      <c r="A489" s="87"/>
      <c r="B489" s="87" t="s">
        <v>1207</v>
      </c>
      <c r="C489" s="555" t="s">
        <v>1330</v>
      </c>
      <c r="D489" s="563">
        <v>17000</v>
      </c>
      <c r="E489" s="573">
        <v>222</v>
      </c>
      <c r="F489" s="563">
        <v>17000</v>
      </c>
      <c r="G489" s="87">
        <f t="shared" si="7"/>
        <v>0</v>
      </c>
      <c r="H489" s="509"/>
      <c r="I489" s="525"/>
    </row>
    <row r="490" spans="1:9" s="681" customFormat="1" ht="15.75" x14ac:dyDescent="0.25">
      <c r="A490" s="87"/>
      <c r="B490" s="87" t="s">
        <v>1207</v>
      </c>
      <c r="C490" s="555" t="s">
        <v>1331</v>
      </c>
      <c r="D490" s="563">
        <v>14000</v>
      </c>
      <c r="E490" s="573">
        <v>155</v>
      </c>
      <c r="F490" s="563">
        <v>14000</v>
      </c>
      <c r="G490" s="87">
        <f t="shared" si="7"/>
        <v>0</v>
      </c>
      <c r="H490" s="509"/>
      <c r="I490" s="525"/>
    </row>
    <row r="491" spans="1:9" s="681" customFormat="1" ht="15.75" x14ac:dyDescent="0.25">
      <c r="A491" s="87"/>
      <c r="B491" s="87" t="s">
        <v>1207</v>
      </c>
      <c r="C491" s="555" t="s">
        <v>1332</v>
      </c>
      <c r="D491" s="563">
        <v>16000</v>
      </c>
      <c r="E491" s="573">
        <v>178</v>
      </c>
      <c r="F491" s="563">
        <v>16000</v>
      </c>
      <c r="G491" s="87">
        <f t="shared" si="7"/>
        <v>0</v>
      </c>
      <c r="H491" s="509"/>
      <c r="I491" s="525"/>
    </row>
    <row r="492" spans="1:9" s="681" customFormat="1" ht="15.75" x14ac:dyDescent="0.25">
      <c r="A492" s="87"/>
      <c r="B492" s="87" t="s">
        <v>1207</v>
      </c>
      <c r="C492" s="555" t="s">
        <v>1333</v>
      </c>
      <c r="D492" s="563">
        <v>17000</v>
      </c>
      <c r="E492" s="573">
        <v>189</v>
      </c>
      <c r="F492" s="563">
        <v>17000</v>
      </c>
      <c r="G492" s="87">
        <f t="shared" si="7"/>
        <v>0</v>
      </c>
      <c r="H492" s="509"/>
      <c r="I492" s="525"/>
    </row>
    <row r="493" spans="1:9" s="681" customFormat="1" ht="15.75" x14ac:dyDescent="0.25">
      <c r="A493" s="87"/>
      <c r="B493" s="87" t="s">
        <v>1207</v>
      </c>
      <c r="C493" s="555" t="s">
        <v>1334</v>
      </c>
      <c r="D493" s="563">
        <v>14000</v>
      </c>
      <c r="E493" s="573">
        <v>155</v>
      </c>
      <c r="F493" s="563">
        <v>14000</v>
      </c>
      <c r="G493" s="87">
        <f t="shared" si="7"/>
        <v>0</v>
      </c>
      <c r="H493" s="509"/>
      <c r="I493" s="525"/>
    </row>
    <row r="494" spans="1:9" s="681" customFormat="1" ht="15.75" x14ac:dyDescent="0.25">
      <c r="A494" s="87"/>
      <c r="B494" s="87" t="s">
        <v>1207</v>
      </c>
      <c r="C494" s="555" t="s">
        <v>1335</v>
      </c>
      <c r="D494" s="563">
        <v>10000</v>
      </c>
      <c r="E494" s="573">
        <v>111</v>
      </c>
      <c r="F494" s="563">
        <v>10000</v>
      </c>
      <c r="G494" s="87">
        <f t="shared" si="7"/>
        <v>0</v>
      </c>
      <c r="H494" s="509"/>
      <c r="I494" s="525"/>
    </row>
    <row r="495" spans="1:9" s="681" customFormat="1" ht="15.75" x14ac:dyDescent="0.25">
      <c r="A495" s="87"/>
      <c r="B495" s="87" t="s">
        <v>1207</v>
      </c>
      <c r="C495" s="555" t="s">
        <v>1336</v>
      </c>
      <c r="D495" s="563">
        <v>15000</v>
      </c>
      <c r="E495" s="573">
        <v>167</v>
      </c>
      <c r="F495" s="563">
        <v>15000</v>
      </c>
      <c r="G495" s="87">
        <f t="shared" si="7"/>
        <v>0</v>
      </c>
      <c r="H495" s="509"/>
      <c r="I495" s="525"/>
    </row>
    <row r="496" spans="1:9" s="681" customFormat="1" ht="15.75" x14ac:dyDescent="0.25">
      <c r="A496" s="87"/>
      <c r="B496" s="87" t="s">
        <v>1207</v>
      </c>
      <c r="C496" s="555" t="s">
        <v>30</v>
      </c>
      <c r="D496" s="563">
        <v>5500</v>
      </c>
      <c r="E496" s="573">
        <v>61</v>
      </c>
      <c r="F496" s="563">
        <v>5500</v>
      </c>
      <c r="G496" s="87">
        <f t="shared" si="7"/>
        <v>0</v>
      </c>
      <c r="H496" s="509"/>
      <c r="I496" s="525"/>
    </row>
    <row r="497" spans="1:9" s="681" customFormat="1" ht="15.75" x14ac:dyDescent="0.25">
      <c r="A497" s="87"/>
      <c r="B497" s="87" t="s">
        <v>1207</v>
      </c>
      <c r="C497" s="555" t="s">
        <v>1337</v>
      </c>
      <c r="D497" s="563">
        <v>14000</v>
      </c>
      <c r="E497" s="573">
        <v>155</v>
      </c>
      <c r="F497" s="563">
        <v>14000</v>
      </c>
      <c r="G497" s="87">
        <f t="shared" si="7"/>
        <v>0</v>
      </c>
      <c r="H497" s="509"/>
      <c r="I497" s="525"/>
    </row>
    <row r="498" spans="1:9" s="681" customFormat="1" ht="15.75" x14ac:dyDescent="0.25">
      <c r="A498" s="87"/>
      <c r="B498" s="87" t="s">
        <v>1207</v>
      </c>
      <c r="C498" s="555" t="s">
        <v>1338</v>
      </c>
      <c r="D498" s="563">
        <v>9000</v>
      </c>
      <c r="E498" s="573">
        <v>100</v>
      </c>
      <c r="F498" s="563">
        <v>9000</v>
      </c>
      <c r="G498" s="87">
        <f t="shared" si="7"/>
        <v>0</v>
      </c>
      <c r="H498" s="509"/>
      <c r="I498" s="525"/>
    </row>
    <row r="499" spans="1:9" s="681" customFormat="1" ht="15.75" x14ac:dyDescent="0.25">
      <c r="A499" s="87"/>
      <c r="B499" s="87" t="s">
        <v>1207</v>
      </c>
      <c r="C499" s="555" t="s">
        <v>1339</v>
      </c>
      <c r="D499" s="563">
        <v>14000</v>
      </c>
      <c r="E499" s="573">
        <v>155</v>
      </c>
      <c r="F499" s="563">
        <v>14000</v>
      </c>
      <c r="G499" s="87">
        <f t="shared" si="7"/>
        <v>0</v>
      </c>
      <c r="H499" s="509"/>
      <c r="I499" s="525"/>
    </row>
    <row r="500" spans="1:9" s="681" customFormat="1" ht="15.75" x14ac:dyDescent="0.25">
      <c r="A500" s="87"/>
      <c r="B500" s="87" t="s">
        <v>1207</v>
      </c>
      <c r="C500" s="555" t="s">
        <v>1276</v>
      </c>
      <c r="D500" s="563">
        <v>14000</v>
      </c>
      <c r="E500" s="573">
        <v>155</v>
      </c>
      <c r="F500" s="563">
        <v>14000</v>
      </c>
      <c r="G500" s="87">
        <f t="shared" si="7"/>
        <v>0</v>
      </c>
      <c r="H500" s="509"/>
      <c r="I500" s="525"/>
    </row>
    <row r="501" spans="1:9" s="681" customFormat="1" ht="15.75" x14ac:dyDescent="0.25">
      <c r="A501" s="87"/>
      <c r="B501" s="87" t="s">
        <v>1207</v>
      </c>
      <c r="C501" s="555" t="s">
        <v>1340</v>
      </c>
      <c r="D501" s="563">
        <v>14000</v>
      </c>
      <c r="E501" s="573">
        <v>155</v>
      </c>
      <c r="F501" s="563">
        <v>14000</v>
      </c>
      <c r="G501" s="87">
        <f t="shared" si="7"/>
        <v>0</v>
      </c>
      <c r="H501" s="509"/>
      <c r="I501" s="525"/>
    </row>
    <row r="502" spans="1:9" s="681" customFormat="1" ht="15.75" x14ac:dyDescent="0.25">
      <c r="A502" s="87"/>
      <c r="B502" s="87" t="s">
        <v>1207</v>
      </c>
      <c r="C502" s="555" t="s">
        <v>1341</v>
      </c>
      <c r="D502" s="563">
        <v>14000</v>
      </c>
      <c r="E502" s="573">
        <v>155</v>
      </c>
      <c r="F502" s="563">
        <v>14000</v>
      </c>
      <c r="G502" s="87">
        <f t="shared" si="7"/>
        <v>0</v>
      </c>
      <c r="H502" s="509"/>
      <c r="I502" s="525"/>
    </row>
    <row r="503" spans="1:9" s="681" customFormat="1" ht="15.75" x14ac:dyDescent="0.25">
      <c r="A503" s="87"/>
      <c r="B503" s="87" t="s">
        <v>1207</v>
      </c>
      <c r="C503" s="555" t="s">
        <v>1342</v>
      </c>
      <c r="D503" s="563">
        <v>14000</v>
      </c>
      <c r="E503" s="573">
        <v>155</v>
      </c>
      <c r="F503" s="563">
        <v>14000</v>
      </c>
      <c r="G503" s="87">
        <f t="shared" si="7"/>
        <v>0</v>
      </c>
      <c r="H503" s="509"/>
      <c r="I503" s="525"/>
    </row>
    <row r="504" spans="1:9" s="681" customFormat="1" ht="15.75" x14ac:dyDescent="0.25">
      <c r="A504" s="87"/>
      <c r="B504" s="87" t="s">
        <v>1207</v>
      </c>
      <c r="C504" s="555" t="s">
        <v>1343</v>
      </c>
      <c r="D504" s="563">
        <v>14000</v>
      </c>
      <c r="E504" s="573">
        <v>155</v>
      </c>
      <c r="F504" s="563">
        <v>14000</v>
      </c>
      <c r="G504" s="87">
        <f t="shared" si="7"/>
        <v>0</v>
      </c>
      <c r="H504" s="509"/>
      <c r="I504" s="525"/>
    </row>
    <row r="505" spans="1:9" s="681" customFormat="1" ht="15.75" x14ac:dyDescent="0.25">
      <c r="A505" s="87"/>
      <c r="B505" s="87" t="s">
        <v>1207</v>
      </c>
      <c r="C505" s="555" t="s">
        <v>1344</v>
      </c>
      <c r="D505" s="563">
        <v>20000</v>
      </c>
      <c r="E505" s="573">
        <v>222</v>
      </c>
      <c r="F505" s="563">
        <v>20000</v>
      </c>
      <c r="G505" s="87">
        <f t="shared" si="7"/>
        <v>0</v>
      </c>
      <c r="H505" s="509"/>
      <c r="I505" s="525"/>
    </row>
    <row r="506" spans="1:9" s="681" customFormat="1" ht="15.75" x14ac:dyDescent="0.25">
      <c r="A506" s="87"/>
      <c r="B506" s="87" t="s">
        <v>1207</v>
      </c>
      <c r="C506" s="555" t="s">
        <v>1345</v>
      </c>
      <c r="D506" s="563">
        <v>24000</v>
      </c>
      <c r="E506" s="573">
        <v>267</v>
      </c>
      <c r="F506" s="563">
        <v>24000</v>
      </c>
      <c r="G506" s="87">
        <f t="shared" si="7"/>
        <v>0</v>
      </c>
      <c r="H506" s="509"/>
      <c r="I506" s="525"/>
    </row>
    <row r="507" spans="1:9" s="681" customFormat="1" ht="15.75" x14ac:dyDescent="0.25">
      <c r="A507" s="87"/>
      <c r="B507" s="87" t="s">
        <v>1207</v>
      </c>
      <c r="C507" s="555" t="s">
        <v>1346</v>
      </c>
      <c r="D507" s="563">
        <v>25000</v>
      </c>
      <c r="E507" s="573">
        <v>278</v>
      </c>
      <c r="F507" s="563">
        <v>25000</v>
      </c>
      <c r="G507" s="87">
        <f t="shared" si="7"/>
        <v>0</v>
      </c>
      <c r="H507" s="509"/>
      <c r="I507" s="525"/>
    </row>
    <row r="508" spans="1:9" s="681" customFormat="1" ht="15.75" x14ac:dyDescent="0.25">
      <c r="A508" s="87"/>
      <c r="B508" s="87" t="s">
        <v>1207</v>
      </c>
      <c r="C508" s="555" t="s">
        <v>1347</v>
      </c>
      <c r="D508" s="563">
        <v>26000</v>
      </c>
      <c r="E508" s="573">
        <v>289</v>
      </c>
      <c r="F508" s="563">
        <v>26000</v>
      </c>
      <c r="G508" s="87">
        <f t="shared" si="7"/>
        <v>0</v>
      </c>
      <c r="H508" s="509"/>
      <c r="I508" s="525"/>
    </row>
    <row r="509" spans="1:9" s="681" customFormat="1" ht="15.75" x14ac:dyDescent="0.25">
      <c r="A509" s="87"/>
      <c r="B509" s="87" t="s">
        <v>1207</v>
      </c>
      <c r="C509" s="555" t="s">
        <v>1348</v>
      </c>
      <c r="D509" s="563">
        <v>26000</v>
      </c>
      <c r="E509" s="573">
        <v>289</v>
      </c>
      <c r="F509" s="563">
        <v>26000</v>
      </c>
      <c r="G509" s="87">
        <f t="shared" si="7"/>
        <v>0</v>
      </c>
      <c r="H509" s="509"/>
      <c r="I509" s="525"/>
    </row>
    <row r="510" spans="1:9" s="681" customFormat="1" ht="15.75" x14ac:dyDescent="0.25">
      <c r="A510" s="87"/>
      <c r="B510" s="87" t="s">
        <v>1207</v>
      </c>
      <c r="C510" s="555" t="s">
        <v>1349</v>
      </c>
      <c r="D510" s="563">
        <v>35000</v>
      </c>
      <c r="E510" s="573">
        <v>389</v>
      </c>
      <c r="F510" s="563">
        <v>35000</v>
      </c>
      <c r="G510" s="87">
        <f t="shared" ref="G510:G573" si="8">D510-F510</f>
        <v>0</v>
      </c>
      <c r="H510" s="509"/>
      <c r="I510" s="525"/>
    </row>
    <row r="511" spans="1:9" s="681" customFormat="1" ht="15.75" x14ac:dyDescent="0.25">
      <c r="A511" s="87"/>
      <c r="B511" s="87" t="s">
        <v>1207</v>
      </c>
      <c r="C511" s="555" t="s">
        <v>1350</v>
      </c>
      <c r="D511" s="563">
        <v>17000</v>
      </c>
      <c r="E511" s="573">
        <v>189</v>
      </c>
      <c r="F511" s="563">
        <v>17000</v>
      </c>
      <c r="G511" s="87">
        <f t="shared" si="8"/>
        <v>0</v>
      </c>
      <c r="H511" s="509"/>
      <c r="I511" s="525"/>
    </row>
    <row r="512" spans="1:9" s="681" customFormat="1" ht="15.75" x14ac:dyDescent="0.25">
      <c r="A512" s="87"/>
      <c r="B512" s="87" t="s">
        <v>1208</v>
      </c>
      <c r="C512" s="555" t="s">
        <v>1351</v>
      </c>
      <c r="D512" s="563">
        <v>20000</v>
      </c>
      <c r="E512" s="573">
        <v>222</v>
      </c>
      <c r="F512" s="563">
        <v>20000</v>
      </c>
      <c r="G512" s="87">
        <f t="shared" si="8"/>
        <v>0</v>
      </c>
      <c r="H512" s="509"/>
      <c r="I512" s="525"/>
    </row>
    <row r="513" spans="1:9" s="681" customFormat="1" ht="15.75" x14ac:dyDescent="0.25">
      <c r="A513" s="87"/>
      <c r="B513" s="87" t="s">
        <v>1208</v>
      </c>
      <c r="C513" s="555" t="s">
        <v>30</v>
      </c>
      <c r="D513" s="563">
        <v>50000</v>
      </c>
      <c r="E513" s="573">
        <v>55</v>
      </c>
      <c r="F513" s="563">
        <v>50000</v>
      </c>
      <c r="G513" s="87">
        <f t="shared" si="8"/>
        <v>0</v>
      </c>
      <c r="H513" s="509"/>
      <c r="I513" s="525"/>
    </row>
    <row r="514" spans="1:9" s="681" customFormat="1" ht="15.75" x14ac:dyDescent="0.25">
      <c r="A514" s="87"/>
      <c r="B514" s="87" t="s">
        <v>1208</v>
      </c>
      <c r="C514" s="555" t="s">
        <v>1352</v>
      </c>
      <c r="D514" s="563">
        <v>33000</v>
      </c>
      <c r="E514" s="573">
        <v>358</v>
      </c>
      <c r="F514" s="563">
        <v>33000</v>
      </c>
      <c r="G514" s="87">
        <f t="shared" si="8"/>
        <v>0</v>
      </c>
      <c r="H514" s="509"/>
      <c r="I514" s="525"/>
    </row>
    <row r="515" spans="1:9" s="681" customFormat="1" ht="15.75" x14ac:dyDescent="0.25">
      <c r="A515" s="87"/>
      <c r="B515" s="87" t="s">
        <v>1208</v>
      </c>
      <c r="C515" s="555" t="s">
        <v>1303</v>
      </c>
      <c r="D515" s="563">
        <v>14000</v>
      </c>
      <c r="E515" s="573">
        <v>155</v>
      </c>
      <c r="F515" s="563">
        <v>14000</v>
      </c>
      <c r="G515" s="87">
        <f t="shared" si="8"/>
        <v>0</v>
      </c>
      <c r="H515" s="509"/>
      <c r="I515" s="525"/>
    </row>
    <row r="516" spans="1:9" s="681" customFormat="1" ht="15.75" x14ac:dyDescent="0.25">
      <c r="A516" s="87"/>
      <c r="B516" s="87" t="s">
        <v>1208</v>
      </c>
      <c r="C516" s="555" t="s">
        <v>1270</v>
      </c>
      <c r="D516" s="563">
        <v>14000</v>
      </c>
      <c r="E516" s="573">
        <v>155</v>
      </c>
      <c r="F516" s="563">
        <v>14000</v>
      </c>
      <c r="G516" s="87">
        <f t="shared" si="8"/>
        <v>0</v>
      </c>
      <c r="H516" s="509"/>
      <c r="I516" s="525"/>
    </row>
    <row r="517" spans="1:9" s="681" customFormat="1" ht="15.75" x14ac:dyDescent="0.25">
      <c r="A517" s="87"/>
      <c r="B517" s="87" t="s">
        <v>1208</v>
      </c>
      <c r="C517" s="555" t="s">
        <v>1280</v>
      </c>
      <c r="D517" s="563">
        <v>16000</v>
      </c>
      <c r="E517" s="573">
        <v>178</v>
      </c>
      <c r="F517" s="563">
        <v>16000</v>
      </c>
      <c r="G517" s="87">
        <f t="shared" si="8"/>
        <v>0</v>
      </c>
      <c r="H517" s="509"/>
      <c r="I517" s="525"/>
    </row>
    <row r="518" spans="1:9" s="681" customFormat="1" ht="15.75" x14ac:dyDescent="0.25">
      <c r="A518" s="87"/>
      <c r="B518" s="87" t="s">
        <v>1208</v>
      </c>
      <c r="C518" s="555" t="s">
        <v>1316</v>
      </c>
      <c r="D518" s="563">
        <v>14000</v>
      </c>
      <c r="E518" s="573">
        <v>155</v>
      </c>
      <c r="F518" s="563">
        <v>14000</v>
      </c>
      <c r="G518" s="87">
        <f t="shared" si="8"/>
        <v>0</v>
      </c>
      <c r="H518" s="509"/>
      <c r="I518" s="525"/>
    </row>
    <row r="519" spans="1:9" s="681" customFormat="1" ht="15.75" x14ac:dyDescent="0.25">
      <c r="A519" s="87"/>
      <c r="B519" s="87" t="s">
        <v>1208</v>
      </c>
      <c r="C519" s="555" t="s">
        <v>1275</v>
      </c>
      <c r="D519" s="563">
        <v>14000</v>
      </c>
      <c r="E519" s="573">
        <v>155</v>
      </c>
      <c r="F519" s="563">
        <v>14000</v>
      </c>
      <c r="G519" s="87">
        <f t="shared" si="8"/>
        <v>0</v>
      </c>
      <c r="H519" s="509"/>
      <c r="I519" s="525"/>
    </row>
    <row r="520" spans="1:9" s="681" customFormat="1" ht="15.75" x14ac:dyDescent="0.25">
      <c r="A520" s="87"/>
      <c r="B520" s="87" t="s">
        <v>1208</v>
      </c>
      <c r="C520" s="555" t="s">
        <v>1353</v>
      </c>
      <c r="D520" s="563">
        <v>18000</v>
      </c>
      <c r="E520" s="573">
        <v>200</v>
      </c>
      <c r="F520" s="563">
        <v>18000</v>
      </c>
      <c r="G520" s="87">
        <f t="shared" si="8"/>
        <v>0</v>
      </c>
      <c r="H520" s="509"/>
      <c r="I520" s="525"/>
    </row>
    <row r="521" spans="1:9" s="681" customFormat="1" ht="15.75" x14ac:dyDescent="0.25">
      <c r="A521" s="87"/>
      <c r="B521" s="87" t="s">
        <v>1208</v>
      </c>
      <c r="C521" s="609" t="s">
        <v>1236</v>
      </c>
      <c r="D521" s="563">
        <v>14000</v>
      </c>
      <c r="E521" s="573">
        <v>155</v>
      </c>
      <c r="F521" s="563">
        <v>14000</v>
      </c>
      <c r="G521" s="87">
        <f t="shared" si="8"/>
        <v>0</v>
      </c>
      <c r="H521" s="509"/>
      <c r="I521" s="525"/>
    </row>
    <row r="522" spans="1:9" s="681" customFormat="1" ht="15.75" x14ac:dyDescent="0.25">
      <c r="A522" s="87"/>
      <c r="B522" s="87" t="s">
        <v>1208</v>
      </c>
      <c r="C522" s="555" t="s">
        <v>1272</v>
      </c>
      <c r="D522" s="563">
        <v>14000</v>
      </c>
      <c r="E522" s="573">
        <v>155</v>
      </c>
      <c r="F522" s="563">
        <v>14000</v>
      </c>
      <c r="G522" s="87">
        <f t="shared" si="8"/>
        <v>0</v>
      </c>
      <c r="H522" s="509"/>
      <c r="I522" s="525"/>
    </row>
    <row r="523" spans="1:9" s="681" customFormat="1" ht="15.75" x14ac:dyDescent="0.25">
      <c r="A523" s="87"/>
      <c r="B523" s="87" t="s">
        <v>1208</v>
      </c>
      <c r="C523" s="555" t="s">
        <v>1290</v>
      </c>
      <c r="D523" s="563">
        <v>15000</v>
      </c>
      <c r="E523" s="573">
        <v>167</v>
      </c>
      <c r="F523" s="563">
        <v>15000</v>
      </c>
      <c r="G523" s="87">
        <f t="shared" si="8"/>
        <v>0</v>
      </c>
      <c r="H523" s="509"/>
      <c r="I523" s="525"/>
    </row>
    <row r="524" spans="1:9" s="681" customFormat="1" ht="15.75" x14ac:dyDescent="0.25">
      <c r="A524" s="87"/>
      <c r="B524" s="87" t="s">
        <v>1208</v>
      </c>
      <c r="C524" s="555" t="s">
        <v>1354</v>
      </c>
      <c r="D524" s="563">
        <v>16000</v>
      </c>
      <c r="E524" s="573">
        <v>178</v>
      </c>
      <c r="F524" s="563">
        <v>16000</v>
      </c>
      <c r="G524" s="87">
        <f t="shared" si="8"/>
        <v>0</v>
      </c>
      <c r="H524" s="509"/>
      <c r="I524" s="525"/>
    </row>
    <row r="525" spans="1:9" s="681" customFormat="1" ht="15.75" x14ac:dyDescent="0.25">
      <c r="A525" s="87"/>
      <c r="B525" s="87" t="s">
        <v>1208</v>
      </c>
      <c r="C525" s="555" t="s">
        <v>1295</v>
      </c>
      <c r="D525" s="563">
        <v>18000</v>
      </c>
      <c r="E525" s="573">
        <v>200</v>
      </c>
      <c r="F525" s="563">
        <v>18000</v>
      </c>
      <c r="G525" s="87">
        <f t="shared" si="8"/>
        <v>0</v>
      </c>
      <c r="H525" s="509"/>
      <c r="I525" s="525"/>
    </row>
    <row r="526" spans="1:9" s="681" customFormat="1" ht="15.75" x14ac:dyDescent="0.25">
      <c r="A526" s="87"/>
      <c r="B526" s="87" t="s">
        <v>1208</v>
      </c>
      <c r="C526" s="555" t="s">
        <v>1355</v>
      </c>
      <c r="D526" s="563">
        <v>35000</v>
      </c>
      <c r="E526" s="573">
        <v>389</v>
      </c>
      <c r="F526" s="563">
        <v>35000</v>
      </c>
      <c r="G526" s="87">
        <f t="shared" si="8"/>
        <v>0</v>
      </c>
      <c r="H526" s="509"/>
      <c r="I526" s="525"/>
    </row>
    <row r="527" spans="1:9" s="681" customFormat="1" ht="15.75" x14ac:dyDescent="0.25">
      <c r="A527" s="87"/>
      <c r="B527" s="87" t="s">
        <v>1208</v>
      </c>
      <c r="C527" s="555" t="s">
        <v>1356</v>
      </c>
      <c r="D527" s="563">
        <v>32000</v>
      </c>
      <c r="E527" s="573">
        <v>356</v>
      </c>
      <c r="F527" s="563">
        <v>32000</v>
      </c>
      <c r="G527" s="87">
        <f t="shared" si="8"/>
        <v>0</v>
      </c>
      <c r="H527" s="509"/>
      <c r="I527" s="525"/>
    </row>
    <row r="528" spans="1:9" s="681" customFormat="1" ht="15.75" x14ac:dyDescent="0.25">
      <c r="A528" s="87"/>
      <c r="B528" s="87" t="s">
        <v>1208</v>
      </c>
      <c r="C528" s="555" t="s">
        <v>1357</v>
      </c>
      <c r="D528" s="563">
        <v>16000</v>
      </c>
      <c r="E528" s="573">
        <v>167</v>
      </c>
      <c r="F528" s="563">
        <v>16000</v>
      </c>
      <c r="G528" s="87">
        <f t="shared" si="8"/>
        <v>0</v>
      </c>
      <c r="H528" s="509"/>
      <c r="I528" s="525"/>
    </row>
    <row r="529" spans="1:9" s="681" customFormat="1" ht="15.75" x14ac:dyDescent="0.25">
      <c r="A529" s="87"/>
      <c r="B529" s="87" t="s">
        <v>1208</v>
      </c>
      <c r="C529" s="555" t="s">
        <v>1298</v>
      </c>
      <c r="D529" s="563">
        <v>14000</v>
      </c>
      <c r="E529" s="573">
        <v>155</v>
      </c>
      <c r="F529" s="563">
        <v>14000</v>
      </c>
      <c r="G529" s="87">
        <f t="shared" si="8"/>
        <v>0</v>
      </c>
      <c r="H529" s="509"/>
      <c r="I529" s="525"/>
    </row>
    <row r="530" spans="1:9" s="681" customFormat="1" ht="15.75" x14ac:dyDescent="0.25">
      <c r="A530" s="87"/>
      <c r="B530" s="87" t="s">
        <v>1208</v>
      </c>
      <c r="C530" s="555" t="s">
        <v>1319</v>
      </c>
      <c r="D530" s="563">
        <v>16000</v>
      </c>
      <c r="E530" s="573">
        <v>178</v>
      </c>
      <c r="F530" s="563">
        <v>16000</v>
      </c>
      <c r="G530" s="87">
        <f t="shared" si="8"/>
        <v>0</v>
      </c>
      <c r="H530" s="509"/>
      <c r="I530" s="525"/>
    </row>
    <row r="531" spans="1:9" s="681" customFormat="1" ht="15.75" x14ac:dyDescent="0.25">
      <c r="A531" s="87"/>
      <c r="B531" s="87" t="s">
        <v>1208</v>
      </c>
      <c r="C531" s="555" t="s">
        <v>1358</v>
      </c>
      <c r="D531" s="563">
        <v>14000</v>
      </c>
      <c r="E531" s="573">
        <v>155</v>
      </c>
      <c r="F531" s="563">
        <v>14000</v>
      </c>
      <c r="G531" s="87">
        <f t="shared" si="8"/>
        <v>0</v>
      </c>
      <c r="H531" s="509"/>
      <c r="I531" s="525"/>
    </row>
    <row r="532" spans="1:9" s="681" customFormat="1" ht="15.75" x14ac:dyDescent="0.25">
      <c r="A532" s="87"/>
      <c r="B532" s="87" t="s">
        <v>1208</v>
      </c>
      <c r="C532" s="555" t="s">
        <v>1279</v>
      </c>
      <c r="D532" s="563">
        <v>10000</v>
      </c>
      <c r="E532" s="573">
        <v>111</v>
      </c>
      <c r="F532" s="563">
        <v>10000</v>
      </c>
      <c r="G532" s="87">
        <f t="shared" si="8"/>
        <v>0</v>
      </c>
      <c r="H532" s="509"/>
      <c r="I532" s="525"/>
    </row>
    <row r="533" spans="1:9" s="681" customFormat="1" ht="15.75" x14ac:dyDescent="0.25">
      <c r="A533" s="87"/>
      <c r="B533" s="87" t="s">
        <v>1208</v>
      </c>
      <c r="C533" s="555" t="s">
        <v>1309</v>
      </c>
      <c r="D533" s="563">
        <v>18000</v>
      </c>
      <c r="E533" s="573">
        <v>200</v>
      </c>
      <c r="F533" s="563">
        <v>18000</v>
      </c>
      <c r="G533" s="87">
        <f t="shared" si="8"/>
        <v>0</v>
      </c>
      <c r="H533" s="509"/>
      <c r="I533" s="525"/>
    </row>
    <row r="534" spans="1:9" s="681" customFormat="1" ht="15.75" x14ac:dyDescent="0.25">
      <c r="A534" s="87"/>
      <c r="B534" s="87" t="s">
        <v>1208</v>
      </c>
      <c r="C534" s="555" t="s">
        <v>1359</v>
      </c>
      <c r="D534" s="563">
        <v>20000</v>
      </c>
      <c r="E534" s="573">
        <v>222</v>
      </c>
      <c r="F534" s="563">
        <v>20000</v>
      </c>
      <c r="G534" s="87">
        <f t="shared" si="8"/>
        <v>0</v>
      </c>
      <c r="H534" s="509"/>
      <c r="I534" s="525"/>
    </row>
    <row r="535" spans="1:9" s="681" customFormat="1" ht="15.75" x14ac:dyDescent="0.25">
      <c r="A535" s="87"/>
      <c r="B535" s="87" t="s">
        <v>1208</v>
      </c>
      <c r="C535" s="555" t="s">
        <v>1360</v>
      </c>
      <c r="D535" s="563">
        <v>20000</v>
      </c>
      <c r="E535" s="573">
        <v>222</v>
      </c>
      <c r="F535" s="563">
        <v>20000</v>
      </c>
      <c r="G535" s="87">
        <f t="shared" si="8"/>
        <v>0</v>
      </c>
      <c r="H535" s="509"/>
      <c r="I535" s="525"/>
    </row>
    <row r="536" spans="1:9" s="681" customFormat="1" ht="15.75" x14ac:dyDescent="0.25">
      <c r="A536" s="87"/>
      <c r="B536" s="87" t="s">
        <v>1208</v>
      </c>
      <c r="C536" s="555" t="s">
        <v>1235</v>
      </c>
      <c r="D536" s="563">
        <v>16000</v>
      </c>
      <c r="E536" s="573">
        <v>178</v>
      </c>
      <c r="F536" s="563">
        <v>16000</v>
      </c>
      <c r="G536" s="87">
        <f t="shared" si="8"/>
        <v>0</v>
      </c>
      <c r="H536" s="509"/>
      <c r="I536" s="525"/>
    </row>
    <row r="537" spans="1:9" s="681" customFormat="1" ht="15.75" x14ac:dyDescent="0.25">
      <c r="A537" s="87"/>
      <c r="B537" s="87" t="s">
        <v>1208</v>
      </c>
      <c r="C537" s="555" t="s">
        <v>1361</v>
      </c>
      <c r="D537" s="563">
        <v>33000</v>
      </c>
      <c r="E537" s="573">
        <v>362</v>
      </c>
      <c r="F537" s="563">
        <v>33000</v>
      </c>
      <c r="G537" s="87">
        <f t="shared" si="8"/>
        <v>0</v>
      </c>
      <c r="H537" s="509"/>
      <c r="I537" s="525"/>
    </row>
    <row r="538" spans="1:9" s="681" customFormat="1" ht="15.75" x14ac:dyDescent="0.25">
      <c r="A538" s="87"/>
      <c r="B538" s="87" t="s">
        <v>1208</v>
      </c>
      <c r="C538" s="555" t="s">
        <v>1362</v>
      </c>
      <c r="D538" s="563">
        <v>20990</v>
      </c>
      <c r="E538" s="573">
        <v>235</v>
      </c>
      <c r="F538" s="563">
        <v>20990</v>
      </c>
      <c r="G538" s="87">
        <f t="shared" si="8"/>
        <v>0</v>
      </c>
      <c r="H538" s="509"/>
      <c r="I538" s="525"/>
    </row>
    <row r="539" spans="1:9" s="681" customFormat="1" ht="15.75" x14ac:dyDescent="0.25">
      <c r="A539" s="87"/>
      <c r="B539" s="87" t="s">
        <v>1363</v>
      </c>
      <c r="C539" s="607" t="s">
        <v>1364</v>
      </c>
      <c r="D539" s="563">
        <v>18000</v>
      </c>
      <c r="E539" s="573">
        <v>200</v>
      </c>
      <c r="F539" s="563">
        <v>18000</v>
      </c>
      <c r="G539" s="87">
        <f t="shared" si="8"/>
        <v>0</v>
      </c>
      <c r="H539" s="509"/>
      <c r="I539" s="525"/>
    </row>
    <row r="540" spans="1:9" s="681" customFormat="1" ht="15.75" x14ac:dyDescent="0.25">
      <c r="A540" s="87"/>
      <c r="B540" s="87" t="s">
        <v>1363</v>
      </c>
      <c r="C540" s="555" t="s">
        <v>1317</v>
      </c>
      <c r="D540" s="563">
        <v>16000</v>
      </c>
      <c r="E540" s="573">
        <v>178</v>
      </c>
      <c r="F540" s="563">
        <v>16000</v>
      </c>
      <c r="G540" s="87">
        <f t="shared" si="8"/>
        <v>0</v>
      </c>
      <c r="H540" s="509"/>
      <c r="I540" s="525"/>
    </row>
    <row r="541" spans="1:9" s="681" customFormat="1" ht="15.75" x14ac:dyDescent="0.25">
      <c r="A541" s="87"/>
      <c r="B541" s="87" t="s">
        <v>1363</v>
      </c>
      <c r="C541" s="555" t="s">
        <v>1365</v>
      </c>
      <c r="D541" s="563">
        <v>20000</v>
      </c>
      <c r="E541" s="573">
        <v>222</v>
      </c>
      <c r="F541" s="563">
        <v>20000</v>
      </c>
      <c r="G541" s="87">
        <f t="shared" si="8"/>
        <v>0</v>
      </c>
      <c r="H541" s="509"/>
      <c r="I541" s="525"/>
    </row>
    <row r="542" spans="1:9" s="681" customFormat="1" ht="15.75" x14ac:dyDescent="0.25">
      <c r="A542" s="87"/>
      <c r="B542" s="87" t="s">
        <v>1363</v>
      </c>
      <c r="C542" s="555" t="s">
        <v>30</v>
      </c>
      <c r="D542" s="563">
        <v>4000</v>
      </c>
      <c r="E542" s="573">
        <v>44</v>
      </c>
      <c r="F542" s="563">
        <v>4000</v>
      </c>
      <c r="G542" s="87">
        <f t="shared" si="8"/>
        <v>0</v>
      </c>
      <c r="H542" s="509"/>
      <c r="I542" s="525"/>
    </row>
    <row r="543" spans="1:9" s="681" customFormat="1" ht="15.75" x14ac:dyDescent="0.25">
      <c r="A543" s="87"/>
      <c r="B543" s="87" t="s">
        <v>1363</v>
      </c>
      <c r="C543" s="555" t="s">
        <v>1366</v>
      </c>
      <c r="D543" s="563">
        <v>10000</v>
      </c>
      <c r="E543" s="573">
        <v>111</v>
      </c>
      <c r="F543" s="563">
        <v>10000</v>
      </c>
      <c r="G543" s="87">
        <f t="shared" si="8"/>
        <v>0</v>
      </c>
      <c r="H543" s="509"/>
      <c r="I543" s="525"/>
    </row>
    <row r="544" spans="1:9" s="681" customFormat="1" ht="15.75" x14ac:dyDescent="0.25">
      <c r="A544" s="87"/>
      <c r="B544" s="87" t="s">
        <v>1363</v>
      </c>
      <c r="C544" s="555" t="s">
        <v>1337</v>
      </c>
      <c r="D544" s="563">
        <v>14000</v>
      </c>
      <c r="E544" s="573">
        <v>155</v>
      </c>
      <c r="F544" s="563">
        <v>14000</v>
      </c>
      <c r="G544" s="87">
        <f t="shared" si="8"/>
        <v>0</v>
      </c>
      <c r="H544" s="509"/>
      <c r="I544" s="525"/>
    </row>
    <row r="545" spans="1:9" s="681" customFormat="1" ht="15.75" x14ac:dyDescent="0.25">
      <c r="A545" s="87"/>
      <c r="B545" s="87" t="s">
        <v>1363</v>
      </c>
      <c r="C545" s="555" t="s">
        <v>1276</v>
      </c>
      <c r="D545" s="563">
        <v>14000</v>
      </c>
      <c r="E545" s="573">
        <v>155</v>
      </c>
      <c r="F545" s="563">
        <v>14000</v>
      </c>
      <c r="G545" s="87">
        <f t="shared" si="8"/>
        <v>0</v>
      </c>
      <c r="H545" s="509"/>
      <c r="I545" s="525"/>
    </row>
    <row r="546" spans="1:9" s="681" customFormat="1" ht="15.75" x14ac:dyDescent="0.25">
      <c r="A546" s="87"/>
      <c r="B546" s="87" t="s">
        <v>1363</v>
      </c>
      <c r="C546" s="555" t="s">
        <v>1334</v>
      </c>
      <c r="D546" s="563">
        <v>14000</v>
      </c>
      <c r="E546" s="573">
        <v>155</v>
      </c>
      <c r="F546" s="563">
        <v>14000</v>
      </c>
      <c r="G546" s="87">
        <f t="shared" si="8"/>
        <v>0</v>
      </c>
      <c r="H546" s="509"/>
      <c r="I546" s="525"/>
    </row>
    <row r="547" spans="1:9" s="681" customFormat="1" ht="15.75" x14ac:dyDescent="0.25">
      <c r="A547" s="87"/>
      <c r="B547" s="87" t="s">
        <v>1363</v>
      </c>
      <c r="C547" s="555" t="s">
        <v>1343</v>
      </c>
      <c r="D547" s="563">
        <v>14000</v>
      </c>
      <c r="E547" s="573">
        <v>155</v>
      </c>
      <c r="F547" s="563">
        <v>14000</v>
      </c>
      <c r="G547" s="87">
        <f t="shared" si="8"/>
        <v>0</v>
      </c>
      <c r="H547" s="509"/>
      <c r="I547" s="525"/>
    </row>
    <row r="548" spans="1:9" s="681" customFormat="1" ht="15.75" x14ac:dyDescent="0.25">
      <c r="A548" s="87"/>
      <c r="B548" s="87" t="s">
        <v>1363</v>
      </c>
      <c r="C548" s="555" t="s">
        <v>1367</v>
      </c>
      <c r="D548" s="563">
        <v>14000</v>
      </c>
      <c r="E548" s="573">
        <v>155</v>
      </c>
      <c r="F548" s="563">
        <v>14000</v>
      </c>
      <c r="G548" s="87">
        <f t="shared" si="8"/>
        <v>0</v>
      </c>
      <c r="H548" s="509"/>
      <c r="I548" s="525"/>
    </row>
    <row r="549" spans="1:9" s="681" customFormat="1" ht="15.75" x14ac:dyDescent="0.25">
      <c r="A549" s="87"/>
      <c r="B549" s="87" t="s">
        <v>1363</v>
      </c>
      <c r="C549" s="555" t="s">
        <v>66</v>
      </c>
      <c r="D549" s="563">
        <v>100</v>
      </c>
      <c r="E549" s="573">
        <v>100</v>
      </c>
      <c r="F549" s="563">
        <v>100</v>
      </c>
      <c r="G549" s="87">
        <f t="shared" si="8"/>
        <v>0</v>
      </c>
      <c r="H549" s="509"/>
      <c r="I549" s="525"/>
    </row>
    <row r="550" spans="1:9" s="681" customFormat="1" ht="15.75" x14ac:dyDescent="0.25">
      <c r="A550" s="87"/>
      <c r="B550" s="87" t="s">
        <v>1363</v>
      </c>
      <c r="C550" s="555" t="s">
        <v>66</v>
      </c>
      <c r="D550" s="563">
        <v>210</v>
      </c>
      <c r="E550" s="573">
        <v>210</v>
      </c>
      <c r="F550" s="563">
        <v>210</v>
      </c>
      <c r="G550" s="87">
        <f t="shared" si="8"/>
        <v>0</v>
      </c>
      <c r="H550" s="509"/>
      <c r="I550" s="525"/>
    </row>
    <row r="551" spans="1:9" s="681" customFormat="1" ht="15.75" x14ac:dyDescent="0.25">
      <c r="A551" s="87"/>
      <c r="B551" s="87" t="s">
        <v>1363</v>
      </c>
      <c r="C551" s="555" t="s">
        <v>1331</v>
      </c>
      <c r="D551" s="563">
        <v>14000</v>
      </c>
      <c r="E551" s="573">
        <v>14000</v>
      </c>
      <c r="F551" s="563">
        <v>14000</v>
      </c>
      <c r="G551" s="87">
        <f t="shared" si="8"/>
        <v>0</v>
      </c>
      <c r="H551" s="509"/>
      <c r="I551" s="525"/>
    </row>
    <row r="552" spans="1:9" s="681" customFormat="1" ht="15.75" x14ac:dyDescent="0.25">
      <c r="A552" s="87"/>
      <c r="B552" s="87" t="s">
        <v>1363</v>
      </c>
      <c r="C552" s="555" t="s">
        <v>1269</v>
      </c>
      <c r="D552" s="563">
        <v>22000</v>
      </c>
      <c r="E552" s="573">
        <v>22000</v>
      </c>
      <c r="F552" s="563">
        <v>22000</v>
      </c>
      <c r="G552" s="87">
        <f t="shared" si="8"/>
        <v>0</v>
      </c>
      <c r="H552" s="509"/>
      <c r="I552" s="525"/>
    </row>
    <row r="553" spans="1:9" s="681" customFormat="1" ht="15.75" x14ac:dyDescent="0.25">
      <c r="A553" s="87"/>
      <c r="B553" s="87" t="s">
        <v>1363</v>
      </c>
      <c r="C553" s="555" t="s">
        <v>30</v>
      </c>
      <c r="D553" s="563">
        <v>9000</v>
      </c>
      <c r="E553" s="573">
        <v>9000</v>
      </c>
      <c r="F553" s="563">
        <v>9000</v>
      </c>
      <c r="G553" s="87">
        <f t="shared" si="8"/>
        <v>0</v>
      </c>
      <c r="H553" s="509"/>
      <c r="I553" s="525"/>
    </row>
    <row r="554" spans="1:9" s="681" customFormat="1" ht="15.75" x14ac:dyDescent="0.25">
      <c r="A554" s="87"/>
      <c r="B554" s="87" t="s">
        <v>1363</v>
      </c>
      <c r="C554" s="555" t="s">
        <v>1340</v>
      </c>
      <c r="D554" s="563">
        <v>14000</v>
      </c>
      <c r="E554" s="573">
        <v>14000</v>
      </c>
      <c r="F554" s="563">
        <v>14000</v>
      </c>
      <c r="G554" s="87">
        <f t="shared" si="8"/>
        <v>0</v>
      </c>
      <c r="H554" s="509"/>
      <c r="I554" s="525"/>
    </row>
    <row r="555" spans="1:9" s="681" customFormat="1" ht="15.75" x14ac:dyDescent="0.25">
      <c r="A555" s="87"/>
      <c r="B555" s="87" t="s">
        <v>1363</v>
      </c>
      <c r="C555" s="555" t="s">
        <v>1342</v>
      </c>
      <c r="D555" s="563">
        <v>14000</v>
      </c>
      <c r="E555" s="573">
        <v>14000</v>
      </c>
      <c r="F555" s="563">
        <v>14000</v>
      </c>
      <c r="G555" s="87">
        <f t="shared" si="8"/>
        <v>0</v>
      </c>
      <c r="H555" s="509"/>
      <c r="I555" s="525"/>
    </row>
    <row r="556" spans="1:9" s="681" customFormat="1" ht="15.75" x14ac:dyDescent="0.25">
      <c r="A556" s="87"/>
      <c r="B556" s="87" t="s">
        <v>1363</v>
      </c>
      <c r="C556" s="555" t="s">
        <v>1229</v>
      </c>
      <c r="D556" s="563">
        <v>15000</v>
      </c>
      <c r="E556" s="573">
        <v>15000</v>
      </c>
      <c r="F556" s="563">
        <v>15000</v>
      </c>
      <c r="G556" s="87">
        <f t="shared" si="8"/>
        <v>0</v>
      </c>
      <c r="H556" s="509"/>
      <c r="I556" s="525"/>
    </row>
    <row r="557" spans="1:9" s="681" customFormat="1" ht="15.75" x14ac:dyDescent="0.25">
      <c r="A557" s="87"/>
      <c r="B557" s="87" t="s">
        <v>1363</v>
      </c>
      <c r="C557" s="555" t="s">
        <v>1368</v>
      </c>
      <c r="D557" s="563">
        <v>15000</v>
      </c>
      <c r="E557" s="573">
        <v>15000</v>
      </c>
      <c r="F557" s="563">
        <v>15000</v>
      </c>
      <c r="G557" s="87">
        <f t="shared" si="8"/>
        <v>0</v>
      </c>
      <c r="H557" s="509"/>
      <c r="I557" s="525"/>
    </row>
    <row r="558" spans="1:9" s="681" customFormat="1" ht="15.75" x14ac:dyDescent="0.25">
      <c r="A558" s="87"/>
      <c r="B558" s="87" t="s">
        <v>1363</v>
      </c>
      <c r="C558" s="555" t="s">
        <v>1369</v>
      </c>
      <c r="D558" s="563">
        <v>15000</v>
      </c>
      <c r="E558" s="573">
        <v>15000</v>
      </c>
      <c r="F558" s="563">
        <v>15000</v>
      </c>
      <c r="G558" s="87">
        <f t="shared" si="8"/>
        <v>0</v>
      </c>
      <c r="H558" s="509"/>
      <c r="I558" s="525"/>
    </row>
    <row r="559" spans="1:9" s="681" customFormat="1" ht="15.75" x14ac:dyDescent="0.25">
      <c r="A559" s="87"/>
      <c r="B559" s="87" t="s">
        <v>1363</v>
      </c>
      <c r="C559" s="555" t="s">
        <v>1370</v>
      </c>
      <c r="D559" s="563">
        <v>15000</v>
      </c>
      <c r="E559" s="573">
        <v>15000</v>
      </c>
      <c r="F559" s="563">
        <v>15000</v>
      </c>
      <c r="G559" s="87">
        <f t="shared" si="8"/>
        <v>0</v>
      </c>
      <c r="H559" s="509"/>
      <c r="I559" s="525"/>
    </row>
    <row r="560" spans="1:9" s="681" customFormat="1" ht="15.75" x14ac:dyDescent="0.25">
      <c r="A560" s="87"/>
      <c r="B560" s="87" t="s">
        <v>1363</v>
      </c>
      <c r="C560" s="607" t="s">
        <v>1371</v>
      </c>
      <c r="D560" s="563">
        <v>13000</v>
      </c>
      <c r="E560" s="573">
        <v>13000</v>
      </c>
      <c r="F560" s="563">
        <v>13000</v>
      </c>
      <c r="G560" s="87">
        <f t="shared" si="8"/>
        <v>0</v>
      </c>
      <c r="H560" s="509"/>
      <c r="I560" s="525"/>
    </row>
    <row r="561" spans="1:9" s="681" customFormat="1" ht="15.75" x14ac:dyDescent="0.25">
      <c r="A561" s="87"/>
      <c r="B561" s="87" t="s">
        <v>1363</v>
      </c>
      <c r="C561" s="555" t="s">
        <v>819</v>
      </c>
      <c r="D561" s="563">
        <v>3500</v>
      </c>
      <c r="E561" s="573">
        <v>3500</v>
      </c>
      <c r="F561" s="563">
        <v>3500</v>
      </c>
      <c r="G561" s="87">
        <f t="shared" si="8"/>
        <v>0</v>
      </c>
      <c r="H561" s="509"/>
      <c r="I561" s="525"/>
    </row>
    <row r="562" spans="1:9" s="681" customFormat="1" ht="15.75" x14ac:dyDescent="0.25">
      <c r="A562" s="87"/>
      <c r="B562" s="87" t="s">
        <v>1363</v>
      </c>
      <c r="C562" s="555" t="s">
        <v>66</v>
      </c>
      <c r="D562" s="563">
        <v>100</v>
      </c>
      <c r="E562" s="573">
        <v>100</v>
      </c>
      <c r="F562" s="563">
        <v>100</v>
      </c>
      <c r="G562" s="87">
        <f t="shared" si="8"/>
        <v>0</v>
      </c>
      <c r="H562" s="509"/>
      <c r="I562" s="525"/>
    </row>
    <row r="563" spans="1:9" s="681" customFormat="1" ht="15.75" x14ac:dyDescent="0.25">
      <c r="A563" s="87"/>
      <c r="B563" s="87" t="s">
        <v>1363</v>
      </c>
      <c r="C563" s="555" t="s">
        <v>1372</v>
      </c>
      <c r="D563" s="563">
        <v>22000</v>
      </c>
      <c r="E563" s="573">
        <v>245</v>
      </c>
      <c r="F563" s="563">
        <v>22000</v>
      </c>
      <c r="G563" s="87">
        <f t="shared" si="8"/>
        <v>0</v>
      </c>
      <c r="H563" s="509"/>
      <c r="I563" s="525"/>
    </row>
    <row r="564" spans="1:9" s="681" customFormat="1" ht="15.75" x14ac:dyDescent="0.25">
      <c r="A564" s="87"/>
      <c r="B564" s="87" t="s">
        <v>1363</v>
      </c>
      <c r="C564" s="607" t="s">
        <v>1238</v>
      </c>
      <c r="D564" s="563">
        <v>14000</v>
      </c>
      <c r="E564" s="573">
        <v>155</v>
      </c>
      <c r="F564" s="563">
        <v>14000</v>
      </c>
      <c r="G564" s="87">
        <f t="shared" si="8"/>
        <v>0</v>
      </c>
      <c r="H564" s="509"/>
      <c r="I564" s="525"/>
    </row>
    <row r="565" spans="1:9" s="681" customFormat="1" ht="15.75" x14ac:dyDescent="0.25">
      <c r="A565" s="87"/>
      <c r="B565" s="87" t="s">
        <v>1363</v>
      </c>
      <c r="C565" s="555" t="s">
        <v>1373</v>
      </c>
      <c r="D565" s="563">
        <v>20000</v>
      </c>
      <c r="E565" s="573">
        <v>122</v>
      </c>
      <c r="F565" s="563">
        <v>20000</v>
      </c>
      <c r="G565" s="87">
        <f t="shared" si="8"/>
        <v>0</v>
      </c>
      <c r="H565" s="509"/>
      <c r="I565" s="525"/>
    </row>
    <row r="566" spans="1:9" s="681" customFormat="1" ht="15.75" x14ac:dyDescent="0.25">
      <c r="A566" s="87"/>
      <c r="B566" s="87" t="s">
        <v>1363</v>
      </c>
      <c r="C566" s="555" t="s">
        <v>1287</v>
      </c>
      <c r="D566" s="563">
        <v>15000</v>
      </c>
      <c r="E566" s="573">
        <v>167</v>
      </c>
      <c r="F566" s="563">
        <v>15000</v>
      </c>
      <c r="G566" s="87">
        <f t="shared" si="8"/>
        <v>0</v>
      </c>
      <c r="H566" s="509"/>
      <c r="I566" s="525"/>
    </row>
    <row r="567" spans="1:9" s="681" customFormat="1" ht="15.75" x14ac:dyDescent="0.25">
      <c r="A567" s="87"/>
      <c r="B567" s="87" t="s">
        <v>1363</v>
      </c>
      <c r="C567" s="555" t="s">
        <v>1374</v>
      </c>
      <c r="D567" s="563">
        <v>20000</v>
      </c>
      <c r="E567" s="573">
        <v>122</v>
      </c>
      <c r="F567" s="563">
        <v>20000</v>
      </c>
      <c r="G567" s="87">
        <f t="shared" si="8"/>
        <v>0</v>
      </c>
      <c r="H567" s="509"/>
      <c r="I567" s="525"/>
    </row>
    <row r="568" spans="1:9" s="681" customFormat="1" ht="15.75" x14ac:dyDescent="0.25">
      <c r="A568" s="87"/>
      <c r="B568" s="87" t="s">
        <v>1363</v>
      </c>
      <c r="C568" s="555" t="s">
        <v>1277</v>
      </c>
      <c r="D568" s="563">
        <v>16000</v>
      </c>
      <c r="E568" s="573">
        <v>167</v>
      </c>
      <c r="F568" s="563">
        <v>16000</v>
      </c>
      <c r="G568" s="87">
        <f t="shared" si="8"/>
        <v>0</v>
      </c>
      <c r="H568" s="509"/>
      <c r="I568" s="525"/>
    </row>
    <row r="569" spans="1:9" s="681" customFormat="1" ht="15.75" x14ac:dyDescent="0.25">
      <c r="A569" s="87"/>
      <c r="B569" s="87" t="s">
        <v>1363</v>
      </c>
      <c r="C569" s="555" t="s">
        <v>1375</v>
      </c>
      <c r="D569" s="563">
        <v>27000</v>
      </c>
      <c r="E569" s="573">
        <v>300</v>
      </c>
      <c r="F569" s="563">
        <v>27000</v>
      </c>
      <c r="G569" s="87">
        <f t="shared" si="8"/>
        <v>0</v>
      </c>
      <c r="H569" s="509"/>
      <c r="I569" s="525"/>
    </row>
    <row r="570" spans="1:9" s="681" customFormat="1" ht="15.75" x14ac:dyDescent="0.25">
      <c r="A570" s="87"/>
      <c r="B570" s="87" t="s">
        <v>1363</v>
      </c>
      <c r="C570" s="555" t="s">
        <v>1376</v>
      </c>
      <c r="D570" s="563">
        <v>22000</v>
      </c>
      <c r="E570" s="573">
        <v>216</v>
      </c>
      <c r="F570" s="563">
        <v>22000</v>
      </c>
      <c r="G570" s="87">
        <f t="shared" si="8"/>
        <v>0</v>
      </c>
      <c r="H570" s="509"/>
      <c r="I570" s="525"/>
    </row>
    <row r="571" spans="1:9" s="681" customFormat="1" ht="15.75" x14ac:dyDescent="0.25">
      <c r="A571" s="87"/>
      <c r="B571" s="87" t="s">
        <v>1363</v>
      </c>
      <c r="C571" s="555" t="s">
        <v>1377</v>
      </c>
      <c r="D571" s="563">
        <v>14000</v>
      </c>
      <c r="E571" s="573">
        <v>155</v>
      </c>
      <c r="F571" s="563">
        <v>14000</v>
      </c>
      <c r="G571" s="87">
        <f t="shared" si="8"/>
        <v>0</v>
      </c>
      <c r="H571" s="509"/>
      <c r="I571" s="525"/>
    </row>
    <row r="572" spans="1:9" s="681" customFormat="1" ht="15.75" x14ac:dyDescent="0.25">
      <c r="A572" s="87"/>
      <c r="B572" s="87" t="s">
        <v>1363</v>
      </c>
      <c r="C572" s="555" t="s">
        <v>1378</v>
      </c>
      <c r="D572" s="563">
        <v>32000</v>
      </c>
      <c r="E572" s="573">
        <v>356</v>
      </c>
      <c r="F572" s="563">
        <v>32000</v>
      </c>
      <c r="G572" s="87">
        <f t="shared" si="8"/>
        <v>0</v>
      </c>
      <c r="H572" s="509"/>
      <c r="I572" s="525"/>
    </row>
    <row r="573" spans="1:9" s="681" customFormat="1" ht="15.75" x14ac:dyDescent="0.25">
      <c r="A573" s="87"/>
      <c r="B573" s="87" t="s">
        <v>1363</v>
      </c>
      <c r="C573" s="555" t="s">
        <v>1273</v>
      </c>
      <c r="D573" s="563">
        <v>15000</v>
      </c>
      <c r="E573" s="573">
        <v>161</v>
      </c>
      <c r="F573" s="563">
        <v>15000</v>
      </c>
      <c r="G573" s="87">
        <f t="shared" si="8"/>
        <v>0</v>
      </c>
      <c r="H573" s="509"/>
      <c r="I573" s="525"/>
    </row>
    <row r="574" spans="1:9" s="681" customFormat="1" ht="15.75" x14ac:dyDescent="0.25">
      <c r="A574" s="87"/>
      <c r="B574" s="87" t="s">
        <v>1363</v>
      </c>
      <c r="C574" s="555" t="s">
        <v>1379</v>
      </c>
      <c r="D574" s="563">
        <v>14000</v>
      </c>
      <c r="E574" s="573">
        <v>155</v>
      </c>
      <c r="F574" s="563">
        <v>14000</v>
      </c>
      <c r="G574" s="87">
        <f t="shared" ref="G574:G637" si="9">D574-F574</f>
        <v>0</v>
      </c>
      <c r="H574" s="509"/>
      <c r="I574" s="525"/>
    </row>
    <row r="575" spans="1:9" s="681" customFormat="1" ht="15.75" x14ac:dyDescent="0.25">
      <c r="A575" s="87"/>
      <c r="B575" s="87" t="s">
        <v>1363</v>
      </c>
      <c r="C575" s="555" t="s">
        <v>1271</v>
      </c>
      <c r="D575" s="563">
        <v>15000</v>
      </c>
      <c r="E575" s="573">
        <v>159</v>
      </c>
      <c r="F575" s="563">
        <v>15000</v>
      </c>
      <c r="G575" s="87">
        <f t="shared" si="9"/>
        <v>0</v>
      </c>
      <c r="H575" s="509"/>
      <c r="I575" s="525"/>
    </row>
    <row r="576" spans="1:9" s="681" customFormat="1" ht="15.75" x14ac:dyDescent="0.25">
      <c r="A576" s="87"/>
      <c r="B576" s="87" t="s">
        <v>1363</v>
      </c>
      <c r="C576" s="555" t="s">
        <v>1288</v>
      </c>
      <c r="D576" s="563">
        <v>17000</v>
      </c>
      <c r="E576" s="573">
        <v>189</v>
      </c>
      <c r="F576" s="563">
        <v>17000</v>
      </c>
      <c r="G576" s="87">
        <f t="shared" si="9"/>
        <v>0</v>
      </c>
      <c r="H576" s="509"/>
      <c r="I576" s="525"/>
    </row>
    <row r="577" spans="1:9" s="681" customFormat="1" ht="15.75" x14ac:dyDescent="0.25">
      <c r="A577" s="87"/>
      <c r="B577" s="87" t="s">
        <v>1363</v>
      </c>
      <c r="C577" s="555" t="s">
        <v>1278</v>
      </c>
      <c r="D577" s="563">
        <v>16000</v>
      </c>
      <c r="E577" s="573">
        <v>174</v>
      </c>
      <c r="F577" s="563">
        <v>16000</v>
      </c>
      <c r="G577" s="87">
        <f t="shared" si="9"/>
        <v>0</v>
      </c>
      <c r="H577" s="509"/>
      <c r="I577" s="525"/>
    </row>
    <row r="578" spans="1:9" s="681" customFormat="1" ht="15.75" x14ac:dyDescent="0.25">
      <c r="A578" s="87"/>
      <c r="B578" s="87" t="s">
        <v>1363</v>
      </c>
      <c r="C578" s="555" t="s">
        <v>1300</v>
      </c>
      <c r="D578" s="563">
        <v>10000</v>
      </c>
      <c r="E578" s="573">
        <v>111</v>
      </c>
      <c r="F578" s="563">
        <v>10000</v>
      </c>
      <c r="G578" s="87">
        <f t="shared" si="9"/>
        <v>0</v>
      </c>
      <c r="H578" s="509"/>
      <c r="I578" s="525"/>
    </row>
    <row r="579" spans="1:9" s="681" customFormat="1" ht="15.75" x14ac:dyDescent="0.25">
      <c r="A579" s="87"/>
      <c r="B579" s="87" t="s">
        <v>1363</v>
      </c>
      <c r="C579" s="555" t="s">
        <v>30</v>
      </c>
      <c r="D579" s="563">
        <v>5000</v>
      </c>
      <c r="E579" s="573">
        <v>55</v>
      </c>
      <c r="F579" s="563">
        <v>5000</v>
      </c>
      <c r="G579" s="87">
        <f t="shared" si="9"/>
        <v>0</v>
      </c>
      <c r="H579" s="509"/>
      <c r="I579" s="525"/>
    </row>
    <row r="580" spans="1:9" s="681" customFormat="1" ht="15.75" x14ac:dyDescent="0.25">
      <c r="A580" s="87"/>
      <c r="B580" s="87" t="s">
        <v>1248</v>
      </c>
      <c r="C580" s="607" t="s">
        <v>1380</v>
      </c>
      <c r="D580" s="563">
        <v>25000</v>
      </c>
      <c r="E580" s="573">
        <v>55</v>
      </c>
      <c r="F580" s="563">
        <v>25000</v>
      </c>
      <c r="G580" s="87">
        <f t="shared" si="9"/>
        <v>0</v>
      </c>
      <c r="H580" s="509"/>
      <c r="I580" s="525"/>
    </row>
    <row r="581" spans="1:9" s="681" customFormat="1" ht="15.75" x14ac:dyDescent="0.25">
      <c r="A581" s="87"/>
      <c r="B581" s="87" t="s">
        <v>1248</v>
      </c>
      <c r="C581" s="607" t="s">
        <v>1381</v>
      </c>
      <c r="D581" s="563">
        <v>32000</v>
      </c>
      <c r="E581" s="573">
        <v>245</v>
      </c>
      <c r="F581" s="563">
        <v>32000</v>
      </c>
      <c r="G581" s="87">
        <f t="shared" si="9"/>
        <v>0</v>
      </c>
      <c r="H581" s="509"/>
      <c r="I581" s="525"/>
    </row>
    <row r="582" spans="1:9" s="681" customFormat="1" ht="15.75" x14ac:dyDescent="0.25">
      <c r="A582" s="87"/>
      <c r="B582" s="87" t="s">
        <v>1248</v>
      </c>
      <c r="C582" s="555" t="s">
        <v>1382</v>
      </c>
      <c r="D582" s="563">
        <v>13000</v>
      </c>
      <c r="E582" s="573">
        <v>327</v>
      </c>
      <c r="F582" s="563">
        <v>13000</v>
      </c>
      <c r="G582" s="87">
        <f t="shared" si="9"/>
        <v>0</v>
      </c>
      <c r="H582" s="509"/>
      <c r="I582" s="525"/>
    </row>
    <row r="583" spans="1:9" s="681" customFormat="1" ht="15.75" x14ac:dyDescent="0.25">
      <c r="A583" s="87"/>
      <c r="B583" s="87" t="s">
        <v>1248</v>
      </c>
      <c r="C583" s="555" t="s">
        <v>1383</v>
      </c>
      <c r="D583" s="563">
        <v>25000</v>
      </c>
      <c r="E583" s="573">
        <v>183</v>
      </c>
      <c r="F583" s="563">
        <v>25000</v>
      </c>
      <c r="G583" s="87">
        <f t="shared" si="9"/>
        <v>0</v>
      </c>
      <c r="H583" s="509"/>
      <c r="I583" s="525"/>
    </row>
    <row r="584" spans="1:9" s="681" customFormat="1" ht="15.75" x14ac:dyDescent="0.25">
      <c r="A584" s="87"/>
      <c r="B584" s="87" t="s">
        <v>1248</v>
      </c>
      <c r="C584" s="555" t="s">
        <v>1298</v>
      </c>
      <c r="D584" s="563">
        <v>14000</v>
      </c>
      <c r="E584" s="573">
        <v>249</v>
      </c>
      <c r="F584" s="563">
        <v>14000</v>
      </c>
      <c r="G584" s="87">
        <f t="shared" si="9"/>
        <v>0</v>
      </c>
      <c r="H584" s="509"/>
      <c r="I584" s="525"/>
    </row>
    <row r="585" spans="1:9" s="681" customFormat="1" ht="15.75" x14ac:dyDescent="0.25">
      <c r="A585" s="87"/>
      <c r="B585" s="87" t="s">
        <v>1248</v>
      </c>
      <c r="C585" s="607" t="s">
        <v>1384</v>
      </c>
      <c r="D585" s="563">
        <v>10000</v>
      </c>
      <c r="E585" s="573">
        <v>155</v>
      </c>
      <c r="F585" s="563">
        <v>10000</v>
      </c>
      <c r="G585" s="87">
        <f t="shared" si="9"/>
        <v>0</v>
      </c>
      <c r="H585" s="509"/>
      <c r="I585" s="525"/>
    </row>
    <row r="586" spans="1:9" s="681" customFormat="1" ht="15.75" x14ac:dyDescent="0.25">
      <c r="A586" s="87"/>
      <c r="B586" s="87" t="s">
        <v>1248</v>
      </c>
      <c r="C586" s="555" t="s">
        <v>1290</v>
      </c>
      <c r="D586" s="563">
        <v>15000</v>
      </c>
      <c r="E586" s="573">
        <v>111</v>
      </c>
      <c r="F586" s="563">
        <v>15000</v>
      </c>
      <c r="G586" s="87">
        <f t="shared" si="9"/>
        <v>0</v>
      </c>
      <c r="H586" s="509"/>
      <c r="I586" s="525"/>
    </row>
    <row r="587" spans="1:9" s="681" customFormat="1" ht="15.75" x14ac:dyDescent="0.25">
      <c r="A587" s="87"/>
      <c r="B587" s="87" t="s">
        <v>1248</v>
      </c>
      <c r="C587" s="555" t="s">
        <v>1279</v>
      </c>
      <c r="D587" s="563">
        <v>10000</v>
      </c>
      <c r="E587" s="573">
        <v>167</v>
      </c>
      <c r="F587" s="563">
        <v>10000</v>
      </c>
      <c r="G587" s="87">
        <f t="shared" si="9"/>
        <v>0</v>
      </c>
      <c r="H587" s="509"/>
      <c r="I587" s="525"/>
    </row>
    <row r="588" spans="1:9" s="681" customFormat="1" ht="15.75" x14ac:dyDescent="0.25">
      <c r="A588" s="87"/>
      <c r="B588" s="87" t="s">
        <v>1248</v>
      </c>
      <c r="C588" s="607" t="s">
        <v>1328</v>
      </c>
      <c r="D588" s="563">
        <v>14000</v>
      </c>
      <c r="E588" s="573">
        <v>111</v>
      </c>
      <c r="F588" s="563">
        <v>14000</v>
      </c>
      <c r="G588" s="87">
        <f t="shared" si="9"/>
        <v>0</v>
      </c>
      <c r="H588" s="509"/>
      <c r="I588" s="525"/>
    </row>
    <row r="589" spans="1:9" s="681" customFormat="1" ht="15.75" x14ac:dyDescent="0.25">
      <c r="A589" s="87"/>
      <c r="B589" s="87" t="s">
        <v>1248</v>
      </c>
      <c r="C589" s="555" t="s">
        <v>1286</v>
      </c>
      <c r="D589" s="563">
        <v>15000</v>
      </c>
      <c r="E589" s="573">
        <v>155</v>
      </c>
      <c r="F589" s="563">
        <v>15000</v>
      </c>
      <c r="G589" s="87">
        <f t="shared" si="9"/>
        <v>0</v>
      </c>
      <c r="H589" s="509"/>
      <c r="I589" s="525"/>
    </row>
    <row r="590" spans="1:9" s="681" customFormat="1" ht="15.75" x14ac:dyDescent="0.25">
      <c r="A590" s="87"/>
      <c r="B590" s="87" t="s">
        <v>1248</v>
      </c>
      <c r="C590" s="555" t="s">
        <v>1385</v>
      </c>
      <c r="D590" s="563">
        <v>26000</v>
      </c>
      <c r="E590" s="573">
        <v>167</v>
      </c>
      <c r="F590" s="563">
        <v>26000</v>
      </c>
      <c r="G590" s="87">
        <f t="shared" si="9"/>
        <v>0</v>
      </c>
      <c r="H590" s="509"/>
      <c r="I590" s="525"/>
    </row>
    <row r="591" spans="1:9" s="681" customFormat="1" ht="15.75" x14ac:dyDescent="0.25">
      <c r="A591" s="87"/>
      <c r="B591" s="87" t="s">
        <v>1248</v>
      </c>
      <c r="C591" s="555" t="s">
        <v>1358</v>
      </c>
      <c r="D591" s="563">
        <v>16000</v>
      </c>
      <c r="E591" s="573">
        <v>289</v>
      </c>
      <c r="F591" s="563">
        <v>16000</v>
      </c>
      <c r="G591" s="87">
        <f t="shared" si="9"/>
        <v>0</v>
      </c>
      <c r="H591" s="509"/>
      <c r="I591" s="525"/>
    </row>
    <row r="592" spans="1:9" s="681" customFormat="1" ht="15.75" x14ac:dyDescent="0.25">
      <c r="A592" s="87"/>
      <c r="B592" s="87" t="s">
        <v>1248</v>
      </c>
      <c r="C592" s="555">
        <v>5235</v>
      </c>
      <c r="D592" s="563">
        <v>20000</v>
      </c>
      <c r="E592" s="573">
        <v>178</v>
      </c>
      <c r="F592" s="563">
        <v>20000</v>
      </c>
      <c r="G592" s="87">
        <f t="shared" si="9"/>
        <v>0</v>
      </c>
      <c r="H592" s="509"/>
      <c r="I592" s="525"/>
    </row>
    <row r="593" spans="1:9" s="681" customFormat="1" ht="15.75" x14ac:dyDescent="0.25">
      <c r="A593" s="87"/>
      <c r="B593" s="87" t="s">
        <v>1248</v>
      </c>
      <c r="C593" s="555" t="s">
        <v>1386</v>
      </c>
      <c r="D593" s="563">
        <v>19000</v>
      </c>
      <c r="E593" s="573">
        <v>222</v>
      </c>
      <c r="F593" s="563">
        <v>19000</v>
      </c>
      <c r="G593" s="87">
        <f t="shared" si="9"/>
        <v>0</v>
      </c>
      <c r="H593" s="509"/>
      <c r="I593" s="525"/>
    </row>
    <row r="594" spans="1:9" s="681" customFormat="1" ht="15.75" x14ac:dyDescent="0.25">
      <c r="A594" s="87"/>
      <c r="B594" s="87" t="s">
        <v>1248</v>
      </c>
      <c r="C594" s="555">
        <v>3085</v>
      </c>
      <c r="D594" s="563">
        <v>8000</v>
      </c>
      <c r="E594" s="573">
        <v>144</v>
      </c>
      <c r="F594" s="563">
        <v>8000</v>
      </c>
      <c r="G594" s="87">
        <f t="shared" si="9"/>
        <v>0</v>
      </c>
      <c r="H594" s="509"/>
      <c r="I594" s="525"/>
    </row>
    <row r="595" spans="1:9" s="681" customFormat="1" ht="15.75" x14ac:dyDescent="0.25">
      <c r="A595" s="87"/>
      <c r="B595" s="87" t="s">
        <v>1248</v>
      </c>
      <c r="C595" s="555" t="s">
        <v>1289</v>
      </c>
      <c r="D595" s="563">
        <v>15000</v>
      </c>
      <c r="E595" s="573">
        <v>89</v>
      </c>
      <c r="F595" s="563">
        <v>15000</v>
      </c>
      <c r="G595" s="87">
        <f t="shared" si="9"/>
        <v>0</v>
      </c>
      <c r="H595" s="509"/>
      <c r="I595" s="525"/>
    </row>
    <row r="596" spans="1:9" s="681" customFormat="1" ht="15.75" x14ac:dyDescent="0.25">
      <c r="A596" s="87"/>
      <c r="B596" s="87" t="s">
        <v>1248</v>
      </c>
      <c r="C596" s="555" t="s">
        <v>1336</v>
      </c>
      <c r="D596" s="563">
        <v>15000</v>
      </c>
      <c r="E596" s="573">
        <v>166</v>
      </c>
      <c r="F596" s="563">
        <v>15000</v>
      </c>
      <c r="G596" s="87">
        <f t="shared" si="9"/>
        <v>0</v>
      </c>
      <c r="H596" s="509"/>
      <c r="I596" s="525"/>
    </row>
    <row r="597" spans="1:9" s="681" customFormat="1" ht="15.75" x14ac:dyDescent="0.25">
      <c r="A597" s="87"/>
      <c r="B597" s="87" t="s">
        <v>1248</v>
      </c>
      <c r="C597" s="555" t="s">
        <v>1387</v>
      </c>
      <c r="D597" s="563">
        <v>10000</v>
      </c>
      <c r="E597" s="573">
        <v>167</v>
      </c>
      <c r="F597" s="563">
        <v>10000</v>
      </c>
      <c r="G597" s="87">
        <f t="shared" si="9"/>
        <v>0</v>
      </c>
      <c r="H597" s="509"/>
      <c r="I597" s="525"/>
    </row>
    <row r="598" spans="1:9" s="681" customFormat="1" ht="15.75" x14ac:dyDescent="0.25">
      <c r="A598" s="87"/>
      <c r="B598" s="87" t="s">
        <v>1248</v>
      </c>
      <c r="C598" s="555" t="s">
        <v>1235</v>
      </c>
      <c r="D598" s="563">
        <v>16000</v>
      </c>
      <c r="E598" s="573">
        <v>111</v>
      </c>
      <c r="F598" s="563">
        <v>16000</v>
      </c>
      <c r="G598" s="87">
        <f t="shared" si="9"/>
        <v>0</v>
      </c>
      <c r="H598" s="509"/>
      <c r="I598" s="525"/>
    </row>
    <row r="599" spans="1:9" s="681" customFormat="1" ht="15.75" x14ac:dyDescent="0.25">
      <c r="A599" s="87"/>
      <c r="B599" s="87" t="s">
        <v>1248</v>
      </c>
      <c r="C599" s="555" t="s">
        <v>1272</v>
      </c>
      <c r="D599" s="563">
        <v>14000</v>
      </c>
      <c r="E599" s="573">
        <v>170</v>
      </c>
      <c r="F599" s="563">
        <v>14000</v>
      </c>
      <c r="G599" s="87">
        <f t="shared" si="9"/>
        <v>0</v>
      </c>
      <c r="H599" s="509"/>
      <c r="I599" s="525"/>
    </row>
    <row r="600" spans="1:9" s="681" customFormat="1" ht="15.75" x14ac:dyDescent="0.25">
      <c r="A600" s="87"/>
      <c r="B600" s="87" t="s">
        <v>1248</v>
      </c>
      <c r="C600" s="555" t="s">
        <v>1236</v>
      </c>
      <c r="D600" s="563">
        <v>14000</v>
      </c>
      <c r="E600" s="573">
        <v>149</v>
      </c>
      <c r="F600" s="563">
        <v>14000</v>
      </c>
      <c r="G600" s="87">
        <f t="shared" si="9"/>
        <v>0</v>
      </c>
      <c r="H600" s="509"/>
      <c r="I600" s="525"/>
    </row>
    <row r="601" spans="1:9" s="681" customFormat="1" ht="15.75" x14ac:dyDescent="0.25">
      <c r="A601" s="87"/>
      <c r="B601" s="87" t="s">
        <v>1248</v>
      </c>
      <c r="C601" s="555" t="s">
        <v>1388</v>
      </c>
      <c r="D601" s="563">
        <v>10000</v>
      </c>
      <c r="E601" s="573">
        <v>111</v>
      </c>
      <c r="F601" s="563">
        <v>10000</v>
      </c>
      <c r="G601" s="87">
        <f t="shared" si="9"/>
        <v>0</v>
      </c>
      <c r="H601" s="509"/>
      <c r="I601" s="525"/>
    </row>
    <row r="602" spans="1:9" s="681" customFormat="1" ht="15.75" x14ac:dyDescent="0.25">
      <c r="A602" s="87"/>
      <c r="B602" s="87" t="s">
        <v>1248</v>
      </c>
      <c r="C602" s="555" t="s">
        <v>1354</v>
      </c>
      <c r="D602" s="563">
        <v>16000</v>
      </c>
      <c r="E602" s="573">
        <v>170</v>
      </c>
      <c r="F602" s="563">
        <v>16000</v>
      </c>
      <c r="G602" s="87">
        <f t="shared" si="9"/>
        <v>0</v>
      </c>
      <c r="H602" s="509"/>
      <c r="I602" s="525"/>
    </row>
    <row r="603" spans="1:9" s="681" customFormat="1" ht="15.75" x14ac:dyDescent="0.25">
      <c r="A603" s="87"/>
      <c r="B603" s="87" t="s">
        <v>1248</v>
      </c>
      <c r="C603" s="607" t="s">
        <v>1389</v>
      </c>
      <c r="D603" s="563">
        <v>28000</v>
      </c>
      <c r="E603" s="573">
        <v>311</v>
      </c>
      <c r="F603" s="563">
        <v>28000</v>
      </c>
      <c r="G603" s="87">
        <f t="shared" si="9"/>
        <v>0</v>
      </c>
      <c r="H603" s="509"/>
      <c r="I603" s="525"/>
    </row>
    <row r="604" spans="1:9" s="681" customFormat="1" ht="15.75" x14ac:dyDescent="0.25">
      <c r="A604" s="87"/>
      <c r="B604" s="87" t="s">
        <v>1248</v>
      </c>
      <c r="C604" s="607" t="s">
        <v>1390</v>
      </c>
      <c r="D604" s="563">
        <v>26000</v>
      </c>
      <c r="E604" s="573">
        <v>278</v>
      </c>
      <c r="F604" s="563">
        <v>26000</v>
      </c>
      <c r="G604" s="87">
        <f t="shared" si="9"/>
        <v>0</v>
      </c>
      <c r="H604" s="509"/>
      <c r="I604" s="525"/>
    </row>
    <row r="605" spans="1:9" s="681" customFormat="1" ht="15.75" x14ac:dyDescent="0.25">
      <c r="A605" s="87"/>
      <c r="B605" s="87" t="s">
        <v>1248</v>
      </c>
      <c r="C605" s="555" t="s">
        <v>1309</v>
      </c>
      <c r="D605" s="563">
        <v>10000</v>
      </c>
      <c r="E605" s="573">
        <v>111</v>
      </c>
      <c r="F605" s="563">
        <v>10000</v>
      </c>
      <c r="G605" s="87">
        <f t="shared" si="9"/>
        <v>0</v>
      </c>
      <c r="H605" s="509"/>
      <c r="I605" s="525"/>
    </row>
    <row r="606" spans="1:9" s="681" customFormat="1" ht="15.75" x14ac:dyDescent="0.25">
      <c r="A606" s="87"/>
      <c r="B606" s="87" t="s">
        <v>1248</v>
      </c>
      <c r="C606" s="555" t="s">
        <v>1295</v>
      </c>
      <c r="D606" s="563">
        <v>10000</v>
      </c>
      <c r="E606" s="573">
        <v>111</v>
      </c>
      <c r="F606" s="563">
        <v>10000</v>
      </c>
      <c r="G606" s="87">
        <f t="shared" si="9"/>
        <v>0</v>
      </c>
      <c r="H606" s="509"/>
      <c r="I606" s="525"/>
    </row>
    <row r="607" spans="1:9" s="681" customFormat="1" ht="15.75" x14ac:dyDescent="0.25">
      <c r="A607" s="87"/>
      <c r="B607" s="87" t="s">
        <v>1248</v>
      </c>
      <c r="C607" s="555">
        <v>6625</v>
      </c>
      <c r="D607" s="563">
        <v>10000</v>
      </c>
      <c r="E607" s="573">
        <v>100</v>
      </c>
      <c r="F607" s="563">
        <v>10000</v>
      </c>
      <c r="G607" s="87">
        <f t="shared" si="9"/>
        <v>0</v>
      </c>
      <c r="H607" s="509"/>
      <c r="I607" s="525"/>
    </row>
    <row r="608" spans="1:9" s="681" customFormat="1" ht="15.75" x14ac:dyDescent="0.25">
      <c r="A608" s="87"/>
      <c r="B608" s="87" t="s">
        <v>1248</v>
      </c>
      <c r="C608" s="607" t="s">
        <v>1391</v>
      </c>
      <c r="D608" s="563">
        <v>25000</v>
      </c>
      <c r="E608" s="573">
        <v>278</v>
      </c>
      <c r="F608" s="563">
        <v>25000</v>
      </c>
      <c r="G608" s="87">
        <f t="shared" si="9"/>
        <v>0</v>
      </c>
      <c r="H608" s="509"/>
      <c r="I608" s="525"/>
    </row>
    <row r="609" spans="1:9" s="681" customFormat="1" ht="15.75" x14ac:dyDescent="0.25">
      <c r="A609" s="87"/>
      <c r="B609" s="87" t="s">
        <v>1248</v>
      </c>
      <c r="C609" s="555" t="s">
        <v>66</v>
      </c>
      <c r="D609" s="563">
        <v>100</v>
      </c>
      <c r="E609" s="573" t="s">
        <v>66</v>
      </c>
      <c r="F609" s="563">
        <v>100</v>
      </c>
      <c r="G609" s="87">
        <f t="shared" si="9"/>
        <v>0</v>
      </c>
      <c r="H609" s="509"/>
      <c r="I609" s="525"/>
    </row>
    <row r="610" spans="1:9" s="681" customFormat="1" ht="15.75" x14ac:dyDescent="0.25">
      <c r="A610" s="87"/>
      <c r="B610" s="87" t="s">
        <v>1248</v>
      </c>
      <c r="C610" s="555" t="s">
        <v>1392</v>
      </c>
      <c r="D610" s="563">
        <v>25000</v>
      </c>
      <c r="E610" s="573">
        <v>263</v>
      </c>
      <c r="F610" s="563">
        <v>25000</v>
      </c>
      <c r="G610" s="87">
        <f t="shared" si="9"/>
        <v>0</v>
      </c>
      <c r="H610" s="509"/>
      <c r="I610" s="525"/>
    </row>
    <row r="611" spans="1:9" s="681" customFormat="1" ht="15.75" x14ac:dyDescent="0.25">
      <c r="A611" s="87"/>
      <c r="B611" s="87" t="s">
        <v>1248</v>
      </c>
      <c r="C611" s="607" t="s">
        <v>1393</v>
      </c>
      <c r="D611" s="563">
        <v>14000</v>
      </c>
      <c r="E611" s="573">
        <v>155</v>
      </c>
      <c r="F611" s="563">
        <v>14000</v>
      </c>
      <c r="G611" s="87">
        <f t="shared" si="9"/>
        <v>0</v>
      </c>
      <c r="H611" s="509"/>
      <c r="I611" s="525"/>
    </row>
    <row r="612" spans="1:9" s="681" customFormat="1" ht="15.75" x14ac:dyDescent="0.25">
      <c r="A612" s="87"/>
      <c r="B612" s="87" t="s">
        <v>1248</v>
      </c>
      <c r="C612" s="555" t="s">
        <v>1394</v>
      </c>
      <c r="D612" s="563">
        <v>25000</v>
      </c>
      <c r="E612" s="573">
        <v>278</v>
      </c>
      <c r="F612" s="563">
        <v>25000</v>
      </c>
      <c r="G612" s="87">
        <f t="shared" si="9"/>
        <v>0</v>
      </c>
      <c r="H612" s="509"/>
      <c r="I612" s="525"/>
    </row>
    <row r="613" spans="1:9" s="681" customFormat="1" ht="15.75" x14ac:dyDescent="0.25">
      <c r="A613" s="87"/>
      <c r="B613" s="87" t="s">
        <v>1248</v>
      </c>
      <c r="C613" s="555" t="s">
        <v>1395</v>
      </c>
      <c r="D613" s="563">
        <v>18770</v>
      </c>
      <c r="E613" s="573">
        <v>209</v>
      </c>
      <c r="F613" s="563">
        <v>18770</v>
      </c>
      <c r="G613" s="87">
        <f t="shared" si="9"/>
        <v>0</v>
      </c>
      <c r="H613" s="509"/>
      <c r="I613" s="525"/>
    </row>
    <row r="614" spans="1:9" s="681" customFormat="1" ht="15.75" x14ac:dyDescent="0.25">
      <c r="A614" s="87"/>
      <c r="B614" s="87" t="s">
        <v>1248</v>
      </c>
      <c r="C614" s="555" t="s">
        <v>1396</v>
      </c>
      <c r="D614" s="563">
        <v>16000</v>
      </c>
      <c r="E614" s="573">
        <v>178</v>
      </c>
      <c r="F614" s="563">
        <v>16000</v>
      </c>
      <c r="G614" s="87">
        <f t="shared" si="9"/>
        <v>0</v>
      </c>
      <c r="H614" s="509"/>
      <c r="I614" s="525"/>
    </row>
    <row r="615" spans="1:9" s="681" customFormat="1" ht="15.75" x14ac:dyDescent="0.25">
      <c r="A615" s="87"/>
      <c r="B615" s="87" t="s">
        <v>1251</v>
      </c>
      <c r="C615" s="555" t="s">
        <v>66</v>
      </c>
      <c r="D615" s="563">
        <v>210</v>
      </c>
      <c r="E615" s="573" t="s">
        <v>66</v>
      </c>
      <c r="F615" s="563">
        <v>210</v>
      </c>
      <c r="G615" s="87">
        <f t="shared" si="9"/>
        <v>0</v>
      </c>
      <c r="H615" s="509"/>
      <c r="I615" s="525"/>
    </row>
    <row r="616" spans="1:9" s="681" customFormat="1" ht="15.75" x14ac:dyDescent="0.25">
      <c r="A616" s="87"/>
      <c r="B616" s="87" t="s">
        <v>1251</v>
      </c>
      <c r="C616" s="555" t="s">
        <v>1350</v>
      </c>
      <c r="D616" s="563">
        <v>17000</v>
      </c>
      <c r="E616" s="573">
        <v>189</v>
      </c>
      <c r="F616" s="563">
        <v>17000</v>
      </c>
      <c r="G616" s="87">
        <f t="shared" si="9"/>
        <v>0</v>
      </c>
      <c r="H616" s="509"/>
      <c r="I616" s="525"/>
    </row>
    <row r="617" spans="1:9" s="681" customFormat="1" ht="15.75" x14ac:dyDescent="0.25">
      <c r="A617" s="87"/>
      <c r="B617" s="87" t="s">
        <v>1251</v>
      </c>
      <c r="C617" s="555" t="s">
        <v>1397</v>
      </c>
      <c r="D617" s="563">
        <v>20000</v>
      </c>
      <c r="E617" s="573">
        <v>222</v>
      </c>
      <c r="F617" s="563">
        <v>20000</v>
      </c>
      <c r="G617" s="87">
        <f t="shared" si="9"/>
        <v>0</v>
      </c>
      <c r="H617" s="509"/>
      <c r="I617" s="525"/>
    </row>
    <row r="618" spans="1:9" s="681" customFormat="1" ht="15.75" x14ac:dyDescent="0.25">
      <c r="A618" s="87"/>
      <c r="B618" s="87" t="s">
        <v>1251</v>
      </c>
      <c r="C618" s="555" t="s">
        <v>1316</v>
      </c>
      <c r="D618" s="563">
        <v>14000</v>
      </c>
      <c r="E618" s="573">
        <v>155</v>
      </c>
      <c r="F618" s="563">
        <v>14000</v>
      </c>
      <c r="G618" s="87">
        <f t="shared" si="9"/>
        <v>0</v>
      </c>
      <c r="H618" s="509"/>
      <c r="I618" s="525"/>
    </row>
    <row r="619" spans="1:9" s="681" customFormat="1" ht="15.75" x14ac:dyDescent="0.25">
      <c r="A619" s="87"/>
      <c r="B619" s="87" t="s">
        <v>1251</v>
      </c>
      <c r="C619" s="555" t="s">
        <v>1339</v>
      </c>
      <c r="D619" s="563">
        <v>14000</v>
      </c>
      <c r="E619" s="573">
        <v>155</v>
      </c>
      <c r="F619" s="563">
        <v>14000</v>
      </c>
      <c r="G619" s="87">
        <f t="shared" si="9"/>
        <v>0</v>
      </c>
      <c r="H619" s="509"/>
      <c r="I619" s="525"/>
    </row>
    <row r="620" spans="1:9" s="681" customFormat="1" ht="15.75" x14ac:dyDescent="0.25">
      <c r="A620" s="87"/>
      <c r="B620" s="87" t="s">
        <v>1251</v>
      </c>
      <c r="C620" s="555" t="s">
        <v>1398</v>
      </c>
      <c r="D620" s="563">
        <v>14000</v>
      </c>
      <c r="E620" s="573">
        <v>155</v>
      </c>
      <c r="F620" s="563">
        <v>14000</v>
      </c>
      <c r="G620" s="87">
        <f t="shared" si="9"/>
        <v>0</v>
      </c>
      <c r="H620" s="509"/>
      <c r="I620" s="525"/>
    </row>
    <row r="621" spans="1:9" s="681" customFormat="1" ht="15.75" x14ac:dyDescent="0.25">
      <c r="A621" s="87"/>
      <c r="B621" s="87" t="s">
        <v>1251</v>
      </c>
      <c r="C621" s="555" t="s">
        <v>1399</v>
      </c>
      <c r="D621" s="563">
        <v>14000</v>
      </c>
      <c r="E621" s="573">
        <v>155</v>
      </c>
      <c r="F621" s="563">
        <v>14000</v>
      </c>
      <c r="G621" s="87">
        <f t="shared" si="9"/>
        <v>0</v>
      </c>
      <c r="H621" s="509"/>
      <c r="I621" s="525"/>
    </row>
    <row r="622" spans="1:9" s="681" customFormat="1" ht="15.75" x14ac:dyDescent="0.25">
      <c r="A622" s="87"/>
      <c r="B622" s="87" t="s">
        <v>1251</v>
      </c>
      <c r="C622" s="555" t="s">
        <v>30</v>
      </c>
      <c r="D622" s="563">
        <v>4500</v>
      </c>
      <c r="E622" s="573">
        <v>50</v>
      </c>
      <c r="F622" s="563">
        <v>4500</v>
      </c>
      <c r="G622" s="87">
        <f t="shared" si="9"/>
        <v>0</v>
      </c>
      <c r="H622" s="509"/>
      <c r="I622" s="525"/>
    </row>
    <row r="623" spans="1:9" s="681" customFormat="1" ht="15.75" x14ac:dyDescent="0.25">
      <c r="A623" s="87"/>
      <c r="B623" s="87" t="s">
        <v>1251</v>
      </c>
      <c r="C623" s="555" t="s">
        <v>1400</v>
      </c>
      <c r="D623" s="563">
        <v>14000</v>
      </c>
      <c r="E623" s="573">
        <v>155</v>
      </c>
      <c r="F623" s="563">
        <v>14000</v>
      </c>
      <c r="G623" s="87">
        <f t="shared" si="9"/>
        <v>0</v>
      </c>
      <c r="H623" s="509"/>
      <c r="I623" s="525"/>
    </row>
    <row r="624" spans="1:9" s="681" customFormat="1" ht="15.75" x14ac:dyDescent="0.25">
      <c r="A624" s="87"/>
      <c r="B624" s="87" t="s">
        <v>1251</v>
      </c>
      <c r="C624" s="555" t="s">
        <v>1370</v>
      </c>
      <c r="D624" s="563">
        <v>15000</v>
      </c>
      <c r="E624" s="573">
        <v>167</v>
      </c>
      <c r="F624" s="563">
        <v>15000</v>
      </c>
      <c r="G624" s="87">
        <f t="shared" si="9"/>
        <v>0</v>
      </c>
      <c r="H624" s="509"/>
      <c r="I624" s="525"/>
    </row>
    <row r="625" spans="1:9" s="681" customFormat="1" ht="15.75" x14ac:dyDescent="0.25">
      <c r="A625" s="87"/>
      <c r="B625" s="87" t="s">
        <v>1251</v>
      </c>
      <c r="C625" s="555" t="s">
        <v>1401</v>
      </c>
      <c r="D625" s="563">
        <v>14000</v>
      </c>
      <c r="E625" s="573">
        <v>155</v>
      </c>
      <c r="F625" s="563">
        <v>14000</v>
      </c>
      <c r="G625" s="87">
        <f t="shared" si="9"/>
        <v>0</v>
      </c>
      <c r="H625" s="509"/>
      <c r="I625" s="525"/>
    </row>
    <row r="626" spans="1:9" s="681" customFormat="1" ht="15.75" x14ac:dyDescent="0.25">
      <c r="A626" s="87"/>
      <c r="B626" s="87" t="s">
        <v>1251</v>
      </c>
      <c r="C626" s="555" t="s">
        <v>1229</v>
      </c>
      <c r="D626" s="563">
        <v>15000</v>
      </c>
      <c r="E626" s="573">
        <v>167</v>
      </c>
      <c r="F626" s="563">
        <v>15000</v>
      </c>
      <c r="G626" s="87">
        <f t="shared" si="9"/>
        <v>0</v>
      </c>
      <c r="H626" s="509"/>
      <c r="I626" s="525"/>
    </row>
    <row r="627" spans="1:9" s="681" customFormat="1" ht="15.75" x14ac:dyDescent="0.25">
      <c r="A627" s="87"/>
      <c r="B627" s="87" t="s">
        <v>1251</v>
      </c>
      <c r="C627" s="555" t="s">
        <v>1402</v>
      </c>
      <c r="D627" s="563">
        <v>20000</v>
      </c>
      <c r="E627" s="573">
        <v>200</v>
      </c>
      <c r="F627" s="563">
        <v>20000</v>
      </c>
      <c r="G627" s="87">
        <f t="shared" si="9"/>
        <v>0</v>
      </c>
      <c r="H627" s="509"/>
      <c r="I627" s="525"/>
    </row>
    <row r="628" spans="1:9" s="681" customFormat="1" ht="15.75" x14ac:dyDescent="0.25">
      <c r="A628" s="87"/>
      <c r="B628" s="87" t="s">
        <v>1251</v>
      </c>
      <c r="C628" s="555" t="s">
        <v>1278</v>
      </c>
      <c r="D628" s="563">
        <v>16000</v>
      </c>
      <c r="E628" s="573">
        <v>178</v>
      </c>
      <c r="F628" s="563">
        <v>16000</v>
      </c>
      <c r="G628" s="87">
        <f t="shared" si="9"/>
        <v>0</v>
      </c>
      <c r="H628" s="509"/>
      <c r="I628" s="525"/>
    </row>
    <row r="629" spans="1:9" s="681" customFormat="1" ht="15.75" x14ac:dyDescent="0.25">
      <c r="A629" s="87"/>
      <c r="B629" s="87" t="s">
        <v>1251</v>
      </c>
      <c r="C629" s="555" t="s">
        <v>1277</v>
      </c>
      <c r="D629" s="563">
        <v>15000</v>
      </c>
      <c r="E629" s="573">
        <v>167</v>
      </c>
      <c r="F629" s="563">
        <v>15000</v>
      </c>
      <c r="G629" s="87">
        <f t="shared" si="9"/>
        <v>0</v>
      </c>
      <c r="H629" s="509"/>
      <c r="I629" s="525"/>
    </row>
    <row r="630" spans="1:9" s="681" customFormat="1" ht="15.75" x14ac:dyDescent="0.25">
      <c r="A630" s="87"/>
      <c r="B630" s="87" t="s">
        <v>1251</v>
      </c>
      <c r="C630" s="555" t="s">
        <v>30</v>
      </c>
      <c r="D630" s="563">
        <v>5000</v>
      </c>
      <c r="E630" s="573">
        <v>55</v>
      </c>
      <c r="F630" s="563">
        <v>5000</v>
      </c>
      <c r="G630" s="87">
        <f t="shared" si="9"/>
        <v>0</v>
      </c>
      <c r="H630" s="509"/>
      <c r="I630" s="525"/>
    </row>
    <row r="631" spans="1:9" s="681" customFormat="1" ht="15.75" x14ac:dyDescent="0.25">
      <c r="A631" s="87"/>
      <c r="B631" s="87" t="s">
        <v>1251</v>
      </c>
      <c r="C631" s="555" t="s">
        <v>1403</v>
      </c>
      <c r="D631" s="563">
        <v>15000</v>
      </c>
      <c r="E631" s="573">
        <v>167</v>
      </c>
      <c r="F631" s="563">
        <v>15000</v>
      </c>
      <c r="G631" s="87">
        <f t="shared" si="9"/>
        <v>0</v>
      </c>
      <c r="H631" s="509"/>
      <c r="I631" s="525"/>
    </row>
    <row r="632" spans="1:9" s="681" customFormat="1" ht="15.75" x14ac:dyDescent="0.25">
      <c r="A632" s="87"/>
      <c r="B632" s="87" t="s">
        <v>1251</v>
      </c>
      <c r="C632" s="555" t="s">
        <v>1292</v>
      </c>
      <c r="D632" s="563">
        <v>22000</v>
      </c>
      <c r="E632" s="573">
        <v>223</v>
      </c>
      <c r="F632" s="563">
        <v>22000</v>
      </c>
      <c r="G632" s="87">
        <f t="shared" si="9"/>
        <v>0</v>
      </c>
      <c r="H632" s="509"/>
      <c r="I632" s="525"/>
    </row>
    <row r="633" spans="1:9" s="681" customFormat="1" ht="15.75" x14ac:dyDescent="0.25">
      <c r="A633" s="87"/>
      <c r="B633" s="87" t="s">
        <v>1251</v>
      </c>
      <c r="C633" s="555" t="s">
        <v>1404</v>
      </c>
      <c r="D633" s="563">
        <v>18000</v>
      </c>
      <c r="E633" s="573">
        <v>200</v>
      </c>
      <c r="F633" s="563">
        <v>18000</v>
      </c>
      <c r="G633" s="87">
        <f t="shared" si="9"/>
        <v>0</v>
      </c>
      <c r="H633" s="509"/>
      <c r="I633" s="525"/>
    </row>
    <row r="634" spans="1:9" s="681" customFormat="1" ht="15.75" x14ac:dyDescent="0.25">
      <c r="A634" s="87"/>
      <c r="B634" s="87" t="s">
        <v>1251</v>
      </c>
      <c r="C634" s="607" t="s">
        <v>1405</v>
      </c>
      <c r="D634" s="563">
        <v>9000</v>
      </c>
      <c r="E634" s="573">
        <v>100</v>
      </c>
      <c r="F634" s="563">
        <v>9000</v>
      </c>
      <c r="G634" s="87">
        <f t="shared" si="9"/>
        <v>0</v>
      </c>
      <c r="H634" s="509"/>
      <c r="I634" s="525"/>
    </row>
    <row r="635" spans="1:9" s="681" customFormat="1" ht="15.75" x14ac:dyDescent="0.25">
      <c r="A635" s="87"/>
      <c r="B635" s="87" t="s">
        <v>1251</v>
      </c>
      <c r="C635" s="555" t="s">
        <v>1406</v>
      </c>
      <c r="D635" s="563">
        <v>15000</v>
      </c>
      <c r="E635" s="573">
        <v>167</v>
      </c>
      <c r="F635" s="563">
        <v>15000</v>
      </c>
      <c r="G635" s="87">
        <f t="shared" si="9"/>
        <v>0</v>
      </c>
      <c r="H635" s="509"/>
      <c r="I635" s="525"/>
    </row>
    <row r="636" spans="1:9" s="681" customFormat="1" ht="15.75" x14ac:dyDescent="0.25">
      <c r="A636" s="87"/>
      <c r="B636" s="87" t="s">
        <v>1251</v>
      </c>
      <c r="C636" s="555" t="s">
        <v>1282</v>
      </c>
      <c r="D636" s="563">
        <v>21200</v>
      </c>
      <c r="E636" s="573">
        <v>236</v>
      </c>
      <c r="F636" s="563">
        <v>21200</v>
      </c>
      <c r="G636" s="87">
        <f t="shared" si="9"/>
        <v>0</v>
      </c>
      <c r="H636" s="509"/>
      <c r="I636" s="525"/>
    </row>
    <row r="637" spans="1:9" s="681" customFormat="1" ht="15.75" x14ac:dyDescent="0.25">
      <c r="A637" s="87"/>
      <c r="B637" s="87" t="s">
        <v>1251</v>
      </c>
      <c r="C637" s="555" t="s">
        <v>30</v>
      </c>
      <c r="D637" s="563">
        <v>9000</v>
      </c>
      <c r="E637" s="573">
        <v>100</v>
      </c>
      <c r="F637" s="563">
        <v>9000</v>
      </c>
      <c r="G637" s="87">
        <f t="shared" si="9"/>
        <v>0</v>
      </c>
      <c r="H637" s="509"/>
      <c r="I637" s="525"/>
    </row>
    <row r="638" spans="1:9" s="681" customFormat="1" ht="15.75" x14ac:dyDescent="0.25">
      <c r="A638" s="87"/>
      <c r="B638" s="87" t="s">
        <v>1251</v>
      </c>
      <c r="C638" s="555" t="s">
        <v>1230</v>
      </c>
      <c r="D638" s="563">
        <v>17000</v>
      </c>
      <c r="E638" s="573">
        <v>189</v>
      </c>
      <c r="F638" s="563">
        <v>17000</v>
      </c>
      <c r="G638" s="87">
        <f t="shared" ref="G638:G701" si="10">D638-F638</f>
        <v>0</v>
      </c>
      <c r="H638" s="509"/>
      <c r="I638" s="525"/>
    </row>
    <row r="639" spans="1:9" s="681" customFormat="1" ht="15.75" x14ac:dyDescent="0.25">
      <c r="A639" s="87"/>
      <c r="B639" s="87" t="s">
        <v>1251</v>
      </c>
      <c r="C639" s="555" t="s">
        <v>1407</v>
      </c>
      <c r="D639" s="563">
        <v>25000</v>
      </c>
      <c r="E639" s="573">
        <v>257</v>
      </c>
      <c r="F639" s="563">
        <v>25000</v>
      </c>
      <c r="G639" s="87">
        <f t="shared" si="10"/>
        <v>0</v>
      </c>
      <c r="H639" s="509"/>
      <c r="I639" s="525"/>
    </row>
    <row r="640" spans="1:9" s="681" customFormat="1" ht="15.75" x14ac:dyDescent="0.25">
      <c r="A640" s="87"/>
      <c r="B640" s="87" t="s">
        <v>1251</v>
      </c>
      <c r="C640" s="555" t="s">
        <v>1300</v>
      </c>
      <c r="D640" s="563">
        <v>10000</v>
      </c>
      <c r="E640" s="573">
        <v>111</v>
      </c>
      <c r="F640" s="563">
        <v>10000</v>
      </c>
      <c r="G640" s="87">
        <f t="shared" si="10"/>
        <v>0</v>
      </c>
      <c r="H640" s="509"/>
      <c r="I640" s="525"/>
    </row>
    <row r="641" spans="1:9" s="681" customFormat="1" ht="15.75" x14ac:dyDescent="0.25">
      <c r="A641" s="87"/>
      <c r="B641" s="87" t="s">
        <v>1251</v>
      </c>
      <c r="C641" s="555" t="s">
        <v>1408</v>
      </c>
      <c r="D641" s="563">
        <v>10000</v>
      </c>
      <c r="E641" s="573">
        <v>111</v>
      </c>
      <c r="F641" s="563">
        <v>10000</v>
      </c>
      <c r="G641" s="87">
        <f t="shared" si="10"/>
        <v>0</v>
      </c>
      <c r="H641" s="509"/>
      <c r="I641" s="525"/>
    </row>
    <row r="642" spans="1:9" s="681" customFormat="1" ht="15.75" x14ac:dyDescent="0.25">
      <c r="A642" s="87"/>
      <c r="B642" s="87" t="s">
        <v>1251</v>
      </c>
      <c r="C642" s="555" t="s">
        <v>1409</v>
      </c>
      <c r="D642" s="563">
        <v>10000</v>
      </c>
      <c r="E642" s="573">
        <v>111</v>
      </c>
      <c r="F642" s="563">
        <v>10000</v>
      </c>
      <c r="G642" s="87">
        <f t="shared" si="10"/>
        <v>0</v>
      </c>
      <c r="H642" s="509"/>
      <c r="I642" s="525"/>
    </row>
    <row r="643" spans="1:9" s="681" customFormat="1" ht="15.75" x14ac:dyDescent="0.25">
      <c r="A643" s="87"/>
      <c r="B643" s="87" t="s">
        <v>1251</v>
      </c>
      <c r="C643" s="555" t="s">
        <v>1271</v>
      </c>
      <c r="D643" s="563">
        <v>15000</v>
      </c>
      <c r="E643" s="573">
        <v>150</v>
      </c>
      <c r="F643" s="563">
        <v>15000</v>
      </c>
      <c r="G643" s="87">
        <f t="shared" si="10"/>
        <v>0</v>
      </c>
      <c r="H643" s="509"/>
      <c r="I643" s="525"/>
    </row>
    <row r="644" spans="1:9" s="681" customFormat="1" ht="15.75" x14ac:dyDescent="0.25">
      <c r="A644" s="87"/>
      <c r="B644" s="87" t="s">
        <v>1251</v>
      </c>
      <c r="C644" s="555" t="s">
        <v>1357</v>
      </c>
      <c r="D644" s="563">
        <v>16000</v>
      </c>
      <c r="E644" s="573">
        <v>178</v>
      </c>
      <c r="F644" s="563">
        <v>16000</v>
      </c>
      <c r="G644" s="87">
        <f t="shared" si="10"/>
        <v>0</v>
      </c>
      <c r="H644" s="509"/>
      <c r="I644" s="525"/>
    </row>
    <row r="645" spans="1:9" s="681" customFormat="1" ht="15.75" x14ac:dyDescent="0.25">
      <c r="A645" s="87"/>
      <c r="B645" s="87" t="s">
        <v>1251</v>
      </c>
      <c r="C645" s="555" t="s">
        <v>1410</v>
      </c>
      <c r="D645" s="563">
        <v>18000</v>
      </c>
      <c r="E645" s="573">
        <v>200</v>
      </c>
      <c r="F645" s="563">
        <v>18000</v>
      </c>
      <c r="G645" s="87">
        <f t="shared" si="10"/>
        <v>0</v>
      </c>
      <c r="H645" s="509"/>
      <c r="I645" s="525"/>
    </row>
    <row r="646" spans="1:9" s="681" customFormat="1" ht="15.75" x14ac:dyDescent="0.25">
      <c r="A646" s="87"/>
      <c r="B646" s="87" t="s">
        <v>1251</v>
      </c>
      <c r="C646" s="607" t="s">
        <v>1318</v>
      </c>
      <c r="D646" s="563">
        <v>16000</v>
      </c>
      <c r="E646" s="573">
        <v>178</v>
      </c>
      <c r="F646" s="563">
        <v>16000</v>
      </c>
      <c r="G646" s="87">
        <f t="shared" si="10"/>
        <v>0</v>
      </c>
      <c r="H646" s="509"/>
      <c r="I646" s="525"/>
    </row>
    <row r="647" spans="1:9" s="681" customFormat="1" ht="15.75" x14ac:dyDescent="0.25">
      <c r="A647" s="87"/>
      <c r="B647" s="87" t="s">
        <v>1251</v>
      </c>
      <c r="C647" s="555" t="s">
        <v>1317</v>
      </c>
      <c r="D647" s="563">
        <v>16000</v>
      </c>
      <c r="E647" s="573">
        <v>178</v>
      </c>
      <c r="F647" s="563">
        <v>16000</v>
      </c>
      <c r="G647" s="87">
        <f t="shared" si="10"/>
        <v>0</v>
      </c>
      <c r="H647" s="509"/>
      <c r="I647" s="525"/>
    </row>
    <row r="648" spans="1:9" s="681" customFormat="1" ht="15.75" x14ac:dyDescent="0.25">
      <c r="A648" s="87"/>
      <c r="B648" s="87" t="s">
        <v>1251</v>
      </c>
      <c r="C648" s="555" t="s">
        <v>1319</v>
      </c>
      <c r="D648" s="563">
        <v>16000</v>
      </c>
      <c r="E648" s="573">
        <v>178</v>
      </c>
      <c r="F648" s="563">
        <v>16000</v>
      </c>
      <c r="G648" s="87">
        <f t="shared" si="10"/>
        <v>0</v>
      </c>
      <c r="H648" s="509"/>
      <c r="I648" s="525"/>
    </row>
    <row r="649" spans="1:9" s="681" customFormat="1" ht="15.75" x14ac:dyDescent="0.25">
      <c r="A649" s="87"/>
      <c r="B649" s="87" t="s">
        <v>1251</v>
      </c>
      <c r="C649" s="607" t="s">
        <v>1411</v>
      </c>
      <c r="D649" s="563">
        <v>18000</v>
      </c>
      <c r="E649" s="573">
        <v>200</v>
      </c>
      <c r="F649" s="563">
        <v>18000</v>
      </c>
      <c r="G649" s="87">
        <f t="shared" si="10"/>
        <v>0</v>
      </c>
      <c r="H649" s="509"/>
      <c r="I649" s="525"/>
    </row>
    <row r="650" spans="1:9" s="681" customFormat="1" ht="15.75" x14ac:dyDescent="0.25">
      <c r="A650" s="87"/>
      <c r="B650" s="87" t="s">
        <v>1251</v>
      </c>
      <c r="C650" s="607" t="s">
        <v>1412</v>
      </c>
      <c r="D650" s="563">
        <v>20000</v>
      </c>
      <c r="E650" s="573">
        <v>222</v>
      </c>
      <c r="F650" s="563">
        <v>20000</v>
      </c>
      <c r="G650" s="87">
        <f t="shared" si="10"/>
        <v>0</v>
      </c>
      <c r="H650" s="509"/>
      <c r="I650" s="525"/>
    </row>
    <row r="651" spans="1:9" s="681" customFormat="1" ht="15.75" x14ac:dyDescent="0.25">
      <c r="A651" s="87"/>
      <c r="B651" s="87" t="s">
        <v>1251</v>
      </c>
      <c r="C651" s="555" t="s">
        <v>1413</v>
      </c>
      <c r="D651" s="563">
        <v>27000</v>
      </c>
      <c r="E651" s="573">
        <v>300</v>
      </c>
      <c r="F651" s="563">
        <v>27000</v>
      </c>
      <c r="G651" s="87">
        <f t="shared" si="10"/>
        <v>0</v>
      </c>
      <c r="H651" s="509"/>
      <c r="I651" s="525"/>
    </row>
    <row r="652" spans="1:9" s="681" customFormat="1" ht="15.75" x14ac:dyDescent="0.25">
      <c r="A652" s="87"/>
      <c r="B652" s="87" t="s">
        <v>1251</v>
      </c>
      <c r="C652" s="555" t="s">
        <v>1414</v>
      </c>
      <c r="D652" s="563">
        <v>25000</v>
      </c>
      <c r="E652" s="573">
        <v>278</v>
      </c>
      <c r="F652" s="563">
        <v>25000</v>
      </c>
      <c r="G652" s="87">
        <f t="shared" si="10"/>
        <v>0</v>
      </c>
      <c r="H652" s="509"/>
      <c r="I652" s="525"/>
    </row>
    <row r="653" spans="1:9" s="681" customFormat="1" ht="15.75" x14ac:dyDescent="0.25">
      <c r="A653" s="87"/>
      <c r="B653" s="87" t="s">
        <v>1251</v>
      </c>
      <c r="C653" s="555" t="s">
        <v>1415</v>
      </c>
      <c r="D653" s="563">
        <v>25000</v>
      </c>
      <c r="E653" s="573">
        <v>278</v>
      </c>
      <c r="F653" s="563">
        <v>25000</v>
      </c>
      <c r="G653" s="87">
        <f t="shared" si="10"/>
        <v>0</v>
      </c>
      <c r="H653" s="509"/>
      <c r="I653" s="525"/>
    </row>
    <row r="654" spans="1:9" s="681" customFormat="1" ht="15.75" x14ac:dyDescent="0.25">
      <c r="A654" s="87"/>
      <c r="B654" s="87" t="s">
        <v>1251</v>
      </c>
      <c r="C654" s="555" t="s">
        <v>1416</v>
      </c>
      <c r="D654" s="563">
        <v>25000</v>
      </c>
      <c r="E654" s="573">
        <v>268</v>
      </c>
      <c r="F654" s="563">
        <v>25000</v>
      </c>
      <c r="G654" s="87">
        <f t="shared" si="10"/>
        <v>0</v>
      </c>
      <c r="H654" s="509"/>
      <c r="I654" s="525"/>
    </row>
    <row r="655" spans="1:9" s="681" customFormat="1" ht="15.75" x14ac:dyDescent="0.25">
      <c r="A655" s="87"/>
      <c r="B655" s="87" t="s">
        <v>1251</v>
      </c>
      <c r="C655" s="555" t="s">
        <v>1417</v>
      </c>
      <c r="D655" s="563">
        <v>25000</v>
      </c>
      <c r="E655" s="573">
        <v>278</v>
      </c>
      <c r="F655" s="563">
        <v>25000</v>
      </c>
      <c r="G655" s="87">
        <f t="shared" si="10"/>
        <v>0</v>
      </c>
      <c r="H655" s="509"/>
      <c r="I655" s="525"/>
    </row>
    <row r="656" spans="1:9" s="681" customFormat="1" ht="15.75" x14ac:dyDescent="0.25">
      <c r="A656" s="87"/>
      <c r="B656" s="87" t="s">
        <v>1251</v>
      </c>
      <c r="C656" s="555" t="s">
        <v>1418</v>
      </c>
      <c r="D656" s="563">
        <v>25000</v>
      </c>
      <c r="E656" s="573">
        <v>278</v>
      </c>
      <c r="F656" s="563">
        <v>25000</v>
      </c>
      <c r="G656" s="87">
        <f t="shared" si="10"/>
        <v>0</v>
      </c>
      <c r="H656" s="509"/>
      <c r="I656" s="525"/>
    </row>
    <row r="657" spans="1:9" s="681" customFormat="1" ht="15.75" x14ac:dyDescent="0.25">
      <c r="A657" s="87"/>
      <c r="B657" s="87" t="s">
        <v>1251</v>
      </c>
      <c r="C657" s="555" t="s">
        <v>1419</v>
      </c>
      <c r="D657" s="563">
        <v>30000</v>
      </c>
      <c r="E657" s="573">
        <v>334</v>
      </c>
      <c r="F657" s="563">
        <v>30000</v>
      </c>
      <c r="G657" s="87">
        <f t="shared" si="10"/>
        <v>0</v>
      </c>
      <c r="H657" s="509"/>
      <c r="I657" s="525"/>
    </row>
    <row r="658" spans="1:9" s="681" customFormat="1" ht="15.75" x14ac:dyDescent="0.25">
      <c r="A658" s="87"/>
      <c r="B658" s="87" t="s">
        <v>1251</v>
      </c>
      <c r="C658" s="555" t="s">
        <v>1420</v>
      </c>
      <c r="D658" s="563">
        <v>30000</v>
      </c>
      <c r="E658" s="573">
        <v>310</v>
      </c>
      <c r="F658" s="563">
        <v>30000</v>
      </c>
      <c r="G658" s="87">
        <f t="shared" si="10"/>
        <v>0</v>
      </c>
      <c r="H658" s="509"/>
      <c r="I658" s="525"/>
    </row>
    <row r="659" spans="1:9" s="681" customFormat="1" ht="15.75" x14ac:dyDescent="0.25">
      <c r="A659" s="87"/>
      <c r="B659" s="87" t="s">
        <v>1251</v>
      </c>
      <c r="C659" s="555" t="s">
        <v>1421</v>
      </c>
      <c r="D659" s="563">
        <v>10000</v>
      </c>
      <c r="E659" s="573">
        <v>111</v>
      </c>
      <c r="F659" s="563">
        <v>10000</v>
      </c>
      <c r="G659" s="87">
        <f t="shared" si="10"/>
        <v>0</v>
      </c>
      <c r="H659" s="509"/>
      <c r="I659" s="525"/>
    </row>
    <row r="660" spans="1:9" s="681" customFormat="1" ht="15.75" x14ac:dyDescent="0.25">
      <c r="A660" s="87"/>
      <c r="B660" s="87" t="s">
        <v>1251</v>
      </c>
      <c r="C660" s="555" t="s">
        <v>1422</v>
      </c>
      <c r="D660" s="563">
        <v>10000</v>
      </c>
      <c r="E660" s="573">
        <v>111</v>
      </c>
      <c r="F660" s="563">
        <v>10000</v>
      </c>
      <c r="G660" s="87">
        <f t="shared" si="10"/>
        <v>0</v>
      </c>
      <c r="H660" s="509"/>
      <c r="I660" s="525"/>
    </row>
    <row r="661" spans="1:9" s="681" customFormat="1" ht="15.75" x14ac:dyDescent="0.25">
      <c r="A661" s="87"/>
      <c r="B661" s="87" t="s">
        <v>1251</v>
      </c>
      <c r="C661" s="555" t="s">
        <v>1423</v>
      </c>
      <c r="D661" s="563">
        <v>10000</v>
      </c>
      <c r="E661" s="573">
        <v>111</v>
      </c>
      <c r="F661" s="563">
        <v>10000</v>
      </c>
      <c r="G661" s="87">
        <f t="shared" si="10"/>
        <v>0</v>
      </c>
      <c r="H661" s="509"/>
      <c r="I661" s="525"/>
    </row>
    <row r="662" spans="1:9" s="681" customFormat="1" ht="15.75" x14ac:dyDescent="0.25">
      <c r="A662" s="87"/>
      <c r="B662" s="87" t="s">
        <v>1251</v>
      </c>
      <c r="C662" s="555" t="s">
        <v>1424</v>
      </c>
      <c r="D662" s="563">
        <v>10000</v>
      </c>
      <c r="E662" s="573">
        <v>111</v>
      </c>
      <c r="F662" s="563">
        <v>10000</v>
      </c>
      <c r="G662" s="87">
        <f t="shared" si="10"/>
        <v>0</v>
      </c>
      <c r="H662" s="509"/>
      <c r="I662" s="525"/>
    </row>
    <row r="663" spans="1:9" s="681" customFormat="1" ht="15.75" x14ac:dyDescent="0.25">
      <c r="A663" s="87"/>
      <c r="B663" s="87" t="s">
        <v>1251</v>
      </c>
      <c r="C663" s="555" t="s">
        <v>1425</v>
      </c>
      <c r="D663" s="563">
        <v>10000</v>
      </c>
      <c r="E663" s="573">
        <v>111</v>
      </c>
      <c r="F663" s="563">
        <v>10000</v>
      </c>
      <c r="G663" s="87">
        <f t="shared" si="10"/>
        <v>0</v>
      </c>
      <c r="H663" s="509"/>
      <c r="I663" s="525"/>
    </row>
    <row r="664" spans="1:9" s="681" customFormat="1" ht="15.75" x14ac:dyDescent="0.25">
      <c r="A664" s="87"/>
      <c r="B664" s="87" t="s">
        <v>1251</v>
      </c>
      <c r="C664" s="555" t="s">
        <v>1426</v>
      </c>
      <c r="D664" s="563">
        <v>22000</v>
      </c>
      <c r="E664" s="573">
        <v>224</v>
      </c>
      <c r="F664" s="563">
        <v>22000</v>
      </c>
      <c r="G664" s="87">
        <f t="shared" si="10"/>
        <v>0</v>
      </c>
      <c r="H664" s="509"/>
      <c r="I664" s="525"/>
    </row>
    <row r="665" spans="1:9" s="681" customFormat="1" ht="15.75" x14ac:dyDescent="0.25">
      <c r="A665" s="87"/>
      <c r="B665" s="87" t="s">
        <v>1251</v>
      </c>
      <c r="C665" s="555" t="s">
        <v>1427</v>
      </c>
      <c r="D665" s="563">
        <v>20000</v>
      </c>
      <c r="E665" s="573">
        <v>222</v>
      </c>
      <c r="F665" s="563">
        <v>20000</v>
      </c>
      <c r="G665" s="87">
        <f t="shared" si="10"/>
        <v>0</v>
      </c>
      <c r="H665" s="509"/>
      <c r="I665" s="525"/>
    </row>
    <row r="666" spans="1:9" s="681" customFormat="1" ht="15.75" x14ac:dyDescent="0.25">
      <c r="A666" s="87"/>
      <c r="B666" s="87" t="s">
        <v>1251</v>
      </c>
      <c r="C666" s="555" t="s">
        <v>1428</v>
      </c>
      <c r="D666" s="563">
        <v>19000</v>
      </c>
      <c r="E666" s="573">
        <v>211</v>
      </c>
      <c r="F666" s="563">
        <v>19000</v>
      </c>
      <c r="G666" s="87">
        <f t="shared" si="10"/>
        <v>0</v>
      </c>
      <c r="H666" s="509"/>
      <c r="I666" s="525"/>
    </row>
    <row r="667" spans="1:9" s="681" customFormat="1" ht="15.75" x14ac:dyDescent="0.25">
      <c r="A667" s="87"/>
      <c r="B667" s="87" t="s">
        <v>1251</v>
      </c>
      <c r="C667" s="555" t="s">
        <v>1429</v>
      </c>
      <c r="D667" s="563">
        <v>8000</v>
      </c>
      <c r="E667" s="573">
        <v>89</v>
      </c>
      <c r="F667" s="563">
        <v>8000</v>
      </c>
      <c r="G667" s="87">
        <f t="shared" si="10"/>
        <v>0</v>
      </c>
      <c r="H667" s="509"/>
      <c r="I667" s="525"/>
    </row>
    <row r="668" spans="1:9" s="681" customFormat="1" ht="15.75" x14ac:dyDescent="0.25">
      <c r="A668" s="87"/>
      <c r="B668" s="87" t="s">
        <v>1252</v>
      </c>
      <c r="C668" s="555" t="s">
        <v>1430</v>
      </c>
      <c r="D668" s="563">
        <v>18000</v>
      </c>
      <c r="E668" s="573">
        <v>200</v>
      </c>
      <c r="F668" s="563">
        <v>18000</v>
      </c>
      <c r="G668" s="87">
        <f t="shared" si="10"/>
        <v>0</v>
      </c>
      <c r="H668" s="509"/>
      <c r="I668" s="525"/>
    </row>
    <row r="669" spans="1:9" s="681" customFormat="1" ht="15.75" x14ac:dyDescent="0.25">
      <c r="A669" s="87"/>
      <c r="B669" s="87" t="s">
        <v>1252</v>
      </c>
      <c r="C669" s="555" t="s">
        <v>1431</v>
      </c>
      <c r="D669" s="563">
        <v>20000</v>
      </c>
      <c r="E669" s="573">
        <v>222</v>
      </c>
      <c r="F669" s="563">
        <v>20000</v>
      </c>
      <c r="G669" s="87">
        <f t="shared" si="10"/>
        <v>0</v>
      </c>
      <c r="H669" s="509"/>
      <c r="I669" s="525"/>
    </row>
    <row r="670" spans="1:9" s="681" customFormat="1" ht="15.75" x14ac:dyDescent="0.25">
      <c r="A670" s="87"/>
      <c r="B670" s="87" t="s">
        <v>1252</v>
      </c>
      <c r="C670" s="555" t="s">
        <v>1432</v>
      </c>
      <c r="D670" s="563">
        <v>22000</v>
      </c>
      <c r="E670" s="573">
        <v>245</v>
      </c>
      <c r="F670" s="563">
        <v>22000</v>
      </c>
      <c r="G670" s="87">
        <f t="shared" si="10"/>
        <v>0</v>
      </c>
      <c r="H670" s="509"/>
      <c r="I670" s="525"/>
    </row>
    <row r="671" spans="1:9" s="681" customFormat="1" ht="15.75" x14ac:dyDescent="0.25">
      <c r="A671" s="87"/>
      <c r="B671" s="87" t="s">
        <v>1252</v>
      </c>
      <c r="C671" s="555" t="s">
        <v>1270</v>
      </c>
      <c r="D671" s="563">
        <v>14000</v>
      </c>
      <c r="E671" s="573">
        <v>155</v>
      </c>
      <c r="F671" s="563">
        <v>14000</v>
      </c>
      <c r="G671" s="87">
        <f t="shared" si="10"/>
        <v>0</v>
      </c>
      <c r="H671" s="509"/>
      <c r="I671" s="525"/>
    </row>
    <row r="672" spans="1:9" s="681" customFormat="1" ht="15.75" x14ac:dyDescent="0.25">
      <c r="A672" s="87"/>
      <c r="B672" s="87" t="s">
        <v>1252</v>
      </c>
      <c r="C672" s="555" t="s">
        <v>1303</v>
      </c>
      <c r="D672" s="563">
        <v>14000</v>
      </c>
      <c r="E672" s="573">
        <v>155</v>
      </c>
      <c r="F672" s="563">
        <v>14000</v>
      </c>
      <c r="G672" s="87">
        <f t="shared" si="10"/>
        <v>0</v>
      </c>
      <c r="H672" s="509"/>
      <c r="I672" s="525"/>
    </row>
    <row r="673" spans="1:9" s="681" customFormat="1" ht="15.75" x14ac:dyDescent="0.25">
      <c r="A673" s="87"/>
      <c r="B673" s="87" t="s">
        <v>1252</v>
      </c>
      <c r="C673" s="555" t="s">
        <v>1367</v>
      </c>
      <c r="D673" s="563">
        <v>14000</v>
      </c>
      <c r="E673" s="573">
        <v>155</v>
      </c>
      <c r="F673" s="563">
        <v>14000</v>
      </c>
      <c r="G673" s="87">
        <f t="shared" si="10"/>
        <v>0</v>
      </c>
      <c r="H673" s="509"/>
      <c r="I673" s="525"/>
    </row>
    <row r="674" spans="1:9" s="681" customFormat="1" ht="15.75" x14ac:dyDescent="0.25">
      <c r="A674" s="87"/>
      <c r="B674" s="87" t="s">
        <v>1252</v>
      </c>
      <c r="C674" s="555" t="s">
        <v>1276</v>
      </c>
      <c r="D674" s="563">
        <v>14000</v>
      </c>
      <c r="E674" s="573">
        <v>155</v>
      </c>
      <c r="F674" s="563">
        <v>14000</v>
      </c>
      <c r="G674" s="87">
        <f t="shared" si="10"/>
        <v>0</v>
      </c>
      <c r="H674" s="509"/>
      <c r="I674" s="525"/>
    </row>
    <row r="675" spans="1:9" s="681" customFormat="1" ht="15.75" x14ac:dyDescent="0.25">
      <c r="A675" s="87"/>
      <c r="B675" s="87" t="s">
        <v>1252</v>
      </c>
      <c r="C675" s="555" t="s">
        <v>1280</v>
      </c>
      <c r="D675" s="563">
        <v>16000</v>
      </c>
      <c r="E675" s="573">
        <v>178</v>
      </c>
      <c r="F675" s="563">
        <v>16000</v>
      </c>
      <c r="G675" s="87">
        <f t="shared" si="10"/>
        <v>0</v>
      </c>
      <c r="H675" s="509"/>
      <c r="I675" s="525"/>
    </row>
    <row r="676" spans="1:9" s="681" customFormat="1" ht="15.75" x14ac:dyDescent="0.25">
      <c r="A676" s="87"/>
      <c r="B676" s="87" t="s">
        <v>1252</v>
      </c>
      <c r="C676" s="555" t="s">
        <v>1433</v>
      </c>
      <c r="D676" s="563">
        <v>19000</v>
      </c>
      <c r="E676" s="573">
        <v>211</v>
      </c>
      <c r="F676" s="563">
        <v>19000</v>
      </c>
      <c r="G676" s="87">
        <f t="shared" si="10"/>
        <v>0</v>
      </c>
      <c r="H676" s="509"/>
      <c r="I676" s="525"/>
    </row>
    <row r="677" spans="1:9" s="681" customFormat="1" ht="15.75" x14ac:dyDescent="0.25">
      <c r="A677" s="87"/>
      <c r="B677" s="87" t="s">
        <v>1252</v>
      </c>
      <c r="C677" s="555" t="s">
        <v>1275</v>
      </c>
      <c r="D677" s="563">
        <v>14000</v>
      </c>
      <c r="E677" s="573">
        <v>155</v>
      </c>
      <c r="F677" s="563">
        <v>14000</v>
      </c>
      <c r="G677" s="87">
        <f t="shared" si="10"/>
        <v>0</v>
      </c>
      <c r="H677" s="509"/>
      <c r="I677" s="525"/>
    </row>
    <row r="678" spans="1:9" s="681" customFormat="1" ht="15.75" x14ac:dyDescent="0.25">
      <c r="A678" s="87"/>
      <c r="B678" s="87" t="s">
        <v>1252</v>
      </c>
      <c r="C678" s="555" t="s">
        <v>1434</v>
      </c>
      <c r="D678" s="563">
        <v>26000</v>
      </c>
      <c r="E678" s="573">
        <v>289</v>
      </c>
      <c r="F678" s="563">
        <v>26000</v>
      </c>
      <c r="G678" s="87">
        <f t="shared" si="10"/>
        <v>0</v>
      </c>
      <c r="H678" s="509"/>
      <c r="I678" s="525"/>
    </row>
    <row r="679" spans="1:9" s="681" customFormat="1" ht="15.75" x14ac:dyDescent="0.25">
      <c r="A679" s="87"/>
      <c r="B679" s="87" t="s">
        <v>1252</v>
      </c>
      <c r="C679" s="555" t="s">
        <v>1435</v>
      </c>
      <c r="D679" s="563">
        <v>24000</v>
      </c>
      <c r="E679" s="573">
        <v>267</v>
      </c>
      <c r="F679" s="563">
        <v>24000</v>
      </c>
      <c r="G679" s="87">
        <f t="shared" si="10"/>
        <v>0</v>
      </c>
      <c r="H679" s="509"/>
      <c r="I679" s="525"/>
    </row>
    <row r="680" spans="1:9" s="681" customFormat="1" ht="15.75" x14ac:dyDescent="0.25">
      <c r="A680" s="87"/>
      <c r="B680" s="87" t="s">
        <v>1252</v>
      </c>
      <c r="C680" s="555" t="s">
        <v>1436</v>
      </c>
      <c r="D680" s="563">
        <v>27000</v>
      </c>
      <c r="E680" s="573">
        <v>300</v>
      </c>
      <c r="F680" s="563">
        <v>27000</v>
      </c>
      <c r="G680" s="87">
        <f t="shared" si="10"/>
        <v>0</v>
      </c>
      <c r="H680" s="509"/>
      <c r="I680" s="525"/>
    </row>
    <row r="681" spans="1:9" s="681" customFormat="1" ht="15.75" x14ac:dyDescent="0.25">
      <c r="A681" s="87"/>
      <c r="B681" s="87" t="s">
        <v>1252</v>
      </c>
      <c r="C681" s="555" t="s">
        <v>1437</v>
      </c>
      <c r="D681" s="563">
        <v>9000</v>
      </c>
      <c r="E681" s="573">
        <v>100</v>
      </c>
      <c r="F681" s="563">
        <v>9000</v>
      </c>
      <c r="G681" s="87">
        <f t="shared" si="10"/>
        <v>0</v>
      </c>
      <c r="H681" s="509"/>
      <c r="I681" s="525"/>
    </row>
    <row r="682" spans="1:9" s="681" customFormat="1" ht="15.75" x14ac:dyDescent="0.25">
      <c r="A682" s="87"/>
      <c r="B682" s="87" t="s">
        <v>1252</v>
      </c>
      <c r="C682" s="555">
        <v>9777</v>
      </c>
      <c r="D682" s="563">
        <v>18000</v>
      </c>
      <c r="E682" s="573">
        <v>200</v>
      </c>
      <c r="F682" s="563">
        <v>18000</v>
      </c>
      <c r="G682" s="87">
        <f t="shared" si="10"/>
        <v>0</v>
      </c>
      <c r="H682" s="509"/>
      <c r="I682" s="525"/>
    </row>
    <row r="683" spans="1:9" s="681" customFormat="1" ht="15.75" x14ac:dyDescent="0.25">
      <c r="A683" s="87"/>
      <c r="B683" s="87" t="s">
        <v>1252</v>
      </c>
      <c r="C683" s="555">
        <v>9876</v>
      </c>
      <c r="D683" s="563">
        <v>17000</v>
      </c>
      <c r="E683" s="573">
        <v>189</v>
      </c>
      <c r="F683" s="563">
        <v>17000</v>
      </c>
      <c r="G683" s="87">
        <f t="shared" si="10"/>
        <v>0</v>
      </c>
      <c r="H683" s="509"/>
      <c r="I683" s="525"/>
    </row>
    <row r="684" spans="1:9" s="681" customFormat="1" ht="15.75" x14ac:dyDescent="0.25">
      <c r="A684" s="87"/>
      <c r="B684" s="87" t="s">
        <v>1252</v>
      </c>
      <c r="C684" s="555" t="s">
        <v>1334</v>
      </c>
      <c r="D684" s="563">
        <v>14000</v>
      </c>
      <c r="E684" s="573">
        <v>149</v>
      </c>
      <c r="F684" s="563">
        <v>14000</v>
      </c>
      <c r="G684" s="87">
        <f t="shared" si="10"/>
        <v>0</v>
      </c>
      <c r="H684" s="509"/>
      <c r="I684" s="525"/>
    </row>
    <row r="685" spans="1:9" s="681" customFormat="1" ht="15.75" x14ac:dyDescent="0.25">
      <c r="A685" s="87"/>
      <c r="B685" s="87" t="s">
        <v>1252</v>
      </c>
      <c r="C685" s="555" t="s">
        <v>1438</v>
      </c>
      <c r="D685" s="563">
        <v>21000</v>
      </c>
      <c r="E685" s="573">
        <v>216</v>
      </c>
      <c r="F685" s="563">
        <v>21000</v>
      </c>
      <c r="G685" s="87">
        <f t="shared" si="10"/>
        <v>0</v>
      </c>
      <c r="H685" s="509"/>
      <c r="I685" s="525"/>
    </row>
    <row r="686" spans="1:9" s="681" customFormat="1" ht="15.75" x14ac:dyDescent="0.25">
      <c r="A686" s="87"/>
      <c r="B686" s="87" t="s">
        <v>1252</v>
      </c>
      <c r="C686" s="555" t="s">
        <v>1439</v>
      </c>
      <c r="D686" s="563">
        <v>14000</v>
      </c>
      <c r="E686" s="573">
        <v>149</v>
      </c>
      <c r="F686" s="563">
        <v>14000</v>
      </c>
      <c r="G686" s="87">
        <f t="shared" si="10"/>
        <v>0</v>
      </c>
      <c r="H686" s="509"/>
      <c r="I686" s="525"/>
    </row>
    <row r="687" spans="1:9" s="681" customFormat="1" ht="15.75" x14ac:dyDescent="0.25">
      <c r="A687" s="87"/>
      <c r="B687" s="87" t="s">
        <v>1252</v>
      </c>
      <c r="C687" s="555" t="s">
        <v>1440</v>
      </c>
      <c r="D687" s="563">
        <v>15000</v>
      </c>
      <c r="E687" s="573">
        <v>159</v>
      </c>
      <c r="F687" s="563">
        <v>15000</v>
      </c>
      <c r="G687" s="87">
        <f t="shared" si="10"/>
        <v>0</v>
      </c>
      <c r="H687" s="509"/>
      <c r="I687" s="525"/>
    </row>
    <row r="688" spans="1:9" s="681" customFormat="1" ht="15.75" x14ac:dyDescent="0.25">
      <c r="A688" s="87"/>
      <c r="B688" s="87" t="s">
        <v>1252</v>
      </c>
      <c r="C688" s="555" t="s">
        <v>1358</v>
      </c>
      <c r="D688" s="563">
        <v>15000</v>
      </c>
      <c r="E688" s="573">
        <v>159</v>
      </c>
      <c r="F688" s="563">
        <v>15000</v>
      </c>
      <c r="G688" s="87">
        <f t="shared" si="10"/>
        <v>0</v>
      </c>
      <c r="H688" s="509"/>
      <c r="I688" s="525"/>
    </row>
    <row r="689" spans="1:9" s="681" customFormat="1" ht="15.75" x14ac:dyDescent="0.25">
      <c r="A689" s="87"/>
      <c r="B689" s="87" t="s">
        <v>1252</v>
      </c>
      <c r="C689" s="555" t="s">
        <v>1441</v>
      </c>
      <c r="D689" s="563">
        <v>30000</v>
      </c>
      <c r="E689" s="573">
        <v>321</v>
      </c>
      <c r="F689" s="563">
        <v>30000</v>
      </c>
      <c r="G689" s="87">
        <f t="shared" si="10"/>
        <v>0</v>
      </c>
      <c r="H689" s="509"/>
      <c r="I689" s="525"/>
    </row>
    <row r="690" spans="1:9" s="681" customFormat="1" ht="15.75" x14ac:dyDescent="0.25">
      <c r="A690" s="87"/>
      <c r="B690" s="87" t="s">
        <v>1252</v>
      </c>
      <c r="C690" s="555" t="s">
        <v>1442</v>
      </c>
      <c r="D690" s="563">
        <v>28000</v>
      </c>
      <c r="E690" s="573">
        <v>278</v>
      </c>
      <c r="F690" s="563">
        <v>28000</v>
      </c>
      <c r="G690" s="87">
        <f t="shared" si="10"/>
        <v>0</v>
      </c>
      <c r="H690" s="509"/>
      <c r="I690" s="525"/>
    </row>
    <row r="691" spans="1:9" s="681" customFormat="1" ht="15.75" x14ac:dyDescent="0.25">
      <c r="A691" s="87"/>
      <c r="B691" s="87" t="s">
        <v>1252</v>
      </c>
      <c r="C691" s="555" t="s">
        <v>1237</v>
      </c>
      <c r="D691" s="563">
        <v>28000</v>
      </c>
      <c r="E691" s="573">
        <v>272</v>
      </c>
      <c r="F691" s="563">
        <v>28000</v>
      </c>
      <c r="G691" s="87">
        <f t="shared" si="10"/>
        <v>0</v>
      </c>
      <c r="H691" s="509"/>
      <c r="I691" s="525"/>
    </row>
    <row r="692" spans="1:9" s="681" customFormat="1" ht="15.75" x14ac:dyDescent="0.25">
      <c r="A692" s="87"/>
      <c r="B692" s="87" t="s">
        <v>1252</v>
      </c>
      <c r="C692" s="555" t="s">
        <v>1443</v>
      </c>
      <c r="D692" s="563">
        <v>25000</v>
      </c>
      <c r="E692" s="573">
        <v>240</v>
      </c>
      <c r="F692" s="563">
        <v>25000</v>
      </c>
      <c r="G692" s="87">
        <f t="shared" si="10"/>
        <v>0</v>
      </c>
      <c r="H692" s="509"/>
      <c r="I692" s="525"/>
    </row>
    <row r="693" spans="1:9" s="681" customFormat="1" ht="15.75" x14ac:dyDescent="0.25">
      <c r="A693" s="87"/>
      <c r="B693" s="87" t="s">
        <v>1252</v>
      </c>
      <c r="C693" s="555" t="s">
        <v>1444</v>
      </c>
      <c r="D693" s="563">
        <v>27000</v>
      </c>
      <c r="E693" s="573">
        <v>284</v>
      </c>
      <c r="F693" s="563">
        <v>27000</v>
      </c>
      <c r="G693" s="87">
        <f t="shared" si="10"/>
        <v>0</v>
      </c>
      <c r="H693" s="509"/>
      <c r="I693" s="525"/>
    </row>
    <row r="694" spans="1:9" s="681" customFormat="1" ht="15.75" x14ac:dyDescent="0.25">
      <c r="A694" s="87"/>
      <c r="B694" s="87" t="s">
        <v>1252</v>
      </c>
      <c r="C694" s="555" t="s">
        <v>1445</v>
      </c>
      <c r="D694" s="563">
        <v>27000</v>
      </c>
      <c r="E694" s="573">
        <v>300</v>
      </c>
      <c r="F694" s="563">
        <v>27000</v>
      </c>
      <c r="G694" s="87">
        <f t="shared" si="10"/>
        <v>0</v>
      </c>
      <c r="H694" s="509"/>
      <c r="I694" s="525"/>
    </row>
    <row r="695" spans="1:9" s="681" customFormat="1" ht="15.75" x14ac:dyDescent="0.25">
      <c r="A695" s="87"/>
      <c r="B695" s="87" t="s">
        <v>1252</v>
      </c>
      <c r="C695" s="555" t="s">
        <v>1287</v>
      </c>
      <c r="D695" s="563">
        <v>15000</v>
      </c>
      <c r="E695" s="573">
        <v>150</v>
      </c>
      <c r="F695" s="563">
        <v>15000</v>
      </c>
      <c r="G695" s="87">
        <f t="shared" si="10"/>
        <v>0</v>
      </c>
      <c r="H695" s="509"/>
      <c r="I695" s="525"/>
    </row>
    <row r="696" spans="1:9" s="681" customFormat="1" ht="15.75" x14ac:dyDescent="0.25">
      <c r="A696" s="87"/>
      <c r="B696" s="87" t="s">
        <v>1252</v>
      </c>
      <c r="C696" s="555" t="s">
        <v>1288</v>
      </c>
      <c r="D696" s="563">
        <v>17000</v>
      </c>
      <c r="E696" s="573">
        <v>189</v>
      </c>
      <c r="F696" s="563">
        <v>17000</v>
      </c>
      <c r="G696" s="87">
        <f t="shared" si="10"/>
        <v>0</v>
      </c>
      <c r="H696" s="509"/>
      <c r="I696" s="525"/>
    </row>
    <row r="697" spans="1:9" s="681" customFormat="1" ht="15.75" x14ac:dyDescent="0.25">
      <c r="A697" s="87"/>
      <c r="B697" s="87" t="s">
        <v>1252</v>
      </c>
      <c r="C697" s="555" t="s">
        <v>1335</v>
      </c>
      <c r="D697" s="563">
        <v>10000</v>
      </c>
      <c r="E697" s="573">
        <v>111</v>
      </c>
      <c r="F697" s="563">
        <v>10000</v>
      </c>
      <c r="G697" s="87">
        <f t="shared" si="10"/>
        <v>0</v>
      </c>
      <c r="H697" s="509"/>
      <c r="I697" s="525"/>
    </row>
    <row r="698" spans="1:9" s="681" customFormat="1" ht="15.75" x14ac:dyDescent="0.25">
      <c r="A698" s="87"/>
      <c r="B698" s="87" t="s">
        <v>1252</v>
      </c>
      <c r="C698" s="555" t="s">
        <v>1446</v>
      </c>
      <c r="D698" s="563">
        <v>10000</v>
      </c>
      <c r="E698" s="573">
        <v>111</v>
      </c>
      <c r="F698" s="563">
        <v>10000</v>
      </c>
      <c r="G698" s="87">
        <f t="shared" si="10"/>
        <v>0</v>
      </c>
      <c r="H698" s="509"/>
      <c r="I698" s="525"/>
    </row>
    <row r="699" spans="1:9" s="681" customFormat="1" ht="15.75" x14ac:dyDescent="0.25">
      <c r="A699" s="87"/>
      <c r="B699" s="87" t="s">
        <v>1252</v>
      </c>
      <c r="C699" s="555" t="s">
        <v>1273</v>
      </c>
      <c r="D699" s="563">
        <v>15000</v>
      </c>
      <c r="E699" s="573">
        <v>167</v>
      </c>
      <c r="F699" s="563">
        <v>15000</v>
      </c>
      <c r="G699" s="87">
        <f t="shared" si="10"/>
        <v>0</v>
      </c>
      <c r="H699" s="509"/>
      <c r="I699" s="525"/>
    </row>
    <row r="700" spans="1:9" s="681" customFormat="1" ht="15.75" x14ac:dyDescent="0.25">
      <c r="A700" s="87"/>
      <c r="B700" s="87" t="s">
        <v>1252</v>
      </c>
      <c r="C700" s="555" t="s">
        <v>1272</v>
      </c>
      <c r="D700" s="563">
        <v>15000</v>
      </c>
      <c r="E700" s="573">
        <v>167</v>
      </c>
      <c r="F700" s="563">
        <v>15000</v>
      </c>
      <c r="G700" s="87">
        <f t="shared" si="10"/>
        <v>0</v>
      </c>
      <c r="H700" s="509"/>
      <c r="I700" s="525"/>
    </row>
    <row r="701" spans="1:9" s="681" customFormat="1" ht="15.75" x14ac:dyDescent="0.25">
      <c r="A701" s="87"/>
      <c r="B701" s="87" t="s">
        <v>1252</v>
      </c>
      <c r="C701" s="555" t="s">
        <v>1447</v>
      </c>
      <c r="D701" s="563">
        <v>23000</v>
      </c>
      <c r="E701" s="573">
        <v>256</v>
      </c>
      <c r="F701" s="563">
        <v>23000</v>
      </c>
      <c r="G701" s="87">
        <f t="shared" si="10"/>
        <v>0</v>
      </c>
      <c r="H701" s="509"/>
      <c r="I701" s="525"/>
    </row>
    <row r="702" spans="1:9" s="681" customFormat="1" ht="15.75" x14ac:dyDescent="0.25">
      <c r="A702" s="87"/>
      <c r="B702" s="87" t="s">
        <v>1252</v>
      </c>
      <c r="C702" s="555" t="s">
        <v>1448</v>
      </c>
      <c r="D702" s="563">
        <v>27000</v>
      </c>
      <c r="E702" s="573">
        <v>300</v>
      </c>
      <c r="F702" s="563">
        <v>27000</v>
      </c>
      <c r="G702" s="87">
        <f t="shared" ref="G702:G765" si="11">D702-F702</f>
        <v>0</v>
      </c>
      <c r="H702" s="509"/>
      <c r="I702" s="525"/>
    </row>
    <row r="703" spans="1:9" s="681" customFormat="1" ht="15.75" x14ac:dyDescent="0.25">
      <c r="A703" s="87"/>
      <c r="B703" s="87" t="s">
        <v>1252</v>
      </c>
      <c r="C703" s="555" t="s">
        <v>1449</v>
      </c>
      <c r="D703" s="563">
        <v>30000</v>
      </c>
      <c r="E703" s="573">
        <v>334</v>
      </c>
      <c r="F703" s="563">
        <v>30000</v>
      </c>
      <c r="G703" s="87">
        <f t="shared" si="11"/>
        <v>0</v>
      </c>
      <c r="H703" s="509"/>
      <c r="I703" s="525"/>
    </row>
    <row r="704" spans="1:9" s="681" customFormat="1" ht="15.75" x14ac:dyDescent="0.25">
      <c r="A704" s="87"/>
      <c r="B704" s="87" t="s">
        <v>1252</v>
      </c>
      <c r="C704" s="555" t="s">
        <v>1308</v>
      </c>
      <c r="D704" s="563">
        <v>10000</v>
      </c>
      <c r="E704" s="573">
        <v>111</v>
      </c>
      <c r="F704" s="563">
        <v>10000</v>
      </c>
      <c r="G704" s="87">
        <f t="shared" si="11"/>
        <v>0</v>
      </c>
      <c r="H704" s="509"/>
      <c r="I704" s="525"/>
    </row>
    <row r="705" spans="1:9" s="681" customFormat="1" ht="15.75" x14ac:dyDescent="0.25">
      <c r="A705" s="87"/>
      <c r="B705" s="87" t="s">
        <v>1252</v>
      </c>
      <c r="C705" s="555" t="s">
        <v>1309</v>
      </c>
      <c r="D705" s="563">
        <v>10000</v>
      </c>
      <c r="E705" s="573">
        <v>111</v>
      </c>
      <c r="F705" s="563">
        <v>10000</v>
      </c>
      <c r="G705" s="87">
        <f t="shared" si="11"/>
        <v>0</v>
      </c>
      <c r="H705" s="509"/>
      <c r="I705" s="525"/>
    </row>
    <row r="706" spans="1:9" s="681" customFormat="1" ht="15.75" x14ac:dyDescent="0.25">
      <c r="A706" s="87"/>
      <c r="B706" s="87" t="s">
        <v>1252</v>
      </c>
      <c r="C706" s="555" t="s">
        <v>1328</v>
      </c>
      <c r="D706" s="563">
        <v>14000</v>
      </c>
      <c r="E706" s="573">
        <v>155</v>
      </c>
      <c r="F706" s="563">
        <v>14000</v>
      </c>
      <c r="G706" s="87">
        <f t="shared" si="11"/>
        <v>0</v>
      </c>
      <c r="H706" s="509"/>
      <c r="I706" s="525"/>
    </row>
    <row r="707" spans="1:9" s="681" customFormat="1" ht="15.75" x14ac:dyDescent="0.25">
      <c r="A707" s="87"/>
      <c r="B707" s="87" t="s">
        <v>1252</v>
      </c>
      <c r="C707" s="555" t="s">
        <v>1289</v>
      </c>
      <c r="D707" s="563">
        <v>15000</v>
      </c>
      <c r="E707" s="573">
        <v>167</v>
      </c>
      <c r="F707" s="563">
        <v>15000</v>
      </c>
      <c r="G707" s="87">
        <f t="shared" si="11"/>
        <v>0</v>
      </c>
      <c r="H707" s="509"/>
      <c r="I707" s="525"/>
    </row>
    <row r="708" spans="1:9" s="681" customFormat="1" ht="15.75" x14ac:dyDescent="0.25">
      <c r="A708" s="87"/>
      <c r="B708" s="87" t="s">
        <v>1252</v>
      </c>
      <c r="C708" s="555" t="s">
        <v>1238</v>
      </c>
      <c r="D708" s="563">
        <v>17000</v>
      </c>
      <c r="E708" s="573">
        <v>189</v>
      </c>
      <c r="F708" s="563">
        <v>17000</v>
      </c>
      <c r="G708" s="87">
        <f t="shared" si="11"/>
        <v>0</v>
      </c>
      <c r="H708" s="509"/>
      <c r="I708" s="525"/>
    </row>
    <row r="709" spans="1:9" s="681" customFormat="1" ht="15.75" x14ac:dyDescent="0.25">
      <c r="A709" s="87"/>
      <c r="B709" s="87" t="s">
        <v>1450</v>
      </c>
      <c r="C709" s="555" t="s">
        <v>1337</v>
      </c>
      <c r="D709" s="563">
        <v>14000</v>
      </c>
      <c r="E709" s="573">
        <v>149</v>
      </c>
      <c r="F709" s="563">
        <v>14000</v>
      </c>
      <c r="G709" s="87">
        <f t="shared" si="11"/>
        <v>0</v>
      </c>
      <c r="H709" s="509"/>
      <c r="I709" s="525"/>
    </row>
    <row r="710" spans="1:9" s="681" customFormat="1" ht="15.75" x14ac:dyDescent="0.25">
      <c r="A710" s="87"/>
      <c r="B710" s="87" t="s">
        <v>1450</v>
      </c>
      <c r="C710" s="555" t="s">
        <v>1451</v>
      </c>
      <c r="D710" s="563">
        <v>14000</v>
      </c>
      <c r="E710" s="573">
        <v>149</v>
      </c>
      <c r="F710" s="563">
        <v>14000</v>
      </c>
      <c r="G710" s="87">
        <f t="shared" si="11"/>
        <v>0</v>
      </c>
      <c r="H710" s="509"/>
      <c r="I710" s="525"/>
    </row>
    <row r="711" spans="1:9" s="681" customFormat="1" ht="15.75" x14ac:dyDescent="0.25">
      <c r="A711" s="87"/>
      <c r="B711" s="87" t="s">
        <v>1450</v>
      </c>
      <c r="C711" s="555" t="s">
        <v>1452</v>
      </c>
      <c r="D711" s="563">
        <v>14000</v>
      </c>
      <c r="E711" s="573">
        <v>149</v>
      </c>
      <c r="F711" s="563">
        <v>14000</v>
      </c>
      <c r="G711" s="87">
        <f t="shared" si="11"/>
        <v>0</v>
      </c>
      <c r="H711" s="509"/>
      <c r="I711" s="525"/>
    </row>
    <row r="712" spans="1:9" s="681" customFormat="1" ht="15.75" x14ac:dyDescent="0.25">
      <c r="A712" s="87"/>
      <c r="B712" s="87" t="s">
        <v>1450</v>
      </c>
      <c r="C712" s="555" t="s">
        <v>1453</v>
      </c>
      <c r="D712" s="563">
        <v>14000</v>
      </c>
      <c r="E712" s="573">
        <v>149</v>
      </c>
      <c r="F712" s="563">
        <v>14000</v>
      </c>
      <c r="G712" s="87">
        <f t="shared" si="11"/>
        <v>0</v>
      </c>
      <c r="H712" s="509"/>
      <c r="I712" s="525"/>
    </row>
    <row r="713" spans="1:9" s="681" customFormat="1" ht="15.75" x14ac:dyDescent="0.25">
      <c r="A713" s="87"/>
      <c r="B713" s="87" t="s">
        <v>1450</v>
      </c>
      <c r="C713" s="555" t="s">
        <v>1454</v>
      </c>
      <c r="D713" s="563">
        <v>14000</v>
      </c>
      <c r="E713" s="573">
        <v>149</v>
      </c>
      <c r="F713" s="563">
        <v>14000</v>
      </c>
      <c r="G713" s="87">
        <f t="shared" si="11"/>
        <v>0</v>
      </c>
      <c r="H713" s="509"/>
      <c r="I713" s="525"/>
    </row>
    <row r="714" spans="1:9" s="681" customFormat="1" ht="15.75" x14ac:dyDescent="0.25">
      <c r="A714" s="87"/>
      <c r="B714" s="87" t="s">
        <v>1450</v>
      </c>
      <c r="C714" s="555" t="s">
        <v>1340</v>
      </c>
      <c r="D714" s="563">
        <v>14000</v>
      </c>
      <c r="E714" s="573">
        <v>149</v>
      </c>
      <c r="F714" s="563">
        <v>14000</v>
      </c>
      <c r="G714" s="87">
        <f t="shared" si="11"/>
        <v>0</v>
      </c>
      <c r="H714" s="509"/>
      <c r="I714" s="525"/>
    </row>
    <row r="715" spans="1:9" s="681" customFormat="1" ht="15.75" x14ac:dyDescent="0.25">
      <c r="A715" s="87"/>
      <c r="B715" s="87" t="s">
        <v>1450</v>
      </c>
      <c r="C715" s="555" t="s">
        <v>1341</v>
      </c>
      <c r="D715" s="563">
        <v>14000</v>
      </c>
      <c r="E715" s="573">
        <v>149</v>
      </c>
      <c r="F715" s="563">
        <v>14000</v>
      </c>
      <c r="G715" s="87">
        <f t="shared" si="11"/>
        <v>0</v>
      </c>
      <c r="H715" s="509"/>
      <c r="I715" s="525"/>
    </row>
    <row r="716" spans="1:9" s="681" customFormat="1" ht="15.75" x14ac:dyDescent="0.25">
      <c r="A716" s="87"/>
      <c r="B716" s="87" t="s">
        <v>1450</v>
      </c>
      <c r="C716" s="555" t="s">
        <v>30</v>
      </c>
      <c r="D716" s="563">
        <v>4000</v>
      </c>
      <c r="E716" s="573">
        <v>42</v>
      </c>
      <c r="F716" s="563">
        <v>4000</v>
      </c>
      <c r="G716" s="87">
        <f t="shared" si="11"/>
        <v>0</v>
      </c>
      <c r="H716" s="509"/>
      <c r="I716" s="525"/>
    </row>
    <row r="717" spans="1:9" s="681" customFormat="1" ht="15.75" x14ac:dyDescent="0.25">
      <c r="A717" s="87"/>
      <c r="B717" s="87" t="s">
        <v>1450</v>
      </c>
      <c r="C717" s="555" t="s">
        <v>1455</v>
      </c>
      <c r="D717" s="563">
        <v>25000</v>
      </c>
      <c r="E717" s="573">
        <v>266</v>
      </c>
      <c r="F717" s="563">
        <v>25000</v>
      </c>
      <c r="G717" s="87">
        <f t="shared" si="11"/>
        <v>0</v>
      </c>
      <c r="H717" s="509"/>
      <c r="I717" s="525"/>
    </row>
    <row r="718" spans="1:9" s="681" customFormat="1" ht="15.75" x14ac:dyDescent="0.25">
      <c r="A718" s="87"/>
      <c r="B718" s="87" t="s">
        <v>1450</v>
      </c>
      <c r="C718" s="555" t="s">
        <v>1456</v>
      </c>
      <c r="D718" s="563">
        <v>28000</v>
      </c>
      <c r="E718" s="573">
        <v>298</v>
      </c>
      <c r="F718" s="563">
        <v>28000</v>
      </c>
      <c r="G718" s="87">
        <f t="shared" si="11"/>
        <v>0</v>
      </c>
      <c r="H718" s="509"/>
      <c r="I718" s="525"/>
    </row>
    <row r="719" spans="1:9" s="681" customFormat="1" ht="15.75" x14ac:dyDescent="0.25">
      <c r="A719" s="87"/>
      <c r="B719" s="87" t="s">
        <v>1450</v>
      </c>
      <c r="C719" s="555" t="s">
        <v>1343</v>
      </c>
      <c r="D719" s="563">
        <v>14000</v>
      </c>
      <c r="E719" s="573">
        <v>155</v>
      </c>
      <c r="F719" s="563">
        <v>14000</v>
      </c>
      <c r="G719" s="87">
        <f t="shared" si="11"/>
        <v>0</v>
      </c>
      <c r="H719" s="509"/>
      <c r="I719" s="525"/>
    </row>
    <row r="720" spans="1:9" s="681" customFormat="1" ht="15.75" x14ac:dyDescent="0.25">
      <c r="A720" s="87"/>
      <c r="B720" s="87" t="s">
        <v>1450</v>
      </c>
      <c r="C720" s="555" t="s">
        <v>1457</v>
      </c>
      <c r="D720" s="563">
        <v>15000</v>
      </c>
      <c r="E720" s="573">
        <v>167</v>
      </c>
      <c r="F720" s="563">
        <v>15000</v>
      </c>
      <c r="G720" s="87">
        <f t="shared" si="11"/>
        <v>0</v>
      </c>
      <c r="H720" s="509"/>
      <c r="I720" s="525"/>
    </row>
    <row r="721" spans="1:9" s="681" customFormat="1" ht="15.75" x14ac:dyDescent="0.25">
      <c r="A721" s="87"/>
      <c r="B721" s="87" t="s">
        <v>1450</v>
      </c>
      <c r="C721" s="555" t="s">
        <v>1458</v>
      </c>
      <c r="D721" s="563">
        <v>15000</v>
      </c>
      <c r="E721" s="573">
        <v>167</v>
      </c>
      <c r="F721" s="563">
        <v>15000</v>
      </c>
      <c r="G721" s="87">
        <f t="shared" si="11"/>
        <v>0</v>
      </c>
      <c r="H721" s="509"/>
      <c r="I721" s="525"/>
    </row>
    <row r="722" spans="1:9" s="681" customFormat="1" ht="15.75" x14ac:dyDescent="0.25">
      <c r="A722" s="87"/>
      <c r="B722" s="87" t="s">
        <v>1450</v>
      </c>
      <c r="C722" s="555" t="s">
        <v>1459</v>
      </c>
      <c r="D722" s="563">
        <v>15000</v>
      </c>
      <c r="E722" s="573">
        <v>167</v>
      </c>
      <c r="F722" s="563">
        <v>15000</v>
      </c>
      <c r="G722" s="87">
        <f t="shared" si="11"/>
        <v>0</v>
      </c>
      <c r="H722" s="509"/>
      <c r="I722" s="525"/>
    </row>
    <row r="723" spans="1:9" s="681" customFormat="1" ht="15.75" x14ac:dyDescent="0.25">
      <c r="A723" s="87"/>
      <c r="B723" s="87" t="s">
        <v>1450</v>
      </c>
      <c r="C723" s="555" t="s">
        <v>1267</v>
      </c>
      <c r="D723" s="563">
        <v>15000</v>
      </c>
      <c r="E723" s="573">
        <v>167</v>
      </c>
      <c r="F723" s="563">
        <v>15000</v>
      </c>
      <c r="G723" s="87">
        <f t="shared" si="11"/>
        <v>0</v>
      </c>
      <c r="H723" s="509"/>
      <c r="I723" s="525"/>
    </row>
    <row r="724" spans="1:9" s="681" customFormat="1" ht="15.75" x14ac:dyDescent="0.25">
      <c r="A724" s="87"/>
      <c r="B724" s="87" t="s">
        <v>1450</v>
      </c>
      <c r="C724" s="555" t="s">
        <v>1294</v>
      </c>
      <c r="D724" s="563">
        <v>15000</v>
      </c>
      <c r="E724" s="573">
        <v>167</v>
      </c>
      <c r="F724" s="563">
        <v>15000</v>
      </c>
      <c r="G724" s="87">
        <f t="shared" si="11"/>
        <v>0</v>
      </c>
      <c r="H724" s="509"/>
      <c r="I724" s="525"/>
    </row>
    <row r="725" spans="1:9" s="681" customFormat="1" ht="15.75" x14ac:dyDescent="0.25">
      <c r="A725" s="87"/>
      <c r="B725" s="87" t="s">
        <v>1450</v>
      </c>
      <c r="C725" s="555" t="s">
        <v>1460</v>
      </c>
      <c r="D725" s="563">
        <v>15000</v>
      </c>
      <c r="E725" s="573">
        <v>167</v>
      </c>
      <c r="F725" s="563">
        <v>15000</v>
      </c>
      <c r="G725" s="87">
        <f t="shared" si="11"/>
        <v>0</v>
      </c>
      <c r="H725" s="509"/>
      <c r="I725" s="525"/>
    </row>
    <row r="726" spans="1:9" s="681" customFormat="1" ht="15.75" x14ac:dyDescent="0.25">
      <c r="A726" s="87"/>
      <c r="B726" s="87" t="s">
        <v>1450</v>
      </c>
      <c r="C726" s="555" t="s">
        <v>1461</v>
      </c>
      <c r="D726" s="563">
        <v>20000</v>
      </c>
      <c r="E726" s="573">
        <v>222</v>
      </c>
      <c r="F726" s="563">
        <v>20000</v>
      </c>
      <c r="G726" s="87">
        <f t="shared" si="11"/>
        <v>0</v>
      </c>
      <c r="H726" s="509"/>
      <c r="I726" s="525"/>
    </row>
    <row r="727" spans="1:9" s="681" customFormat="1" ht="15.75" x14ac:dyDescent="0.25">
      <c r="A727" s="87"/>
      <c r="B727" s="87" t="s">
        <v>1450</v>
      </c>
      <c r="C727" s="555" t="s">
        <v>1462</v>
      </c>
      <c r="D727" s="563">
        <v>20000</v>
      </c>
      <c r="E727" s="573">
        <v>222</v>
      </c>
      <c r="F727" s="563">
        <v>20000</v>
      </c>
      <c r="G727" s="87">
        <f t="shared" si="11"/>
        <v>0</v>
      </c>
      <c r="H727" s="509"/>
      <c r="I727" s="525"/>
    </row>
    <row r="728" spans="1:9" s="681" customFormat="1" ht="15.75" x14ac:dyDescent="0.25">
      <c r="A728" s="87"/>
      <c r="B728" s="87" t="s">
        <v>1450</v>
      </c>
      <c r="C728" s="555" t="s">
        <v>1463</v>
      </c>
      <c r="D728" s="563">
        <v>18000</v>
      </c>
      <c r="E728" s="573">
        <v>200</v>
      </c>
      <c r="F728" s="563">
        <v>18000</v>
      </c>
      <c r="G728" s="87">
        <f t="shared" si="11"/>
        <v>0</v>
      </c>
      <c r="H728" s="509"/>
      <c r="I728" s="525"/>
    </row>
    <row r="729" spans="1:9" s="681" customFormat="1" ht="15.75" x14ac:dyDescent="0.25">
      <c r="A729" s="87"/>
      <c r="B729" s="87" t="s">
        <v>1450</v>
      </c>
      <c r="C729" s="555" t="s">
        <v>1404</v>
      </c>
      <c r="D729" s="563">
        <v>18000</v>
      </c>
      <c r="E729" s="573">
        <v>200</v>
      </c>
      <c r="F729" s="563">
        <v>18000</v>
      </c>
      <c r="G729" s="87">
        <f t="shared" si="11"/>
        <v>0</v>
      </c>
      <c r="H729" s="509"/>
      <c r="I729" s="525"/>
    </row>
    <row r="730" spans="1:9" s="681" customFormat="1" ht="15.75" x14ac:dyDescent="0.25">
      <c r="A730" s="87"/>
      <c r="B730" s="87" t="s">
        <v>1450</v>
      </c>
      <c r="C730" s="555" t="s">
        <v>1464</v>
      </c>
      <c r="D730" s="563">
        <v>26000</v>
      </c>
      <c r="E730" s="573">
        <v>266</v>
      </c>
      <c r="F730" s="563">
        <v>26000</v>
      </c>
      <c r="G730" s="87">
        <f t="shared" si="11"/>
        <v>0</v>
      </c>
      <c r="H730" s="509"/>
      <c r="I730" s="525"/>
    </row>
    <row r="731" spans="1:9" s="681" customFormat="1" ht="15.75" x14ac:dyDescent="0.25">
      <c r="A731" s="87"/>
      <c r="B731" s="87" t="s">
        <v>1450</v>
      </c>
      <c r="C731" s="555" t="s">
        <v>819</v>
      </c>
      <c r="D731" s="563">
        <v>3500</v>
      </c>
      <c r="E731" s="573">
        <v>38</v>
      </c>
      <c r="F731" s="563">
        <v>3500</v>
      </c>
      <c r="G731" s="87">
        <f t="shared" si="11"/>
        <v>0</v>
      </c>
      <c r="H731" s="509"/>
      <c r="I731" s="525"/>
    </row>
    <row r="732" spans="1:9" s="681" customFormat="1" ht="15.75" x14ac:dyDescent="0.25">
      <c r="A732" s="87"/>
      <c r="B732" s="87" t="s">
        <v>1450</v>
      </c>
      <c r="C732" s="555" t="s">
        <v>30</v>
      </c>
      <c r="D732" s="563">
        <v>5000</v>
      </c>
      <c r="E732" s="573">
        <v>55</v>
      </c>
      <c r="F732" s="563">
        <v>5000</v>
      </c>
      <c r="G732" s="87">
        <f t="shared" si="11"/>
        <v>0</v>
      </c>
      <c r="H732" s="509"/>
      <c r="I732" s="525"/>
    </row>
    <row r="733" spans="1:9" s="681" customFormat="1" ht="15.75" x14ac:dyDescent="0.25">
      <c r="A733" s="87"/>
      <c r="B733" s="87" t="s">
        <v>1450</v>
      </c>
      <c r="C733" s="555" t="s">
        <v>30</v>
      </c>
      <c r="D733" s="563">
        <v>4500</v>
      </c>
      <c r="E733" s="573">
        <v>50</v>
      </c>
      <c r="F733" s="563">
        <v>4500</v>
      </c>
      <c r="G733" s="87">
        <f t="shared" si="11"/>
        <v>0</v>
      </c>
      <c r="H733" s="509"/>
      <c r="I733" s="525"/>
    </row>
    <row r="734" spans="1:9" s="681" customFormat="1" ht="15.75" x14ac:dyDescent="0.25">
      <c r="A734" s="87"/>
      <c r="B734" s="87" t="s">
        <v>1450</v>
      </c>
      <c r="C734" s="555">
        <v>9192</v>
      </c>
      <c r="D734" s="563">
        <v>26700</v>
      </c>
      <c r="E734" s="573">
        <v>297</v>
      </c>
      <c r="F734" s="563">
        <v>26700</v>
      </c>
      <c r="G734" s="87">
        <f t="shared" si="11"/>
        <v>0</v>
      </c>
      <c r="H734" s="509"/>
      <c r="I734" s="525"/>
    </row>
    <row r="735" spans="1:9" s="681" customFormat="1" ht="15.75" x14ac:dyDescent="0.25">
      <c r="A735" s="87"/>
      <c r="B735" s="87" t="s">
        <v>1450</v>
      </c>
      <c r="C735" s="555" t="s">
        <v>66</v>
      </c>
      <c r="D735" s="563">
        <v>150</v>
      </c>
      <c r="E735" s="573" t="s">
        <v>66</v>
      </c>
      <c r="F735" s="563">
        <v>150</v>
      </c>
      <c r="G735" s="87">
        <f t="shared" si="11"/>
        <v>0</v>
      </c>
      <c r="H735" s="509"/>
      <c r="I735" s="525"/>
    </row>
    <row r="736" spans="1:9" s="681" customFormat="1" ht="15.75" x14ac:dyDescent="0.25">
      <c r="A736" s="87"/>
      <c r="B736" s="87" t="s">
        <v>1450</v>
      </c>
      <c r="C736" s="555" t="s">
        <v>66</v>
      </c>
      <c r="D736" s="563">
        <v>210</v>
      </c>
      <c r="E736" s="573" t="s">
        <v>66</v>
      </c>
      <c r="F736" s="563">
        <v>210</v>
      </c>
      <c r="G736" s="87">
        <f t="shared" si="11"/>
        <v>0</v>
      </c>
      <c r="H736" s="509"/>
      <c r="I736" s="525"/>
    </row>
    <row r="737" spans="1:9" s="681" customFormat="1" ht="15.75" x14ac:dyDescent="0.25">
      <c r="A737" s="87"/>
      <c r="B737" s="87" t="s">
        <v>1450</v>
      </c>
      <c r="C737" s="555" t="s">
        <v>1465</v>
      </c>
      <c r="D737" s="563">
        <v>20000</v>
      </c>
      <c r="E737" s="573">
        <v>222</v>
      </c>
      <c r="F737" s="563">
        <v>20000</v>
      </c>
      <c r="G737" s="87">
        <f t="shared" si="11"/>
        <v>0</v>
      </c>
      <c r="H737" s="509"/>
      <c r="I737" s="525"/>
    </row>
    <row r="738" spans="1:9" s="681" customFormat="1" ht="15.75" x14ac:dyDescent="0.25">
      <c r="A738" s="87"/>
      <c r="B738" s="87" t="s">
        <v>1450</v>
      </c>
      <c r="C738" s="555" t="s">
        <v>1271</v>
      </c>
      <c r="D738" s="563">
        <v>15000</v>
      </c>
      <c r="E738" s="573">
        <v>167</v>
      </c>
      <c r="F738" s="563">
        <v>15000</v>
      </c>
      <c r="G738" s="87">
        <f t="shared" si="11"/>
        <v>0</v>
      </c>
      <c r="H738" s="509"/>
      <c r="I738" s="525"/>
    </row>
    <row r="739" spans="1:9" s="681" customFormat="1" ht="15.75" x14ac:dyDescent="0.25">
      <c r="A739" s="87"/>
      <c r="B739" s="87" t="s">
        <v>1450</v>
      </c>
      <c r="C739" s="555" t="s">
        <v>1278</v>
      </c>
      <c r="D739" s="563">
        <v>15000</v>
      </c>
      <c r="E739" s="573">
        <v>167</v>
      </c>
      <c r="F739" s="563">
        <v>15000</v>
      </c>
      <c r="G739" s="87">
        <f t="shared" si="11"/>
        <v>0</v>
      </c>
      <c r="H739" s="509"/>
      <c r="I739" s="525"/>
    </row>
    <row r="740" spans="1:9" s="681" customFormat="1" ht="15.75" x14ac:dyDescent="0.25">
      <c r="A740" s="87"/>
      <c r="B740" s="87" t="s">
        <v>1450</v>
      </c>
      <c r="C740" s="555" t="s">
        <v>1277</v>
      </c>
      <c r="D740" s="563">
        <v>15000</v>
      </c>
      <c r="E740" s="573">
        <v>167</v>
      </c>
      <c r="F740" s="563">
        <v>15000</v>
      </c>
      <c r="G740" s="87">
        <f t="shared" si="11"/>
        <v>0</v>
      </c>
      <c r="H740" s="509"/>
      <c r="I740" s="525"/>
    </row>
    <row r="741" spans="1:9" s="681" customFormat="1" ht="15.75" x14ac:dyDescent="0.25">
      <c r="A741" s="87"/>
      <c r="B741" s="87" t="s">
        <v>1450</v>
      </c>
      <c r="C741" s="555" t="s">
        <v>1290</v>
      </c>
      <c r="D741" s="563">
        <v>15000</v>
      </c>
      <c r="E741" s="573">
        <v>167</v>
      </c>
      <c r="F741" s="563">
        <v>15000</v>
      </c>
      <c r="G741" s="87">
        <f t="shared" si="11"/>
        <v>0</v>
      </c>
      <c r="H741" s="509"/>
      <c r="I741" s="525"/>
    </row>
    <row r="742" spans="1:9" s="681" customFormat="1" ht="15.75" x14ac:dyDescent="0.25">
      <c r="A742" s="87"/>
      <c r="B742" s="87" t="s">
        <v>1450</v>
      </c>
      <c r="C742" s="555" t="s">
        <v>1466</v>
      </c>
      <c r="D742" s="563">
        <v>15000</v>
      </c>
      <c r="E742" s="573">
        <v>167</v>
      </c>
      <c r="F742" s="563">
        <v>15000</v>
      </c>
      <c r="G742" s="87">
        <f t="shared" si="11"/>
        <v>0</v>
      </c>
      <c r="H742" s="509"/>
      <c r="I742" s="525"/>
    </row>
    <row r="743" spans="1:9" s="681" customFormat="1" ht="15.75" x14ac:dyDescent="0.25">
      <c r="A743" s="87"/>
      <c r="B743" s="87" t="s">
        <v>1450</v>
      </c>
      <c r="C743" s="555" t="s">
        <v>1228</v>
      </c>
      <c r="D743" s="563">
        <v>15000</v>
      </c>
      <c r="E743" s="573">
        <v>167</v>
      </c>
      <c r="F743" s="563">
        <v>15000</v>
      </c>
      <c r="G743" s="87">
        <f t="shared" si="11"/>
        <v>0</v>
      </c>
      <c r="H743" s="509"/>
      <c r="I743" s="525"/>
    </row>
    <row r="744" spans="1:9" s="681" customFormat="1" ht="15.75" x14ac:dyDescent="0.25">
      <c r="A744" s="87"/>
      <c r="B744" s="87" t="s">
        <v>1450</v>
      </c>
      <c r="C744" s="555" t="s">
        <v>1467</v>
      </c>
      <c r="D744" s="563">
        <v>29000</v>
      </c>
      <c r="E744" s="573">
        <v>314</v>
      </c>
      <c r="F744" s="563">
        <v>29000</v>
      </c>
      <c r="G744" s="87">
        <f t="shared" si="11"/>
        <v>0</v>
      </c>
      <c r="H744" s="509"/>
      <c r="I744" s="525"/>
    </row>
    <row r="745" spans="1:9" s="681" customFormat="1" ht="15.75" x14ac:dyDescent="0.25">
      <c r="A745" s="87"/>
      <c r="B745" s="87" t="s">
        <v>1450</v>
      </c>
      <c r="C745" s="555" t="s">
        <v>1468</v>
      </c>
      <c r="D745" s="563">
        <v>26000</v>
      </c>
      <c r="E745" s="573">
        <v>289</v>
      </c>
      <c r="F745" s="563">
        <v>26000</v>
      </c>
      <c r="G745" s="87">
        <f t="shared" si="11"/>
        <v>0</v>
      </c>
      <c r="H745" s="509"/>
      <c r="I745" s="525"/>
    </row>
    <row r="746" spans="1:9" s="681" customFormat="1" ht="15.75" x14ac:dyDescent="0.25">
      <c r="A746" s="87"/>
      <c r="B746" s="87" t="s">
        <v>1450</v>
      </c>
      <c r="C746" s="555" t="s">
        <v>1227</v>
      </c>
      <c r="D746" s="563">
        <v>17000</v>
      </c>
      <c r="E746" s="573">
        <v>189</v>
      </c>
      <c r="F746" s="563">
        <v>17000</v>
      </c>
      <c r="G746" s="87">
        <f t="shared" si="11"/>
        <v>0</v>
      </c>
      <c r="H746" s="509"/>
      <c r="I746" s="525"/>
    </row>
    <row r="747" spans="1:9" s="681" customFormat="1" ht="15.75" x14ac:dyDescent="0.25">
      <c r="A747" s="87"/>
      <c r="B747" s="87" t="s">
        <v>1450</v>
      </c>
      <c r="C747" s="555" t="s">
        <v>1300</v>
      </c>
      <c r="D747" s="563">
        <v>10000</v>
      </c>
      <c r="E747" s="573">
        <v>111</v>
      </c>
      <c r="F747" s="563">
        <v>10000</v>
      </c>
      <c r="G747" s="87">
        <f t="shared" si="11"/>
        <v>0</v>
      </c>
      <c r="H747" s="509"/>
      <c r="I747" s="525"/>
    </row>
    <row r="748" spans="1:9" s="681" customFormat="1" ht="15.75" x14ac:dyDescent="0.25">
      <c r="A748" s="87"/>
      <c r="B748" s="87" t="s">
        <v>1450</v>
      </c>
      <c r="C748" s="555" t="s">
        <v>1295</v>
      </c>
      <c r="D748" s="563">
        <v>10000</v>
      </c>
      <c r="E748" s="573">
        <v>111</v>
      </c>
      <c r="F748" s="563">
        <v>10000</v>
      </c>
      <c r="G748" s="87">
        <f t="shared" si="11"/>
        <v>0</v>
      </c>
      <c r="H748" s="509"/>
      <c r="I748" s="525"/>
    </row>
    <row r="749" spans="1:9" s="681" customFormat="1" ht="15.75" x14ac:dyDescent="0.25">
      <c r="A749" s="87"/>
      <c r="B749" s="87" t="s">
        <v>1450</v>
      </c>
      <c r="C749" s="555" t="s">
        <v>1236</v>
      </c>
      <c r="D749" s="563">
        <v>18000</v>
      </c>
      <c r="E749" s="573">
        <v>200</v>
      </c>
      <c r="F749" s="563">
        <v>18000</v>
      </c>
      <c r="G749" s="87">
        <f t="shared" si="11"/>
        <v>0</v>
      </c>
      <c r="H749" s="509"/>
      <c r="I749" s="525"/>
    </row>
    <row r="750" spans="1:9" s="681" customFormat="1" ht="15.75" x14ac:dyDescent="0.25">
      <c r="A750" s="87"/>
      <c r="B750" s="87" t="s">
        <v>1450</v>
      </c>
      <c r="C750" s="555" t="s">
        <v>1229</v>
      </c>
      <c r="D750" s="563">
        <v>5000</v>
      </c>
      <c r="E750" s="573">
        <v>55</v>
      </c>
      <c r="F750" s="563">
        <v>5000</v>
      </c>
      <c r="G750" s="87">
        <f t="shared" si="11"/>
        <v>0</v>
      </c>
      <c r="H750" s="509"/>
      <c r="I750" s="525"/>
    </row>
    <row r="751" spans="1:9" s="681" customFormat="1" ht="15.75" x14ac:dyDescent="0.25">
      <c r="A751" s="87"/>
      <c r="B751" s="87" t="s">
        <v>1450</v>
      </c>
      <c r="C751" s="555" t="s">
        <v>1469</v>
      </c>
      <c r="D751" s="563">
        <v>24000</v>
      </c>
      <c r="E751" s="573">
        <v>256</v>
      </c>
      <c r="F751" s="563">
        <v>24000</v>
      </c>
      <c r="G751" s="87">
        <f t="shared" si="11"/>
        <v>0</v>
      </c>
      <c r="H751" s="509"/>
      <c r="I751" s="525"/>
    </row>
    <row r="752" spans="1:9" s="681" customFormat="1" ht="15.75" x14ac:dyDescent="0.25">
      <c r="A752" s="87"/>
      <c r="B752" s="87" t="s">
        <v>1450</v>
      </c>
      <c r="C752" s="555" t="s">
        <v>1298</v>
      </c>
      <c r="D752" s="563">
        <v>14000</v>
      </c>
      <c r="E752" s="573">
        <v>155</v>
      </c>
      <c r="F752" s="563">
        <v>14000</v>
      </c>
      <c r="G752" s="87">
        <f t="shared" si="11"/>
        <v>0</v>
      </c>
      <c r="H752" s="509"/>
      <c r="I752" s="525"/>
    </row>
    <row r="753" spans="1:9" s="681" customFormat="1" ht="15.75" x14ac:dyDescent="0.25">
      <c r="A753" s="87"/>
      <c r="B753" s="87" t="s">
        <v>1450</v>
      </c>
      <c r="C753" s="555" t="s">
        <v>1470</v>
      </c>
      <c r="D753" s="563">
        <v>30599</v>
      </c>
      <c r="E753" s="573">
        <v>340</v>
      </c>
      <c r="F753" s="563">
        <v>30599</v>
      </c>
      <c r="G753" s="87">
        <f t="shared" si="11"/>
        <v>0</v>
      </c>
      <c r="H753" s="509"/>
      <c r="I753" s="525"/>
    </row>
    <row r="754" spans="1:9" s="681" customFormat="1" ht="15.75" x14ac:dyDescent="0.25">
      <c r="A754" s="87"/>
      <c r="B754" s="87" t="s">
        <v>1450</v>
      </c>
      <c r="C754" s="555" t="s">
        <v>1471</v>
      </c>
      <c r="D754" s="563">
        <v>21800</v>
      </c>
      <c r="E754" s="573">
        <v>242</v>
      </c>
      <c r="F754" s="563">
        <v>21800</v>
      </c>
      <c r="G754" s="87">
        <f t="shared" si="11"/>
        <v>0</v>
      </c>
      <c r="H754" s="509"/>
      <c r="I754" s="525"/>
    </row>
    <row r="755" spans="1:9" s="681" customFormat="1" ht="15.75" x14ac:dyDescent="0.25">
      <c r="A755" s="87"/>
      <c r="B755" s="87" t="s">
        <v>1450</v>
      </c>
      <c r="C755" s="555" t="s">
        <v>1472</v>
      </c>
      <c r="D755" s="563">
        <v>25000</v>
      </c>
      <c r="E755" s="573">
        <v>278</v>
      </c>
      <c r="F755" s="563">
        <v>25000</v>
      </c>
      <c r="G755" s="87">
        <f t="shared" si="11"/>
        <v>0</v>
      </c>
      <c r="H755" s="509"/>
      <c r="I755" s="525"/>
    </row>
    <row r="756" spans="1:9" s="681" customFormat="1" ht="15.75" x14ac:dyDescent="0.25">
      <c r="A756" s="87"/>
      <c r="B756" s="87" t="s">
        <v>1450</v>
      </c>
      <c r="C756" s="555" t="s">
        <v>1473</v>
      </c>
      <c r="D756" s="563">
        <v>25000</v>
      </c>
      <c r="E756" s="573">
        <v>278</v>
      </c>
      <c r="F756" s="563">
        <v>25000</v>
      </c>
      <c r="G756" s="87">
        <f t="shared" si="11"/>
        <v>0</v>
      </c>
      <c r="H756" s="509"/>
      <c r="I756" s="525"/>
    </row>
    <row r="757" spans="1:9" s="681" customFormat="1" ht="15.75" x14ac:dyDescent="0.25">
      <c r="A757" s="87"/>
      <c r="B757" s="87" t="s">
        <v>1450</v>
      </c>
      <c r="C757" s="555" t="s">
        <v>1474</v>
      </c>
      <c r="D757" s="563">
        <v>45000</v>
      </c>
      <c r="E757" s="573">
        <v>474</v>
      </c>
      <c r="F757" s="563">
        <v>45000</v>
      </c>
      <c r="G757" s="87">
        <f t="shared" si="11"/>
        <v>0</v>
      </c>
      <c r="H757" s="509"/>
      <c r="I757" s="525"/>
    </row>
    <row r="758" spans="1:9" s="681" customFormat="1" ht="15.75" x14ac:dyDescent="0.25">
      <c r="A758" s="87"/>
      <c r="B758" s="87" t="s">
        <v>1450</v>
      </c>
      <c r="C758" s="555" t="s">
        <v>1475</v>
      </c>
      <c r="D758" s="563">
        <v>32167</v>
      </c>
      <c r="E758" s="573">
        <v>358</v>
      </c>
      <c r="F758" s="563">
        <v>32167</v>
      </c>
      <c r="G758" s="87">
        <f t="shared" si="11"/>
        <v>0</v>
      </c>
      <c r="H758" s="509"/>
      <c r="I758" s="525"/>
    </row>
    <row r="759" spans="1:9" s="681" customFormat="1" ht="15.75" x14ac:dyDescent="0.25">
      <c r="A759" s="87"/>
      <c r="B759" s="87" t="s">
        <v>1450</v>
      </c>
      <c r="C759" s="555" t="s">
        <v>1476</v>
      </c>
      <c r="D759" s="563">
        <v>25000</v>
      </c>
      <c r="E759" s="573">
        <v>278</v>
      </c>
      <c r="F759" s="563">
        <v>25000</v>
      </c>
      <c r="G759" s="87">
        <f t="shared" si="11"/>
        <v>0</v>
      </c>
      <c r="H759" s="509"/>
      <c r="I759" s="525"/>
    </row>
    <row r="760" spans="1:9" s="681" customFormat="1" ht="15.75" x14ac:dyDescent="0.25">
      <c r="A760" s="87"/>
      <c r="B760" s="87" t="s">
        <v>1253</v>
      </c>
      <c r="C760" s="555" t="s">
        <v>1285</v>
      </c>
      <c r="D760" s="563">
        <v>12000</v>
      </c>
      <c r="E760" s="573">
        <v>133</v>
      </c>
      <c r="F760" s="563">
        <v>12000</v>
      </c>
      <c r="G760" s="87">
        <f t="shared" si="11"/>
        <v>0</v>
      </c>
      <c r="H760" s="509"/>
      <c r="I760" s="525"/>
    </row>
    <row r="761" spans="1:9" s="681" customFormat="1" ht="15.75" x14ac:dyDescent="0.25">
      <c r="A761" s="87"/>
      <c r="B761" s="87" t="s">
        <v>1253</v>
      </c>
      <c r="C761" s="555" t="s">
        <v>1316</v>
      </c>
      <c r="D761" s="563">
        <v>14000</v>
      </c>
      <c r="E761" s="573">
        <v>155</v>
      </c>
      <c r="F761" s="563">
        <v>14000</v>
      </c>
      <c r="G761" s="87">
        <f t="shared" si="11"/>
        <v>0</v>
      </c>
      <c r="H761" s="509"/>
      <c r="I761" s="525"/>
    </row>
    <row r="762" spans="1:9" s="681" customFormat="1" ht="15.75" x14ac:dyDescent="0.25">
      <c r="A762" s="87"/>
      <c r="B762" s="87" t="s">
        <v>1253</v>
      </c>
      <c r="C762" s="555" t="s">
        <v>1477</v>
      </c>
      <c r="D762" s="563">
        <v>26000</v>
      </c>
      <c r="E762" s="573">
        <v>289</v>
      </c>
      <c r="F762" s="563">
        <v>26000</v>
      </c>
      <c r="G762" s="87">
        <f t="shared" si="11"/>
        <v>0</v>
      </c>
      <c r="H762" s="509"/>
      <c r="I762" s="525"/>
    </row>
    <row r="763" spans="1:9" s="681" customFormat="1" ht="15.75" x14ac:dyDescent="0.25">
      <c r="A763" s="87"/>
      <c r="B763" s="87" t="s">
        <v>1253</v>
      </c>
      <c r="C763" s="555" t="s">
        <v>1478</v>
      </c>
      <c r="D763" s="563">
        <v>26000</v>
      </c>
      <c r="E763" s="573">
        <v>289</v>
      </c>
      <c r="F763" s="563">
        <v>26000</v>
      </c>
      <c r="G763" s="87">
        <f t="shared" si="11"/>
        <v>0</v>
      </c>
      <c r="H763" s="509"/>
      <c r="I763" s="525"/>
    </row>
    <row r="764" spans="1:9" s="681" customFormat="1" ht="15.75" x14ac:dyDescent="0.25">
      <c r="A764" s="87"/>
      <c r="B764" s="87" t="s">
        <v>1253</v>
      </c>
      <c r="C764" s="555" t="s">
        <v>1479</v>
      </c>
      <c r="D764" s="563">
        <v>26000</v>
      </c>
      <c r="E764" s="573">
        <v>289</v>
      </c>
      <c r="F764" s="563">
        <v>26000</v>
      </c>
      <c r="G764" s="87">
        <f t="shared" si="11"/>
        <v>0</v>
      </c>
      <c r="H764" s="509"/>
      <c r="I764" s="525"/>
    </row>
    <row r="765" spans="1:9" s="681" customFormat="1" ht="15.75" x14ac:dyDescent="0.25">
      <c r="A765" s="87"/>
      <c r="B765" s="87" t="s">
        <v>1253</v>
      </c>
      <c r="C765" s="555" t="s">
        <v>1231</v>
      </c>
      <c r="D765" s="563">
        <v>20000</v>
      </c>
      <c r="E765" s="573">
        <v>222</v>
      </c>
      <c r="F765" s="563">
        <v>20000</v>
      </c>
      <c r="G765" s="87">
        <f t="shared" si="11"/>
        <v>0</v>
      </c>
      <c r="H765" s="509"/>
      <c r="I765" s="525"/>
    </row>
    <row r="766" spans="1:9" s="681" customFormat="1" ht="15.75" x14ac:dyDescent="0.25">
      <c r="A766" s="87"/>
      <c r="B766" s="87" t="s">
        <v>1253</v>
      </c>
      <c r="C766" s="555" t="s">
        <v>1268</v>
      </c>
      <c r="D766" s="563">
        <v>20000</v>
      </c>
      <c r="E766" s="573">
        <v>222</v>
      </c>
      <c r="F766" s="563">
        <v>20000</v>
      </c>
      <c r="G766" s="87">
        <f t="shared" ref="G766:G829" si="12">D766-F766</f>
        <v>0</v>
      </c>
      <c r="H766" s="509"/>
      <c r="I766" s="525"/>
    </row>
    <row r="767" spans="1:9" s="681" customFormat="1" ht="15.75" x14ac:dyDescent="0.25">
      <c r="A767" s="87"/>
      <c r="B767" s="87" t="s">
        <v>1253</v>
      </c>
      <c r="C767" s="555" t="s">
        <v>1291</v>
      </c>
      <c r="D767" s="563">
        <v>10000</v>
      </c>
      <c r="E767" s="573">
        <v>111</v>
      </c>
      <c r="F767" s="563">
        <v>10000</v>
      </c>
      <c r="G767" s="87">
        <f t="shared" si="12"/>
        <v>0</v>
      </c>
      <c r="H767" s="509"/>
      <c r="I767" s="525"/>
    </row>
    <row r="768" spans="1:9" s="681" customFormat="1" ht="15.75" x14ac:dyDescent="0.25">
      <c r="A768" s="87"/>
      <c r="B768" s="87" t="s">
        <v>1253</v>
      </c>
      <c r="C768" s="555" t="s">
        <v>1480</v>
      </c>
      <c r="D768" s="563">
        <v>15000</v>
      </c>
      <c r="E768" s="573">
        <v>167</v>
      </c>
      <c r="F768" s="563">
        <v>15000</v>
      </c>
      <c r="G768" s="87">
        <f t="shared" si="12"/>
        <v>0</v>
      </c>
      <c r="H768" s="509"/>
      <c r="I768" s="525"/>
    </row>
    <row r="769" spans="1:9" s="681" customFormat="1" ht="15.75" x14ac:dyDescent="0.25">
      <c r="A769" s="87"/>
      <c r="B769" s="87" t="s">
        <v>1253</v>
      </c>
      <c r="C769" s="555" t="s">
        <v>1481</v>
      </c>
      <c r="D769" s="563">
        <v>32000</v>
      </c>
      <c r="E769" s="573">
        <v>356</v>
      </c>
      <c r="F769" s="563">
        <v>32000</v>
      </c>
      <c r="G769" s="87">
        <f t="shared" si="12"/>
        <v>0</v>
      </c>
      <c r="H769" s="509"/>
      <c r="I769" s="525"/>
    </row>
    <row r="770" spans="1:9" s="681" customFormat="1" ht="15.75" x14ac:dyDescent="0.25">
      <c r="A770" s="87"/>
      <c r="B770" s="87" t="s">
        <v>1253</v>
      </c>
      <c r="C770" s="555" t="s">
        <v>1482</v>
      </c>
      <c r="D770" s="563">
        <v>5000</v>
      </c>
      <c r="E770" s="573">
        <v>55</v>
      </c>
      <c r="F770" s="563">
        <v>5000</v>
      </c>
      <c r="G770" s="87">
        <f t="shared" si="12"/>
        <v>0</v>
      </c>
      <c r="H770" s="509"/>
      <c r="I770" s="525"/>
    </row>
    <row r="771" spans="1:9" s="681" customFormat="1" ht="15.75" x14ac:dyDescent="0.25">
      <c r="A771" s="87"/>
      <c r="B771" s="87" t="s">
        <v>1253</v>
      </c>
      <c r="C771" s="555" t="s">
        <v>1269</v>
      </c>
      <c r="D771" s="563">
        <v>19000</v>
      </c>
      <c r="E771" s="573">
        <v>211</v>
      </c>
      <c r="F771" s="563">
        <v>19000</v>
      </c>
      <c r="G771" s="87">
        <f t="shared" si="12"/>
        <v>0</v>
      </c>
      <c r="H771" s="509"/>
      <c r="I771" s="525"/>
    </row>
    <row r="772" spans="1:9" s="681" customFormat="1" ht="15.75" x14ac:dyDescent="0.25">
      <c r="A772" s="87"/>
      <c r="B772" s="87" t="s">
        <v>1253</v>
      </c>
      <c r="C772" s="555" t="s">
        <v>30</v>
      </c>
      <c r="D772" s="563">
        <v>10000</v>
      </c>
      <c r="E772" s="573">
        <v>89</v>
      </c>
      <c r="F772" s="563">
        <v>10000</v>
      </c>
      <c r="G772" s="87">
        <f t="shared" si="12"/>
        <v>0</v>
      </c>
      <c r="H772" s="509"/>
      <c r="I772" s="525"/>
    </row>
    <row r="773" spans="1:9" s="681" customFormat="1" ht="15.75" x14ac:dyDescent="0.25">
      <c r="A773" s="87"/>
      <c r="B773" s="87" t="s">
        <v>1253</v>
      </c>
      <c r="C773" s="555" t="s">
        <v>1483</v>
      </c>
      <c r="D773" s="563">
        <v>15000</v>
      </c>
      <c r="E773" s="573">
        <v>167</v>
      </c>
      <c r="F773" s="563">
        <v>15000</v>
      </c>
      <c r="G773" s="87">
        <f t="shared" si="12"/>
        <v>0</v>
      </c>
      <c r="H773" s="509"/>
      <c r="I773" s="525"/>
    </row>
    <row r="774" spans="1:9" s="681" customFormat="1" ht="15.75" x14ac:dyDescent="0.25">
      <c r="A774" s="87"/>
      <c r="B774" s="87" t="s">
        <v>1253</v>
      </c>
      <c r="C774" s="555" t="s">
        <v>1484</v>
      </c>
      <c r="D774" s="563">
        <v>9000</v>
      </c>
      <c r="E774" s="573">
        <v>100</v>
      </c>
      <c r="F774" s="563">
        <v>9000</v>
      </c>
      <c r="G774" s="87">
        <f t="shared" si="12"/>
        <v>0</v>
      </c>
      <c r="H774" s="509"/>
      <c r="I774" s="525"/>
    </row>
    <row r="775" spans="1:9" s="681" customFormat="1" ht="15.75" x14ac:dyDescent="0.25">
      <c r="A775" s="87"/>
      <c r="B775" s="87" t="s">
        <v>1253</v>
      </c>
      <c r="C775" s="555" t="s">
        <v>1326</v>
      </c>
      <c r="D775" s="563">
        <v>21000</v>
      </c>
      <c r="E775" s="573">
        <v>233</v>
      </c>
      <c r="F775" s="563">
        <v>21000</v>
      </c>
      <c r="G775" s="87">
        <f t="shared" si="12"/>
        <v>0</v>
      </c>
      <c r="H775" s="509"/>
      <c r="I775" s="525"/>
    </row>
    <row r="776" spans="1:9" s="681" customFormat="1" ht="15.75" x14ac:dyDescent="0.25">
      <c r="A776" s="87"/>
      <c r="B776" s="87" t="s">
        <v>1253</v>
      </c>
      <c r="C776" s="555" t="s">
        <v>1281</v>
      </c>
      <c r="D776" s="563">
        <v>18000</v>
      </c>
      <c r="E776" s="573">
        <v>200</v>
      </c>
      <c r="F776" s="563">
        <v>18000</v>
      </c>
      <c r="G776" s="87">
        <f t="shared" si="12"/>
        <v>0</v>
      </c>
      <c r="H776" s="509"/>
      <c r="I776" s="525"/>
    </row>
    <row r="777" spans="1:9" s="681" customFormat="1" ht="15.75" x14ac:dyDescent="0.25">
      <c r="A777" s="87"/>
      <c r="B777" s="87" t="s">
        <v>1253</v>
      </c>
      <c r="C777" s="555" t="s">
        <v>1485</v>
      </c>
      <c r="D777" s="563">
        <v>16500</v>
      </c>
      <c r="E777" s="573">
        <v>183</v>
      </c>
      <c r="F777" s="563">
        <v>16500</v>
      </c>
      <c r="G777" s="87">
        <f t="shared" si="12"/>
        <v>0</v>
      </c>
      <c r="H777" s="509"/>
      <c r="I777" s="525"/>
    </row>
    <row r="778" spans="1:9" s="681" customFormat="1" ht="15.75" x14ac:dyDescent="0.25">
      <c r="A778" s="87"/>
      <c r="B778" s="87" t="s">
        <v>1253</v>
      </c>
      <c r="C778" s="555">
        <v>5252</v>
      </c>
      <c r="D778" s="563">
        <v>17000</v>
      </c>
      <c r="E778" s="573">
        <v>189</v>
      </c>
      <c r="F778" s="563">
        <v>17000</v>
      </c>
      <c r="G778" s="87">
        <f t="shared" si="12"/>
        <v>0</v>
      </c>
      <c r="H778" s="509"/>
      <c r="I778" s="525"/>
    </row>
    <row r="779" spans="1:9" s="681" customFormat="1" ht="15.75" x14ac:dyDescent="0.25">
      <c r="A779" s="87"/>
      <c r="B779" s="87" t="s">
        <v>1253</v>
      </c>
      <c r="C779" s="555" t="s">
        <v>1486</v>
      </c>
      <c r="D779" s="563">
        <v>17000</v>
      </c>
      <c r="E779" s="573">
        <v>189</v>
      </c>
      <c r="F779" s="563">
        <v>17000</v>
      </c>
      <c r="G779" s="87">
        <f t="shared" si="12"/>
        <v>0</v>
      </c>
      <c r="H779" s="509"/>
      <c r="I779" s="525"/>
    </row>
    <row r="780" spans="1:9" s="681" customFormat="1" ht="15.75" x14ac:dyDescent="0.25">
      <c r="A780" s="87"/>
      <c r="B780" s="87" t="s">
        <v>1253</v>
      </c>
      <c r="C780" s="555" t="s">
        <v>1487</v>
      </c>
      <c r="D780" s="563">
        <v>20000</v>
      </c>
      <c r="E780" s="573">
        <v>222</v>
      </c>
      <c r="F780" s="563">
        <v>20000</v>
      </c>
      <c r="G780" s="87">
        <f t="shared" si="12"/>
        <v>0</v>
      </c>
      <c r="H780" s="509"/>
      <c r="I780" s="525"/>
    </row>
    <row r="781" spans="1:9" s="681" customFormat="1" ht="15.75" x14ac:dyDescent="0.25">
      <c r="A781" s="87"/>
      <c r="B781" s="87" t="s">
        <v>1253</v>
      </c>
      <c r="C781" s="555" t="s">
        <v>30</v>
      </c>
      <c r="D781" s="563">
        <v>5000</v>
      </c>
      <c r="E781" s="573">
        <v>55</v>
      </c>
      <c r="F781" s="563">
        <v>5000</v>
      </c>
      <c r="G781" s="87">
        <f t="shared" si="12"/>
        <v>0</v>
      </c>
      <c r="H781" s="509"/>
      <c r="I781" s="525"/>
    </row>
    <row r="782" spans="1:9" s="681" customFormat="1" ht="15.75" x14ac:dyDescent="0.25">
      <c r="A782" s="87"/>
      <c r="B782" s="87" t="s">
        <v>1253</v>
      </c>
      <c r="C782" s="555" t="s">
        <v>1299</v>
      </c>
      <c r="D782" s="563">
        <v>10000</v>
      </c>
      <c r="E782" s="573">
        <v>111</v>
      </c>
      <c r="F782" s="563">
        <v>10000</v>
      </c>
      <c r="G782" s="87">
        <f t="shared" si="12"/>
        <v>0</v>
      </c>
      <c r="H782" s="509"/>
      <c r="I782" s="525"/>
    </row>
    <row r="783" spans="1:9" s="681" customFormat="1" ht="15.75" x14ac:dyDescent="0.25">
      <c r="A783" s="87"/>
      <c r="B783" s="87" t="s">
        <v>1253</v>
      </c>
      <c r="C783" s="555" t="s">
        <v>1488</v>
      </c>
      <c r="D783" s="563">
        <v>10000</v>
      </c>
      <c r="E783" s="573">
        <v>111</v>
      </c>
      <c r="F783" s="563">
        <v>10000</v>
      </c>
      <c r="G783" s="87">
        <f t="shared" si="12"/>
        <v>0</v>
      </c>
      <c r="H783" s="509"/>
      <c r="I783" s="525"/>
    </row>
    <row r="784" spans="1:9" s="681" customFormat="1" ht="15.75" x14ac:dyDescent="0.25">
      <c r="A784" s="87"/>
      <c r="B784" s="87" t="s">
        <v>1253</v>
      </c>
      <c r="C784" s="555" t="s">
        <v>1289</v>
      </c>
      <c r="D784" s="563">
        <v>15000</v>
      </c>
      <c r="E784" s="573">
        <v>167</v>
      </c>
      <c r="F784" s="563">
        <v>15000</v>
      </c>
      <c r="G784" s="87">
        <f t="shared" si="12"/>
        <v>0</v>
      </c>
      <c r="H784" s="509"/>
      <c r="I784" s="525"/>
    </row>
    <row r="785" spans="1:9" s="681" customFormat="1" ht="15.75" x14ac:dyDescent="0.25">
      <c r="A785" s="87"/>
      <c r="B785" s="87" t="s">
        <v>1253</v>
      </c>
      <c r="C785" s="555" t="s">
        <v>1225</v>
      </c>
      <c r="D785" s="563">
        <v>15000</v>
      </c>
      <c r="E785" s="573">
        <v>167</v>
      </c>
      <c r="F785" s="563">
        <v>15000</v>
      </c>
      <c r="G785" s="87">
        <f t="shared" si="12"/>
        <v>0</v>
      </c>
      <c r="H785" s="509"/>
      <c r="I785" s="525"/>
    </row>
    <row r="786" spans="1:9" s="681" customFormat="1" ht="15.75" x14ac:dyDescent="0.25">
      <c r="A786" s="87"/>
      <c r="B786" s="87" t="s">
        <v>1253</v>
      </c>
      <c r="C786" s="555" t="s">
        <v>1354</v>
      </c>
      <c r="D786" s="563">
        <v>16000</v>
      </c>
      <c r="E786" s="573">
        <v>178</v>
      </c>
      <c r="F786" s="563">
        <v>16000</v>
      </c>
      <c r="G786" s="87">
        <f t="shared" si="12"/>
        <v>0</v>
      </c>
      <c r="H786" s="509"/>
      <c r="I786" s="525"/>
    </row>
    <row r="787" spans="1:9" s="681" customFormat="1" ht="15.75" x14ac:dyDescent="0.25">
      <c r="A787" s="87"/>
      <c r="B787" s="87" t="s">
        <v>1253</v>
      </c>
      <c r="C787" s="555" t="s">
        <v>1489</v>
      </c>
      <c r="D787" s="563">
        <v>15000</v>
      </c>
      <c r="E787" s="573">
        <v>167</v>
      </c>
      <c r="F787" s="563">
        <v>15000</v>
      </c>
      <c r="G787" s="87">
        <f t="shared" si="12"/>
        <v>0</v>
      </c>
      <c r="H787" s="509"/>
      <c r="I787" s="525"/>
    </row>
    <row r="788" spans="1:9" s="681" customFormat="1" ht="15.75" x14ac:dyDescent="0.25">
      <c r="A788" s="87"/>
      <c r="B788" s="87" t="s">
        <v>1253</v>
      </c>
      <c r="C788" s="555" t="s">
        <v>1490</v>
      </c>
      <c r="D788" s="563">
        <v>23000</v>
      </c>
      <c r="E788" s="573">
        <v>256</v>
      </c>
      <c r="F788" s="563">
        <v>23000</v>
      </c>
      <c r="G788" s="87">
        <f t="shared" si="12"/>
        <v>0</v>
      </c>
      <c r="H788" s="509"/>
      <c r="I788" s="525"/>
    </row>
    <row r="789" spans="1:9" s="681" customFormat="1" ht="15.75" x14ac:dyDescent="0.25">
      <c r="A789" s="87"/>
      <c r="B789" s="87" t="s">
        <v>1253</v>
      </c>
      <c r="C789" s="555" t="s">
        <v>1266</v>
      </c>
      <c r="D789" s="563">
        <v>15000</v>
      </c>
      <c r="E789" s="573">
        <v>167</v>
      </c>
      <c r="F789" s="563">
        <v>15000</v>
      </c>
      <c r="G789" s="87">
        <f t="shared" si="12"/>
        <v>0</v>
      </c>
      <c r="H789" s="509"/>
      <c r="I789" s="525"/>
    </row>
    <row r="790" spans="1:9" s="681" customFormat="1" ht="15.75" x14ac:dyDescent="0.25">
      <c r="A790" s="87"/>
      <c r="B790" s="87" t="s">
        <v>1253</v>
      </c>
      <c r="C790" s="555" t="s">
        <v>1358</v>
      </c>
      <c r="D790" s="563">
        <v>14000</v>
      </c>
      <c r="E790" s="573">
        <v>155</v>
      </c>
      <c r="F790" s="563">
        <v>14000</v>
      </c>
      <c r="G790" s="87">
        <f t="shared" si="12"/>
        <v>0</v>
      </c>
      <c r="H790" s="509"/>
      <c r="I790" s="525"/>
    </row>
    <row r="791" spans="1:9" s="681" customFormat="1" ht="15.75" x14ac:dyDescent="0.25">
      <c r="A791" s="87"/>
      <c r="B791" s="87" t="s">
        <v>1253</v>
      </c>
      <c r="C791" s="555" t="s">
        <v>1309</v>
      </c>
      <c r="D791" s="563">
        <v>10000</v>
      </c>
      <c r="E791" s="573">
        <v>111</v>
      </c>
      <c r="F791" s="563">
        <v>10000</v>
      </c>
      <c r="G791" s="87">
        <f t="shared" si="12"/>
        <v>0</v>
      </c>
      <c r="H791" s="509"/>
      <c r="I791" s="525"/>
    </row>
    <row r="792" spans="1:9" s="681" customFormat="1" ht="15.75" x14ac:dyDescent="0.25">
      <c r="A792" s="87"/>
      <c r="B792" s="87" t="s">
        <v>1253</v>
      </c>
      <c r="C792" s="555" t="s">
        <v>1328</v>
      </c>
      <c r="D792" s="563">
        <v>14000</v>
      </c>
      <c r="E792" s="573">
        <v>155</v>
      </c>
      <c r="F792" s="563">
        <v>14000</v>
      </c>
      <c r="G792" s="87">
        <f t="shared" si="12"/>
        <v>0</v>
      </c>
      <c r="H792" s="509"/>
      <c r="I792" s="525"/>
    </row>
    <row r="793" spans="1:9" s="681" customFormat="1" ht="15.75" x14ac:dyDescent="0.25">
      <c r="A793" s="87"/>
      <c r="B793" s="87" t="s">
        <v>1253</v>
      </c>
      <c r="C793" s="555" t="s">
        <v>1238</v>
      </c>
      <c r="D793" s="563">
        <v>14000</v>
      </c>
      <c r="E793" s="573">
        <v>155</v>
      </c>
      <c r="F793" s="563">
        <v>14000</v>
      </c>
      <c r="G793" s="87">
        <f t="shared" si="12"/>
        <v>0</v>
      </c>
      <c r="H793" s="509"/>
      <c r="I793" s="525"/>
    </row>
    <row r="794" spans="1:9" s="681" customFormat="1" ht="15.75" x14ac:dyDescent="0.25">
      <c r="A794" s="87"/>
      <c r="B794" s="87" t="s">
        <v>1253</v>
      </c>
      <c r="C794" s="555" t="s">
        <v>1273</v>
      </c>
      <c r="D794" s="563">
        <v>15000</v>
      </c>
      <c r="E794" s="573">
        <v>150</v>
      </c>
      <c r="F794" s="563">
        <v>15000</v>
      </c>
      <c r="G794" s="87">
        <f t="shared" si="12"/>
        <v>0</v>
      </c>
      <c r="H794" s="509"/>
      <c r="I794" s="525"/>
    </row>
    <row r="795" spans="1:9" s="681" customFormat="1" ht="15.75" x14ac:dyDescent="0.25">
      <c r="A795" s="87"/>
      <c r="B795" s="87" t="s">
        <v>1253</v>
      </c>
      <c r="C795" s="555" t="s">
        <v>1491</v>
      </c>
      <c r="D795" s="563">
        <v>30000</v>
      </c>
      <c r="E795" s="573">
        <v>284</v>
      </c>
      <c r="F795" s="563">
        <v>30000</v>
      </c>
      <c r="G795" s="87">
        <f t="shared" si="12"/>
        <v>0</v>
      </c>
      <c r="H795" s="509"/>
      <c r="I795" s="525"/>
    </row>
    <row r="796" spans="1:9" s="681" customFormat="1" ht="15.75" x14ac:dyDescent="0.25">
      <c r="A796" s="87"/>
      <c r="B796" s="87" t="s">
        <v>1253</v>
      </c>
      <c r="C796" s="555" t="s">
        <v>1492</v>
      </c>
      <c r="D796" s="563">
        <v>20000</v>
      </c>
      <c r="E796" s="573">
        <v>211</v>
      </c>
      <c r="F796" s="563">
        <v>20000</v>
      </c>
      <c r="G796" s="87">
        <f t="shared" si="12"/>
        <v>0</v>
      </c>
      <c r="H796" s="509"/>
      <c r="I796" s="525"/>
    </row>
    <row r="797" spans="1:9" s="681" customFormat="1" ht="15.75" x14ac:dyDescent="0.25">
      <c r="A797" s="87"/>
      <c r="B797" s="87" t="s">
        <v>1253</v>
      </c>
      <c r="C797" s="555" t="s">
        <v>1493</v>
      </c>
      <c r="D797" s="563">
        <v>15000</v>
      </c>
      <c r="E797" s="573">
        <v>167</v>
      </c>
      <c r="F797" s="563">
        <v>15000</v>
      </c>
      <c r="G797" s="87">
        <f t="shared" si="12"/>
        <v>0</v>
      </c>
      <c r="H797" s="509"/>
      <c r="I797" s="525"/>
    </row>
    <row r="798" spans="1:9" s="681" customFormat="1" ht="15.75" x14ac:dyDescent="0.25">
      <c r="A798" s="87"/>
      <c r="B798" s="87" t="s">
        <v>1253</v>
      </c>
      <c r="C798" s="555" t="s">
        <v>1494</v>
      </c>
      <c r="D798" s="563">
        <v>30000</v>
      </c>
      <c r="E798" s="573">
        <v>334</v>
      </c>
      <c r="F798" s="563">
        <v>30000</v>
      </c>
      <c r="G798" s="87">
        <f t="shared" si="12"/>
        <v>0</v>
      </c>
      <c r="H798" s="509"/>
      <c r="I798" s="525"/>
    </row>
    <row r="799" spans="1:9" s="681" customFormat="1" ht="15.75" x14ac:dyDescent="0.25">
      <c r="A799" s="87"/>
      <c r="B799" s="87" t="s">
        <v>1253</v>
      </c>
      <c r="C799" s="555" t="s">
        <v>1495</v>
      </c>
      <c r="D799" s="563">
        <v>25000</v>
      </c>
      <c r="E799" s="573">
        <v>278</v>
      </c>
      <c r="F799" s="563">
        <v>25000</v>
      </c>
      <c r="G799" s="87">
        <f t="shared" si="12"/>
        <v>0</v>
      </c>
      <c r="H799" s="509"/>
      <c r="I799" s="525"/>
    </row>
    <row r="800" spans="1:9" s="681" customFormat="1" ht="15.75" x14ac:dyDescent="0.25">
      <c r="A800" s="87"/>
      <c r="B800" s="87" t="s">
        <v>1253</v>
      </c>
      <c r="C800" s="555" t="s">
        <v>66</v>
      </c>
      <c r="D800" s="563">
        <v>120</v>
      </c>
      <c r="E800" s="573" t="s">
        <v>66</v>
      </c>
      <c r="F800" s="563">
        <v>120</v>
      </c>
      <c r="G800" s="87">
        <f t="shared" si="12"/>
        <v>0</v>
      </c>
      <c r="H800" s="509"/>
      <c r="I800" s="525"/>
    </row>
    <row r="801" spans="1:9" s="681" customFormat="1" ht="15.75" x14ac:dyDescent="0.25">
      <c r="A801" s="87"/>
      <c r="B801" s="87" t="s">
        <v>1253</v>
      </c>
      <c r="C801" s="555" t="s">
        <v>1496</v>
      </c>
      <c r="D801" s="563">
        <v>14000</v>
      </c>
      <c r="E801" s="573">
        <v>155</v>
      </c>
      <c r="F801" s="563">
        <v>14000</v>
      </c>
      <c r="G801" s="87">
        <f t="shared" si="12"/>
        <v>0</v>
      </c>
      <c r="H801" s="509"/>
      <c r="I801" s="525"/>
    </row>
    <row r="802" spans="1:9" s="681" customFormat="1" ht="15.75" x14ac:dyDescent="0.25">
      <c r="A802" s="87"/>
      <c r="B802" s="87" t="s">
        <v>1254</v>
      </c>
      <c r="C802" s="555" t="s">
        <v>1497</v>
      </c>
      <c r="D802" s="563">
        <v>25000</v>
      </c>
      <c r="E802" s="573">
        <v>278</v>
      </c>
      <c r="F802" s="563">
        <v>25000</v>
      </c>
      <c r="G802" s="87">
        <f t="shared" si="12"/>
        <v>0</v>
      </c>
      <c r="H802" s="509"/>
      <c r="I802" s="525"/>
    </row>
    <row r="803" spans="1:9" s="681" customFormat="1" ht="15.75" x14ac:dyDescent="0.25">
      <c r="A803" s="87"/>
      <c r="B803" s="87" t="s">
        <v>1254</v>
      </c>
      <c r="C803" s="555" t="s">
        <v>1296</v>
      </c>
      <c r="D803" s="563">
        <v>25000</v>
      </c>
      <c r="E803" s="573">
        <v>278</v>
      </c>
      <c r="F803" s="563">
        <v>25000</v>
      </c>
      <c r="G803" s="87">
        <f t="shared" si="12"/>
        <v>0</v>
      </c>
      <c r="H803" s="509"/>
      <c r="I803" s="525"/>
    </row>
    <row r="804" spans="1:9" s="681" customFormat="1" ht="15.75" x14ac:dyDescent="0.25">
      <c r="A804" s="87"/>
      <c r="B804" s="87" t="s">
        <v>1254</v>
      </c>
      <c r="C804" s="555" t="s">
        <v>1498</v>
      </c>
      <c r="D804" s="563">
        <v>15000</v>
      </c>
      <c r="E804" s="573">
        <v>167</v>
      </c>
      <c r="F804" s="563">
        <v>15000</v>
      </c>
      <c r="G804" s="87">
        <f t="shared" si="12"/>
        <v>0</v>
      </c>
      <c r="H804" s="509"/>
      <c r="I804" s="525"/>
    </row>
    <row r="805" spans="1:9" s="681" customFormat="1" ht="15.75" x14ac:dyDescent="0.25">
      <c r="A805" s="87"/>
      <c r="B805" s="87" t="s">
        <v>1254</v>
      </c>
      <c r="C805" s="555" t="s">
        <v>1290</v>
      </c>
      <c r="D805" s="563">
        <v>15000</v>
      </c>
      <c r="E805" s="573">
        <v>167</v>
      </c>
      <c r="F805" s="563">
        <v>15000</v>
      </c>
      <c r="G805" s="87">
        <f t="shared" si="12"/>
        <v>0</v>
      </c>
      <c r="H805" s="509"/>
      <c r="I805" s="525"/>
    </row>
    <row r="806" spans="1:9" s="681" customFormat="1" ht="15.75" x14ac:dyDescent="0.25">
      <c r="A806" s="87"/>
      <c r="B806" s="87" t="s">
        <v>1254</v>
      </c>
      <c r="C806" s="555" t="s">
        <v>1499</v>
      </c>
      <c r="D806" s="563">
        <v>15000</v>
      </c>
      <c r="E806" s="573">
        <v>167</v>
      </c>
      <c r="F806" s="563">
        <v>15000</v>
      </c>
      <c r="G806" s="87">
        <f t="shared" si="12"/>
        <v>0</v>
      </c>
      <c r="H806" s="509"/>
      <c r="I806" s="525"/>
    </row>
    <row r="807" spans="1:9" s="681" customFormat="1" ht="15.75" x14ac:dyDescent="0.25">
      <c r="A807" s="87"/>
      <c r="B807" s="87" t="s">
        <v>1254</v>
      </c>
      <c r="C807" s="555" t="s">
        <v>1284</v>
      </c>
      <c r="D807" s="563">
        <v>12000</v>
      </c>
      <c r="E807" s="573">
        <v>133</v>
      </c>
      <c r="F807" s="563">
        <v>12000</v>
      </c>
      <c r="G807" s="87">
        <f t="shared" si="12"/>
        <v>0</v>
      </c>
      <c r="H807" s="509"/>
      <c r="I807" s="525"/>
    </row>
    <row r="808" spans="1:9" s="681" customFormat="1" ht="15.75" x14ac:dyDescent="0.25">
      <c r="A808" s="87"/>
      <c r="B808" s="87" t="s">
        <v>1254</v>
      </c>
      <c r="C808" s="555" t="s">
        <v>1500</v>
      </c>
      <c r="D808" s="563">
        <v>12000</v>
      </c>
      <c r="E808" s="573">
        <v>133</v>
      </c>
      <c r="F808" s="563">
        <v>12000</v>
      </c>
      <c r="G808" s="87">
        <f t="shared" si="12"/>
        <v>0</v>
      </c>
      <c r="H808" s="509"/>
      <c r="I808" s="525"/>
    </row>
    <row r="809" spans="1:9" s="681" customFormat="1" ht="15.75" x14ac:dyDescent="0.25">
      <c r="A809" s="87"/>
      <c r="B809" s="87" t="s">
        <v>1254</v>
      </c>
      <c r="C809" s="555" t="s">
        <v>1501</v>
      </c>
      <c r="D809" s="563">
        <v>25000</v>
      </c>
      <c r="E809" s="573">
        <v>278</v>
      </c>
      <c r="F809" s="563">
        <v>25000</v>
      </c>
      <c r="G809" s="87">
        <f t="shared" si="12"/>
        <v>0</v>
      </c>
      <c r="H809" s="509"/>
      <c r="I809" s="525"/>
    </row>
    <row r="810" spans="1:9" s="681" customFormat="1" ht="15.75" x14ac:dyDescent="0.25">
      <c r="A810" s="87"/>
      <c r="B810" s="87" t="s">
        <v>1254</v>
      </c>
      <c r="C810" s="555" t="s">
        <v>1371</v>
      </c>
      <c r="D810" s="563">
        <v>13000</v>
      </c>
      <c r="E810" s="573">
        <v>138</v>
      </c>
      <c r="F810" s="563">
        <v>13000</v>
      </c>
      <c r="G810" s="87">
        <f t="shared" si="12"/>
        <v>0</v>
      </c>
      <c r="H810" s="509"/>
      <c r="I810" s="525"/>
    </row>
    <row r="811" spans="1:9" s="681" customFormat="1" ht="15.75" x14ac:dyDescent="0.25">
      <c r="A811" s="87"/>
      <c r="B811" s="87" t="s">
        <v>1254</v>
      </c>
      <c r="C811" s="555" t="s">
        <v>1502</v>
      </c>
      <c r="D811" s="563">
        <v>21000</v>
      </c>
      <c r="E811" s="573">
        <v>233</v>
      </c>
      <c r="F811" s="563">
        <v>21000</v>
      </c>
      <c r="G811" s="87">
        <f t="shared" si="12"/>
        <v>0</v>
      </c>
      <c r="H811" s="509"/>
      <c r="I811" s="525"/>
    </row>
    <row r="812" spans="1:9" s="681" customFormat="1" ht="15.75" x14ac:dyDescent="0.25">
      <c r="A812" s="87"/>
      <c r="B812" s="87" t="s">
        <v>1254</v>
      </c>
      <c r="C812" s="555" t="s">
        <v>1503</v>
      </c>
      <c r="D812" s="563">
        <v>21000</v>
      </c>
      <c r="E812" s="573">
        <v>233</v>
      </c>
      <c r="F812" s="563">
        <v>21000</v>
      </c>
      <c r="G812" s="87">
        <f t="shared" si="12"/>
        <v>0</v>
      </c>
      <c r="H812" s="509"/>
      <c r="I812" s="525"/>
    </row>
    <row r="813" spans="1:9" s="681" customFormat="1" ht="15.75" x14ac:dyDescent="0.25">
      <c r="A813" s="87"/>
      <c r="B813" s="87" t="s">
        <v>1254</v>
      </c>
      <c r="C813" s="555" t="s">
        <v>1504</v>
      </c>
      <c r="D813" s="563">
        <v>26000</v>
      </c>
      <c r="E813" s="573">
        <v>289</v>
      </c>
      <c r="F813" s="563">
        <v>26000</v>
      </c>
      <c r="G813" s="87">
        <f t="shared" si="12"/>
        <v>0</v>
      </c>
      <c r="H813" s="509"/>
      <c r="I813" s="525"/>
    </row>
    <row r="814" spans="1:9" s="681" customFormat="1" ht="15.75" x14ac:dyDescent="0.25">
      <c r="A814" s="87"/>
      <c r="B814" s="87" t="s">
        <v>1254</v>
      </c>
      <c r="C814" s="555" t="s">
        <v>1505</v>
      </c>
      <c r="D814" s="563">
        <v>26000</v>
      </c>
      <c r="E814" s="573">
        <v>289</v>
      </c>
      <c r="F814" s="563">
        <v>26000</v>
      </c>
      <c r="G814" s="87">
        <f t="shared" si="12"/>
        <v>0</v>
      </c>
      <c r="H814" s="509"/>
      <c r="I814" s="525"/>
    </row>
    <row r="815" spans="1:9" s="681" customFormat="1" ht="15.75" x14ac:dyDescent="0.25">
      <c r="A815" s="87"/>
      <c r="B815" s="87" t="s">
        <v>1254</v>
      </c>
      <c r="C815" s="555" t="s">
        <v>1230</v>
      </c>
      <c r="D815" s="563">
        <v>20000</v>
      </c>
      <c r="E815" s="573">
        <v>222</v>
      </c>
      <c r="F815" s="563">
        <v>20000</v>
      </c>
      <c r="G815" s="87">
        <f t="shared" si="12"/>
        <v>0</v>
      </c>
      <c r="H815" s="509"/>
      <c r="I815" s="525"/>
    </row>
    <row r="816" spans="1:9" s="681" customFormat="1" ht="15.75" x14ac:dyDescent="0.25">
      <c r="A816" s="87"/>
      <c r="B816" s="87" t="s">
        <v>1254</v>
      </c>
      <c r="C816" s="555" t="s">
        <v>1275</v>
      </c>
      <c r="D816" s="563">
        <v>14000</v>
      </c>
      <c r="E816" s="573">
        <v>155</v>
      </c>
      <c r="F816" s="563">
        <v>14000</v>
      </c>
      <c r="G816" s="87">
        <f t="shared" si="12"/>
        <v>0</v>
      </c>
      <c r="H816" s="509"/>
      <c r="I816" s="525"/>
    </row>
    <row r="817" spans="1:9" s="681" customFormat="1" ht="15.75" x14ac:dyDescent="0.25">
      <c r="A817" s="87"/>
      <c r="B817" s="87" t="s">
        <v>1254</v>
      </c>
      <c r="C817" s="555" t="s">
        <v>1506</v>
      </c>
      <c r="D817" s="563">
        <v>18000</v>
      </c>
      <c r="E817" s="573">
        <v>200</v>
      </c>
      <c r="F817" s="563">
        <v>18000</v>
      </c>
      <c r="G817" s="87">
        <f t="shared" si="12"/>
        <v>0</v>
      </c>
      <c r="H817" s="509"/>
      <c r="I817" s="525"/>
    </row>
    <row r="818" spans="1:9" s="681" customFormat="1" ht="15.75" x14ac:dyDescent="0.25">
      <c r="A818" s="87"/>
      <c r="B818" s="87" t="s">
        <v>1254</v>
      </c>
      <c r="C818" s="555" t="s">
        <v>1507</v>
      </c>
      <c r="D818" s="563">
        <v>25000</v>
      </c>
      <c r="E818" s="573">
        <v>278</v>
      </c>
      <c r="F818" s="563">
        <v>25000</v>
      </c>
      <c r="G818" s="87">
        <f t="shared" si="12"/>
        <v>0</v>
      </c>
      <c r="H818" s="509"/>
      <c r="I818" s="525"/>
    </row>
    <row r="819" spans="1:9" s="681" customFormat="1" ht="15.75" x14ac:dyDescent="0.25">
      <c r="A819" s="87"/>
      <c r="B819" s="87" t="s">
        <v>1254</v>
      </c>
      <c r="C819" s="555" t="s">
        <v>1508</v>
      </c>
      <c r="D819" s="563">
        <v>28000</v>
      </c>
      <c r="E819" s="573">
        <v>300</v>
      </c>
      <c r="F819" s="563">
        <v>28000</v>
      </c>
      <c r="G819" s="87">
        <f t="shared" si="12"/>
        <v>0</v>
      </c>
      <c r="H819" s="509"/>
      <c r="I819" s="525"/>
    </row>
    <row r="820" spans="1:9" s="681" customFormat="1" ht="15.75" x14ac:dyDescent="0.25">
      <c r="A820" s="87"/>
      <c r="B820" s="87" t="s">
        <v>1254</v>
      </c>
      <c r="C820" s="555" t="s">
        <v>1274</v>
      </c>
      <c r="D820" s="563">
        <v>13500</v>
      </c>
      <c r="E820" s="573">
        <v>150</v>
      </c>
      <c r="F820" s="563">
        <v>13500</v>
      </c>
      <c r="G820" s="87">
        <f t="shared" si="12"/>
        <v>0</v>
      </c>
      <c r="H820" s="509"/>
      <c r="I820" s="525"/>
    </row>
    <row r="821" spans="1:9" s="681" customFormat="1" ht="15.75" x14ac:dyDescent="0.25">
      <c r="A821" s="87"/>
      <c r="B821" s="87" t="s">
        <v>1254</v>
      </c>
      <c r="C821" s="555" t="s">
        <v>1509</v>
      </c>
      <c r="D821" s="563">
        <v>6000</v>
      </c>
      <c r="E821" s="573">
        <v>66</v>
      </c>
      <c r="F821" s="563">
        <v>6000</v>
      </c>
      <c r="G821" s="87">
        <f t="shared" si="12"/>
        <v>0</v>
      </c>
      <c r="H821" s="509"/>
      <c r="I821" s="525"/>
    </row>
    <row r="822" spans="1:9" s="681" customFormat="1" ht="15.75" x14ac:dyDescent="0.25">
      <c r="A822" s="87"/>
      <c r="B822" s="87" t="s">
        <v>1254</v>
      </c>
      <c r="C822" s="555" t="s">
        <v>1510</v>
      </c>
      <c r="D822" s="563">
        <v>6500</v>
      </c>
      <c r="E822" s="573">
        <v>72</v>
      </c>
      <c r="F822" s="563">
        <v>6500</v>
      </c>
      <c r="G822" s="87">
        <f t="shared" si="12"/>
        <v>0</v>
      </c>
      <c r="H822" s="509"/>
      <c r="I822" s="525"/>
    </row>
    <row r="823" spans="1:9" s="681" customFormat="1" ht="15.75" x14ac:dyDescent="0.25">
      <c r="A823" s="87"/>
      <c r="B823" s="87" t="s">
        <v>1254</v>
      </c>
      <c r="C823" s="555" t="s">
        <v>1511</v>
      </c>
      <c r="D823" s="563">
        <v>15000</v>
      </c>
      <c r="E823" s="573">
        <v>167</v>
      </c>
      <c r="F823" s="563">
        <v>15000</v>
      </c>
      <c r="G823" s="87">
        <f t="shared" si="12"/>
        <v>0</v>
      </c>
      <c r="H823" s="509"/>
      <c r="I823" s="525"/>
    </row>
    <row r="824" spans="1:9" s="681" customFormat="1" ht="15.75" x14ac:dyDescent="0.25">
      <c r="A824" s="87"/>
      <c r="B824" s="87" t="s">
        <v>1254</v>
      </c>
      <c r="C824" s="555" t="s">
        <v>66</v>
      </c>
      <c r="D824" s="563">
        <v>210</v>
      </c>
      <c r="E824" s="573" t="s">
        <v>66</v>
      </c>
      <c r="F824" s="563">
        <v>210</v>
      </c>
      <c r="G824" s="87">
        <f t="shared" si="12"/>
        <v>0</v>
      </c>
      <c r="H824" s="509"/>
      <c r="I824" s="525"/>
    </row>
    <row r="825" spans="1:9" s="681" customFormat="1" ht="15.75" x14ac:dyDescent="0.25">
      <c r="A825" s="87"/>
      <c r="B825" s="87" t="s">
        <v>1254</v>
      </c>
      <c r="C825" s="555" t="s">
        <v>1512</v>
      </c>
      <c r="D825" s="563">
        <v>25000</v>
      </c>
      <c r="E825" s="573">
        <v>259</v>
      </c>
      <c r="F825" s="563">
        <v>25000</v>
      </c>
      <c r="G825" s="87">
        <f t="shared" si="12"/>
        <v>0</v>
      </c>
      <c r="H825" s="509"/>
      <c r="I825" s="525"/>
    </row>
    <row r="826" spans="1:9" s="681" customFormat="1" ht="15.75" x14ac:dyDescent="0.25">
      <c r="A826" s="87"/>
      <c r="B826" s="87" t="s">
        <v>1254</v>
      </c>
      <c r="C826" s="555" t="s">
        <v>1513</v>
      </c>
      <c r="D826" s="563">
        <v>24000</v>
      </c>
      <c r="E826" s="573">
        <v>267</v>
      </c>
      <c r="F826" s="563">
        <v>24000</v>
      </c>
      <c r="G826" s="87">
        <f t="shared" si="12"/>
        <v>0</v>
      </c>
      <c r="H826" s="509"/>
      <c r="I826" s="525"/>
    </row>
    <row r="827" spans="1:9" s="681" customFormat="1" ht="15.75" x14ac:dyDescent="0.25">
      <c r="A827" s="87"/>
      <c r="B827" s="87" t="s">
        <v>1254</v>
      </c>
      <c r="C827" s="555" t="s">
        <v>1229</v>
      </c>
      <c r="D827" s="563">
        <v>5000</v>
      </c>
      <c r="E827" s="573">
        <v>55</v>
      </c>
      <c r="F827" s="563">
        <v>5000</v>
      </c>
      <c r="G827" s="87">
        <f t="shared" si="12"/>
        <v>0</v>
      </c>
      <c r="H827" s="509"/>
      <c r="I827" s="525"/>
    </row>
    <row r="828" spans="1:9" s="681" customFormat="1" ht="15.75" x14ac:dyDescent="0.25">
      <c r="A828" s="87"/>
      <c r="B828" s="87" t="s">
        <v>1254</v>
      </c>
      <c r="C828" s="555" t="s">
        <v>30</v>
      </c>
      <c r="D828" s="563">
        <v>4500</v>
      </c>
      <c r="E828" s="573">
        <v>50</v>
      </c>
      <c r="F828" s="563">
        <v>4500</v>
      </c>
      <c r="G828" s="87">
        <f t="shared" si="12"/>
        <v>0</v>
      </c>
      <c r="H828" s="509"/>
      <c r="I828" s="525"/>
    </row>
    <row r="829" spans="1:9" s="681" customFormat="1" ht="15.75" x14ac:dyDescent="0.25">
      <c r="A829" s="87"/>
      <c r="B829" s="87" t="s">
        <v>1254</v>
      </c>
      <c r="C829" s="555" t="s">
        <v>1514</v>
      </c>
      <c r="D829" s="563">
        <v>23200</v>
      </c>
      <c r="E829" s="573">
        <v>258</v>
      </c>
      <c r="F829" s="563">
        <v>23200</v>
      </c>
      <c r="G829" s="87">
        <f t="shared" si="12"/>
        <v>0</v>
      </c>
      <c r="H829" s="509"/>
      <c r="I829" s="525"/>
    </row>
    <row r="830" spans="1:9" s="681" customFormat="1" ht="15.75" x14ac:dyDescent="0.25">
      <c r="A830" s="87"/>
      <c r="B830" s="87" t="s">
        <v>1254</v>
      </c>
      <c r="C830" s="555" t="s">
        <v>1376</v>
      </c>
      <c r="D830" s="563">
        <v>14850</v>
      </c>
      <c r="E830" s="573">
        <v>185</v>
      </c>
      <c r="F830" s="563">
        <v>14850</v>
      </c>
      <c r="G830" s="87">
        <f t="shared" ref="G830:G893" si="13">D830-F830</f>
        <v>0</v>
      </c>
      <c r="H830" s="509"/>
      <c r="I830" s="525"/>
    </row>
    <row r="831" spans="1:9" s="681" customFormat="1" ht="15.75" x14ac:dyDescent="0.25">
      <c r="A831" s="87"/>
      <c r="B831" s="87" t="s">
        <v>1254</v>
      </c>
      <c r="C831" s="555" t="s">
        <v>1515</v>
      </c>
      <c r="D831" s="563">
        <v>16200</v>
      </c>
      <c r="E831" s="573">
        <v>180</v>
      </c>
      <c r="F831" s="563">
        <v>16200</v>
      </c>
      <c r="G831" s="87">
        <f t="shared" si="13"/>
        <v>0</v>
      </c>
      <c r="H831" s="509"/>
      <c r="I831" s="525"/>
    </row>
    <row r="832" spans="1:9" s="681" customFormat="1" ht="15.75" x14ac:dyDescent="0.25">
      <c r="A832" s="87"/>
      <c r="B832" s="87" t="s">
        <v>1254</v>
      </c>
      <c r="C832" s="555" t="s">
        <v>1228</v>
      </c>
      <c r="D832" s="563">
        <v>13000</v>
      </c>
      <c r="E832" s="573">
        <v>144</v>
      </c>
      <c r="F832" s="563">
        <v>13000</v>
      </c>
      <c r="G832" s="87">
        <f t="shared" si="13"/>
        <v>0</v>
      </c>
      <c r="H832" s="509"/>
      <c r="I832" s="525"/>
    </row>
    <row r="833" spans="1:9" s="681" customFormat="1" ht="15.75" x14ac:dyDescent="0.25">
      <c r="A833" s="87"/>
      <c r="B833" s="87" t="s">
        <v>1254</v>
      </c>
      <c r="C833" s="555" t="s">
        <v>1516</v>
      </c>
      <c r="D833" s="563">
        <v>28000</v>
      </c>
      <c r="E833" s="573">
        <v>294</v>
      </c>
      <c r="F833" s="563">
        <v>28000</v>
      </c>
      <c r="G833" s="87">
        <f t="shared" si="13"/>
        <v>0</v>
      </c>
      <c r="H833" s="509"/>
      <c r="I833" s="525"/>
    </row>
    <row r="834" spans="1:9" s="681" customFormat="1" ht="15.75" x14ac:dyDescent="0.25">
      <c r="A834" s="87"/>
      <c r="B834" s="87" t="s">
        <v>1254</v>
      </c>
      <c r="C834" s="555" t="s">
        <v>1411</v>
      </c>
      <c r="D834" s="563">
        <v>18000</v>
      </c>
      <c r="E834" s="573">
        <v>200</v>
      </c>
      <c r="F834" s="563">
        <v>18000</v>
      </c>
      <c r="G834" s="87">
        <f t="shared" si="13"/>
        <v>0</v>
      </c>
      <c r="H834" s="509"/>
      <c r="I834" s="525"/>
    </row>
    <row r="835" spans="1:9" s="681" customFormat="1" ht="15.75" x14ac:dyDescent="0.25">
      <c r="A835" s="87"/>
      <c r="B835" s="87" t="s">
        <v>1254</v>
      </c>
      <c r="C835" s="555" t="s">
        <v>1395</v>
      </c>
      <c r="D835" s="563">
        <v>21000</v>
      </c>
      <c r="E835" s="573">
        <v>223</v>
      </c>
      <c r="F835" s="563">
        <v>21000</v>
      </c>
      <c r="G835" s="87">
        <f t="shared" si="13"/>
        <v>0</v>
      </c>
      <c r="H835" s="509"/>
      <c r="I835" s="525"/>
    </row>
    <row r="836" spans="1:9" s="681" customFormat="1" ht="15.75" x14ac:dyDescent="0.25">
      <c r="A836" s="87"/>
      <c r="B836" s="87" t="s">
        <v>1254</v>
      </c>
      <c r="C836" s="555" t="s">
        <v>1517</v>
      </c>
      <c r="D836" s="563">
        <v>20000</v>
      </c>
      <c r="E836" s="573">
        <v>222</v>
      </c>
      <c r="F836" s="563">
        <v>20000</v>
      </c>
      <c r="G836" s="87">
        <f t="shared" si="13"/>
        <v>0</v>
      </c>
      <c r="H836" s="509"/>
      <c r="I836" s="525"/>
    </row>
    <row r="837" spans="1:9" s="681" customFormat="1" ht="15.75" x14ac:dyDescent="0.25">
      <c r="A837" s="87"/>
      <c r="B837" s="87" t="s">
        <v>1254</v>
      </c>
      <c r="C837" s="555" t="s">
        <v>1236</v>
      </c>
      <c r="D837" s="563">
        <v>14000</v>
      </c>
      <c r="E837" s="573">
        <v>155</v>
      </c>
      <c r="F837" s="563">
        <v>14000</v>
      </c>
      <c r="G837" s="87">
        <f t="shared" si="13"/>
        <v>0</v>
      </c>
      <c r="H837" s="509"/>
      <c r="I837" s="525"/>
    </row>
    <row r="838" spans="1:9" s="681" customFormat="1" ht="15.75" x14ac:dyDescent="0.25">
      <c r="A838" s="87"/>
      <c r="B838" s="87" t="s">
        <v>1254</v>
      </c>
      <c r="C838" s="555" t="s">
        <v>1298</v>
      </c>
      <c r="D838" s="563">
        <v>14000</v>
      </c>
      <c r="E838" s="573">
        <v>155</v>
      </c>
      <c r="F838" s="563">
        <v>14000</v>
      </c>
      <c r="G838" s="87">
        <f t="shared" si="13"/>
        <v>0</v>
      </c>
      <c r="H838" s="509"/>
      <c r="I838" s="525"/>
    </row>
    <row r="839" spans="1:9" s="681" customFormat="1" ht="15.75" x14ac:dyDescent="0.25">
      <c r="A839" s="87"/>
      <c r="B839" s="87" t="s">
        <v>1254</v>
      </c>
      <c r="C839" s="555" t="s">
        <v>1518</v>
      </c>
      <c r="D839" s="563">
        <v>25000</v>
      </c>
      <c r="E839" s="573">
        <v>278</v>
      </c>
      <c r="F839" s="563">
        <v>25000</v>
      </c>
      <c r="G839" s="87">
        <f t="shared" si="13"/>
        <v>0</v>
      </c>
      <c r="H839" s="509"/>
      <c r="I839" s="525"/>
    </row>
    <row r="840" spans="1:9" s="681" customFormat="1" ht="15.75" x14ac:dyDescent="0.25">
      <c r="A840" s="87"/>
      <c r="B840" s="87" t="s">
        <v>1254</v>
      </c>
      <c r="C840" s="555" t="s">
        <v>1519</v>
      </c>
      <c r="D840" s="563">
        <v>25000</v>
      </c>
      <c r="E840" s="573">
        <v>262</v>
      </c>
      <c r="F840" s="563">
        <v>25000</v>
      </c>
      <c r="G840" s="87">
        <f t="shared" si="13"/>
        <v>0</v>
      </c>
      <c r="H840" s="509"/>
      <c r="I840" s="525"/>
    </row>
    <row r="841" spans="1:9" s="681" customFormat="1" ht="15.75" x14ac:dyDescent="0.25">
      <c r="A841" s="87"/>
      <c r="B841" s="87" t="s">
        <v>1254</v>
      </c>
      <c r="C841" s="555" t="s">
        <v>1300</v>
      </c>
      <c r="D841" s="563">
        <v>10000</v>
      </c>
      <c r="E841" s="573">
        <v>111</v>
      </c>
      <c r="F841" s="563">
        <v>10000</v>
      </c>
      <c r="G841" s="87">
        <f t="shared" si="13"/>
        <v>0</v>
      </c>
      <c r="H841" s="509"/>
      <c r="I841" s="525"/>
    </row>
    <row r="842" spans="1:9" s="681" customFormat="1" ht="15.75" x14ac:dyDescent="0.25">
      <c r="A842" s="87"/>
      <c r="B842" s="87" t="s">
        <v>1254</v>
      </c>
      <c r="C842" s="555" t="s">
        <v>1287</v>
      </c>
      <c r="D842" s="563">
        <v>10000</v>
      </c>
      <c r="E842" s="573">
        <v>111</v>
      </c>
      <c r="F842" s="563">
        <v>10000</v>
      </c>
      <c r="G842" s="87">
        <f t="shared" si="13"/>
        <v>0</v>
      </c>
      <c r="H842" s="509"/>
      <c r="I842" s="525"/>
    </row>
    <row r="843" spans="1:9" s="681" customFormat="1" ht="15.75" x14ac:dyDescent="0.25">
      <c r="A843" s="87"/>
      <c r="B843" s="87" t="s">
        <v>1254</v>
      </c>
      <c r="C843" s="555" t="s">
        <v>1295</v>
      </c>
      <c r="D843" s="563">
        <v>10000</v>
      </c>
      <c r="E843" s="573">
        <v>111</v>
      </c>
      <c r="F843" s="563">
        <v>10000</v>
      </c>
      <c r="G843" s="87">
        <f t="shared" si="13"/>
        <v>0</v>
      </c>
      <c r="H843" s="509"/>
      <c r="I843" s="525"/>
    </row>
    <row r="844" spans="1:9" s="681" customFormat="1" ht="15.75" x14ac:dyDescent="0.25">
      <c r="A844" s="87"/>
      <c r="B844" s="87" t="s">
        <v>1254</v>
      </c>
      <c r="C844" s="555" t="s">
        <v>1323</v>
      </c>
      <c r="D844" s="563">
        <v>10000</v>
      </c>
      <c r="E844" s="573">
        <v>111</v>
      </c>
      <c r="F844" s="563">
        <v>10000</v>
      </c>
      <c r="G844" s="87">
        <f t="shared" si="13"/>
        <v>0</v>
      </c>
      <c r="H844" s="509"/>
      <c r="I844" s="525"/>
    </row>
    <row r="845" spans="1:9" s="681" customFormat="1" ht="15.75" x14ac:dyDescent="0.25">
      <c r="A845" s="87"/>
      <c r="B845" s="87" t="s">
        <v>1254</v>
      </c>
      <c r="C845" s="555" t="s">
        <v>1277</v>
      </c>
      <c r="D845" s="563">
        <v>15000</v>
      </c>
      <c r="E845" s="573">
        <v>154</v>
      </c>
      <c r="F845" s="563">
        <v>15000</v>
      </c>
      <c r="G845" s="87">
        <f t="shared" si="13"/>
        <v>0</v>
      </c>
      <c r="H845" s="509"/>
      <c r="I845" s="525"/>
    </row>
    <row r="846" spans="1:9" s="681" customFormat="1" ht="15.75" x14ac:dyDescent="0.25">
      <c r="A846" s="87"/>
      <c r="B846" s="87" t="s">
        <v>1254</v>
      </c>
      <c r="C846" s="555" t="s">
        <v>1520</v>
      </c>
      <c r="D846" s="563">
        <v>15000</v>
      </c>
      <c r="E846" s="573">
        <v>157</v>
      </c>
      <c r="F846" s="563">
        <v>15000</v>
      </c>
      <c r="G846" s="87">
        <f t="shared" si="13"/>
        <v>0</v>
      </c>
      <c r="H846" s="509"/>
      <c r="I846" s="525"/>
    </row>
    <row r="847" spans="1:9" s="681" customFormat="1" ht="15.75" x14ac:dyDescent="0.25">
      <c r="A847" s="87"/>
      <c r="B847" s="87" t="s">
        <v>1254</v>
      </c>
      <c r="C847" s="555" t="s">
        <v>1278</v>
      </c>
      <c r="D847" s="563">
        <v>15000</v>
      </c>
      <c r="E847" s="573">
        <v>157</v>
      </c>
      <c r="F847" s="563">
        <v>15000</v>
      </c>
      <c r="G847" s="87">
        <f t="shared" si="13"/>
        <v>0</v>
      </c>
      <c r="H847" s="509"/>
      <c r="I847" s="525"/>
    </row>
    <row r="848" spans="1:9" s="681" customFormat="1" ht="15.75" x14ac:dyDescent="0.25">
      <c r="A848" s="87"/>
      <c r="B848" s="87" t="s">
        <v>1254</v>
      </c>
      <c r="C848" s="555" t="s">
        <v>1271</v>
      </c>
      <c r="D848" s="563">
        <v>15000</v>
      </c>
      <c r="E848" s="573">
        <v>153</v>
      </c>
      <c r="F848" s="563">
        <v>15000</v>
      </c>
      <c r="G848" s="87">
        <f t="shared" si="13"/>
        <v>0</v>
      </c>
      <c r="H848" s="509"/>
      <c r="I848" s="525"/>
    </row>
    <row r="849" spans="1:9" s="681" customFormat="1" ht="15.75" x14ac:dyDescent="0.25">
      <c r="A849" s="87"/>
      <c r="B849" s="87" t="s">
        <v>1254</v>
      </c>
      <c r="C849" s="555" t="s">
        <v>1521</v>
      </c>
      <c r="D849" s="563">
        <v>17000</v>
      </c>
      <c r="E849" s="573">
        <v>189</v>
      </c>
      <c r="F849" s="563">
        <v>17000</v>
      </c>
      <c r="G849" s="87">
        <f t="shared" si="13"/>
        <v>0</v>
      </c>
      <c r="H849" s="509"/>
      <c r="I849" s="525"/>
    </row>
    <row r="850" spans="1:9" s="681" customFormat="1" ht="15.75" x14ac:dyDescent="0.25">
      <c r="A850" s="87"/>
      <c r="B850" s="87" t="s">
        <v>1254</v>
      </c>
      <c r="C850" s="555" t="s">
        <v>1288</v>
      </c>
      <c r="D850" s="563">
        <v>17000</v>
      </c>
      <c r="E850" s="573">
        <v>189</v>
      </c>
      <c r="F850" s="563">
        <v>17000</v>
      </c>
      <c r="G850" s="87">
        <f t="shared" si="13"/>
        <v>0</v>
      </c>
      <c r="H850" s="509"/>
      <c r="I850" s="525"/>
    </row>
    <row r="851" spans="1:9" s="681" customFormat="1" ht="15.75" x14ac:dyDescent="0.25">
      <c r="A851" s="87"/>
      <c r="B851" s="87" t="s">
        <v>1254</v>
      </c>
      <c r="C851" s="555" t="s">
        <v>1321</v>
      </c>
      <c r="D851" s="563">
        <v>17000</v>
      </c>
      <c r="E851" s="573">
        <v>189</v>
      </c>
      <c r="F851" s="563">
        <v>17000</v>
      </c>
      <c r="G851" s="87">
        <f t="shared" si="13"/>
        <v>0</v>
      </c>
      <c r="H851" s="509"/>
      <c r="I851" s="525"/>
    </row>
    <row r="852" spans="1:9" s="681" customFormat="1" ht="15.75" x14ac:dyDescent="0.25">
      <c r="A852" s="87"/>
      <c r="B852" s="87" t="s">
        <v>1254</v>
      </c>
      <c r="C852" s="555" t="s">
        <v>1315</v>
      </c>
      <c r="D852" s="563">
        <v>17000</v>
      </c>
      <c r="E852" s="573">
        <v>189</v>
      </c>
      <c r="F852" s="563">
        <v>17000</v>
      </c>
      <c r="G852" s="87">
        <f t="shared" si="13"/>
        <v>0</v>
      </c>
      <c r="H852" s="509"/>
      <c r="I852" s="525"/>
    </row>
    <row r="853" spans="1:9" s="681" customFormat="1" ht="15.75" x14ac:dyDescent="0.25">
      <c r="A853" s="87"/>
      <c r="B853" s="87" t="s">
        <v>1255</v>
      </c>
      <c r="C853" s="555" t="s">
        <v>1522</v>
      </c>
      <c r="D853" s="563">
        <v>14000</v>
      </c>
      <c r="E853" s="573">
        <v>155</v>
      </c>
      <c r="F853" s="563">
        <v>14000</v>
      </c>
      <c r="G853" s="87">
        <f t="shared" si="13"/>
        <v>0</v>
      </c>
      <c r="H853" s="509"/>
      <c r="I853" s="525"/>
    </row>
    <row r="854" spans="1:9" s="681" customFormat="1" ht="15.75" x14ac:dyDescent="0.25">
      <c r="A854" s="87"/>
      <c r="B854" s="87" t="s">
        <v>1255</v>
      </c>
      <c r="C854" s="555" t="s">
        <v>1354</v>
      </c>
      <c r="D854" s="563">
        <v>23000</v>
      </c>
      <c r="E854" s="573">
        <v>256</v>
      </c>
      <c r="F854" s="563">
        <v>23000</v>
      </c>
      <c r="G854" s="87">
        <f t="shared" si="13"/>
        <v>0</v>
      </c>
      <c r="H854" s="509"/>
      <c r="I854" s="525"/>
    </row>
    <row r="855" spans="1:9" s="681" customFormat="1" ht="15.75" x14ac:dyDescent="0.25">
      <c r="A855" s="87"/>
      <c r="B855" s="87" t="s">
        <v>1255</v>
      </c>
      <c r="C855" s="555" t="s">
        <v>1404</v>
      </c>
      <c r="D855" s="563">
        <v>18000</v>
      </c>
      <c r="E855" s="573">
        <v>200</v>
      </c>
      <c r="F855" s="563">
        <v>18000</v>
      </c>
      <c r="G855" s="87">
        <f t="shared" si="13"/>
        <v>0</v>
      </c>
      <c r="H855" s="509"/>
      <c r="I855" s="525"/>
    </row>
    <row r="856" spans="1:9" s="681" customFormat="1" ht="15.75" x14ac:dyDescent="0.25">
      <c r="A856" s="87"/>
      <c r="B856" s="87" t="s">
        <v>1255</v>
      </c>
      <c r="C856" s="555" t="s">
        <v>1302</v>
      </c>
      <c r="D856" s="563">
        <v>20000</v>
      </c>
      <c r="E856" s="573">
        <v>222</v>
      </c>
      <c r="F856" s="563">
        <v>20000</v>
      </c>
      <c r="G856" s="87">
        <f t="shared" si="13"/>
        <v>0</v>
      </c>
      <c r="H856" s="509"/>
      <c r="I856" s="525"/>
    </row>
    <row r="857" spans="1:9" s="681" customFormat="1" ht="15.75" x14ac:dyDescent="0.25">
      <c r="A857" s="87"/>
      <c r="B857" s="87" t="s">
        <v>1255</v>
      </c>
      <c r="C857" s="555" t="s">
        <v>1358</v>
      </c>
      <c r="D857" s="563">
        <v>14000</v>
      </c>
      <c r="E857" s="573">
        <v>149</v>
      </c>
      <c r="F857" s="563">
        <v>14000</v>
      </c>
      <c r="G857" s="87">
        <f t="shared" si="13"/>
        <v>0</v>
      </c>
      <c r="H857" s="509"/>
      <c r="I857" s="525"/>
    </row>
    <row r="858" spans="1:9" s="681" customFormat="1" ht="15.75" x14ac:dyDescent="0.25">
      <c r="A858" s="87"/>
      <c r="B858" s="87" t="s">
        <v>1255</v>
      </c>
      <c r="C858" s="555" t="s">
        <v>1303</v>
      </c>
      <c r="D858" s="563">
        <v>14000</v>
      </c>
      <c r="E858" s="573">
        <v>155</v>
      </c>
      <c r="F858" s="563">
        <v>14000</v>
      </c>
      <c r="G858" s="87">
        <f t="shared" si="13"/>
        <v>0</v>
      </c>
      <c r="H858" s="509"/>
      <c r="I858" s="525"/>
    </row>
    <row r="859" spans="1:9" s="681" customFormat="1" ht="15.75" x14ac:dyDescent="0.25">
      <c r="A859" s="87"/>
      <c r="B859" s="87" t="s">
        <v>1255</v>
      </c>
      <c r="C859" s="555" t="s">
        <v>1452</v>
      </c>
      <c r="D859" s="563">
        <v>14000</v>
      </c>
      <c r="E859" s="573">
        <v>155</v>
      </c>
      <c r="F859" s="563">
        <v>14000</v>
      </c>
      <c r="G859" s="87">
        <f t="shared" si="13"/>
        <v>0</v>
      </c>
      <c r="H859" s="509"/>
      <c r="I859" s="525"/>
    </row>
    <row r="860" spans="1:9" s="681" customFormat="1" ht="15.75" x14ac:dyDescent="0.25">
      <c r="A860" s="87"/>
      <c r="B860" s="87" t="s">
        <v>1255</v>
      </c>
      <c r="C860" s="555" t="s">
        <v>1276</v>
      </c>
      <c r="D860" s="563">
        <v>14000</v>
      </c>
      <c r="E860" s="573">
        <v>155</v>
      </c>
      <c r="F860" s="563">
        <v>14000</v>
      </c>
      <c r="G860" s="87">
        <f t="shared" si="13"/>
        <v>0</v>
      </c>
      <c r="H860" s="509"/>
      <c r="I860" s="525"/>
    </row>
    <row r="861" spans="1:9" s="681" customFormat="1" ht="15.75" x14ac:dyDescent="0.25">
      <c r="A861" s="87"/>
      <c r="B861" s="87" t="s">
        <v>1255</v>
      </c>
      <c r="C861" s="555" t="s">
        <v>1523</v>
      </c>
      <c r="D861" s="563">
        <v>27000</v>
      </c>
      <c r="E861" s="573">
        <v>300</v>
      </c>
      <c r="F861" s="563">
        <v>27000</v>
      </c>
      <c r="G861" s="87">
        <f t="shared" si="13"/>
        <v>0</v>
      </c>
      <c r="H861" s="509"/>
      <c r="I861" s="525"/>
    </row>
    <row r="862" spans="1:9" s="681" customFormat="1" ht="15.75" x14ac:dyDescent="0.25">
      <c r="A862" s="87"/>
      <c r="B862" s="87" t="s">
        <v>1255</v>
      </c>
      <c r="C862" s="555" t="s">
        <v>1524</v>
      </c>
      <c r="D862" s="563">
        <v>27000</v>
      </c>
      <c r="E862" s="573">
        <v>300</v>
      </c>
      <c r="F862" s="563">
        <v>27000</v>
      </c>
      <c r="G862" s="87">
        <f t="shared" si="13"/>
        <v>0</v>
      </c>
      <c r="H862" s="509"/>
      <c r="I862" s="525"/>
    </row>
    <row r="863" spans="1:9" s="681" customFormat="1" ht="15.75" x14ac:dyDescent="0.25">
      <c r="A863" s="87"/>
      <c r="B863" s="87" t="s">
        <v>1255</v>
      </c>
      <c r="C863" s="555" t="s">
        <v>1525</v>
      </c>
      <c r="D863" s="563">
        <v>15000</v>
      </c>
      <c r="E863" s="573">
        <v>167</v>
      </c>
      <c r="F863" s="563">
        <v>15000</v>
      </c>
      <c r="G863" s="87">
        <f t="shared" si="13"/>
        <v>0</v>
      </c>
      <c r="H863" s="509"/>
      <c r="I863" s="525"/>
    </row>
    <row r="864" spans="1:9" s="681" customFormat="1" ht="15.75" x14ac:dyDescent="0.25">
      <c r="A864" s="87"/>
      <c r="B864" s="87" t="s">
        <v>1255</v>
      </c>
      <c r="C864" s="555" t="s">
        <v>30</v>
      </c>
      <c r="D864" s="563">
        <v>8000</v>
      </c>
      <c r="E864" s="573">
        <v>89</v>
      </c>
      <c r="F864" s="563">
        <v>8000</v>
      </c>
      <c r="G864" s="87">
        <f t="shared" si="13"/>
        <v>0</v>
      </c>
      <c r="H864" s="509"/>
      <c r="I864" s="525"/>
    </row>
    <row r="865" spans="1:9" s="681" customFormat="1" ht="15.75" x14ac:dyDescent="0.25">
      <c r="A865" s="87"/>
      <c r="B865" s="87" t="s">
        <v>1255</v>
      </c>
      <c r="C865" s="555" t="s">
        <v>1526</v>
      </c>
      <c r="D865" s="563">
        <v>25000</v>
      </c>
      <c r="E865" s="573">
        <v>278</v>
      </c>
      <c r="F865" s="563">
        <v>25000</v>
      </c>
      <c r="G865" s="87">
        <f t="shared" si="13"/>
        <v>0</v>
      </c>
      <c r="H865" s="509"/>
      <c r="I865" s="525"/>
    </row>
    <row r="866" spans="1:9" s="681" customFormat="1" ht="15.75" x14ac:dyDescent="0.25">
      <c r="A866" s="87"/>
      <c r="B866" s="87" t="s">
        <v>1255</v>
      </c>
      <c r="C866" s="555" t="s">
        <v>1293</v>
      </c>
      <c r="D866" s="563">
        <v>23000</v>
      </c>
      <c r="E866" s="573">
        <v>256</v>
      </c>
      <c r="F866" s="563">
        <v>23000</v>
      </c>
      <c r="G866" s="87">
        <f t="shared" si="13"/>
        <v>0</v>
      </c>
      <c r="H866" s="509"/>
      <c r="I866" s="525"/>
    </row>
    <row r="867" spans="1:9" s="681" customFormat="1" ht="15.75" x14ac:dyDescent="0.25">
      <c r="A867" s="87"/>
      <c r="B867" s="87" t="s">
        <v>1255</v>
      </c>
      <c r="C867" s="555" t="s">
        <v>1527</v>
      </c>
      <c r="D867" s="563">
        <v>26000</v>
      </c>
      <c r="E867" s="573">
        <v>289</v>
      </c>
      <c r="F867" s="563">
        <v>26000</v>
      </c>
      <c r="G867" s="87">
        <f t="shared" si="13"/>
        <v>0</v>
      </c>
      <c r="H867" s="509"/>
      <c r="I867" s="525"/>
    </row>
    <row r="868" spans="1:9" s="681" customFormat="1" ht="15.75" x14ac:dyDescent="0.25">
      <c r="A868" s="87"/>
      <c r="B868" s="87" t="s">
        <v>1255</v>
      </c>
      <c r="C868" s="555" t="s">
        <v>1282</v>
      </c>
      <c r="D868" s="563">
        <v>15500</v>
      </c>
      <c r="E868" s="573">
        <v>172</v>
      </c>
      <c r="F868" s="563">
        <v>15500</v>
      </c>
      <c r="G868" s="87">
        <f t="shared" si="13"/>
        <v>0</v>
      </c>
      <c r="H868" s="509"/>
      <c r="I868" s="525"/>
    </row>
    <row r="869" spans="1:9" s="681" customFormat="1" ht="15.75" x14ac:dyDescent="0.25">
      <c r="A869" s="87"/>
      <c r="B869" s="87" t="s">
        <v>1255</v>
      </c>
      <c r="C869" s="555" t="s">
        <v>30</v>
      </c>
      <c r="D869" s="563">
        <v>5000</v>
      </c>
      <c r="E869" s="573">
        <v>55</v>
      </c>
      <c r="F869" s="563">
        <v>5000</v>
      </c>
      <c r="G869" s="87">
        <f t="shared" si="13"/>
        <v>0</v>
      </c>
      <c r="H869" s="509"/>
      <c r="I869" s="525"/>
    </row>
    <row r="870" spans="1:9" s="681" customFormat="1" ht="15.75" x14ac:dyDescent="0.25">
      <c r="A870" s="87"/>
      <c r="B870" s="87" t="s">
        <v>1255</v>
      </c>
      <c r="C870" s="555" t="s">
        <v>1528</v>
      </c>
      <c r="D870" s="563">
        <v>20000</v>
      </c>
      <c r="E870" s="573">
        <v>222</v>
      </c>
      <c r="F870" s="563">
        <v>20000</v>
      </c>
      <c r="G870" s="87">
        <f t="shared" si="13"/>
        <v>0</v>
      </c>
      <c r="H870" s="509"/>
      <c r="I870" s="525"/>
    </row>
    <row r="871" spans="1:9" s="681" customFormat="1" ht="15.75" x14ac:dyDescent="0.25">
      <c r="A871" s="87"/>
      <c r="B871" s="87" t="s">
        <v>1255</v>
      </c>
      <c r="C871" s="555" t="s">
        <v>1529</v>
      </c>
      <c r="D871" s="563">
        <v>19000</v>
      </c>
      <c r="E871" s="573">
        <v>202</v>
      </c>
      <c r="F871" s="563">
        <v>19000</v>
      </c>
      <c r="G871" s="87">
        <f t="shared" si="13"/>
        <v>0</v>
      </c>
      <c r="H871" s="509"/>
      <c r="I871" s="525"/>
    </row>
    <row r="872" spans="1:9" s="681" customFormat="1" ht="15.75" x14ac:dyDescent="0.25">
      <c r="A872" s="87"/>
      <c r="B872" s="87" t="s">
        <v>1255</v>
      </c>
      <c r="C872" s="555" t="s">
        <v>1350</v>
      </c>
      <c r="D872" s="563">
        <v>15000</v>
      </c>
      <c r="E872" s="573">
        <v>157</v>
      </c>
      <c r="F872" s="563">
        <v>15000</v>
      </c>
      <c r="G872" s="87">
        <f t="shared" si="13"/>
        <v>0</v>
      </c>
      <c r="H872" s="509"/>
      <c r="I872" s="525"/>
    </row>
    <row r="873" spans="1:9" s="681" customFormat="1" ht="15.75" x14ac:dyDescent="0.25">
      <c r="A873" s="87"/>
      <c r="B873" s="87" t="s">
        <v>1255</v>
      </c>
      <c r="C873" s="555" t="s">
        <v>1530</v>
      </c>
      <c r="D873" s="563">
        <v>15000</v>
      </c>
      <c r="E873" s="573">
        <v>162</v>
      </c>
      <c r="F873" s="563">
        <v>15000</v>
      </c>
      <c r="G873" s="87">
        <f t="shared" si="13"/>
        <v>0</v>
      </c>
      <c r="H873" s="509"/>
      <c r="I873" s="525"/>
    </row>
    <row r="874" spans="1:9" s="681" customFormat="1" ht="15.75" x14ac:dyDescent="0.25">
      <c r="A874" s="87"/>
      <c r="B874" s="87" t="s">
        <v>1255</v>
      </c>
      <c r="C874" s="555" t="s">
        <v>66</v>
      </c>
      <c r="D874" s="563">
        <v>150</v>
      </c>
      <c r="E874" s="573" t="s">
        <v>66</v>
      </c>
      <c r="F874" s="563">
        <v>150</v>
      </c>
      <c r="G874" s="87">
        <f t="shared" si="13"/>
        <v>0</v>
      </c>
      <c r="H874" s="509"/>
      <c r="I874" s="525"/>
    </row>
    <row r="875" spans="1:9" s="681" customFormat="1" ht="15.75" x14ac:dyDescent="0.25">
      <c r="A875" s="87"/>
      <c r="B875" s="87" t="s">
        <v>1255</v>
      </c>
      <c r="C875" s="555" t="s">
        <v>1531</v>
      </c>
      <c r="D875" s="563">
        <v>20000</v>
      </c>
      <c r="E875" s="573">
        <v>222</v>
      </c>
      <c r="F875" s="563">
        <v>20000</v>
      </c>
      <c r="G875" s="87">
        <f t="shared" si="13"/>
        <v>0</v>
      </c>
      <c r="H875" s="509"/>
      <c r="I875" s="525"/>
    </row>
    <row r="876" spans="1:9" s="681" customFormat="1" ht="15.75" x14ac:dyDescent="0.25">
      <c r="A876" s="87"/>
      <c r="B876" s="87" t="s">
        <v>1255</v>
      </c>
      <c r="C876" s="555" t="s">
        <v>1532</v>
      </c>
      <c r="D876" s="563">
        <v>10000</v>
      </c>
      <c r="E876" s="573">
        <v>111</v>
      </c>
      <c r="F876" s="563">
        <v>10000</v>
      </c>
      <c r="G876" s="87">
        <f t="shared" si="13"/>
        <v>0</v>
      </c>
      <c r="H876" s="509"/>
      <c r="I876" s="525"/>
    </row>
    <row r="877" spans="1:9" s="681" customFormat="1" ht="15.75" x14ac:dyDescent="0.25">
      <c r="A877" s="87"/>
      <c r="B877" s="87" t="s">
        <v>1255</v>
      </c>
      <c r="C877" s="555" t="s">
        <v>1533</v>
      </c>
      <c r="D877" s="563">
        <v>26000</v>
      </c>
      <c r="E877" s="573">
        <v>287</v>
      </c>
      <c r="F877" s="563">
        <v>26000</v>
      </c>
      <c r="G877" s="87">
        <f t="shared" si="13"/>
        <v>0</v>
      </c>
      <c r="H877" s="509"/>
      <c r="I877" s="525"/>
    </row>
    <row r="878" spans="1:9" s="681" customFormat="1" ht="15.75" x14ac:dyDescent="0.25">
      <c r="A878" s="87"/>
      <c r="B878" s="87" t="s">
        <v>1255</v>
      </c>
      <c r="C878" s="555" t="s">
        <v>1534</v>
      </c>
      <c r="D878" s="563">
        <v>20000</v>
      </c>
      <c r="E878" s="573">
        <v>222</v>
      </c>
      <c r="F878" s="563">
        <v>20000</v>
      </c>
      <c r="G878" s="87">
        <f t="shared" si="13"/>
        <v>0</v>
      </c>
      <c r="H878" s="509"/>
      <c r="I878" s="525"/>
    </row>
    <row r="879" spans="1:9" s="681" customFormat="1" ht="15.75" x14ac:dyDescent="0.25">
      <c r="A879" s="87"/>
      <c r="B879" s="87" t="s">
        <v>1255</v>
      </c>
      <c r="C879" s="555" t="s">
        <v>1488</v>
      </c>
      <c r="D879" s="563">
        <v>10000</v>
      </c>
      <c r="E879" s="573">
        <v>111</v>
      </c>
      <c r="F879" s="563">
        <v>10000</v>
      </c>
      <c r="G879" s="87">
        <f t="shared" si="13"/>
        <v>0</v>
      </c>
      <c r="H879" s="509"/>
      <c r="I879" s="525"/>
    </row>
    <row r="880" spans="1:9" s="681" customFormat="1" ht="15.75" x14ac:dyDescent="0.25">
      <c r="A880" s="87"/>
      <c r="B880" s="87" t="s">
        <v>1255</v>
      </c>
      <c r="C880" s="555" t="s">
        <v>1489</v>
      </c>
      <c r="D880" s="563">
        <v>15000</v>
      </c>
      <c r="E880" s="573">
        <v>167</v>
      </c>
      <c r="F880" s="563">
        <v>15000</v>
      </c>
      <c r="G880" s="87">
        <f t="shared" si="13"/>
        <v>0</v>
      </c>
      <c r="H880" s="509"/>
      <c r="I880" s="525"/>
    </row>
    <row r="881" spans="1:9" s="681" customFormat="1" ht="15.75" x14ac:dyDescent="0.25">
      <c r="A881" s="87"/>
      <c r="B881" s="87" t="s">
        <v>1255</v>
      </c>
      <c r="C881" s="555" t="s">
        <v>1305</v>
      </c>
      <c r="D881" s="563">
        <v>30000</v>
      </c>
      <c r="E881" s="573">
        <v>334</v>
      </c>
      <c r="F881" s="563">
        <v>30000</v>
      </c>
      <c r="G881" s="87">
        <f t="shared" si="13"/>
        <v>0</v>
      </c>
      <c r="H881" s="509"/>
      <c r="I881" s="525"/>
    </row>
    <row r="882" spans="1:9" s="681" customFormat="1" ht="15.75" x14ac:dyDescent="0.25">
      <c r="A882" s="87"/>
      <c r="B882" s="87" t="s">
        <v>1255</v>
      </c>
      <c r="C882" s="555" t="s">
        <v>1535</v>
      </c>
      <c r="D882" s="563">
        <v>20000</v>
      </c>
      <c r="E882" s="573">
        <v>334</v>
      </c>
      <c r="F882" s="563">
        <v>20000</v>
      </c>
      <c r="G882" s="87">
        <f t="shared" si="13"/>
        <v>0</v>
      </c>
      <c r="H882" s="509"/>
      <c r="I882" s="525"/>
    </row>
    <row r="883" spans="1:9" s="681" customFormat="1" ht="15.75" x14ac:dyDescent="0.25">
      <c r="A883" s="87"/>
      <c r="B883" s="87" t="s">
        <v>1255</v>
      </c>
      <c r="C883" s="555" t="s">
        <v>1328</v>
      </c>
      <c r="D883" s="563">
        <v>14000</v>
      </c>
      <c r="E883" s="573">
        <v>222</v>
      </c>
      <c r="F883" s="563">
        <v>14000</v>
      </c>
      <c r="G883" s="87">
        <f t="shared" si="13"/>
        <v>0</v>
      </c>
      <c r="H883" s="509"/>
      <c r="I883" s="525"/>
    </row>
    <row r="884" spans="1:9" s="681" customFormat="1" ht="15.75" x14ac:dyDescent="0.25">
      <c r="A884" s="87"/>
      <c r="B884" s="87" t="s">
        <v>1255</v>
      </c>
      <c r="C884" s="555" t="s">
        <v>1536</v>
      </c>
      <c r="D884" s="563">
        <v>30000</v>
      </c>
      <c r="E884" s="573">
        <v>155</v>
      </c>
      <c r="F884" s="563">
        <v>30000</v>
      </c>
      <c r="G884" s="87">
        <f t="shared" si="13"/>
        <v>0</v>
      </c>
      <c r="H884" s="509"/>
      <c r="I884" s="525"/>
    </row>
    <row r="885" spans="1:9" s="681" customFormat="1" ht="15.75" x14ac:dyDescent="0.25">
      <c r="A885" s="87"/>
      <c r="B885" s="87" t="s">
        <v>1255</v>
      </c>
      <c r="C885" s="555" t="s">
        <v>1234</v>
      </c>
      <c r="D885" s="563">
        <v>13000</v>
      </c>
      <c r="E885" s="573">
        <v>144</v>
      </c>
      <c r="F885" s="563">
        <v>13000</v>
      </c>
      <c r="G885" s="87">
        <f t="shared" si="13"/>
        <v>0</v>
      </c>
      <c r="H885" s="509"/>
      <c r="I885" s="525"/>
    </row>
    <row r="886" spans="1:9" s="681" customFormat="1" ht="15.75" x14ac:dyDescent="0.25">
      <c r="A886" s="87"/>
      <c r="B886" s="87" t="s">
        <v>1255</v>
      </c>
      <c r="C886" s="555" t="s">
        <v>1289</v>
      </c>
      <c r="D886" s="563">
        <v>15000</v>
      </c>
      <c r="E886" s="573">
        <v>157</v>
      </c>
      <c r="F886" s="563">
        <v>15000</v>
      </c>
      <c r="G886" s="87">
        <f t="shared" si="13"/>
        <v>0</v>
      </c>
      <c r="H886" s="509"/>
      <c r="I886" s="525"/>
    </row>
    <row r="887" spans="1:9" s="681" customFormat="1" ht="15.75" x14ac:dyDescent="0.25">
      <c r="A887" s="87"/>
      <c r="B887" s="87" t="s">
        <v>1255</v>
      </c>
      <c r="C887" s="555" t="s">
        <v>1238</v>
      </c>
      <c r="D887" s="563">
        <v>14000</v>
      </c>
      <c r="E887" s="573">
        <v>155</v>
      </c>
      <c r="F887" s="563">
        <v>14000</v>
      </c>
      <c r="G887" s="87">
        <f t="shared" si="13"/>
        <v>0</v>
      </c>
      <c r="H887" s="509"/>
      <c r="I887" s="525"/>
    </row>
    <row r="888" spans="1:9" s="681" customFormat="1" ht="15.75" x14ac:dyDescent="0.25">
      <c r="A888" s="87"/>
      <c r="B888" s="87" t="s">
        <v>1255</v>
      </c>
      <c r="C888" s="555" t="s">
        <v>1537</v>
      </c>
      <c r="D888" s="563">
        <v>10000</v>
      </c>
      <c r="E888" s="573">
        <v>111</v>
      </c>
      <c r="F888" s="563">
        <v>10000</v>
      </c>
      <c r="G888" s="87">
        <f t="shared" si="13"/>
        <v>0</v>
      </c>
      <c r="H888" s="509"/>
      <c r="I888" s="525"/>
    </row>
    <row r="889" spans="1:9" s="681" customFormat="1" ht="15.75" x14ac:dyDescent="0.25">
      <c r="A889" s="87"/>
      <c r="B889" s="87" t="s">
        <v>1255</v>
      </c>
      <c r="C889" s="555" t="s">
        <v>1538</v>
      </c>
      <c r="D889" s="563">
        <v>10000</v>
      </c>
      <c r="E889" s="573">
        <v>106</v>
      </c>
      <c r="F889" s="563">
        <v>10000</v>
      </c>
      <c r="G889" s="87">
        <f t="shared" si="13"/>
        <v>0</v>
      </c>
      <c r="H889" s="509"/>
      <c r="I889" s="525"/>
    </row>
    <row r="890" spans="1:9" s="681" customFormat="1" ht="15.75" x14ac:dyDescent="0.25">
      <c r="A890" s="87"/>
      <c r="B890" s="87" t="s">
        <v>1255</v>
      </c>
      <c r="C890" s="555" t="s">
        <v>1539</v>
      </c>
      <c r="D890" s="563">
        <v>10000</v>
      </c>
      <c r="E890" s="573">
        <v>106</v>
      </c>
      <c r="F890" s="563">
        <v>10000</v>
      </c>
      <c r="G890" s="87">
        <f t="shared" si="13"/>
        <v>0</v>
      </c>
      <c r="H890" s="509"/>
      <c r="I890" s="525"/>
    </row>
    <row r="891" spans="1:9" s="681" customFormat="1" ht="15.75" x14ac:dyDescent="0.25">
      <c r="A891" s="87"/>
      <c r="B891" s="87" t="s">
        <v>1255</v>
      </c>
      <c r="C891" s="555" t="s">
        <v>1540</v>
      </c>
      <c r="D891" s="563">
        <v>30000</v>
      </c>
      <c r="E891" s="573">
        <v>319</v>
      </c>
      <c r="F891" s="563">
        <v>30000</v>
      </c>
      <c r="G891" s="87">
        <f t="shared" si="13"/>
        <v>0</v>
      </c>
      <c r="H891" s="509"/>
      <c r="I891" s="525"/>
    </row>
    <row r="892" spans="1:9" s="681" customFormat="1" ht="15.75" x14ac:dyDescent="0.25">
      <c r="A892" s="87"/>
      <c r="B892" s="87" t="s">
        <v>1255</v>
      </c>
      <c r="C892" s="555" t="s">
        <v>1541</v>
      </c>
      <c r="D892" s="563">
        <v>25000</v>
      </c>
      <c r="E892" s="573">
        <v>253</v>
      </c>
      <c r="F892" s="563">
        <v>25000</v>
      </c>
      <c r="G892" s="87">
        <f t="shared" si="13"/>
        <v>0</v>
      </c>
      <c r="H892" s="509"/>
      <c r="I892" s="525"/>
    </row>
    <row r="893" spans="1:9" s="681" customFormat="1" ht="15.75" x14ac:dyDescent="0.25">
      <c r="A893" s="87"/>
      <c r="B893" s="87" t="s">
        <v>1255</v>
      </c>
      <c r="C893" s="555" t="s">
        <v>1542</v>
      </c>
      <c r="D893" s="563">
        <v>20000</v>
      </c>
      <c r="E893" s="573">
        <v>213</v>
      </c>
      <c r="F893" s="563">
        <v>20000</v>
      </c>
      <c r="G893" s="87">
        <f t="shared" si="13"/>
        <v>0</v>
      </c>
      <c r="H893" s="509"/>
      <c r="I893" s="525"/>
    </row>
    <row r="894" spans="1:9" s="681" customFormat="1" ht="15.75" x14ac:dyDescent="0.25">
      <c r="A894" s="87"/>
      <c r="B894" s="87" t="s">
        <v>1256</v>
      </c>
      <c r="C894" s="555" t="s">
        <v>1543</v>
      </c>
      <c r="D894" s="563">
        <v>20000</v>
      </c>
      <c r="E894" s="573">
        <v>222</v>
      </c>
      <c r="F894" s="563">
        <v>20000</v>
      </c>
      <c r="G894" s="87">
        <f t="shared" ref="G894:G927" si="14">D894-F894</f>
        <v>0</v>
      </c>
      <c r="H894" s="509"/>
      <c r="I894" s="525"/>
    </row>
    <row r="895" spans="1:9" s="681" customFormat="1" ht="15.75" x14ac:dyDescent="0.25">
      <c r="A895" s="87"/>
      <c r="B895" s="87" t="s">
        <v>1256</v>
      </c>
      <c r="C895" s="555" t="s">
        <v>1544</v>
      </c>
      <c r="D895" s="563">
        <v>20000</v>
      </c>
      <c r="E895" s="573">
        <v>222</v>
      </c>
      <c r="F895" s="563">
        <v>20000</v>
      </c>
      <c r="G895" s="87">
        <f t="shared" si="14"/>
        <v>0</v>
      </c>
      <c r="H895" s="509"/>
      <c r="I895" s="525"/>
    </row>
    <row r="896" spans="1:9" s="681" customFormat="1" ht="15.75" x14ac:dyDescent="0.25">
      <c r="A896" s="87"/>
      <c r="B896" s="87" t="s">
        <v>1256</v>
      </c>
      <c r="C896" s="555" t="s">
        <v>1545</v>
      </c>
      <c r="D896" s="563">
        <v>18000</v>
      </c>
      <c r="E896" s="573">
        <v>200</v>
      </c>
      <c r="F896" s="563">
        <v>18000</v>
      </c>
      <c r="G896" s="87">
        <f t="shared" si="14"/>
        <v>0</v>
      </c>
      <c r="H896" s="509"/>
      <c r="I896" s="525"/>
    </row>
    <row r="897" spans="1:9" s="681" customFormat="1" ht="15.75" x14ac:dyDescent="0.25">
      <c r="A897" s="87"/>
      <c r="B897" s="87" t="s">
        <v>1256</v>
      </c>
      <c r="C897" s="555" t="s">
        <v>1281</v>
      </c>
      <c r="D897" s="563">
        <v>14000</v>
      </c>
      <c r="E897" s="573">
        <v>155</v>
      </c>
      <c r="F897" s="563">
        <v>14000</v>
      </c>
      <c r="G897" s="87">
        <f t="shared" si="14"/>
        <v>0</v>
      </c>
      <c r="H897" s="509"/>
      <c r="I897" s="525"/>
    </row>
    <row r="898" spans="1:9" s="681" customFormat="1" ht="15.75" x14ac:dyDescent="0.25">
      <c r="A898" s="87"/>
      <c r="B898" s="87" t="s">
        <v>1256</v>
      </c>
      <c r="C898" s="555" t="s">
        <v>1337</v>
      </c>
      <c r="D898" s="563">
        <v>14000</v>
      </c>
      <c r="E898" s="573">
        <v>155</v>
      </c>
      <c r="F898" s="563">
        <v>14000</v>
      </c>
      <c r="G898" s="87">
        <f t="shared" si="14"/>
        <v>0</v>
      </c>
      <c r="H898" s="509"/>
      <c r="I898" s="525"/>
    </row>
    <row r="899" spans="1:9" s="681" customFormat="1" ht="15.75" x14ac:dyDescent="0.25">
      <c r="A899" s="87"/>
      <c r="B899" s="87" t="s">
        <v>1256</v>
      </c>
      <c r="C899" s="555" t="s">
        <v>1270</v>
      </c>
      <c r="D899" s="563">
        <v>14000</v>
      </c>
      <c r="E899" s="573">
        <v>155</v>
      </c>
      <c r="F899" s="563">
        <v>14000</v>
      </c>
      <c r="G899" s="87">
        <f t="shared" si="14"/>
        <v>0</v>
      </c>
      <c r="H899" s="509"/>
      <c r="I899" s="525"/>
    </row>
    <row r="900" spans="1:9" s="681" customFormat="1" ht="15.75" x14ac:dyDescent="0.25">
      <c r="A900" s="87"/>
      <c r="B900" s="87" t="s">
        <v>1256</v>
      </c>
      <c r="C900" s="555" t="s">
        <v>1546</v>
      </c>
      <c r="D900" s="563">
        <v>14000</v>
      </c>
      <c r="E900" s="573">
        <v>155</v>
      </c>
      <c r="F900" s="563">
        <v>14000</v>
      </c>
      <c r="G900" s="87">
        <f t="shared" si="14"/>
        <v>0</v>
      </c>
      <c r="H900" s="509"/>
      <c r="I900" s="525"/>
    </row>
    <row r="901" spans="1:9" s="681" customFormat="1" ht="15.75" x14ac:dyDescent="0.25">
      <c r="A901" s="87"/>
      <c r="B901" s="87" t="s">
        <v>1256</v>
      </c>
      <c r="C901" s="555" t="s">
        <v>1340</v>
      </c>
      <c r="D901" s="563">
        <v>14000</v>
      </c>
      <c r="E901" s="573">
        <v>155</v>
      </c>
      <c r="F901" s="563">
        <v>14000</v>
      </c>
      <c r="G901" s="87">
        <f t="shared" si="14"/>
        <v>0</v>
      </c>
      <c r="H901" s="509"/>
      <c r="I901" s="525"/>
    </row>
    <row r="902" spans="1:9" s="681" customFormat="1" ht="15.75" x14ac:dyDescent="0.25">
      <c r="A902" s="87"/>
      <c r="B902" s="87" t="s">
        <v>1256</v>
      </c>
      <c r="C902" s="555" t="s">
        <v>1343</v>
      </c>
      <c r="D902" s="563">
        <v>14000</v>
      </c>
      <c r="E902" s="573">
        <v>155</v>
      </c>
      <c r="F902" s="563">
        <v>14000</v>
      </c>
      <c r="G902" s="87">
        <f t="shared" si="14"/>
        <v>0</v>
      </c>
      <c r="H902" s="509"/>
      <c r="I902" s="525"/>
    </row>
    <row r="903" spans="1:9" s="681" customFormat="1" ht="15.75" x14ac:dyDescent="0.25">
      <c r="A903" s="87"/>
      <c r="B903" s="87" t="s">
        <v>1256</v>
      </c>
      <c r="C903" s="555" t="s">
        <v>1547</v>
      </c>
      <c r="D903" s="563">
        <v>26000</v>
      </c>
      <c r="E903" s="573">
        <v>289</v>
      </c>
      <c r="F903" s="563">
        <v>26000</v>
      </c>
      <c r="G903" s="87">
        <f t="shared" si="14"/>
        <v>0</v>
      </c>
      <c r="H903" s="509"/>
      <c r="I903" s="525"/>
    </row>
    <row r="904" spans="1:9" s="681" customFormat="1" ht="15.75" x14ac:dyDescent="0.25">
      <c r="A904" s="87"/>
      <c r="B904" s="87" t="s">
        <v>1256</v>
      </c>
      <c r="C904" s="555" t="s">
        <v>1548</v>
      </c>
      <c r="D904" s="563">
        <v>26000</v>
      </c>
      <c r="E904" s="573">
        <v>289</v>
      </c>
      <c r="F904" s="563">
        <v>26000</v>
      </c>
      <c r="G904" s="87">
        <f t="shared" si="14"/>
        <v>0</v>
      </c>
      <c r="H904" s="509"/>
      <c r="I904" s="525"/>
    </row>
    <row r="905" spans="1:9" s="681" customFormat="1" ht="15.75" x14ac:dyDescent="0.25">
      <c r="A905" s="87"/>
      <c r="B905" s="87" t="s">
        <v>1256</v>
      </c>
      <c r="C905" s="555" t="s">
        <v>1326</v>
      </c>
      <c r="D905" s="563">
        <v>20000</v>
      </c>
      <c r="E905" s="573">
        <v>222</v>
      </c>
      <c r="F905" s="563">
        <v>20000</v>
      </c>
      <c r="G905" s="87">
        <f t="shared" si="14"/>
        <v>0</v>
      </c>
      <c r="H905" s="509"/>
      <c r="I905" s="525"/>
    </row>
    <row r="906" spans="1:9" s="681" customFormat="1" ht="15.75" x14ac:dyDescent="0.25">
      <c r="A906" s="87"/>
      <c r="B906" s="87" t="s">
        <v>1256</v>
      </c>
      <c r="C906" s="555" t="s">
        <v>1280</v>
      </c>
      <c r="D906" s="563">
        <v>16000</v>
      </c>
      <c r="E906" s="573">
        <v>178</v>
      </c>
      <c r="F906" s="563">
        <v>16000</v>
      </c>
      <c r="G906" s="87">
        <f t="shared" si="14"/>
        <v>0</v>
      </c>
      <c r="H906" s="509"/>
      <c r="I906" s="525"/>
    </row>
    <row r="907" spans="1:9" s="681" customFormat="1" ht="15.75" x14ac:dyDescent="0.25">
      <c r="A907" s="87"/>
      <c r="B907" s="87" t="s">
        <v>1256</v>
      </c>
      <c r="C907" s="555" t="s">
        <v>1549</v>
      </c>
      <c r="D907" s="563">
        <v>10000</v>
      </c>
      <c r="E907" s="573">
        <v>111</v>
      </c>
      <c r="F907" s="563">
        <v>10000</v>
      </c>
      <c r="G907" s="87">
        <f t="shared" si="14"/>
        <v>0</v>
      </c>
      <c r="H907" s="509"/>
      <c r="I907" s="525"/>
    </row>
    <row r="908" spans="1:9" s="681" customFormat="1" ht="15.75" x14ac:dyDescent="0.25">
      <c r="A908" s="87"/>
      <c r="B908" s="87" t="s">
        <v>1256</v>
      </c>
      <c r="C908" s="555" t="s">
        <v>1304</v>
      </c>
      <c r="D908" s="563">
        <v>28000</v>
      </c>
      <c r="E908" s="573">
        <v>311</v>
      </c>
      <c r="F908" s="563">
        <v>28000</v>
      </c>
      <c r="G908" s="87">
        <f t="shared" si="14"/>
        <v>0</v>
      </c>
      <c r="H908" s="509"/>
      <c r="I908" s="525"/>
    </row>
    <row r="909" spans="1:9" s="681" customFormat="1" ht="15.75" x14ac:dyDescent="0.25">
      <c r="A909" s="87"/>
      <c r="B909" s="87" t="s">
        <v>1256</v>
      </c>
      <c r="C909" s="555" t="s">
        <v>819</v>
      </c>
      <c r="D909" s="563">
        <v>3500</v>
      </c>
      <c r="E909" s="573"/>
      <c r="F909" s="563">
        <v>3500</v>
      </c>
      <c r="G909" s="87">
        <f t="shared" si="14"/>
        <v>0</v>
      </c>
      <c r="H909" s="509"/>
      <c r="I909" s="525"/>
    </row>
    <row r="910" spans="1:9" s="681" customFormat="1" ht="15.75" x14ac:dyDescent="0.25">
      <c r="A910" s="87"/>
      <c r="B910" s="87" t="s">
        <v>1256</v>
      </c>
      <c r="C910" s="555" t="s">
        <v>66</v>
      </c>
      <c r="D910" s="563">
        <v>210</v>
      </c>
      <c r="E910" s="573" t="s">
        <v>66</v>
      </c>
      <c r="F910" s="563">
        <v>210</v>
      </c>
      <c r="G910" s="87">
        <f t="shared" si="14"/>
        <v>0</v>
      </c>
      <c r="H910" s="509"/>
      <c r="I910" s="525"/>
    </row>
    <row r="911" spans="1:9" s="681" customFormat="1" ht="15.75" x14ac:dyDescent="0.25">
      <c r="A911" s="87"/>
      <c r="B911" s="87" t="s">
        <v>1256</v>
      </c>
      <c r="C911" s="609" t="s">
        <v>1550</v>
      </c>
      <c r="D911" s="563">
        <v>22000</v>
      </c>
      <c r="E911" s="573">
        <v>245</v>
      </c>
      <c r="F911" s="563">
        <v>22000</v>
      </c>
      <c r="G911" s="87">
        <f t="shared" si="14"/>
        <v>0</v>
      </c>
      <c r="H911" s="509"/>
      <c r="I911" s="525"/>
    </row>
    <row r="912" spans="1:9" s="681" customFormat="1" ht="15.75" x14ac:dyDescent="0.25">
      <c r="A912" s="87"/>
      <c r="B912" s="87" t="s">
        <v>1256</v>
      </c>
      <c r="C912" s="555" t="s">
        <v>1551</v>
      </c>
      <c r="D912" s="563">
        <v>20000</v>
      </c>
      <c r="E912" s="573">
        <v>222</v>
      </c>
      <c r="F912" s="563">
        <v>20000</v>
      </c>
      <c r="G912" s="87">
        <f t="shared" si="14"/>
        <v>0</v>
      </c>
      <c r="H912" s="509"/>
      <c r="I912" s="525"/>
    </row>
    <row r="913" spans="1:12" s="681" customFormat="1" ht="15.75" x14ac:dyDescent="0.25">
      <c r="A913" s="87"/>
      <c r="B913" s="87" t="s">
        <v>1256</v>
      </c>
      <c r="C913" s="555" t="s">
        <v>1552</v>
      </c>
      <c r="D913" s="563">
        <v>20000</v>
      </c>
      <c r="E913" s="573">
        <v>222</v>
      </c>
      <c r="F913" s="563">
        <v>20000</v>
      </c>
      <c r="G913" s="87">
        <f t="shared" si="14"/>
        <v>0</v>
      </c>
      <c r="H913" s="509"/>
      <c r="I913" s="525"/>
    </row>
    <row r="914" spans="1:12" s="681" customFormat="1" ht="15.75" x14ac:dyDescent="0.25">
      <c r="A914" s="87"/>
      <c r="B914" s="87" t="s">
        <v>1256</v>
      </c>
      <c r="C914" s="555" t="s">
        <v>1553</v>
      </c>
      <c r="D914" s="563">
        <v>27000</v>
      </c>
      <c r="E914" s="573">
        <v>300</v>
      </c>
      <c r="F914" s="563">
        <v>27000</v>
      </c>
      <c r="G914" s="87">
        <f t="shared" si="14"/>
        <v>0</v>
      </c>
      <c r="H914" s="509"/>
      <c r="I914" s="525"/>
    </row>
    <row r="915" spans="1:12" s="681" customFormat="1" ht="15.75" x14ac:dyDescent="0.25">
      <c r="A915" s="87"/>
      <c r="B915" s="87" t="s">
        <v>1256</v>
      </c>
      <c r="C915" s="555" t="s">
        <v>1299</v>
      </c>
      <c r="D915" s="563">
        <v>10000</v>
      </c>
      <c r="E915" s="573">
        <v>111</v>
      </c>
      <c r="F915" s="563">
        <v>10000</v>
      </c>
      <c r="G915" s="87">
        <f t="shared" si="14"/>
        <v>0</v>
      </c>
      <c r="H915" s="509"/>
      <c r="I915" s="525"/>
    </row>
    <row r="916" spans="1:12" s="681" customFormat="1" ht="15.75" x14ac:dyDescent="0.25">
      <c r="A916" s="87"/>
      <c r="B916" s="87" t="s">
        <v>1256</v>
      </c>
      <c r="C916" s="555" t="s">
        <v>1287</v>
      </c>
      <c r="D916" s="563">
        <v>13000</v>
      </c>
      <c r="E916" s="573">
        <v>144</v>
      </c>
      <c r="F916" s="563">
        <v>13000</v>
      </c>
      <c r="G916" s="87">
        <f t="shared" si="14"/>
        <v>0</v>
      </c>
      <c r="H916" s="509"/>
      <c r="I916" s="525"/>
    </row>
    <row r="917" spans="1:12" s="681" customFormat="1" ht="15.75" x14ac:dyDescent="0.25">
      <c r="A917" s="87"/>
      <c r="B917" s="87" t="s">
        <v>1256</v>
      </c>
      <c r="C917" s="555" t="s">
        <v>1300</v>
      </c>
      <c r="D917" s="563">
        <v>10000</v>
      </c>
      <c r="E917" s="573">
        <v>111</v>
      </c>
      <c r="F917" s="563">
        <v>10000</v>
      </c>
      <c r="G917" s="87">
        <f t="shared" si="14"/>
        <v>0</v>
      </c>
      <c r="H917" s="509"/>
      <c r="I917" s="525"/>
    </row>
    <row r="918" spans="1:12" s="681" customFormat="1" ht="15.75" x14ac:dyDescent="0.25">
      <c r="A918" s="87"/>
      <c r="B918" s="87" t="s">
        <v>1256</v>
      </c>
      <c r="C918" s="555" t="s">
        <v>1323</v>
      </c>
      <c r="D918" s="563">
        <v>10000</v>
      </c>
      <c r="E918" s="573">
        <v>111</v>
      </c>
      <c r="F918" s="563">
        <v>10000</v>
      </c>
      <c r="G918" s="87">
        <f t="shared" si="14"/>
        <v>0</v>
      </c>
      <c r="H918" s="509"/>
      <c r="I918" s="525"/>
    </row>
    <row r="919" spans="1:12" s="681" customFormat="1" ht="15.75" x14ac:dyDescent="0.25">
      <c r="A919" s="87"/>
      <c r="B919" s="87" t="s">
        <v>1256</v>
      </c>
      <c r="C919" s="555" t="s">
        <v>1295</v>
      </c>
      <c r="D919" s="563">
        <v>10000</v>
      </c>
      <c r="E919" s="573">
        <v>111</v>
      </c>
      <c r="F919" s="563">
        <v>10000</v>
      </c>
      <c r="G919" s="87">
        <f t="shared" si="14"/>
        <v>0</v>
      </c>
      <c r="H919" s="509"/>
      <c r="I919" s="525"/>
    </row>
    <row r="920" spans="1:12" s="681" customFormat="1" ht="15.75" x14ac:dyDescent="0.25">
      <c r="A920" s="87"/>
      <c r="B920" s="87" t="s">
        <v>1256</v>
      </c>
      <c r="C920" s="555" t="s">
        <v>1278</v>
      </c>
      <c r="D920" s="563">
        <v>15000</v>
      </c>
      <c r="E920" s="573">
        <v>158</v>
      </c>
      <c r="F920" s="563">
        <v>15000</v>
      </c>
      <c r="G920" s="87">
        <f t="shared" si="14"/>
        <v>0</v>
      </c>
      <c r="H920" s="509"/>
      <c r="I920" s="525"/>
    </row>
    <row r="921" spans="1:12" s="681" customFormat="1" ht="15.75" x14ac:dyDescent="0.25">
      <c r="A921" s="87"/>
      <c r="B921" s="87" t="s">
        <v>1256</v>
      </c>
      <c r="C921" s="555" t="s">
        <v>1277</v>
      </c>
      <c r="D921" s="563">
        <v>15000</v>
      </c>
      <c r="E921" s="573">
        <v>160</v>
      </c>
      <c r="F921" s="563">
        <v>15000</v>
      </c>
      <c r="G921" s="87">
        <f t="shared" si="14"/>
        <v>0</v>
      </c>
      <c r="H921" s="509"/>
      <c r="I921" s="525"/>
    </row>
    <row r="922" spans="1:12" s="681" customFormat="1" ht="15.75" x14ac:dyDescent="0.25">
      <c r="A922" s="87"/>
      <c r="B922" s="87" t="s">
        <v>1256</v>
      </c>
      <c r="C922" s="555" t="s">
        <v>1229</v>
      </c>
      <c r="D922" s="563">
        <v>5000</v>
      </c>
      <c r="E922" s="573">
        <v>55</v>
      </c>
      <c r="F922" s="563">
        <v>5000</v>
      </c>
      <c r="G922" s="87">
        <f t="shared" si="14"/>
        <v>0</v>
      </c>
      <c r="H922" s="509"/>
      <c r="I922" s="525"/>
    </row>
    <row r="923" spans="1:12" s="681" customFormat="1" ht="15.75" x14ac:dyDescent="0.25">
      <c r="A923" s="87"/>
      <c r="B923" s="87" t="s">
        <v>1256</v>
      </c>
      <c r="C923" s="555" t="s">
        <v>1317</v>
      </c>
      <c r="D923" s="563">
        <v>16000</v>
      </c>
      <c r="E923" s="573">
        <v>178</v>
      </c>
      <c r="F923" s="563">
        <v>16000</v>
      </c>
      <c r="G923" s="87">
        <f t="shared" si="14"/>
        <v>0</v>
      </c>
      <c r="H923" s="509"/>
      <c r="I923" s="525"/>
    </row>
    <row r="924" spans="1:12" s="681" customFormat="1" ht="15.75" x14ac:dyDescent="0.25">
      <c r="A924" s="87"/>
      <c r="B924" s="87" t="s">
        <v>1256</v>
      </c>
      <c r="C924" s="555" t="s">
        <v>1319</v>
      </c>
      <c r="D924" s="563">
        <v>16000</v>
      </c>
      <c r="E924" s="573">
        <v>178</v>
      </c>
      <c r="F924" s="563">
        <v>16000</v>
      </c>
      <c r="G924" s="87">
        <f t="shared" si="14"/>
        <v>0</v>
      </c>
      <c r="H924" s="509"/>
      <c r="I924" s="525"/>
    </row>
    <row r="925" spans="1:12" s="681" customFormat="1" ht="15.75" x14ac:dyDescent="0.25">
      <c r="A925" s="87"/>
      <c r="B925" s="87" t="s">
        <v>1256</v>
      </c>
      <c r="C925" s="555" t="s">
        <v>1419</v>
      </c>
      <c r="D925" s="563">
        <v>27000</v>
      </c>
      <c r="E925" s="573">
        <v>294</v>
      </c>
      <c r="F925" s="563">
        <v>27000</v>
      </c>
      <c r="G925" s="87">
        <f t="shared" si="14"/>
        <v>0</v>
      </c>
      <c r="H925" s="509"/>
      <c r="I925" s="525"/>
    </row>
    <row r="926" spans="1:12" s="681" customFormat="1" ht="15.75" x14ac:dyDescent="0.25">
      <c r="A926" s="87"/>
      <c r="B926" s="87" t="s">
        <v>1256</v>
      </c>
      <c r="C926" s="555" t="s">
        <v>1554</v>
      </c>
      <c r="D926" s="563">
        <v>22000</v>
      </c>
      <c r="E926" s="573">
        <v>215</v>
      </c>
      <c r="F926" s="563">
        <v>22000</v>
      </c>
      <c r="G926" s="87">
        <f t="shared" si="14"/>
        <v>0</v>
      </c>
      <c r="H926" s="509"/>
      <c r="I926" s="525"/>
    </row>
    <row r="927" spans="1:12" s="681" customFormat="1" ht="15.75" x14ac:dyDescent="0.25">
      <c r="A927" s="87"/>
      <c r="B927" s="87" t="s">
        <v>1256</v>
      </c>
      <c r="C927" s="555" t="s">
        <v>1555</v>
      </c>
      <c r="D927" s="563">
        <v>27000</v>
      </c>
      <c r="E927" s="573">
        <v>300</v>
      </c>
      <c r="F927" s="563">
        <v>27000</v>
      </c>
      <c r="G927" s="87">
        <f t="shared" si="14"/>
        <v>0</v>
      </c>
      <c r="H927" s="509"/>
      <c r="I927" s="525"/>
    </row>
    <row r="928" spans="1:12" ht="15.75" x14ac:dyDescent="0.25">
      <c r="A928" s="87"/>
      <c r="B928" s="1"/>
      <c r="C928" s="669" t="s">
        <v>9</v>
      </c>
      <c r="D928" s="569">
        <f>SUM(D4:D927)</f>
        <v>17795025</v>
      </c>
      <c r="E928" s="569">
        <f>SUM(E5:E927)</f>
        <v>315283.46000000002</v>
      </c>
      <c r="F928" s="569">
        <f>SUM(F4:F927)</f>
        <v>17795025</v>
      </c>
      <c r="G928" s="494"/>
      <c r="H928" s="509"/>
      <c r="I928" s="525"/>
      <c r="J928" s="667"/>
      <c r="K928" s="667"/>
      <c r="L928" s="667"/>
    </row>
    <row r="929" spans="1:12" ht="18.75" x14ac:dyDescent="0.3">
      <c r="A929" s="87"/>
      <c r="B929" s="1"/>
      <c r="C929" s="669" t="s">
        <v>10</v>
      </c>
      <c r="D929" s="670">
        <f>SUM(D928-H929)</f>
        <v>1995025</v>
      </c>
      <c r="E929" s="569"/>
      <c r="F929" s="569" t="s">
        <v>10</v>
      </c>
      <c r="G929" s="671">
        <f>SUM(F928-H929)</f>
        <v>1995025</v>
      </c>
      <c r="H929" s="639">
        <f>SUM(H5:H445)</f>
        <v>15800000</v>
      </c>
      <c r="I929" s="525"/>
      <c r="J929" s="667"/>
      <c r="K929" s="667"/>
      <c r="L929" s="66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9"/>
  <sheetViews>
    <sheetView workbookViewId="0">
      <selection activeCell="G30" sqref="G30"/>
    </sheetView>
  </sheetViews>
  <sheetFormatPr defaultRowHeight="14.25" x14ac:dyDescent="0.2"/>
  <cols>
    <col min="2" max="2" width="13.875" customWidth="1"/>
    <col min="3" max="3" width="14" customWidth="1"/>
    <col min="5" max="5" width="12.625" customWidth="1"/>
    <col min="6" max="6" width="13.375" customWidth="1"/>
    <col min="7" max="7" width="13.5" customWidth="1"/>
  </cols>
  <sheetData>
    <row r="2" spans="1:12" ht="21" x14ac:dyDescent="0.35">
      <c r="A2" s="510"/>
      <c r="B2" s="510"/>
      <c r="C2" s="419" t="s">
        <v>772</v>
      </c>
      <c r="D2" s="419"/>
      <c r="E2" s="419"/>
      <c r="F2" s="510"/>
      <c r="G2" s="510"/>
    </row>
    <row r="3" spans="1:12" ht="15" x14ac:dyDescent="0.25">
      <c r="A3" s="510"/>
      <c r="B3" s="510"/>
      <c r="C3" s="511"/>
      <c r="D3" s="682">
        <v>45352</v>
      </c>
      <c r="E3" s="512"/>
      <c r="F3" s="510"/>
      <c r="G3" s="510"/>
    </row>
    <row r="4" spans="1:12" ht="15.75" x14ac:dyDescent="0.25">
      <c r="A4" s="30" t="s">
        <v>2</v>
      </c>
      <c r="B4" s="30" t="s">
        <v>97</v>
      </c>
      <c r="C4" s="30" t="s">
        <v>4</v>
      </c>
      <c r="D4" s="30" t="s">
        <v>5</v>
      </c>
      <c r="E4" s="30" t="s">
        <v>4</v>
      </c>
      <c r="F4" s="30" t="s">
        <v>98</v>
      </c>
      <c r="G4" s="417" t="s">
        <v>8</v>
      </c>
    </row>
    <row r="5" spans="1:12" ht="15.75" x14ac:dyDescent="0.25">
      <c r="A5" s="108" t="s">
        <v>1256</v>
      </c>
      <c r="B5" s="162" t="s">
        <v>374</v>
      </c>
      <c r="C5" s="210">
        <v>2418580</v>
      </c>
      <c r="D5" s="162"/>
      <c r="E5" s="210">
        <v>2418580</v>
      </c>
      <c r="F5" s="30"/>
      <c r="G5" s="107"/>
    </row>
    <row r="6" spans="1:12" ht="15.75" x14ac:dyDescent="0.25">
      <c r="A6" s="87" t="s">
        <v>1257</v>
      </c>
      <c r="B6" s="553" t="s">
        <v>1557</v>
      </c>
      <c r="C6" s="563">
        <v>20000</v>
      </c>
      <c r="D6" s="573">
        <v>222</v>
      </c>
      <c r="E6" s="563">
        <v>20000</v>
      </c>
      <c r="F6" s="87">
        <f t="shared" ref="F6:F69" si="0">C6-E6</f>
        <v>0</v>
      </c>
      <c r="G6" s="509">
        <v>600000</v>
      </c>
      <c r="H6" s="509" t="s">
        <v>1257</v>
      </c>
      <c r="I6" s="89" t="s">
        <v>548</v>
      </c>
      <c r="J6" s="522"/>
      <c r="K6" s="204"/>
      <c r="L6" s="51"/>
    </row>
    <row r="7" spans="1:12" ht="15.75" x14ac:dyDescent="0.25">
      <c r="A7" s="87" t="s">
        <v>1257</v>
      </c>
      <c r="B7" s="553" t="s">
        <v>1397</v>
      </c>
      <c r="C7" s="563">
        <v>20000</v>
      </c>
      <c r="D7" s="573">
        <v>222</v>
      </c>
      <c r="E7" s="563">
        <v>20000</v>
      </c>
      <c r="F7" s="87">
        <f t="shared" si="0"/>
        <v>0</v>
      </c>
      <c r="G7" s="509">
        <v>500000</v>
      </c>
      <c r="H7" s="509" t="s">
        <v>1258</v>
      </c>
      <c r="I7" s="89" t="s">
        <v>548</v>
      </c>
      <c r="J7" s="522"/>
      <c r="K7" s="204"/>
      <c r="L7" s="51"/>
    </row>
    <row r="8" spans="1:12" ht="15.75" x14ac:dyDescent="0.25">
      <c r="A8" s="87" t="s">
        <v>1257</v>
      </c>
      <c r="B8" s="554" t="s">
        <v>1275</v>
      </c>
      <c r="C8" s="563">
        <v>14000</v>
      </c>
      <c r="D8" s="573">
        <v>155</v>
      </c>
      <c r="E8" s="563">
        <v>14000</v>
      </c>
      <c r="F8" s="87">
        <f t="shared" si="0"/>
        <v>0</v>
      </c>
      <c r="G8" s="509">
        <v>1000000</v>
      </c>
      <c r="H8" s="509" t="s">
        <v>1259</v>
      </c>
      <c r="I8" s="89" t="s">
        <v>548</v>
      </c>
      <c r="J8" s="522"/>
      <c r="K8" s="204"/>
      <c r="L8" s="51"/>
    </row>
    <row r="9" spans="1:12" ht="15.75" x14ac:dyDescent="0.25">
      <c r="A9" s="87" t="s">
        <v>1257</v>
      </c>
      <c r="B9" s="553" t="s">
        <v>1545</v>
      </c>
      <c r="C9" s="563">
        <v>18000</v>
      </c>
      <c r="D9" s="573">
        <v>200</v>
      </c>
      <c r="E9" s="563">
        <v>18000</v>
      </c>
      <c r="F9" s="87">
        <f t="shared" si="0"/>
        <v>0</v>
      </c>
      <c r="G9" s="509">
        <v>400000</v>
      </c>
      <c r="H9" s="509" t="s">
        <v>1261</v>
      </c>
      <c r="I9" s="89" t="s">
        <v>548</v>
      </c>
      <c r="J9" s="522"/>
      <c r="K9" s="204"/>
      <c r="L9" s="51"/>
    </row>
    <row r="10" spans="1:12" ht="15.75" x14ac:dyDescent="0.25">
      <c r="A10" s="87" t="s">
        <v>1257</v>
      </c>
      <c r="B10" s="554" t="s">
        <v>30</v>
      </c>
      <c r="C10" s="563">
        <v>10000</v>
      </c>
      <c r="D10" s="573">
        <v>111</v>
      </c>
      <c r="E10" s="563">
        <v>10000</v>
      </c>
      <c r="F10" s="87">
        <f t="shared" si="0"/>
        <v>0</v>
      </c>
      <c r="G10" s="509">
        <v>500000</v>
      </c>
      <c r="H10" s="509" t="s">
        <v>1260</v>
      </c>
      <c r="I10" s="89" t="s">
        <v>548</v>
      </c>
      <c r="J10" s="522"/>
      <c r="K10" s="204"/>
      <c r="L10" s="51"/>
    </row>
    <row r="11" spans="1:12" ht="15.75" x14ac:dyDescent="0.25">
      <c r="A11" s="87" t="s">
        <v>1257</v>
      </c>
      <c r="B11" s="553" t="s">
        <v>30</v>
      </c>
      <c r="C11" s="563">
        <v>4500</v>
      </c>
      <c r="D11" s="573">
        <v>50</v>
      </c>
      <c r="E11" s="563">
        <v>4500</v>
      </c>
      <c r="F11" s="87">
        <f t="shared" si="0"/>
        <v>0</v>
      </c>
      <c r="G11" s="509">
        <v>600000</v>
      </c>
      <c r="H11" s="509" t="s">
        <v>1262</v>
      </c>
      <c r="I11" s="89" t="s">
        <v>548</v>
      </c>
      <c r="J11" s="522"/>
      <c r="K11" s="204"/>
      <c r="L11" s="51"/>
    </row>
    <row r="12" spans="1:12" ht="15.75" x14ac:dyDescent="0.25">
      <c r="A12" s="87" t="s">
        <v>1257</v>
      </c>
      <c r="B12" s="553" t="s">
        <v>1558</v>
      </c>
      <c r="C12" s="563">
        <v>10000</v>
      </c>
      <c r="D12" s="573">
        <v>111</v>
      </c>
      <c r="E12" s="563">
        <v>10000</v>
      </c>
      <c r="F12" s="87">
        <f t="shared" si="0"/>
        <v>0</v>
      </c>
      <c r="G12" s="509">
        <v>300000</v>
      </c>
      <c r="H12" s="509" t="s">
        <v>1263</v>
      </c>
      <c r="I12" s="89" t="s">
        <v>548</v>
      </c>
      <c r="J12" s="522"/>
      <c r="K12" s="204"/>
      <c r="L12" s="51"/>
    </row>
    <row r="13" spans="1:12" ht="15.75" x14ac:dyDescent="0.25">
      <c r="A13" s="87" t="s">
        <v>1257</v>
      </c>
      <c r="B13" s="553" t="s">
        <v>1559</v>
      </c>
      <c r="C13" s="563">
        <v>26000</v>
      </c>
      <c r="D13" s="573">
        <v>289</v>
      </c>
      <c r="E13" s="563">
        <v>26000</v>
      </c>
      <c r="F13" s="87">
        <f t="shared" si="0"/>
        <v>0</v>
      </c>
      <c r="G13" s="509">
        <v>500000</v>
      </c>
      <c r="H13" s="509" t="s">
        <v>1264</v>
      </c>
      <c r="I13" s="89" t="s">
        <v>548</v>
      </c>
      <c r="J13" s="522"/>
      <c r="K13" s="204"/>
      <c r="L13" s="51"/>
    </row>
    <row r="14" spans="1:12" ht="15.75" x14ac:dyDescent="0.25">
      <c r="A14" s="87" t="s">
        <v>1257</v>
      </c>
      <c r="B14" s="553" t="s">
        <v>1560</v>
      </c>
      <c r="C14" s="563">
        <v>27000</v>
      </c>
      <c r="D14" s="573">
        <v>296</v>
      </c>
      <c r="E14" s="563">
        <v>27000</v>
      </c>
      <c r="F14" s="87">
        <f t="shared" si="0"/>
        <v>0</v>
      </c>
      <c r="G14" s="509">
        <v>500000</v>
      </c>
      <c r="H14" s="525" t="s">
        <v>1265</v>
      </c>
      <c r="I14" s="89" t="s">
        <v>548</v>
      </c>
      <c r="J14" s="522"/>
      <c r="K14" s="204"/>
      <c r="L14" s="51"/>
    </row>
    <row r="15" spans="1:12" ht="15.75" x14ac:dyDescent="0.25">
      <c r="A15" s="87" t="s">
        <v>1257</v>
      </c>
      <c r="B15" s="555" t="s">
        <v>30</v>
      </c>
      <c r="C15" s="563">
        <v>5000</v>
      </c>
      <c r="D15" s="573">
        <v>55</v>
      </c>
      <c r="E15" s="563">
        <v>5000</v>
      </c>
      <c r="F15" s="87">
        <f t="shared" si="0"/>
        <v>0</v>
      </c>
      <c r="G15" s="509">
        <v>200000</v>
      </c>
      <c r="H15" s="525" t="s">
        <v>1556</v>
      </c>
      <c r="I15" s="89" t="s">
        <v>548</v>
      </c>
      <c r="J15" s="522"/>
      <c r="K15" s="204"/>
      <c r="L15" s="51"/>
    </row>
    <row r="16" spans="1:12" ht="15.75" x14ac:dyDescent="0.25">
      <c r="A16" s="87" t="s">
        <v>1257</v>
      </c>
      <c r="B16" s="555" t="s">
        <v>1269</v>
      </c>
      <c r="C16" s="563">
        <v>19000</v>
      </c>
      <c r="D16" s="573">
        <v>202</v>
      </c>
      <c r="E16" s="563">
        <v>19000</v>
      </c>
      <c r="F16" s="87">
        <f t="shared" si="0"/>
        <v>0</v>
      </c>
      <c r="G16" s="509">
        <v>300000</v>
      </c>
      <c r="H16" s="525" t="s">
        <v>1678</v>
      </c>
      <c r="I16" s="89" t="s">
        <v>548</v>
      </c>
      <c r="J16" s="522"/>
      <c r="K16" s="204"/>
      <c r="L16" s="51"/>
    </row>
    <row r="17" spans="1:13" ht="15.75" x14ac:dyDescent="0.25">
      <c r="A17" s="87" t="s">
        <v>1257</v>
      </c>
      <c r="B17" s="555" t="s">
        <v>1561</v>
      </c>
      <c r="C17" s="563">
        <v>20000</v>
      </c>
      <c r="D17" s="573">
        <v>222</v>
      </c>
      <c r="E17" s="563">
        <v>20000</v>
      </c>
      <c r="F17" s="87">
        <f t="shared" si="0"/>
        <v>0</v>
      </c>
      <c r="G17" s="613">
        <v>3232</v>
      </c>
      <c r="H17" s="614" t="s">
        <v>1067</v>
      </c>
      <c r="I17" s="684" t="s">
        <v>1679</v>
      </c>
      <c r="J17" s="685"/>
      <c r="K17" s="615"/>
      <c r="L17" s="172"/>
    </row>
    <row r="18" spans="1:13" ht="15.75" x14ac:dyDescent="0.25">
      <c r="A18" s="87" t="s">
        <v>1257</v>
      </c>
      <c r="B18" s="555" t="s">
        <v>1290</v>
      </c>
      <c r="C18" s="563">
        <v>15000</v>
      </c>
      <c r="D18" s="573">
        <v>167</v>
      </c>
      <c r="E18" s="563">
        <v>15000</v>
      </c>
      <c r="F18" s="87">
        <f t="shared" si="0"/>
        <v>0</v>
      </c>
      <c r="G18" s="509">
        <v>400000</v>
      </c>
      <c r="H18" s="525" t="s">
        <v>1680</v>
      </c>
      <c r="I18" s="89" t="s">
        <v>548</v>
      </c>
      <c r="J18" s="522"/>
      <c r="K18" s="204"/>
      <c r="L18" s="51"/>
    </row>
    <row r="19" spans="1:13" ht="15.75" x14ac:dyDescent="0.25">
      <c r="A19" s="87" t="s">
        <v>1257</v>
      </c>
      <c r="B19" s="555" t="s">
        <v>1279</v>
      </c>
      <c r="C19" s="563">
        <v>10000</v>
      </c>
      <c r="D19" s="573">
        <v>11</v>
      </c>
      <c r="E19" s="563">
        <v>10000</v>
      </c>
      <c r="F19" s="87">
        <f t="shared" si="0"/>
        <v>0</v>
      </c>
      <c r="G19" s="509">
        <v>400000</v>
      </c>
      <c r="H19" s="525" t="s">
        <v>1681</v>
      </c>
      <c r="I19" s="89" t="s">
        <v>548</v>
      </c>
      <c r="J19" s="522"/>
      <c r="K19" s="204"/>
      <c r="L19" s="51"/>
    </row>
    <row r="20" spans="1:13" ht="15.75" x14ac:dyDescent="0.25">
      <c r="A20" s="87" t="s">
        <v>1257</v>
      </c>
      <c r="B20" s="555" t="s">
        <v>1228</v>
      </c>
      <c r="C20" s="563">
        <v>13000</v>
      </c>
      <c r="D20" s="573">
        <v>144</v>
      </c>
      <c r="E20" s="563">
        <v>13000</v>
      </c>
      <c r="F20" s="87">
        <f t="shared" si="0"/>
        <v>0</v>
      </c>
      <c r="G20" s="509">
        <v>100000</v>
      </c>
      <c r="H20" s="525" t="s">
        <v>1682</v>
      </c>
      <c r="I20" s="89" t="s">
        <v>548</v>
      </c>
      <c r="J20" s="522"/>
      <c r="K20" s="204"/>
      <c r="L20" s="51"/>
    </row>
    <row r="21" spans="1:13" ht="15.75" x14ac:dyDescent="0.25">
      <c r="A21" s="87" t="s">
        <v>1257</v>
      </c>
      <c r="B21" s="555" t="s">
        <v>1272</v>
      </c>
      <c r="C21" s="563">
        <v>15000</v>
      </c>
      <c r="D21" s="573">
        <v>167</v>
      </c>
      <c r="E21" s="563">
        <v>15000</v>
      </c>
      <c r="F21" s="87">
        <f t="shared" si="0"/>
        <v>0</v>
      </c>
      <c r="G21" s="509">
        <v>900000</v>
      </c>
      <c r="H21" s="525" t="s">
        <v>1683</v>
      </c>
      <c r="I21" s="89" t="s">
        <v>548</v>
      </c>
      <c r="J21" s="522"/>
      <c r="K21" s="204"/>
      <c r="L21" s="51"/>
    </row>
    <row r="22" spans="1:13" ht="15.75" x14ac:dyDescent="0.25">
      <c r="A22" s="87" t="s">
        <v>1257</v>
      </c>
      <c r="B22" s="555" t="s">
        <v>1315</v>
      </c>
      <c r="C22" s="563">
        <v>17000</v>
      </c>
      <c r="D22" s="573">
        <v>189</v>
      </c>
      <c r="E22" s="563">
        <v>17000</v>
      </c>
      <c r="F22" s="87">
        <f t="shared" si="0"/>
        <v>0</v>
      </c>
      <c r="G22" s="509">
        <v>600000</v>
      </c>
      <c r="H22" s="525" t="s">
        <v>1684</v>
      </c>
      <c r="I22" s="89" t="s">
        <v>548</v>
      </c>
      <c r="J22" s="522"/>
      <c r="K22" s="204"/>
      <c r="L22" s="51"/>
      <c r="M22" s="683" t="s">
        <v>1685</v>
      </c>
    </row>
    <row r="23" spans="1:13" ht="15.75" x14ac:dyDescent="0.25">
      <c r="A23" s="87" t="s">
        <v>1257</v>
      </c>
      <c r="B23" s="555" t="s">
        <v>1416</v>
      </c>
      <c r="C23" s="563">
        <v>24000</v>
      </c>
      <c r="D23" s="573">
        <v>267</v>
      </c>
      <c r="E23" s="563">
        <v>24000</v>
      </c>
      <c r="F23" s="87">
        <f t="shared" si="0"/>
        <v>0</v>
      </c>
      <c r="G23" s="509">
        <v>200000</v>
      </c>
      <c r="H23" s="525" t="s">
        <v>1686</v>
      </c>
      <c r="I23" s="89" t="s">
        <v>548</v>
      </c>
      <c r="J23" s="522"/>
      <c r="K23" s="204"/>
      <c r="L23" s="51"/>
    </row>
    <row r="24" spans="1:13" ht="15.75" x14ac:dyDescent="0.25">
      <c r="A24" s="87" t="s">
        <v>1257</v>
      </c>
      <c r="B24" s="555" t="s">
        <v>1562</v>
      </c>
      <c r="C24" s="563">
        <v>30000</v>
      </c>
      <c r="D24" s="573">
        <v>334</v>
      </c>
      <c r="E24" s="563">
        <v>30000</v>
      </c>
      <c r="F24" s="87">
        <f t="shared" si="0"/>
        <v>0</v>
      </c>
      <c r="G24" s="509">
        <v>200000</v>
      </c>
      <c r="H24" s="525" t="s">
        <v>1687</v>
      </c>
      <c r="I24" s="89" t="s">
        <v>548</v>
      </c>
      <c r="J24" s="522"/>
      <c r="K24" s="204"/>
      <c r="L24" s="51"/>
    </row>
    <row r="25" spans="1:13" ht="15.75" x14ac:dyDescent="0.25">
      <c r="A25" s="87" t="s">
        <v>1257</v>
      </c>
      <c r="B25" s="555" t="s">
        <v>1563</v>
      </c>
      <c r="C25" s="563">
        <v>19500</v>
      </c>
      <c r="D25" s="573">
        <v>217</v>
      </c>
      <c r="E25" s="563">
        <v>19500</v>
      </c>
      <c r="F25" s="87">
        <f t="shared" si="0"/>
        <v>0</v>
      </c>
      <c r="G25" s="509">
        <v>200000</v>
      </c>
      <c r="H25" s="525" t="s">
        <v>1688</v>
      </c>
    </row>
    <row r="26" spans="1:13" ht="15.75" x14ac:dyDescent="0.25">
      <c r="A26" s="87" t="s">
        <v>1257</v>
      </c>
      <c r="B26" s="555" t="s">
        <v>1564</v>
      </c>
      <c r="C26" s="563">
        <v>32000</v>
      </c>
      <c r="D26" s="573">
        <v>343</v>
      </c>
      <c r="E26" s="563">
        <v>32000</v>
      </c>
      <c r="F26" s="87">
        <f t="shared" si="0"/>
        <v>0</v>
      </c>
      <c r="G26" s="509">
        <v>300000</v>
      </c>
      <c r="H26" s="525" t="s">
        <v>1689</v>
      </c>
    </row>
    <row r="27" spans="1:13" ht="15.75" x14ac:dyDescent="0.25">
      <c r="A27" s="87" t="s">
        <v>1257</v>
      </c>
      <c r="B27" s="555" t="s">
        <v>1235</v>
      </c>
      <c r="C27" s="563">
        <v>16000</v>
      </c>
      <c r="D27" s="573">
        <v>178</v>
      </c>
      <c r="E27" s="563">
        <v>16000</v>
      </c>
      <c r="F27" s="87">
        <f t="shared" si="0"/>
        <v>0</v>
      </c>
      <c r="G27" s="509">
        <v>800000</v>
      </c>
      <c r="H27" s="525" t="s">
        <v>1690</v>
      </c>
    </row>
    <row r="28" spans="1:13" ht="15.75" x14ac:dyDescent="0.25">
      <c r="A28" s="87" t="s">
        <v>1257</v>
      </c>
      <c r="B28" s="555" t="s">
        <v>1444</v>
      </c>
      <c r="C28" s="563">
        <v>32000</v>
      </c>
      <c r="D28" s="573">
        <v>356</v>
      </c>
      <c r="E28" s="563">
        <v>32000</v>
      </c>
      <c r="F28" s="87">
        <f t="shared" si="0"/>
        <v>0</v>
      </c>
      <c r="G28" s="509">
        <v>200000</v>
      </c>
      <c r="H28" s="525" t="s">
        <v>1691</v>
      </c>
      <c r="I28" s="686"/>
      <c r="J28" s="686"/>
      <c r="K28" s="686"/>
      <c r="L28" s="686"/>
    </row>
    <row r="29" spans="1:13" ht="15.75" x14ac:dyDescent="0.25">
      <c r="A29" s="87" t="s">
        <v>1257</v>
      </c>
      <c r="B29" s="555" t="s">
        <v>1271</v>
      </c>
      <c r="C29" s="563">
        <v>15000</v>
      </c>
      <c r="D29" s="573">
        <v>155</v>
      </c>
      <c r="E29" s="563">
        <v>15000</v>
      </c>
      <c r="F29" s="87">
        <f t="shared" si="0"/>
        <v>0</v>
      </c>
      <c r="G29" s="509">
        <v>1000000</v>
      </c>
      <c r="H29" s="525" t="s">
        <v>1692</v>
      </c>
      <c r="I29" s="686"/>
      <c r="J29" s="686"/>
      <c r="K29" s="686"/>
      <c r="L29" s="686"/>
    </row>
    <row r="30" spans="1:13" ht="15.75" x14ac:dyDescent="0.25">
      <c r="A30" s="87" t="s">
        <v>1257</v>
      </c>
      <c r="B30" s="555" t="s">
        <v>1565</v>
      </c>
      <c r="C30" s="563">
        <v>10000</v>
      </c>
      <c r="D30" s="573">
        <v>111</v>
      </c>
      <c r="E30" s="563">
        <v>10000</v>
      </c>
      <c r="F30" s="87">
        <f t="shared" si="0"/>
        <v>0</v>
      </c>
      <c r="G30" s="509">
        <v>200000</v>
      </c>
      <c r="H30" s="525" t="s">
        <v>1693</v>
      </c>
      <c r="I30" s="686"/>
      <c r="J30" s="686"/>
      <c r="K30" s="686"/>
      <c r="L30" s="686"/>
    </row>
    <row r="31" spans="1:13" ht="15.75" x14ac:dyDescent="0.25">
      <c r="A31" s="87" t="s">
        <v>1257</v>
      </c>
      <c r="B31" s="555" t="s">
        <v>1354</v>
      </c>
      <c r="C31" s="563">
        <v>16000</v>
      </c>
      <c r="D31" s="573">
        <v>178</v>
      </c>
      <c r="E31" s="563">
        <v>16000</v>
      </c>
      <c r="F31" s="87">
        <f t="shared" si="0"/>
        <v>0</v>
      </c>
      <c r="G31" s="509">
        <v>500000</v>
      </c>
      <c r="H31" s="525" t="s">
        <v>1694</v>
      </c>
      <c r="I31" s="686"/>
      <c r="J31" s="686"/>
      <c r="K31" s="686"/>
      <c r="L31" s="686"/>
    </row>
    <row r="32" spans="1:13" ht="15.75" x14ac:dyDescent="0.25">
      <c r="A32" s="87" t="s">
        <v>1257</v>
      </c>
      <c r="B32" s="555" t="s">
        <v>1566</v>
      </c>
      <c r="C32" s="563">
        <v>15000</v>
      </c>
      <c r="D32" s="573">
        <v>162</v>
      </c>
      <c r="E32" s="563">
        <v>15000</v>
      </c>
      <c r="F32" s="87">
        <f t="shared" si="0"/>
        <v>0</v>
      </c>
      <c r="G32" s="509">
        <v>400000</v>
      </c>
      <c r="H32" s="525" t="s">
        <v>1695</v>
      </c>
      <c r="I32" s="686"/>
      <c r="J32" s="686"/>
      <c r="K32" s="686"/>
      <c r="L32" s="686"/>
    </row>
    <row r="33" spans="1:12" ht="15.75" x14ac:dyDescent="0.25">
      <c r="A33" s="87" t="s">
        <v>1258</v>
      </c>
      <c r="B33" s="555" t="s">
        <v>1567</v>
      </c>
      <c r="C33" s="563">
        <v>25000</v>
      </c>
      <c r="D33" s="573">
        <v>264</v>
      </c>
      <c r="E33" s="563">
        <v>25000</v>
      </c>
      <c r="F33" s="87">
        <f t="shared" si="0"/>
        <v>0</v>
      </c>
      <c r="G33" s="509">
        <v>600000</v>
      </c>
      <c r="H33" s="525" t="s">
        <v>1696</v>
      </c>
      <c r="I33" s="686"/>
      <c r="J33" s="686"/>
      <c r="K33" s="686"/>
      <c r="L33" s="686"/>
    </row>
    <row r="34" spans="1:12" ht="15.75" x14ac:dyDescent="0.25">
      <c r="A34" s="87" t="s">
        <v>1258</v>
      </c>
      <c r="B34" s="555" t="s">
        <v>1481</v>
      </c>
      <c r="C34" s="563">
        <v>30000</v>
      </c>
      <c r="D34" s="573">
        <v>334</v>
      </c>
      <c r="E34" s="563">
        <v>30000</v>
      </c>
      <c r="F34" s="87">
        <f t="shared" si="0"/>
        <v>0</v>
      </c>
      <c r="G34" s="509">
        <v>700000</v>
      </c>
      <c r="H34" s="525" t="s">
        <v>1697</v>
      </c>
      <c r="I34" s="686"/>
      <c r="J34" s="686"/>
      <c r="K34" s="686"/>
      <c r="L34" s="686"/>
    </row>
    <row r="35" spans="1:12" ht="15.75" x14ac:dyDescent="0.25">
      <c r="A35" s="87" t="s">
        <v>1258</v>
      </c>
      <c r="B35" s="555" t="s">
        <v>1568</v>
      </c>
      <c r="C35" s="563">
        <v>10000</v>
      </c>
      <c r="D35" s="573">
        <v>111</v>
      </c>
      <c r="E35" s="563">
        <v>10000</v>
      </c>
      <c r="F35" s="87">
        <f t="shared" si="0"/>
        <v>0</v>
      </c>
      <c r="G35" s="509">
        <v>900000</v>
      </c>
      <c r="H35" s="525" t="s">
        <v>1698</v>
      </c>
      <c r="I35" s="686"/>
      <c r="J35" s="686"/>
      <c r="K35" s="686"/>
      <c r="L35" s="686"/>
    </row>
    <row r="36" spans="1:12" ht="15.75" x14ac:dyDescent="0.25">
      <c r="A36" s="87" t="s">
        <v>1258</v>
      </c>
      <c r="B36" s="555" t="s">
        <v>1569</v>
      </c>
      <c r="C36" s="563">
        <v>8000</v>
      </c>
      <c r="D36" s="573">
        <v>89</v>
      </c>
      <c r="E36" s="563">
        <v>8000</v>
      </c>
      <c r="F36" s="87">
        <f t="shared" si="0"/>
        <v>0</v>
      </c>
      <c r="G36" s="509">
        <v>1200000</v>
      </c>
      <c r="H36" s="525" t="s">
        <v>1699</v>
      </c>
    </row>
    <row r="37" spans="1:12" ht="15.75" x14ac:dyDescent="0.25">
      <c r="A37" s="87" t="s">
        <v>1258</v>
      </c>
      <c r="B37" s="555" t="s">
        <v>1570</v>
      </c>
      <c r="C37" s="563">
        <v>10000</v>
      </c>
      <c r="D37" s="573">
        <v>111</v>
      </c>
      <c r="E37" s="563">
        <v>10000</v>
      </c>
      <c r="F37" s="87">
        <f t="shared" si="0"/>
        <v>0</v>
      </c>
      <c r="G37" s="509">
        <v>700000</v>
      </c>
      <c r="H37" s="525" t="s">
        <v>1700</v>
      </c>
    </row>
    <row r="38" spans="1:12" ht="15.75" x14ac:dyDescent="0.25">
      <c r="A38" s="87" t="s">
        <v>1258</v>
      </c>
      <c r="B38" s="555" t="s">
        <v>1571</v>
      </c>
      <c r="C38" s="563">
        <v>23000</v>
      </c>
      <c r="D38" s="573">
        <v>233</v>
      </c>
      <c r="E38" s="563">
        <v>23000</v>
      </c>
      <c r="F38" s="87">
        <f t="shared" si="0"/>
        <v>0</v>
      </c>
      <c r="G38" s="509">
        <v>500000</v>
      </c>
      <c r="H38" s="525" t="s">
        <v>1701</v>
      </c>
    </row>
    <row r="39" spans="1:12" ht="15.75" x14ac:dyDescent="0.25">
      <c r="A39" s="87" t="s">
        <v>1258</v>
      </c>
      <c r="B39" s="555" t="s">
        <v>1572</v>
      </c>
      <c r="C39" s="563">
        <v>25000</v>
      </c>
      <c r="D39" s="573">
        <v>255</v>
      </c>
      <c r="E39" s="563">
        <v>25000</v>
      </c>
      <c r="F39" s="87">
        <f t="shared" si="0"/>
        <v>0</v>
      </c>
      <c r="G39" s="509">
        <v>400000</v>
      </c>
      <c r="H39" s="525" t="s">
        <v>1702</v>
      </c>
    </row>
    <row r="40" spans="1:12" ht="15.75" x14ac:dyDescent="0.25">
      <c r="A40" s="87" t="s">
        <v>1258</v>
      </c>
      <c r="B40" s="555" t="s">
        <v>1286</v>
      </c>
      <c r="C40" s="563">
        <v>15000</v>
      </c>
      <c r="D40" s="573">
        <v>167</v>
      </c>
      <c r="E40" s="563">
        <v>15000</v>
      </c>
      <c r="F40" s="87">
        <f t="shared" si="0"/>
        <v>0</v>
      </c>
      <c r="G40" s="509">
        <v>500000</v>
      </c>
      <c r="H40" s="525" t="s">
        <v>1703</v>
      </c>
    </row>
    <row r="41" spans="1:12" ht="15.75" x14ac:dyDescent="0.25">
      <c r="A41" s="87" t="s">
        <v>1258</v>
      </c>
      <c r="B41" s="555" t="s">
        <v>1300</v>
      </c>
      <c r="C41" s="563">
        <v>10000</v>
      </c>
      <c r="D41" s="573">
        <v>111</v>
      </c>
      <c r="E41" s="563">
        <v>10000</v>
      </c>
      <c r="F41" s="87">
        <f t="shared" si="0"/>
        <v>0</v>
      </c>
      <c r="G41" s="509">
        <v>500000</v>
      </c>
      <c r="H41" s="525" t="s">
        <v>1704</v>
      </c>
    </row>
    <row r="42" spans="1:12" ht="15.75" x14ac:dyDescent="0.25">
      <c r="A42" s="87" t="s">
        <v>1258</v>
      </c>
      <c r="B42" s="555" t="s">
        <v>30</v>
      </c>
      <c r="C42" s="563">
        <v>4500</v>
      </c>
      <c r="D42" s="573">
        <v>50</v>
      </c>
      <c r="E42" s="563">
        <v>4500</v>
      </c>
      <c r="F42" s="87">
        <f t="shared" si="0"/>
        <v>0</v>
      </c>
      <c r="G42" s="509">
        <v>500000</v>
      </c>
      <c r="H42" s="525" t="s">
        <v>1704</v>
      </c>
    </row>
    <row r="43" spans="1:12" ht="15.75" x14ac:dyDescent="0.25">
      <c r="A43" s="87" t="s">
        <v>1258</v>
      </c>
      <c r="B43" s="555" t="s">
        <v>1573</v>
      </c>
      <c r="C43" s="563">
        <v>10000</v>
      </c>
      <c r="D43" s="573">
        <v>11</v>
      </c>
      <c r="E43" s="563">
        <v>10000</v>
      </c>
      <c r="F43" s="87">
        <f t="shared" si="0"/>
        <v>0</v>
      </c>
      <c r="G43" s="509">
        <v>200000</v>
      </c>
      <c r="H43" s="525" t="s">
        <v>1706</v>
      </c>
    </row>
    <row r="44" spans="1:12" ht="15.75" x14ac:dyDescent="0.25">
      <c r="A44" s="87" t="s">
        <v>1258</v>
      </c>
      <c r="B44" s="555" t="s">
        <v>1574</v>
      </c>
      <c r="C44" s="563">
        <v>30000</v>
      </c>
      <c r="D44" s="573">
        <v>334</v>
      </c>
      <c r="E44" s="563">
        <v>30000</v>
      </c>
      <c r="F44" s="87">
        <f t="shared" si="0"/>
        <v>0</v>
      </c>
      <c r="G44" s="509">
        <v>400000</v>
      </c>
      <c r="H44" s="525" t="s">
        <v>1705</v>
      </c>
    </row>
    <row r="45" spans="1:12" ht="15.75" x14ac:dyDescent="0.25">
      <c r="A45" s="87" t="s">
        <v>1258</v>
      </c>
      <c r="B45" s="555" t="s">
        <v>1575</v>
      </c>
      <c r="C45" s="563">
        <v>32000</v>
      </c>
      <c r="D45" s="573">
        <v>356</v>
      </c>
      <c r="E45" s="563">
        <v>32000</v>
      </c>
      <c r="F45" s="87">
        <f t="shared" si="0"/>
        <v>0</v>
      </c>
      <c r="G45" s="509">
        <v>300000</v>
      </c>
      <c r="H45" s="525" t="s">
        <v>1707</v>
      </c>
    </row>
    <row r="46" spans="1:12" ht="15.75" x14ac:dyDescent="0.25">
      <c r="A46" s="87" t="s">
        <v>1258</v>
      </c>
      <c r="B46" s="555" t="s">
        <v>1576</v>
      </c>
      <c r="C46" s="563">
        <v>17000</v>
      </c>
      <c r="D46" s="573">
        <v>189</v>
      </c>
      <c r="E46" s="563">
        <v>17000</v>
      </c>
      <c r="F46" s="87">
        <f t="shared" si="0"/>
        <v>0</v>
      </c>
      <c r="G46" s="509">
        <v>400000</v>
      </c>
      <c r="H46" s="525" t="s">
        <v>1708</v>
      </c>
    </row>
    <row r="47" spans="1:12" ht="15.75" x14ac:dyDescent="0.25">
      <c r="A47" s="87" t="s">
        <v>1258</v>
      </c>
      <c r="B47" s="555" t="s">
        <v>1577</v>
      </c>
      <c r="C47" s="563">
        <v>17000</v>
      </c>
      <c r="D47" s="573">
        <v>189</v>
      </c>
      <c r="E47" s="563">
        <v>17000</v>
      </c>
      <c r="F47" s="87">
        <f t="shared" si="0"/>
        <v>0</v>
      </c>
      <c r="G47" s="509">
        <v>500000</v>
      </c>
      <c r="H47" s="525" t="s">
        <v>1709</v>
      </c>
    </row>
    <row r="48" spans="1:12" ht="15.75" x14ac:dyDescent="0.25">
      <c r="A48" s="87" t="s">
        <v>1258</v>
      </c>
      <c r="B48" s="555" t="s">
        <v>66</v>
      </c>
      <c r="C48" s="563">
        <v>210</v>
      </c>
      <c r="D48" s="573" t="s">
        <v>66</v>
      </c>
      <c r="E48" s="563">
        <v>210</v>
      </c>
      <c r="F48" s="87">
        <f t="shared" si="0"/>
        <v>0</v>
      </c>
      <c r="G48" s="509">
        <v>400000</v>
      </c>
      <c r="H48" s="525" t="s">
        <v>1710</v>
      </c>
    </row>
    <row r="49" spans="1:10" ht="15.75" x14ac:dyDescent="0.25">
      <c r="A49" s="87" t="s">
        <v>1258</v>
      </c>
      <c r="B49" s="555" t="s">
        <v>66</v>
      </c>
      <c r="C49" s="563">
        <v>100</v>
      </c>
      <c r="D49" s="573" t="s">
        <v>66</v>
      </c>
      <c r="E49" s="563">
        <v>100</v>
      </c>
      <c r="F49" s="87">
        <f t="shared" si="0"/>
        <v>0</v>
      </c>
      <c r="G49" s="509">
        <v>700000</v>
      </c>
      <c r="H49" s="525" t="s">
        <v>1711</v>
      </c>
    </row>
    <row r="50" spans="1:10" ht="15.75" x14ac:dyDescent="0.25">
      <c r="A50" s="87" t="s">
        <v>1258</v>
      </c>
      <c r="B50" s="555" t="s">
        <v>1295</v>
      </c>
      <c r="C50" s="563">
        <v>10000</v>
      </c>
      <c r="D50" s="573">
        <v>106</v>
      </c>
      <c r="E50" s="563">
        <v>10000</v>
      </c>
      <c r="F50" s="87">
        <f t="shared" si="0"/>
        <v>0</v>
      </c>
      <c r="G50" s="509">
        <v>500000</v>
      </c>
      <c r="H50" s="525" t="s">
        <v>1712</v>
      </c>
    </row>
    <row r="51" spans="1:10" ht="15.75" x14ac:dyDescent="0.25">
      <c r="A51" s="87" t="s">
        <v>1258</v>
      </c>
      <c r="B51" s="555" t="s">
        <v>1408</v>
      </c>
      <c r="C51" s="563">
        <v>10000</v>
      </c>
      <c r="D51" s="573">
        <v>106</v>
      </c>
      <c r="E51" s="563">
        <v>10000</v>
      </c>
      <c r="F51" s="87">
        <f t="shared" si="0"/>
        <v>0</v>
      </c>
      <c r="G51" s="509"/>
      <c r="H51" s="525" t="s">
        <v>1714</v>
      </c>
    </row>
    <row r="52" spans="1:10" ht="15.75" x14ac:dyDescent="0.25">
      <c r="A52" s="87" t="s">
        <v>1258</v>
      </c>
      <c r="B52" s="555" t="s">
        <v>1578</v>
      </c>
      <c r="C52" s="563">
        <v>10000</v>
      </c>
      <c r="D52" s="573">
        <v>106</v>
      </c>
      <c r="E52" s="563">
        <v>10000</v>
      </c>
      <c r="F52" s="87">
        <f t="shared" si="0"/>
        <v>0</v>
      </c>
      <c r="G52" s="509">
        <v>400000</v>
      </c>
      <c r="H52" s="525" t="s">
        <v>1715</v>
      </c>
    </row>
    <row r="53" spans="1:10" ht="15.75" x14ac:dyDescent="0.25">
      <c r="A53" s="87" t="s">
        <v>1258</v>
      </c>
      <c r="B53" s="555" t="s">
        <v>1579</v>
      </c>
      <c r="C53" s="563">
        <v>30000</v>
      </c>
      <c r="D53" s="573">
        <v>279</v>
      </c>
      <c r="E53" s="563">
        <v>30000</v>
      </c>
      <c r="F53" s="87">
        <f t="shared" si="0"/>
        <v>0</v>
      </c>
      <c r="G53" s="509">
        <v>100000</v>
      </c>
      <c r="H53" s="525" t="s">
        <v>1713</v>
      </c>
      <c r="I53" s="33" t="s">
        <v>1716</v>
      </c>
      <c r="J53" s="33"/>
    </row>
    <row r="54" spans="1:10" ht="15.75" x14ac:dyDescent="0.25">
      <c r="A54" s="87" t="s">
        <v>1258</v>
      </c>
      <c r="B54" s="555" t="s">
        <v>1287</v>
      </c>
      <c r="C54" s="563">
        <v>13000</v>
      </c>
      <c r="D54" s="573">
        <v>138</v>
      </c>
      <c r="E54" s="563">
        <v>13000</v>
      </c>
      <c r="F54" s="87">
        <f t="shared" si="0"/>
        <v>0</v>
      </c>
      <c r="G54" s="509">
        <v>400000</v>
      </c>
      <c r="H54" s="525" t="s">
        <v>1717</v>
      </c>
    </row>
    <row r="55" spans="1:10" ht="15.75" x14ac:dyDescent="0.25">
      <c r="A55" s="87" t="s">
        <v>1258</v>
      </c>
      <c r="B55" s="555" t="s">
        <v>1288</v>
      </c>
      <c r="C55" s="563">
        <v>17000</v>
      </c>
      <c r="D55" s="573">
        <v>181</v>
      </c>
      <c r="E55" s="563">
        <v>17000</v>
      </c>
      <c r="F55" s="87">
        <f t="shared" si="0"/>
        <v>0</v>
      </c>
      <c r="G55" s="509">
        <v>800000</v>
      </c>
      <c r="H55" s="525" t="s">
        <v>1718</v>
      </c>
    </row>
    <row r="56" spans="1:10" ht="15.75" x14ac:dyDescent="0.25">
      <c r="A56" s="87" t="s">
        <v>1258</v>
      </c>
      <c r="B56" s="555" t="s">
        <v>1278</v>
      </c>
      <c r="C56" s="563">
        <v>15000</v>
      </c>
      <c r="D56" s="573">
        <v>159</v>
      </c>
      <c r="E56" s="563">
        <v>15000</v>
      </c>
      <c r="F56" s="87">
        <f t="shared" si="0"/>
        <v>0</v>
      </c>
      <c r="G56" s="509">
        <v>300000</v>
      </c>
      <c r="H56" s="525" t="s">
        <v>1719</v>
      </c>
    </row>
    <row r="57" spans="1:10" ht="15.75" x14ac:dyDescent="0.25">
      <c r="A57" s="87" t="s">
        <v>1258</v>
      </c>
      <c r="B57" s="555" t="s">
        <v>1521</v>
      </c>
      <c r="C57" s="563">
        <v>17000</v>
      </c>
      <c r="D57" s="573">
        <v>181</v>
      </c>
      <c r="E57" s="563">
        <v>17000</v>
      </c>
      <c r="F57" s="87">
        <f t="shared" si="0"/>
        <v>0</v>
      </c>
      <c r="G57" s="509"/>
      <c r="H57" s="525" t="s">
        <v>1710</v>
      </c>
    </row>
    <row r="58" spans="1:10" ht="15.75" x14ac:dyDescent="0.25">
      <c r="A58" s="87" t="s">
        <v>1258</v>
      </c>
      <c r="B58" s="555" t="s">
        <v>1580</v>
      </c>
      <c r="C58" s="563">
        <v>25000</v>
      </c>
      <c r="D58" s="573">
        <v>266</v>
      </c>
      <c r="E58" s="563">
        <v>25000</v>
      </c>
      <c r="F58" s="87">
        <f t="shared" si="0"/>
        <v>0</v>
      </c>
      <c r="G58" s="509"/>
      <c r="H58" s="525" t="s">
        <v>1710</v>
      </c>
    </row>
    <row r="59" spans="1:10" ht="15" x14ac:dyDescent="0.25">
      <c r="A59" s="87" t="s">
        <v>1258</v>
      </c>
      <c r="B59" s="555" t="s">
        <v>1581</v>
      </c>
      <c r="C59" s="563">
        <v>30000</v>
      </c>
      <c r="D59" s="573">
        <v>334</v>
      </c>
      <c r="E59" s="563">
        <v>30000</v>
      </c>
      <c r="F59" s="87">
        <f t="shared" si="0"/>
        <v>0</v>
      </c>
      <c r="G59" s="87"/>
    </row>
    <row r="60" spans="1:10" ht="15" x14ac:dyDescent="0.25">
      <c r="A60" s="87" t="s">
        <v>1258</v>
      </c>
      <c r="B60" s="555" t="s">
        <v>1582</v>
      </c>
      <c r="C60" s="563">
        <v>15000</v>
      </c>
      <c r="D60" s="573">
        <v>167</v>
      </c>
      <c r="E60" s="563">
        <v>15000</v>
      </c>
      <c r="F60" s="87">
        <f t="shared" si="0"/>
        <v>0</v>
      </c>
      <c r="G60" s="87"/>
    </row>
    <row r="61" spans="1:10" ht="15" x14ac:dyDescent="0.25">
      <c r="A61" s="87" t="s">
        <v>1258</v>
      </c>
      <c r="B61" s="555" t="s">
        <v>1583</v>
      </c>
      <c r="C61" s="563">
        <v>31000</v>
      </c>
      <c r="D61" s="573">
        <v>345</v>
      </c>
      <c r="E61" s="563">
        <v>31000</v>
      </c>
      <c r="F61" s="87">
        <f t="shared" si="0"/>
        <v>0</v>
      </c>
      <c r="G61" s="87"/>
    </row>
    <row r="62" spans="1:10" ht="15" x14ac:dyDescent="0.25">
      <c r="A62" s="87" t="s">
        <v>1258</v>
      </c>
      <c r="B62" s="555" t="s">
        <v>1584</v>
      </c>
      <c r="C62" s="563">
        <v>31000</v>
      </c>
      <c r="D62" s="573">
        <v>345</v>
      </c>
      <c r="E62" s="563">
        <v>31000</v>
      </c>
      <c r="F62" s="87">
        <f t="shared" si="0"/>
        <v>0</v>
      </c>
      <c r="G62" s="87"/>
    </row>
    <row r="63" spans="1:10" ht="15" x14ac:dyDescent="0.25">
      <c r="A63" s="87" t="s">
        <v>1258</v>
      </c>
      <c r="B63" s="555" t="s">
        <v>1585</v>
      </c>
      <c r="C63" s="563">
        <v>14000</v>
      </c>
      <c r="D63" s="573">
        <v>155</v>
      </c>
      <c r="E63" s="563">
        <v>14000</v>
      </c>
      <c r="F63" s="87">
        <f t="shared" si="0"/>
        <v>0</v>
      </c>
      <c r="G63" s="87"/>
    </row>
    <row r="64" spans="1:10" ht="15" x14ac:dyDescent="0.25">
      <c r="A64" s="87" t="s">
        <v>1258</v>
      </c>
      <c r="B64" s="555" t="s">
        <v>1277</v>
      </c>
      <c r="C64" s="563">
        <v>15000</v>
      </c>
      <c r="D64" s="573">
        <v>167</v>
      </c>
      <c r="E64" s="563">
        <v>15000</v>
      </c>
      <c r="F64" s="87">
        <f t="shared" si="0"/>
        <v>0</v>
      </c>
      <c r="G64" s="87"/>
    </row>
    <row r="65" spans="1:7" ht="15" x14ac:dyDescent="0.25">
      <c r="A65" s="87" t="s">
        <v>1258</v>
      </c>
      <c r="B65" s="555" t="s">
        <v>1359</v>
      </c>
      <c r="C65" s="563">
        <v>30000</v>
      </c>
      <c r="D65" s="573">
        <v>294</v>
      </c>
      <c r="E65" s="563">
        <v>30000</v>
      </c>
      <c r="F65" s="87">
        <f t="shared" si="0"/>
        <v>0</v>
      </c>
      <c r="G65" s="87"/>
    </row>
    <row r="66" spans="1:7" ht="15" x14ac:dyDescent="0.25">
      <c r="A66" s="87" t="s">
        <v>1258</v>
      </c>
      <c r="B66" s="555" t="s">
        <v>1586</v>
      </c>
      <c r="C66" s="563">
        <v>30000</v>
      </c>
      <c r="D66" s="573">
        <v>334</v>
      </c>
      <c r="E66" s="563">
        <v>30000</v>
      </c>
      <c r="F66" s="87">
        <f t="shared" si="0"/>
        <v>0</v>
      </c>
      <c r="G66" s="87"/>
    </row>
    <row r="67" spans="1:7" ht="15" x14ac:dyDescent="0.25">
      <c r="A67" s="87" t="s">
        <v>1258</v>
      </c>
      <c r="B67" s="555" t="s">
        <v>1587</v>
      </c>
      <c r="C67" s="563">
        <v>30000</v>
      </c>
      <c r="D67" s="573">
        <v>334</v>
      </c>
      <c r="E67" s="563">
        <v>30000</v>
      </c>
      <c r="F67" s="87">
        <f t="shared" si="0"/>
        <v>0</v>
      </c>
      <c r="G67" s="87"/>
    </row>
    <row r="68" spans="1:7" ht="15" x14ac:dyDescent="0.25">
      <c r="A68" s="87" t="s">
        <v>1258</v>
      </c>
      <c r="B68" s="555" t="s">
        <v>1588</v>
      </c>
      <c r="C68" s="563">
        <v>31000</v>
      </c>
      <c r="D68" s="573">
        <v>340</v>
      </c>
      <c r="E68" s="563">
        <v>31000</v>
      </c>
      <c r="F68" s="87">
        <f t="shared" si="0"/>
        <v>0</v>
      </c>
      <c r="G68" s="87"/>
    </row>
    <row r="69" spans="1:7" ht="15" x14ac:dyDescent="0.25">
      <c r="A69" s="87" t="s">
        <v>1589</v>
      </c>
      <c r="B69" s="555" t="s">
        <v>1227</v>
      </c>
      <c r="C69" s="563">
        <v>22000</v>
      </c>
      <c r="D69" s="573">
        <v>245</v>
      </c>
      <c r="E69" s="563">
        <v>22000</v>
      </c>
      <c r="F69" s="87">
        <f t="shared" si="0"/>
        <v>0</v>
      </c>
      <c r="G69" s="87"/>
    </row>
    <row r="70" spans="1:7" ht="15" x14ac:dyDescent="0.25">
      <c r="A70" s="87" t="s">
        <v>1589</v>
      </c>
      <c r="B70" s="555" t="s">
        <v>30</v>
      </c>
      <c r="C70" s="563">
        <v>5000</v>
      </c>
      <c r="D70" s="573">
        <v>55</v>
      </c>
      <c r="E70" s="563">
        <v>5000</v>
      </c>
      <c r="F70" s="87">
        <f t="shared" ref="F70:F133" si="1">C70-E70</f>
        <v>0</v>
      </c>
      <c r="G70" s="87"/>
    </row>
    <row r="71" spans="1:7" ht="15" x14ac:dyDescent="0.25">
      <c r="A71" s="87" t="s">
        <v>1589</v>
      </c>
      <c r="B71" s="555" t="s">
        <v>1289</v>
      </c>
      <c r="C71" s="563">
        <v>15000</v>
      </c>
      <c r="D71" s="573">
        <v>167</v>
      </c>
      <c r="E71" s="563">
        <v>15000</v>
      </c>
      <c r="F71" s="87">
        <f t="shared" si="1"/>
        <v>0</v>
      </c>
      <c r="G71" s="87"/>
    </row>
    <row r="72" spans="1:7" ht="15" x14ac:dyDescent="0.25">
      <c r="A72" s="87" t="s">
        <v>1589</v>
      </c>
      <c r="B72" s="555" t="s">
        <v>1332</v>
      </c>
      <c r="C72" s="563">
        <v>18000</v>
      </c>
      <c r="D72" s="573">
        <v>195</v>
      </c>
      <c r="E72" s="563">
        <v>18000</v>
      </c>
      <c r="F72" s="87">
        <f t="shared" si="1"/>
        <v>0</v>
      </c>
      <c r="G72" s="87"/>
    </row>
    <row r="73" spans="1:7" ht="15" x14ac:dyDescent="0.25">
      <c r="A73" s="87" t="s">
        <v>1589</v>
      </c>
      <c r="B73" s="555" t="s">
        <v>1330</v>
      </c>
      <c r="C73" s="563">
        <v>15000</v>
      </c>
      <c r="D73" s="573">
        <v>167</v>
      </c>
      <c r="E73" s="563">
        <v>15000</v>
      </c>
      <c r="F73" s="87">
        <f t="shared" si="1"/>
        <v>0</v>
      </c>
      <c r="G73" s="87"/>
    </row>
    <row r="74" spans="1:7" ht="15" x14ac:dyDescent="0.25">
      <c r="A74" s="87" t="s">
        <v>1589</v>
      </c>
      <c r="B74" s="555" t="s">
        <v>1590</v>
      </c>
      <c r="C74" s="563">
        <v>27000</v>
      </c>
      <c r="D74" s="573">
        <v>300</v>
      </c>
      <c r="E74" s="563">
        <v>27000</v>
      </c>
      <c r="F74" s="87">
        <f t="shared" si="1"/>
        <v>0</v>
      </c>
      <c r="G74" s="87"/>
    </row>
    <row r="75" spans="1:7" ht="15" x14ac:dyDescent="0.25">
      <c r="A75" s="87" t="s">
        <v>1589</v>
      </c>
      <c r="B75" s="555" t="s">
        <v>1381</v>
      </c>
      <c r="C75" s="563">
        <v>32000</v>
      </c>
      <c r="D75" s="573">
        <v>340</v>
      </c>
      <c r="E75" s="563">
        <v>32000</v>
      </c>
      <c r="F75" s="87">
        <f t="shared" si="1"/>
        <v>0</v>
      </c>
      <c r="G75" s="87"/>
    </row>
    <row r="76" spans="1:7" ht="15" x14ac:dyDescent="0.25">
      <c r="A76" s="87" t="s">
        <v>1589</v>
      </c>
      <c r="B76" s="555" t="s">
        <v>1591</v>
      </c>
      <c r="C76" s="563">
        <v>26000</v>
      </c>
      <c r="D76" s="573">
        <v>277</v>
      </c>
      <c r="E76" s="563">
        <v>26000</v>
      </c>
      <c r="F76" s="87">
        <f t="shared" si="1"/>
        <v>0</v>
      </c>
      <c r="G76" s="87"/>
    </row>
    <row r="77" spans="1:7" ht="15" x14ac:dyDescent="0.25">
      <c r="A77" s="87" t="s">
        <v>1589</v>
      </c>
      <c r="B77" s="555" t="s">
        <v>1592</v>
      </c>
      <c r="C77" s="563">
        <v>25000</v>
      </c>
      <c r="D77" s="573">
        <v>266</v>
      </c>
      <c r="E77" s="563">
        <v>25000</v>
      </c>
      <c r="F77" s="87">
        <f t="shared" si="1"/>
        <v>0</v>
      </c>
      <c r="G77" s="87"/>
    </row>
    <row r="78" spans="1:7" ht="15" x14ac:dyDescent="0.25">
      <c r="A78" s="87" t="s">
        <v>1589</v>
      </c>
      <c r="B78" s="555" t="s">
        <v>1283</v>
      </c>
      <c r="C78" s="563">
        <v>10000</v>
      </c>
      <c r="D78" s="573">
        <v>106</v>
      </c>
      <c r="E78" s="563">
        <v>10000</v>
      </c>
      <c r="F78" s="87">
        <f t="shared" si="1"/>
        <v>0</v>
      </c>
      <c r="G78" s="87"/>
    </row>
    <row r="79" spans="1:7" ht="15" x14ac:dyDescent="0.25">
      <c r="A79" s="87" t="s">
        <v>1589</v>
      </c>
      <c r="B79" s="555" t="s">
        <v>1230</v>
      </c>
      <c r="C79" s="563">
        <v>25000</v>
      </c>
      <c r="D79" s="573">
        <v>278</v>
      </c>
      <c r="E79" s="563">
        <v>25000</v>
      </c>
      <c r="F79" s="87">
        <f t="shared" si="1"/>
        <v>0</v>
      </c>
      <c r="G79" s="87"/>
    </row>
    <row r="80" spans="1:7" ht="15" x14ac:dyDescent="0.25">
      <c r="A80" s="87" t="s">
        <v>1589</v>
      </c>
      <c r="B80" s="555" t="s">
        <v>1486</v>
      </c>
      <c r="C80" s="563">
        <v>16000</v>
      </c>
      <c r="D80" s="573">
        <v>178</v>
      </c>
      <c r="E80" s="563">
        <v>16000</v>
      </c>
      <c r="F80" s="87">
        <f t="shared" si="1"/>
        <v>0</v>
      </c>
      <c r="G80" s="87"/>
    </row>
    <row r="81" spans="1:7" ht="15" x14ac:dyDescent="0.25">
      <c r="A81" s="87" t="s">
        <v>1589</v>
      </c>
      <c r="B81" s="555" t="s">
        <v>30</v>
      </c>
      <c r="C81" s="563">
        <v>10000</v>
      </c>
      <c r="D81" s="573">
        <v>111</v>
      </c>
      <c r="E81" s="563">
        <v>10000</v>
      </c>
      <c r="F81" s="87">
        <f t="shared" si="1"/>
        <v>0</v>
      </c>
      <c r="G81" s="87"/>
    </row>
    <row r="82" spans="1:7" ht="15" x14ac:dyDescent="0.25">
      <c r="A82" s="87" t="s">
        <v>1589</v>
      </c>
      <c r="B82" s="555" t="s">
        <v>1593</v>
      </c>
      <c r="C82" s="563">
        <v>11000</v>
      </c>
      <c r="D82" s="573">
        <v>122</v>
      </c>
      <c r="E82" s="563">
        <v>11000</v>
      </c>
      <c r="F82" s="87">
        <f t="shared" si="1"/>
        <v>0</v>
      </c>
      <c r="G82" s="87"/>
    </row>
    <row r="83" spans="1:7" ht="15" x14ac:dyDescent="0.25">
      <c r="A83" s="87" t="s">
        <v>1589</v>
      </c>
      <c r="B83" s="555" t="s">
        <v>1594</v>
      </c>
      <c r="C83" s="563">
        <v>15000</v>
      </c>
      <c r="D83" s="573">
        <v>167</v>
      </c>
      <c r="E83" s="563">
        <v>15000</v>
      </c>
      <c r="F83" s="87">
        <f t="shared" si="1"/>
        <v>0</v>
      </c>
      <c r="G83" s="87"/>
    </row>
    <row r="84" spans="1:7" ht="15" x14ac:dyDescent="0.25">
      <c r="A84" s="87" t="s">
        <v>1589</v>
      </c>
      <c r="B84" s="555" t="s">
        <v>1595</v>
      </c>
      <c r="C84" s="563">
        <v>29000</v>
      </c>
      <c r="D84" s="573">
        <v>318</v>
      </c>
      <c r="E84" s="563">
        <v>29000</v>
      </c>
      <c r="F84" s="87">
        <f t="shared" si="1"/>
        <v>0</v>
      </c>
      <c r="G84" s="87"/>
    </row>
    <row r="85" spans="1:7" ht="15" x14ac:dyDescent="0.25">
      <c r="A85" s="87" t="s">
        <v>1589</v>
      </c>
      <c r="B85" s="555" t="s">
        <v>1596</v>
      </c>
      <c r="C85" s="563">
        <v>19000</v>
      </c>
      <c r="D85" s="573">
        <v>211</v>
      </c>
      <c r="E85" s="563">
        <v>19000</v>
      </c>
      <c r="F85" s="87">
        <f t="shared" si="1"/>
        <v>0</v>
      </c>
      <c r="G85" s="87"/>
    </row>
    <row r="86" spans="1:7" ht="15" x14ac:dyDescent="0.25">
      <c r="A86" s="87" t="s">
        <v>1589</v>
      </c>
      <c r="B86" s="555" t="s">
        <v>1597</v>
      </c>
      <c r="C86" s="563">
        <v>26000</v>
      </c>
      <c r="D86" s="573">
        <v>280</v>
      </c>
      <c r="E86" s="563">
        <v>26000</v>
      </c>
      <c r="F86" s="87">
        <f t="shared" si="1"/>
        <v>0</v>
      </c>
      <c r="G86" s="87"/>
    </row>
    <row r="87" spans="1:7" ht="15" x14ac:dyDescent="0.25">
      <c r="A87" s="87" t="s">
        <v>1589</v>
      </c>
      <c r="B87" s="555" t="s">
        <v>1598</v>
      </c>
      <c r="C87" s="563">
        <v>21000</v>
      </c>
      <c r="D87" s="573">
        <v>233</v>
      </c>
      <c r="E87" s="563">
        <v>21000</v>
      </c>
      <c r="F87" s="87">
        <f t="shared" si="1"/>
        <v>0</v>
      </c>
      <c r="G87" s="87"/>
    </row>
    <row r="88" spans="1:7" ht="15" x14ac:dyDescent="0.25">
      <c r="A88" s="87" t="s">
        <v>1259</v>
      </c>
      <c r="B88" s="555">
        <v>5252</v>
      </c>
      <c r="C88" s="563">
        <v>17000</v>
      </c>
      <c r="D88" s="573">
        <v>189</v>
      </c>
      <c r="E88" s="563">
        <v>17000</v>
      </c>
      <c r="F88" s="87">
        <f t="shared" si="1"/>
        <v>0</v>
      </c>
      <c r="G88" s="87"/>
    </row>
    <row r="89" spans="1:7" ht="15" x14ac:dyDescent="0.25">
      <c r="A89" s="87" t="s">
        <v>1259</v>
      </c>
      <c r="B89" s="555" t="s">
        <v>1599</v>
      </c>
      <c r="C89" s="563">
        <v>18000</v>
      </c>
      <c r="D89" s="573">
        <v>199</v>
      </c>
      <c r="E89" s="563">
        <v>18000</v>
      </c>
      <c r="F89" s="87">
        <f t="shared" si="1"/>
        <v>0</v>
      </c>
      <c r="G89" s="87"/>
    </row>
    <row r="90" spans="1:7" ht="15" x14ac:dyDescent="0.25">
      <c r="A90" s="87" t="s">
        <v>1259</v>
      </c>
      <c r="B90" s="555" t="s">
        <v>1600</v>
      </c>
      <c r="C90" s="563">
        <v>10000</v>
      </c>
      <c r="D90" s="573">
        <v>111</v>
      </c>
      <c r="E90" s="563">
        <v>10000</v>
      </c>
      <c r="F90" s="87">
        <f t="shared" si="1"/>
        <v>0</v>
      </c>
      <c r="G90" s="87"/>
    </row>
    <row r="91" spans="1:7" ht="15" x14ac:dyDescent="0.25">
      <c r="A91" s="87" t="s">
        <v>1259</v>
      </c>
      <c r="B91" s="555" t="s">
        <v>1601</v>
      </c>
      <c r="C91" s="563">
        <v>21000</v>
      </c>
      <c r="D91" s="573">
        <v>233</v>
      </c>
      <c r="E91" s="563">
        <v>21000</v>
      </c>
      <c r="F91" s="87">
        <f t="shared" si="1"/>
        <v>0</v>
      </c>
      <c r="G91" s="87"/>
    </row>
    <row r="92" spans="1:7" ht="15" x14ac:dyDescent="0.25">
      <c r="A92" s="87" t="s">
        <v>1259</v>
      </c>
      <c r="B92" s="555" t="s">
        <v>1602</v>
      </c>
      <c r="C92" s="563">
        <v>20000</v>
      </c>
      <c r="D92" s="573">
        <v>222</v>
      </c>
      <c r="E92" s="563">
        <v>20000</v>
      </c>
      <c r="F92" s="87">
        <f t="shared" si="1"/>
        <v>0</v>
      </c>
      <c r="G92" s="87"/>
    </row>
    <row r="93" spans="1:7" ht="15" x14ac:dyDescent="0.25">
      <c r="A93" s="87" t="s">
        <v>1259</v>
      </c>
      <c r="B93" s="555" t="s">
        <v>1603</v>
      </c>
      <c r="C93" s="563">
        <v>20000</v>
      </c>
      <c r="D93" s="573">
        <v>211</v>
      </c>
      <c r="E93" s="563">
        <v>20000</v>
      </c>
      <c r="F93" s="87">
        <f t="shared" si="1"/>
        <v>0</v>
      </c>
      <c r="G93" s="87"/>
    </row>
    <row r="94" spans="1:7" ht="15" x14ac:dyDescent="0.25">
      <c r="A94" s="87" t="s">
        <v>1259</v>
      </c>
      <c r="B94" s="555" t="s">
        <v>1604</v>
      </c>
      <c r="C94" s="563">
        <v>23000</v>
      </c>
      <c r="D94" s="573">
        <v>253</v>
      </c>
      <c r="E94" s="563">
        <v>23000</v>
      </c>
      <c r="F94" s="87">
        <f t="shared" si="1"/>
        <v>0</v>
      </c>
      <c r="G94" s="87"/>
    </row>
    <row r="95" spans="1:7" ht="15" x14ac:dyDescent="0.25">
      <c r="A95" s="87" t="s">
        <v>1259</v>
      </c>
      <c r="B95" s="555" t="s">
        <v>1605</v>
      </c>
      <c r="C95" s="563">
        <v>19000</v>
      </c>
      <c r="D95" s="573">
        <v>211</v>
      </c>
      <c r="E95" s="563">
        <v>19000</v>
      </c>
      <c r="F95" s="87">
        <f t="shared" si="1"/>
        <v>0</v>
      </c>
      <c r="G95" s="87"/>
    </row>
    <row r="96" spans="1:7" ht="15" x14ac:dyDescent="0.25">
      <c r="A96" s="87" t="s">
        <v>1259</v>
      </c>
      <c r="B96" s="555" t="s">
        <v>1606</v>
      </c>
      <c r="C96" s="563">
        <v>26000</v>
      </c>
      <c r="D96" s="573">
        <v>289</v>
      </c>
      <c r="E96" s="563">
        <v>26000</v>
      </c>
      <c r="F96" s="87">
        <f t="shared" si="1"/>
        <v>0</v>
      </c>
      <c r="G96" s="87"/>
    </row>
    <row r="97" spans="1:7" ht="15" x14ac:dyDescent="0.25">
      <c r="A97" s="87" t="s">
        <v>1259</v>
      </c>
      <c r="B97" s="555" t="s">
        <v>30</v>
      </c>
      <c r="C97" s="563">
        <v>4500</v>
      </c>
      <c r="D97" s="573">
        <v>50</v>
      </c>
      <c r="E97" s="563">
        <v>4500</v>
      </c>
      <c r="F97" s="87">
        <f t="shared" si="1"/>
        <v>0</v>
      </c>
      <c r="G97" s="87"/>
    </row>
    <row r="98" spans="1:7" ht="15" x14ac:dyDescent="0.25">
      <c r="A98" s="87" t="s">
        <v>1259</v>
      </c>
      <c r="B98" s="555" t="s">
        <v>1545</v>
      </c>
      <c r="C98" s="563">
        <v>18000</v>
      </c>
      <c r="D98" s="573">
        <v>200</v>
      </c>
      <c r="E98" s="563">
        <v>18000</v>
      </c>
      <c r="F98" s="87">
        <f t="shared" si="1"/>
        <v>0</v>
      </c>
      <c r="G98" s="87"/>
    </row>
    <row r="99" spans="1:7" ht="15" x14ac:dyDescent="0.25">
      <c r="A99" s="87" t="s">
        <v>1259</v>
      </c>
      <c r="B99" s="555" t="s">
        <v>1268</v>
      </c>
      <c r="C99" s="563">
        <v>18000</v>
      </c>
      <c r="D99" s="573">
        <v>200</v>
      </c>
      <c r="E99" s="563">
        <v>18000</v>
      </c>
      <c r="F99" s="87">
        <f t="shared" si="1"/>
        <v>0</v>
      </c>
      <c r="G99" s="87"/>
    </row>
    <row r="100" spans="1:7" ht="15" x14ac:dyDescent="0.25">
      <c r="A100" s="87" t="s">
        <v>1259</v>
      </c>
      <c r="B100" s="555" t="s">
        <v>1326</v>
      </c>
      <c r="C100" s="563">
        <v>18000</v>
      </c>
      <c r="D100" s="573">
        <v>155</v>
      </c>
      <c r="E100" s="563">
        <v>18000</v>
      </c>
      <c r="F100" s="87">
        <f t="shared" si="1"/>
        <v>0</v>
      </c>
      <c r="G100" s="87"/>
    </row>
    <row r="101" spans="1:7" ht="15" x14ac:dyDescent="0.25">
      <c r="A101" s="87" t="s">
        <v>1259</v>
      </c>
      <c r="B101" s="555" t="s">
        <v>66</v>
      </c>
      <c r="C101" s="563">
        <v>210</v>
      </c>
      <c r="D101" s="573" t="s">
        <v>66</v>
      </c>
      <c r="E101" s="563">
        <v>210</v>
      </c>
      <c r="F101" s="87">
        <f t="shared" si="1"/>
        <v>0</v>
      </c>
      <c r="G101" s="87"/>
    </row>
    <row r="102" spans="1:7" ht="15" x14ac:dyDescent="0.25">
      <c r="A102" s="87" t="s">
        <v>1259</v>
      </c>
      <c r="B102" s="555" t="s">
        <v>1607</v>
      </c>
      <c r="C102" s="563">
        <v>25000</v>
      </c>
      <c r="D102" s="573">
        <v>265</v>
      </c>
      <c r="E102" s="563">
        <v>25000</v>
      </c>
      <c r="F102" s="87">
        <f t="shared" si="1"/>
        <v>0</v>
      </c>
      <c r="G102" s="87"/>
    </row>
    <row r="103" spans="1:7" ht="15" x14ac:dyDescent="0.25">
      <c r="A103" s="87" t="s">
        <v>1259</v>
      </c>
      <c r="B103" s="555" t="s">
        <v>1608</v>
      </c>
      <c r="C103" s="563">
        <v>27000</v>
      </c>
      <c r="D103" s="573">
        <v>300</v>
      </c>
      <c r="E103" s="563">
        <v>27000</v>
      </c>
      <c r="F103" s="87">
        <f t="shared" si="1"/>
        <v>0</v>
      </c>
      <c r="G103" s="87"/>
    </row>
    <row r="104" spans="1:7" ht="15" x14ac:dyDescent="0.25">
      <c r="A104" s="87" t="s">
        <v>1259</v>
      </c>
      <c r="B104" s="555" t="s">
        <v>1609</v>
      </c>
      <c r="C104" s="563">
        <v>23499</v>
      </c>
      <c r="D104" s="573">
        <v>261</v>
      </c>
      <c r="E104" s="563">
        <v>23499</v>
      </c>
      <c r="F104" s="87">
        <f t="shared" si="1"/>
        <v>0</v>
      </c>
      <c r="G104" s="87"/>
    </row>
    <row r="105" spans="1:7" ht="15" x14ac:dyDescent="0.25">
      <c r="A105" s="87" t="s">
        <v>1259</v>
      </c>
      <c r="B105" s="555" t="s">
        <v>1610</v>
      </c>
      <c r="C105" s="563">
        <v>32000</v>
      </c>
      <c r="D105" s="573">
        <v>356</v>
      </c>
      <c r="E105" s="563">
        <v>32000</v>
      </c>
      <c r="F105" s="87">
        <f t="shared" si="1"/>
        <v>0</v>
      </c>
      <c r="G105" s="87"/>
    </row>
    <row r="106" spans="1:7" ht="15" x14ac:dyDescent="0.25">
      <c r="A106" s="87" t="s">
        <v>1259</v>
      </c>
      <c r="B106" s="555" t="s">
        <v>1611</v>
      </c>
      <c r="C106" s="563">
        <v>12000</v>
      </c>
      <c r="D106" s="573">
        <v>133</v>
      </c>
      <c r="E106" s="563">
        <v>12000</v>
      </c>
      <c r="F106" s="87">
        <f t="shared" si="1"/>
        <v>0</v>
      </c>
      <c r="G106" s="87"/>
    </row>
    <row r="107" spans="1:7" ht="15" x14ac:dyDescent="0.25">
      <c r="A107" s="87" t="s">
        <v>1261</v>
      </c>
      <c r="B107" s="555" t="s">
        <v>1612</v>
      </c>
      <c r="C107" s="563">
        <v>20000</v>
      </c>
      <c r="D107" s="573">
        <v>222</v>
      </c>
      <c r="E107" s="563">
        <v>20000</v>
      </c>
      <c r="F107" s="87">
        <f t="shared" si="1"/>
        <v>0</v>
      </c>
      <c r="G107" s="87"/>
    </row>
    <row r="108" spans="1:7" ht="15" x14ac:dyDescent="0.25">
      <c r="A108" s="87" t="s">
        <v>1261</v>
      </c>
      <c r="B108" s="555" t="s">
        <v>1613</v>
      </c>
      <c r="C108" s="563">
        <v>20000</v>
      </c>
      <c r="D108" s="573">
        <v>222</v>
      </c>
      <c r="E108" s="563">
        <v>20000</v>
      </c>
      <c r="F108" s="87">
        <f t="shared" si="1"/>
        <v>0</v>
      </c>
      <c r="G108" s="87"/>
    </row>
    <row r="109" spans="1:7" ht="15" x14ac:dyDescent="0.25">
      <c r="A109" s="87" t="s">
        <v>1261</v>
      </c>
      <c r="B109" s="555" t="s">
        <v>1614</v>
      </c>
      <c r="C109" s="563">
        <v>15000</v>
      </c>
      <c r="D109" s="573">
        <v>167</v>
      </c>
      <c r="E109" s="563">
        <v>15000</v>
      </c>
      <c r="F109" s="87">
        <f t="shared" si="1"/>
        <v>0</v>
      </c>
      <c r="G109" s="87"/>
    </row>
    <row r="110" spans="1:7" ht="15" x14ac:dyDescent="0.25">
      <c r="A110" s="87" t="s">
        <v>1261</v>
      </c>
      <c r="B110" s="555" t="s">
        <v>1350</v>
      </c>
      <c r="C110" s="563">
        <v>15000</v>
      </c>
      <c r="D110" s="573">
        <v>167</v>
      </c>
      <c r="E110" s="563">
        <v>15000</v>
      </c>
      <c r="F110" s="87">
        <f t="shared" si="1"/>
        <v>0</v>
      </c>
      <c r="G110" s="87"/>
    </row>
    <row r="111" spans="1:7" ht="15" x14ac:dyDescent="0.25">
      <c r="A111" s="87" t="s">
        <v>1261</v>
      </c>
      <c r="B111" s="555" t="s">
        <v>1615</v>
      </c>
      <c r="C111" s="563">
        <v>20000</v>
      </c>
      <c r="D111" s="573">
        <v>222</v>
      </c>
      <c r="E111" s="563">
        <v>20000</v>
      </c>
      <c r="F111" s="87">
        <f t="shared" si="1"/>
        <v>0</v>
      </c>
      <c r="G111" s="87"/>
    </row>
    <row r="112" spans="1:7" ht="15" x14ac:dyDescent="0.25">
      <c r="A112" s="87" t="s">
        <v>1261</v>
      </c>
      <c r="B112" s="555" t="s">
        <v>1616</v>
      </c>
      <c r="C112" s="563">
        <v>25000</v>
      </c>
      <c r="D112" s="573">
        <v>278</v>
      </c>
      <c r="E112" s="563">
        <v>25000</v>
      </c>
      <c r="F112" s="87">
        <f t="shared" si="1"/>
        <v>0</v>
      </c>
      <c r="G112" s="87"/>
    </row>
    <row r="113" spans="1:7" ht="15" x14ac:dyDescent="0.25">
      <c r="A113" s="87" t="s">
        <v>1261</v>
      </c>
      <c r="B113" s="555" t="s">
        <v>1617</v>
      </c>
      <c r="C113" s="563">
        <v>25000</v>
      </c>
      <c r="D113" s="573">
        <v>278</v>
      </c>
      <c r="E113" s="563">
        <v>25000</v>
      </c>
      <c r="F113" s="87">
        <f t="shared" si="1"/>
        <v>0</v>
      </c>
      <c r="G113" s="87"/>
    </row>
    <row r="114" spans="1:7" ht="15" x14ac:dyDescent="0.25">
      <c r="A114" s="87" t="s">
        <v>1261</v>
      </c>
      <c r="B114" s="555" t="s">
        <v>1296</v>
      </c>
      <c r="C114" s="563">
        <v>26000</v>
      </c>
      <c r="D114" s="573">
        <v>289</v>
      </c>
      <c r="E114" s="563">
        <v>26000</v>
      </c>
      <c r="F114" s="87">
        <f t="shared" si="1"/>
        <v>0</v>
      </c>
      <c r="G114" s="87"/>
    </row>
    <row r="115" spans="1:7" ht="15" x14ac:dyDescent="0.25">
      <c r="A115" s="87" t="s">
        <v>1261</v>
      </c>
      <c r="B115" s="555" t="s">
        <v>1618</v>
      </c>
      <c r="C115" s="563">
        <v>26000</v>
      </c>
      <c r="D115" s="573">
        <v>289</v>
      </c>
      <c r="E115" s="563">
        <v>26000</v>
      </c>
      <c r="F115" s="87">
        <f t="shared" si="1"/>
        <v>0</v>
      </c>
      <c r="G115" s="87"/>
    </row>
    <row r="116" spans="1:7" ht="15" x14ac:dyDescent="0.25">
      <c r="A116" s="87" t="s">
        <v>1261</v>
      </c>
      <c r="B116" s="555" t="s">
        <v>1619</v>
      </c>
      <c r="C116" s="563">
        <v>29000</v>
      </c>
      <c r="D116" s="573">
        <v>316</v>
      </c>
      <c r="E116" s="563">
        <v>29000</v>
      </c>
      <c r="F116" s="87">
        <f t="shared" si="1"/>
        <v>0</v>
      </c>
      <c r="G116" s="87"/>
    </row>
    <row r="117" spans="1:7" ht="15" x14ac:dyDescent="0.25">
      <c r="A117" s="87" t="s">
        <v>1261</v>
      </c>
      <c r="B117" s="555" t="s">
        <v>1526</v>
      </c>
      <c r="C117" s="563">
        <v>22000</v>
      </c>
      <c r="D117" s="573">
        <v>245</v>
      </c>
      <c r="E117" s="563">
        <v>22000</v>
      </c>
      <c r="F117" s="87">
        <f t="shared" si="1"/>
        <v>0</v>
      </c>
      <c r="G117" s="87"/>
    </row>
    <row r="118" spans="1:7" ht="15" x14ac:dyDescent="0.25">
      <c r="A118" s="87" t="s">
        <v>1261</v>
      </c>
      <c r="B118" s="555" t="s">
        <v>1620</v>
      </c>
      <c r="C118" s="563">
        <v>25000</v>
      </c>
      <c r="D118" s="573">
        <v>278</v>
      </c>
      <c r="E118" s="563">
        <v>25000</v>
      </c>
      <c r="F118" s="87">
        <f t="shared" si="1"/>
        <v>0</v>
      </c>
      <c r="G118" s="87"/>
    </row>
    <row r="119" spans="1:7" ht="15" x14ac:dyDescent="0.25">
      <c r="A119" s="87" t="s">
        <v>1261</v>
      </c>
      <c r="B119" s="555" t="s">
        <v>1441</v>
      </c>
      <c r="C119" s="563">
        <v>30000</v>
      </c>
      <c r="D119" s="573">
        <v>312</v>
      </c>
      <c r="E119" s="563">
        <v>30000</v>
      </c>
      <c r="F119" s="87">
        <f t="shared" si="1"/>
        <v>0</v>
      </c>
      <c r="G119" s="87"/>
    </row>
    <row r="120" spans="1:7" ht="15" x14ac:dyDescent="0.25">
      <c r="A120" s="87" t="s">
        <v>1261</v>
      </c>
      <c r="B120" s="555" t="s">
        <v>1621</v>
      </c>
      <c r="C120" s="563">
        <v>34000</v>
      </c>
      <c r="D120" s="573">
        <v>352</v>
      </c>
      <c r="E120" s="563">
        <v>34000</v>
      </c>
      <c r="F120" s="87">
        <f t="shared" si="1"/>
        <v>0</v>
      </c>
      <c r="G120" s="87"/>
    </row>
    <row r="121" spans="1:7" ht="15" x14ac:dyDescent="0.25">
      <c r="A121" s="87" t="s">
        <v>1261</v>
      </c>
      <c r="B121" s="555" t="s">
        <v>1622</v>
      </c>
      <c r="C121" s="563">
        <v>27000</v>
      </c>
      <c r="D121" s="573">
        <v>300</v>
      </c>
      <c r="E121" s="563">
        <v>27000</v>
      </c>
      <c r="F121" s="87">
        <f t="shared" si="1"/>
        <v>0</v>
      </c>
      <c r="G121" s="87"/>
    </row>
    <row r="122" spans="1:7" ht="15" x14ac:dyDescent="0.25">
      <c r="A122" s="87" t="s">
        <v>1261</v>
      </c>
      <c r="B122" s="555" t="s">
        <v>30</v>
      </c>
      <c r="C122" s="563">
        <v>5000</v>
      </c>
      <c r="D122" s="573">
        <v>55</v>
      </c>
      <c r="E122" s="563">
        <v>5000</v>
      </c>
      <c r="F122" s="87">
        <f t="shared" si="1"/>
        <v>0</v>
      </c>
      <c r="G122" s="87"/>
    </row>
    <row r="123" spans="1:7" ht="15" x14ac:dyDescent="0.25">
      <c r="A123" s="87" t="s">
        <v>1261</v>
      </c>
      <c r="B123" s="555" t="s">
        <v>1623</v>
      </c>
      <c r="C123" s="563">
        <v>28000</v>
      </c>
      <c r="D123" s="573">
        <v>311</v>
      </c>
      <c r="E123" s="563">
        <v>28000</v>
      </c>
      <c r="F123" s="87">
        <f t="shared" si="1"/>
        <v>0</v>
      </c>
      <c r="G123" s="87"/>
    </row>
    <row r="124" spans="1:7" ht="15" x14ac:dyDescent="0.25">
      <c r="A124" s="87" t="s">
        <v>1261</v>
      </c>
      <c r="B124" s="555" t="s">
        <v>1624</v>
      </c>
      <c r="C124" s="563">
        <v>21000</v>
      </c>
      <c r="D124" s="573">
        <v>230</v>
      </c>
      <c r="E124" s="563">
        <v>21000</v>
      </c>
      <c r="F124" s="87">
        <f t="shared" si="1"/>
        <v>0</v>
      </c>
      <c r="G124" s="87"/>
    </row>
    <row r="125" spans="1:7" ht="15" x14ac:dyDescent="0.25">
      <c r="A125" s="87" t="s">
        <v>1261</v>
      </c>
      <c r="B125" s="555" t="s">
        <v>1625</v>
      </c>
      <c r="C125" s="563">
        <v>21000</v>
      </c>
      <c r="D125" s="573">
        <v>211</v>
      </c>
      <c r="E125" s="563">
        <v>21000</v>
      </c>
      <c r="F125" s="87">
        <f t="shared" si="1"/>
        <v>0</v>
      </c>
      <c r="G125" s="87"/>
    </row>
    <row r="126" spans="1:7" ht="15" x14ac:dyDescent="0.25">
      <c r="A126" s="87" t="s">
        <v>1261</v>
      </c>
      <c r="B126" s="555" t="s">
        <v>1626</v>
      </c>
      <c r="C126" s="563">
        <v>27000</v>
      </c>
      <c r="D126" s="573">
        <v>300</v>
      </c>
      <c r="E126" s="563">
        <v>27000</v>
      </c>
      <c r="F126" s="87">
        <f t="shared" si="1"/>
        <v>0</v>
      </c>
      <c r="G126" s="87"/>
    </row>
    <row r="127" spans="1:7" ht="15" x14ac:dyDescent="0.25">
      <c r="A127" s="87" t="s">
        <v>1261</v>
      </c>
      <c r="B127" s="555" t="s">
        <v>66</v>
      </c>
      <c r="C127" s="563">
        <v>200</v>
      </c>
      <c r="D127" s="573" t="s">
        <v>66</v>
      </c>
      <c r="E127" s="563">
        <v>200</v>
      </c>
      <c r="F127" s="87">
        <f t="shared" si="1"/>
        <v>0</v>
      </c>
      <c r="G127" s="87"/>
    </row>
    <row r="128" spans="1:7" ht="15" x14ac:dyDescent="0.25">
      <c r="A128" s="87" t="s">
        <v>1261</v>
      </c>
      <c r="B128" s="555" t="s">
        <v>1627</v>
      </c>
      <c r="C128" s="563">
        <v>22000</v>
      </c>
      <c r="D128" s="573">
        <v>245</v>
      </c>
      <c r="E128" s="563">
        <v>22000</v>
      </c>
      <c r="F128" s="87">
        <f t="shared" si="1"/>
        <v>0</v>
      </c>
      <c r="G128" s="87"/>
    </row>
    <row r="129" spans="1:7" ht="15" x14ac:dyDescent="0.25">
      <c r="A129" s="87" t="s">
        <v>1261</v>
      </c>
      <c r="B129" s="555" t="s">
        <v>1227</v>
      </c>
      <c r="C129" s="563">
        <v>23000</v>
      </c>
      <c r="D129" s="573">
        <v>245</v>
      </c>
      <c r="E129" s="563">
        <v>23000</v>
      </c>
      <c r="F129" s="87">
        <f t="shared" si="1"/>
        <v>0</v>
      </c>
      <c r="G129" s="87"/>
    </row>
    <row r="130" spans="1:7" ht="15" x14ac:dyDescent="0.25">
      <c r="A130" s="87" t="s">
        <v>1261</v>
      </c>
      <c r="B130" s="555" t="s">
        <v>1628</v>
      </c>
      <c r="C130" s="563">
        <v>27000</v>
      </c>
      <c r="D130" s="573">
        <v>300</v>
      </c>
      <c r="E130" s="563">
        <v>27000</v>
      </c>
      <c r="F130" s="87">
        <f t="shared" si="1"/>
        <v>0</v>
      </c>
      <c r="G130" s="87"/>
    </row>
    <row r="131" spans="1:7" ht="15" x14ac:dyDescent="0.25">
      <c r="A131" s="87" t="s">
        <v>1261</v>
      </c>
      <c r="B131" s="555" t="s">
        <v>1512</v>
      </c>
      <c r="C131" s="563">
        <v>20000</v>
      </c>
      <c r="D131" s="573">
        <v>222</v>
      </c>
      <c r="E131" s="563">
        <v>20000</v>
      </c>
      <c r="F131" s="87">
        <f t="shared" si="1"/>
        <v>0</v>
      </c>
      <c r="G131" s="87"/>
    </row>
    <row r="132" spans="1:7" ht="15" x14ac:dyDescent="0.25">
      <c r="A132" s="87" t="s">
        <v>1261</v>
      </c>
      <c r="B132" s="555" t="s">
        <v>1629</v>
      </c>
      <c r="C132" s="563">
        <v>10000</v>
      </c>
      <c r="D132" s="573">
        <v>111</v>
      </c>
      <c r="E132" s="563">
        <v>10000</v>
      </c>
      <c r="F132" s="87">
        <f t="shared" si="1"/>
        <v>0</v>
      </c>
      <c r="G132" s="87"/>
    </row>
    <row r="133" spans="1:7" ht="15" x14ac:dyDescent="0.25">
      <c r="A133" s="87" t="s">
        <v>1261</v>
      </c>
      <c r="B133" s="555" t="s">
        <v>1630</v>
      </c>
      <c r="C133" s="563">
        <v>9000</v>
      </c>
      <c r="D133" s="573">
        <v>100</v>
      </c>
      <c r="E133" s="563">
        <v>9000</v>
      </c>
      <c r="F133" s="87">
        <f t="shared" si="1"/>
        <v>0</v>
      </c>
      <c r="G133" s="87"/>
    </row>
    <row r="134" spans="1:7" ht="15" x14ac:dyDescent="0.25">
      <c r="A134" s="87" t="s">
        <v>1261</v>
      </c>
      <c r="B134" s="555" t="s">
        <v>1631</v>
      </c>
      <c r="C134" s="563">
        <v>10000</v>
      </c>
      <c r="D134" s="573">
        <v>111</v>
      </c>
      <c r="E134" s="563">
        <v>10000</v>
      </c>
      <c r="F134" s="87">
        <f t="shared" ref="F134:F197" si="2">C134-E134</f>
        <v>0</v>
      </c>
      <c r="G134" s="87"/>
    </row>
    <row r="135" spans="1:7" ht="15" x14ac:dyDescent="0.25">
      <c r="A135" s="87" t="s">
        <v>1260</v>
      </c>
      <c r="B135" s="555" t="s">
        <v>1632</v>
      </c>
      <c r="C135" s="563">
        <v>22000</v>
      </c>
      <c r="D135" s="573">
        <v>245</v>
      </c>
      <c r="E135" s="563">
        <v>22000</v>
      </c>
      <c r="F135" s="87">
        <f t="shared" si="2"/>
        <v>0</v>
      </c>
      <c r="G135" s="87"/>
    </row>
    <row r="136" spans="1:7" ht="15" x14ac:dyDescent="0.25">
      <c r="A136" s="87" t="s">
        <v>1260</v>
      </c>
      <c r="B136" s="555" t="s">
        <v>1457</v>
      </c>
      <c r="C136" s="563">
        <v>15000</v>
      </c>
      <c r="D136" s="573">
        <v>167</v>
      </c>
      <c r="E136" s="563">
        <v>15000</v>
      </c>
      <c r="F136" s="87">
        <f t="shared" si="2"/>
        <v>0</v>
      </c>
      <c r="G136" s="87"/>
    </row>
    <row r="137" spans="1:7" ht="15" x14ac:dyDescent="0.25">
      <c r="A137" s="87" t="s">
        <v>1260</v>
      </c>
      <c r="B137" s="555" t="s">
        <v>1633</v>
      </c>
      <c r="C137" s="563">
        <v>27000</v>
      </c>
      <c r="D137" s="573">
        <v>300</v>
      </c>
      <c r="E137" s="563">
        <v>27000</v>
      </c>
      <c r="F137" s="87">
        <f t="shared" si="2"/>
        <v>0</v>
      </c>
      <c r="G137" s="87"/>
    </row>
    <row r="138" spans="1:7" ht="15" x14ac:dyDescent="0.25">
      <c r="A138" s="87" t="s">
        <v>1260</v>
      </c>
      <c r="B138" s="555" t="s">
        <v>1545</v>
      </c>
      <c r="C138" s="563">
        <v>18000</v>
      </c>
      <c r="D138" s="573">
        <v>200</v>
      </c>
      <c r="E138" s="563">
        <v>18000</v>
      </c>
      <c r="F138" s="87">
        <f t="shared" si="2"/>
        <v>0</v>
      </c>
      <c r="G138" s="87"/>
    </row>
    <row r="139" spans="1:7" ht="15" x14ac:dyDescent="0.25">
      <c r="A139" s="87" t="s">
        <v>1260</v>
      </c>
      <c r="B139" s="555" t="s">
        <v>1634</v>
      </c>
      <c r="C139" s="563">
        <v>18000</v>
      </c>
      <c r="D139" s="573">
        <v>200</v>
      </c>
      <c r="E139" s="563">
        <v>18000</v>
      </c>
      <c r="F139" s="87">
        <f t="shared" si="2"/>
        <v>0</v>
      </c>
      <c r="G139" s="87"/>
    </row>
    <row r="140" spans="1:7" ht="15" x14ac:dyDescent="0.25">
      <c r="A140" s="87" t="s">
        <v>1260</v>
      </c>
      <c r="B140" s="555" t="s">
        <v>30</v>
      </c>
      <c r="C140" s="563">
        <v>7000</v>
      </c>
      <c r="D140" s="573">
        <v>77</v>
      </c>
      <c r="E140" s="563">
        <v>7000</v>
      </c>
      <c r="F140" s="87">
        <f t="shared" si="2"/>
        <v>0</v>
      </c>
      <c r="G140" s="87"/>
    </row>
    <row r="141" spans="1:7" ht="15" x14ac:dyDescent="0.25">
      <c r="A141" s="87" t="s">
        <v>1260</v>
      </c>
      <c r="B141" s="555" t="s">
        <v>1242</v>
      </c>
      <c r="C141" s="563">
        <v>26000</v>
      </c>
      <c r="D141" s="573">
        <v>289</v>
      </c>
      <c r="E141" s="563">
        <v>26000</v>
      </c>
      <c r="F141" s="87">
        <f t="shared" si="2"/>
        <v>0</v>
      </c>
      <c r="G141" s="87"/>
    </row>
    <row r="142" spans="1:7" ht="15" x14ac:dyDescent="0.25">
      <c r="A142" s="87" t="s">
        <v>1260</v>
      </c>
      <c r="B142" s="555" t="s">
        <v>1230</v>
      </c>
      <c r="C142" s="563">
        <v>25000</v>
      </c>
      <c r="D142" s="573">
        <v>278</v>
      </c>
      <c r="E142" s="563">
        <v>25000</v>
      </c>
      <c r="F142" s="87">
        <f t="shared" si="2"/>
        <v>0</v>
      </c>
      <c r="G142" s="87"/>
    </row>
    <row r="143" spans="1:7" ht="15" x14ac:dyDescent="0.25">
      <c r="A143" s="87" t="s">
        <v>1260</v>
      </c>
      <c r="B143" s="555" t="s">
        <v>1635</v>
      </c>
      <c r="C143" s="563">
        <v>35000</v>
      </c>
      <c r="D143" s="573">
        <v>367</v>
      </c>
      <c r="E143" s="563">
        <v>35000</v>
      </c>
      <c r="F143" s="87">
        <f t="shared" si="2"/>
        <v>0</v>
      </c>
      <c r="G143" s="87"/>
    </row>
    <row r="144" spans="1:7" ht="15" x14ac:dyDescent="0.25">
      <c r="A144" s="87" t="s">
        <v>1260</v>
      </c>
      <c r="B144" s="555" t="s">
        <v>1636</v>
      </c>
      <c r="C144" s="563">
        <v>28000</v>
      </c>
      <c r="D144" s="573">
        <v>300</v>
      </c>
      <c r="E144" s="563">
        <v>28000</v>
      </c>
      <c r="F144" s="87">
        <f t="shared" si="2"/>
        <v>0</v>
      </c>
      <c r="G144" s="87"/>
    </row>
    <row r="145" spans="1:7" ht="15" x14ac:dyDescent="0.25">
      <c r="A145" s="87" t="s">
        <v>1260</v>
      </c>
      <c r="B145" s="555" t="s">
        <v>1637</v>
      </c>
      <c r="C145" s="563">
        <v>20000</v>
      </c>
      <c r="D145" s="573">
        <v>222</v>
      </c>
      <c r="E145" s="563">
        <v>20000</v>
      </c>
      <c r="F145" s="87">
        <f t="shared" si="2"/>
        <v>0</v>
      </c>
      <c r="G145" s="87"/>
    </row>
    <row r="146" spans="1:7" ht="15" x14ac:dyDescent="0.25">
      <c r="A146" s="87" t="s">
        <v>1260</v>
      </c>
      <c r="B146" s="555" t="s">
        <v>1297</v>
      </c>
      <c r="C146" s="563">
        <v>15000</v>
      </c>
      <c r="D146" s="573">
        <v>167</v>
      </c>
      <c r="E146" s="563">
        <v>15000</v>
      </c>
      <c r="F146" s="87">
        <f t="shared" si="2"/>
        <v>0</v>
      </c>
      <c r="G146" s="87"/>
    </row>
    <row r="147" spans="1:7" ht="15" x14ac:dyDescent="0.25">
      <c r="A147" s="87" t="s">
        <v>1260</v>
      </c>
      <c r="B147" s="555" t="s">
        <v>1638</v>
      </c>
      <c r="C147" s="563">
        <v>32000</v>
      </c>
      <c r="D147" s="573">
        <v>344</v>
      </c>
      <c r="E147" s="563">
        <v>32000</v>
      </c>
      <c r="F147" s="87">
        <f t="shared" si="2"/>
        <v>0</v>
      </c>
      <c r="G147" s="87"/>
    </row>
    <row r="148" spans="1:7" ht="15" x14ac:dyDescent="0.25">
      <c r="A148" s="87" t="s">
        <v>1260</v>
      </c>
      <c r="B148" s="555" t="s">
        <v>1639</v>
      </c>
      <c r="C148" s="563">
        <v>27000</v>
      </c>
      <c r="D148" s="573">
        <v>300</v>
      </c>
      <c r="E148" s="563">
        <v>27000</v>
      </c>
      <c r="F148" s="87">
        <f t="shared" si="2"/>
        <v>0</v>
      </c>
      <c r="G148" s="87"/>
    </row>
    <row r="149" spans="1:7" ht="15" x14ac:dyDescent="0.25">
      <c r="A149" s="87" t="s">
        <v>1260</v>
      </c>
      <c r="B149" s="555" t="s">
        <v>1640</v>
      </c>
      <c r="C149" s="563">
        <v>15000</v>
      </c>
      <c r="D149" s="573">
        <v>167</v>
      </c>
      <c r="E149" s="563">
        <v>15000</v>
      </c>
      <c r="F149" s="87">
        <f t="shared" si="2"/>
        <v>0</v>
      </c>
      <c r="G149" s="87"/>
    </row>
    <row r="150" spans="1:7" ht="15" x14ac:dyDescent="0.25">
      <c r="A150" s="87" t="s">
        <v>1260</v>
      </c>
      <c r="B150" s="555" t="s">
        <v>1641</v>
      </c>
      <c r="C150" s="563">
        <v>15000</v>
      </c>
      <c r="D150" s="573">
        <v>167</v>
      </c>
      <c r="E150" s="563">
        <v>15000</v>
      </c>
      <c r="F150" s="87">
        <f t="shared" si="2"/>
        <v>0</v>
      </c>
      <c r="G150" s="87"/>
    </row>
    <row r="151" spans="1:7" ht="15" x14ac:dyDescent="0.25">
      <c r="A151" s="87" t="s">
        <v>1260</v>
      </c>
      <c r="B151" s="555" t="s">
        <v>1267</v>
      </c>
      <c r="C151" s="563">
        <v>15000</v>
      </c>
      <c r="D151" s="573">
        <v>167</v>
      </c>
      <c r="E151" s="563">
        <v>15000</v>
      </c>
      <c r="F151" s="87">
        <f t="shared" si="2"/>
        <v>0</v>
      </c>
      <c r="G151" s="87"/>
    </row>
    <row r="152" spans="1:7" ht="15" x14ac:dyDescent="0.25">
      <c r="A152" s="87" t="s">
        <v>1260</v>
      </c>
      <c r="B152" s="555" t="s">
        <v>1458</v>
      </c>
      <c r="C152" s="563">
        <v>15000</v>
      </c>
      <c r="D152" s="573">
        <v>167</v>
      </c>
      <c r="E152" s="563">
        <v>15000</v>
      </c>
      <c r="F152" s="87">
        <f t="shared" si="2"/>
        <v>0</v>
      </c>
      <c r="G152" s="87"/>
    </row>
    <row r="153" spans="1:7" ht="15" x14ac:dyDescent="0.25">
      <c r="A153" s="87" t="s">
        <v>1260</v>
      </c>
      <c r="B153" s="555" t="s">
        <v>1499</v>
      </c>
      <c r="C153" s="563">
        <v>15000</v>
      </c>
      <c r="D153" s="573">
        <v>167</v>
      </c>
      <c r="E153" s="563">
        <v>15000</v>
      </c>
      <c r="F153" s="87">
        <f t="shared" si="2"/>
        <v>0</v>
      </c>
      <c r="G153" s="87"/>
    </row>
    <row r="154" spans="1:7" ht="15" x14ac:dyDescent="0.25">
      <c r="A154" s="87" t="s">
        <v>1260</v>
      </c>
      <c r="B154" s="555" t="s">
        <v>1389</v>
      </c>
      <c r="C154" s="563">
        <v>27000</v>
      </c>
      <c r="D154" s="573">
        <v>300</v>
      </c>
      <c r="E154" s="563">
        <v>27000</v>
      </c>
      <c r="F154" s="87">
        <f t="shared" si="2"/>
        <v>0</v>
      </c>
      <c r="G154" s="87"/>
    </row>
    <row r="155" spans="1:7" ht="15" x14ac:dyDescent="0.25">
      <c r="A155" s="87" t="s">
        <v>1260</v>
      </c>
      <c r="B155" s="555" t="s">
        <v>1642</v>
      </c>
      <c r="C155" s="563">
        <v>20000</v>
      </c>
      <c r="D155" s="573">
        <v>222</v>
      </c>
      <c r="E155" s="563">
        <v>20000</v>
      </c>
      <c r="F155" s="87">
        <f t="shared" si="2"/>
        <v>0</v>
      </c>
      <c r="G155" s="87"/>
    </row>
    <row r="156" spans="1:7" ht="15" x14ac:dyDescent="0.25">
      <c r="A156" s="87" t="s">
        <v>1260</v>
      </c>
      <c r="B156" s="555" t="s">
        <v>1531</v>
      </c>
      <c r="C156" s="563">
        <v>20000</v>
      </c>
      <c r="D156" s="573">
        <v>222</v>
      </c>
      <c r="E156" s="563">
        <v>20000</v>
      </c>
      <c r="F156" s="87">
        <f t="shared" si="2"/>
        <v>0</v>
      </c>
      <c r="G156" s="87"/>
    </row>
    <row r="157" spans="1:7" ht="15" x14ac:dyDescent="0.25">
      <c r="A157" s="87" t="s">
        <v>1260</v>
      </c>
      <c r="B157" s="555" t="s">
        <v>1487</v>
      </c>
      <c r="C157" s="563">
        <v>20000</v>
      </c>
      <c r="D157" s="573">
        <v>203</v>
      </c>
      <c r="E157" s="563">
        <v>20000</v>
      </c>
      <c r="F157" s="87">
        <f t="shared" si="2"/>
        <v>0</v>
      </c>
      <c r="G157" s="87"/>
    </row>
    <row r="158" spans="1:7" ht="15" x14ac:dyDescent="0.25">
      <c r="A158" s="87" t="s">
        <v>1260</v>
      </c>
      <c r="B158" s="555" t="s">
        <v>1068</v>
      </c>
      <c r="C158" s="563">
        <v>210</v>
      </c>
      <c r="D158" s="573">
        <v>2</v>
      </c>
      <c r="E158" s="563">
        <v>210</v>
      </c>
      <c r="F158" s="87">
        <f t="shared" si="2"/>
        <v>0</v>
      </c>
      <c r="G158" s="87"/>
    </row>
    <row r="159" spans="1:7" ht="15" x14ac:dyDescent="0.25">
      <c r="A159" s="87" t="s">
        <v>1260</v>
      </c>
      <c r="B159" s="555" t="s">
        <v>1643</v>
      </c>
      <c r="C159" s="563">
        <v>25000</v>
      </c>
      <c r="D159" s="573">
        <v>278</v>
      </c>
      <c r="E159" s="563">
        <v>25000</v>
      </c>
      <c r="F159" s="87">
        <f t="shared" si="2"/>
        <v>0</v>
      </c>
      <c r="G159" s="87"/>
    </row>
    <row r="160" spans="1:7" ht="15" x14ac:dyDescent="0.25">
      <c r="A160" s="87" t="s">
        <v>1260</v>
      </c>
      <c r="B160" s="555" t="s">
        <v>1644</v>
      </c>
      <c r="C160" s="563">
        <v>15000</v>
      </c>
      <c r="D160" s="573">
        <v>167</v>
      </c>
      <c r="E160" s="563">
        <v>15000</v>
      </c>
      <c r="F160" s="87">
        <f t="shared" si="2"/>
        <v>0</v>
      </c>
      <c r="G160" s="87"/>
    </row>
    <row r="161" spans="1:7" ht="15" x14ac:dyDescent="0.25">
      <c r="A161" s="87" t="s">
        <v>1260</v>
      </c>
      <c r="B161" s="555" t="s">
        <v>1645</v>
      </c>
      <c r="C161" s="563">
        <v>15000</v>
      </c>
      <c r="D161" s="573">
        <v>167</v>
      </c>
      <c r="E161" s="563">
        <v>15000</v>
      </c>
      <c r="F161" s="87">
        <f t="shared" si="2"/>
        <v>0</v>
      </c>
      <c r="G161" s="87"/>
    </row>
    <row r="162" spans="1:7" ht="15" x14ac:dyDescent="0.25">
      <c r="A162" s="87" t="s">
        <v>1262</v>
      </c>
      <c r="B162" s="555" t="s">
        <v>1497</v>
      </c>
      <c r="C162" s="563">
        <v>26000</v>
      </c>
      <c r="D162" s="573">
        <v>289</v>
      </c>
      <c r="E162" s="563">
        <v>26000</v>
      </c>
      <c r="F162" s="87">
        <f t="shared" si="2"/>
        <v>0</v>
      </c>
      <c r="G162" s="87"/>
    </row>
    <row r="163" spans="1:7" ht="15" x14ac:dyDescent="0.25">
      <c r="A163" s="87" t="s">
        <v>1262</v>
      </c>
      <c r="B163" s="555" t="s">
        <v>1413</v>
      </c>
      <c r="C163" s="563">
        <v>26000</v>
      </c>
      <c r="D163" s="573">
        <v>289</v>
      </c>
      <c r="E163" s="563">
        <v>26000</v>
      </c>
      <c r="F163" s="87">
        <f t="shared" si="2"/>
        <v>0</v>
      </c>
      <c r="G163" s="87"/>
    </row>
    <row r="164" spans="1:7" ht="15" x14ac:dyDescent="0.25">
      <c r="A164" s="87" t="s">
        <v>1262</v>
      </c>
      <c r="B164" s="555" t="s">
        <v>1646</v>
      </c>
      <c r="C164" s="563">
        <v>26000</v>
      </c>
      <c r="D164" s="573">
        <v>289</v>
      </c>
      <c r="E164" s="563">
        <v>26000</v>
      </c>
      <c r="F164" s="87">
        <f t="shared" si="2"/>
        <v>0</v>
      </c>
      <c r="G164" s="87"/>
    </row>
    <row r="165" spans="1:7" ht="15" x14ac:dyDescent="0.25">
      <c r="A165" s="87" t="s">
        <v>1262</v>
      </c>
      <c r="B165" s="555" t="s">
        <v>1227</v>
      </c>
      <c r="C165" s="563">
        <v>20000</v>
      </c>
      <c r="D165" s="573">
        <v>222</v>
      </c>
      <c r="E165" s="563">
        <v>20000</v>
      </c>
      <c r="F165" s="87">
        <f t="shared" si="2"/>
        <v>0</v>
      </c>
      <c r="G165" s="87"/>
    </row>
    <row r="166" spans="1:7" ht="15" x14ac:dyDescent="0.25">
      <c r="A166" s="87" t="s">
        <v>1262</v>
      </c>
      <c r="B166" s="555" t="s">
        <v>1647</v>
      </c>
      <c r="C166" s="563">
        <v>27000</v>
      </c>
      <c r="D166" s="573">
        <v>300</v>
      </c>
      <c r="E166" s="563">
        <v>27000</v>
      </c>
      <c r="F166" s="87">
        <f t="shared" si="2"/>
        <v>0</v>
      </c>
      <c r="G166" s="87"/>
    </row>
    <row r="167" spans="1:7" ht="15" x14ac:dyDescent="0.25">
      <c r="A167" s="87" t="s">
        <v>1262</v>
      </c>
      <c r="B167" s="555" t="s">
        <v>1648</v>
      </c>
      <c r="C167" s="563">
        <v>8000</v>
      </c>
      <c r="D167" s="573">
        <v>89</v>
      </c>
      <c r="E167" s="563">
        <v>8000</v>
      </c>
      <c r="F167" s="87">
        <f t="shared" si="2"/>
        <v>0</v>
      </c>
      <c r="G167" s="87"/>
    </row>
    <row r="168" spans="1:7" ht="15" x14ac:dyDescent="0.25">
      <c r="A168" s="87" t="s">
        <v>1262</v>
      </c>
      <c r="B168" s="555" t="s">
        <v>30</v>
      </c>
      <c r="C168" s="563">
        <v>5000</v>
      </c>
      <c r="D168" s="573">
        <v>55</v>
      </c>
      <c r="E168" s="563">
        <v>5000</v>
      </c>
      <c r="F168" s="87">
        <f t="shared" si="2"/>
        <v>0</v>
      </c>
      <c r="G168" s="87"/>
    </row>
    <row r="169" spans="1:7" ht="15" x14ac:dyDescent="0.25">
      <c r="A169" s="87" t="s">
        <v>1262</v>
      </c>
      <c r="B169" s="555" t="s">
        <v>1649</v>
      </c>
      <c r="C169" s="563">
        <v>15000</v>
      </c>
      <c r="D169" s="573">
        <v>167</v>
      </c>
      <c r="E169" s="563">
        <v>15000</v>
      </c>
      <c r="F169" s="87">
        <f t="shared" si="2"/>
        <v>0</v>
      </c>
      <c r="G169" s="87"/>
    </row>
    <row r="170" spans="1:7" ht="15" x14ac:dyDescent="0.25">
      <c r="A170" s="87" t="s">
        <v>1262</v>
      </c>
      <c r="B170" s="555" t="s">
        <v>1306</v>
      </c>
      <c r="C170" s="563">
        <v>19000</v>
      </c>
      <c r="D170" s="573">
        <v>211</v>
      </c>
      <c r="E170" s="563">
        <v>19000</v>
      </c>
      <c r="F170" s="87">
        <f t="shared" si="2"/>
        <v>0</v>
      </c>
      <c r="G170" s="87"/>
    </row>
    <row r="171" spans="1:7" ht="15" x14ac:dyDescent="0.25">
      <c r="A171" s="87" t="s">
        <v>1262</v>
      </c>
      <c r="B171" s="555" t="s">
        <v>1307</v>
      </c>
      <c r="C171" s="563">
        <v>21000</v>
      </c>
      <c r="D171" s="573">
        <v>225</v>
      </c>
      <c r="E171" s="563">
        <v>21000</v>
      </c>
      <c r="F171" s="87">
        <f t="shared" si="2"/>
        <v>0</v>
      </c>
      <c r="G171" s="87"/>
    </row>
    <row r="172" spans="1:7" ht="15" x14ac:dyDescent="0.25">
      <c r="A172" s="87" t="s">
        <v>1262</v>
      </c>
      <c r="B172" s="555" t="s">
        <v>1650</v>
      </c>
      <c r="C172" s="563">
        <v>8000</v>
      </c>
      <c r="D172" s="573">
        <v>89</v>
      </c>
      <c r="E172" s="563">
        <v>8000</v>
      </c>
      <c r="F172" s="87">
        <f t="shared" si="2"/>
        <v>0</v>
      </c>
      <c r="G172" s="87"/>
    </row>
    <row r="173" spans="1:7" ht="15" x14ac:dyDescent="0.25">
      <c r="A173" s="87" t="s">
        <v>1262</v>
      </c>
      <c r="B173" s="555" t="s">
        <v>1651</v>
      </c>
      <c r="C173" s="563">
        <v>9000</v>
      </c>
      <c r="D173" s="573">
        <v>100</v>
      </c>
      <c r="E173" s="563">
        <v>9000</v>
      </c>
      <c r="F173" s="87">
        <f t="shared" si="2"/>
        <v>0</v>
      </c>
      <c r="G173" s="87"/>
    </row>
    <row r="174" spans="1:7" ht="15" x14ac:dyDescent="0.25">
      <c r="A174" s="87" t="s">
        <v>1262</v>
      </c>
      <c r="B174" s="555" t="s">
        <v>1652</v>
      </c>
      <c r="C174" s="563">
        <v>25000</v>
      </c>
      <c r="D174" s="573">
        <v>278</v>
      </c>
      <c r="E174" s="563">
        <v>25000</v>
      </c>
      <c r="F174" s="87">
        <f t="shared" si="2"/>
        <v>0</v>
      </c>
      <c r="G174" s="87"/>
    </row>
    <row r="175" spans="1:7" ht="15" x14ac:dyDescent="0.25">
      <c r="A175" s="87" t="s">
        <v>1262</v>
      </c>
      <c r="B175" s="555" t="s">
        <v>66</v>
      </c>
      <c r="C175" s="563">
        <v>200</v>
      </c>
      <c r="D175" s="573" t="s">
        <v>66</v>
      </c>
      <c r="E175" s="563">
        <v>200</v>
      </c>
      <c r="F175" s="87">
        <f t="shared" si="2"/>
        <v>0</v>
      </c>
      <c r="G175" s="87"/>
    </row>
    <row r="176" spans="1:7" ht="15" x14ac:dyDescent="0.25">
      <c r="A176" s="87" t="s">
        <v>1262</v>
      </c>
      <c r="B176" s="555" t="s">
        <v>66</v>
      </c>
      <c r="C176" s="563">
        <v>210</v>
      </c>
      <c r="D176" s="573" t="s">
        <v>66</v>
      </c>
      <c r="E176" s="563">
        <v>210</v>
      </c>
      <c r="F176" s="87">
        <f t="shared" si="2"/>
        <v>0</v>
      </c>
      <c r="G176" s="87"/>
    </row>
    <row r="177" spans="1:7" ht="15" x14ac:dyDescent="0.25">
      <c r="A177" s="87" t="s">
        <v>1262</v>
      </c>
      <c r="B177" s="555" t="s">
        <v>1653</v>
      </c>
      <c r="C177" s="563">
        <v>25000</v>
      </c>
      <c r="D177" s="573">
        <v>278</v>
      </c>
      <c r="E177" s="563">
        <v>25000</v>
      </c>
      <c r="F177" s="87">
        <f t="shared" si="2"/>
        <v>0</v>
      </c>
      <c r="G177" s="87"/>
    </row>
    <row r="178" spans="1:7" ht="15" x14ac:dyDescent="0.25">
      <c r="A178" s="87" t="s">
        <v>1262</v>
      </c>
      <c r="B178" s="555" t="s">
        <v>1654</v>
      </c>
      <c r="C178" s="563">
        <v>23000</v>
      </c>
      <c r="D178" s="573">
        <v>256</v>
      </c>
      <c r="E178" s="563">
        <v>23000</v>
      </c>
      <c r="F178" s="87">
        <f t="shared" si="2"/>
        <v>0</v>
      </c>
      <c r="G178" s="87"/>
    </row>
    <row r="179" spans="1:7" ht="15" x14ac:dyDescent="0.25">
      <c r="A179" s="87" t="s">
        <v>1262</v>
      </c>
      <c r="B179" s="555" t="s">
        <v>1655</v>
      </c>
      <c r="C179" s="563">
        <v>33000</v>
      </c>
      <c r="D179" s="573">
        <v>367</v>
      </c>
      <c r="E179" s="563">
        <v>33000</v>
      </c>
      <c r="F179" s="87">
        <f t="shared" si="2"/>
        <v>0</v>
      </c>
      <c r="G179" s="87"/>
    </row>
    <row r="180" spans="1:7" ht="15" x14ac:dyDescent="0.25">
      <c r="A180" s="87" t="s">
        <v>1263</v>
      </c>
      <c r="B180" s="555" t="s">
        <v>66</v>
      </c>
      <c r="C180" s="563">
        <v>210</v>
      </c>
      <c r="D180" s="573" t="s">
        <v>66</v>
      </c>
      <c r="E180" s="563">
        <v>210</v>
      </c>
      <c r="F180" s="87">
        <f t="shared" si="2"/>
        <v>0</v>
      </c>
      <c r="G180" s="87"/>
    </row>
    <row r="181" spans="1:7" ht="15" x14ac:dyDescent="0.25">
      <c r="A181" s="87" t="s">
        <v>1263</v>
      </c>
      <c r="B181" s="555" t="s">
        <v>1656</v>
      </c>
      <c r="C181" s="563">
        <v>20000</v>
      </c>
      <c r="D181" s="573">
        <v>222</v>
      </c>
      <c r="E181" s="563">
        <v>20000</v>
      </c>
      <c r="F181" s="87">
        <f t="shared" si="2"/>
        <v>0</v>
      </c>
      <c r="G181" s="87"/>
    </row>
    <row r="182" spans="1:7" ht="15" x14ac:dyDescent="0.25">
      <c r="A182" s="87" t="s">
        <v>1263</v>
      </c>
      <c r="B182" s="555" t="s">
        <v>1385</v>
      </c>
      <c r="C182" s="563">
        <v>26000</v>
      </c>
      <c r="D182" s="573">
        <v>289</v>
      </c>
      <c r="E182" s="563">
        <v>26000</v>
      </c>
      <c r="F182" s="87">
        <f t="shared" si="2"/>
        <v>0</v>
      </c>
      <c r="G182" s="87"/>
    </row>
    <row r="183" spans="1:7" ht="15" x14ac:dyDescent="0.25">
      <c r="A183" s="87" t="s">
        <v>1263</v>
      </c>
      <c r="B183" s="555" t="s">
        <v>1292</v>
      </c>
      <c r="C183" s="563">
        <v>22000</v>
      </c>
      <c r="D183" s="573">
        <v>245</v>
      </c>
      <c r="E183" s="563">
        <v>22000</v>
      </c>
      <c r="F183" s="87">
        <f t="shared" si="2"/>
        <v>0</v>
      </c>
      <c r="G183" s="87"/>
    </row>
    <row r="184" spans="1:7" ht="15" x14ac:dyDescent="0.25">
      <c r="A184" s="87" t="s">
        <v>1263</v>
      </c>
      <c r="B184" s="555" t="s">
        <v>1269</v>
      </c>
      <c r="C184" s="563">
        <v>24000</v>
      </c>
      <c r="D184" s="573">
        <v>267</v>
      </c>
      <c r="E184" s="563">
        <v>24000</v>
      </c>
      <c r="F184" s="87">
        <f t="shared" si="2"/>
        <v>0</v>
      </c>
      <c r="G184" s="87"/>
    </row>
    <row r="185" spans="1:7" ht="15" x14ac:dyDescent="0.25">
      <c r="A185" s="87" t="s">
        <v>1263</v>
      </c>
      <c r="B185" s="555" t="s">
        <v>1301</v>
      </c>
      <c r="C185" s="563">
        <v>17000</v>
      </c>
      <c r="D185" s="573">
        <v>189</v>
      </c>
      <c r="E185" s="563">
        <v>17000</v>
      </c>
      <c r="F185" s="87">
        <f t="shared" si="2"/>
        <v>0</v>
      </c>
      <c r="G185" s="87"/>
    </row>
    <row r="186" spans="1:7" ht="15" x14ac:dyDescent="0.25">
      <c r="A186" s="87" t="s">
        <v>1263</v>
      </c>
      <c r="B186" s="555" t="s">
        <v>1657</v>
      </c>
      <c r="C186" s="563">
        <v>20000</v>
      </c>
      <c r="D186" s="573">
        <v>222</v>
      </c>
      <c r="E186" s="563">
        <v>20000</v>
      </c>
      <c r="F186" s="87">
        <f t="shared" si="2"/>
        <v>0</v>
      </c>
      <c r="G186" s="87"/>
    </row>
    <row r="187" spans="1:7" ht="15" x14ac:dyDescent="0.25">
      <c r="A187" s="87" t="s">
        <v>1263</v>
      </c>
      <c r="B187" s="555" t="s">
        <v>1658</v>
      </c>
      <c r="C187" s="563">
        <v>27000</v>
      </c>
      <c r="D187" s="573">
        <v>300</v>
      </c>
      <c r="E187" s="563">
        <v>27000</v>
      </c>
      <c r="F187" s="87">
        <f t="shared" si="2"/>
        <v>0</v>
      </c>
      <c r="G187" s="87"/>
    </row>
    <row r="188" spans="1:7" ht="15" x14ac:dyDescent="0.25">
      <c r="A188" s="87" t="s">
        <v>1263</v>
      </c>
      <c r="B188" s="555" t="s">
        <v>30</v>
      </c>
      <c r="C188" s="563">
        <v>5000</v>
      </c>
      <c r="D188" s="573">
        <v>55</v>
      </c>
      <c r="E188" s="563">
        <v>5000</v>
      </c>
      <c r="F188" s="87">
        <f t="shared" si="2"/>
        <v>0</v>
      </c>
      <c r="G188" s="87"/>
    </row>
    <row r="189" spans="1:7" ht="15" x14ac:dyDescent="0.25">
      <c r="A189" s="87" t="s">
        <v>1263</v>
      </c>
      <c r="B189" s="555" t="s">
        <v>1548</v>
      </c>
      <c r="C189" s="563">
        <v>27000</v>
      </c>
      <c r="D189" s="573">
        <v>300</v>
      </c>
      <c r="E189" s="563">
        <v>27000</v>
      </c>
      <c r="F189" s="87">
        <f t="shared" si="2"/>
        <v>0</v>
      </c>
      <c r="G189" s="87"/>
    </row>
    <row r="190" spans="1:7" ht="15" x14ac:dyDescent="0.25">
      <c r="A190" s="87" t="s">
        <v>1263</v>
      </c>
      <c r="B190" s="555" t="s">
        <v>1659</v>
      </c>
      <c r="C190" s="563">
        <v>23000</v>
      </c>
      <c r="D190" s="573">
        <v>256</v>
      </c>
      <c r="E190" s="563">
        <v>23000</v>
      </c>
      <c r="F190" s="87">
        <f t="shared" si="2"/>
        <v>0</v>
      </c>
      <c r="G190" s="87"/>
    </row>
    <row r="191" spans="1:7" ht="15" x14ac:dyDescent="0.25">
      <c r="A191" s="87" t="s">
        <v>1263</v>
      </c>
      <c r="B191" s="555" t="s">
        <v>1660</v>
      </c>
      <c r="C191" s="563">
        <v>10000</v>
      </c>
      <c r="D191" s="573">
        <v>111</v>
      </c>
      <c r="E191" s="563">
        <v>10000</v>
      </c>
      <c r="F191" s="87">
        <f t="shared" si="2"/>
        <v>0</v>
      </c>
      <c r="G191" s="87"/>
    </row>
    <row r="192" spans="1:7" ht="15" x14ac:dyDescent="0.25">
      <c r="A192" s="87" t="s">
        <v>1263</v>
      </c>
      <c r="B192" s="555" t="s">
        <v>1661</v>
      </c>
      <c r="C192" s="563">
        <v>18000</v>
      </c>
      <c r="D192" s="573">
        <v>200</v>
      </c>
      <c r="E192" s="563">
        <v>18000</v>
      </c>
      <c r="F192" s="87">
        <f t="shared" si="2"/>
        <v>0</v>
      </c>
      <c r="G192" s="87"/>
    </row>
    <row r="193" spans="1:7" ht="15" x14ac:dyDescent="0.25">
      <c r="A193" s="87" t="s">
        <v>1263</v>
      </c>
      <c r="B193" s="555" t="s">
        <v>1486</v>
      </c>
      <c r="C193" s="563">
        <v>16000</v>
      </c>
      <c r="D193" s="573">
        <v>178</v>
      </c>
      <c r="E193" s="563">
        <v>16000</v>
      </c>
      <c r="F193" s="87">
        <f t="shared" si="2"/>
        <v>0</v>
      </c>
      <c r="G193" s="87"/>
    </row>
    <row r="194" spans="1:7" ht="15" x14ac:dyDescent="0.25">
      <c r="A194" s="87" t="s">
        <v>1263</v>
      </c>
      <c r="B194" s="555" t="s">
        <v>1576</v>
      </c>
      <c r="C194" s="563">
        <v>17000</v>
      </c>
      <c r="D194" s="573">
        <v>200</v>
      </c>
      <c r="E194" s="563">
        <v>17000</v>
      </c>
      <c r="F194" s="87">
        <f t="shared" si="2"/>
        <v>0</v>
      </c>
      <c r="G194" s="87"/>
    </row>
    <row r="195" spans="1:7" ht="15" x14ac:dyDescent="0.25">
      <c r="A195" s="87" t="s">
        <v>1263</v>
      </c>
      <c r="B195" s="555" t="s">
        <v>1392</v>
      </c>
      <c r="C195" s="563">
        <v>25000</v>
      </c>
      <c r="D195" s="573">
        <v>241</v>
      </c>
      <c r="E195" s="563">
        <v>25000</v>
      </c>
      <c r="F195" s="87">
        <f t="shared" si="2"/>
        <v>0</v>
      </c>
      <c r="G195" s="87"/>
    </row>
    <row r="196" spans="1:7" ht="15" x14ac:dyDescent="0.25">
      <c r="A196" s="87" t="s">
        <v>1263</v>
      </c>
      <c r="B196" s="555" t="s">
        <v>1662</v>
      </c>
      <c r="C196" s="563">
        <v>22000</v>
      </c>
      <c r="D196" s="573">
        <v>239</v>
      </c>
      <c r="E196" s="563">
        <v>22000</v>
      </c>
      <c r="F196" s="87">
        <f t="shared" si="2"/>
        <v>0</v>
      </c>
      <c r="G196" s="87"/>
    </row>
    <row r="197" spans="1:7" ht="15" x14ac:dyDescent="0.25">
      <c r="A197" s="87" t="s">
        <v>1263</v>
      </c>
      <c r="B197" s="555" t="s">
        <v>1663</v>
      </c>
      <c r="C197" s="563">
        <v>32000</v>
      </c>
      <c r="D197" s="573">
        <v>340</v>
      </c>
      <c r="E197" s="563">
        <v>32000</v>
      </c>
      <c r="F197" s="87">
        <f t="shared" si="2"/>
        <v>0</v>
      </c>
      <c r="G197" s="87"/>
    </row>
    <row r="198" spans="1:7" ht="15" x14ac:dyDescent="0.25">
      <c r="A198" s="87" t="s">
        <v>1263</v>
      </c>
      <c r="B198" s="555" t="s">
        <v>1664</v>
      </c>
      <c r="C198" s="563">
        <v>10000</v>
      </c>
      <c r="D198" s="573">
        <v>111</v>
      </c>
      <c r="E198" s="563">
        <v>10000</v>
      </c>
      <c r="F198" s="87">
        <f t="shared" ref="F198:F216" si="3">C198-E198</f>
        <v>0</v>
      </c>
      <c r="G198" s="87"/>
    </row>
    <row r="199" spans="1:7" ht="15" x14ac:dyDescent="0.25">
      <c r="A199" s="87" t="s">
        <v>1263</v>
      </c>
      <c r="B199" s="555" t="s">
        <v>1665</v>
      </c>
      <c r="C199" s="563">
        <v>25000</v>
      </c>
      <c r="D199" s="573">
        <v>278</v>
      </c>
      <c r="E199" s="563">
        <v>25000</v>
      </c>
      <c r="F199" s="87">
        <f t="shared" si="3"/>
        <v>0</v>
      </c>
      <c r="G199" s="87"/>
    </row>
    <row r="200" spans="1:7" ht="15" x14ac:dyDescent="0.25">
      <c r="A200" s="87" t="s">
        <v>1263</v>
      </c>
      <c r="B200" s="555" t="s">
        <v>1666</v>
      </c>
      <c r="C200" s="563">
        <v>21000</v>
      </c>
      <c r="D200" s="573">
        <v>233</v>
      </c>
      <c r="E200" s="563">
        <v>21000</v>
      </c>
      <c r="F200" s="87">
        <f t="shared" si="3"/>
        <v>0</v>
      </c>
      <c r="G200" s="87"/>
    </row>
    <row r="201" spans="1:7" ht="15" x14ac:dyDescent="0.25">
      <c r="A201" s="87" t="s">
        <v>1263</v>
      </c>
      <c r="B201" s="555" t="s">
        <v>1667</v>
      </c>
      <c r="C201" s="563">
        <v>23000</v>
      </c>
      <c r="D201" s="573">
        <v>256</v>
      </c>
      <c r="E201" s="563">
        <v>23000</v>
      </c>
      <c r="F201" s="87">
        <f t="shared" si="3"/>
        <v>0</v>
      </c>
      <c r="G201" s="87"/>
    </row>
    <row r="202" spans="1:7" ht="15" x14ac:dyDescent="0.25">
      <c r="A202" s="87" t="s">
        <v>1263</v>
      </c>
      <c r="B202" s="555" t="s">
        <v>1668</v>
      </c>
      <c r="C202" s="563">
        <v>22000</v>
      </c>
      <c r="D202" s="573">
        <v>238</v>
      </c>
      <c r="E202" s="563">
        <v>22000</v>
      </c>
      <c r="F202" s="87">
        <f t="shared" si="3"/>
        <v>0</v>
      </c>
      <c r="G202" s="87"/>
    </row>
    <row r="203" spans="1:7" ht="15" x14ac:dyDescent="0.25">
      <c r="A203" s="87" t="s">
        <v>1263</v>
      </c>
      <c r="B203" s="555" t="s">
        <v>1669</v>
      </c>
      <c r="C203" s="563">
        <v>27000</v>
      </c>
      <c r="D203" s="573">
        <v>300</v>
      </c>
      <c r="E203" s="563">
        <v>27000</v>
      </c>
      <c r="F203" s="87">
        <f t="shared" si="3"/>
        <v>0</v>
      </c>
      <c r="G203" s="87"/>
    </row>
    <row r="204" spans="1:7" ht="15" x14ac:dyDescent="0.25">
      <c r="A204" s="87" t="s">
        <v>1263</v>
      </c>
      <c r="B204" s="555" t="s">
        <v>1670</v>
      </c>
      <c r="C204" s="563">
        <v>32000</v>
      </c>
      <c r="D204" s="573">
        <v>340</v>
      </c>
      <c r="E204" s="563">
        <v>32000</v>
      </c>
      <c r="F204" s="87">
        <f t="shared" si="3"/>
        <v>0</v>
      </c>
      <c r="G204" s="87"/>
    </row>
    <row r="205" spans="1:7" ht="15" x14ac:dyDescent="0.25">
      <c r="A205" s="87" t="s">
        <v>1264</v>
      </c>
      <c r="B205" s="555" t="s">
        <v>1671</v>
      </c>
      <c r="C205" s="563">
        <v>21000</v>
      </c>
      <c r="D205" s="573">
        <v>211</v>
      </c>
      <c r="E205" s="563">
        <v>21000</v>
      </c>
      <c r="F205" s="87">
        <f t="shared" si="3"/>
        <v>0</v>
      </c>
      <c r="G205" s="87"/>
    </row>
    <row r="206" spans="1:7" ht="15" x14ac:dyDescent="0.25">
      <c r="A206" s="87" t="s">
        <v>1264</v>
      </c>
      <c r="B206" s="555" t="s">
        <v>30</v>
      </c>
      <c r="C206" s="563">
        <v>4500</v>
      </c>
      <c r="D206" s="573">
        <v>50</v>
      </c>
      <c r="E206" s="563">
        <v>4500</v>
      </c>
      <c r="F206" s="87">
        <f t="shared" si="3"/>
        <v>0</v>
      </c>
      <c r="G206" s="87"/>
    </row>
    <row r="207" spans="1:7" ht="15" x14ac:dyDescent="0.25">
      <c r="A207" s="87" t="s">
        <v>1264</v>
      </c>
      <c r="B207" s="555" t="s">
        <v>1481</v>
      </c>
      <c r="C207" s="563">
        <v>32000</v>
      </c>
      <c r="D207" s="573">
        <v>356</v>
      </c>
      <c r="E207" s="563">
        <v>32000</v>
      </c>
      <c r="F207" s="87">
        <f t="shared" si="3"/>
        <v>0</v>
      </c>
      <c r="G207" s="87"/>
    </row>
    <row r="208" spans="1:7" ht="15" x14ac:dyDescent="0.25">
      <c r="A208" s="87" t="s">
        <v>1264</v>
      </c>
      <c r="B208" s="555" t="s">
        <v>1672</v>
      </c>
      <c r="C208" s="563">
        <v>26000</v>
      </c>
      <c r="D208" s="573">
        <v>289</v>
      </c>
      <c r="E208" s="563">
        <v>26000</v>
      </c>
      <c r="F208" s="87">
        <f t="shared" si="3"/>
        <v>0</v>
      </c>
      <c r="G208" s="87"/>
    </row>
    <row r="209" spans="1:7" ht="15" x14ac:dyDescent="0.25">
      <c r="A209" s="87" t="s">
        <v>1264</v>
      </c>
      <c r="B209" s="555" t="s">
        <v>30</v>
      </c>
      <c r="C209" s="563">
        <v>5000</v>
      </c>
      <c r="D209" s="573">
        <v>55</v>
      </c>
      <c r="E209" s="563">
        <v>5000</v>
      </c>
      <c r="F209" s="87">
        <f t="shared" si="3"/>
        <v>0</v>
      </c>
      <c r="G209" s="87"/>
    </row>
    <row r="210" spans="1:7" ht="15" x14ac:dyDescent="0.25">
      <c r="A210" s="87" t="s">
        <v>1264</v>
      </c>
      <c r="B210" s="555" t="s">
        <v>1673</v>
      </c>
      <c r="C210" s="563">
        <v>20000</v>
      </c>
      <c r="D210" s="573">
        <v>222</v>
      </c>
      <c r="E210" s="563">
        <v>20000</v>
      </c>
      <c r="F210" s="87">
        <f t="shared" si="3"/>
        <v>0</v>
      </c>
      <c r="G210" s="87"/>
    </row>
    <row r="211" spans="1:7" ht="15" x14ac:dyDescent="0.25">
      <c r="A211" s="87" t="s">
        <v>1264</v>
      </c>
      <c r="B211" s="555" t="s">
        <v>819</v>
      </c>
      <c r="C211" s="563">
        <v>3500</v>
      </c>
      <c r="D211" s="573">
        <v>39</v>
      </c>
      <c r="E211" s="563">
        <v>3500</v>
      </c>
      <c r="F211" s="87">
        <f t="shared" si="3"/>
        <v>0</v>
      </c>
      <c r="G211" s="87"/>
    </row>
    <row r="212" spans="1:7" ht="15" x14ac:dyDescent="0.25">
      <c r="A212" s="87" t="s">
        <v>1264</v>
      </c>
      <c r="B212" s="555" t="s">
        <v>1674</v>
      </c>
      <c r="C212" s="563">
        <v>12000</v>
      </c>
      <c r="D212" s="573">
        <v>133</v>
      </c>
      <c r="E212" s="563">
        <v>12000</v>
      </c>
      <c r="F212" s="87">
        <f t="shared" si="3"/>
        <v>0</v>
      </c>
      <c r="G212" s="87"/>
    </row>
    <row r="213" spans="1:7" ht="15" x14ac:dyDescent="0.25">
      <c r="A213" s="87" t="s">
        <v>1264</v>
      </c>
      <c r="B213" s="555" t="s">
        <v>1597</v>
      </c>
      <c r="C213" s="563">
        <v>25000</v>
      </c>
      <c r="D213" s="573">
        <v>264</v>
      </c>
      <c r="E213" s="563">
        <v>25000</v>
      </c>
      <c r="F213" s="87">
        <f t="shared" si="3"/>
        <v>0</v>
      </c>
      <c r="G213" s="87"/>
    </row>
    <row r="214" spans="1:7" ht="15" x14ac:dyDescent="0.25">
      <c r="A214" s="87" t="s">
        <v>1264</v>
      </c>
      <c r="B214" s="555" t="s">
        <v>1675</v>
      </c>
      <c r="C214" s="563">
        <v>27000</v>
      </c>
      <c r="D214" s="573">
        <v>300</v>
      </c>
      <c r="E214" s="563">
        <v>27000</v>
      </c>
      <c r="F214" s="87">
        <f t="shared" si="3"/>
        <v>0</v>
      </c>
      <c r="G214" s="87"/>
    </row>
    <row r="215" spans="1:7" ht="15" x14ac:dyDescent="0.25">
      <c r="A215" s="87" t="s">
        <v>1264</v>
      </c>
      <c r="B215" s="555" t="s">
        <v>1676</v>
      </c>
      <c r="C215" s="563">
        <v>25000</v>
      </c>
      <c r="D215" s="573">
        <v>278</v>
      </c>
      <c r="E215" s="563">
        <v>25000</v>
      </c>
      <c r="F215" s="87">
        <f t="shared" si="3"/>
        <v>0</v>
      </c>
      <c r="G215" s="87"/>
    </row>
    <row r="216" spans="1:7" ht="15" x14ac:dyDescent="0.25">
      <c r="A216" s="87" t="s">
        <v>1264</v>
      </c>
      <c r="B216" s="555" t="s">
        <v>1677</v>
      </c>
      <c r="C216" s="563">
        <v>35000</v>
      </c>
      <c r="D216" s="573">
        <v>389</v>
      </c>
      <c r="E216" s="563">
        <v>35000</v>
      </c>
      <c r="F216" s="87">
        <f t="shared" si="3"/>
        <v>0</v>
      </c>
      <c r="G216" s="87"/>
    </row>
    <row r="217" spans="1:7" ht="15" x14ac:dyDescent="0.25">
      <c r="A217" s="42"/>
      <c r="B217" s="20" t="s">
        <v>9</v>
      </c>
      <c r="C217" s="23">
        <f>SUM(C6:C216)</f>
        <v>4041049</v>
      </c>
      <c r="D217" s="23">
        <f>SUM(D6:D216)</f>
        <v>44039</v>
      </c>
      <c r="E217" s="23">
        <f>SUM(E6:E216)</f>
        <v>4041049</v>
      </c>
      <c r="F217" s="494"/>
      <c r="G217" s="24">
        <f>SUM(G2:G54)</f>
        <v>22603232</v>
      </c>
    </row>
    <row r="218" spans="1:7" ht="15" x14ac:dyDescent="0.25">
      <c r="A218" s="42"/>
      <c r="B218" s="20" t="s">
        <v>10</v>
      </c>
      <c r="C218" s="25">
        <v>2289466</v>
      </c>
      <c r="D218" s="494"/>
      <c r="E218" s="26" t="s">
        <v>10</v>
      </c>
      <c r="F218" s="25">
        <v>2289466</v>
      </c>
      <c r="G218" s="25"/>
    </row>
    <row r="219" spans="1:7" x14ac:dyDescent="0.2">
      <c r="C219" s="29">
        <f>SUM(C5:C217)</f>
        <v>10500678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4"/>
  <sheetViews>
    <sheetView zoomScale="115" zoomScaleNormal="115" workbookViewId="0">
      <selection activeCell="C5" sqref="C5"/>
    </sheetView>
  </sheetViews>
  <sheetFormatPr defaultRowHeight="14.25" x14ac:dyDescent="0.2"/>
  <cols>
    <col min="1" max="1" width="12.125" style="687" customWidth="1"/>
    <col min="2" max="2" width="16.375" style="687" customWidth="1"/>
    <col min="3" max="3" width="13.625" style="687" customWidth="1"/>
    <col min="4" max="4" width="11" style="175" bestFit="1" customWidth="1"/>
    <col min="5" max="5" width="12.375" style="687" bestFit="1" customWidth="1"/>
    <col min="6" max="6" width="13" style="687" bestFit="1" customWidth="1"/>
    <col min="7" max="7" width="14.875" style="687" customWidth="1"/>
    <col min="8" max="8" width="20" style="687" bestFit="1" customWidth="1"/>
    <col min="9" max="9" width="9" style="687"/>
    <col min="10" max="10" width="22.25" style="687" bestFit="1" customWidth="1"/>
    <col min="11" max="16384" width="9" style="687"/>
  </cols>
  <sheetData>
    <row r="2" spans="1:16" ht="21" x14ac:dyDescent="0.35">
      <c r="A2" s="510"/>
      <c r="B2" s="510"/>
      <c r="C2" s="419" t="s">
        <v>772</v>
      </c>
      <c r="D2" s="419"/>
      <c r="E2" s="419"/>
      <c r="F2" s="510"/>
      <c r="G2" s="510"/>
    </row>
    <row r="3" spans="1:16" ht="15" x14ac:dyDescent="0.25">
      <c r="A3" s="510"/>
      <c r="B3" s="510"/>
      <c r="C3" s="511"/>
      <c r="D3" s="666">
        <v>45383</v>
      </c>
      <c r="E3" s="512"/>
      <c r="F3" s="510"/>
      <c r="G3" s="510"/>
    </row>
    <row r="4" spans="1:16" ht="15.75" x14ac:dyDescent="0.25">
      <c r="A4" s="30" t="s">
        <v>2</v>
      </c>
      <c r="B4" s="30" t="s">
        <v>97</v>
      </c>
      <c r="C4" s="30" t="s">
        <v>4</v>
      </c>
      <c r="D4" s="514" t="s">
        <v>5</v>
      </c>
      <c r="E4" s="30" t="s">
        <v>4</v>
      </c>
      <c r="F4" s="30" t="s">
        <v>98</v>
      </c>
      <c r="G4" s="417" t="s">
        <v>8</v>
      </c>
      <c r="J4" s="692"/>
      <c r="K4" s="692"/>
      <c r="L4" s="692"/>
    </row>
    <row r="5" spans="1:16" ht="15.75" x14ac:dyDescent="0.25">
      <c r="A5" s="108" t="s">
        <v>2215</v>
      </c>
      <c r="B5" s="162" t="s">
        <v>374</v>
      </c>
      <c r="C5" s="210">
        <v>2290366</v>
      </c>
      <c r="D5" s="707"/>
      <c r="E5" s="210">
        <v>2290366</v>
      </c>
      <c r="F5" s="30"/>
      <c r="G5" s="688"/>
      <c r="H5" s="693"/>
      <c r="I5" s="692"/>
      <c r="J5" s="87" t="s">
        <v>2797</v>
      </c>
      <c r="K5" s="692"/>
      <c r="L5" s="692"/>
      <c r="M5" s="692"/>
      <c r="N5" s="692"/>
      <c r="O5" s="692"/>
      <c r="P5" s="692"/>
    </row>
    <row r="6" spans="1:16" ht="15.75" x14ac:dyDescent="0.25">
      <c r="A6" s="87" t="s">
        <v>1720</v>
      </c>
      <c r="B6" s="553" t="s">
        <v>1721</v>
      </c>
      <c r="C6" s="567">
        <v>15000</v>
      </c>
      <c r="D6" s="87">
        <v>178.22</v>
      </c>
      <c r="E6" s="563">
        <v>15000</v>
      </c>
      <c r="F6" s="87">
        <f t="shared" ref="F6:F70" si="0">C6-E6</f>
        <v>0</v>
      </c>
      <c r="G6" s="509">
        <v>200000</v>
      </c>
      <c r="H6" s="525" t="s">
        <v>1693</v>
      </c>
      <c r="I6" s="692"/>
      <c r="J6" s="87">
        <v>200000</v>
      </c>
      <c r="K6" s="692"/>
      <c r="L6" s="692"/>
      <c r="M6" s="692"/>
      <c r="N6" s="692"/>
      <c r="O6" s="692"/>
      <c r="P6" s="692"/>
    </row>
    <row r="7" spans="1:16" ht="15.75" x14ac:dyDescent="0.25">
      <c r="A7" s="87" t="s">
        <v>1720</v>
      </c>
      <c r="B7" s="553" t="s">
        <v>30</v>
      </c>
      <c r="C7" s="567">
        <v>4500</v>
      </c>
      <c r="D7" s="87">
        <v>178.22</v>
      </c>
      <c r="E7" s="563">
        <v>4500</v>
      </c>
      <c r="F7" s="87">
        <f>C7-E7</f>
        <v>0</v>
      </c>
      <c r="G7" s="509">
        <v>500000</v>
      </c>
      <c r="H7" s="525" t="s">
        <v>1694</v>
      </c>
      <c r="I7" s="692"/>
      <c r="J7" s="87">
        <v>500000</v>
      </c>
      <c r="K7" s="692"/>
      <c r="L7" s="692"/>
      <c r="M7" s="692"/>
      <c r="N7" s="692"/>
      <c r="O7" s="692"/>
      <c r="P7" s="692"/>
    </row>
    <row r="8" spans="1:16" ht="15.75" x14ac:dyDescent="0.25">
      <c r="A8" s="87" t="s">
        <v>1720</v>
      </c>
      <c r="B8" s="554" t="s">
        <v>30</v>
      </c>
      <c r="C8" s="567">
        <v>8000</v>
      </c>
      <c r="D8" s="87">
        <v>189.47</v>
      </c>
      <c r="E8" s="563">
        <v>8000</v>
      </c>
      <c r="F8" s="87">
        <f t="shared" si="0"/>
        <v>0</v>
      </c>
      <c r="G8" s="509">
        <v>400000</v>
      </c>
      <c r="H8" s="525" t="s">
        <v>1695</v>
      </c>
      <c r="I8" s="692"/>
      <c r="J8" s="87">
        <v>400000</v>
      </c>
      <c r="K8" s="692"/>
      <c r="L8" s="692"/>
      <c r="M8" s="692"/>
      <c r="N8" s="692"/>
      <c r="O8" s="692"/>
      <c r="P8" s="692"/>
    </row>
    <row r="9" spans="1:16" ht="15.75" x14ac:dyDescent="0.25">
      <c r="A9" s="87" t="s">
        <v>1720</v>
      </c>
      <c r="B9" s="553" t="s">
        <v>1722</v>
      </c>
      <c r="C9" s="567">
        <v>10000</v>
      </c>
      <c r="D9" s="87">
        <v>50.23</v>
      </c>
      <c r="E9" s="563">
        <v>10000</v>
      </c>
      <c r="F9" s="87">
        <f t="shared" si="0"/>
        <v>0</v>
      </c>
      <c r="G9" s="509">
        <v>600000</v>
      </c>
      <c r="H9" s="525" t="s">
        <v>1696</v>
      </c>
      <c r="I9" s="692"/>
      <c r="J9" s="87">
        <v>600000</v>
      </c>
      <c r="K9" s="692"/>
      <c r="L9" s="692"/>
      <c r="M9" s="692"/>
      <c r="N9" s="692"/>
      <c r="O9" s="692"/>
      <c r="P9" s="692"/>
    </row>
    <row r="10" spans="1:16" ht="15.75" x14ac:dyDescent="0.25">
      <c r="A10" s="87" t="s">
        <v>1720</v>
      </c>
      <c r="B10" s="554" t="s">
        <v>1723</v>
      </c>
      <c r="C10" s="567">
        <v>18000</v>
      </c>
      <c r="D10" s="87">
        <v>144.13</v>
      </c>
      <c r="E10" s="563">
        <v>18000</v>
      </c>
      <c r="F10" s="87">
        <f t="shared" si="0"/>
        <v>0</v>
      </c>
      <c r="G10" s="509">
        <v>700000</v>
      </c>
      <c r="H10" s="525" t="s">
        <v>1697</v>
      </c>
      <c r="I10" s="692"/>
      <c r="J10" s="87">
        <v>700000</v>
      </c>
      <c r="K10" s="692"/>
      <c r="L10" s="692"/>
      <c r="M10" s="692"/>
      <c r="N10" s="692"/>
      <c r="O10" s="692"/>
      <c r="P10" s="692"/>
    </row>
    <row r="11" spans="1:16" ht="15.75" x14ac:dyDescent="0.25">
      <c r="A11" s="87" t="s">
        <v>1720</v>
      </c>
      <c r="B11" s="553" t="s">
        <v>1724</v>
      </c>
      <c r="C11" s="567">
        <v>23000</v>
      </c>
      <c r="D11" s="87">
        <v>167.15</v>
      </c>
      <c r="E11" s="563">
        <v>23000</v>
      </c>
      <c r="F11" s="87">
        <f t="shared" si="0"/>
        <v>0</v>
      </c>
      <c r="G11" s="509">
        <v>900000</v>
      </c>
      <c r="H11" s="525" t="s">
        <v>1698</v>
      </c>
      <c r="I11" s="692"/>
      <c r="J11" s="87">
        <v>750000</v>
      </c>
      <c r="K11" s="692"/>
      <c r="L11" s="692"/>
      <c r="M11" s="692"/>
      <c r="N11" s="692"/>
      <c r="O11" s="692"/>
      <c r="P11" s="692"/>
    </row>
    <row r="12" spans="1:16" ht="15.75" x14ac:dyDescent="0.25">
      <c r="A12" s="87" t="s">
        <v>1720</v>
      </c>
      <c r="B12" s="553" t="s">
        <v>1725</v>
      </c>
      <c r="C12" s="567">
        <v>17000</v>
      </c>
      <c r="D12" s="87">
        <v>167.15</v>
      </c>
      <c r="E12" s="563">
        <v>17000</v>
      </c>
      <c r="F12" s="87">
        <f t="shared" si="0"/>
        <v>0</v>
      </c>
      <c r="G12" s="509">
        <v>1200000</v>
      </c>
      <c r="H12" s="525" t="s">
        <v>1699</v>
      </c>
      <c r="I12" s="692"/>
      <c r="J12" s="87">
        <v>150000</v>
      </c>
      <c r="K12" s="692"/>
      <c r="L12" s="692"/>
      <c r="M12" s="692"/>
      <c r="N12" s="692"/>
      <c r="O12" s="692"/>
      <c r="P12" s="692"/>
    </row>
    <row r="13" spans="1:16" ht="15.75" x14ac:dyDescent="0.25">
      <c r="A13" s="87" t="s">
        <v>1720</v>
      </c>
      <c r="B13" s="553" t="s">
        <v>1726</v>
      </c>
      <c r="C13" s="567">
        <v>30000</v>
      </c>
      <c r="D13" s="87">
        <v>167.15</v>
      </c>
      <c r="E13" s="563">
        <v>30000</v>
      </c>
      <c r="F13" s="87">
        <f t="shared" si="0"/>
        <v>0</v>
      </c>
      <c r="G13" s="509">
        <v>700000</v>
      </c>
      <c r="H13" s="525" t="s">
        <v>1700</v>
      </c>
      <c r="I13" s="692"/>
      <c r="J13" s="87">
        <v>1100000</v>
      </c>
      <c r="K13" s="692"/>
      <c r="L13" s="692"/>
      <c r="M13" s="692"/>
      <c r="N13" s="692"/>
      <c r="O13" s="692"/>
      <c r="P13" s="692"/>
    </row>
    <row r="14" spans="1:16" ht="15.75" x14ac:dyDescent="0.25">
      <c r="A14" s="87" t="s">
        <v>1720</v>
      </c>
      <c r="B14" s="553" t="s">
        <v>1727</v>
      </c>
      <c r="C14" s="567">
        <v>17000</v>
      </c>
      <c r="D14" s="87">
        <v>167.15</v>
      </c>
      <c r="E14" s="563">
        <v>17000</v>
      </c>
      <c r="F14" s="87">
        <f t="shared" si="0"/>
        <v>0</v>
      </c>
      <c r="G14" s="509">
        <v>500000</v>
      </c>
      <c r="H14" s="525" t="s">
        <v>1701</v>
      </c>
      <c r="I14" s="692"/>
      <c r="J14" s="87">
        <v>100000</v>
      </c>
      <c r="K14" s="692"/>
      <c r="L14" s="692"/>
      <c r="M14" s="692"/>
      <c r="N14" s="692"/>
      <c r="O14" s="692"/>
      <c r="P14" s="692"/>
    </row>
    <row r="15" spans="1:16" ht="15.75" x14ac:dyDescent="0.25">
      <c r="A15" s="87" t="s">
        <v>1720</v>
      </c>
      <c r="B15" s="555" t="s">
        <v>1728</v>
      </c>
      <c r="C15" s="567">
        <v>10000</v>
      </c>
      <c r="D15" s="87">
        <v>167.15</v>
      </c>
      <c r="E15" s="563">
        <v>10000</v>
      </c>
      <c r="F15" s="87">
        <f t="shared" si="0"/>
        <v>0</v>
      </c>
      <c r="G15" s="509">
        <v>400000</v>
      </c>
      <c r="H15" s="525" t="s">
        <v>1702</v>
      </c>
      <c r="I15" s="692"/>
      <c r="J15" s="87">
        <v>650000</v>
      </c>
      <c r="K15" s="692"/>
      <c r="L15" s="692"/>
      <c r="M15" s="692"/>
      <c r="N15" s="692"/>
      <c r="O15" s="692"/>
      <c r="P15" s="692"/>
    </row>
    <row r="16" spans="1:16" ht="15.75" x14ac:dyDescent="0.25">
      <c r="A16" s="87" t="s">
        <v>1720</v>
      </c>
      <c r="B16" s="555" t="s">
        <v>1729</v>
      </c>
      <c r="C16" s="567">
        <v>16000</v>
      </c>
      <c r="D16" s="87">
        <v>167.15</v>
      </c>
      <c r="E16" s="563">
        <v>16000</v>
      </c>
      <c r="F16" s="87">
        <f t="shared" si="0"/>
        <v>0</v>
      </c>
      <c r="G16" s="509">
        <v>500000</v>
      </c>
      <c r="H16" s="525" t="s">
        <v>1703</v>
      </c>
      <c r="I16" s="692"/>
      <c r="J16" s="87">
        <v>50000</v>
      </c>
      <c r="K16" s="692"/>
      <c r="L16" s="692"/>
      <c r="M16" s="692"/>
      <c r="N16" s="692"/>
      <c r="O16" s="692"/>
      <c r="P16" s="692"/>
    </row>
    <row r="17" spans="1:16" ht="15.75" x14ac:dyDescent="0.25">
      <c r="A17" s="87" t="s">
        <v>1720</v>
      </c>
      <c r="B17" s="555" t="s">
        <v>1730</v>
      </c>
      <c r="C17" s="567">
        <v>10000</v>
      </c>
      <c r="D17" s="87">
        <v>111.41</v>
      </c>
      <c r="E17" s="563">
        <v>10000</v>
      </c>
      <c r="F17" s="87">
        <f t="shared" si="0"/>
        <v>0</v>
      </c>
      <c r="G17" s="509">
        <v>500000</v>
      </c>
      <c r="H17" s="525" t="s">
        <v>1704</v>
      </c>
      <c r="I17" s="692"/>
      <c r="J17" s="87">
        <v>500000</v>
      </c>
      <c r="K17" s="692"/>
      <c r="L17" s="692"/>
      <c r="M17" s="692"/>
      <c r="N17" s="692"/>
      <c r="O17" s="692"/>
      <c r="P17" s="692"/>
    </row>
    <row r="18" spans="1:16" ht="15.75" x14ac:dyDescent="0.25">
      <c r="A18" s="87" t="s">
        <v>1720</v>
      </c>
      <c r="B18" s="555" t="s">
        <v>1731</v>
      </c>
      <c r="C18" s="567">
        <v>10000</v>
      </c>
      <c r="D18" s="87">
        <v>111.41</v>
      </c>
      <c r="E18" s="563">
        <v>10000</v>
      </c>
      <c r="F18" s="87">
        <f t="shared" si="0"/>
        <v>0</v>
      </c>
      <c r="G18" s="509">
        <v>200000</v>
      </c>
      <c r="H18" s="525" t="s">
        <v>1706</v>
      </c>
      <c r="I18" s="692"/>
      <c r="J18" s="87">
        <v>400000</v>
      </c>
      <c r="K18" s="692"/>
      <c r="L18" s="692"/>
      <c r="M18" s="692"/>
      <c r="N18" s="692"/>
      <c r="O18" s="692"/>
      <c r="P18" s="692"/>
    </row>
    <row r="19" spans="1:16" ht="15.75" x14ac:dyDescent="0.25">
      <c r="A19" s="87" t="s">
        <v>1720</v>
      </c>
      <c r="B19" s="555" t="s">
        <v>66</v>
      </c>
      <c r="C19" s="567">
        <v>150</v>
      </c>
      <c r="D19" s="87">
        <v>222.64</v>
      </c>
      <c r="E19" s="563">
        <v>150</v>
      </c>
      <c r="F19" s="87">
        <f t="shared" si="0"/>
        <v>0</v>
      </c>
      <c r="G19" s="509">
        <v>400000</v>
      </c>
      <c r="H19" s="525" t="s">
        <v>1705</v>
      </c>
      <c r="I19" s="692"/>
      <c r="J19" s="87">
        <v>300000</v>
      </c>
      <c r="K19" s="692"/>
      <c r="L19" s="692"/>
      <c r="M19" s="692"/>
      <c r="N19" s="692"/>
      <c r="O19" s="692"/>
      <c r="P19" s="692"/>
    </row>
    <row r="20" spans="1:16" ht="15.75" x14ac:dyDescent="0.25">
      <c r="A20" s="87" t="s">
        <v>1720</v>
      </c>
      <c r="B20" s="555" t="s">
        <v>1732</v>
      </c>
      <c r="C20" s="567">
        <v>25000</v>
      </c>
      <c r="D20" s="87">
        <v>222.64</v>
      </c>
      <c r="E20" s="563">
        <v>25000</v>
      </c>
      <c r="F20" s="87">
        <f t="shared" si="0"/>
        <v>0</v>
      </c>
      <c r="G20" s="509">
        <v>300000</v>
      </c>
      <c r="H20" s="525" t="s">
        <v>1707</v>
      </c>
      <c r="I20" s="692"/>
      <c r="J20" s="87">
        <v>250000</v>
      </c>
      <c r="K20" s="692"/>
      <c r="L20" s="692"/>
      <c r="M20" s="692"/>
      <c r="N20" s="692"/>
      <c r="O20" s="692"/>
      <c r="P20" s="692"/>
    </row>
    <row r="21" spans="1:16" ht="15.75" x14ac:dyDescent="0.25">
      <c r="A21" s="87" t="s">
        <v>1720</v>
      </c>
      <c r="B21" s="555" t="s">
        <v>1733</v>
      </c>
      <c r="C21" s="567">
        <v>30000</v>
      </c>
      <c r="D21" s="87">
        <v>222.64</v>
      </c>
      <c r="E21" s="563">
        <v>30000</v>
      </c>
      <c r="F21" s="87">
        <f t="shared" si="0"/>
        <v>0</v>
      </c>
      <c r="G21" s="509">
        <v>400000</v>
      </c>
      <c r="H21" s="525" t="s">
        <v>1708</v>
      </c>
      <c r="I21" s="692"/>
      <c r="J21" s="87">
        <v>200000</v>
      </c>
      <c r="K21" s="692"/>
      <c r="L21" s="692"/>
      <c r="M21" s="692"/>
      <c r="N21" s="692"/>
      <c r="O21" s="692"/>
      <c r="P21" s="692"/>
    </row>
    <row r="22" spans="1:16" ht="15.75" x14ac:dyDescent="0.25">
      <c r="A22" s="87" t="s">
        <v>1720</v>
      </c>
      <c r="B22" s="555" t="s">
        <v>1734</v>
      </c>
      <c r="C22" s="567">
        <v>25000</v>
      </c>
      <c r="D22" s="87">
        <v>256.83999999999997</v>
      </c>
      <c r="E22" s="563">
        <v>25000</v>
      </c>
      <c r="F22" s="87">
        <f t="shared" si="0"/>
        <v>0</v>
      </c>
      <c r="G22" s="509">
        <v>500000</v>
      </c>
      <c r="H22" s="525" t="s">
        <v>1709</v>
      </c>
      <c r="I22" s="692"/>
      <c r="J22" s="514">
        <v>149923</v>
      </c>
      <c r="K22" s="692"/>
      <c r="L22" s="692"/>
      <c r="M22" s="692"/>
      <c r="N22" s="692"/>
      <c r="O22" s="692"/>
      <c r="P22" s="692"/>
    </row>
    <row r="23" spans="1:16" ht="15.75" x14ac:dyDescent="0.25">
      <c r="A23" s="87" t="s">
        <v>1720</v>
      </c>
      <c r="B23" s="555" t="s">
        <v>1735</v>
      </c>
      <c r="C23" s="567">
        <v>25000</v>
      </c>
      <c r="D23" s="87">
        <v>256.83999999999997</v>
      </c>
      <c r="E23" s="563">
        <v>25000</v>
      </c>
      <c r="F23" s="87">
        <f t="shared" si="0"/>
        <v>0</v>
      </c>
      <c r="G23" s="509">
        <v>400000</v>
      </c>
      <c r="H23" s="525" t="s">
        <v>1710</v>
      </c>
      <c r="I23" s="692"/>
      <c r="J23" s="514">
        <v>147200</v>
      </c>
      <c r="K23" s="692"/>
      <c r="L23" s="692"/>
      <c r="M23" s="692"/>
      <c r="N23" s="692"/>
      <c r="O23" s="692"/>
      <c r="P23" s="692"/>
    </row>
    <row r="24" spans="1:16" ht="15.75" x14ac:dyDescent="0.25">
      <c r="A24" s="87" t="s">
        <v>1720</v>
      </c>
      <c r="B24" s="555" t="s">
        <v>1736</v>
      </c>
      <c r="C24" s="567">
        <v>27000</v>
      </c>
      <c r="D24" s="87">
        <v>200.53</v>
      </c>
      <c r="E24" s="563">
        <v>27000</v>
      </c>
      <c r="F24" s="87">
        <f t="shared" si="0"/>
        <v>0</v>
      </c>
      <c r="G24" s="509">
        <v>700000</v>
      </c>
      <c r="H24" s="525" t="s">
        <v>1711</v>
      </c>
      <c r="I24" s="692"/>
      <c r="J24" s="514">
        <v>101250</v>
      </c>
      <c r="K24" s="692"/>
      <c r="L24" s="692"/>
      <c r="M24" s="692"/>
      <c r="N24" s="692"/>
      <c r="O24" s="692"/>
      <c r="P24" s="692"/>
    </row>
    <row r="25" spans="1:16" ht="15.75" x14ac:dyDescent="0.25">
      <c r="A25" s="87" t="s">
        <v>1720</v>
      </c>
      <c r="B25" s="555" t="s">
        <v>30</v>
      </c>
      <c r="C25" s="567">
        <v>5000</v>
      </c>
      <c r="D25" s="87">
        <v>211.74</v>
      </c>
      <c r="E25" s="563">
        <v>5000</v>
      </c>
      <c r="F25" s="87">
        <f t="shared" si="0"/>
        <v>0</v>
      </c>
      <c r="G25" s="509">
        <v>500000</v>
      </c>
      <c r="H25" s="525" t="s">
        <v>1712</v>
      </c>
      <c r="I25" s="692"/>
      <c r="J25" s="476">
        <v>250000</v>
      </c>
      <c r="K25" s="692"/>
      <c r="L25" s="692"/>
      <c r="M25" s="692"/>
      <c r="N25" s="692"/>
      <c r="O25" s="692"/>
      <c r="P25" s="692"/>
    </row>
    <row r="26" spans="1:16" ht="15.75" x14ac:dyDescent="0.25">
      <c r="A26" s="87" t="s">
        <v>1720</v>
      </c>
      <c r="B26" s="555" t="s">
        <v>1737</v>
      </c>
      <c r="C26" s="567">
        <v>25000</v>
      </c>
      <c r="D26" s="87">
        <v>267.64999999999998</v>
      </c>
      <c r="E26" s="563">
        <v>25000</v>
      </c>
      <c r="F26" s="87">
        <f t="shared" si="0"/>
        <v>0</v>
      </c>
      <c r="G26" s="509">
        <v>400000</v>
      </c>
      <c r="H26" s="525" t="s">
        <v>1714</v>
      </c>
      <c r="I26" s="692"/>
      <c r="J26" s="476">
        <v>200000</v>
      </c>
      <c r="K26" s="692"/>
      <c r="L26" s="692"/>
      <c r="M26" s="692"/>
      <c r="N26" s="692"/>
      <c r="O26" s="692"/>
      <c r="P26" s="692"/>
    </row>
    <row r="27" spans="1:16" ht="15.75" x14ac:dyDescent="0.25">
      <c r="A27" s="87" t="s">
        <v>1720</v>
      </c>
      <c r="B27" s="555" t="s">
        <v>1738</v>
      </c>
      <c r="C27" s="567">
        <v>34000</v>
      </c>
      <c r="D27" s="87">
        <v>278.74</v>
      </c>
      <c r="E27" s="563">
        <v>34000</v>
      </c>
      <c r="F27" s="87">
        <f t="shared" si="0"/>
        <v>0</v>
      </c>
      <c r="G27" s="509">
        <v>500000</v>
      </c>
      <c r="H27" s="525" t="s">
        <v>1715</v>
      </c>
      <c r="I27" s="692"/>
      <c r="J27" s="476">
        <v>400000</v>
      </c>
      <c r="K27" s="692"/>
      <c r="L27" s="692"/>
      <c r="M27" s="692"/>
      <c r="N27" s="692"/>
      <c r="O27" s="692"/>
      <c r="P27" s="692"/>
    </row>
    <row r="28" spans="1:16" ht="15.75" x14ac:dyDescent="0.25">
      <c r="A28" s="87" t="s">
        <v>1720</v>
      </c>
      <c r="B28" s="555" t="s">
        <v>1739</v>
      </c>
      <c r="C28" s="567">
        <v>30000</v>
      </c>
      <c r="D28" s="87">
        <v>167.15</v>
      </c>
      <c r="E28" s="563">
        <v>30000</v>
      </c>
      <c r="F28" s="87">
        <f t="shared" si="0"/>
        <v>0</v>
      </c>
      <c r="G28" s="509">
        <v>300000</v>
      </c>
      <c r="H28" s="525" t="s">
        <v>1717</v>
      </c>
      <c r="I28" s="692"/>
      <c r="J28" s="476">
        <v>300000</v>
      </c>
      <c r="K28" s="692"/>
      <c r="L28" s="692"/>
      <c r="M28" s="692"/>
      <c r="N28" s="692"/>
      <c r="O28" s="692"/>
      <c r="P28" s="692"/>
    </row>
    <row r="29" spans="1:16" ht="15.75" x14ac:dyDescent="0.25">
      <c r="A29" s="87" t="s">
        <v>1720</v>
      </c>
      <c r="B29" s="555" t="s">
        <v>1740</v>
      </c>
      <c r="C29" s="567">
        <v>34000</v>
      </c>
      <c r="D29" s="87">
        <v>178.22</v>
      </c>
      <c r="E29" s="563">
        <v>34000</v>
      </c>
      <c r="F29" s="87">
        <f t="shared" si="0"/>
        <v>0</v>
      </c>
      <c r="G29" s="509">
        <v>800000</v>
      </c>
      <c r="H29" s="525" t="s">
        <v>1718</v>
      </c>
      <c r="I29" s="692"/>
      <c r="J29" s="476">
        <v>320000</v>
      </c>
      <c r="K29" s="692"/>
      <c r="L29" s="692"/>
      <c r="M29" s="692"/>
      <c r="N29" s="692"/>
      <c r="O29" s="692"/>
      <c r="P29" s="692"/>
    </row>
    <row r="30" spans="1:16" ht="15.75" x14ac:dyDescent="0.25">
      <c r="A30" s="87" t="s">
        <v>1720</v>
      </c>
      <c r="B30" s="555" t="s">
        <v>1741</v>
      </c>
      <c r="C30" s="567">
        <v>34000</v>
      </c>
      <c r="D30" s="87">
        <v>55.15</v>
      </c>
      <c r="E30" s="563">
        <v>34000</v>
      </c>
      <c r="F30" s="87">
        <f t="shared" si="0"/>
        <v>0</v>
      </c>
      <c r="G30" s="509">
        <v>300000</v>
      </c>
      <c r="H30" s="525" t="s">
        <v>1719</v>
      </c>
      <c r="I30" s="692"/>
      <c r="J30" s="476">
        <v>80000</v>
      </c>
      <c r="K30" s="692"/>
      <c r="L30" s="692"/>
      <c r="M30" s="692"/>
      <c r="N30" s="692"/>
      <c r="O30" s="692"/>
      <c r="P30" s="692"/>
    </row>
    <row r="31" spans="1:16" ht="15.75" x14ac:dyDescent="0.25">
      <c r="A31" s="87" t="s">
        <v>1742</v>
      </c>
      <c r="B31" s="555" t="s">
        <v>1743</v>
      </c>
      <c r="C31" s="567">
        <v>31000</v>
      </c>
      <c r="D31" s="87">
        <v>2.0499999999999998</v>
      </c>
      <c r="E31" s="563">
        <v>31000</v>
      </c>
      <c r="F31" s="87">
        <f t="shared" si="0"/>
        <v>0</v>
      </c>
      <c r="G31" s="509">
        <v>149923</v>
      </c>
      <c r="H31" s="525" t="s">
        <v>2795</v>
      </c>
      <c r="I31" s="692"/>
      <c r="J31" s="476">
        <v>450000</v>
      </c>
      <c r="K31" s="692"/>
      <c r="L31" s="692"/>
      <c r="M31" s="692"/>
      <c r="N31" s="692"/>
      <c r="O31" s="692"/>
      <c r="P31" s="692"/>
    </row>
    <row r="32" spans="1:16" ht="15.75" x14ac:dyDescent="0.25">
      <c r="A32" s="87" t="s">
        <v>1742</v>
      </c>
      <c r="B32" s="555" t="s">
        <v>1744</v>
      </c>
      <c r="C32" s="567">
        <v>15000</v>
      </c>
      <c r="D32" s="87">
        <v>38.450000000000003</v>
      </c>
      <c r="E32" s="563">
        <v>15000</v>
      </c>
      <c r="F32" s="87">
        <f t="shared" si="0"/>
        <v>0</v>
      </c>
      <c r="G32" s="509">
        <v>147200</v>
      </c>
      <c r="H32" s="525" t="s">
        <v>2794</v>
      </c>
      <c r="I32" s="692"/>
      <c r="J32" s="476">
        <v>50000</v>
      </c>
      <c r="K32" s="692"/>
      <c r="L32" s="692"/>
      <c r="M32" s="692"/>
      <c r="N32" s="692"/>
      <c r="O32" s="692"/>
      <c r="P32" s="692"/>
    </row>
    <row r="33" spans="1:16" ht="15.75" x14ac:dyDescent="0.25">
      <c r="A33" s="87" t="s">
        <v>1742</v>
      </c>
      <c r="B33" s="555" t="s">
        <v>1745</v>
      </c>
      <c r="C33" s="567">
        <v>25000</v>
      </c>
      <c r="D33" s="87">
        <v>1.05</v>
      </c>
      <c r="E33" s="563">
        <v>25000</v>
      </c>
      <c r="F33" s="87">
        <f t="shared" si="0"/>
        <v>0</v>
      </c>
      <c r="G33" s="509">
        <v>101250</v>
      </c>
      <c r="H33" s="525" t="s">
        <v>2796</v>
      </c>
      <c r="I33" s="692"/>
      <c r="J33" s="476">
        <v>400000</v>
      </c>
      <c r="K33" s="692"/>
      <c r="L33" s="692"/>
      <c r="M33" s="692"/>
      <c r="N33" s="692"/>
      <c r="O33" s="692"/>
      <c r="P33" s="692"/>
    </row>
    <row r="34" spans="1:16" ht="15.75" x14ac:dyDescent="0.25">
      <c r="A34" s="87" t="s">
        <v>1742</v>
      </c>
      <c r="B34" s="555" t="s">
        <v>1746</v>
      </c>
      <c r="C34" s="567">
        <v>25000</v>
      </c>
      <c r="D34" s="87">
        <v>111.41</v>
      </c>
      <c r="E34" s="563">
        <v>25000</v>
      </c>
      <c r="F34" s="87">
        <f t="shared" si="0"/>
        <v>0</v>
      </c>
      <c r="G34" s="689">
        <v>126617</v>
      </c>
      <c r="H34" s="693"/>
      <c r="I34" s="692"/>
      <c r="J34" s="476">
        <v>700000</v>
      </c>
      <c r="K34" s="692"/>
      <c r="L34" s="692"/>
      <c r="M34" s="692"/>
      <c r="N34" s="692"/>
      <c r="O34" s="692"/>
      <c r="P34" s="692"/>
    </row>
    <row r="35" spans="1:16" ht="15.75" x14ac:dyDescent="0.25">
      <c r="A35" s="87" t="s">
        <v>1742</v>
      </c>
      <c r="B35" s="555" t="s">
        <v>1747</v>
      </c>
      <c r="C35" s="567">
        <v>25000</v>
      </c>
      <c r="D35" s="87">
        <v>319.74</v>
      </c>
      <c r="E35" s="563">
        <v>25000</v>
      </c>
      <c r="F35" s="87">
        <f t="shared" si="0"/>
        <v>0</v>
      </c>
      <c r="G35" s="689"/>
      <c r="H35" s="693"/>
      <c r="I35" s="692"/>
      <c r="J35" s="712">
        <v>286617</v>
      </c>
      <c r="K35" s="692"/>
      <c r="L35" s="692">
        <v>13484990</v>
      </c>
      <c r="M35" s="692"/>
      <c r="N35" s="692"/>
      <c r="O35" s="692"/>
      <c r="P35" s="692"/>
    </row>
    <row r="36" spans="1:16" ht="15.75" x14ac:dyDescent="0.25">
      <c r="A36" s="87" t="s">
        <v>1742</v>
      </c>
      <c r="B36" s="555" t="s">
        <v>2785</v>
      </c>
      <c r="C36" s="567">
        <v>25000</v>
      </c>
      <c r="D36" s="87">
        <v>278.57</v>
      </c>
      <c r="E36" s="563">
        <v>25000</v>
      </c>
      <c r="F36" s="87">
        <f t="shared" si="0"/>
        <v>0</v>
      </c>
      <c r="G36" s="689"/>
      <c r="H36" s="693"/>
      <c r="I36" s="692"/>
      <c r="J36" s="476">
        <v>400000</v>
      </c>
      <c r="K36" s="692"/>
      <c r="L36" s="692"/>
      <c r="M36" s="692"/>
      <c r="N36" s="692"/>
      <c r="O36" s="692"/>
      <c r="P36" s="692"/>
    </row>
    <row r="37" spans="1:16" ht="15.75" x14ac:dyDescent="0.25">
      <c r="A37" s="87" t="s">
        <v>1742</v>
      </c>
      <c r="B37" s="555" t="s">
        <v>2158</v>
      </c>
      <c r="C37" s="567">
        <v>15000</v>
      </c>
      <c r="D37" s="87">
        <v>178.54</v>
      </c>
      <c r="E37" s="563">
        <v>15000</v>
      </c>
      <c r="F37" s="87">
        <f t="shared" si="0"/>
        <v>0</v>
      </c>
      <c r="G37" s="689"/>
      <c r="H37" s="693"/>
      <c r="I37" s="692"/>
      <c r="J37" s="476">
        <v>340000</v>
      </c>
      <c r="K37" s="692"/>
      <c r="L37" s="692"/>
      <c r="M37" s="692"/>
      <c r="N37" s="692"/>
      <c r="O37" s="692"/>
      <c r="P37" s="692"/>
    </row>
    <row r="38" spans="1:16" s="709" customFormat="1" ht="15.75" x14ac:dyDescent="0.25">
      <c r="A38" s="87" t="s">
        <v>1742</v>
      </c>
      <c r="B38" s="555" t="s">
        <v>1748</v>
      </c>
      <c r="C38" s="567">
        <v>15000</v>
      </c>
      <c r="D38" s="87">
        <v>178.54</v>
      </c>
      <c r="E38" s="563">
        <v>15000</v>
      </c>
      <c r="F38" s="87">
        <f t="shared" ref="F38" si="1">C38-E38</f>
        <v>0</v>
      </c>
      <c r="G38" s="689"/>
      <c r="H38" s="693"/>
      <c r="I38" s="692"/>
      <c r="J38" s="476">
        <v>800000</v>
      </c>
      <c r="K38" s="692"/>
      <c r="L38" s="692"/>
      <c r="M38" s="692"/>
      <c r="N38" s="692"/>
      <c r="O38" s="692"/>
      <c r="P38" s="692"/>
    </row>
    <row r="39" spans="1:16" ht="15.75" x14ac:dyDescent="0.25">
      <c r="A39" s="87" t="s">
        <v>1742</v>
      </c>
      <c r="B39" s="555" t="s">
        <v>1749</v>
      </c>
      <c r="C39" s="567">
        <v>20000</v>
      </c>
      <c r="D39" s="87">
        <v>178.54</v>
      </c>
      <c r="E39" s="563">
        <v>20000</v>
      </c>
      <c r="F39" s="87">
        <f t="shared" si="0"/>
        <v>0</v>
      </c>
      <c r="G39" s="689"/>
      <c r="H39" s="693"/>
      <c r="I39" s="692"/>
      <c r="J39" s="476">
        <v>800000</v>
      </c>
      <c r="K39" s="692"/>
      <c r="L39" s="692"/>
      <c r="M39" s="692"/>
      <c r="N39" s="692"/>
      <c r="O39" s="692"/>
      <c r="P39" s="692"/>
    </row>
    <row r="40" spans="1:16" ht="15.75" x14ac:dyDescent="0.25">
      <c r="A40" s="87" t="s">
        <v>1742</v>
      </c>
      <c r="B40" s="555" t="s">
        <v>1750</v>
      </c>
      <c r="C40" s="567">
        <v>15000</v>
      </c>
      <c r="D40" s="87">
        <v>178.54</v>
      </c>
      <c r="E40" s="563">
        <v>15000</v>
      </c>
      <c r="F40" s="87">
        <f t="shared" si="0"/>
        <v>0</v>
      </c>
      <c r="G40" s="689"/>
      <c r="H40" s="693"/>
      <c r="I40" s="692"/>
      <c r="J40" s="476">
        <v>300000</v>
      </c>
      <c r="K40" s="692"/>
      <c r="L40" s="692"/>
      <c r="M40" s="692"/>
      <c r="N40" s="692"/>
      <c r="O40" s="692"/>
      <c r="P40" s="692"/>
    </row>
    <row r="41" spans="1:16" ht="15.75" x14ac:dyDescent="0.25">
      <c r="A41" s="87" t="s">
        <v>1742</v>
      </c>
      <c r="B41" s="555" t="s">
        <v>1751</v>
      </c>
      <c r="C41" s="567">
        <v>25000</v>
      </c>
      <c r="D41" s="87">
        <v>167.15</v>
      </c>
      <c r="E41" s="563">
        <v>25000</v>
      </c>
      <c r="F41" s="87">
        <f t="shared" si="0"/>
        <v>0</v>
      </c>
      <c r="G41" s="689"/>
      <c r="H41" s="693"/>
      <c r="I41" s="692"/>
      <c r="J41" s="87">
        <f>SUM(J6:J40)</f>
        <v>13324990</v>
      </c>
      <c r="K41" s="710">
        <f>13324990-13198373</f>
        <v>126617</v>
      </c>
      <c r="L41" s="692"/>
      <c r="M41" s="692"/>
      <c r="N41" s="692"/>
      <c r="O41" s="692"/>
      <c r="P41" s="692"/>
    </row>
    <row r="42" spans="1:16" ht="15.75" x14ac:dyDescent="0.25">
      <c r="A42" s="87" t="s">
        <v>1742</v>
      </c>
      <c r="B42" s="555" t="s">
        <v>1752</v>
      </c>
      <c r="C42" s="567">
        <v>23000</v>
      </c>
      <c r="D42" s="87">
        <v>189.74</v>
      </c>
      <c r="E42" s="563">
        <v>23000</v>
      </c>
      <c r="F42" s="87">
        <f t="shared" si="0"/>
        <v>0</v>
      </c>
      <c r="G42" s="689"/>
      <c r="H42" s="693"/>
      <c r="I42" s="692"/>
      <c r="J42" s="692"/>
      <c r="K42" s="692"/>
      <c r="L42" s="692"/>
      <c r="M42" s="692"/>
      <c r="N42" s="692"/>
      <c r="O42" s="692"/>
      <c r="P42" s="692"/>
    </row>
    <row r="43" spans="1:16" ht="15.75" x14ac:dyDescent="0.25">
      <c r="A43" s="87" t="s">
        <v>1742</v>
      </c>
      <c r="B43" s="555" t="s">
        <v>1753</v>
      </c>
      <c r="C43" s="567">
        <v>28000</v>
      </c>
      <c r="D43" s="87">
        <v>178.22</v>
      </c>
      <c r="E43" s="563">
        <v>28000</v>
      </c>
      <c r="F43" s="87">
        <f t="shared" si="0"/>
        <v>0</v>
      </c>
      <c r="G43" s="689"/>
      <c r="H43" s="693"/>
      <c r="I43" s="692"/>
      <c r="J43" s="692"/>
      <c r="K43" s="692"/>
      <c r="L43" s="692"/>
      <c r="M43" s="692"/>
      <c r="N43" s="692"/>
      <c r="O43" s="692"/>
      <c r="P43" s="692"/>
    </row>
    <row r="44" spans="1:16" ht="15.75" x14ac:dyDescent="0.25">
      <c r="A44" s="87" t="s">
        <v>1742</v>
      </c>
      <c r="B44" s="555" t="s">
        <v>1754</v>
      </c>
      <c r="C44" s="567">
        <v>25000</v>
      </c>
      <c r="D44" s="87">
        <v>222.74</v>
      </c>
      <c r="E44" s="563">
        <v>25000</v>
      </c>
      <c r="F44" s="87">
        <f t="shared" si="0"/>
        <v>0</v>
      </c>
      <c r="G44" s="689"/>
      <c r="H44" s="693"/>
      <c r="I44" s="692"/>
      <c r="J44" s="692"/>
      <c r="K44" s="692"/>
      <c r="L44" s="692"/>
      <c r="M44" s="692"/>
      <c r="N44" s="692"/>
      <c r="O44" s="692"/>
      <c r="P44" s="692"/>
    </row>
    <row r="45" spans="1:16" ht="15.75" x14ac:dyDescent="0.25">
      <c r="A45" s="87" t="s">
        <v>1742</v>
      </c>
      <c r="B45" s="555" t="s">
        <v>66</v>
      </c>
      <c r="C45" s="567">
        <v>150</v>
      </c>
      <c r="D45" s="87">
        <v>284.74</v>
      </c>
      <c r="E45" s="563">
        <v>150</v>
      </c>
      <c r="F45" s="87">
        <f t="shared" si="0"/>
        <v>0</v>
      </c>
      <c r="G45" s="689"/>
      <c r="H45" s="693"/>
      <c r="I45" s="692"/>
      <c r="J45" s="692"/>
      <c r="K45" s="692"/>
      <c r="L45" s="692"/>
      <c r="M45" s="692"/>
      <c r="N45" s="692"/>
      <c r="O45" s="692"/>
      <c r="P45" s="692"/>
    </row>
    <row r="46" spans="1:16" ht="15.75" x14ac:dyDescent="0.25">
      <c r="A46" s="87" t="s">
        <v>1742</v>
      </c>
      <c r="B46" s="555" t="s">
        <v>43</v>
      </c>
      <c r="C46" s="567">
        <v>4500</v>
      </c>
      <c r="D46" s="87">
        <v>222.74</v>
      </c>
      <c r="E46" s="563">
        <v>4500</v>
      </c>
      <c r="F46" s="87">
        <f t="shared" si="0"/>
        <v>0</v>
      </c>
      <c r="G46" s="689"/>
      <c r="H46" s="693"/>
      <c r="I46" s="692"/>
      <c r="J46" s="692"/>
      <c r="K46" s="692"/>
      <c r="L46" s="692"/>
      <c r="M46" s="692"/>
      <c r="N46" s="692"/>
      <c r="O46" s="692"/>
      <c r="P46" s="692"/>
    </row>
    <row r="47" spans="1:16" ht="15.75" x14ac:dyDescent="0.25">
      <c r="A47" s="87" t="s">
        <v>1742</v>
      </c>
      <c r="B47" s="555" t="s">
        <v>1755</v>
      </c>
      <c r="C47" s="567">
        <v>15000</v>
      </c>
      <c r="D47" s="87">
        <v>278.57</v>
      </c>
      <c r="E47" s="563">
        <v>15000</v>
      </c>
      <c r="F47" s="87">
        <f t="shared" si="0"/>
        <v>0</v>
      </c>
      <c r="G47" s="689"/>
      <c r="H47" s="693"/>
      <c r="I47" s="692"/>
      <c r="J47" s="692"/>
      <c r="K47" s="692"/>
      <c r="L47" s="692"/>
      <c r="M47" s="692"/>
      <c r="N47" s="692"/>
      <c r="O47" s="692"/>
      <c r="P47" s="692"/>
    </row>
    <row r="48" spans="1:16" ht="15.75" x14ac:dyDescent="0.25">
      <c r="A48" s="87" t="s">
        <v>1742</v>
      </c>
      <c r="B48" s="555" t="s">
        <v>1756</v>
      </c>
      <c r="C48" s="567">
        <v>17000</v>
      </c>
      <c r="D48" s="87">
        <v>267.74</v>
      </c>
      <c r="E48" s="563">
        <v>17000</v>
      </c>
      <c r="F48" s="87">
        <f t="shared" si="0"/>
        <v>0</v>
      </c>
      <c r="G48" s="689"/>
      <c r="H48" s="693"/>
      <c r="I48" s="692"/>
      <c r="J48" s="692"/>
      <c r="K48" s="692"/>
      <c r="L48" s="692"/>
      <c r="M48" s="692"/>
      <c r="N48" s="692"/>
      <c r="O48" s="692"/>
      <c r="P48" s="692"/>
    </row>
    <row r="49" spans="1:16" ht="15.75" x14ac:dyDescent="0.25">
      <c r="A49" s="87" t="s">
        <v>1757</v>
      </c>
      <c r="B49" s="555" t="s">
        <v>1758</v>
      </c>
      <c r="C49" s="567">
        <v>26000</v>
      </c>
      <c r="D49" s="87">
        <v>222.74</v>
      </c>
      <c r="E49" s="563">
        <v>26000</v>
      </c>
      <c r="F49" s="87">
        <f t="shared" si="0"/>
        <v>0</v>
      </c>
      <c r="G49" s="689"/>
      <c r="H49" s="693"/>
      <c r="I49" s="692"/>
      <c r="J49" s="692"/>
      <c r="K49" s="692"/>
      <c r="L49" s="692"/>
      <c r="M49" s="692"/>
      <c r="N49" s="692"/>
      <c r="O49" s="692"/>
      <c r="P49" s="692"/>
    </row>
    <row r="50" spans="1:16" ht="15.75" x14ac:dyDescent="0.25">
      <c r="A50" s="87" t="s">
        <v>1757</v>
      </c>
      <c r="B50" s="555" t="s">
        <v>1759</v>
      </c>
      <c r="C50" s="567">
        <v>26000</v>
      </c>
      <c r="D50" s="87">
        <v>222.74</v>
      </c>
      <c r="E50" s="563">
        <v>26000</v>
      </c>
      <c r="F50" s="87">
        <f t="shared" si="0"/>
        <v>0</v>
      </c>
      <c r="G50" s="689"/>
      <c r="H50" s="693"/>
      <c r="I50" s="692"/>
      <c r="J50" s="692"/>
      <c r="K50" s="692"/>
      <c r="L50" s="692"/>
      <c r="M50" s="692"/>
      <c r="N50" s="692"/>
      <c r="O50" s="692"/>
      <c r="P50" s="692"/>
    </row>
    <row r="51" spans="1:16" ht="15.75" x14ac:dyDescent="0.25">
      <c r="A51" s="87" t="s">
        <v>1757</v>
      </c>
      <c r="B51" s="555" t="s">
        <v>1760</v>
      </c>
      <c r="C51" s="567">
        <v>18000</v>
      </c>
      <c r="D51" s="87">
        <v>222.74</v>
      </c>
      <c r="E51" s="563">
        <v>18000</v>
      </c>
      <c r="F51" s="87">
        <f t="shared" si="0"/>
        <v>0</v>
      </c>
      <c r="G51" s="689"/>
      <c r="H51" s="693"/>
      <c r="I51" s="692"/>
      <c r="J51" s="692"/>
      <c r="K51" s="692"/>
      <c r="L51" s="692"/>
      <c r="M51" s="692"/>
      <c r="N51" s="692"/>
      <c r="O51" s="692"/>
      <c r="P51" s="692"/>
    </row>
    <row r="52" spans="1:16" ht="15.75" x14ac:dyDescent="0.25">
      <c r="A52" s="87" t="s">
        <v>1757</v>
      </c>
      <c r="B52" s="555" t="s">
        <v>1761</v>
      </c>
      <c r="C52" s="567">
        <v>16000</v>
      </c>
      <c r="D52" s="87">
        <v>111.41</v>
      </c>
      <c r="E52" s="563">
        <v>16000</v>
      </c>
      <c r="F52" s="87">
        <f t="shared" si="0"/>
        <v>0</v>
      </c>
      <c r="G52" s="689"/>
      <c r="H52" s="693"/>
      <c r="I52" s="692"/>
      <c r="J52" s="692"/>
      <c r="K52" s="692"/>
      <c r="L52" s="692"/>
      <c r="M52" s="692"/>
      <c r="N52" s="692"/>
      <c r="O52" s="692"/>
      <c r="P52" s="692"/>
    </row>
    <row r="53" spans="1:16" ht="15.75" x14ac:dyDescent="0.25">
      <c r="A53" s="87" t="s">
        <v>1757</v>
      </c>
      <c r="B53" s="555" t="s">
        <v>1762</v>
      </c>
      <c r="C53" s="567">
        <v>20000</v>
      </c>
      <c r="D53" s="87">
        <v>50.47</v>
      </c>
      <c r="E53" s="563">
        <v>20000</v>
      </c>
      <c r="F53" s="87">
        <f t="shared" si="0"/>
        <v>0</v>
      </c>
      <c r="G53" s="689"/>
      <c r="H53" s="693"/>
      <c r="I53" s="692"/>
      <c r="J53" s="692"/>
      <c r="K53" s="692"/>
      <c r="L53" s="692"/>
      <c r="M53" s="692"/>
      <c r="N53" s="692"/>
      <c r="O53" s="692"/>
      <c r="P53" s="692"/>
    </row>
    <row r="54" spans="1:16" ht="15.75" x14ac:dyDescent="0.25">
      <c r="A54" s="87" t="s">
        <v>1757</v>
      </c>
      <c r="B54" s="555" t="s">
        <v>1763</v>
      </c>
      <c r="C54" s="567">
        <v>25000</v>
      </c>
      <c r="D54" s="87">
        <v>189.74</v>
      </c>
      <c r="E54" s="563">
        <v>25000</v>
      </c>
      <c r="F54" s="87">
        <f t="shared" si="0"/>
        <v>0</v>
      </c>
      <c r="G54" s="689"/>
      <c r="H54" s="693"/>
      <c r="I54" s="692"/>
      <c r="J54" s="692"/>
      <c r="K54" s="692"/>
      <c r="L54" s="692"/>
      <c r="M54" s="692"/>
      <c r="N54" s="692"/>
      <c r="O54" s="692"/>
      <c r="P54" s="692"/>
    </row>
    <row r="55" spans="1:16" ht="15.75" x14ac:dyDescent="0.25">
      <c r="A55" s="87" t="s">
        <v>1757</v>
      </c>
      <c r="B55" s="555" t="s">
        <v>1764</v>
      </c>
      <c r="C55" s="567">
        <v>27000</v>
      </c>
      <c r="D55" s="87">
        <v>178.22</v>
      </c>
      <c r="E55" s="563">
        <v>27000</v>
      </c>
      <c r="F55" s="87">
        <f t="shared" si="0"/>
        <v>0</v>
      </c>
      <c r="G55" s="689"/>
      <c r="H55" s="693"/>
      <c r="I55" s="692"/>
      <c r="J55" s="692"/>
      <c r="K55" s="692"/>
      <c r="L55" s="692"/>
      <c r="M55" s="692"/>
      <c r="N55" s="692"/>
      <c r="O55" s="692"/>
      <c r="P55" s="692"/>
    </row>
    <row r="56" spans="1:16" ht="15.75" x14ac:dyDescent="0.25">
      <c r="A56" s="87" t="s">
        <v>1757</v>
      </c>
      <c r="B56" s="555" t="s">
        <v>1765</v>
      </c>
      <c r="C56" s="567">
        <v>10000</v>
      </c>
      <c r="D56" s="87">
        <v>55.45</v>
      </c>
      <c r="E56" s="563">
        <v>10000</v>
      </c>
      <c r="F56" s="87">
        <f t="shared" si="0"/>
        <v>0</v>
      </c>
      <c r="G56" s="689"/>
      <c r="H56" s="693"/>
      <c r="I56" s="692"/>
      <c r="J56" s="692"/>
      <c r="K56" s="692"/>
      <c r="L56" s="692"/>
      <c r="M56" s="692"/>
      <c r="N56" s="692"/>
      <c r="O56" s="692"/>
      <c r="P56" s="692"/>
    </row>
    <row r="57" spans="1:16" ht="15.75" x14ac:dyDescent="0.25">
      <c r="A57" s="87" t="s">
        <v>1757</v>
      </c>
      <c r="B57" s="555" t="s">
        <v>1766</v>
      </c>
      <c r="C57" s="567">
        <v>15000</v>
      </c>
      <c r="D57" s="87">
        <v>178.22</v>
      </c>
      <c r="E57" s="563">
        <v>15000</v>
      </c>
      <c r="F57" s="87">
        <f t="shared" si="0"/>
        <v>0</v>
      </c>
      <c r="G57" s="689"/>
      <c r="H57" s="693"/>
      <c r="I57" s="692"/>
      <c r="J57" s="692"/>
      <c r="K57" s="692"/>
      <c r="L57" s="692"/>
      <c r="M57" s="692"/>
      <c r="N57" s="692"/>
      <c r="O57" s="692"/>
      <c r="P57" s="692"/>
    </row>
    <row r="58" spans="1:16" ht="15.75" x14ac:dyDescent="0.25">
      <c r="A58" s="87" t="s">
        <v>1757</v>
      </c>
      <c r="B58" s="555" t="s">
        <v>1767</v>
      </c>
      <c r="C58" s="567">
        <v>20000</v>
      </c>
      <c r="D58" s="87">
        <v>178.22</v>
      </c>
      <c r="E58" s="563">
        <v>20000</v>
      </c>
      <c r="F58" s="87">
        <f t="shared" si="0"/>
        <v>0</v>
      </c>
      <c r="G58" s="689"/>
      <c r="H58" s="693"/>
      <c r="I58" s="692"/>
      <c r="J58" s="692"/>
      <c r="K58" s="692"/>
      <c r="L58" s="692"/>
      <c r="M58" s="692"/>
      <c r="N58" s="692"/>
      <c r="O58" s="692"/>
      <c r="P58" s="692"/>
    </row>
    <row r="59" spans="1:16" ht="15.75" x14ac:dyDescent="0.25">
      <c r="A59" s="87" t="s">
        <v>1757</v>
      </c>
      <c r="B59" s="555" t="s">
        <v>1768</v>
      </c>
      <c r="C59" s="567">
        <v>15000</v>
      </c>
      <c r="D59" s="87">
        <v>178.22</v>
      </c>
      <c r="E59" s="563">
        <v>15000</v>
      </c>
      <c r="F59" s="87">
        <f t="shared" si="0"/>
        <v>0</v>
      </c>
      <c r="G59" s="689"/>
      <c r="H59" s="693"/>
      <c r="I59" s="692"/>
      <c r="J59" s="692"/>
      <c r="K59" s="692"/>
      <c r="L59" s="692"/>
      <c r="M59" s="692"/>
      <c r="N59" s="692"/>
      <c r="O59" s="692"/>
      <c r="P59" s="692"/>
    </row>
    <row r="60" spans="1:16" ht="15" customHeight="1" x14ac:dyDescent="0.25">
      <c r="A60" s="87" t="s">
        <v>1757</v>
      </c>
      <c r="B60" s="555" t="s">
        <v>30</v>
      </c>
      <c r="C60" s="567">
        <v>9000</v>
      </c>
      <c r="D60" s="87">
        <v>111.41</v>
      </c>
      <c r="E60" s="563">
        <v>9000</v>
      </c>
      <c r="F60" s="87">
        <f t="shared" si="0"/>
        <v>0</v>
      </c>
      <c r="G60" s="690"/>
      <c r="H60" s="693"/>
      <c r="I60" s="692"/>
      <c r="J60" s="692"/>
      <c r="K60" s="692"/>
      <c r="L60" s="692"/>
      <c r="M60" s="692"/>
      <c r="N60" s="692"/>
      <c r="O60" s="692"/>
      <c r="P60" s="692"/>
    </row>
    <row r="61" spans="1:16" ht="15" customHeight="1" x14ac:dyDescent="0.25">
      <c r="A61" s="87" t="s">
        <v>1757</v>
      </c>
      <c r="B61" s="555" t="s">
        <v>1769</v>
      </c>
      <c r="C61" s="567">
        <v>33000</v>
      </c>
      <c r="D61" s="87">
        <v>178.22</v>
      </c>
      <c r="E61" s="563">
        <v>33000</v>
      </c>
      <c r="F61" s="87">
        <f t="shared" si="0"/>
        <v>0</v>
      </c>
      <c r="G61" s="690"/>
      <c r="H61" s="693"/>
      <c r="I61" s="692"/>
      <c r="J61" s="692"/>
      <c r="K61" s="692"/>
      <c r="L61" s="692"/>
      <c r="M61" s="692"/>
      <c r="N61" s="692"/>
      <c r="O61" s="692"/>
      <c r="P61" s="692"/>
    </row>
    <row r="62" spans="1:16" ht="15" customHeight="1" x14ac:dyDescent="0.25">
      <c r="A62" s="87" t="s">
        <v>1757</v>
      </c>
      <c r="B62" s="555" t="s">
        <v>1770</v>
      </c>
      <c r="C62" s="567">
        <v>15000</v>
      </c>
      <c r="D62" s="87">
        <v>211.74</v>
      </c>
      <c r="E62" s="563">
        <v>15000</v>
      </c>
      <c r="F62" s="87">
        <f t="shared" si="0"/>
        <v>0</v>
      </c>
      <c r="G62" s="690"/>
      <c r="H62" s="693"/>
      <c r="I62" s="692"/>
      <c r="J62" s="692"/>
      <c r="K62" s="692"/>
      <c r="L62" s="692"/>
      <c r="M62" s="692"/>
      <c r="N62" s="692"/>
      <c r="O62" s="692"/>
      <c r="P62" s="692"/>
    </row>
    <row r="63" spans="1:16" ht="15" customHeight="1" x14ac:dyDescent="0.25">
      <c r="A63" s="87" t="s">
        <v>1757</v>
      </c>
      <c r="B63" s="555" t="s">
        <v>30</v>
      </c>
      <c r="C63" s="567">
        <v>5000</v>
      </c>
      <c r="D63" s="87">
        <v>222.74</v>
      </c>
      <c r="E63" s="563">
        <v>5000</v>
      </c>
      <c r="F63" s="87">
        <f t="shared" si="0"/>
        <v>0</v>
      </c>
      <c r="G63" s="690"/>
      <c r="H63" s="693"/>
      <c r="I63" s="692"/>
      <c r="J63" s="692"/>
      <c r="K63" s="692"/>
      <c r="L63" s="692"/>
      <c r="M63" s="692"/>
      <c r="N63" s="692"/>
      <c r="O63" s="692"/>
      <c r="P63" s="692"/>
    </row>
    <row r="64" spans="1:16" ht="15" customHeight="1" x14ac:dyDescent="0.25">
      <c r="A64" s="87" t="s">
        <v>1757</v>
      </c>
      <c r="B64" s="555" t="s">
        <v>1771</v>
      </c>
      <c r="C64" s="567">
        <v>23000</v>
      </c>
      <c r="D64" s="87">
        <v>222.74</v>
      </c>
      <c r="E64" s="563">
        <v>23000</v>
      </c>
      <c r="F64" s="87">
        <f t="shared" si="0"/>
        <v>0</v>
      </c>
      <c r="G64" s="690"/>
      <c r="H64" s="693"/>
      <c r="I64" s="692"/>
      <c r="J64" s="692"/>
      <c r="K64" s="692"/>
      <c r="L64" s="692"/>
      <c r="M64" s="692"/>
      <c r="N64" s="692"/>
      <c r="O64" s="692"/>
      <c r="P64" s="692"/>
    </row>
    <row r="65" spans="1:16" ht="15" customHeight="1" x14ac:dyDescent="0.25">
      <c r="A65" s="87" t="s">
        <v>1757</v>
      </c>
      <c r="B65" s="555" t="s">
        <v>1772</v>
      </c>
      <c r="C65" s="567">
        <v>18000</v>
      </c>
      <c r="D65" s="87">
        <v>155.74</v>
      </c>
      <c r="E65" s="563">
        <v>18000</v>
      </c>
      <c r="F65" s="87">
        <f t="shared" si="0"/>
        <v>0</v>
      </c>
      <c r="G65" s="690"/>
      <c r="H65" s="693"/>
      <c r="I65" s="692"/>
      <c r="J65" s="692"/>
      <c r="K65" s="692"/>
      <c r="L65" s="692"/>
      <c r="M65" s="692"/>
      <c r="N65" s="692"/>
      <c r="O65" s="692"/>
      <c r="P65" s="692"/>
    </row>
    <row r="66" spans="1:16" ht="15" customHeight="1" x14ac:dyDescent="0.25">
      <c r="A66" s="87" t="s">
        <v>1757</v>
      </c>
      <c r="B66" s="555" t="s">
        <v>1773</v>
      </c>
      <c r="C66" s="567">
        <v>32000</v>
      </c>
      <c r="D66" s="87">
        <v>167.84</v>
      </c>
      <c r="E66" s="563">
        <v>32000</v>
      </c>
      <c r="F66" s="87">
        <f t="shared" si="0"/>
        <v>0</v>
      </c>
      <c r="G66" s="690"/>
      <c r="H66" s="693"/>
      <c r="I66" s="692"/>
      <c r="J66" s="692"/>
      <c r="K66" s="692"/>
      <c r="L66" s="692"/>
      <c r="M66" s="692"/>
      <c r="N66" s="692"/>
      <c r="O66" s="692"/>
      <c r="P66" s="692"/>
    </row>
    <row r="67" spans="1:16" ht="15" customHeight="1" x14ac:dyDescent="0.25">
      <c r="A67" s="87" t="s">
        <v>1757</v>
      </c>
      <c r="B67" s="555" t="s">
        <v>1774</v>
      </c>
      <c r="C67" s="567">
        <v>34000</v>
      </c>
      <c r="D67" s="87">
        <v>178.22</v>
      </c>
      <c r="E67" s="563">
        <v>34000</v>
      </c>
      <c r="F67" s="87">
        <f t="shared" si="0"/>
        <v>0</v>
      </c>
      <c r="G67" s="690"/>
      <c r="H67" s="693"/>
      <c r="I67" s="692"/>
      <c r="J67" s="692"/>
      <c r="K67" s="692"/>
      <c r="L67" s="692"/>
      <c r="M67" s="692"/>
      <c r="N67" s="692"/>
      <c r="O67" s="692"/>
      <c r="P67" s="692"/>
    </row>
    <row r="68" spans="1:16" ht="15" customHeight="1" x14ac:dyDescent="0.25">
      <c r="A68" s="87" t="s">
        <v>1757</v>
      </c>
      <c r="B68" s="555" t="s">
        <v>1775</v>
      </c>
      <c r="C68" s="567">
        <v>32000</v>
      </c>
      <c r="D68" s="87">
        <v>153.74</v>
      </c>
      <c r="E68" s="563">
        <v>32000</v>
      </c>
      <c r="F68" s="87">
        <f t="shared" si="0"/>
        <v>0</v>
      </c>
      <c r="G68" s="690"/>
      <c r="H68" s="693"/>
      <c r="I68" s="692"/>
      <c r="J68" s="692"/>
      <c r="K68" s="692"/>
      <c r="L68" s="692"/>
      <c r="M68" s="692"/>
      <c r="N68" s="692"/>
      <c r="O68" s="692"/>
      <c r="P68" s="692"/>
    </row>
    <row r="69" spans="1:16" ht="15" customHeight="1" x14ac:dyDescent="0.25">
      <c r="A69" s="87" t="s">
        <v>1757</v>
      </c>
      <c r="B69" s="555" t="s">
        <v>1776</v>
      </c>
      <c r="C69" s="567">
        <v>21000</v>
      </c>
      <c r="D69" s="87">
        <v>222.87</v>
      </c>
      <c r="E69" s="563">
        <v>21000</v>
      </c>
      <c r="F69" s="87">
        <f t="shared" si="0"/>
        <v>0</v>
      </c>
      <c r="G69" s="690"/>
      <c r="H69" s="693"/>
      <c r="I69" s="692"/>
      <c r="J69" s="692"/>
      <c r="K69" s="692"/>
      <c r="L69" s="692"/>
      <c r="M69" s="692"/>
      <c r="N69" s="692"/>
      <c r="O69" s="692"/>
      <c r="P69" s="692"/>
    </row>
    <row r="70" spans="1:16" ht="15" customHeight="1" x14ac:dyDescent="0.25">
      <c r="A70" s="87" t="s">
        <v>1757</v>
      </c>
      <c r="B70" s="555" t="s">
        <v>1777</v>
      </c>
      <c r="C70" s="567">
        <v>20000</v>
      </c>
      <c r="D70" s="87">
        <v>167.15</v>
      </c>
      <c r="E70" s="563">
        <v>20000</v>
      </c>
      <c r="F70" s="87">
        <f t="shared" si="0"/>
        <v>0</v>
      </c>
      <c r="G70" s="690"/>
      <c r="H70" s="693"/>
      <c r="I70" s="692"/>
      <c r="J70" s="692"/>
      <c r="K70" s="692"/>
      <c r="L70" s="692"/>
      <c r="M70" s="692"/>
      <c r="N70" s="692"/>
      <c r="O70" s="692"/>
      <c r="P70" s="692"/>
    </row>
    <row r="71" spans="1:16" ht="15" customHeight="1" x14ac:dyDescent="0.25">
      <c r="A71" s="87" t="s">
        <v>1757</v>
      </c>
      <c r="B71" s="555" t="s">
        <v>1778</v>
      </c>
      <c r="C71" s="567">
        <v>32000</v>
      </c>
      <c r="D71" s="87">
        <v>167.15</v>
      </c>
      <c r="E71" s="563">
        <v>32000</v>
      </c>
      <c r="F71" s="87">
        <f t="shared" ref="F71:F133" si="2">C71-E71</f>
        <v>0</v>
      </c>
      <c r="G71" s="690"/>
      <c r="H71" s="693"/>
      <c r="I71" s="692"/>
      <c r="J71" s="692"/>
      <c r="K71" s="692"/>
      <c r="L71" s="692"/>
      <c r="M71" s="692"/>
      <c r="N71" s="692"/>
      <c r="O71" s="692"/>
      <c r="P71" s="692"/>
    </row>
    <row r="72" spans="1:16" ht="15" customHeight="1" x14ac:dyDescent="0.25">
      <c r="A72" s="87" t="s">
        <v>1757</v>
      </c>
      <c r="B72" s="555" t="s">
        <v>1779</v>
      </c>
      <c r="C72" s="567">
        <v>12000</v>
      </c>
      <c r="D72" s="87">
        <v>289.54000000000002</v>
      </c>
      <c r="E72" s="563">
        <v>12000</v>
      </c>
      <c r="F72" s="87">
        <f t="shared" si="2"/>
        <v>0</v>
      </c>
      <c r="G72" s="690"/>
      <c r="H72" s="693"/>
      <c r="I72" s="692"/>
      <c r="J72" s="692"/>
      <c r="K72" s="692"/>
      <c r="L72" s="692"/>
      <c r="M72" s="692"/>
      <c r="N72" s="692"/>
      <c r="O72" s="692"/>
      <c r="P72" s="692"/>
    </row>
    <row r="73" spans="1:16" ht="15" customHeight="1" x14ac:dyDescent="0.25">
      <c r="A73" s="87" t="s">
        <v>1757</v>
      </c>
      <c r="B73" s="555" t="s">
        <v>1780</v>
      </c>
      <c r="C73" s="567">
        <v>31000</v>
      </c>
      <c r="D73" s="87">
        <v>256.87</v>
      </c>
      <c r="E73" s="563">
        <v>31000</v>
      </c>
      <c r="F73" s="87">
        <f t="shared" si="2"/>
        <v>0</v>
      </c>
      <c r="G73" s="690"/>
      <c r="H73" s="693"/>
      <c r="I73" s="692"/>
      <c r="J73" s="692"/>
      <c r="K73" s="692"/>
      <c r="L73" s="692"/>
      <c r="M73" s="692"/>
      <c r="N73" s="692"/>
      <c r="O73" s="692"/>
      <c r="P73" s="692"/>
    </row>
    <row r="74" spans="1:16" ht="15" customHeight="1" x14ac:dyDescent="0.25">
      <c r="A74" s="87" t="s">
        <v>1757</v>
      </c>
      <c r="B74" s="555" t="s">
        <v>1781</v>
      </c>
      <c r="C74" s="567">
        <v>27000</v>
      </c>
      <c r="D74" s="87">
        <v>278.22000000000003</v>
      </c>
      <c r="E74" s="563">
        <v>27000</v>
      </c>
      <c r="F74" s="87">
        <f t="shared" si="2"/>
        <v>0</v>
      </c>
      <c r="G74" s="690"/>
      <c r="H74" s="693"/>
      <c r="I74" s="692"/>
      <c r="J74" s="692"/>
      <c r="K74" s="692"/>
      <c r="L74" s="692"/>
      <c r="M74" s="692"/>
      <c r="N74" s="692"/>
      <c r="O74" s="692"/>
      <c r="P74" s="692"/>
    </row>
    <row r="75" spans="1:16" ht="15" customHeight="1" x14ac:dyDescent="0.25">
      <c r="A75" s="87" t="s">
        <v>1757</v>
      </c>
      <c r="B75" s="555" t="s">
        <v>1782</v>
      </c>
      <c r="C75" s="567">
        <v>20000</v>
      </c>
      <c r="D75" s="87">
        <v>200.53</v>
      </c>
      <c r="E75" s="563">
        <v>20000</v>
      </c>
      <c r="F75" s="87">
        <f t="shared" si="2"/>
        <v>0</v>
      </c>
      <c r="G75" s="690"/>
      <c r="H75" s="693"/>
      <c r="I75" s="692"/>
      <c r="J75" s="692"/>
      <c r="K75" s="692"/>
      <c r="L75" s="692"/>
      <c r="M75" s="692"/>
      <c r="N75" s="692"/>
      <c r="O75" s="692"/>
      <c r="P75" s="692"/>
    </row>
    <row r="76" spans="1:16" ht="15" customHeight="1" x14ac:dyDescent="0.25">
      <c r="A76" s="87" t="s">
        <v>1757</v>
      </c>
      <c r="B76" s="555" t="s">
        <v>66</v>
      </c>
      <c r="C76" s="567">
        <v>210</v>
      </c>
      <c r="D76" s="87">
        <v>222.78</v>
      </c>
      <c r="E76" s="563">
        <v>210</v>
      </c>
      <c r="F76" s="87">
        <f t="shared" si="2"/>
        <v>0</v>
      </c>
      <c r="G76" s="690"/>
      <c r="H76" s="693"/>
      <c r="I76" s="692"/>
      <c r="J76" s="692"/>
      <c r="K76" s="692"/>
      <c r="L76" s="692"/>
      <c r="M76" s="692"/>
      <c r="N76" s="692"/>
      <c r="O76" s="692"/>
      <c r="P76" s="692"/>
    </row>
    <row r="77" spans="1:16" ht="15" customHeight="1" x14ac:dyDescent="0.25">
      <c r="A77" s="87" t="s">
        <v>1757</v>
      </c>
      <c r="B77" s="555" t="s">
        <v>66</v>
      </c>
      <c r="C77" s="567">
        <v>150</v>
      </c>
      <c r="D77" s="87">
        <v>37.71</v>
      </c>
      <c r="E77" s="563">
        <v>150</v>
      </c>
      <c r="F77" s="87">
        <f t="shared" si="2"/>
        <v>0</v>
      </c>
      <c r="G77" s="690"/>
      <c r="H77" s="693"/>
      <c r="I77" s="692"/>
      <c r="J77" s="692"/>
      <c r="K77" s="692"/>
      <c r="L77" s="692"/>
      <c r="M77" s="692"/>
      <c r="N77" s="692"/>
      <c r="O77" s="692"/>
      <c r="P77" s="692"/>
    </row>
    <row r="78" spans="1:16" ht="15" customHeight="1" x14ac:dyDescent="0.25">
      <c r="A78" s="87" t="s">
        <v>1783</v>
      </c>
      <c r="B78" s="555" t="s">
        <v>1784</v>
      </c>
      <c r="C78" s="567">
        <v>20000</v>
      </c>
      <c r="D78" s="87">
        <v>111.41</v>
      </c>
      <c r="E78" s="563">
        <v>20000</v>
      </c>
      <c r="F78" s="87">
        <f t="shared" si="2"/>
        <v>0</v>
      </c>
      <c r="G78" s="690"/>
      <c r="H78" s="693"/>
      <c r="I78" s="692"/>
      <c r="J78" s="692"/>
      <c r="K78" s="692"/>
      <c r="L78" s="692"/>
      <c r="M78" s="692"/>
      <c r="N78" s="692"/>
      <c r="O78" s="692"/>
      <c r="P78" s="692"/>
    </row>
    <row r="79" spans="1:16" ht="15" customHeight="1" x14ac:dyDescent="0.25">
      <c r="A79" s="87" t="s">
        <v>1783</v>
      </c>
      <c r="B79" s="555" t="s">
        <v>1785</v>
      </c>
      <c r="C79" s="567">
        <v>22000</v>
      </c>
      <c r="D79" s="87">
        <v>316.75</v>
      </c>
      <c r="E79" s="563">
        <v>22000</v>
      </c>
      <c r="F79" s="87">
        <f t="shared" si="2"/>
        <v>0</v>
      </c>
      <c r="G79" s="690"/>
      <c r="H79" s="693"/>
      <c r="I79" s="692"/>
      <c r="J79" s="692"/>
      <c r="K79" s="692"/>
      <c r="L79" s="692"/>
      <c r="M79" s="692"/>
      <c r="N79" s="692"/>
      <c r="O79" s="692"/>
      <c r="P79" s="692"/>
    </row>
    <row r="80" spans="1:16" ht="15" customHeight="1" x14ac:dyDescent="0.25">
      <c r="A80" s="87" t="s">
        <v>1783</v>
      </c>
      <c r="B80" s="555" t="s">
        <v>1786</v>
      </c>
      <c r="C80" s="567">
        <v>22000</v>
      </c>
      <c r="D80" s="87">
        <v>350.74</v>
      </c>
      <c r="E80" s="563">
        <v>22000</v>
      </c>
      <c r="F80" s="87">
        <f t="shared" si="2"/>
        <v>0</v>
      </c>
      <c r="G80" s="690"/>
      <c r="H80" s="693"/>
      <c r="I80" s="692"/>
      <c r="J80" s="692"/>
      <c r="K80" s="692"/>
      <c r="L80" s="692"/>
      <c r="M80" s="692"/>
      <c r="N80" s="692"/>
      <c r="O80" s="692"/>
      <c r="P80" s="692"/>
    </row>
    <row r="81" spans="1:16" ht="15" customHeight="1" x14ac:dyDescent="0.25">
      <c r="A81" s="87" t="s">
        <v>1783</v>
      </c>
      <c r="B81" s="555" t="s">
        <v>1787</v>
      </c>
      <c r="C81" s="567">
        <v>15000</v>
      </c>
      <c r="D81" s="87">
        <v>167.45</v>
      </c>
      <c r="E81" s="563">
        <v>15000</v>
      </c>
      <c r="F81" s="87">
        <f t="shared" si="2"/>
        <v>0</v>
      </c>
      <c r="G81" s="690"/>
      <c r="H81" s="693"/>
      <c r="I81" s="692"/>
      <c r="J81" s="692"/>
      <c r="K81" s="692"/>
      <c r="L81" s="692"/>
      <c r="M81" s="692"/>
      <c r="N81" s="692"/>
      <c r="O81" s="692"/>
      <c r="P81" s="692"/>
    </row>
    <row r="82" spans="1:16" ht="15" customHeight="1" x14ac:dyDescent="0.25">
      <c r="A82" s="87" t="s">
        <v>1783</v>
      </c>
      <c r="B82" s="555" t="s">
        <v>1788</v>
      </c>
      <c r="C82" s="567">
        <v>15000</v>
      </c>
      <c r="D82" s="87">
        <v>167.45</v>
      </c>
      <c r="E82" s="563">
        <v>15000</v>
      </c>
      <c r="F82" s="87">
        <f t="shared" si="2"/>
        <v>0</v>
      </c>
      <c r="G82" s="690"/>
      <c r="H82" s="693"/>
      <c r="I82" s="692"/>
      <c r="J82" s="692"/>
      <c r="K82" s="692"/>
      <c r="L82" s="692"/>
      <c r="M82" s="692"/>
      <c r="N82" s="692"/>
      <c r="O82" s="692"/>
      <c r="P82" s="692"/>
    </row>
    <row r="83" spans="1:16" ht="15" customHeight="1" x14ac:dyDescent="0.25">
      <c r="A83" s="87" t="s">
        <v>1783</v>
      </c>
      <c r="B83" s="555" t="s">
        <v>1789</v>
      </c>
      <c r="C83" s="567">
        <v>15000</v>
      </c>
      <c r="D83" s="87">
        <v>222.42</v>
      </c>
      <c r="E83" s="563">
        <v>15000</v>
      </c>
      <c r="F83" s="87">
        <f t="shared" si="2"/>
        <v>0</v>
      </c>
      <c r="G83" s="690"/>
      <c r="H83" s="693"/>
      <c r="I83" s="692"/>
      <c r="J83" s="692"/>
      <c r="K83" s="692"/>
      <c r="L83" s="692"/>
      <c r="M83" s="692"/>
      <c r="N83" s="692"/>
      <c r="O83" s="692"/>
      <c r="P83" s="692"/>
    </row>
    <row r="84" spans="1:16" ht="15" customHeight="1" x14ac:dyDescent="0.25">
      <c r="A84" s="87" t="s">
        <v>1783</v>
      </c>
      <c r="B84" s="555" t="s">
        <v>1790</v>
      </c>
      <c r="C84" s="567">
        <v>15000</v>
      </c>
      <c r="D84" s="87">
        <v>222.42</v>
      </c>
      <c r="E84" s="563">
        <v>15000</v>
      </c>
      <c r="F84" s="87">
        <f t="shared" si="2"/>
        <v>0</v>
      </c>
      <c r="G84" s="690"/>
      <c r="H84" s="693"/>
      <c r="I84" s="692"/>
      <c r="J84" s="692"/>
      <c r="K84" s="692"/>
      <c r="L84" s="692"/>
      <c r="M84" s="692"/>
      <c r="N84" s="692"/>
      <c r="O84" s="692"/>
      <c r="P84" s="692"/>
    </row>
    <row r="85" spans="1:16" ht="15" customHeight="1" x14ac:dyDescent="0.25">
      <c r="A85" s="87" t="s">
        <v>1783</v>
      </c>
      <c r="B85" s="555" t="s">
        <v>1791</v>
      </c>
      <c r="C85" s="567">
        <v>15000</v>
      </c>
      <c r="D85" s="87">
        <v>242.74</v>
      </c>
      <c r="E85" s="563">
        <v>15000</v>
      </c>
      <c r="F85" s="87">
        <f t="shared" si="2"/>
        <v>0</v>
      </c>
      <c r="G85" s="690"/>
      <c r="H85" s="693"/>
      <c r="I85" s="692"/>
      <c r="J85" s="692"/>
      <c r="K85" s="692"/>
      <c r="L85" s="692"/>
      <c r="M85" s="692"/>
      <c r="N85" s="692"/>
      <c r="O85" s="692"/>
      <c r="P85" s="692"/>
    </row>
    <row r="86" spans="1:16" ht="15" customHeight="1" x14ac:dyDescent="0.25">
      <c r="A86" s="87" t="s">
        <v>1783</v>
      </c>
      <c r="B86" s="555" t="s">
        <v>1792</v>
      </c>
      <c r="C86" s="567">
        <v>15000</v>
      </c>
      <c r="D86" s="87">
        <v>227.84</v>
      </c>
      <c r="E86" s="563">
        <v>15000</v>
      </c>
      <c r="F86" s="87">
        <f t="shared" si="2"/>
        <v>0</v>
      </c>
      <c r="G86" s="690"/>
      <c r="H86" s="693"/>
      <c r="I86" s="692"/>
      <c r="J86" s="692"/>
      <c r="K86" s="692"/>
      <c r="L86" s="692"/>
      <c r="M86" s="692"/>
      <c r="N86" s="692"/>
      <c r="O86" s="692"/>
      <c r="P86" s="692"/>
    </row>
    <row r="87" spans="1:16" ht="15" customHeight="1" x14ac:dyDescent="0.25">
      <c r="A87" s="87" t="s">
        <v>1783</v>
      </c>
      <c r="B87" s="555" t="s">
        <v>1802</v>
      </c>
      <c r="C87" s="567">
        <v>15000</v>
      </c>
      <c r="D87" s="87">
        <v>336.54</v>
      </c>
      <c r="E87" s="563">
        <v>15000</v>
      </c>
      <c r="F87" s="87">
        <f t="shared" si="2"/>
        <v>0</v>
      </c>
      <c r="G87" s="690"/>
      <c r="H87" s="693"/>
      <c r="I87" s="692"/>
      <c r="J87" s="692"/>
      <c r="K87" s="692"/>
      <c r="L87" s="692"/>
      <c r="M87" s="692"/>
      <c r="N87" s="692"/>
      <c r="O87" s="692"/>
      <c r="P87" s="692"/>
    </row>
    <row r="88" spans="1:16" ht="15" customHeight="1" x14ac:dyDescent="0.25">
      <c r="A88" s="87" t="s">
        <v>1783</v>
      </c>
      <c r="B88" s="555" t="s">
        <v>1729</v>
      </c>
      <c r="C88" s="567">
        <v>16000</v>
      </c>
      <c r="D88" s="87">
        <v>289.83999999999997</v>
      </c>
      <c r="E88" s="563">
        <v>16000</v>
      </c>
      <c r="F88" s="87">
        <f t="shared" si="2"/>
        <v>0</v>
      </c>
      <c r="G88" s="690"/>
      <c r="H88" s="693"/>
      <c r="I88" s="692"/>
      <c r="J88" s="692"/>
      <c r="K88" s="692"/>
      <c r="L88" s="692"/>
      <c r="M88" s="692"/>
      <c r="N88" s="692"/>
      <c r="O88" s="692"/>
      <c r="P88" s="692"/>
    </row>
    <row r="89" spans="1:16" ht="15" customHeight="1" x14ac:dyDescent="0.25">
      <c r="A89" s="87" t="s">
        <v>1783</v>
      </c>
      <c r="B89" s="555" t="s">
        <v>1793</v>
      </c>
      <c r="C89" s="567">
        <v>27000</v>
      </c>
      <c r="D89" s="87">
        <v>200.54</v>
      </c>
      <c r="E89" s="563">
        <v>27000</v>
      </c>
      <c r="F89" s="87">
        <f t="shared" si="2"/>
        <v>0</v>
      </c>
      <c r="G89" s="690"/>
      <c r="H89" s="693"/>
      <c r="I89" s="692"/>
      <c r="J89" s="692"/>
      <c r="K89" s="692"/>
      <c r="L89" s="692"/>
      <c r="M89" s="692"/>
      <c r="N89" s="692"/>
      <c r="O89" s="692"/>
      <c r="P89" s="692"/>
    </row>
    <row r="90" spans="1:16" ht="15" customHeight="1" x14ac:dyDescent="0.25">
      <c r="A90" s="87" t="s">
        <v>1783</v>
      </c>
      <c r="B90" s="555" t="s">
        <v>1794</v>
      </c>
      <c r="C90" s="567">
        <v>25000</v>
      </c>
      <c r="D90" s="87">
        <v>222.42</v>
      </c>
      <c r="E90" s="563">
        <v>25000</v>
      </c>
      <c r="F90" s="87">
        <f t="shared" si="2"/>
        <v>0</v>
      </c>
      <c r="G90" s="690"/>
      <c r="H90" s="693"/>
      <c r="I90" s="692"/>
      <c r="J90" s="692"/>
      <c r="K90" s="692"/>
      <c r="L90" s="692"/>
      <c r="M90" s="692"/>
      <c r="N90" s="692"/>
      <c r="O90" s="692"/>
      <c r="P90" s="692"/>
    </row>
    <row r="91" spans="1:16" ht="15" customHeight="1" x14ac:dyDescent="0.25">
      <c r="A91" s="87" t="s">
        <v>1783</v>
      </c>
      <c r="B91" s="555" t="s">
        <v>1795</v>
      </c>
      <c r="C91" s="567">
        <v>18000</v>
      </c>
      <c r="D91" s="87">
        <v>222.42</v>
      </c>
      <c r="E91" s="563">
        <v>18000</v>
      </c>
      <c r="F91" s="87">
        <f t="shared" si="2"/>
        <v>0</v>
      </c>
      <c r="G91" s="690"/>
      <c r="H91" s="693"/>
      <c r="I91" s="692"/>
      <c r="J91" s="692"/>
      <c r="K91" s="692"/>
      <c r="L91" s="692"/>
      <c r="M91" s="692"/>
      <c r="N91" s="692"/>
      <c r="O91" s="692"/>
      <c r="P91" s="692"/>
    </row>
    <row r="92" spans="1:16" ht="15" customHeight="1" x14ac:dyDescent="0.25">
      <c r="A92" s="87" t="s">
        <v>1783</v>
      </c>
      <c r="B92" s="555" t="s">
        <v>1796</v>
      </c>
      <c r="C92" s="567">
        <v>10000</v>
      </c>
      <c r="D92" s="87">
        <v>167.15</v>
      </c>
      <c r="E92" s="563">
        <v>10000</v>
      </c>
      <c r="F92" s="87">
        <f t="shared" si="2"/>
        <v>0</v>
      </c>
      <c r="G92" s="690"/>
      <c r="H92" s="693"/>
      <c r="I92" s="692"/>
      <c r="J92" s="692"/>
      <c r="K92" s="692"/>
      <c r="L92" s="692"/>
      <c r="M92" s="692"/>
      <c r="N92" s="692"/>
      <c r="O92" s="692"/>
      <c r="P92" s="692"/>
    </row>
    <row r="93" spans="1:16" ht="15" customHeight="1" x14ac:dyDescent="0.25">
      <c r="A93" s="87" t="s">
        <v>1783</v>
      </c>
      <c r="B93" s="555" t="s">
        <v>30</v>
      </c>
      <c r="C93" s="567">
        <v>4500</v>
      </c>
      <c r="D93" s="87">
        <v>334.74</v>
      </c>
      <c r="E93" s="563">
        <v>4500</v>
      </c>
      <c r="F93" s="87">
        <f t="shared" si="2"/>
        <v>0</v>
      </c>
      <c r="G93" s="690"/>
      <c r="H93" s="693"/>
      <c r="I93" s="692"/>
      <c r="J93" s="692"/>
      <c r="K93" s="692"/>
      <c r="L93" s="692"/>
      <c r="M93" s="692"/>
      <c r="N93" s="692"/>
      <c r="O93" s="692"/>
      <c r="P93" s="692"/>
    </row>
    <row r="94" spans="1:16" ht="15" customHeight="1" x14ac:dyDescent="0.25">
      <c r="A94" s="87" t="s">
        <v>1783</v>
      </c>
      <c r="B94" s="555" t="s">
        <v>1797</v>
      </c>
      <c r="C94" s="567">
        <v>28000</v>
      </c>
      <c r="D94" s="87">
        <v>334.74</v>
      </c>
      <c r="E94" s="563">
        <v>28000</v>
      </c>
      <c r="F94" s="87">
        <f t="shared" si="2"/>
        <v>0</v>
      </c>
      <c r="G94" s="690"/>
      <c r="H94" s="693"/>
      <c r="I94" s="692"/>
      <c r="J94" s="692"/>
      <c r="K94" s="692"/>
      <c r="L94" s="692"/>
      <c r="M94" s="692"/>
      <c r="N94" s="692"/>
      <c r="O94" s="692"/>
      <c r="P94" s="692"/>
    </row>
    <row r="95" spans="1:16" ht="15" customHeight="1" x14ac:dyDescent="0.25">
      <c r="A95" s="87" t="s">
        <v>1783</v>
      </c>
      <c r="B95" s="555" t="s">
        <v>1798</v>
      </c>
      <c r="C95" s="567">
        <v>25000</v>
      </c>
      <c r="D95" s="87">
        <v>334.74</v>
      </c>
      <c r="E95" s="563">
        <v>25000</v>
      </c>
      <c r="F95" s="87">
        <f t="shared" si="2"/>
        <v>0</v>
      </c>
      <c r="G95" s="690"/>
      <c r="H95" s="693"/>
      <c r="I95" s="692"/>
      <c r="J95" s="692"/>
      <c r="K95" s="692"/>
      <c r="L95" s="692"/>
      <c r="M95" s="692"/>
      <c r="N95" s="692"/>
      <c r="O95" s="692"/>
      <c r="P95" s="692"/>
    </row>
    <row r="96" spans="1:16" ht="15" customHeight="1" x14ac:dyDescent="0.25">
      <c r="A96" s="87" t="s">
        <v>1783</v>
      </c>
      <c r="B96" s="555" t="s">
        <v>1799</v>
      </c>
      <c r="C96" s="567">
        <v>32000</v>
      </c>
      <c r="D96" s="87">
        <v>77.23</v>
      </c>
      <c r="E96" s="563">
        <v>32000</v>
      </c>
      <c r="F96" s="87">
        <f t="shared" si="2"/>
        <v>0</v>
      </c>
      <c r="G96" s="690"/>
      <c r="H96" s="693"/>
      <c r="I96" s="692"/>
      <c r="J96" s="692"/>
      <c r="K96" s="692"/>
      <c r="L96" s="692"/>
      <c r="M96" s="692"/>
      <c r="N96" s="692"/>
      <c r="O96" s="692"/>
      <c r="P96" s="692"/>
    </row>
    <row r="97" spans="1:16" ht="15" customHeight="1" x14ac:dyDescent="0.25">
      <c r="A97" s="87" t="s">
        <v>1783</v>
      </c>
      <c r="B97" s="555" t="s">
        <v>1800</v>
      </c>
      <c r="C97" s="567">
        <v>15000</v>
      </c>
      <c r="D97" s="87">
        <v>133.74</v>
      </c>
      <c r="E97" s="563">
        <v>15000</v>
      </c>
      <c r="F97" s="87">
        <f t="shared" si="2"/>
        <v>0</v>
      </c>
      <c r="G97" s="690"/>
      <c r="H97" s="693"/>
      <c r="I97" s="692"/>
      <c r="J97" s="692"/>
      <c r="K97" s="692"/>
      <c r="L97" s="692"/>
      <c r="M97" s="692"/>
      <c r="N97" s="692"/>
      <c r="O97" s="692"/>
      <c r="P97" s="692"/>
    </row>
    <row r="98" spans="1:16" ht="15" customHeight="1" x14ac:dyDescent="0.25">
      <c r="A98" s="87" t="s">
        <v>1783</v>
      </c>
      <c r="B98" s="555" t="s">
        <v>1801</v>
      </c>
      <c r="C98" s="567">
        <v>15000</v>
      </c>
      <c r="D98" s="87">
        <v>222.42</v>
      </c>
      <c r="E98" s="563">
        <v>15000</v>
      </c>
      <c r="F98" s="87">
        <f t="shared" si="2"/>
        <v>0</v>
      </c>
      <c r="G98" s="690"/>
      <c r="H98" s="693"/>
      <c r="I98" s="692"/>
      <c r="J98" s="692"/>
      <c r="K98" s="692"/>
      <c r="L98" s="692"/>
      <c r="M98" s="692"/>
      <c r="N98" s="692"/>
      <c r="O98" s="692"/>
      <c r="P98" s="692"/>
    </row>
    <row r="99" spans="1:16" ht="15" customHeight="1" x14ac:dyDescent="0.25">
      <c r="A99" s="87" t="s">
        <v>1783</v>
      </c>
      <c r="B99" s="555" t="s">
        <v>1803</v>
      </c>
      <c r="C99" s="567">
        <v>25000</v>
      </c>
      <c r="D99" s="87">
        <v>222.42</v>
      </c>
      <c r="E99" s="563">
        <v>25000</v>
      </c>
      <c r="F99" s="87">
        <f t="shared" si="2"/>
        <v>0</v>
      </c>
      <c r="G99" s="690"/>
      <c r="H99" s="693"/>
      <c r="I99" s="692"/>
      <c r="J99" s="692"/>
      <c r="K99" s="692"/>
      <c r="L99" s="692"/>
      <c r="M99" s="692"/>
      <c r="N99" s="692"/>
      <c r="O99" s="692"/>
      <c r="P99" s="692"/>
    </row>
    <row r="100" spans="1:16" ht="15" customHeight="1" x14ac:dyDescent="0.25">
      <c r="A100" s="87" t="s">
        <v>1783</v>
      </c>
      <c r="B100" s="555" t="s">
        <v>1804</v>
      </c>
      <c r="C100" s="567">
        <v>26000</v>
      </c>
      <c r="D100" s="87">
        <v>1.05</v>
      </c>
      <c r="E100" s="563">
        <v>26000</v>
      </c>
      <c r="F100" s="87">
        <f t="shared" si="2"/>
        <v>0</v>
      </c>
      <c r="G100" s="690"/>
      <c r="H100" s="693"/>
      <c r="I100" s="692"/>
      <c r="J100" s="692"/>
      <c r="K100" s="692"/>
      <c r="L100" s="692"/>
      <c r="M100" s="692"/>
      <c r="N100" s="692"/>
      <c r="O100" s="692"/>
      <c r="P100" s="692"/>
    </row>
    <row r="101" spans="1:16" ht="15" customHeight="1" x14ac:dyDescent="0.25">
      <c r="A101" s="87" t="s">
        <v>1783</v>
      </c>
      <c r="B101" s="555" t="s">
        <v>1805</v>
      </c>
      <c r="C101" s="567">
        <v>26000</v>
      </c>
      <c r="D101" s="87">
        <v>50.54</v>
      </c>
      <c r="E101" s="563">
        <v>26000</v>
      </c>
      <c r="F101" s="87">
        <f t="shared" si="2"/>
        <v>0</v>
      </c>
      <c r="G101" s="690"/>
      <c r="H101" s="693"/>
      <c r="I101" s="692"/>
      <c r="J101" s="692"/>
      <c r="K101" s="692"/>
      <c r="L101" s="692"/>
      <c r="M101" s="692"/>
      <c r="N101" s="692"/>
      <c r="O101" s="692"/>
      <c r="P101" s="692"/>
    </row>
    <row r="102" spans="1:16" ht="15" customHeight="1" x14ac:dyDescent="0.25">
      <c r="A102" s="87" t="s">
        <v>1783</v>
      </c>
      <c r="B102" s="555" t="s">
        <v>1806</v>
      </c>
      <c r="C102" s="567">
        <v>30000</v>
      </c>
      <c r="D102" s="87">
        <v>311.83999999999997</v>
      </c>
      <c r="E102" s="563">
        <v>30000</v>
      </c>
      <c r="F102" s="87">
        <f t="shared" si="2"/>
        <v>0</v>
      </c>
      <c r="G102" s="690"/>
      <c r="H102" s="693"/>
      <c r="I102" s="692"/>
      <c r="J102" s="692"/>
      <c r="K102" s="692"/>
      <c r="L102" s="692"/>
      <c r="M102" s="692"/>
      <c r="N102" s="692"/>
      <c r="O102" s="692"/>
      <c r="P102" s="692"/>
    </row>
    <row r="103" spans="1:16" ht="15" customHeight="1" x14ac:dyDescent="0.25">
      <c r="A103" s="87" t="s">
        <v>1783</v>
      </c>
      <c r="B103" s="555" t="s">
        <v>1807</v>
      </c>
      <c r="C103" s="567">
        <v>30000</v>
      </c>
      <c r="D103" s="87">
        <v>55.42</v>
      </c>
      <c r="E103" s="563">
        <v>30000</v>
      </c>
      <c r="F103" s="87">
        <f t="shared" si="2"/>
        <v>0</v>
      </c>
      <c r="G103" s="690"/>
      <c r="H103" s="693"/>
      <c r="I103" s="692"/>
      <c r="J103" s="692"/>
      <c r="K103" s="692"/>
      <c r="L103" s="692"/>
      <c r="M103" s="692"/>
      <c r="N103" s="692"/>
      <c r="O103" s="692"/>
      <c r="P103" s="692"/>
    </row>
    <row r="104" spans="1:16" ht="15" customHeight="1" x14ac:dyDescent="0.25">
      <c r="A104" s="87" t="s">
        <v>1783</v>
      </c>
      <c r="B104" s="555" t="s">
        <v>1808</v>
      </c>
      <c r="C104" s="567">
        <v>30000</v>
      </c>
      <c r="D104" s="87">
        <v>2.08</v>
      </c>
      <c r="E104" s="563">
        <v>30000</v>
      </c>
      <c r="F104" s="87">
        <f t="shared" si="2"/>
        <v>0</v>
      </c>
      <c r="G104" s="690"/>
      <c r="H104" s="693"/>
      <c r="I104" s="692"/>
      <c r="J104" s="692"/>
      <c r="K104" s="692"/>
      <c r="L104" s="692"/>
      <c r="M104" s="692"/>
      <c r="N104" s="692"/>
      <c r="O104" s="692"/>
      <c r="P104" s="692"/>
    </row>
    <row r="105" spans="1:16" ht="15" customHeight="1" x14ac:dyDescent="0.25">
      <c r="A105" s="87" t="s">
        <v>1783</v>
      </c>
      <c r="B105" s="555" t="s">
        <v>1809</v>
      </c>
      <c r="C105" s="567">
        <v>30000</v>
      </c>
      <c r="D105" s="87">
        <v>311.83999999999997</v>
      </c>
      <c r="E105" s="563">
        <v>30000</v>
      </c>
      <c r="F105" s="87">
        <f t="shared" si="2"/>
        <v>0</v>
      </c>
      <c r="G105" s="690"/>
      <c r="H105" s="693"/>
      <c r="I105" s="692"/>
      <c r="J105" s="692"/>
      <c r="K105" s="692"/>
      <c r="L105" s="692"/>
      <c r="M105" s="692"/>
      <c r="N105" s="692"/>
      <c r="O105" s="692"/>
      <c r="P105" s="692"/>
    </row>
    <row r="106" spans="1:16" ht="15" customHeight="1" x14ac:dyDescent="0.25">
      <c r="A106" s="87" t="s">
        <v>1783</v>
      </c>
      <c r="B106" s="555" t="s">
        <v>1810</v>
      </c>
      <c r="C106" s="567">
        <v>27000</v>
      </c>
      <c r="D106" s="87">
        <v>311.83999999999997</v>
      </c>
      <c r="E106" s="563">
        <v>27000</v>
      </c>
      <c r="F106" s="87">
        <f t="shared" si="2"/>
        <v>0</v>
      </c>
      <c r="G106" s="690"/>
      <c r="H106" s="693"/>
      <c r="I106" s="692"/>
      <c r="J106" s="692"/>
      <c r="K106" s="692"/>
      <c r="L106" s="692"/>
      <c r="M106" s="692"/>
      <c r="N106" s="692"/>
      <c r="O106" s="692"/>
      <c r="P106" s="692"/>
    </row>
    <row r="107" spans="1:16" ht="15" customHeight="1" x14ac:dyDescent="0.25">
      <c r="A107" s="87" t="s">
        <v>1783</v>
      </c>
      <c r="B107" s="555" t="s">
        <v>1811</v>
      </c>
      <c r="C107" s="567">
        <v>27000</v>
      </c>
      <c r="D107" s="87">
        <v>272.74</v>
      </c>
      <c r="E107" s="563">
        <v>27000</v>
      </c>
      <c r="F107" s="87">
        <f t="shared" si="2"/>
        <v>0</v>
      </c>
      <c r="G107" s="690"/>
      <c r="H107" s="693"/>
      <c r="I107" s="692"/>
      <c r="J107" s="692"/>
      <c r="K107" s="692"/>
      <c r="L107" s="692"/>
      <c r="M107" s="692"/>
      <c r="N107" s="692"/>
      <c r="O107" s="692"/>
      <c r="P107" s="692"/>
    </row>
    <row r="108" spans="1:16" ht="15" customHeight="1" x14ac:dyDescent="0.25">
      <c r="A108" s="87" t="s">
        <v>1783</v>
      </c>
      <c r="B108" s="555" t="s">
        <v>1812</v>
      </c>
      <c r="C108" s="567">
        <v>28000</v>
      </c>
      <c r="D108" s="87">
        <v>267.83999999999997</v>
      </c>
      <c r="E108" s="563">
        <v>28000</v>
      </c>
      <c r="F108" s="87">
        <f t="shared" si="2"/>
        <v>0</v>
      </c>
      <c r="G108" s="690"/>
      <c r="H108" s="693"/>
      <c r="I108" s="692"/>
      <c r="J108" s="692"/>
      <c r="K108" s="692"/>
      <c r="L108" s="692"/>
      <c r="M108" s="692"/>
      <c r="N108" s="692"/>
      <c r="O108" s="692"/>
      <c r="P108" s="692"/>
    </row>
    <row r="109" spans="1:16" ht="15" customHeight="1" x14ac:dyDescent="0.25">
      <c r="A109" s="87" t="s">
        <v>1783</v>
      </c>
      <c r="B109" s="555" t="s">
        <v>1813</v>
      </c>
      <c r="C109" s="567">
        <v>33000</v>
      </c>
      <c r="D109" s="87">
        <v>267.83999999999997</v>
      </c>
      <c r="E109" s="563">
        <v>33000</v>
      </c>
      <c r="F109" s="87">
        <f t="shared" si="2"/>
        <v>0</v>
      </c>
      <c r="G109" s="690"/>
      <c r="H109" s="693"/>
      <c r="I109" s="692"/>
      <c r="J109" s="692"/>
      <c r="K109" s="692"/>
      <c r="L109" s="692"/>
      <c r="M109" s="692"/>
      <c r="N109" s="692"/>
      <c r="O109" s="692"/>
      <c r="P109" s="692"/>
    </row>
    <row r="110" spans="1:16" ht="15" customHeight="1" x14ac:dyDescent="0.25">
      <c r="A110" s="87" t="s">
        <v>1783</v>
      </c>
      <c r="B110" s="555" t="s">
        <v>1814</v>
      </c>
      <c r="C110" s="567">
        <v>32000</v>
      </c>
      <c r="D110" s="87">
        <v>267.83999999999997</v>
      </c>
      <c r="E110" s="563">
        <v>32000</v>
      </c>
      <c r="F110" s="87">
        <f t="shared" si="2"/>
        <v>0</v>
      </c>
      <c r="G110" s="690"/>
      <c r="H110" s="693"/>
      <c r="I110" s="692"/>
      <c r="J110" s="692"/>
      <c r="K110" s="692"/>
      <c r="L110" s="692"/>
      <c r="M110" s="692"/>
      <c r="N110" s="692"/>
      <c r="O110" s="692"/>
      <c r="P110" s="692"/>
    </row>
    <row r="111" spans="1:16" ht="15" customHeight="1" x14ac:dyDescent="0.25">
      <c r="A111" s="87" t="s">
        <v>1783</v>
      </c>
      <c r="B111" s="555" t="s">
        <v>1815</v>
      </c>
      <c r="C111" s="567">
        <v>26000</v>
      </c>
      <c r="D111" s="87">
        <v>55.45</v>
      </c>
      <c r="E111" s="563">
        <v>26000</v>
      </c>
      <c r="F111" s="87">
        <f t="shared" si="2"/>
        <v>0</v>
      </c>
      <c r="G111" s="690"/>
      <c r="H111" s="693"/>
      <c r="I111" s="692"/>
      <c r="J111" s="692"/>
      <c r="K111" s="692"/>
      <c r="L111" s="692"/>
      <c r="M111" s="692"/>
      <c r="N111" s="692"/>
      <c r="O111" s="692"/>
      <c r="P111" s="692"/>
    </row>
    <row r="112" spans="1:16" ht="15" customHeight="1" x14ac:dyDescent="0.25">
      <c r="A112" s="87" t="s">
        <v>1816</v>
      </c>
      <c r="B112" s="555" t="s">
        <v>66</v>
      </c>
      <c r="C112" s="567">
        <v>210</v>
      </c>
      <c r="D112" s="87">
        <v>222.42</v>
      </c>
      <c r="E112" s="563">
        <v>210</v>
      </c>
      <c r="F112" s="87">
        <f t="shared" si="2"/>
        <v>0</v>
      </c>
      <c r="G112" s="690"/>
      <c r="H112" s="693"/>
      <c r="I112" s="692"/>
      <c r="J112" s="692"/>
      <c r="K112" s="692"/>
      <c r="L112" s="692"/>
      <c r="M112" s="692"/>
      <c r="N112" s="692"/>
      <c r="O112" s="692"/>
      <c r="P112" s="692"/>
    </row>
    <row r="113" spans="1:16" ht="15" customHeight="1" x14ac:dyDescent="0.25">
      <c r="A113" s="87" t="s">
        <v>1816</v>
      </c>
      <c r="B113" s="555" t="s">
        <v>1817</v>
      </c>
      <c r="C113" s="567">
        <v>30000</v>
      </c>
      <c r="D113" s="87">
        <v>245.64</v>
      </c>
      <c r="E113" s="563">
        <v>30000</v>
      </c>
      <c r="F113" s="87">
        <f t="shared" si="2"/>
        <v>0</v>
      </c>
      <c r="G113" s="690"/>
      <c r="H113" s="693"/>
      <c r="I113" s="692"/>
      <c r="J113" s="692"/>
      <c r="K113" s="692"/>
      <c r="L113" s="692"/>
      <c r="M113" s="692"/>
      <c r="N113" s="692"/>
      <c r="O113" s="692"/>
      <c r="P113" s="692"/>
    </row>
    <row r="114" spans="1:16" ht="15" customHeight="1" x14ac:dyDescent="0.25">
      <c r="A114" s="87" t="s">
        <v>1816</v>
      </c>
      <c r="B114" s="555" t="s">
        <v>1818</v>
      </c>
      <c r="C114" s="567">
        <v>23000</v>
      </c>
      <c r="D114" s="87">
        <v>167.15</v>
      </c>
      <c r="E114" s="563">
        <v>23000</v>
      </c>
      <c r="F114" s="87">
        <f t="shared" si="2"/>
        <v>0</v>
      </c>
      <c r="G114" s="690"/>
      <c r="H114" s="693"/>
      <c r="I114" s="692"/>
      <c r="J114" s="692"/>
      <c r="K114" s="692"/>
      <c r="L114" s="692"/>
      <c r="M114" s="692"/>
      <c r="N114" s="692"/>
      <c r="O114" s="692"/>
      <c r="P114" s="692"/>
    </row>
    <row r="115" spans="1:16" ht="15" customHeight="1" x14ac:dyDescent="0.25">
      <c r="A115" s="87" t="s">
        <v>1816</v>
      </c>
      <c r="B115" s="555" t="s">
        <v>1819</v>
      </c>
      <c r="C115" s="567">
        <v>25000</v>
      </c>
      <c r="D115" s="87">
        <v>211.64</v>
      </c>
      <c r="E115" s="563">
        <v>25000</v>
      </c>
      <c r="F115" s="87">
        <f t="shared" si="2"/>
        <v>0</v>
      </c>
      <c r="G115" s="690"/>
      <c r="H115" s="693"/>
      <c r="I115" s="692"/>
      <c r="J115" s="692"/>
      <c r="K115" s="692"/>
      <c r="L115" s="692"/>
      <c r="M115" s="692"/>
      <c r="N115" s="692"/>
      <c r="O115" s="692"/>
      <c r="P115" s="692"/>
    </row>
    <row r="116" spans="1:16" ht="15" customHeight="1" x14ac:dyDescent="0.25">
      <c r="A116" s="87" t="s">
        <v>1816</v>
      </c>
      <c r="B116" s="555" t="s">
        <v>1820</v>
      </c>
      <c r="C116" s="567">
        <v>24000</v>
      </c>
      <c r="D116" s="87">
        <v>323.87</v>
      </c>
      <c r="E116" s="563">
        <v>24000</v>
      </c>
      <c r="F116" s="87">
        <f t="shared" si="2"/>
        <v>0</v>
      </c>
      <c r="G116" s="690"/>
      <c r="H116" s="693"/>
      <c r="I116" s="692"/>
      <c r="J116" s="692"/>
      <c r="K116" s="692"/>
      <c r="L116" s="692"/>
      <c r="M116" s="692"/>
      <c r="N116" s="692"/>
      <c r="O116" s="692"/>
      <c r="P116" s="692"/>
    </row>
    <row r="117" spans="1:16" ht="15" customHeight="1" x14ac:dyDescent="0.25">
      <c r="A117" s="87" t="s">
        <v>1816</v>
      </c>
      <c r="B117" s="555" t="s">
        <v>1821</v>
      </c>
      <c r="C117" s="567">
        <v>30000</v>
      </c>
      <c r="D117" s="87">
        <v>267.83999999999997</v>
      </c>
      <c r="E117" s="563">
        <v>30000</v>
      </c>
      <c r="F117" s="87">
        <f t="shared" si="2"/>
        <v>0</v>
      </c>
      <c r="G117" s="690"/>
      <c r="H117" s="693"/>
      <c r="I117" s="692"/>
      <c r="J117" s="692"/>
      <c r="K117" s="692"/>
      <c r="L117" s="692"/>
      <c r="M117" s="692"/>
      <c r="N117" s="692"/>
      <c r="O117" s="692"/>
      <c r="P117" s="692"/>
    </row>
    <row r="118" spans="1:16" ht="15" customHeight="1" x14ac:dyDescent="0.25">
      <c r="A118" s="87" t="s">
        <v>1816</v>
      </c>
      <c r="B118" s="555" t="s">
        <v>1822</v>
      </c>
      <c r="C118" s="567">
        <v>28000</v>
      </c>
      <c r="D118" s="87">
        <v>238.74</v>
      </c>
      <c r="E118" s="563">
        <v>28000</v>
      </c>
      <c r="F118" s="87">
        <f t="shared" si="2"/>
        <v>0</v>
      </c>
      <c r="G118" s="690"/>
      <c r="H118" s="693"/>
      <c r="I118" s="692"/>
      <c r="J118" s="692"/>
      <c r="K118" s="692"/>
      <c r="L118" s="692"/>
      <c r="M118" s="692"/>
      <c r="N118" s="692"/>
      <c r="O118" s="692"/>
      <c r="P118" s="692"/>
    </row>
    <row r="119" spans="1:16" ht="15" customHeight="1" x14ac:dyDescent="0.25">
      <c r="A119" s="87" t="s">
        <v>1816</v>
      </c>
      <c r="B119" s="555" t="s">
        <v>1823</v>
      </c>
      <c r="C119" s="567">
        <v>27000</v>
      </c>
      <c r="D119" s="87">
        <v>167.15</v>
      </c>
      <c r="E119" s="563">
        <v>27000</v>
      </c>
      <c r="F119" s="87">
        <f t="shared" si="2"/>
        <v>0</v>
      </c>
      <c r="G119" s="690"/>
      <c r="H119" s="693"/>
      <c r="I119" s="692"/>
      <c r="J119" s="692"/>
      <c r="K119" s="692"/>
      <c r="L119" s="692"/>
      <c r="M119" s="692"/>
      <c r="N119" s="692"/>
      <c r="O119" s="692"/>
      <c r="P119" s="692"/>
    </row>
    <row r="120" spans="1:16" ht="15" customHeight="1" x14ac:dyDescent="0.25">
      <c r="A120" s="87" t="s">
        <v>1816</v>
      </c>
      <c r="B120" s="555" t="s">
        <v>1824</v>
      </c>
      <c r="C120" s="567">
        <v>38000</v>
      </c>
      <c r="D120" s="87">
        <v>311.54000000000002</v>
      </c>
      <c r="E120" s="563">
        <v>38000</v>
      </c>
      <c r="F120" s="87">
        <f t="shared" si="2"/>
        <v>0</v>
      </c>
      <c r="G120" s="690"/>
      <c r="H120" s="693"/>
      <c r="I120" s="692"/>
      <c r="J120" s="692"/>
      <c r="K120" s="692"/>
      <c r="L120" s="692"/>
      <c r="M120" s="692"/>
      <c r="N120" s="692"/>
      <c r="O120" s="692"/>
      <c r="P120" s="692"/>
    </row>
    <row r="121" spans="1:16" ht="15" customHeight="1" x14ac:dyDescent="0.25">
      <c r="A121" s="87" t="s">
        <v>1816</v>
      </c>
      <c r="B121" s="555" t="s">
        <v>1825</v>
      </c>
      <c r="C121" s="567">
        <v>27000</v>
      </c>
      <c r="D121" s="87">
        <v>167.15</v>
      </c>
      <c r="E121" s="563">
        <v>27000</v>
      </c>
      <c r="F121" s="87">
        <f t="shared" si="2"/>
        <v>0</v>
      </c>
      <c r="G121" s="690"/>
      <c r="H121" s="693"/>
      <c r="I121" s="692"/>
      <c r="J121" s="692"/>
      <c r="K121" s="692"/>
      <c r="L121" s="692"/>
      <c r="M121" s="692"/>
      <c r="N121" s="692"/>
      <c r="O121" s="692"/>
      <c r="P121" s="692"/>
    </row>
    <row r="122" spans="1:16" ht="15" customHeight="1" x14ac:dyDescent="0.25">
      <c r="A122" s="87" t="s">
        <v>1816</v>
      </c>
      <c r="B122" s="555" t="s">
        <v>1826</v>
      </c>
      <c r="C122" s="567">
        <v>33000</v>
      </c>
      <c r="D122" s="87">
        <v>178.22</v>
      </c>
      <c r="E122" s="563">
        <v>33000</v>
      </c>
      <c r="F122" s="87">
        <f t="shared" si="2"/>
        <v>0</v>
      </c>
      <c r="G122" s="690"/>
      <c r="H122" s="693"/>
      <c r="I122" s="692"/>
      <c r="J122" s="692"/>
      <c r="K122" s="692"/>
      <c r="L122" s="692"/>
      <c r="M122" s="692"/>
      <c r="N122" s="692"/>
      <c r="O122" s="692"/>
      <c r="P122" s="692"/>
    </row>
    <row r="123" spans="1:16" ht="15" customHeight="1" x14ac:dyDescent="0.25">
      <c r="A123" s="87" t="s">
        <v>1816</v>
      </c>
      <c r="B123" s="555" t="s">
        <v>1827</v>
      </c>
      <c r="C123" s="567">
        <v>32000</v>
      </c>
      <c r="D123" s="87">
        <v>178.22</v>
      </c>
      <c r="E123" s="563">
        <v>32000</v>
      </c>
      <c r="F123" s="87">
        <f t="shared" si="2"/>
        <v>0</v>
      </c>
      <c r="G123" s="690"/>
      <c r="H123" s="693"/>
      <c r="I123" s="692"/>
      <c r="J123" s="692"/>
      <c r="K123" s="692"/>
      <c r="L123" s="692"/>
      <c r="M123" s="692"/>
      <c r="N123" s="692"/>
      <c r="O123" s="692"/>
      <c r="P123" s="692"/>
    </row>
    <row r="124" spans="1:16" ht="15" customHeight="1" x14ac:dyDescent="0.25">
      <c r="A124" s="87" t="s">
        <v>1816</v>
      </c>
      <c r="B124" s="555" t="s">
        <v>1828</v>
      </c>
      <c r="C124" s="567">
        <v>45000</v>
      </c>
      <c r="D124" s="87">
        <v>178.22</v>
      </c>
      <c r="E124" s="563">
        <v>45000</v>
      </c>
      <c r="F124" s="87">
        <f t="shared" si="2"/>
        <v>0</v>
      </c>
      <c r="G124" s="690"/>
      <c r="H124" s="693"/>
      <c r="I124" s="692"/>
      <c r="J124" s="692"/>
      <c r="K124" s="692"/>
      <c r="L124" s="692"/>
      <c r="M124" s="692"/>
      <c r="N124" s="692"/>
      <c r="O124" s="692"/>
      <c r="P124" s="692"/>
    </row>
    <row r="125" spans="1:16" ht="15" customHeight="1" x14ac:dyDescent="0.25">
      <c r="A125" s="87" t="s">
        <v>1816</v>
      </c>
      <c r="B125" s="555" t="s">
        <v>1829</v>
      </c>
      <c r="C125" s="567">
        <v>20000</v>
      </c>
      <c r="D125" s="87">
        <v>189.74</v>
      </c>
      <c r="E125" s="563">
        <v>20000</v>
      </c>
      <c r="F125" s="87">
        <f t="shared" si="2"/>
        <v>0</v>
      </c>
      <c r="G125" s="690"/>
      <c r="H125" s="693"/>
      <c r="I125" s="692"/>
      <c r="J125" s="692"/>
      <c r="K125" s="692"/>
      <c r="L125" s="692"/>
      <c r="M125" s="692"/>
      <c r="N125" s="692"/>
      <c r="O125" s="692"/>
      <c r="P125" s="692"/>
    </row>
    <row r="126" spans="1:16" ht="15" customHeight="1" x14ac:dyDescent="0.25">
      <c r="A126" s="87" t="s">
        <v>1816</v>
      </c>
      <c r="B126" s="555" t="s">
        <v>1830</v>
      </c>
      <c r="C126" s="567">
        <v>25000</v>
      </c>
      <c r="D126" s="87">
        <v>200.42</v>
      </c>
      <c r="E126" s="563">
        <v>25000</v>
      </c>
      <c r="F126" s="87">
        <f t="shared" si="2"/>
        <v>0</v>
      </c>
      <c r="G126" s="690"/>
      <c r="H126" s="693"/>
      <c r="I126" s="692"/>
      <c r="J126" s="692"/>
      <c r="K126" s="692"/>
      <c r="L126" s="692"/>
      <c r="M126" s="692"/>
      <c r="N126" s="692"/>
      <c r="O126" s="692"/>
      <c r="P126" s="692"/>
    </row>
    <row r="127" spans="1:16" ht="15" customHeight="1" x14ac:dyDescent="0.25">
      <c r="A127" s="87" t="s">
        <v>1816</v>
      </c>
      <c r="B127" s="555" t="s">
        <v>1831</v>
      </c>
      <c r="C127" s="567">
        <v>25000</v>
      </c>
      <c r="D127" s="87">
        <v>66.48</v>
      </c>
      <c r="E127" s="563">
        <v>25000</v>
      </c>
      <c r="F127" s="87">
        <f t="shared" si="2"/>
        <v>0</v>
      </c>
      <c r="G127" s="690"/>
      <c r="H127" s="693"/>
      <c r="I127" s="692"/>
      <c r="J127" s="692"/>
      <c r="K127" s="692"/>
      <c r="L127" s="692"/>
      <c r="M127" s="692"/>
      <c r="N127" s="692"/>
      <c r="O127" s="692"/>
      <c r="P127" s="692"/>
    </row>
    <row r="128" spans="1:16" ht="15" customHeight="1" x14ac:dyDescent="0.25">
      <c r="A128" s="87" t="s">
        <v>1816</v>
      </c>
      <c r="B128" s="555" t="s">
        <v>1832</v>
      </c>
      <c r="C128" s="567">
        <v>10000</v>
      </c>
      <c r="D128" s="87">
        <v>66.48</v>
      </c>
      <c r="E128" s="563">
        <v>10000</v>
      </c>
      <c r="F128" s="87">
        <f t="shared" si="2"/>
        <v>0</v>
      </c>
      <c r="G128" s="690"/>
      <c r="H128" s="693"/>
      <c r="I128" s="692"/>
      <c r="J128" s="692"/>
      <c r="K128" s="692"/>
      <c r="L128" s="692"/>
      <c r="M128" s="692"/>
      <c r="N128" s="692"/>
      <c r="O128" s="692"/>
      <c r="P128" s="692"/>
    </row>
    <row r="129" spans="1:16" ht="15" customHeight="1" x14ac:dyDescent="0.25">
      <c r="A129" s="87" t="s">
        <v>1816</v>
      </c>
      <c r="B129" s="555" t="s">
        <v>1833</v>
      </c>
      <c r="C129" s="715">
        <v>12000</v>
      </c>
      <c r="D129" s="87">
        <v>66.48</v>
      </c>
      <c r="E129" s="563">
        <v>12000</v>
      </c>
      <c r="F129" s="87">
        <f t="shared" si="2"/>
        <v>0</v>
      </c>
      <c r="G129" s="690"/>
      <c r="H129" s="693"/>
      <c r="I129" s="692"/>
      <c r="J129" s="692"/>
      <c r="K129" s="692"/>
      <c r="L129" s="692"/>
      <c r="M129" s="692"/>
      <c r="N129" s="692"/>
      <c r="O129" s="692"/>
      <c r="P129" s="692"/>
    </row>
    <row r="130" spans="1:16" ht="15" customHeight="1" x14ac:dyDescent="0.25">
      <c r="A130" s="87" t="s">
        <v>1816</v>
      </c>
      <c r="B130" s="555" t="s">
        <v>1834</v>
      </c>
      <c r="C130" s="567">
        <v>30000</v>
      </c>
      <c r="D130" s="87">
        <v>66.48</v>
      </c>
      <c r="E130" s="563">
        <v>30000</v>
      </c>
      <c r="F130" s="87">
        <f t="shared" si="2"/>
        <v>0</v>
      </c>
      <c r="G130" s="690"/>
      <c r="H130" s="693"/>
      <c r="I130" s="692"/>
      <c r="J130" s="692"/>
      <c r="K130" s="692"/>
      <c r="L130" s="692"/>
      <c r="M130" s="692"/>
      <c r="N130" s="692"/>
      <c r="O130" s="692"/>
      <c r="P130" s="692"/>
    </row>
    <row r="131" spans="1:16" ht="15" customHeight="1" x14ac:dyDescent="0.25">
      <c r="A131" s="87" t="s">
        <v>1816</v>
      </c>
      <c r="B131" s="555" t="s">
        <v>1835</v>
      </c>
      <c r="C131" s="567">
        <v>10000</v>
      </c>
      <c r="D131" s="87">
        <v>66.48</v>
      </c>
      <c r="E131" s="563">
        <v>10000</v>
      </c>
      <c r="F131" s="87">
        <f t="shared" si="2"/>
        <v>0</v>
      </c>
      <c r="G131" s="690"/>
      <c r="H131" s="693"/>
      <c r="I131" s="692"/>
      <c r="J131" s="692"/>
      <c r="K131" s="692"/>
      <c r="L131" s="692"/>
      <c r="M131" s="692"/>
      <c r="N131" s="692"/>
      <c r="O131" s="692"/>
      <c r="P131" s="692"/>
    </row>
    <row r="132" spans="1:16" ht="15" customHeight="1" x14ac:dyDescent="0.25">
      <c r="A132" s="87" t="s">
        <v>1816</v>
      </c>
      <c r="B132" s="555" t="s">
        <v>1836</v>
      </c>
      <c r="C132" s="567">
        <v>25000</v>
      </c>
      <c r="D132" s="87">
        <v>66.48</v>
      </c>
      <c r="E132" s="563">
        <v>25000</v>
      </c>
      <c r="F132" s="87">
        <f t="shared" si="2"/>
        <v>0</v>
      </c>
      <c r="G132" s="690"/>
      <c r="H132" s="693"/>
      <c r="I132" s="692"/>
      <c r="J132" s="692"/>
      <c r="K132" s="692"/>
      <c r="L132" s="692"/>
      <c r="M132" s="692"/>
      <c r="N132" s="692"/>
      <c r="O132" s="692"/>
      <c r="P132" s="692"/>
    </row>
    <row r="133" spans="1:16" ht="15" customHeight="1" x14ac:dyDescent="0.25">
      <c r="A133" s="87" t="s">
        <v>1816</v>
      </c>
      <c r="B133" s="555" t="s">
        <v>1837</v>
      </c>
      <c r="C133" s="567">
        <v>25000</v>
      </c>
      <c r="D133" s="87">
        <v>66.48</v>
      </c>
      <c r="E133" s="563">
        <v>25000</v>
      </c>
      <c r="F133" s="87">
        <f t="shared" si="2"/>
        <v>0</v>
      </c>
      <c r="G133" s="690"/>
      <c r="H133" s="693"/>
      <c r="I133" s="692"/>
      <c r="J133" s="692"/>
      <c r="K133" s="692"/>
      <c r="L133" s="692"/>
      <c r="M133" s="692"/>
      <c r="N133" s="692"/>
      <c r="O133" s="692"/>
      <c r="P133" s="692"/>
    </row>
    <row r="134" spans="1:16" ht="15" customHeight="1" x14ac:dyDescent="0.25">
      <c r="A134" s="87" t="s">
        <v>1816</v>
      </c>
      <c r="B134" s="555" t="s">
        <v>1838</v>
      </c>
      <c r="C134" s="567">
        <v>15000</v>
      </c>
      <c r="D134" s="87">
        <v>334.84</v>
      </c>
      <c r="E134" s="563">
        <v>15000</v>
      </c>
      <c r="F134" s="87">
        <f t="shared" ref="F134:F507" si="3">C134-E134</f>
        <v>0</v>
      </c>
      <c r="G134" s="690"/>
      <c r="H134" s="693"/>
      <c r="I134" s="692"/>
      <c r="J134" s="692"/>
      <c r="K134" s="692"/>
      <c r="L134" s="692"/>
      <c r="M134" s="692"/>
      <c r="N134" s="692"/>
      <c r="O134" s="692"/>
      <c r="P134" s="692"/>
    </row>
    <row r="135" spans="1:16" ht="15" customHeight="1" x14ac:dyDescent="0.25">
      <c r="A135" s="87" t="s">
        <v>1816</v>
      </c>
      <c r="B135" s="555" t="s">
        <v>1839</v>
      </c>
      <c r="C135" s="567">
        <v>25000</v>
      </c>
      <c r="D135" s="87">
        <v>155.87</v>
      </c>
      <c r="E135" s="563">
        <v>25000</v>
      </c>
      <c r="F135" s="87">
        <f t="shared" si="3"/>
        <v>0</v>
      </c>
      <c r="G135" s="690"/>
      <c r="H135" s="693"/>
      <c r="I135" s="692"/>
      <c r="J135" s="692"/>
      <c r="K135" s="692"/>
      <c r="L135" s="692"/>
      <c r="M135" s="692"/>
      <c r="N135" s="692"/>
      <c r="O135" s="692"/>
      <c r="P135" s="692"/>
    </row>
    <row r="136" spans="1:16" ht="15" customHeight="1" x14ac:dyDescent="0.25">
      <c r="A136" s="87" t="s">
        <v>1816</v>
      </c>
      <c r="B136" s="555" t="s">
        <v>1840</v>
      </c>
      <c r="C136" s="567">
        <v>22000</v>
      </c>
      <c r="D136" s="87">
        <v>167.15</v>
      </c>
      <c r="E136" s="563">
        <v>22000</v>
      </c>
      <c r="F136" s="87">
        <f t="shared" si="3"/>
        <v>0</v>
      </c>
      <c r="G136" s="690"/>
      <c r="H136" s="693"/>
      <c r="I136" s="692"/>
      <c r="J136" s="692"/>
      <c r="K136" s="692"/>
      <c r="L136" s="692"/>
      <c r="M136" s="692"/>
      <c r="N136" s="692"/>
      <c r="O136" s="692"/>
      <c r="P136" s="692"/>
    </row>
    <row r="137" spans="1:16" ht="15" customHeight="1" x14ac:dyDescent="0.25">
      <c r="A137" s="87" t="s">
        <v>1816</v>
      </c>
      <c r="B137" s="555" t="s">
        <v>1841</v>
      </c>
      <c r="C137" s="567">
        <v>20000</v>
      </c>
      <c r="D137" s="87">
        <v>310.87</v>
      </c>
      <c r="E137" s="563">
        <v>20000</v>
      </c>
      <c r="F137" s="87">
        <f t="shared" si="3"/>
        <v>0</v>
      </c>
      <c r="G137" s="690"/>
      <c r="H137" s="693"/>
      <c r="I137" s="692"/>
      <c r="J137" s="692"/>
      <c r="K137" s="692"/>
      <c r="L137" s="692"/>
      <c r="M137" s="692"/>
      <c r="N137" s="692"/>
      <c r="O137" s="692"/>
      <c r="P137" s="692"/>
    </row>
    <row r="138" spans="1:16" ht="15" customHeight="1" x14ac:dyDescent="0.25">
      <c r="A138" s="87" t="s">
        <v>1816</v>
      </c>
      <c r="B138" s="555" t="s">
        <v>1842</v>
      </c>
      <c r="C138" s="567">
        <v>10000</v>
      </c>
      <c r="D138" s="87">
        <v>315.74</v>
      </c>
      <c r="E138" s="563">
        <v>10000</v>
      </c>
      <c r="F138" s="87">
        <f t="shared" si="3"/>
        <v>0</v>
      </c>
      <c r="G138" s="690"/>
      <c r="H138" s="693"/>
      <c r="I138" s="692"/>
      <c r="J138" s="692"/>
      <c r="K138" s="692"/>
      <c r="L138" s="692"/>
      <c r="M138" s="692"/>
      <c r="N138" s="692"/>
      <c r="O138" s="692"/>
      <c r="P138" s="692"/>
    </row>
    <row r="139" spans="1:16" ht="15" customHeight="1" x14ac:dyDescent="0.25">
      <c r="A139" s="87" t="s">
        <v>1816</v>
      </c>
      <c r="B139" s="555" t="s">
        <v>1843</v>
      </c>
      <c r="C139" s="567">
        <v>10000</v>
      </c>
      <c r="D139" s="87">
        <v>200.42</v>
      </c>
      <c r="E139" s="563">
        <v>10000</v>
      </c>
      <c r="F139" s="87">
        <f t="shared" si="3"/>
        <v>0</v>
      </c>
      <c r="G139" s="690"/>
      <c r="H139" s="693"/>
      <c r="I139" s="692"/>
      <c r="J139" s="692"/>
      <c r="K139" s="692"/>
      <c r="L139" s="692"/>
      <c r="M139" s="692"/>
      <c r="N139" s="692"/>
      <c r="O139" s="692"/>
      <c r="P139" s="692"/>
    </row>
    <row r="140" spans="1:16" ht="15" customHeight="1" x14ac:dyDescent="0.25">
      <c r="A140" s="87" t="s">
        <v>1816</v>
      </c>
      <c r="B140" s="555" t="s">
        <v>1844</v>
      </c>
      <c r="C140" s="567">
        <v>10000</v>
      </c>
      <c r="D140" s="87">
        <v>222.42</v>
      </c>
      <c r="E140" s="563">
        <v>10000</v>
      </c>
      <c r="F140" s="87">
        <f t="shared" si="3"/>
        <v>0</v>
      </c>
      <c r="G140" s="690"/>
      <c r="H140" s="693"/>
      <c r="I140" s="692"/>
      <c r="J140" s="692"/>
      <c r="K140" s="692"/>
      <c r="L140" s="692"/>
      <c r="M140" s="692"/>
      <c r="N140" s="692"/>
      <c r="O140" s="692"/>
      <c r="P140" s="692"/>
    </row>
    <row r="141" spans="1:16" ht="15" customHeight="1" x14ac:dyDescent="0.25">
      <c r="A141" s="87" t="s">
        <v>1816</v>
      </c>
      <c r="B141" s="555" t="s">
        <v>30</v>
      </c>
      <c r="C141" s="567">
        <v>9000</v>
      </c>
      <c r="D141" s="87">
        <v>383.65</v>
      </c>
      <c r="E141" s="563">
        <v>9000</v>
      </c>
      <c r="F141" s="87">
        <f t="shared" si="3"/>
        <v>0</v>
      </c>
      <c r="G141" s="690"/>
      <c r="H141" s="693"/>
      <c r="I141" s="692"/>
      <c r="J141" s="692"/>
      <c r="K141" s="692"/>
      <c r="L141" s="692"/>
      <c r="M141" s="692"/>
      <c r="N141" s="692"/>
      <c r="O141" s="692"/>
      <c r="P141" s="692"/>
    </row>
    <row r="142" spans="1:16" ht="15" customHeight="1" x14ac:dyDescent="0.25">
      <c r="A142" s="87" t="s">
        <v>1816</v>
      </c>
      <c r="B142" s="555" t="s">
        <v>1845</v>
      </c>
      <c r="C142" s="567">
        <v>10000</v>
      </c>
      <c r="D142" s="87">
        <v>189.74</v>
      </c>
      <c r="E142" s="563">
        <v>10000</v>
      </c>
      <c r="F142" s="87">
        <f t="shared" si="3"/>
        <v>0</v>
      </c>
      <c r="G142" s="690"/>
      <c r="H142" s="693"/>
      <c r="I142" s="692"/>
      <c r="J142" s="692"/>
      <c r="K142" s="692"/>
      <c r="L142" s="692"/>
      <c r="M142" s="692"/>
      <c r="N142" s="692"/>
      <c r="O142" s="692"/>
      <c r="P142" s="692"/>
    </row>
    <row r="143" spans="1:16" ht="15" customHeight="1" x14ac:dyDescent="0.25">
      <c r="A143" s="87" t="s">
        <v>1816</v>
      </c>
      <c r="B143" s="555" t="s">
        <v>1846</v>
      </c>
      <c r="C143" s="567">
        <v>10000</v>
      </c>
      <c r="D143" s="87">
        <v>222.42</v>
      </c>
      <c r="E143" s="563">
        <v>10000</v>
      </c>
      <c r="F143" s="87">
        <f t="shared" si="3"/>
        <v>0</v>
      </c>
      <c r="G143" s="690"/>
      <c r="H143" s="693"/>
      <c r="I143" s="692"/>
      <c r="J143" s="692"/>
      <c r="K143" s="692"/>
      <c r="L143" s="692"/>
      <c r="M143" s="692"/>
      <c r="N143" s="692"/>
      <c r="O143" s="692"/>
      <c r="P143" s="692"/>
    </row>
    <row r="144" spans="1:16" ht="15" customHeight="1" x14ac:dyDescent="0.25">
      <c r="A144" s="87" t="s">
        <v>1816</v>
      </c>
      <c r="B144" s="555" t="s">
        <v>1847</v>
      </c>
      <c r="C144" s="567">
        <v>16000</v>
      </c>
      <c r="D144" s="87">
        <v>215.87</v>
      </c>
      <c r="E144" s="563">
        <v>16000</v>
      </c>
      <c r="F144" s="87">
        <f t="shared" si="3"/>
        <v>0</v>
      </c>
      <c r="G144" s="690"/>
      <c r="H144" s="693"/>
      <c r="I144" s="692"/>
      <c r="J144" s="692"/>
      <c r="K144" s="692"/>
      <c r="L144" s="692"/>
      <c r="M144" s="692"/>
      <c r="N144" s="692"/>
      <c r="O144" s="692"/>
      <c r="P144" s="692"/>
    </row>
    <row r="145" spans="1:16" ht="15" customHeight="1" x14ac:dyDescent="0.25">
      <c r="A145" s="87" t="s">
        <v>1816</v>
      </c>
      <c r="B145" s="555" t="s">
        <v>1848</v>
      </c>
      <c r="C145" s="567">
        <v>16000</v>
      </c>
      <c r="D145" s="87">
        <v>167.15</v>
      </c>
      <c r="E145" s="563">
        <v>16000</v>
      </c>
      <c r="F145" s="87">
        <f t="shared" si="3"/>
        <v>0</v>
      </c>
      <c r="G145" s="690"/>
      <c r="H145" s="693"/>
      <c r="I145" s="692"/>
      <c r="J145" s="692"/>
      <c r="K145" s="692"/>
      <c r="L145" s="692"/>
      <c r="M145" s="692"/>
      <c r="N145" s="692"/>
      <c r="O145" s="692"/>
      <c r="P145" s="692"/>
    </row>
    <row r="146" spans="1:16" ht="15" customHeight="1" x14ac:dyDescent="0.25">
      <c r="A146" s="87" t="s">
        <v>1816</v>
      </c>
      <c r="B146" s="555" t="s">
        <v>1849</v>
      </c>
      <c r="C146" s="715">
        <v>12000</v>
      </c>
      <c r="D146" s="87">
        <v>379.41</v>
      </c>
      <c r="E146" s="563">
        <v>12000</v>
      </c>
      <c r="F146" s="87">
        <f t="shared" si="3"/>
        <v>0</v>
      </c>
      <c r="G146" s="690"/>
      <c r="H146" s="693"/>
      <c r="I146" s="692"/>
      <c r="J146" s="692"/>
      <c r="K146" s="692"/>
      <c r="L146" s="692"/>
      <c r="M146" s="692"/>
      <c r="N146" s="692"/>
      <c r="O146" s="692"/>
      <c r="P146" s="692"/>
    </row>
    <row r="147" spans="1:16" ht="15" customHeight="1" x14ac:dyDescent="0.25">
      <c r="A147" s="87" t="s">
        <v>1816</v>
      </c>
      <c r="B147" s="555" t="s">
        <v>1850</v>
      </c>
      <c r="C147" s="567">
        <v>24000</v>
      </c>
      <c r="D147" s="87">
        <v>222.42</v>
      </c>
      <c r="E147" s="563">
        <v>24000</v>
      </c>
      <c r="F147" s="87">
        <f t="shared" si="3"/>
        <v>0</v>
      </c>
      <c r="G147" s="690"/>
      <c r="H147" s="693"/>
      <c r="I147" s="692"/>
      <c r="J147" s="692"/>
      <c r="K147" s="692"/>
      <c r="L147" s="692"/>
      <c r="M147" s="692"/>
      <c r="N147" s="692"/>
      <c r="O147" s="692"/>
      <c r="P147" s="692"/>
    </row>
    <row r="148" spans="1:16" ht="15" customHeight="1" x14ac:dyDescent="0.25">
      <c r="A148" s="87" t="s">
        <v>1816</v>
      </c>
      <c r="B148" s="555" t="s">
        <v>1851</v>
      </c>
      <c r="C148" s="567">
        <v>10000</v>
      </c>
      <c r="D148" s="87">
        <v>311.83999999999997</v>
      </c>
      <c r="E148" s="563">
        <v>10000</v>
      </c>
      <c r="F148" s="87">
        <f t="shared" si="3"/>
        <v>0</v>
      </c>
      <c r="G148" s="690"/>
      <c r="H148" s="693"/>
      <c r="I148" s="692"/>
      <c r="J148" s="692"/>
      <c r="K148" s="692"/>
      <c r="L148" s="692"/>
      <c r="M148" s="692"/>
      <c r="N148" s="692"/>
      <c r="O148" s="692"/>
      <c r="P148" s="692"/>
    </row>
    <row r="149" spans="1:16" ht="15" customHeight="1" x14ac:dyDescent="0.25">
      <c r="A149" s="87" t="s">
        <v>1816</v>
      </c>
      <c r="B149" s="555" t="s">
        <v>1852</v>
      </c>
      <c r="C149" s="567">
        <v>10000</v>
      </c>
      <c r="D149" s="87">
        <v>334.74</v>
      </c>
      <c r="E149" s="563">
        <v>10000</v>
      </c>
      <c r="F149" s="87">
        <f t="shared" si="3"/>
        <v>0</v>
      </c>
      <c r="G149" s="690"/>
      <c r="H149" s="693"/>
      <c r="I149" s="692"/>
      <c r="J149" s="692"/>
      <c r="K149" s="692"/>
      <c r="L149" s="692"/>
      <c r="M149" s="692"/>
      <c r="N149" s="692"/>
      <c r="O149" s="692"/>
      <c r="P149" s="692"/>
    </row>
    <row r="150" spans="1:16" ht="15" customHeight="1" x14ac:dyDescent="0.25">
      <c r="A150" s="87" t="s">
        <v>1816</v>
      </c>
      <c r="B150" s="555" t="s">
        <v>1853</v>
      </c>
      <c r="C150" s="567">
        <v>12000</v>
      </c>
      <c r="D150" s="87">
        <v>167.15</v>
      </c>
      <c r="E150" s="563">
        <v>12000</v>
      </c>
      <c r="F150" s="87">
        <f t="shared" si="3"/>
        <v>0</v>
      </c>
      <c r="G150" s="690"/>
      <c r="H150" s="693"/>
      <c r="I150" s="692"/>
      <c r="J150" s="692"/>
      <c r="K150" s="692"/>
      <c r="L150" s="692"/>
      <c r="M150" s="692"/>
      <c r="N150" s="692"/>
      <c r="O150" s="692"/>
      <c r="P150" s="692"/>
    </row>
    <row r="151" spans="1:16" ht="15" customHeight="1" x14ac:dyDescent="0.25">
      <c r="A151" s="87" t="s">
        <v>1816</v>
      </c>
      <c r="B151" s="555" t="s">
        <v>1854</v>
      </c>
      <c r="C151" s="567">
        <v>21000</v>
      </c>
      <c r="D151" s="87">
        <v>167.15</v>
      </c>
      <c r="E151" s="563">
        <v>21000</v>
      </c>
      <c r="F151" s="87">
        <f t="shared" si="3"/>
        <v>0</v>
      </c>
      <c r="G151" s="690"/>
      <c r="H151" s="693"/>
      <c r="I151" s="692"/>
      <c r="J151" s="692"/>
      <c r="K151" s="692"/>
      <c r="L151" s="692"/>
      <c r="M151" s="692"/>
      <c r="N151" s="692"/>
      <c r="O151" s="692"/>
      <c r="P151" s="692"/>
    </row>
    <row r="152" spans="1:16" ht="15" customHeight="1" x14ac:dyDescent="0.25">
      <c r="A152" s="87" t="s">
        <v>1816</v>
      </c>
      <c r="B152" s="555" t="s">
        <v>30</v>
      </c>
      <c r="C152" s="567">
        <v>5000</v>
      </c>
      <c r="D152" s="87">
        <v>267.64</v>
      </c>
      <c r="E152" s="563">
        <v>5000</v>
      </c>
      <c r="F152" s="87">
        <f t="shared" si="3"/>
        <v>0</v>
      </c>
      <c r="G152" s="690"/>
      <c r="H152" s="693"/>
      <c r="I152" s="692"/>
      <c r="J152" s="692"/>
      <c r="K152" s="692"/>
      <c r="L152" s="692"/>
      <c r="M152" s="692"/>
      <c r="N152" s="692"/>
      <c r="O152" s="692"/>
      <c r="P152" s="692"/>
    </row>
    <row r="153" spans="1:16" ht="15" customHeight="1" x14ac:dyDescent="0.25">
      <c r="A153" s="87" t="s">
        <v>1816</v>
      </c>
      <c r="B153" s="555" t="s">
        <v>1855</v>
      </c>
      <c r="C153" s="567">
        <v>16000</v>
      </c>
      <c r="D153" s="87">
        <v>278.22000000000003</v>
      </c>
      <c r="E153" s="563">
        <v>16000</v>
      </c>
      <c r="F153" s="87">
        <f t="shared" si="3"/>
        <v>0</v>
      </c>
      <c r="G153" s="690"/>
      <c r="H153" s="693"/>
      <c r="I153" s="692"/>
      <c r="J153" s="692"/>
      <c r="K153" s="692"/>
      <c r="L153" s="692"/>
      <c r="M153" s="692"/>
      <c r="N153" s="692"/>
      <c r="O153" s="692"/>
      <c r="P153" s="692"/>
    </row>
    <row r="154" spans="1:16" ht="15" customHeight="1" x14ac:dyDescent="0.25">
      <c r="A154" s="87" t="s">
        <v>1816</v>
      </c>
      <c r="B154" s="555" t="s">
        <v>1856</v>
      </c>
      <c r="C154" s="567">
        <v>26000</v>
      </c>
      <c r="D154" s="87">
        <v>178.22</v>
      </c>
      <c r="E154" s="563">
        <v>26000</v>
      </c>
      <c r="F154" s="87">
        <f t="shared" si="3"/>
        <v>0</v>
      </c>
      <c r="G154" s="690"/>
      <c r="H154" s="693"/>
      <c r="I154" s="692"/>
      <c r="J154" s="692"/>
      <c r="K154" s="692"/>
      <c r="L154" s="692"/>
      <c r="M154" s="692"/>
      <c r="N154" s="692"/>
      <c r="O154" s="692"/>
      <c r="P154" s="692"/>
    </row>
    <row r="155" spans="1:16" ht="15" customHeight="1" x14ac:dyDescent="0.25">
      <c r="A155" s="87" t="s">
        <v>1857</v>
      </c>
      <c r="B155" s="555" t="s">
        <v>1858</v>
      </c>
      <c r="C155" s="567">
        <v>25000</v>
      </c>
      <c r="D155" s="87">
        <v>189.74</v>
      </c>
      <c r="E155" s="563">
        <v>25000</v>
      </c>
      <c r="F155" s="87">
        <f t="shared" si="3"/>
        <v>0</v>
      </c>
      <c r="G155" s="690"/>
      <c r="H155" s="693"/>
      <c r="I155" s="692"/>
      <c r="J155" s="692"/>
      <c r="K155" s="692"/>
      <c r="L155" s="692"/>
      <c r="M155" s="692"/>
      <c r="N155" s="692"/>
      <c r="O155" s="692"/>
      <c r="P155" s="692"/>
    </row>
    <row r="156" spans="1:16" ht="15" customHeight="1" x14ac:dyDescent="0.25">
      <c r="A156" s="87" t="s">
        <v>1857</v>
      </c>
      <c r="B156" s="555" t="s">
        <v>30</v>
      </c>
      <c r="C156" s="567">
        <v>4500</v>
      </c>
      <c r="D156" s="87">
        <v>300.83999999999997</v>
      </c>
      <c r="E156" s="563">
        <v>4500</v>
      </c>
      <c r="F156" s="87">
        <f t="shared" si="3"/>
        <v>0</v>
      </c>
      <c r="G156" s="690"/>
      <c r="H156" s="693"/>
      <c r="I156" s="692"/>
      <c r="J156" s="692"/>
      <c r="K156" s="692"/>
      <c r="L156" s="692"/>
      <c r="M156" s="692"/>
      <c r="N156" s="692"/>
      <c r="O156" s="692"/>
      <c r="P156" s="692"/>
    </row>
    <row r="157" spans="1:16" ht="15" customHeight="1" x14ac:dyDescent="0.25">
      <c r="A157" s="87" t="s">
        <v>1857</v>
      </c>
      <c r="B157" s="555" t="s">
        <v>1859</v>
      </c>
      <c r="C157" s="567">
        <v>15000</v>
      </c>
      <c r="D157" s="87">
        <v>55.48</v>
      </c>
      <c r="E157" s="563">
        <v>15000</v>
      </c>
      <c r="F157" s="87">
        <f t="shared" si="3"/>
        <v>0</v>
      </c>
      <c r="G157" s="690"/>
      <c r="H157" s="693"/>
      <c r="I157" s="692"/>
      <c r="J157" s="692"/>
      <c r="K157" s="692"/>
      <c r="L157" s="692"/>
      <c r="M157" s="692"/>
      <c r="N157" s="692"/>
      <c r="O157" s="692"/>
      <c r="P157" s="692"/>
    </row>
    <row r="158" spans="1:16" ht="15" customHeight="1" x14ac:dyDescent="0.25">
      <c r="A158" s="87" t="s">
        <v>1857</v>
      </c>
      <c r="B158" s="555" t="s">
        <v>1860</v>
      </c>
      <c r="C158" s="567">
        <v>15000</v>
      </c>
      <c r="D158" s="87">
        <v>50.47</v>
      </c>
      <c r="E158" s="563">
        <v>15000</v>
      </c>
      <c r="F158" s="87">
        <f t="shared" si="3"/>
        <v>0</v>
      </c>
      <c r="G158" s="690"/>
      <c r="H158" s="693"/>
      <c r="I158" s="692"/>
      <c r="J158" s="692"/>
      <c r="K158" s="692"/>
      <c r="L158" s="692"/>
      <c r="M158" s="692"/>
      <c r="N158" s="692"/>
      <c r="O158" s="692"/>
      <c r="P158" s="692"/>
    </row>
    <row r="159" spans="1:16" ht="15" customHeight="1" x14ac:dyDescent="0.25">
      <c r="A159" s="87" t="s">
        <v>1857</v>
      </c>
      <c r="B159" s="555" t="s">
        <v>1861</v>
      </c>
      <c r="C159" s="567">
        <v>25000</v>
      </c>
      <c r="D159" s="87">
        <v>2.08</v>
      </c>
      <c r="E159" s="563">
        <v>25000</v>
      </c>
      <c r="F159" s="87">
        <f t="shared" si="3"/>
        <v>0</v>
      </c>
      <c r="G159" s="690"/>
      <c r="H159" s="693"/>
      <c r="I159" s="692"/>
      <c r="J159" s="692"/>
      <c r="K159" s="692"/>
      <c r="L159" s="692"/>
      <c r="M159" s="692"/>
      <c r="N159" s="692"/>
      <c r="O159" s="692"/>
      <c r="P159" s="692"/>
    </row>
    <row r="160" spans="1:16" ht="15" customHeight="1" x14ac:dyDescent="0.25">
      <c r="A160" s="87" t="s">
        <v>1857</v>
      </c>
      <c r="B160" s="555" t="s">
        <v>1862</v>
      </c>
      <c r="C160" s="567">
        <v>25000</v>
      </c>
      <c r="D160" s="87">
        <v>167.15</v>
      </c>
      <c r="E160" s="563">
        <v>25000</v>
      </c>
      <c r="F160" s="87">
        <f t="shared" si="3"/>
        <v>0</v>
      </c>
      <c r="G160" s="690"/>
      <c r="H160" s="693"/>
      <c r="I160" s="692"/>
      <c r="J160" s="692"/>
      <c r="K160" s="692"/>
      <c r="L160" s="692"/>
      <c r="M160" s="692"/>
      <c r="N160" s="692"/>
      <c r="O160" s="692"/>
      <c r="P160" s="692"/>
    </row>
    <row r="161" spans="1:16" ht="15" customHeight="1" x14ac:dyDescent="0.25">
      <c r="A161" s="87" t="s">
        <v>1857</v>
      </c>
      <c r="B161" s="555" t="s">
        <v>1863</v>
      </c>
      <c r="C161" s="567">
        <v>21000</v>
      </c>
      <c r="D161" s="87">
        <v>278.22000000000003</v>
      </c>
      <c r="E161" s="563">
        <v>21000</v>
      </c>
      <c r="F161" s="87">
        <f t="shared" si="3"/>
        <v>0</v>
      </c>
      <c r="G161" s="690"/>
      <c r="H161" s="693"/>
      <c r="I161" s="692"/>
      <c r="J161" s="692"/>
      <c r="K161" s="692"/>
      <c r="L161" s="692"/>
      <c r="M161" s="692"/>
      <c r="N161" s="692"/>
      <c r="O161" s="692"/>
      <c r="P161" s="692"/>
    </row>
    <row r="162" spans="1:16" ht="15" customHeight="1" x14ac:dyDescent="0.25">
      <c r="A162" s="87" t="s">
        <v>1857</v>
      </c>
      <c r="B162" s="555" t="s">
        <v>1864</v>
      </c>
      <c r="C162" s="567">
        <v>25000</v>
      </c>
      <c r="D162" s="87">
        <v>55.45</v>
      </c>
      <c r="E162" s="563">
        <v>25000</v>
      </c>
      <c r="F162" s="87">
        <f t="shared" si="3"/>
        <v>0</v>
      </c>
      <c r="G162" s="690"/>
      <c r="H162" s="693"/>
      <c r="I162" s="692"/>
      <c r="J162" s="692"/>
      <c r="K162" s="692"/>
      <c r="L162" s="692"/>
      <c r="M162" s="692"/>
      <c r="N162" s="692"/>
      <c r="O162" s="692"/>
      <c r="P162" s="692"/>
    </row>
    <row r="163" spans="1:16" ht="15" customHeight="1" x14ac:dyDescent="0.25">
      <c r="A163" s="87" t="s">
        <v>1857</v>
      </c>
      <c r="B163" s="555" t="s">
        <v>1865</v>
      </c>
      <c r="C163" s="567">
        <v>25000</v>
      </c>
      <c r="D163" s="87">
        <v>89.12</v>
      </c>
      <c r="E163" s="563">
        <v>25000</v>
      </c>
      <c r="F163" s="87">
        <f t="shared" si="3"/>
        <v>0</v>
      </c>
      <c r="G163" s="690"/>
      <c r="H163" s="693"/>
      <c r="I163" s="692"/>
      <c r="J163" s="692"/>
      <c r="K163" s="692"/>
      <c r="L163" s="692"/>
      <c r="M163" s="692"/>
      <c r="N163" s="692"/>
      <c r="O163" s="692"/>
      <c r="P163" s="692"/>
    </row>
    <row r="164" spans="1:16" ht="15" customHeight="1" x14ac:dyDescent="0.25">
      <c r="A164" s="87" t="s">
        <v>1857</v>
      </c>
      <c r="B164" s="555" t="s">
        <v>1866</v>
      </c>
      <c r="C164" s="567">
        <v>15000</v>
      </c>
      <c r="D164" s="87">
        <v>334.84</v>
      </c>
      <c r="E164" s="563">
        <v>15000</v>
      </c>
      <c r="F164" s="87">
        <f t="shared" si="3"/>
        <v>0</v>
      </c>
      <c r="G164" s="690"/>
      <c r="H164" s="693"/>
      <c r="I164" s="692"/>
      <c r="J164" s="692"/>
      <c r="K164" s="692"/>
      <c r="L164" s="692"/>
      <c r="M164" s="692"/>
      <c r="N164" s="692"/>
      <c r="O164" s="692"/>
      <c r="P164" s="692"/>
    </row>
    <row r="165" spans="1:16" ht="15" customHeight="1" x14ac:dyDescent="0.25">
      <c r="A165" s="87" t="s">
        <v>1857</v>
      </c>
      <c r="B165" s="555" t="s">
        <v>1867</v>
      </c>
      <c r="C165" s="567">
        <v>15000</v>
      </c>
      <c r="D165" s="87">
        <v>167.22</v>
      </c>
      <c r="E165" s="563">
        <v>15000</v>
      </c>
      <c r="F165" s="87">
        <f t="shared" si="3"/>
        <v>0</v>
      </c>
      <c r="G165" s="690"/>
      <c r="H165" s="693"/>
      <c r="I165" s="692"/>
      <c r="J165" s="692"/>
      <c r="K165" s="692"/>
      <c r="L165" s="692"/>
      <c r="M165" s="692"/>
      <c r="N165" s="692"/>
      <c r="O165" s="692"/>
      <c r="P165" s="692"/>
    </row>
    <row r="166" spans="1:16" ht="15" customHeight="1" x14ac:dyDescent="0.25">
      <c r="A166" s="87" t="s">
        <v>1857</v>
      </c>
      <c r="B166" s="555" t="s">
        <v>1868</v>
      </c>
      <c r="C166" s="567">
        <v>20000</v>
      </c>
      <c r="D166" s="87">
        <v>278.22000000000003</v>
      </c>
      <c r="E166" s="563">
        <v>20000</v>
      </c>
      <c r="F166" s="87">
        <f t="shared" si="3"/>
        <v>0</v>
      </c>
      <c r="G166" s="690"/>
      <c r="H166" s="693"/>
      <c r="I166" s="692"/>
      <c r="J166" s="692"/>
      <c r="K166" s="692"/>
      <c r="L166" s="692"/>
      <c r="M166" s="692"/>
      <c r="N166" s="692"/>
      <c r="O166" s="692"/>
      <c r="P166" s="692"/>
    </row>
    <row r="167" spans="1:16" ht="15" customHeight="1" x14ac:dyDescent="0.25">
      <c r="A167" s="87" t="s">
        <v>1857</v>
      </c>
      <c r="B167" s="563" t="s">
        <v>1869</v>
      </c>
      <c r="C167" s="567">
        <v>15000</v>
      </c>
      <c r="D167" s="87">
        <v>233.74</v>
      </c>
      <c r="E167" s="573">
        <v>15000</v>
      </c>
      <c r="F167" s="87">
        <f t="shared" si="3"/>
        <v>0</v>
      </c>
      <c r="G167" s="690"/>
      <c r="H167" s="693"/>
      <c r="I167" s="692"/>
      <c r="J167" s="692"/>
      <c r="K167" s="692"/>
      <c r="L167" s="692"/>
      <c r="M167" s="692"/>
      <c r="N167" s="692"/>
      <c r="O167" s="692"/>
      <c r="P167" s="692"/>
    </row>
    <row r="168" spans="1:16" ht="15" customHeight="1" x14ac:dyDescent="0.25">
      <c r="A168" s="87" t="s">
        <v>1857</v>
      </c>
      <c r="B168" s="555" t="s">
        <v>1870</v>
      </c>
      <c r="C168" s="567">
        <v>15000</v>
      </c>
      <c r="D168" s="87">
        <v>278.22000000000003</v>
      </c>
      <c r="E168" s="563">
        <v>15000</v>
      </c>
      <c r="F168" s="87">
        <f t="shared" si="3"/>
        <v>0</v>
      </c>
      <c r="G168" s="690"/>
      <c r="H168" s="693"/>
      <c r="I168" s="692"/>
      <c r="J168" s="692"/>
      <c r="K168" s="692"/>
      <c r="L168" s="692"/>
      <c r="M168" s="692"/>
      <c r="N168" s="692"/>
      <c r="O168" s="692"/>
      <c r="P168" s="692"/>
    </row>
    <row r="169" spans="1:16" ht="15" customHeight="1" x14ac:dyDescent="0.25">
      <c r="A169" s="87" t="s">
        <v>1857</v>
      </c>
      <c r="B169" s="555" t="s">
        <v>1871</v>
      </c>
      <c r="C169" s="567">
        <v>15000</v>
      </c>
      <c r="D169" s="87">
        <v>278.22000000000003</v>
      </c>
      <c r="E169" s="563">
        <v>15000</v>
      </c>
      <c r="F169" s="87">
        <f t="shared" si="3"/>
        <v>0</v>
      </c>
      <c r="G169" s="690"/>
      <c r="H169" s="693"/>
      <c r="I169" s="692"/>
      <c r="J169" s="692"/>
      <c r="K169" s="692"/>
      <c r="L169" s="692"/>
      <c r="M169" s="692"/>
      <c r="N169" s="692"/>
      <c r="O169" s="692"/>
      <c r="P169" s="692"/>
    </row>
    <row r="170" spans="1:16" ht="15" customHeight="1" x14ac:dyDescent="0.25">
      <c r="A170" s="87" t="s">
        <v>1857</v>
      </c>
      <c r="B170" s="555" t="s">
        <v>1872</v>
      </c>
      <c r="C170" s="567">
        <v>13000</v>
      </c>
      <c r="D170" s="87">
        <v>225.42</v>
      </c>
      <c r="E170" s="563">
        <v>13000</v>
      </c>
      <c r="F170" s="87">
        <f t="shared" si="3"/>
        <v>0</v>
      </c>
      <c r="G170" s="690"/>
      <c r="H170" s="693"/>
      <c r="I170" s="692"/>
      <c r="J170" s="692"/>
      <c r="K170" s="692"/>
      <c r="L170" s="692"/>
      <c r="M170" s="692"/>
      <c r="N170" s="692"/>
      <c r="O170" s="692"/>
      <c r="P170" s="692"/>
    </row>
    <row r="171" spans="1:16" ht="15" customHeight="1" x14ac:dyDescent="0.25">
      <c r="A171" s="87" t="s">
        <v>1857</v>
      </c>
      <c r="B171" s="555" t="s">
        <v>1873</v>
      </c>
      <c r="C171" s="567">
        <v>26000</v>
      </c>
      <c r="D171" s="87">
        <v>362.94</v>
      </c>
      <c r="E171" s="563">
        <v>26000</v>
      </c>
      <c r="F171" s="87">
        <f t="shared" si="3"/>
        <v>0</v>
      </c>
      <c r="G171" s="690"/>
      <c r="H171" s="693"/>
      <c r="I171" s="692"/>
      <c r="J171" s="692"/>
      <c r="K171" s="692"/>
      <c r="L171" s="692"/>
      <c r="M171" s="692"/>
      <c r="N171" s="692"/>
      <c r="O171" s="692"/>
      <c r="P171" s="692"/>
    </row>
    <row r="172" spans="1:16" ht="15" customHeight="1" x14ac:dyDescent="0.25">
      <c r="A172" s="87" t="s">
        <v>1857</v>
      </c>
      <c r="B172" s="555" t="s">
        <v>1874</v>
      </c>
      <c r="C172" s="567">
        <v>21000</v>
      </c>
      <c r="D172" s="87">
        <v>436.84</v>
      </c>
      <c r="E172" s="563">
        <v>21000</v>
      </c>
      <c r="F172" s="87">
        <f t="shared" si="3"/>
        <v>0</v>
      </c>
      <c r="G172" s="690"/>
      <c r="H172" s="693"/>
      <c r="I172" s="692"/>
      <c r="J172" s="692"/>
      <c r="K172" s="692"/>
      <c r="L172" s="692"/>
      <c r="M172" s="692"/>
      <c r="N172" s="692"/>
      <c r="O172" s="692"/>
      <c r="P172" s="692"/>
    </row>
    <row r="173" spans="1:16" ht="15" customHeight="1" x14ac:dyDescent="0.25">
      <c r="A173" s="87" t="s">
        <v>1857</v>
      </c>
      <c r="B173" s="555" t="s">
        <v>1875</v>
      </c>
      <c r="C173" s="567">
        <v>7000</v>
      </c>
      <c r="D173" s="87">
        <v>300.83999999999997</v>
      </c>
      <c r="E173" s="563">
        <v>7000</v>
      </c>
      <c r="F173" s="87">
        <f t="shared" si="3"/>
        <v>0</v>
      </c>
      <c r="G173" s="690"/>
      <c r="H173" s="693"/>
      <c r="I173" s="692"/>
      <c r="J173" s="692"/>
      <c r="K173" s="692"/>
      <c r="L173" s="692"/>
      <c r="M173" s="692"/>
      <c r="N173" s="692"/>
      <c r="O173" s="692"/>
      <c r="P173" s="692"/>
    </row>
    <row r="174" spans="1:16" ht="15" customHeight="1" x14ac:dyDescent="0.25">
      <c r="A174" s="87" t="s">
        <v>1857</v>
      </c>
      <c r="B174" s="555" t="s">
        <v>1876</v>
      </c>
      <c r="C174" s="567">
        <v>12000</v>
      </c>
      <c r="D174" s="87">
        <v>300.83999999999997</v>
      </c>
      <c r="E174" s="563">
        <v>12000</v>
      </c>
      <c r="F174" s="87">
        <f t="shared" si="3"/>
        <v>0</v>
      </c>
      <c r="G174" s="690"/>
      <c r="H174" s="693"/>
      <c r="I174" s="692"/>
      <c r="J174" s="692"/>
      <c r="K174" s="692"/>
      <c r="L174" s="692"/>
      <c r="M174" s="692"/>
      <c r="N174" s="692"/>
      <c r="O174" s="692"/>
      <c r="P174" s="692"/>
    </row>
    <row r="175" spans="1:16" ht="15" customHeight="1" x14ac:dyDescent="0.25">
      <c r="A175" s="87" t="s">
        <v>1857</v>
      </c>
      <c r="B175" s="555" t="s">
        <v>30</v>
      </c>
      <c r="C175" s="567">
        <v>5000</v>
      </c>
      <c r="D175" s="87">
        <v>201.74</v>
      </c>
      <c r="E175" s="563">
        <v>5000</v>
      </c>
      <c r="F175" s="87">
        <f t="shared" si="3"/>
        <v>0</v>
      </c>
      <c r="G175" s="690"/>
      <c r="H175" s="693"/>
      <c r="I175" s="692"/>
      <c r="J175" s="692"/>
      <c r="K175" s="692"/>
      <c r="L175" s="692"/>
      <c r="M175" s="692"/>
      <c r="N175" s="692"/>
      <c r="O175" s="692"/>
      <c r="P175" s="692"/>
    </row>
    <row r="176" spans="1:16" ht="15" customHeight="1" x14ac:dyDescent="0.25">
      <c r="A176" s="87" t="s">
        <v>1857</v>
      </c>
      <c r="B176" s="555" t="s">
        <v>1877</v>
      </c>
      <c r="C176" s="567">
        <v>50000</v>
      </c>
      <c r="D176" s="87">
        <v>111.41</v>
      </c>
      <c r="E176" s="563">
        <v>50000</v>
      </c>
      <c r="F176" s="87">
        <f t="shared" si="3"/>
        <v>0</v>
      </c>
      <c r="G176" s="690"/>
      <c r="H176" s="693"/>
      <c r="I176" s="692"/>
      <c r="J176" s="692"/>
      <c r="K176" s="692"/>
      <c r="L176" s="692"/>
      <c r="M176" s="692"/>
      <c r="N176" s="692"/>
      <c r="O176" s="692"/>
      <c r="P176" s="692"/>
    </row>
    <row r="177" spans="1:16" ht="15" customHeight="1" x14ac:dyDescent="0.25">
      <c r="A177" s="87" t="s">
        <v>1857</v>
      </c>
      <c r="B177" s="555" t="s">
        <v>1878</v>
      </c>
      <c r="C177" s="567">
        <v>25000</v>
      </c>
      <c r="D177" s="87">
        <v>278.22000000000003</v>
      </c>
      <c r="E177" s="563">
        <v>25000</v>
      </c>
      <c r="F177" s="87">
        <f t="shared" si="3"/>
        <v>0</v>
      </c>
      <c r="G177" s="690"/>
      <c r="H177" s="693"/>
      <c r="I177" s="692"/>
      <c r="J177" s="692"/>
      <c r="K177" s="692"/>
      <c r="L177" s="692"/>
      <c r="M177" s="692"/>
      <c r="N177" s="692"/>
      <c r="O177" s="692"/>
      <c r="P177" s="692"/>
    </row>
    <row r="178" spans="1:16" ht="15" customHeight="1" x14ac:dyDescent="0.25">
      <c r="A178" s="87" t="s">
        <v>1857</v>
      </c>
      <c r="B178" s="555" t="s">
        <v>1879</v>
      </c>
      <c r="C178" s="567">
        <v>21500</v>
      </c>
      <c r="D178" s="87">
        <v>222.42</v>
      </c>
      <c r="E178" s="563">
        <v>21500</v>
      </c>
      <c r="F178" s="87">
        <f t="shared" si="3"/>
        <v>0</v>
      </c>
      <c r="G178" s="690"/>
      <c r="H178" s="693"/>
      <c r="I178" s="692"/>
      <c r="J178" s="692"/>
      <c r="K178" s="692"/>
      <c r="L178" s="692"/>
      <c r="M178" s="692"/>
      <c r="N178" s="692"/>
      <c r="O178" s="692"/>
      <c r="P178" s="692"/>
    </row>
    <row r="179" spans="1:16" ht="15" customHeight="1" x14ac:dyDescent="0.25">
      <c r="A179" s="87" t="s">
        <v>1857</v>
      </c>
      <c r="B179" s="555" t="s">
        <v>1880</v>
      </c>
      <c r="C179" s="567">
        <v>16515</v>
      </c>
      <c r="D179" s="87">
        <v>840.54</v>
      </c>
      <c r="E179" s="563">
        <v>16515</v>
      </c>
      <c r="F179" s="87">
        <f t="shared" si="3"/>
        <v>0</v>
      </c>
      <c r="G179" s="690"/>
      <c r="H179" s="693"/>
      <c r="I179" s="692"/>
      <c r="J179" s="692"/>
      <c r="K179" s="692"/>
      <c r="L179" s="692"/>
      <c r="M179" s="692"/>
      <c r="N179" s="692"/>
      <c r="O179" s="692"/>
      <c r="P179" s="692"/>
    </row>
    <row r="180" spans="1:16" ht="15" customHeight="1" x14ac:dyDescent="0.25">
      <c r="A180" s="87" t="s">
        <v>1857</v>
      </c>
      <c r="B180" s="555" t="s">
        <v>1881</v>
      </c>
      <c r="C180" s="567">
        <v>29000</v>
      </c>
      <c r="D180" s="87">
        <v>1.05</v>
      </c>
      <c r="E180" s="563">
        <v>29000</v>
      </c>
      <c r="F180" s="87">
        <f t="shared" si="3"/>
        <v>0</v>
      </c>
      <c r="G180" s="690"/>
      <c r="H180" s="693"/>
      <c r="I180" s="692"/>
      <c r="J180" s="692"/>
      <c r="K180" s="692"/>
      <c r="L180" s="692"/>
      <c r="M180" s="692"/>
      <c r="N180" s="692"/>
      <c r="O180" s="692"/>
      <c r="P180" s="692"/>
    </row>
    <row r="181" spans="1:16" ht="15" customHeight="1" x14ac:dyDescent="0.25">
      <c r="A181" s="87" t="s">
        <v>1857</v>
      </c>
      <c r="B181" s="555" t="s">
        <v>1882</v>
      </c>
      <c r="C181" s="567">
        <v>30000</v>
      </c>
      <c r="D181" s="87">
        <v>178.22</v>
      </c>
      <c r="E181" s="563">
        <v>30000</v>
      </c>
      <c r="F181" s="87">
        <f t="shared" si="3"/>
        <v>0</v>
      </c>
      <c r="G181" s="690"/>
      <c r="H181" s="693"/>
      <c r="I181" s="692"/>
      <c r="J181" s="692"/>
      <c r="K181" s="692"/>
      <c r="L181" s="692"/>
      <c r="M181" s="692"/>
      <c r="N181" s="692"/>
      <c r="O181" s="692"/>
      <c r="P181" s="692"/>
    </row>
    <row r="182" spans="1:16" ht="15" customHeight="1" x14ac:dyDescent="0.25">
      <c r="A182" s="87" t="s">
        <v>1857</v>
      </c>
      <c r="B182" s="555" t="s">
        <v>1883</v>
      </c>
      <c r="C182" s="567">
        <v>18000</v>
      </c>
      <c r="D182" s="87">
        <v>50.45</v>
      </c>
      <c r="E182" s="563">
        <v>18000</v>
      </c>
      <c r="F182" s="87">
        <f t="shared" si="3"/>
        <v>0</v>
      </c>
      <c r="G182" s="690"/>
      <c r="H182" s="693"/>
      <c r="I182" s="692"/>
      <c r="J182" s="692"/>
      <c r="K182" s="692"/>
      <c r="L182" s="692"/>
      <c r="M182" s="692"/>
      <c r="N182" s="692"/>
      <c r="O182" s="692"/>
      <c r="P182" s="692"/>
    </row>
    <row r="183" spans="1:16" ht="15" customHeight="1" x14ac:dyDescent="0.25">
      <c r="A183" s="87" t="s">
        <v>1857</v>
      </c>
      <c r="B183" s="555" t="s">
        <v>1884</v>
      </c>
      <c r="C183" s="567">
        <v>25000</v>
      </c>
      <c r="D183" s="87">
        <v>352.85</v>
      </c>
      <c r="E183" s="563">
        <v>25000</v>
      </c>
      <c r="F183" s="87">
        <f t="shared" si="3"/>
        <v>0</v>
      </c>
      <c r="G183" s="690"/>
      <c r="H183" s="693"/>
      <c r="I183" s="692"/>
      <c r="J183" s="692"/>
      <c r="K183" s="692"/>
      <c r="L183" s="692"/>
      <c r="M183" s="692"/>
      <c r="N183" s="692"/>
      <c r="O183" s="692"/>
      <c r="P183" s="692"/>
    </row>
    <row r="184" spans="1:16" ht="15" customHeight="1" x14ac:dyDescent="0.25">
      <c r="A184" s="87" t="s">
        <v>1857</v>
      </c>
      <c r="B184" s="555" t="s">
        <v>1885</v>
      </c>
      <c r="C184" s="567">
        <v>33000</v>
      </c>
      <c r="D184" s="87">
        <v>260.44</v>
      </c>
      <c r="E184" s="563">
        <v>33000</v>
      </c>
      <c r="F184" s="87">
        <f t="shared" si="3"/>
        <v>0</v>
      </c>
      <c r="G184" s="690"/>
      <c r="H184" s="693"/>
      <c r="I184" s="692"/>
      <c r="J184" s="692"/>
      <c r="K184" s="692"/>
      <c r="L184" s="692"/>
      <c r="M184" s="692"/>
      <c r="N184" s="692"/>
      <c r="O184" s="692"/>
      <c r="P184" s="692"/>
    </row>
    <row r="185" spans="1:16" ht="15" customHeight="1" x14ac:dyDescent="0.25">
      <c r="A185" s="87" t="s">
        <v>1857</v>
      </c>
      <c r="B185" s="555" t="s">
        <v>1886</v>
      </c>
      <c r="C185" s="567">
        <v>30000</v>
      </c>
      <c r="D185" s="87">
        <v>299.74</v>
      </c>
      <c r="E185" s="563">
        <v>30000</v>
      </c>
      <c r="F185" s="87">
        <f t="shared" si="3"/>
        <v>0</v>
      </c>
      <c r="G185" s="690"/>
      <c r="H185" s="693"/>
      <c r="I185" s="692"/>
      <c r="J185" s="692"/>
      <c r="K185" s="692"/>
      <c r="L185" s="692"/>
      <c r="M185" s="692"/>
      <c r="N185" s="692"/>
      <c r="O185" s="692"/>
      <c r="P185" s="692"/>
    </row>
    <row r="186" spans="1:16" ht="15" customHeight="1" x14ac:dyDescent="0.25">
      <c r="A186" s="87" t="s">
        <v>1857</v>
      </c>
      <c r="B186" s="555" t="s">
        <v>66</v>
      </c>
      <c r="C186" s="567">
        <v>150</v>
      </c>
      <c r="D186" s="87">
        <v>260.44</v>
      </c>
      <c r="E186" s="563">
        <v>150</v>
      </c>
      <c r="F186" s="87">
        <f t="shared" si="3"/>
        <v>0</v>
      </c>
      <c r="G186" s="690"/>
      <c r="H186" s="693"/>
      <c r="I186" s="692"/>
      <c r="J186" s="692"/>
      <c r="K186" s="692"/>
      <c r="L186" s="692"/>
      <c r="M186" s="692"/>
      <c r="N186" s="692"/>
      <c r="O186" s="692"/>
      <c r="P186" s="692"/>
    </row>
    <row r="187" spans="1:16" ht="15" customHeight="1" x14ac:dyDescent="0.25">
      <c r="A187" s="87" t="s">
        <v>1887</v>
      </c>
      <c r="B187" s="555" t="s">
        <v>1888</v>
      </c>
      <c r="C187" s="567">
        <v>20000</v>
      </c>
      <c r="D187" s="87">
        <v>289.64</v>
      </c>
      <c r="E187" s="563">
        <v>20000</v>
      </c>
      <c r="F187" s="87">
        <f t="shared" si="3"/>
        <v>0</v>
      </c>
      <c r="G187" s="690"/>
      <c r="H187" s="693"/>
      <c r="I187" s="692"/>
      <c r="J187" s="692"/>
      <c r="K187" s="692"/>
      <c r="L187" s="692"/>
      <c r="M187" s="692"/>
      <c r="N187" s="692"/>
      <c r="O187" s="692"/>
      <c r="P187" s="692"/>
    </row>
    <row r="188" spans="1:16" s="694" customFormat="1" ht="15" customHeight="1" x14ac:dyDescent="0.25">
      <c r="A188" s="87" t="s">
        <v>1887</v>
      </c>
      <c r="B188" s="555" t="s">
        <v>1889</v>
      </c>
      <c r="C188" s="567">
        <v>20000</v>
      </c>
      <c r="D188" s="87">
        <v>55.15</v>
      </c>
      <c r="E188" s="563">
        <v>20000</v>
      </c>
      <c r="F188" s="87">
        <f t="shared" si="3"/>
        <v>0</v>
      </c>
      <c r="G188" s="690"/>
      <c r="H188" s="693"/>
      <c r="I188" s="692"/>
      <c r="J188" s="692"/>
      <c r="K188" s="692"/>
      <c r="L188" s="692"/>
      <c r="M188" s="692"/>
      <c r="N188" s="692"/>
      <c r="O188" s="692"/>
      <c r="P188" s="692"/>
    </row>
    <row r="189" spans="1:16" s="694" customFormat="1" ht="15" customHeight="1" x14ac:dyDescent="0.25">
      <c r="A189" s="87" t="s">
        <v>1887</v>
      </c>
      <c r="B189" s="555" t="s">
        <v>2216</v>
      </c>
      <c r="C189" s="567">
        <v>20000</v>
      </c>
      <c r="D189" s="87">
        <v>250.82</v>
      </c>
      <c r="E189" s="563">
        <v>20000</v>
      </c>
      <c r="F189" s="87">
        <f t="shared" si="3"/>
        <v>0</v>
      </c>
      <c r="G189" s="690"/>
      <c r="H189" s="693"/>
      <c r="I189" s="692"/>
      <c r="J189" s="692"/>
      <c r="K189" s="692"/>
      <c r="L189" s="692"/>
      <c r="M189" s="692"/>
      <c r="N189" s="692"/>
      <c r="O189" s="692"/>
      <c r="P189" s="692"/>
    </row>
    <row r="190" spans="1:16" s="694" customFormat="1" ht="15" customHeight="1" x14ac:dyDescent="0.25">
      <c r="A190" s="87" t="s">
        <v>1887</v>
      </c>
      <c r="B190" s="555" t="s">
        <v>1890</v>
      </c>
      <c r="C190" s="567">
        <v>15000</v>
      </c>
      <c r="D190" s="87">
        <v>317.45</v>
      </c>
      <c r="E190" s="563">
        <v>15000</v>
      </c>
      <c r="F190" s="87">
        <f t="shared" si="3"/>
        <v>0</v>
      </c>
      <c r="G190" s="690"/>
      <c r="H190" s="693"/>
      <c r="I190" s="692"/>
      <c r="J190" s="692"/>
      <c r="K190" s="692"/>
      <c r="L190" s="692"/>
      <c r="M190" s="692"/>
      <c r="N190" s="692"/>
      <c r="O190" s="692"/>
      <c r="P190" s="692"/>
    </row>
    <row r="191" spans="1:16" s="694" customFormat="1" ht="15" customHeight="1" x14ac:dyDescent="0.25">
      <c r="A191" s="87" t="s">
        <v>1887</v>
      </c>
      <c r="B191" s="555" t="s">
        <v>1848</v>
      </c>
      <c r="C191" s="567">
        <v>15000</v>
      </c>
      <c r="D191" s="87">
        <v>278.22000000000003</v>
      </c>
      <c r="E191" s="563">
        <v>15000</v>
      </c>
      <c r="F191" s="87">
        <f t="shared" si="3"/>
        <v>0</v>
      </c>
      <c r="G191" s="690"/>
      <c r="H191" s="693"/>
      <c r="I191" s="692"/>
      <c r="J191" s="692"/>
      <c r="K191" s="692"/>
      <c r="L191" s="692"/>
      <c r="M191" s="692"/>
      <c r="N191" s="692"/>
      <c r="O191" s="692"/>
      <c r="P191" s="692"/>
    </row>
    <row r="192" spans="1:16" s="694" customFormat="1" ht="15" customHeight="1" x14ac:dyDescent="0.25">
      <c r="A192" s="87" t="s">
        <v>1887</v>
      </c>
      <c r="B192" s="555" t="s">
        <v>1891</v>
      </c>
      <c r="C192" s="567">
        <v>23000</v>
      </c>
      <c r="D192" s="87">
        <v>228.62</v>
      </c>
      <c r="E192" s="563">
        <v>23000</v>
      </c>
      <c r="F192" s="87">
        <f t="shared" si="3"/>
        <v>0</v>
      </c>
      <c r="G192" s="690"/>
      <c r="H192" s="693"/>
      <c r="I192" s="692"/>
      <c r="J192" s="692"/>
      <c r="K192" s="692"/>
      <c r="L192" s="692"/>
      <c r="M192" s="692"/>
      <c r="N192" s="692"/>
      <c r="O192" s="692"/>
      <c r="P192" s="692"/>
    </row>
    <row r="193" spans="1:16" s="694" customFormat="1" ht="15" customHeight="1" x14ac:dyDescent="0.25">
      <c r="A193" s="87" t="s">
        <v>1887</v>
      </c>
      <c r="B193" s="555" t="s">
        <v>1892</v>
      </c>
      <c r="C193" s="567">
        <v>24000</v>
      </c>
      <c r="D193" s="87">
        <v>271.83999999999997</v>
      </c>
      <c r="E193" s="563">
        <v>24000</v>
      </c>
      <c r="F193" s="87">
        <f t="shared" si="3"/>
        <v>0</v>
      </c>
      <c r="G193" s="690"/>
      <c r="H193" s="693"/>
      <c r="I193" s="692"/>
      <c r="J193" s="692"/>
      <c r="K193" s="692"/>
      <c r="L193" s="692"/>
      <c r="M193" s="692"/>
      <c r="N193" s="692"/>
      <c r="O193" s="692"/>
      <c r="P193" s="692"/>
    </row>
    <row r="194" spans="1:16" s="694" customFormat="1" ht="15" customHeight="1" x14ac:dyDescent="0.25">
      <c r="A194" s="87" t="s">
        <v>1887</v>
      </c>
      <c r="B194" s="555" t="s">
        <v>1893</v>
      </c>
      <c r="C194" s="567">
        <v>11000</v>
      </c>
      <c r="D194" s="87">
        <v>267.62</v>
      </c>
      <c r="E194" s="563">
        <v>11000</v>
      </c>
      <c r="F194" s="87">
        <f t="shared" si="3"/>
        <v>0</v>
      </c>
      <c r="G194" s="690"/>
      <c r="H194" s="693"/>
      <c r="I194" s="692"/>
      <c r="J194" s="692"/>
      <c r="K194" s="692"/>
      <c r="L194" s="692"/>
      <c r="M194" s="692"/>
      <c r="N194" s="692"/>
      <c r="O194" s="692"/>
      <c r="P194" s="692"/>
    </row>
    <row r="195" spans="1:16" s="694" customFormat="1" ht="15" customHeight="1" x14ac:dyDescent="0.25">
      <c r="A195" s="87" t="s">
        <v>1887</v>
      </c>
      <c r="B195" s="555" t="s">
        <v>30</v>
      </c>
      <c r="C195" s="567">
        <v>9000</v>
      </c>
      <c r="D195" s="87">
        <v>245.74</v>
      </c>
      <c r="E195" s="563">
        <v>9000</v>
      </c>
      <c r="F195" s="87">
        <f t="shared" si="3"/>
        <v>0</v>
      </c>
      <c r="G195" s="690"/>
      <c r="H195" s="693"/>
      <c r="I195" s="692"/>
      <c r="J195" s="692"/>
      <c r="K195" s="692"/>
      <c r="L195" s="692"/>
      <c r="M195" s="692"/>
      <c r="N195" s="692"/>
      <c r="O195" s="692"/>
      <c r="P195" s="692"/>
    </row>
    <row r="196" spans="1:16" s="694" customFormat="1" ht="15" customHeight="1" x14ac:dyDescent="0.25">
      <c r="A196" s="87" t="s">
        <v>1887</v>
      </c>
      <c r="B196" s="555" t="s">
        <v>1894</v>
      </c>
      <c r="C196" s="567">
        <v>10000</v>
      </c>
      <c r="D196" s="87">
        <v>245.74</v>
      </c>
      <c r="E196" s="563">
        <v>10000</v>
      </c>
      <c r="F196" s="87">
        <f t="shared" si="3"/>
        <v>0</v>
      </c>
      <c r="G196" s="690"/>
      <c r="H196" s="693"/>
      <c r="I196" s="692"/>
      <c r="J196" s="692"/>
      <c r="K196" s="692"/>
      <c r="L196" s="692"/>
      <c r="M196" s="692"/>
      <c r="N196" s="692"/>
      <c r="O196" s="692"/>
      <c r="P196" s="692"/>
    </row>
    <row r="197" spans="1:16" s="694" customFormat="1" ht="15" customHeight="1" x14ac:dyDescent="0.25">
      <c r="A197" s="87" t="s">
        <v>1887</v>
      </c>
      <c r="B197" s="555" t="s">
        <v>1895</v>
      </c>
      <c r="C197" s="567">
        <v>10000</v>
      </c>
      <c r="D197" s="87">
        <v>200.37</v>
      </c>
      <c r="E197" s="563">
        <v>10000</v>
      </c>
      <c r="F197" s="87">
        <f t="shared" si="3"/>
        <v>0</v>
      </c>
      <c r="G197" s="690"/>
      <c r="H197" s="693"/>
      <c r="I197" s="692"/>
      <c r="J197" s="692"/>
      <c r="K197" s="692"/>
      <c r="L197" s="692"/>
      <c r="M197" s="692"/>
      <c r="N197" s="692"/>
      <c r="O197" s="692"/>
      <c r="P197" s="692"/>
    </row>
    <row r="198" spans="1:16" s="694" customFormat="1" ht="15" customHeight="1" x14ac:dyDescent="0.25">
      <c r="A198" s="87" t="s">
        <v>1887</v>
      </c>
      <c r="B198" s="555" t="s">
        <v>1896</v>
      </c>
      <c r="C198" s="567">
        <v>10000</v>
      </c>
      <c r="D198" s="87">
        <v>300.18</v>
      </c>
      <c r="E198" s="563">
        <v>10000</v>
      </c>
      <c r="F198" s="87">
        <f t="shared" si="3"/>
        <v>0</v>
      </c>
      <c r="G198" s="690"/>
      <c r="H198" s="693"/>
      <c r="I198" s="692"/>
      <c r="J198" s="692"/>
      <c r="K198" s="692"/>
      <c r="L198" s="692"/>
      <c r="M198" s="692"/>
      <c r="N198" s="692"/>
      <c r="O198" s="692"/>
      <c r="P198" s="692"/>
    </row>
    <row r="199" spans="1:16" s="694" customFormat="1" ht="15" customHeight="1" x14ac:dyDescent="0.25">
      <c r="A199" s="87" t="s">
        <v>1887</v>
      </c>
      <c r="B199" s="555" t="s">
        <v>1897</v>
      </c>
      <c r="C199" s="567">
        <v>10000</v>
      </c>
      <c r="D199" s="87">
        <v>167.22</v>
      </c>
      <c r="E199" s="563">
        <v>10000</v>
      </c>
      <c r="F199" s="87">
        <f t="shared" si="3"/>
        <v>0</v>
      </c>
      <c r="G199" s="690"/>
      <c r="H199" s="693"/>
      <c r="I199" s="692"/>
      <c r="J199" s="692"/>
      <c r="K199" s="692"/>
      <c r="L199" s="692"/>
      <c r="M199" s="692"/>
      <c r="N199" s="692"/>
      <c r="O199" s="692"/>
      <c r="P199" s="692"/>
    </row>
    <row r="200" spans="1:16" s="694" customFormat="1" ht="15" customHeight="1" x14ac:dyDescent="0.25">
      <c r="A200" s="87" t="s">
        <v>1887</v>
      </c>
      <c r="B200" s="555" t="s">
        <v>1898</v>
      </c>
      <c r="C200" s="567">
        <v>10000</v>
      </c>
      <c r="D200" s="87">
        <v>206.54</v>
      </c>
      <c r="E200" s="563">
        <v>10000</v>
      </c>
      <c r="F200" s="87">
        <f t="shared" si="3"/>
        <v>0</v>
      </c>
      <c r="G200" s="690"/>
      <c r="H200" s="693"/>
      <c r="I200" s="692"/>
      <c r="J200" s="692"/>
      <c r="K200" s="692"/>
      <c r="L200" s="692"/>
      <c r="M200" s="692"/>
      <c r="N200" s="692"/>
      <c r="O200" s="692"/>
      <c r="P200" s="692"/>
    </row>
    <row r="201" spans="1:16" s="694" customFormat="1" ht="15" customHeight="1" x14ac:dyDescent="0.25">
      <c r="A201" s="87" t="s">
        <v>1887</v>
      </c>
      <c r="B201" s="555" t="s">
        <v>1899</v>
      </c>
      <c r="C201" s="567">
        <v>10000</v>
      </c>
      <c r="D201" s="87">
        <v>66.239999999999995</v>
      </c>
      <c r="E201" s="563">
        <v>10000</v>
      </c>
      <c r="F201" s="87">
        <f t="shared" si="3"/>
        <v>0</v>
      </c>
      <c r="G201" s="690"/>
      <c r="H201" s="693"/>
      <c r="I201" s="692"/>
      <c r="J201" s="692"/>
      <c r="K201" s="692"/>
      <c r="L201" s="692"/>
      <c r="M201" s="692"/>
      <c r="N201" s="692"/>
      <c r="O201" s="692"/>
      <c r="P201" s="692"/>
    </row>
    <row r="202" spans="1:16" s="694" customFormat="1" ht="15" customHeight="1" x14ac:dyDescent="0.25">
      <c r="A202" s="87" t="s">
        <v>1887</v>
      </c>
      <c r="B202" s="555" t="s">
        <v>1900</v>
      </c>
      <c r="C202" s="567">
        <v>10000</v>
      </c>
      <c r="D202" s="87">
        <v>282.76</v>
      </c>
      <c r="E202" s="563">
        <v>10000</v>
      </c>
      <c r="F202" s="87">
        <f t="shared" si="3"/>
        <v>0</v>
      </c>
      <c r="G202" s="690"/>
      <c r="H202" s="693"/>
      <c r="I202" s="692"/>
      <c r="J202" s="692"/>
      <c r="K202" s="692"/>
      <c r="L202" s="692"/>
      <c r="M202" s="692"/>
      <c r="N202" s="692"/>
      <c r="O202" s="692"/>
      <c r="P202" s="692"/>
    </row>
    <row r="203" spans="1:16" s="694" customFormat="1" ht="15" customHeight="1" x14ac:dyDescent="0.25">
      <c r="A203" s="87" t="s">
        <v>1887</v>
      </c>
      <c r="B203" s="555" t="s">
        <v>1842</v>
      </c>
      <c r="C203" s="567">
        <v>10000</v>
      </c>
      <c r="D203" s="87">
        <v>178.22</v>
      </c>
      <c r="E203" s="563">
        <v>10000</v>
      </c>
      <c r="F203" s="87">
        <f t="shared" si="3"/>
        <v>0</v>
      </c>
      <c r="G203" s="690"/>
      <c r="H203" s="693"/>
      <c r="I203" s="692"/>
      <c r="J203" s="692"/>
      <c r="K203" s="692"/>
      <c r="L203" s="692"/>
      <c r="M203" s="692"/>
      <c r="N203" s="692"/>
      <c r="O203" s="692"/>
      <c r="P203" s="692"/>
    </row>
    <row r="204" spans="1:16" s="694" customFormat="1" ht="15" customHeight="1" x14ac:dyDescent="0.25">
      <c r="A204" s="87" t="s">
        <v>1887</v>
      </c>
      <c r="B204" s="555" t="s">
        <v>30</v>
      </c>
      <c r="C204" s="567">
        <v>4500</v>
      </c>
      <c r="D204" s="87">
        <v>222.67</v>
      </c>
      <c r="E204" s="563">
        <v>4500</v>
      </c>
      <c r="F204" s="87">
        <f t="shared" si="3"/>
        <v>0</v>
      </c>
      <c r="G204" s="690"/>
      <c r="H204" s="693"/>
      <c r="I204" s="692"/>
      <c r="J204" s="692"/>
      <c r="K204" s="692"/>
      <c r="L204" s="692"/>
      <c r="M204" s="692"/>
      <c r="N204" s="692"/>
      <c r="O204" s="692"/>
      <c r="P204" s="692"/>
    </row>
    <row r="205" spans="1:16" s="694" customFormat="1" ht="15" customHeight="1" x14ac:dyDescent="0.25">
      <c r="A205" s="87" t="s">
        <v>1887</v>
      </c>
      <c r="B205" s="555" t="s">
        <v>1901</v>
      </c>
      <c r="C205" s="567">
        <v>25900</v>
      </c>
      <c r="D205" s="87">
        <v>256.83999999999997</v>
      </c>
      <c r="E205" s="563">
        <v>25900</v>
      </c>
      <c r="F205" s="87">
        <f t="shared" si="3"/>
        <v>0</v>
      </c>
      <c r="G205" s="690"/>
      <c r="H205" s="693"/>
      <c r="I205" s="692"/>
      <c r="J205" s="692"/>
      <c r="K205" s="692"/>
      <c r="L205" s="692"/>
      <c r="M205" s="692"/>
      <c r="N205" s="692"/>
      <c r="O205" s="692"/>
      <c r="P205" s="692"/>
    </row>
    <row r="206" spans="1:16" s="694" customFormat="1" ht="15" customHeight="1" x14ac:dyDescent="0.25">
      <c r="A206" s="87" t="s">
        <v>1887</v>
      </c>
      <c r="B206" s="555" t="s">
        <v>1902</v>
      </c>
      <c r="C206" s="567">
        <v>30000</v>
      </c>
      <c r="D206" s="87">
        <v>189.67</v>
      </c>
      <c r="E206" s="563">
        <v>30000</v>
      </c>
      <c r="F206" s="87">
        <f t="shared" si="3"/>
        <v>0</v>
      </c>
      <c r="G206" s="690"/>
      <c r="H206" s="693"/>
      <c r="I206" s="692"/>
      <c r="J206" s="692"/>
      <c r="K206" s="692"/>
      <c r="L206" s="692"/>
      <c r="M206" s="692"/>
      <c r="N206" s="692"/>
      <c r="O206" s="692"/>
      <c r="P206" s="692"/>
    </row>
    <row r="207" spans="1:16" s="694" customFormat="1" ht="15" customHeight="1" x14ac:dyDescent="0.25">
      <c r="A207" s="87" t="s">
        <v>1887</v>
      </c>
      <c r="B207" s="555" t="s">
        <v>1903</v>
      </c>
      <c r="C207" s="567">
        <v>28000</v>
      </c>
      <c r="D207" s="87">
        <v>345.42</v>
      </c>
      <c r="E207" s="563">
        <v>28000</v>
      </c>
      <c r="F207" s="87">
        <f t="shared" si="3"/>
        <v>0</v>
      </c>
      <c r="G207" s="690"/>
      <c r="H207" s="693"/>
      <c r="I207" s="692"/>
      <c r="J207" s="692"/>
      <c r="K207" s="692"/>
      <c r="L207" s="692"/>
      <c r="M207" s="692"/>
      <c r="N207" s="692"/>
      <c r="O207" s="692"/>
      <c r="P207" s="692"/>
    </row>
    <row r="208" spans="1:16" s="694" customFormat="1" ht="15" customHeight="1" x14ac:dyDescent="0.25">
      <c r="A208" s="87" t="s">
        <v>1887</v>
      </c>
      <c r="B208" s="555" t="s">
        <v>1904</v>
      </c>
      <c r="C208" s="567">
        <v>28000</v>
      </c>
      <c r="D208" s="87">
        <v>345.42</v>
      </c>
      <c r="E208" s="563">
        <v>28000</v>
      </c>
      <c r="F208" s="87">
        <f t="shared" si="3"/>
        <v>0</v>
      </c>
      <c r="G208" s="690"/>
      <c r="H208" s="693"/>
      <c r="I208" s="692"/>
      <c r="J208" s="692"/>
      <c r="K208" s="692"/>
      <c r="L208" s="692"/>
      <c r="M208" s="692"/>
      <c r="N208" s="692"/>
      <c r="O208" s="692"/>
      <c r="P208" s="692"/>
    </row>
    <row r="209" spans="1:16" s="694" customFormat="1" ht="15" customHeight="1" x14ac:dyDescent="0.25">
      <c r="A209" s="87" t="s">
        <v>1887</v>
      </c>
      <c r="B209" s="555" t="s">
        <v>1905</v>
      </c>
      <c r="C209" s="567">
        <v>30000</v>
      </c>
      <c r="D209" s="87">
        <v>278.22000000000003</v>
      </c>
      <c r="E209" s="563">
        <v>30000</v>
      </c>
      <c r="F209" s="87">
        <f t="shared" si="3"/>
        <v>0</v>
      </c>
      <c r="G209" s="690"/>
      <c r="H209" s="693"/>
      <c r="I209" s="692"/>
      <c r="J209" s="692"/>
      <c r="K209" s="692"/>
      <c r="L209" s="692"/>
      <c r="M209" s="692"/>
      <c r="N209" s="692"/>
      <c r="O209" s="692"/>
      <c r="P209" s="692"/>
    </row>
    <row r="210" spans="1:16" s="694" customFormat="1" ht="15" customHeight="1" x14ac:dyDescent="0.25">
      <c r="A210" s="87" t="s">
        <v>1887</v>
      </c>
      <c r="B210" s="555" t="s">
        <v>1906</v>
      </c>
      <c r="C210" s="567">
        <v>29000</v>
      </c>
      <c r="D210" s="87">
        <v>278.22000000000003</v>
      </c>
      <c r="E210" s="563">
        <v>29000</v>
      </c>
      <c r="F210" s="87">
        <f t="shared" si="3"/>
        <v>0</v>
      </c>
      <c r="G210" s="690"/>
      <c r="H210" s="693"/>
      <c r="I210" s="692"/>
      <c r="J210" s="692"/>
      <c r="K210" s="692"/>
      <c r="L210" s="692"/>
      <c r="M210" s="692"/>
      <c r="N210" s="692"/>
      <c r="O210" s="692"/>
      <c r="P210" s="692"/>
    </row>
    <row r="211" spans="1:16" s="694" customFormat="1" ht="15" customHeight="1" x14ac:dyDescent="0.25">
      <c r="A211" s="87" t="s">
        <v>1887</v>
      </c>
      <c r="B211" s="555" t="s">
        <v>1907</v>
      </c>
      <c r="C211" s="567">
        <v>20000</v>
      </c>
      <c r="D211" s="87">
        <v>265.94</v>
      </c>
      <c r="E211" s="563">
        <v>20000</v>
      </c>
      <c r="F211" s="87">
        <f t="shared" si="3"/>
        <v>0</v>
      </c>
      <c r="G211" s="690"/>
      <c r="H211" s="693"/>
      <c r="I211" s="692"/>
      <c r="J211" s="692"/>
      <c r="K211" s="692"/>
      <c r="L211" s="692"/>
      <c r="M211" s="692"/>
      <c r="N211" s="692"/>
      <c r="O211" s="692"/>
      <c r="P211" s="692"/>
    </row>
    <row r="212" spans="1:16" s="694" customFormat="1" ht="15" customHeight="1" x14ac:dyDescent="0.25">
      <c r="A212" s="87" t="s">
        <v>1887</v>
      </c>
      <c r="B212" s="555" t="s">
        <v>1908</v>
      </c>
      <c r="C212" s="567">
        <v>25000</v>
      </c>
      <c r="D212" s="87">
        <v>264.94</v>
      </c>
      <c r="E212" s="563">
        <v>25000</v>
      </c>
      <c r="F212" s="87">
        <f t="shared" si="3"/>
        <v>0</v>
      </c>
      <c r="G212" s="690"/>
      <c r="H212" s="693"/>
      <c r="I212" s="692"/>
      <c r="J212" s="692"/>
      <c r="K212" s="692"/>
      <c r="L212" s="692"/>
      <c r="M212" s="692"/>
      <c r="N212" s="692"/>
      <c r="O212" s="692"/>
      <c r="P212" s="692"/>
    </row>
    <row r="213" spans="1:16" s="694" customFormat="1" ht="15" customHeight="1" x14ac:dyDescent="0.25">
      <c r="A213" s="87" t="s">
        <v>1887</v>
      </c>
      <c r="B213" s="555" t="s">
        <v>1909</v>
      </c>
      <c r="C213" s="567">
        <v>22000</v>
      </c>
      <c r="D213" s="87">
        <v>264.94</v>
      </c>
      <c r="E213" s="563">
        <v>22000</v>
      </c>
      <c r="F213" s="87">
        <f t="shared" si="3"/>
        <v>0</v>
      </c>
      <c r="G213" s="690"/>
      <c r="H213" s="693"/>
      <c r="I213" s="692"/>
      <c r="J213" s="692"/>
      <c r="K213" s="692"/>
      <c r="L213" s="692"/>
      <c r="M213" s="692"/>
      <c r="N213" s="692"/>
      <c r="O213" s="692"/>
      <c r="P213" s="692"/>
    </row>
    <row r="214" spans="1:16" s="694" customFormat="1" ht="15" customHeight="1" x14ac:dyDescent="0.25">
      <c r="A214" s="87" t="s">
        <v>1887</v>
      </c>
      <c r="B214" s="555" t="s">
        <v>1910</v>
      </c>
      <c r="C214" s="567">
        <v>27000</v>
      </c>
      <c r="D214" s="87">
        <v>50.24</v>
      </c>
      <c r="E214" s="563">
        <v>27000</v>
      </c>
      <c r="F214" s="87">
        <f t="shared" si="3"/>
        <v>0</v>
      </c>
      <c r="G214" s="690"/>
      <c r="H214" s="693"/>
      <c r="I214" s="692"/>
      <c r="J214" s="692"/>
      <c r="K214" s="692"/>
      <c r="L214" s="692"/>
      <c r="M214" s="692"/>
      <c r="N214" s="692"/>
      <c r="O214" s="692"/>
      <c r="P214" s="692"/>
    </row>
    <row r="215" spans="1:16" s="694" customFormat="1" ht="15" customHeight="1" x14ac:dyDescent="0.25">
      <c r="A215" s="87" t="s">
        <v>1887</v>
      </c>
      <c r="B215" s="555" t="s">
        <v>1911</v>
      </c>
      <c r="C215" s="567">
        <v>27000</v>
      </c>
      <c r="D215" s="87">
        <v>55.47</v>
      </c>
      <c r="E215" s="563">
        <v>27000</v>
      </c>
      <c r="F215" s="87">
        <f t="shared" si="3"/>
        <v>0</v>
      </c>
      <c r="G215" s="690"/>
      <c r="H215" s="693"/>
      <c r="I215" s="692"/>
      <c r="J215" s="692"/>
      <c r="K215" s="692"/>
      <c r="L215" s="692"/>
      <c r="M215" s="692"/>
      <c r="N215" s="692"/>
      <c r="O215" s="692"/>
      <c r="P215" s="692"/>
    </row>
    <row r="216" spans="1:16" s="694" customFormat="1" ht="15" customHeight="1" x14ac:dyDescent="0.25">
      <c r="A216" s="87" t="s">
        <v>1912</v>
      </c>
      <c r="B216" s="555" t="s">
        <v>17</v>
      </c>
      <c r="C216" s="567">
        <v>2449</v>
      </c>
      <c r="D216" s="87">
        <v>256.87</v>
      </c>
      <c r="E216" s="563">
        <v>2449</v>
      </c>
      <c r="F216" s="87">
        <f t="shared" si="3"/>
        <v>0</v>
      </c>
      <c r="G216" s="690"/>
      <c r="H216" s="693"/>
      <c r="I216" s="692"/>
      <c r="J216" s="692"/>
      <c r="K216" s="692"/>
      <c r="L216" s="692"/>
      <c r="M216" s="692"/>
      <c r="N216" s="692"/>
      <c r="O216" s="692"/>
      <c r="P216" s="692"/>
    </row>
    <row r="217" spans="1:16" s="694" customFormat="1" ht="15" customHeight="1" x14ac:dyDescent="0.25">
      <c r="A217" s="87" t="s">
        <v>1912</v>
      </c>
      <c r="B217" s="555" t="s">
        <v>66</v>
      </c>
      <c r="C217" s="567">
        <v>210</v>
      </c>
      <c r="D217" s="87">
        <v>195.74</v>
      </c>
      <c r="E217" s="563">
        <v>210</v>
      </c>
      <c r="F217" s="87">
        <f t="shared" si="3"/>
        <v>0</v>
      </c>
      <c r="G217" s="690"/>
      <c r="H217" s="693"/>
      <c r="I217" s="692"/>
      <c r="J217" s="692"/>
      <c r="K217" s="692"/>
      <c r="L217" s="692"/>
      <c r="M217" s="692"/>
      <c r="N217" s="692"/>
      <c r="O217" s="692"/>
      <c r="P217" s="692"/>
    </row>
    <row r="218" spans="1:16" s="694" customFormat="1" ht="15" customHeight="1" x14ac:dyDescent="0.25">
      <c r="A218" s="87" t="s">
        <v>1912</v>
      </c>
      <c r="B218" s="555" t="s">
        <v>1913</v>
      </c>
      <c r="C218" s="567">
        <v>20000</v>
      </c>
      <c r="D218" s="87">
        <v>312.62</v>
      </c>
      <c r="E218" s="563">
        <v>20000</v>
      </c>
      <c r="F218" s="87">
        <f t="shared" si="3"/>
        <v>0</v>
      </c>
      <c r="G218" s="690"/>
      <c r="H218" s="693"/>
      <c r="I218" s="692"/>
      <c r="J218" s="692"/>
      <c r="K218" s="692"/>
      <c r="L218" s="692"/>
      <c r="M218" s="692"/>
      <c r="N218" s="692"/>
      <c r="O218" s="692"/>
      <c r="P218" s="692"/>
    </row>
    <row r="219" spans="1:16" s="694" customFormat="1" ht="15" customHeight="1" x14ac:dyDescent="0.25">
      <c r="A219" s="87" t="s">
        <v>1912</v>
      </c>
      <c r="B219" s="555" t="s">
        <v>1914</v>
      </c>
      <c r="C219" s="567">
        <v>20000</v>
      </c>
      <c r="D219" s="87">
        <v>323.41000000000003</v>
      </c>
      <c r="E219" s="563">
        <v>20000</v>
      </c>
      <c r="F219" s="87">
        <f t="shared" si="3"/>
        <v>0</v>
      </c>
      <c r="G219" s="690"/>
      <c r="H219" s="693"/>
      <c r="I219" s="692"/>
      <c r="J219" s="692"/>
      <c r="K219" s="692"/>
      <c r="L219" s="692"/>
      <c r="M219" s="692"/>
      <c r="N219" s="692"/>
      <c r="O219" s="692"/>
      <c r="P219" s="692"/>
    </row>
    <row r="220" spans="1:16" s="694" customFormat="1" ht="15" customHeight="1" x14ac:dyDescent="0.25">
      <c r="A220" s="87" t="s">
        <v>1912</v>
      </c>
      <c r="B220" s="555" t="s">
        <v>1728</v>
      </c>
      <c r="C220" s="567">
        <v>26000</v>
      </c>
      <c r="D220" s="87">
        <v>155.94</v>
      </c>
      <c r="E220" s="563">
        <v>26000</v>
      </c>
      <c r="F220" s="87">
        <f t="shared" si="3"/>
        <v>0</v>
      </c>
      <c r="G220" s="690"/>
      <c r="H220" s="693"/>
      <c r="I220" s="692"/>
      <c r="J220" s="692"/>
      <c r="K220" s="692"/>
      <c r="L220" s="692"/>
      <c r="M220" s="692"/>
      <c r="N220" s="692"/>
      <c r="O220" s="692"/>
      <c r="P220" s="692"/>
    </row>
    <row r="221" spans="1:16" s="694" customFormat="1" ht="15" customHeight="1" x14ac:dyDescent="0.25">
      <c r="A221" s="87" t="s">
        <v>1912</v>
      </c>
      <c r="B221" s="555" t="s">
        <v>1915</v>
      </c>
      <c r="C221" s="567">
        <v>10000</v>
      </c>
      <c r="D221" s="87">
        <v>233.61</v>
      </c>
      <c r="E221" s="563">
        <v>10000</v>
      </c>
      <c r="F221" s="87">
        <f t="shared" si="3"/>
        <v>0</v>
      </c>
      <c r="G221" s="690"/>
      <c r="H221" s="693"/>
      <c r="I221" s="692"/>
      <c r="J221" s="692"/>
      <c r="K221" s="692"/>
      <c r="L221" s="692"/>
      <c r="M221" s="692"/>
      <c r="N221" s="692"/>
      <c r="O221" s="692"/>
      <c r="P221" s="692"/>
    </row>
    <row r="222" spans="1:16" s="694" customFormat="1" ht="15" customHeight="1" x14ac:dyDescent="0.25">
      <c r="A222" s="87" t="s">
        <v>1912</v>
      </c>
      <c r="B222" s="555" t="s">
        <v>1916</v>
      </c>
      <c r="C222" s="567">
        <v>10000</v>
      </c>
      <c r="D222" s="87">
        <v>233.61</v>
      </c>
      <c r="E222" s="563">
        <v>10000</v>
      </c>
      <c r="F222" s="87">
        <f t="shared" si="3"/>
        <v>0</v>
      </c>
      <c r="G222" s="690"/>
      <c r="H222" s="693"/>
      <c r="I222" s="692"/>
      <c r="J222" s="692"/>
      <c r="K222" s="692"/>
      <c r="L222" s="692"/>
      <c r="M222" s="692"/>
      <c r="N222" s="692"/>
      <c r="O222" s="692"/>
      <c r="P222" s="692"/>
    </row>
    <row r="223" spans="1:16" s="694" customFormat="1" ht="15" customHeight="1" x14ac:dyDescent="0.25">
      <c r="A223" s="87" t="s">
        <v>1912</v>
      </c>
      <c r="B223" s="555" t="s">
        <v>1917</v>
      </c>
      <c r="C223" s="567">
        <v>30000</v>
      </c>
      <c r="D223" s="87">
        <v>233.61</v>
      </c>
      <c r="E223" s="563">
        <v>30000</v>
      </c>
      <c r="F223" s="87">
        <f t="shared" si="3"/>
        <v>0</v>
      </c>
      <c r="G223" s="690"/>
      <c r="H223" s="693"/>
      <c r="I223" s="692"/>
      <c r="J223" s="692"/>
      <c r="K223" s="692"/>
      <c r="L223" s="692"/>
      <c r="M223" s="692"/>
      <c r="N223" s="692"/>
      <c r="O223" s="692"/>
      <c r="P223" s="692"/>
    </row>
    <row r="224" spans="1:16" s="694" customFormat="1" ht="15" customHeight="1" x14ac:dyDescent="0.25">
      <c r="A224" s="87" t="s">
        <v>1912</v>
      </c>
      <c r="B224" s="555" t="s">
        <v>1918</v>
      </c>
      <c r="C224" s="567">
        <v>18000</v>
      </c>
      <c r="D224" s="87">
        <v>222.67</v>
      </c>
      <c r="E224" s="563">
        <v>18000</v>
      </c>
      <c r="F224" s="87">
        <f t="shared" si="3"/>
        <v>0</v>
      </c>
      <c r="G224" s="690"/>
      <c r="H224" s="693"/>
      <c r="I224" s="692"/>
      <c r="J224" s="692"/>
      <c r="K224" s="692"/>
      <c r="L224" s="692"/>
      <c r="M224" s="692"/>
      <c r="N224" s="692"/>
      <c r="O224" s="692"/>
      <c r="P224" s="692"/>
    </row>
    <row r="225" spans="1:16" s="694" customFormat="1" ht="15" customHeight="1" x14ac:dyDescent="0.25">
      <c r="A225" s="87" t="s">
        <v>1912</v>
      </c>
      <c r="B225" s="555" t="s">
        <v>1919</v>
      </c>
      <c r="C225" s="567">
        <v>24000</v>
      </c>
      <c r="D225" s="87">
        <v>178.22</v>
      </c>
      <c r="E225" s="563">
        <v>24000</v>
      </c>
      <c r="F225" s="87">
        <f t="shared" si="3"/>
        <v>0</v>
      </c>
      <c r="G225" s="690"/>
      <c r="H225" s="693"/>
      <c r="I225" s="692"/>
      <c r="J225" s="692"/>
      <c r="K225" s="692"/>
      <c r="L225" s="692"/>
      <c r="M225" s="692"/>
      <c r="N225" s="692"/>
      <c r="O225" s="692"/>
      <c r="P225" s="692"/>
    </row>
    <row r="226" spans="1:16" s="694" customFormat="1" ht="15" customHeight="1" x14ac:dyDescent="0.25">
      <c r="A226" s="87" t="s">
        <v>1912</v>
      </c>
      <c r="B226" s="555" t="s">
        <v>1920</v>
      </c>
      <c r="C226" s="567">
        <v>18000</v>
      </c>
      <c r="D226" s="87">
        <v>178.22</v>
      </c>
      <c r="E226" s="563">
        <v>18000</v>
      </c>
      <c r="F226" s="87">
        <f t="shared" si="3"/>
        <v>0</v>
      </c>
      <c r="G226" s="690"/>
      <c r="H226" s="693"/>
      <c r="I226" s="692"/>
      <c r="J226" s="692"/>
      <c r="K226" s="692"/>
      <c r="L226" s="692"/>
      <c r="M226" s="692"/>
      <c r="N226" s="692"/>
      <c r="O226" s="692"/>
      <c r="P226" s="692"/>
    </row>
    <row r="227" spans="1:16" s="694" customFormat="1" ht="15" customHeight="1" x14ac:dyDescent="0.25">
      <c r="A227" s="87" t="s">
        <v>1912</v>
      </c>
      <c r="B227" s="555" t="s">
        <v>1921</v>
      </c>
      <c r="C227" s="567">
        <v>27000</v>
      </c>
      <c r="D227" s="87">
        <v>278.45</v>
      </c>
      <c r="E227" s="563">
        <v>27000</v>
      </c>
      <c r="F227" s="87">
        <f t="shared" si="3"/>
        <v>0</v>
      </c>
      <c r="G227" s="690"/>
      <c r="H227" s="693"/>
      <c r="I227" s="692"/>
      <c r="J227" s="692"/>
      <c r="K227" s="692"/>
      <c r="L227" s="692"/>
      <c r="M227" s="692"/>
      <c r="N227" s="692"/>
      <c r="O227" s="692"/>
      <c r="P227" s="692"/>
    </row>
    <row r="228" spans="1:16" s="694" customFormat="1" ht="15" customHeight="1" x14ac:dyDescent="0.25">
      <c r="A228" s="87" t="s">
        <v>1912</v>
      </c>
      <c r="B228" s="555" t="s">
        <v>1722</v>
      </c>
      <c r="C228" s="567">
        <v>10000</v>
      </c>
      <c r="D228" s="87">
        <v>233.61</v>
      </c>
      <c r="E228" s="563">
        <v>10000</v>
      </c>
      <c r="F228" s="87">
        <f t="shared" si="3"/>
        <v>0</v>
      </c>
      <c r="G228" s="690"/>
      <c r="H228" s="693"/>
      <c r="I228" s="692"/>
      <c r="J228" s="692"/>
      <c r="K228" s="692"/>
      <c r="L228" s="692"/>
      <c r="M228" s="692"/>
      <c r="N228" s="692"/>
      <c r="O228" s="692"/>
      <c r="P228" s="692"/>
    </row>
    <row r="229" spans="1:16" s="694" customFormat="1" ht="15" customHeight="1" x14ac:dyDescent="0.25">
      <c r="A229" s="87" t="s">
        <v>1912</v>
      </c>
      <c r="B229" s="555" t="s">
        <v>1922</v>
      </c>
      <c r="C229" s="567">
        <v>12000</v>
      </c>
      <c r="D229" s="87">
        <v>167.15</v>
      </c>
      <c r="E229" s="563">
        <v>12000</v>
      </c>
      <c r="F229" s="87">
        <f t="shared" si="3"/>
        <v>0</v>
      </c>
      <c r="G229" s="690"/>
      <c r="H229" s="693"/>
      <c r="I229" s="692"/>
      <c r="J229" s="692"/>
      <c r="K229" s="692"/>
      <c r="L229" s="692"/>
      <c r="M229" s="692"/>
      <c r="N229" s="692"/>
      <c r="O229" s="692"/>
      <c r="P229" s="692"/>
    </row>
    <row r="230" spans="1:16" s="694" customFormat="1" ht="15" customHeight="1" x14ac:dyDescent="0.25">
      <c r="A230" s="87" t="s">
        <v>1912</v>
      </c>
      <c r="B230" s="555" t="s">
        <v>30</v>
      </c>
      <c r="C230" s="567">
        <v>7000</v>
      </c>
      <c r="D230" s="87">
        <v>233.84</v>
      </c>
      <c r="E230" s="563">
        <v>7000</v>
      </c>
      <c r="F230" s="87">
        <f t="shared" si="3"/>
        <v>0</v>
      </c>
      <c r="G230" s="690"/>
      <c r="H230" s="693"/>
      <c r="I230" s="692"/>
      <c r="J230" s="692"/>
      <c r="K230" s="692"/>
      <c r="L230" s="692"/>
      <c r="M230" s="692"/>
      <c r="N230" s="692"/>
      <c r="O230" s="692"/>
      <c r="P230" s="692"/>
    </row>
    <row r="231" spans="1:16" s="694" customFormat="1" ht="15" customHeight="1" x14ac:dyDescent="0.25">
      <c r="A231" s="87" t="s">
        <v>1912</v>
      </c>
      <c r="B231" s="555" t="s">
        <v>1923</v>
      </c>
      <c r="C231" s="567">
        <v>20000</v>
      </c>
      <c r="D231" s="87">
        <v>323.75</v>
      </c>
      <c r="E231" s="563">
        <v>20000</v>
      </c>
      <c r="F231" s="87">
        <f t="shared" si="3"/>
        <v>0</v>
      </c>
      <c r="G231" s="690"/>
      <c r="H231" s="693"/>
      <c r="I231" s="692"/>
      <c r="J231" s="692"/>
      <c r="K231" s="692"/>
      <c r="L231" s="692"/>
      <c r="M231" s="692"/>
      <c r="N231" s="692"/>
      <c r="O231" s="692"/>
      <c r="P231" s="692"/>
    </row>
    <row r="232" spans="1:16" s="694" customFormat="1" ht="15" customHeight="1" x14ac:dyDescent="0.25">
      <c r="A232" s="87" t="s">
        <v>1912</v>
      </c>
      <c r="B232" s="555" t="s">
        <v>1924</v>
      </c>
      <c r="C232" s="567">
        <v>16000</v>
      </c>
      <c r="D232" s="87">
        <v>222.65</v>
      </c>
      <c r="E232" s="563">
        <v>16000</v>
      </c>
      <c r="F232" s="87">
        <f t="shared" si="3"/>
        <v>0</v>
      </c>
      <c r="G232" s="690"/>
      <c r="H232" s="693"/>
      <c r="I232" s="692"/>
      <c r="J232" s="692"/>
      <c r="K232" s="692"/>
      <c r="L232" s="692"/>
      <c r="M232" s="692"/>
      <c r="N232" s="692"/>
      <c r="O232" s="692"/>
      <c r="P232" s="692"/>
    </row>
    <row r="233" spans="1:16" s="694" customFormat="1" ht="15" customHeight="1" x14ac:dyDescent="0.25">
      <c r="A233" s="87" t="s">
        <v>1912</v>
      </c>
      <c r="B233" s="555" t="s">
        <v>1925</v>
      </c>
      <c r="C233" s="567">
        <v>18000</v>
      </c>
      <c r="D233" s="87">
        <v>167.15</v>
      </c>
      <c r="E233" s="563">
        <v>18000</v>
      </c>
      <c r="F233" s="87">
        <f t="shared" si="3"/>
        <v>0</v>
      </c>
      <c r="G233" s="690"/>
      <c r="H233" s="693"/>
      <c r="I233" s="692"/>
      <c r="J233" s="692"/>
      <c r="K233" s="692"/>
      <c r="L233" s="692"/>
      <c r="M233" s="692"/>
      <c r="N233" s="692"/>
      <c r="O233" s="692"/>
      <c r="P233" s="692"/>
    </row>
    <row r="234" spans="1:16" s="694" customFormat="1" ht="15" customHeight="1" x14ac:dyDescent="0.25">
      <c r="A234" s="87" t="s">
        <v>1912</v>
      </c>
      <c r="B234" s="555" t="s">
        <v>1926</v>
      </c>
      <c r="C234" s="567">
        <v>19000</v>
      </c>
      <c r="D234" s="87">
        <v>222.65</v>
      </c>
      <c r="E234" s="563">
        <v>19000</v>
      </c>
      <c r="F234" s="87">
        <f t="shared" si="3"/>
        <v>0</v>
      </c>
      <c r="G234" s="690"/>
      <c r="H234" s="693"/>
      <c r="I234" s="692"/>
      <c r="J234" s="692"/>
      <c r="K234" s="692"/>
      <c r="L234" s="692"/>
      <c r="M234" s="692"/>
      <c r="N234" s="692"/>
      <c r="O234" s="692"/>
      <c r="P234" s="692"/>
    </row>
    <row r="235" spans="1:16" s="694" customFormat="1" ht="15" customHeight="1" x14ac:dyDescent="0.25">
      <c r="A235" s="87" t="s">
        <v>1912</v>
      </c>
      <c r="B235" s="555" t="s">
        <v>1927</v>
      </c>
      <c r="C235" s="567">
        <v>26000</v>
      </c>
      <c r="D235" s="87">
        <v>167.15</v>
      </c>
      <c r="E235" s="563">
        <v>26000</v>
      </c>
      <c r="F235" s="87">
        <f t="shared" si="3"/>
        <v>0</v>
      </c>
      <c r="G235" s="690"/>
      <c r="H235" s="693"/>
      <c r="I235" s="692"/>
      <c r="J235" s="692"/>
      <c r="K235" s="692"/>
      <c r="L235" s="692"/>
      <c r="M235" s="692"/>
      <c r="N235" s="692"/>
      <c r="O235" s="692"/>
      <c r="P235" s="692"/>
    </row>
    <row r="236" spans="1:16" s="694" customFormat="1" ht="15" customHeight="1" x14ac:dyDescent="0.25">
      <c r="A236" s="87" t="s">
        <v>1912</v>
      </c>
      <c r="B236" s="555" t="s">
        <v>1928</v>
      </c>
      <c r="C236" s="567">
        <v>22598</v>
      </c>
      <c r="D236" s="87">
        <v>167.15</v>
      </c>
      <c r="E236" s="563">
        <v>22598</v>
      </c>
      <c r="F236" s="87">
        <f t="shared" si="3"/>
        <v>0</v>
      </c>
      <c r="G236" s="690"/>
      <c r="H236" s="693"/>
      <c r="I236" s="692"/>
      <c r="J236" s="692"/>
      <c r="K236" s="692"/>
      <c r="L236" s="692"/>
      <c r="M236" s="692"/>
      <c r="N236" s="692"/>
      <c r="O236" s="692"/>
      <c r="P236" s="692"/>
    </row>
    <row r="237" spans="1:16" s="694" customFormat="1" ht="15" customHeight="1" x14ac:dyDescent="0.25">
      <c r="A237" s="87" t="s">
        <v>1912</v>
      </c>
      <c r="B237" s="555" t="s">
        <v>1929</v>
      </c>
      <c r="C237" s="567">
        <v>27000</v>
      </c>
      <c r="D237" s="87">
        <v>294.92</v>
      </c>
      <c r="E237" s="563">
        <v>27000</v>
      </c>
      <c r="F237" s="87">
        <f t="shared" si="3"/>
        <v>0</v>
      </c>
      <c r="G237" s="690"/>
      <c r="H237" s="693"/>
      <c r="I237" s="692"/>
      <c r="J237" s="692"/>
      <c r="K237" s="692"/>
      <c r="L237" s="692"/>
      <c r="M237" s="692"/>
      <c r="N237" s="692"/>
      <c r="O237" s="692"/>
      <c r="P237" s="692"/>
    </row>
    <row r="238" spans="1:16" s="694" customFormat="1" ht="15" customHeight="1" x14ac:dyDescent="0.25">
      <c r="A238" s="87" t="s">
        <v>1912</v>
      </c>
      <c r="B238" s="555" t="s">
        <v>1930</v>
      </c>
      <c r="C238" s="567">
        <v>18000</v>
      </c>
      <c r="D238" s="87">
        <v>278.33999999999997</v>
      </c>
      <c r="E238" s="563">
        <v>18000</v>
      </c>
      <c r="F238" s="87">
        <f t="shared" si="3"/>
        <v>0</v>
      </c>
      <c r="G238" s="690"/>
      <c r="H238" s="693"/>
      <c r="I238" s="692"/>
      <c r="J238" s="692"/>
      <c r="K238" s="692"/>
      <c r="L238" s="692"/>
      <c r="M238" s="692"/>
      <c r="N238" s="692"/>
      <c r="O238" s="692"/>
      <c r="P238" s="692"/>
    </row>
    <row r="239" spans="1:16" s="694" customFormat="1" ht="15" customHeight="1" x14ac:dyDescent="0.25">
      <c r="A239" s="87" t="s">
        <v>1912</v>
      </c>
      <c r="B239" s="555" t="s">
        <v>1931</v>
      </c>
      <c r="C239" s="567">
        <v>28000</v>
      </c>
      <c r="D239" s="87">
        <v>242.57</v>
      </c>
      <c r="E239" s="563">
        <v>28000</v>
      </c>
      <c r="F239" s="87">
        <f t="shared" si="3"/>
        <v>0</v>
      </c>
      <c r="G239" s="690"/>
      <c r="H239" s="693"/>
      <c r="I239" s="692"/>
      <c r="J239" s="692"/>
      <c r="K239" s="692"/>
      <c r="L239" s="692"/>
      <c r="M239" s="692"/>
      <c r="N239" s="692"/>
      <c r="O239" s="692"/>
      <c r="P239" s="692"/>
    </row>
    <row r="240" spans="1:16" s="694" customFormat="1" ht="15" customHeight="1" x14ac:dyDescent="0.25">
      <c r="A240" s="87" t="s">
        <v>1912</v>
      </c>
      <c r="B240" s="555" t="s">
        <v>1932</v>
      </c>
      <c r="C240" s="567">
        <v>32000</v>
      </c>
      <c r="D240" s="87">
        <v>233.61</v>
      </c>
      <c r="E240" s="563">
        <v>32000</v>
      </c>
      <c r="F240" s="87">
        <f t="shared" si="3"/>
        <v>0</v>
      </c>
      <c r="G240" s="690"/>
      <c r="H240" s="693"/>
      <c r="I240" s="692"/>
      <c r="J240" s="692"/>
      <c r="K240" s="692"/>
      <c r="L240" s="692"/>
      <c r="M240" s="692"/>
      <c r="N240" s="692"/>
      <c r="O240" s="692"/>
      <c r="P240" s="692"/>
    </row>
    <row r="241" spans="1:16" s="694" customFormat="1" ht="15" customHeight="1" x14ac:dyDescent="0.25">
      <c r="A241" s="87" t="s">
        <v>1912</v>
      </c>
      <c r="B241" s="555" t="s">
        <v>1933</v>
      </c>
      <c r="C241" s="567">
        <v>27000</v>
      </c>
      <c r="D241" s="87">
        <v>256.52</v>
      </c>
      <c r="E241" s="563">
        <v>27000</v>
      </c>
      <c r="F241" s="87">
        <f t="shared" si="3"/>
        <v>0</v>
      </c>
      <c r="G241" s="690"/>
      <c r="H241" s="693"/>
      <c r="I241" s="692"/>
      <c r="J241" s="692"/>
      <c r="K241" s="692"/>
      <c r="L241" s="692"/>
      <c r="M241" s="692"/>
      <c r="N241" s="692"/>
      <c r="O241" s="692"/>
      <c r="P241" s="692"/>
    </row>
    <row r="242" spans="1:16" s="694" customFormat="1" ht="15" customHeight="1" x14ac:dyDescent="0.25">
      <c r="A242" s="87" t="s">
        <v>1912</v>
      </c>
      <c r="B242" s="555" t="s">
        <v>1934</v>
      </c>
      <c r="C242" s="567">
        <v>21000</v>
      </c>
      <c r="D242" s="87">
        <v>365.35</v>
      </c>
      <c r="E242" s="563">
        <v>21000</v>
      </c>
      <c r="F242" s="87">
        <f t="shared" si="3"/>
        <v>0</v>
      </c>
      <c r="G242" s="690"/>
      <c r="H242" s="693"/>
      <c r="I242" s="692"/>
      <c r="J242" s="692"/>
      <c r="K242" s="692"/>
      <c r="L242" s="692"/>
      <c r="M242" s="692"/>
      <c r="N242" s="692"/>
      <c r="O242" s="692"/>
      <c r="P242" s="692"/>
    </row>
    <row r="243" spans="1:16" s="694" customFormat="1" ht="15" customHeight="1" x14ac:dyDescent="0.25">
      <c r="A243" s="87" t="s">
        <v>1912</v>
      </c>
      <c r="B243" s="555" t="s">
        <v>1935</v>
      </c>
      <c r="C243" s="567">
        <v>27000</v>
      </c>
      <c r="D243" s="87">
        <v>187.21</v>
      </c>
      <c r="E243" s="563">
        <v>27000</v>
      </c>
      <c r="F243" s="87">
        <f t="shared" si="3"/>
        <v>0</v>
      </c>
      <c r="G243" s="690"/>
      <c r="H243" s="693"/>
      <c r="I243" s="692"/>
      <c r="J243" s="692"/>
      <c r="K243" s="692"/>
      <c r="L243" s="692"/>
      <c r="M243" s="692"/>
      <c r="N243" s="692"/>
      <c r="O243" s="692"/>
      <c r="P243" s="692"/>
    </row>
    <row r="244" spans="1:16" s="694" customFormat="1" ht="15" customHeight="1" x14ac:dyDescent="0.25">
      <c r="A244" s="87" t="s">
        <v>1912</v>
      </c>
      <c r="B244" s="555" t="s">
        <v>1936</v>
      </c>
      <c r="C244" s="567">
        <v>19000</v>
      </c>
      <c r="D244" s="87">
        <v>187.21</v>
      </c>
      <c r="E244" s="563">
        <v>19000</v>
      </c>
      <c r="F244" s="87">
        <f t="shared" si="3"/>
        <v>0</v>
      </c>
      <c r="G244" s="690"/>
      <c r="H244" s="693"/>
      <c r="I244" s="692"/>
      <c r="J244" s="692"/>
      <c r="K244" s="692"/>
      <c r="L244" s="692"/>
      <c r="M244" s="692"/>
      <c r="N244" s="692"/>
      <c r="O244" s="692"/>
      <c r="P244" s="692"/>
    </row>
    <row r="245" spans="1:16" s="694" customFormat="1" ht="15" customHeight="1" x14ac:dyDescent="0.25">
      <c r="A245" s="87" t="s">
        <v>1912</v>
      </c>
      <c r="B245" s="555" t="s">
        <v>1937</v>
      </c>
      <c r="C245" s="567">
        <v>32000</v>
      </c>
      <c r="D245" s="87">
        <v>233.61</v>
      </c>
      <c r="E245" s="563">
        <v>32000</v>
      </c>
      <c r="F245" s="87">
        <f t="shared" si="3"/>
        <v>0</v>
      </c>
      <c r="G245" s="690"/>
      <c r="H245" s="693"/>
      <c r="I245" s="692"/>
      <c r="J245" s="692"/>
      <c r="K245" s="692"/>
      <c r="L245" s="692"/>
      <c r="M245" s="692"/>
      <c r="N245" s="692"/>
      <c r="O245" s="692"/>
      <c r="P245" s="692"/>
    </row>
    <row r="246" spans="1:16" s="694" customFormat="1" ht="15" customHeight="1" x14ac:dyDescent="0.25">
      <c r="A246" s="87" t="s">
        <v>1912</v>
      </c>
      <c r="B246" s="555" t="s">
        <v>1938</v>
      </c>
      <c r="C246" s="567">
        <v>20000</v>
      </c>
      <c r="D246" s="87">
        <v>200.37</v>
      </c>
      <c r="E246" s="563">
        <v>20000</v>
      </c>
      <c r="F246" s="87">
        <f t="shared" si="3"/>
        <v>0</v>
      </c>
      <c r="G246" s="690"/>
      <c r="H246" s="693"/>
      <c r="I246" s="692"/>
      <c r="J246" s="692"/>
      <c r="K246" s="692"/>
      <c r="L246" s="692"/>
      <c r="M246" s="692"/>
      <c r="N246" s="692"/>
      <c r="O246" s="692"/>
      <c r="P246" s="692"/>
    </row>
    <row r="247" spans="1:16" s="694" customFormat="1" ht="15" customHeight="1" x14ac:dyDescent="0.25">
      <c r="A247" s="87" t="s">
        <v>1912</v>
      </c>
      <c r="B247" s="555" t="s">
        <v>1939</v>
      </c>
      <c r="C247" s="567">
        <v>19000</v>
      </c>
      <c r="D247" s="87">
        <v>297.85000000000002</v>
      </c>
      <c r="E247" s="563">
        <v>19000</v>
      </c>
      <c r="F247" s="87">
        <f t="shared" si="3"/>
        <v>0</v>
      </c>
      <c r="G247" s="690"/>
      <c r="H247" s="693"/>
      <c r="I247" s="692"/>
      <c r="J247" s="692"/>
      <c r="K247" s="692"/>
      <c r="L247" s="692"/>
      <c r="M247" s="692"/>
      <c r="N247" s="692"/>
      <c r="O247" s="692"/>
      <c r="P247" s="692"/>
    </row>
    <row r="248" spans="1:16" s="694" customFormat="1" ht="15" customHeight="1" x14ac:dyDescent="0.25">
      <c r="A248" s="696" t="s">
        <v>1940</v>
      </c>
      <c r="B248" s="696" t="s">
        <v>1941</v>
      </c>
      <c r="C248" s="714">
        <v>10000</v>
      </c>
      <c r="D248" s="87">
        <v>222.65</v>
      </c>
      <c r="E248" s="696">
        <v>10000</v>
      </c>
      <c r="F248" s="87">
        <f t="shared" si="3"/>
        <v>0</v>
      </c>
      <c r="G248" s="690"/>
      <c r="H248" s="693"/>
      <c r="I248" s="692"/>
      <c r="J248" s="692"/>
      <c r="K248" s="692"/>
      <c r="L248" s="692"/>
      <c r="M248" s="692"/>
      <c r="N248" s="692"/>
      <c r="O248" s="692"/>
      <c r="P248" s="692"/>
    </row>
    <row r="249" spans="1:16" s="694" customFormat="1" ht="15" customHeight="1" x14ac:dyDescent="0.25">
      <c r="A249" s="696" t="s">
        <v>1942</v>
      </c>
      <c r="B249" s="696" t="s">
        <v>30</v>
      </c>
      <c r="C249" s="714">
        <v>35000</v>
      </c>
      <c r="D249" s="87">
        <v>167.15</v>
      </c>
      <c r="E249" s="696">
        <v>35000</v>
      </c>
      <c r="F249" s="87">
        <f t="shared" si="3"/>
        <v>0</v>
      </c>
      <c r="G249" s="690"/>
      <c r="H249" s="693"/>
      <c r="I249" s="692"/>
      <c r="J249" s="692"/>
      <c r="K249" s="692"/>
      <c r="L249" s="692"/>
      <c r="M249" s="692"/>
      <c r="N249" s="692"/>
      <c r="O249" s="692"/>
      <c r="P249" s="692"/>
    </row>
    <row r="250" spans="1:16" s="694" customFormat="1" ht="15" customHeight="1" x14ac:dyDescent="0.25">
      <c r="A250" s="696" t="s">
        <v>1943</v>
      </c>
      <c r="B250" s="696" t="s">
        <v>1841</v>
      </c>
      <c r="C250" s="714">
        <v>20000</v>
      </c>
      <c r="D250" s="87">
        <v>233.61</v>
      </c>
      <c r="E250" s="696">
        <v>20000</v>
      </c>
      <c r="F250" s="87">
        <f t="shared" si="3"/>
        <v>0</v>
      </c>
      <c r="G250" s="690"/>
      <c r="H250" s="693"/>
      <c r="I250" s="692"/>
      <c r="J250" s="692"/>
      <c r="K250" s="692"/>
      <c r="L250" s="692"/>
      <c r="M250" s="692"/>
      <c r="N250" s="692"/>
      <c r="O250" s="692"/>
      <c r="P250" s="692"/>
    </row>
    <row r="251" spans="1:16" s="694" customFormat="1" ht="15" customHeight="1" x14ac:dyDescent="0.25">
      <c r="A251" s="696" t="s">
        <v>1940</v>
      </c>
      <c r="B251" s="696" t="s">
        <v>1944</v>
      </c>
      <c r="C251" s="714">
        <v>26000</v>
      </c>
      <c r="D251" s="87">
        <v>278.22000000000003</v>
      </c>
      <c r="E251" s="696">
        <v>26000</v>
      </c>
      <c r="F251" s="87">
        <f t="shared" si="3"/>
        <v>0</v>
      </c>
      <c r="G251" s="690"/>
      <c r="H251" s="693"/>
      <c r="I251" s="692"/>
      <c r="J251" s="692"/>
      <c r="K251" s="692"/>
      <c r="L251" s="692"/>
      <c r="M251" s="692"/>
      <c r="N251" s="692"/>
      <c r="O251" s="692"/>
      <c r="P251" s="692"/>
    </row>
    <row r="252" spans="1:16" s="694" customFormat="1" ht="15" customHeight="1" x14ac:dyDescent="0.25">
      <c r="A252" s="696" t="s">
        <v>1940</v>
      </c>
      <c r="B252" s="696" t="s">
        <v>1945</v>
      </c>
      <c r="C252" s="714">
        <v>23000</v>
      </c>
      <c r="D252" s="87">
        <v>278.22000000000003</v>
      </c>
      <c r="E252" s="696">
        <v>23000</v>
      </c>
      <c r="F252" s="87">
        <f t="shared" si="3"/>
        <v>0</v>
      </c>
      <c r="G252" s="690"/>
      <c r="H252" s="693"/>
      <c r="I252" s="692"/>
      <c r="J252" s="692"/>
      <c r="K252" s="692"/>
      <c r="L252" s="692"/>
      <c r="M252" s="692"/>
      <c r="N252" s="692"/>
      <c r="O252" s="692"/>
      <c r="P252" s="692"/>
    </row>
    <row r="253" spans="1:16" s="694" customFormat="1" ht="15" customHeight="1" x14ac:dyDescent="0.25">
      <c r="A253" s="696" t="s">
        <v>1940</v>
      </c>
      <c r="B253" s="696" t="s">
        <v>1946</v>
      </c>
      <c r="C253" s="714">
        <v>23000</v>
      </c>
      <c r="D253" s="87">
        <v>278.22000000000003</v>
      </c>
      <c r="E253" s="696">
        <v>23000</v>
      </c>
      <c r="F253" s="87">
        <f t="shared" si="3"/>
        <v>0</v>
      </c>
      <c r="G253" s="690"/>
      <c r="H253" s="693"/>
      <c r="I253" s="692"/>
      <c r="J253" s="692"/>
      <c r="K253" s="692"/>
      <c r="L253" s="692"/>
      <c r="M253" s="692"/>
      <c r="N253" s="692"/>
      <c r="O253" s="692"/>
      <c r="P253" s="692"/>
    </row>
    <row r="254" spans="1:16" s="694" customFormat="1" ht="15" customHeight="1" x14ac:dyDescent="0.25">
      <c r="A254" s="696" t="s">
        <v>1940</v>
      </c>
      <c r="B254" s="696" t="s">
        <v>1947</v>
      </c>
      <c r="C254" s="714">
        <v>27000</v>
      </c>
      <c r="D254" s="573">
        <v>292.47000000000003</v>
      </c>
      <c r="E254" s="696">
        <v>27000</v>
      </c>
      <c r="F254" s="87">
        <f t="shared" si="3"/>
        <v>0</v>
      </c>
      <c r="G254" s="690"/>
      <c r="H254" s="693"/>
      <c r="I254" s="692"/>
      <c r="J254" s="692"/>
      <c r="K254" s="692"/>
      <c r="L254" s="692"/>
      <c r="M254" s="692"/>
      <c r="N254" s="692"/>
      <c r="O254" s="692"/>
      <c r="P254" s="692"/>
    </row>
    <row r="255" spans="1:16" s="694" customFormat="1" ht="15" customHeight="1" x14ac:dyDescent="0.25">
      <c r="A255" s="696" t="s">
        <v>1940</v>
      </c>
      <c r="B255" s="696" t="s">
        <v>1948</v>
      </c>
      <c r="C255" s="714">
        <v>27000</v>
      </c>
      <c r="D255" s="573">
        <v>292.47000000000003</v>
      </c>
      <c r="E255" s="696">
        <v>27000</v>
      </c>
      <c r="F255" s="87">
        <f t="shared" si="3"/>
        <v>0</v>
      </c>
      <c r="G255" s="690"/>
      <c r="H255" s="693"/>
      <c r="I255" s="692"/>
      <c r="J255" s="692"/>
      <c r="K255" s="692"/>
      <c r="L255" s="692"/>
      <c r="M255" s="692"/>
      <c r="N255" s="692"/>
      <c r="O255" s="692"/>
      <c r="P255" s="692"/>
    </row>
    <row r="256" spans="1:16" s="694" customFormat="1" ht="15" customHeight="1" x14ac:dyDescent="0.25">
      <c r="A256" s="696" t="s">
        <v>1940</v>
      </c>
      <c r="B256" s="696" t="s">
        <v>1898</v>
      </c>
      <c r="C256" s="714">
        <v>10000</v>
      </c>
      <c r="D256" s="573">
        <v>111.41</v>
      </c>
      <c r="E256" s="696">
        <v>10000</v>
      </c>
      <c r="F256" s="87">
        <f t="shared" si="3"/>
        <v>0</v>
      </c>
      <c r="G256" s="690"/>
      <c r="H256" s="693"/>
      <c r="I256" s="692"/>
      <c r="J256" s="692"/>
      <c r="K256" s="692"/>
      <c r="L256" s="692"/>
      <c r="M256" s="692"/>
      <c r="N256" s="692"/>
      <c r="O256" s="692"/>
      <c r="P256" s="692"/>
    </row>
    <row r="257" spans="1:16" s="694" customFormat="1" ht="15" customHeight="1" x14ac:dyDescent="0.25">
      <c r="A257" s="696" t="s">
        <v>1940</v>
      </c>
      <c r="B257" s="696" t="s">
        <v>1949</v>
      </c>
      <c r="C257" s="714">
        <v>10000</v>
      </c>
      <c r="D257" s="573">
        <v>111.41</v>
      </c>
      <c r="E257" s="696">
        <v>10000</v>
      </c>
      <c r="F257" s="87">
        <f t="shared" si="3"/>
        <v>0</v>
      </c>
      <c r="G257" s="690"/>
      <c r="H257" s="693"/>
      <c r="I257" s="692"/>
      <c r="J257" s="692"/>
      <c r="K257" s="692"/>
      <c r="L257" s="692"/>
      <c r="M257" s="692"/>
      <c r="N257" s="692"/>
      <c r="O257" s="692"/>
      <c r="P257" s="692"/>
    </row>
    <row r="258" spans="1:16" s="694" customFormat="1" ht="15" customHeight="1" x14ac:dyDescent="0.25">
      <c r="A258" s="696" t="s">
        <v>1940</v>
      </c>
      <c r="B258" s="696" t="s">
        <v>1843</v>
      </c>
      <c r="C258" s="714">
        <v>10000</v>
      </c>
      <c r="D258" s="573">
        <v>111.41</v>
      </c>
      <c r="E258" s="696">
        <v>10000</v>
      </c>
      <c r="F258" s="87">
        <f t="shared" si="3"/>
        <v>0</v>
      </c>
      <c r="G258" s="690"/>
      <c r="H258" s="693"/>
      <c r="I258" s="692"/>
      <c r="J258" s="692"/>
      <c r="K258" s="692"/>
      <c r="L258" s="692"/>
      <c r="M258" s="692"/>
      <c r="N258" s="692"/>
      <c r="O258" s="692"/>
      <c r="P258" s="692"/>
    </row>
    <row r="259" spans="1:16" s="694" customFormat="1" ht="15" customHeight="1" x14ac:dyDescent="0.25">
      <c r="A259" s="696" t="s">
        <v>1940</v>
      </c>
      <c r="B259" s="696" t="s">
        <v>1895</v>
      </c>
      <c r="C259" s="714">
        <v>10000</v>
      </c>
      <c r="D259" s="573">
        <v>111.41</v>
      </c>
      <c r="E259" s="696">
        <v>10000</v>
      </c>
      <c r="F259" s="87">
        <f t="shared" si="3"/>
        <v>0</v>
      </c>
      <c r="G259" s="690"/>
      <c r="H259" s="693"/>
      <c r="I259" s="692"/>
      <c r="J259" s="692"/>
      <c r="K259" s="692"/>
      <c r="L259" s="692"/>
      <c r="M259" s="692"/>
      <c r="N259" s="692"/>
      <c r="O259" s="692"/>
      <c r="P259" s="692"/>
    </row>
    <row r="260" spans="1:16" s="694" customFormat="1" ht="15" customHeight="1" x14ac:dyDescent="0.25">
      <c r="A260" s="696" t="s">
        <v>1940</v>
      </c>
      <c r="B260" s="696" t="s">
        <v>1950</v>
      </c>
      <c r="C260" s="714">
        <v>10000</v>
      </c>
      <c r="D260" s="573">
        <v>111.41</v>
      </c>
      <c r="E260" s="696">
        <v>10000</v>
      </c>
      <c r="F260" s="87">
        <f t="shared" si="3"/>
        <v>0</v>
      </c>
      <c r="G260" s="690"/>
      <c r="H260" s="693"/>
      <c r="I260" s="692"/>
      <c r="J260" s="692"/>
      <c r="K260" s="692"/>
      <c r="L260" s="692"/>
      <c r="M260" s="692"/>
      <c r="N260" s="692"/>
      <c r="O260" s="692"/>
      <c r="P260" s="692"/>
    </row>
    <row r="261" spans="1:16" s="694" customFormat="1" ht="15" customHeight="1" x14ac:dyDescent="0.25">
      <c r="A261" s="696" t="s">
        <v>1940</v>
      </c>
      <c r="B261" s="696" t="s">
        <v>1951</v>
      </c>
      <c r="C261" s="714">
        <v>10000</v>
      </c>
      <c r="D261" s="573">
        <v>111.41</v>
      </c>
      <c r="E261" s="696">
        <v>10000</v>
      </c>
      <c r="F261" s="87">
        <f t="shared" si="3"/>
        <v>0</v>
      </c>
      <c r="G261" s="690"/>
      <c r="H261" s="693"/>
      <c r="I261" s="692"/>
      <c r="J261" s="692"/>
      <c r="K261" s="692"/>
      <c r="L261" s="692"/>
      <c r="M261" s="692"/>
      <c r="N261" s="692"/>
      <c r="O261" s="692"/>
      <c r="P261" s="692"/>
    </row>
    <row r="262" spans="1:16" s="694" customFormat="1" ht="15" customHeight="1" x14ac:dyDescent="0.25">
      <c r="A262" s="696" t="s">
        <v>1940</v>
      </c>
      <c r="B262" s="696" t="s">
        <v>1952</v>
      </c>
      <c r="C262" s="714">
        <v>8000</v>
      </c>
      <c r="D262" s="573">
        <v>105.47</v>
      </c>
      <c r="E262" s="696">
        <v>8000</v>
      </c>
      <c r="F262" s="87">
        <f t="shared" si="3"/>
        <v>0</v>
      </c>
      <c r="G262" s="690"/>
      <c r="H262" s="693"/>
      <c r="I262" s="692"/>
      <c r="J262" s="692"/>
      <c r="K262" s="692"/>
      <c r="L262" s="692"/>
      <c r="M262" s="692"/>
      <c r="N262" s="692"/>
      <c r="O262" s="692"/>
      <c r="P262" s="692"/>
    </row>
    <row r="263" spans="1:16" s="694" customFormat="1" ht="15" customHeight="1" x14ac:dyDescent="0.25">
      <c r="A263" s="696" t="s">
        <v>1940</v>
      </c>
      <c r="B263" s="696" t="s">
        <v>1953</v>
      </c>
      <c r="C263" s="714">
        <v>8000</v>
      </c>
      <c r="D263" s="573">
        <v>105.47</v>
      </c>
      <c r="E263" s="696">
        <v>8000</v>
      </c>
      <c r="F263" s="87">
        <f t="shared" si="3"/>
        <v>0</v>
      </c>
      <c r="G263" s="690"/>
      <c r="H263" s="693"/>
      <c r="I263" s="692"/>
      <c r="J263" s="692"/>
      <c r="K263" s="692"/>
      <c r="L263" s="692"/>
      <c r="M263" s="692"/>
      <c r="N263" s="692"/>
      <c r="O263" s="692"/>
      <c r="P263" s="692"/>
    </row>
    <row r="264" spans="1:16" s="694" customFormat="1" ht="15" customHeight="1" x14ac:dyDescent="0.25">
      <c r="A264" s="696" t="s">
        <v>1940</v>
      </c>
      <c r="B264" s="696" t="s">
        <v>1954</v>
      </c>
      <c r="C264" s="714">
        <v>5000</v>
      </c>
      <c r="D264" s="573">
        <v>50.55</v>
      </c>
      <c r="E264" s="696">
        <v>5000</v>
      </c>
      <c r="F264" s="87">
        <f t="shared" si="3"/>
        <v>0</v>
      </c>
      <c r="G264" s="690"/>
      <c r="H264" s="693"/>
      <c r="I264" s="692"/>
      <c r="J264" s="692"/>
      <c r="K264" s="692"/>
      <c r="L264" s="692"/>
      <c r="M264" s="692"/>
      <c r="N264" s="692"/>
      <c r="O264" s="692"/>
      <c r="P264" s="692"/>
    </row>
    <row r="265" spans="1:16" s="694" customFormat="1" ht="15" customHeight="1" x14ac:dyDescent="0.25">
      <c r="A265" s="696" t="s">
        <v>1940</v>
      </c>
      <c r="B265" s="696" t="s">
        <v>1955</v>
      </c>
      <c r="C265" s="714">
        <v>7000</v>
      </c>
      <c r="D265" s="573">
        <v>70.47</v>
      </c>
      <c r="E265" s="696">
        <v>7000</v>
      </c>
      <c r="F265" s="87">
        <f t="shared" si="3"/>
        <v>0</v>
      </c>
      <c r="G265" s="690"/>
      <c r="H265" s="693"/>
      <c r="I265" s="692"/>
      <c r="J265" s="692"/>
      <c r="K265" s="692"/>
      <c r="L265" s="692"/>
      <c r="M265" s="692"/>
      <c r="N265" s="692"/>
      <c r="O265" s="692"/>
      <c r="P265" s="692"/>
    </row>
    <row r="266" spans="1:16" s="694" customFormat="1" ht="15" customHeight="1" x14ac:dyDescent="0.25">
      <c r="A266" s="696" t="s">
        <v>1940</v>
      </c>
      <c r="B266" s="696" t="s">
        <v>1891</v>
      </c>
      <c r="C266" s="714">
        <v>23000</v>
      </c>
      <c r="D266" s="573">
        <v>278.22000000000003</v>
      </c>
      <c r="E266" s="696">
        <v>23000</v>
      </c>
      <c r="F266" s="87">
        <f t="shared" si="3"/>
        <v>0</v>
      </c>
      <c r="G266" s="690"/>
      <c r="H266" s="693"/>
      <c r="I266" s="692"/>
      <c r="J266" s="692"/>
      <c r="K266" s="692"/>
      <c r="L266" s="692"/>
      <c r="M266" s="692"/>
      <c r="N266" s="692"/>
      <c r="O266" s="692"/>
      <c r="P266" s="692"/>
    </row>
    <row r="267" spans="1:16" s="694" customFormat="1" ht="15" customHeight="1" x14ac:dyDescent="0.25">
      <c r="A267" s="696" t="s">
        <v>1940</v>
      </c>
      <c r="B267" s="696" t="s">
        <v>1956</v>
      </c>
      <c r="C267" s="714">
        <v>18000</v>
      </c>
      <c r="D267" s="573">
        <v>200.37</v>
      </c>
      <c r="E267" s="696">
        <v>18000</v>
      </c>
      <c r="F267" s="87">
        <f t="shared" si="3"/>
        <v>0</v>
      </c>
      <c r="G267" s="690"/>
      <c r="H267" s="693"/>
      <c r="I267" s="692"/>
      <c r="J267" s="692"/>
      <c r="K267" s="692"/>
      <c r="L267" s="692"/>
      <c r="M267" s="692"/>
      <c r="N267" s="692"/>
      <c r="O267" s="692"/>
      <c r="P267" s="692"/>
    </row>
    <row r="268" spans="1:16" s="694" customFormat="1" ht="15" customHeight="1" x14ac:dyDescent="0.25">
      <c r="A268" s="696" t="s">
        <v>1940</v>
      </c>
      <c r="B268" s="696" t="s">
        <v>1957</v>
      </c>
      <c r="C268" s="714">
        <v>8000</v>
      </c>
      <c r="D268" s="573">
        <v>200.37</v>
      </c>
      <c r="E268" s="696">
        <v>8000</v>
      </c>
      <c r="F268" s="87">
        <f t="shared" si="3"/>
        <v>0</v>
      </c>
      <c r="G268" s="690"/>
      <c r="H268" s="693"/>
      <c r="I268" s="692"/>
      <c r="J268" s="692"/>
      <c r="K268" s="692"/>
      <c r="L268" s="692"/>
      <c r="M268" s="692"/>
      <c r="N268" s="692"/>
      <c r="O268" s="692"/>
      <c r="P268" s="692"/>
    </row>
    <row r="269" spans="1:16" s="694" customFormat="1" ht="15" customHeight="1" x14ac:dyDescent="0.25">
      <c r="A269" s="696" t="s">
        <v>1940</v>
      </c>
      <c r="B269" s="696">
        <v>5252</v>
      </c>
      <c r="C269" s="714">
        <v>17000</v>
      </c>
      <c r="D269" s="573">
        <v>189.17</v>
      </c>
      <c r="E269" s="696">
        <v>17000</v>
      </c>
      <c r="F269" s="87">
        <f t="shared" si="3"/>
        <v>0</v>
      </c>
      <c r="G269" s="690"/>
      <c r="H269" s="693"/>
      <c r="I269" s="692"/>
      <c r="J269" s="692"/>
      <c r="K269" s="692"/>
      <c r="L269" s="692"/>
      <c r="M269" s="692"/>
      <c r="N269" s="692"/>
      <c r="O269" s="692"/>
      <c r="P269" s="692"/>
    </row>
    <row r="270" spans="1:16" s="694" customFormat="1" ht="15" customHeight="1" x14ac:dyDescent="0.25">
      <c r="A270" s="696" t="s">
        <v>1940</v>
      </c>
      <c r="B270" s="696" t="s">
        <v>1958</v>
      </c>
      <c r="C270" s="714">
        <v>27000</v>
      </c>
      <c r="D270" s="573">
        <v>292.77999999999997</v>
      </c>
      <c r="E270" s="696">
        <v>27000</v>
      </c>
      <c r="F270" s="87">
        <f t="shared" si="3"/>
        <v>0</v>
      </c>
      <c r="G270" s="690"/>
      <c r="H270" s="693"/>
      <c r="I270" s="692"/>
      <c r="J270" s="692"/>
      <c r="K270" s="692"/>
      <c r="L270" s="692"/>
      <c r="M270" s="692"/>
      <c r="N270" s="692"/>
      <c r="O270" s="692"/>
      <c r="P270" s="692"/>
    </row>
    <row r="271" spans="1:16" s="694" customFormat="1" ht="15" customHeight="1" x14ac:dyDescent="0.25">
      <c r="A271" s="696" t="s">
        <v>1940</v>
      </c>
      <c r="B271" s="696" t="s">
        <v>1959</v>
      </c>
      <c r="C271" s="714">
        <v>25000</v>
      </c>
      <c r="D271" s="573">
        <v>272.14</v>
      </c>
      <c r="E271" s="696">
        <v>25000</v>
      </c>
      <c r="F271" s="87">
        <f t="shared" si="3"/>
        <v>0</v>
      </c>
      <c r="G271" s="690"/>
      <c r="H271" s="693"/>
      <c r="I271" s="692"/>
      <c r="J271" s="692"/>
      <c r="K271" s="692"/>
      <c r="L271" s="692"/>
      <c r="M271" s="692"/>
      <c r="N271" s="692"/>
      <c r="O271" s="692"/>
      <c r="P271" s="692"/>
    </row>
    <row r="272" spans="1:16" s="694" customFormat="1" ht="15" customHeight="1" x14ac:dyDescent="0.25">
      <c r="A272" s="696" t="s">
        <v>1940</v>
      </c>
      <c r="B272" s="696" t="s">
        <v>1960</v>
      </c>
      <c r="C272" s="714">
        <v>18000</v>
      </c>
      <c r="D272" s="573">
        <v>200.37</v>
      </c>
      <c r="E272" s="696">
        <v>18000</v>
      </c>
      <c r="F272" s="87">
        <f t="shared" si="3"/>
        <v>0</v>
      </c>
      <c r="G272" s="690"/>
      <c r="H272" s="693"/>
      <c r="I272" s="692"/>
      <c r="J272" s="692"/>
      <c r="K272" s="692"/>
      <c r="L272" s="692"/>
      <c r="M272" s="692"/>
      <c r="N272" s="692"/>
      <c r="O272" s="692"/>
      <c r="P272" s="692"/>
    </row>
    <row r="273" spans="1:16" s="694" customFormat="1" ht="15" customHeight="1" x14ac:dyDescent="0.25">
      <c r="A273" s="696" t="s">
        <v>1940</v>
      </c>
      <c r="B273" s="696" t="s">
        <v>1961</v>
      </c>
      <c r="C273" s="714">
        <v>10000</v>
      </c>
      <c r="D273" s="573">
        <v>111.41</v>
      </c>
      <c r="E273" s="696">
        <v>10000</v>
      </c>
      <c r="F273" s="87">
        <f t="shared" si="3"/>
        <v>0</v>
      </c>
      <c r="G273" s="690"/>
      <c r="H273" s="693"/>
      <c r="I273" s="692"/>
      <c r="J273" s="692"/>
      <c r="K273" s="692"/>
      <c r="L273" s="692"/>
      <c r="M273" s="692"/>
      <c r="N273" s="692"/>
      <c r="O273" s="692"/>
      <c r="P273" s="692"/>
    </row>
    <row r="274" spans="1:16" s="694" customFormat="1" ht="15" customHeight="1" x14ac:dyDescent="0.25">
      <c r="A274" s="696" t="s">
        <v>1940</v>
      </c>
      <c r="B274" s="696" t="s">
        <v>2786</v>
      </c>
      <c r="C274" s="714">
        <v>20500</v>
      </c>
      <c r="D274" s="573">
        <v>271.47000000000003</v>
      </c>
      <c r="E274" s="696">
        <v>20500</v>
      </c>
      <c r="F274" s="87">
        <f t="shared" si="3"/>
        <v>0</v>
      </c>
      <c r="G274" s="690"/>
      <c r="H274" s="693"/>
      <c r="I274" s="692"/>
      <c r="J274" s="692"/>
      <c r="K274" s="692"/>
      <c r="L274" s="692"/>
      <c r="M274" s="692"/>
      <c r="N274" s="692"/>
      <c r="O274" s="692"/>
      <c r="P274" s="692"/>
    </row>
    <row r="275" spans="1:16" s="694" customFormat="1" ht="15" customHeight="1" x14ac:dyDescent="0.25">
      <c r="A275" s="696" t="s">
        <v>1940</v>
      </c>
      <c r="B275" s="696" t="s">
        <v>1962</v>
      </c>
      <c r="C275" s="714">
        <v>22000</v>
      </c>
      <c r="D275" s="573">
        <v>283.58</v>
      </c>
      <c r="E275" s="696">
        <v>22000</v>
      </c>
      <c r="F275" s="87">
        <f t="shared" si="3"/>
        <v>0</v>
      </c>
      <c r="G275" s="690"/>
      <c r="H275" s="693"/>
      <c r="I275" s="692"/>
      <c r="J275" s="692"/>
      <c r="K275" s="692"/>
      <c r="L275" s="692"/>
      <c r="M275" s="692"/>
      <c r="N275" s="692"/>
      <c r="O275" s="692"/>
      <c r="P275" s="692"/>
    </row>
    <row r="276" spans="1:16" s="694" customFormat="1" ht="15" customHeight="1" x14ac:dyDescent="0.25">
      <c r="A276" s="696" t="s">
        <v>1940</v>
      </c>
      <c r="B276" s="696" t="s">
        <v>1963</v>
      </c>
      <c r="C276" s="714">
        <v>8000</v>
      </c>
      <c r="D276" s="573">
        <v>74.37</v>
      </c>
      <c r="E276" s="696">
        <v>8000</v>
      </c>
      <c r="F276" s="87">
        <f t="shared" si="3"/>
        <v>0</v>
      </c>
      <c r="G276" s="690"/>
      <c r="H276" s="693"/>
      <c r="I276" s="692"/>
      <c r="J276" s="692"/>
      <c r="K276" s="692"/>
      <c r="L276" s="692"/>
      <c r="M276" s="692"/>
      <c r="N276" s="692"/>
      <c r="O276" s="692"/>
      <c r="P276" s="692"/>
    </row>
    <row r="277" spans="1:16" s="694" customFormat="1" ht="15" customHeight="1" x14ac:dyDescent="0.25">
      <c r="A277" s="696" t="s">
        <v>1940</v>
      </c>
      <c r="B277" s="696" t="s">
        <v>1964</v>
      </c>
      <c r="C277" s="714">
        <v>18000</v>
      </c>
      <c r="D277" s="573">
        <v>200.37</v>
      </c>
      <c r="E277" s="696">
        <v>18000</v>
      </c>
      <c r="F277" s="87">
        <f t="shared" si="3"/>
        <v>0</v>
      </c>
      <c r="G277" s="690"/>
      <c r="H277" s="693"/>
      <c r="I277" s="692"/>
      <c r="J277" s="692"/>
      <c r="K277" s="692"/>
      <c r="L277" s="692"/>
      <c r="M277" s="692"/>
      <c r="N277" s="692"/>
      <c r="O277" s="692"/>
      <c r="P277" s="692"/>
    </row>
    <row r="278" spans="1:16" s="694" customFormat="1" ht="15" customHeight="1" x14ac:dyDescent="0.25">
      <c r="A278" s="696" t="s">
        <v>1940</v>
      </c>
      <c r="B278" s="696" t="s">
        <v>1965</v>
      </c>
      <c r="C278" s="714">
        <v>25000</v>
      </c>
      <c r="D278" s="573">
        <v>278.22000000000003</v>
      </c>
      <c r="E278" s="696">
        <v>25000</v>
      </c>
      <c r="F278" s="87">
        <f t="shared" si="3"/>
        <v>0</v>
      </c>
      <c r="G278" s="690"/>
      <c r="H278" s="693"/>
      <c r="I278" s="692"/>
      <c r="J278" s="692"/>
      <c r="K278" s="692"/>
      <c r="L278" s="692"/>
      <c r="M278" s="692"/>
      <c r="N278" s="692"/>
      <c r="O278" s="692"/>
      <c r="P278" s="692"/>
    </row>
    <row r="279" spans="1:16" s="694" customFormat="1" ht="15" customHeight="1" x14ac:dyDescent="0.25">
      <c r="A279" s="696" t="s">
        <v>1940</v>
      </c>
      <c r="B279" s="696" t="s">
        <v>1966</v>
      </c>
      <c r="C279" s="714">
        <v>25000</v>
      </c>
      <c r="D279" s="573">
        <v>278.22000000000003</v>
      </c>
      <c r="E279" s="696">
        <v>25000</v>
      </c>
      <c r="F279" s="87">
        <f t="shared" si="3"/>
        <v>0</v>
      </c>
      <c r="G279" s="690"/>
      <c r="H279" s="693"/>
      <c r="I279" s="692"/>
      <c r="J279" s="692"/>
      <c r="K279" s="692"/>
      <c r="L279" s="692"/>
      <c r="M279" s="692"/>
      <c r="N279" s="692"/>
      <c r="O279" s="692"/>
      <c r="P279" s="692"/>
    </row>
    <row r="280" spans="1:16" s="694" customFormat="1" ht="15" customHeight="1" x14ac:dyDescent="0.25">
      <c r="A280" s="696" t="s">
        <v>1940</v>
      </c>
      <c r="B280" s="696" t="s">
        <v>1967</v>
      </c>
      <c r="C280" s="714">
        <v>20000</v>
      </c>
      <c r="D280" s="573">
        <v>222.65</v>
      </c>
      <c r="E280" s="696">
        <v>20000</v>
      </c>
      <c r="F280" s="87">
        <f t="shared" si="3"/>
        <v>0</v>
      </c>
      <c r="G280" s="690"/>
      <c r="H280" s="693"/>
      <c r="I280" s="692"/>
      <c r="J280" s="692"/>
      <c r="K280" s="692"/>
      <c r="L280" s="692"/>
      <c r="M280" s="692"/>
      <c r="N280" s="692"/>
      <c r="O280" s="692"/>
      <c r="P280" s="692"/>
    </row>
    <row r="281" spans="1:16" s="694" customFormat="1" ht="15" customHeight="1" x14ac:dyDescent="0.25">
      <c r="A281" s="696" t="s">
        <v>1940</v>
      </c>
      <c r="B281" s="696" t="s">
        <v>1968</v>
      </c>
      <c r="C281" s="714">
        <v>27000</v>
      </c>
      <c r="D281" s="573">
        <v>292.77999999999997</v>
      </c>
      <c r="E281" s="696">
        <v>27000</v>
      </c>
      <c r="F281" s="87">
        <f t="shared" si="3"/>
        <v>0</v>
      </c>
      <c r="G281" s="690"/>
      <c r="H281" s="693"/>
      <c r="I281" s="692"/>
      <c r="J281" s="692"/>
      <c r="K281" s="692"/>
      <c r="L281" s="692"/>
      <c r="M281" s="692"/>
      <c r="N281" s="692"/>
      <c r="O281" s="692"/>
      <c r="P281" s="692"/>
    </row>
    <row r="282" spans="1:16" s="711" customFormat="1" ht="15" customHeight="1" x14ac:dyDescent="0.25">
      <c r="A282" s="696" t="s">
        <v>1940</v>
      </c>
      <c r="B282" s="696" t="s">
        <v>66</v>
      </c>
      <c r="C282" s="714">
        <v>150</v>
      </c>
      <c r="D282" s="573">
        <v>1.54</v>
      </c>
      <c r="E282" s="696">
        <v>150</v>
      </c>
      <c r="F282" s="87">
        <f t="shared" si="3"/>
        <v>0</v>
      </c>
      <c r="G282" s="690"/>
      <c r="H282" s="693"/>
      <c r="I282" s="692"/>
      <c r="J282" s="692"/>
      <c r="K282" s="692"/>
      <c r="L282" s="692"/>
      <c r="M282" s="692"/>
      <c r="N282" s="692"/>
      <c r="O282" s="692"/>
      <c r="P282" s="692"/>
    </row>
    <row r="283" spans="1:16" s="694" customFormat="1" ht="15" customHeight="1" x14ac:dyDescent="0.25">
      <c r="A283" s="696" t="s">
        <v>1940</v>
      </c>
      <c r="B283" s="696" t="s">
        <v>1969</v>
      </c>
      <c r="C283" s="714">
        <v>23000</v>
      </c>
      <c r="D283" s="573">
        <v>262.27999999999997</v>
      </c>
      <c r="E283" s="696">
        <v>23000</v>
      </c>
      <c r="F283" s="87">
        <f t="shared" si="3"/>
        <v>0</v>
      </c>
      <c r="G283" s="690"/>
      <c r="H283" s="693"/>
      <c r="I283" s="692"/>
      <c r="J283" s="692"/>
      <c r="K283" s="692"/>
      <c r="L283" s="692"/>
      <c r="M283" s="692"/>
      <c r="N283" s="692"/>
      <c r="O283" s="692"/>
      <c r="P283" s="692"/>
    </row>
    <row r="284" spans="1:16" s="694" customFormat="1" ht="15" customHeight="1" x14ac:dyDescent="0.25">
      <c r="A284" s="696" t="s">
        <v>1970</v>
      </c>
      <c r="B284" s="696" t="s">
        <v>1971</v>
      </c>
      <c r="C284" s="714">
        <v>30000</v>
      </c>
      <c r="D284" s="573">
        <v>241.74</v>
      </c>
      <c r="E284" s="696">
        <v>30000</v>
      </c>
      <c r="F284" s="87">
        <f t="shared" si="3"/>
        <v>0</v>
      </c>
      <c r="G284" s="690"/>
      <c r="H284" s="693"/>
      <c r="I284" s="692"/>
      <c r="J284" s="692"/>
      <c r="K284" s="692"/>
      <c r="L284" s="692"/>
      <c r="M284" s="692"/>
      <c r="N284" s="692"/>
      <c r="O284" s="692"/>
      <c r="P284" s="692"/>
    </row>
    <row r="285" spans="1:16" s="694" customFormat="1" ht="15" customHeight="1" x14ac:dyDescent="0.25">
      <c r="A285" s="696" t="s">
        <v>1970</v>
      </c>
      <c r="B285" s="696" t="s">
        <v>1972</v>
      </c>
      <c r="C285" s="714">
        <v>18000</v>
      </c>
      <c r="D285" s="573">
        <v>200.37</v>
      </c>
      <c r="E285" s="696">
        <v>18000</v>
      </c>
      <c r="F285" s="87">
        <f t="shared" si="3"/>
        <v>0</v>
      </c>
      <c r="G285" s="690"/>
      <c r="H285" s="693"/>
      <c r="I285" s="692"/>
      <c r="J285" s="692"/>
      <c r="K285" s="692"/>
      <c r="L285" s="692"/>
      <c r="M285" s="692"/>
      <c r="N285" s="692"/>
      <c r="O285" s="692"/>
      <c r="P285" s="692"/>
    </row>
    <row r="286" spans="1:16" s="709" customFormat="1" ht="15" customHeight="1" x14ac:dyDescent="0.25">
      <c r="A286" s="696" t="s">
        <v>1970</v>
      </c>
      <c r="B286" s="696" t="s">
        <v>17</v>
      </c>
      <c r="C286" s="714">
        <v>3361</v>
      </c>
      <c r="D286" s="573">
        <v>38.450000000000003</v>
      </c>
      <c r="E286" s="696">
        <v>3361</v>
      </c>
      <c r="F286" s="87">
        <f t="shared" ref="F286" si="4">C286-E286</f>
        <v>0</v>
      </c>
      <c r="G286" s="690"/>
      <c r="H286" s="693"/>
      <c r="I286" s="692"/>
      <c r="J286" s="692"/>
      <c r="K286" s="692"/>
      <c r="L286" s="692"/>
      <c r="M286" s="692"/>
      <c r="N286" s="692"/>
      <c r="O286" s="692"/>
      <c r="P286" s="692"/>
    </row>
    <row r="287" spans="1:16" s="694" customFormat="1" ht="15" customHeight="1" x14ac:dyDescent="0.25">
      <c r="A287" s="696" t="s">
        <v>1970</v>
      </c>
      <c r="B287" s="696" t="s">
        <v>1855</v>
      </c>
      <c r="C287" s="714">
        <v>15000</v>
      </c>
      <c r="D287" s="573">
        <v>161.47</v>
      </c>
      <c r="E287" s="696">
        <v>15000</v>
      </c>
      <c r="F287" s="87">
        <f t="shared" si="3"/>
        <v>0</v>
      </c>
      <c r="G287" s="690"/>
      <c r="H287" s="693"/>
      <c r="I287" s="692"/>
      <c r="J287" s="692"/>
      <c r="K287" s="692"/>
      <c r="L287" s="692"/>
      <c r="M287" s="692"/>
      <c r="N287" s="692"/>
      <c r="O287" s="692"/>
      <c r="P287" s="692"/>
    </row>
    <row r="288" spans="1:16" s="694" customFormat="1" ht="15" customHeight="1" x14ac:dyDescent="0.25">
      <c r="A288" s="696" t="s">
        <v>1970</v>
      </c>
      <c r="B288" s="696" t="s">
        <v>1973</v>
      </c>
      <c r="C288" s="714">
        <v>10000</v>
      </c>
      <c r="D288" s="573">
        <v>113.58</v>
      </c>
      <c r="E288" s="696">
        <v>10000</v>
      </c>
      <c r="F288" s="87">
        <f t="shared" si="3"/>
        <v>0</v>
      </c>
      <c r="G288" s="690"/>
      <c r="H288" s="693"/>
      <c r="I288" s="692"/>
      <c r="J288" s="692"/>
      <c r="K288" s="692"/>
      <c r="L288" s="692"/>
      <c r="M288" s="692"/>
      <c r="N288" s="692"/>
      <c r="O288" s="692"/>
      <c r="P288" s="692"/>
    </row>
    <row r="289" spans="1:16" s="694" customFormat="1" ht="15" customHeight="1" x14ac:dyDescent="0.25">
      <c r="A289" s="696" t="s">
        <v>1970</v>
      </c>
      <c r="B289" s="696" t="s">
        <v>1842</v>
      </c>
      <c r="C289" s="714">
        <v>10000</v>
      </c>
      <c r="D289" s="573">
        <v>113.58</v>
      </c>
      <c r="E289" s="696">
        <v>10000</v>
      </c>
      <c r="F289" s="87">
        <f t="shared" si="3"/>
        <v>0</v>
      </c>
      <c r="G289" s="690"/>
      <c r="H289" s="693"/>
      <c r="I289" s="692"/>
      <c r="J289" s="692"/>
      <c r="K289" s="692"/>
      <c r="L289" s="692"/>
      <c r="M289" s="692"/>
      <c r="N289" s="692"/>
      <c r="O289" s="692"/>
      <c r="P289" s="692"/>
    </row>
    <row r="290" spans="1:16" s="694" customFormat="1" ht="15" customHeight="1" x14ac:dyDescent="0.25">
      <c r="A290" s="696" t="s">
        <v>1970</v>
      </c>
      <c r="B290" s="696" t="s">
        <v>1974</v>
      </c>
      <c r="C290" s="714">
        <v>10000</v>
      </c>
      <c r="D290" s="573">
        <v>113.58</v>
      </c>
      <c r="E290" s="696">
        <v>10000</v>
      </c>
      <c r="F290" s="87">
        <f t="shared" si="3"/>
        <v>0</v>
      </c>
      <c r="G290" s="690"/>
      <c r="H290" s="693"/>
      <c r="I290" s="692"/>
      <c r="J290" s="692"/>
      <c r="K290" s="692"/>
      <c r="L290" s="692"/>
      <c r="M290" s="692"/>
      <c r="N290" s="692"/>
      <c r="O290" s="692"/>
      <c r="P290" s="692"/>
    </row>
    <row r="291" spans="1:16" s="694" customFormat="1" ht="15" customHeight="1" x14ac:dyDescent="0.25">
      <c r="A291" s="696" t="s">
        <v>1970</v>
      </c>
      <c r="B291" s="696" t="s">
        <v>1894</v>
      </c>
      <c r="C291" s="714">
        <v>10000</v>
      </c>
      <c r="D291" s="573">
        <v>113.58</v>
      </c>
      <c r="E291" s="696">
        <v>10000</v>
      </c>
      <c r="F291" s="87">
        <f t="shared" si="3"/>
        <v>0</v>
      </c>
      <c r="G291" s="690"/>
      <c r="H291" s="693"/>
      <c r="I291" s="692"/>
      <c r="J291" s="692"/>
      <c r="K291" s="692"/>
      <c r="L291" s="692"/>
      <c r="M291" s="692"/>
      <c r="N291" s="692"/>
      <c r="O291" s="692"/>
      <c r="P291" s="692"/>
    </row>
    <row r="292" spans="1:16" s="694" customFormat="1" ht="15" customHeight="1" x14ac:dyDescent="0.25">
      <c r="A292" s="696" t="s">
        <v>1970</v>
      </c>
      <c r="B292" s="696" t="s">
        <v>1846</v>
      </c>
      <c r="C292" s="714">
        <v>10000</v>
      </c>
      <c r="D292" s="573">
        <v>113.58</v>
      </c>
      <c r="E292" s="696">
        <v>10000</v>
      </c>
      <c r="F292" s="87">
        <f t="shared" si="3"/>
        <v>0</v>
      </c>
      <c r="G292" s="690"/>
      <c r="H292" s="693"/>
      <c r="I292" s="692"/>
      <c r="J292" s="692"/>
      <c r="K292" s="692"/>
      <c r="L292" s="692"/>
      <c r="M292" s="692"/>
      <c r="N292" s="692"/>
      <c r="O292" s="692"/>
      <c r="P292" s="692"/>
    </row>
    <row r="293" spans="1:16" s="694" customFormat="1" ht="15" customHeight="1" x14ac:dyDescent="0.25">
      <c r="A293" s="696" t="s">
        <v>1970</v>
      </c>
      <c r="B293" s="696" t="s">
        <v>1975</v>
      </c>
      <c r="C293" s="714">
        <v>10000</v>
      </c>
      <c r="D293" s="573">
        <v>113.58</v>
      </c>
      <c r="E293" s="696">
        <v>10000</v>
      </c>
      <c r="F293" s="87">
        <f t="shared" si="3"/>
        <v>0</v>
      </c>
      <c r="G293" s="690"/>
      <c r="H293" s="693"/>
      <c r="I293" s="692"/>
      <c r="J293" s="692"/>
      <c r="K293" s="692"/>
      <c r="L293" s="692"/>
      <c r="M293" s="692"/>
      <c r="N293" s="692"/>
      <c r="O293" s="692"/>
      <c r="P293" s="692"/>
    </row>
    <row r="294" spans="1:16" s="694" customFormat="1" ht="15" customHeight="1" x14ac:dyDescent="0.25">
      <c r="A294" s="696" t="s">
        <v>1970</v>
      </c>
      <c r="B294" s="696" t="s">
        <v>1976</v>
      </c>
      <c r="C294" s="714">
        <v>10000</v>
      </c>
      <c r="D294" s="573">
        <v>113.58</v>
      </c>
      <c r="E294" s="696">
        <v>10000</v>
      </c>
      <c r="F294" s="87">
        <f t="shared" si="3"/>
        <v>0</v>
      </c>
      <c r="G294" s="690"/>
      <c r="H294" s="693"/>
      <c r="I294" s="692"/>
      <c r="J294" s="692"/>
      <c r="K294" s="692"/>
      <c r="L294" s="692"/>
      <c r="M294" s="692"/>
      <c r="N294" s="692"/>
      <c r="O294" s="692"/>
      <c r="P294" s="692"/>
    </row>
    <row r="295" spans="1:16" s="694" customFormat="1" ht="15" customHeight="1" x14ac:dyDescent="0.25">
      <c r="A295" s="696" t="s">
        <v>1970</v>
      </c>
      <c r="B295" s="696" t="s">
        <v>1977</v>
      </c>
      <c r="C295" s="714">
        <v>10000</v>
      </c>
      <c r="D295" s="573">
        <v>113.58</v>
      </c>
      <c r="E295" s="696">
        <v>10000</v>
      </c>
      <c r="F295" s="87">
        <f t="shared" si="3"/>
        <v>0</v>
      </c>
      <c r="G295" s="690"/>
      <c r="H295" s="693"/>
      <c r="I295" s="692"/>
      <c r="J295" s="692"/>
      <c r="K295" s="692"/>
      <c r="L295" s="692"/>
      <c r="M295" s="692"/>
      <c r="N295" s="692"/>
      <c r="O295" s="692"/>
      <c r="P295" s="692"/>
    </row>
    <row r="296" spans="1:16" s="694" customFormat="1" ht="15" customHeight="1" x14ac:dyDescent="0.25">
      <c r="A296" s="696" t="s">
        <v>1970</v>
      </c>
      <c r="B296" s="696" t="s">
        <v>1978</v>
      </c>
      <c r="C296" s="714">
        <v>10000</v>
      </c>
      <c r="D296" s="573">
        <v>113.58</v>
      </c>
      <c r="E296" s="696">
        <v>10000</v>
      </c>
      <c r="F296" s="87">
        <f t="shared" si="3"/>
        <v>0</v>
      </c>
      <c r="G296" s="690"/>
      <c r="H296" s="693"/>
      <c r="I296" s="692"/>
      <c r="J296" s="692"/>
      <c r="K296" s="692"/>
      <c r="L296" s="692"/>
      <c r="M296" s="692"/>
      <c r="N296" s="692"/>
      <c r="O296" s="692"/>
      <c r="P296" s="692"/>
    </row>
    <row r="297" spans="1:16" s="694" customFormat="1" ht="15" customHeight="1" x14ac:dyDescent="0.25">
      <c r="A297" s="696" t="s">
        <v>1970</v>
      </c>
      <c r="B297" s="696" t="s">
        <v>1979</v>
      </c>
      <c r="C297" s="714">
        <v>15000</v>
      </c>
      <c r="D297" s="573">
        <v>170.47</v>
      </c>
      <c r="E297" s="696">
        <v>15000</v>
      </c>
      <c r="F297" s="87">
        <f t="shared" si="3"/>
        <v>0</v>
      </c>
      <c r="G297" s="690"/>
      <c r="H297" s="693"/>
      <c r="I297" s="692"/>
      <c r="J297" s="692"/>
      <c r="K297" s="692"/>
      <c r="L297" s="692"/>
      <c r="M297" s="692"/>
      <c r="N297" s="692"/>
      <c r="O297" s="692"/>
      <c r="P297" s="692"/>
    </row>
    <row r="298" spans="1:16" s="694" customFormat="1" ht="15" customHeight="1" x14ac:dyDescent="0.25">
      <c r="A298" s="696" t="s">
        <v>1970</v>
      </c>
      <c r="B298" s="696" t="s">
        <v>1980</v>
      </c>
      <c r="C298" s="714">
        <v>15000</v>
      </c>
      <c r="D298" s="573">
        <v>170.47</v>
      </c>
      <c r="E298" s="696">
        <v>15000</v>
      </c>
      <c r="F298" s="87">
        <f t="shared" si="3"/>
        <v>0</v>
      </c>
      <c r="G298" s="690"/>
      <c r="H298" s="693"/>
      <c r="I298" s="692"/>
      <c r="J298" s="692"/>
      <c r="K298" s="692"/>
      <c r="L298" s="692"/>
      <c r="M298" s="692"/>
      <c r="N298" s="692"/>
      <c r="O298" s="692"/>
      <c r="P298" s="692"/>
    </row>
    <row r="299" spans="1:16" s="694" customFormat="1" ht="15" customHeight="1" x14ac:dyDescent="0.25">
      <c r="A299" s="696" t="s">
        <v>1970</v>
      </c>
      <c r="B299" s="696" t="s">
        <v>1981</v>
      </c>
      <c r="C299" s="714">
        <v>20000</v>
      </c>
      <c r="D299" s="573">
        <v>222.65</v>
      </c>
      <c r="E299" s="696">
        <v>20000</v>
      </c>
      <c r="F299" s="87">
        <f t="shared" si="3"/>
        <v>0</v>
      </c>
      <c r="G299" s="690"/>
      <c r="H299" s="693"/>
      <c r="I299" s="692"/>
      <c r="J299" s="692"/>
      <c r="K299" s="692"/>
      <c r="L299" s="692"/>
      <c r="M299" s="692"/>
      <c r="N299" s="692"/>
      <c r="O299" s="692"/>
      <c r="P299" s="692"/>
    </row>
    <row r="300" spans="1:16" s="694" customFormat="1" ht="15" customHeight="1" x14ac:dyDescent="0.25">
      <c r="A300" s="696" t="s">
        <v>1970</v>
      </c>
      <c r="B300" s="696" t="s">
        <v>1725</v>
      </c>
      <c r="C300" s="714">
        <v>20000</v>
      </c>
      <c r="D300" s="573">
        <v>222.65</v>
      </c>
      <c r="E300" s="696">
        <v>20000</v>
      </c>
      <c r="F300" s="87">
        <f t="shared" si="3"/>
        <v>0</v>
      </c>
      <c r="G300" s="690"/>
      <c r="H300" s="693"/>
      <c r="I300" s="692"/>
      <c r="J300" s="692"/>
      <c r="K300" s="692"/>
      <c r="L300" s="692"/>
      <c r="M300" s="692"/>
      <c r="N300" s="692"/>
      <c r="O300" s="692"/>
      <c r="P300" s="692"/>
    </row>
    <row r="301" spans="1:16" s="694" customFormat="1" ht="15" customHeight="1" x14ac:dyDescent="0.25">
      <c r="A301" s="696" t="s">
        <v>1970</v>
      </c>
      <c r="B301" s="696" t="s">
        <v>1982</v>
      </c>
      <c r="C301" s="714">
        <v>18000</v>
      </c>
      <c r="D301" s="573">
        <v>200.37</v>
      </c>
      <c r="E301" s="696">
        <v>18000</v>
      </c>
      <c r="F301" s="87">
        <f t="shared" si="3"/>
        <v>0</v>
      </c>
      <c r="G301" s="690"/>
      <c r="H301" s="693"/>
      <c r="I301" s="692"/>
      <c r="J301" s="692"/>
      <c r="K301" s="692"/>
      <c r="L301" s="692"/>
      <c r="M301" s="692"/>
      <c r="N301" s="692"/>
      <c r="O301" s="692"/>
      <c r="P301" s="692"/>
    </row>
    <row r="302" spans="1:16" s="694" customFormat="1" ht="15" customHeight="1" x14ac:dyDescent="0.25">
      <c r="A302" s="696" t="s">
        <v>1970</v>
      </c>
      <c r="B302" s="696" t="s">
        <v>1729</v>
      </c>
      <c r="C302" s="714">
        <v>16000</v>
      </c>
      <c r="D302" s="573">
        <v>178.22</v>
      </c>
      <c r="E302" s="696">
        <v>16000</v>
      </c>
      <c r="F302" s="87">
        <f t="shared" si="3"/>
        <v>0</v>
      </c>
      <c r="G302" s="690"/>
      <c r="H302" s="693"/>
      <c r="I302" s="692"/>
      <c r="J302" s="692"/>
      <c r="K302" s="692"/>
      <c r="L302" s="692"/>
      <c r="M302" s="692"/>
      <c r="N302" s="692"/>
      <c r="O302" s="692"/>
      <c r="P302" s="692"/>
    </row>
    <row r="303" spans="1:16" s="694" customFormat="1" ht="15" customHeight="1" x14ac:dyDescent="0.25">
      <c r="A303" s="696" t="s">
        <v>1970</v>
      </c>
      <c r="B303" s="696" t="s">
        <v>1795</v>
      </c>
      <c r="C303" s="714">
        <v>19000</v>
      </c>
      <c r="D303" s="573">
        <v>211.68</v>
      </c>
      <c r="E303" s="696">
        <v>19000</v>
      </c>
      <c r="F303" s="87">
        <f t="shared" si="3"/>
        <v>0</v>
      </c>
      <c r="G303" s="690"/>
      <c r="H303" s="693"/>
      <c r="I303" s="692"/>
      <c r="J303" s="692"/>
      <c r="K303" s="692"/>
      <c r="L303" s="692"/>
      <c r="M303" s="692"/>
      <c r="N303" s="692"/>
      <c r="O303" s="692"/>
      <c r="P303" s="692"/>
    </row>
    <row r="304" spans="1:16" s="694" customFormat="1" ht="15" customHeight="1" x14ac:dyDescent="0.25">
      <c r="A304" s="696" t="s">
        <v>1970</v>
      </c>
      <c r="B304" s="696" t="s">
        <v>1983</v>
      </c>
      <c r="C304" s="714">
        <v>23000</v>
      </c>
      <c r="D304" s="573">
        <v>256.92</v>
      </c>
      <c r="E304" s="696">
        <v>23000</v>
      </c>
      <c r="F304" s="87">
        <f t="shared" si="3"/>
        <v>0</v>
      </c>
      <c r="G304" s="690"/>
      <c r="H304" s="693"/>
      <c r="I304" s="692"/>
      <c r="J304" s="692"/>
      <c r="K304" s="692"/>
      <c r="L304" s="692"/>
      <c r="M304" s="692"/>
      <c r="N304" s="692"/>
      <c r="O304" s="692"/>
      <c r="P304" s="692"/>
    </row>
    <row r="305" spans="1:16" s="694" customFormat="1" ht="15" customHeight="1" x14ac:dyDescent="0.25">
      <c r="A305" s="696" t="s">
        <v>1970</v>
      </c>
      <c r="B305" s="696" t="s">
        <v>1984</v>
      </c>
      <c r="C305" s="714">
        <v>23000</v>
      </c>
      <c r="D305" s="573">
        <v>256.92</v>
      </c>
      <c r="E305" s="696">
        <v>23000</v>
      </c>
      <c r="F305" s="87">
        <f t="shared" si="3"/>
        <v>0</v>
      </c>
      <c r="G305" s="690"/>
      <c r="H305" s="693"/>
      <c r="I305" s="692"/>
      <c r="J305" s="692"/>
      <c r="K305" s="692"/>
      <c r="L305" s="692"/>
      <c r="M305" s="692"/>
      <c r="N305" s="692"/>
      <c r="O305" s="692"/>
      <c r="P305" s="692"/>
    </row>
    <row r="306" spans="1:16" s="694" customFormat="1" ht="15" customHeight="1" x14ac:dyDescent="0.25">
      <c r="A306" s="696" t="s">
        <v>1970</v>
      </c>
      <c r="B306" s="696" t="s">
        <v>1913</v>
      </c>
      <c r="C306" s="714">
        <v>25000</v>
      </c>
      <c r="D306" s="573">
        <v>278.22000000000003</v>
      </c>
      <c r="E306" s="696">
        <v>25000</v>
      </c>
      <c r="F306" s="87">
        <f t="shared" si="3"/>
        <v>0</v>
      </c>
      <c r="G306" s="690"/>
      <c r="H306" s="693"/>
      <c r="I306" s="692"/>
      <c r="J306" s="692"/>
      <c r="K306" s="692"/>
      <c r="L306" s="692"/>
      <c r="M306" s="692"/>
      <c r="N306" s="692"/>
      <c r="O306" s="692"/>
      <c r="P306" s="692"/>
    </row>
    <row r="307" spans="1:16" s="694" customFormat="1" ht="15" customHeight="1" x14ac:dyDescent="0.25">
      <c r="A307" s="696" t="s">
        <v>1970</v>
      </c>
      <c r="B307" s="696" t="s">
        <v>1985</v>
      </c>
      <c r="C307" s="714">
        <v>22000</v>
      </c>
      <c r="D307" s="573"/>
      <c r="E307" s="696">
        <v>22000</v>
      </c>
      <c r="F307" s="87">
        <f t="shared" si="3"/>
        <v>0</v>
      </c>
      <c r="G307" s="690"/>
      <c r="H307" s="693"/>
      <c r="I307" s="692"/>
      <c r="J307" s="692"/>
      <c r="K307" s="692"/>
      <c r="L307" s="692"/>
      <c r="M307" s="692"/>
      <c r="N307" s="692"/>
      <c r="O307" s="692"/>
      <c r="P307" s="692"/>
    </row>
    <row r="308" spans="1:16" s="694" customFormat="1" ht="15" customHeight="1" x14ac:dyDescent="0.25">
      <c r="A308" s="696" t="s">
        <v>1970</v>
      </c>
      <c r="B308" s="696" t="s">
        <v>1986</v>
      </c>
      <c r="C308" s="714">
        <v>10000</v>
      </c>
      <c r="D308" s="573"/>
      <c r="E308" s="696">
        <v>10000</v>
      </c>
      <c r="F308" s="87">
        <f t="shared" si="3"/>
        <v>0</v>
      </c>
      <c r="G308" s="690"/>
      <c r="H308" s="693"/>
      <c r="I308" s="692"/>
      <c r="J308" s="692"/>
      <c r="K308" s="692"/>
      <c r="L308" s="692"/>
      <c r="M308" s="692"/>
      <c r="N308" s="692"/>
      <c r="O308" s="692"/>
      <c r="P308" s="692"/>
    </row>
    <row r="309" spans="1:16" ht="15" customHeight="1" x14ac:dyDescent="0.25">
      <c r="A309" s="696" t="s">
        <v>1970</v>
      </c>
      <c r="B309" s="696" t="s">
        <v>1987</v>
      </c>
      <c r="C309" s="714">
        <v>32000</v>
      </c>
      <c r="D309" s="573"/>
      <c r="E309" s="696">
        <v>32000</v>
      </c>
      <c r="F309" s="87">
        <f t="shared" si="3"/>
        <v>0</v>
      </c>
      <c r="G309" s="690"/>
      <c r="H309" s="693"/>
      <c r="I309" s="692"/>
      <c r="J309" s="692"/>
      <c r="K309" s="692"/>
      <c r="L309" s="692"/>
      <c r="M309" s="692"/>
      <c r="N309" s="692"/>
      <c r="O309" s="692"/>
      <c r="P309" s="692"/>
    </row>
    <row r="310" spans="1:16" s="709" customFormat="1" ht="15" customHeight="1" x14ac:dyDescent="0.25">
      <c r="A310" s="696" t="s">
        <v>1970</v>
      </c>
      <c r="B310" s="696" t="s">
        <v>66</v>
      </c>
      <c r="C310" s="714">
        <v>100</v>
      </c>
      <c r="D310" s="573"/>
      <c r="E310" s="696">
        <v>100</v>
      </c>
      <c r="F310" s="87">
        <f t="shared" ref="F310" si="5">C310-E310</f>
        <v>0</v>
      </c>
      <c r="G310" s="690"/>
      <c r="H310" s="693"/>
      <c r="I310" s="692"/>
      <c r="J310" s="692"/>
      <c r="K310" s="692"/>
      <c r="L310" s="692"/>
      <c r="M310" s="692"/>
      <c r="N310" s="692"/>
      <c r="O310" s="692"/>
      <c r="P310" s="692"/>
    </row>
    <row r="311" spans="1:16" ht="15" customHeight="1" x14ac:dyDescent="0.25">
      <c r="A311" s="696" t="s">
        <v>1988</v>
      </c>
      <c r="B311" s="696" t="s">
        <v>1836</v>
      </c>
      <c r="C311" s="714">
        <v>26000</v>
      </c>
      <c r="D311" s="573"/>
      <c r="E311" s="696">
        <v>26000</v>
      </c>
      <c r="F311" s="87">
        <f t="shared" si="3"/>
        <v>0</v>
      </c>
      <c r="G311" s="690"/>
      <c r="H311" s="693"/>
      <c r="I311" s="692"/>
      <c r="J311" s="692"/>
      <c r="K311" s="692"/>
      <c r="L311" s="692"/>
      <c r="M311" s="692"/>
      <c r="N311" s="692"/>
      <c r="O311" s="692"/>
      <c r="P311" s="692"/>
    </row>
    <row r="312" spans="1:16" ht="15" customHeight="1" x14ac:dyDescent="0.25">
      <c r="A312" s="696" t="s">
        <v>1988</v>
      </c>
      <c r="B312" s="696" t="s">
        <v>1989</v>
      </c>
      <c r="C312" s="714">
        <v>18000</v>
      </c>
      <c r="D312" s="573"/>
      <c r="E312" s="696">
        <v>18000</v>
      </c>
      <c r="F312" s="87">
        <f t="shared" si="3"/>
        <v>0</v>
      </c>
      <c r="G312" s="690"/>
      <c r="H312" s="693"/>
      <c r="I312" s="692"/>
      <c r="J312" s="692"/>
      <c r="K312" s="692"/>
      <c r="L312" s="692"/>
      <c r="M312" s="692"/>
      <c r="N312" s="692"/>
      <c r="O312" s="692"/>
      <c r="P312" s="692"/>
    </row>
    <row r="313" spans="1:16" ht="15" customHeight="1" x14ac:dyDescent="0.25">
      <c r="A313" s="696" t="s">
        <v>1988</v>
      </c>
      <c r="B313" s="696" t="s">
        <v>1990</v>
      </c>
      <c r="C313" s="714">
        <v>15000</v>
      </c>
      <c r="D313" s="573"/>
      <c r="E313" s="696">
        <v>15000</v>
      </c>
      <c r="F313" s="87">
        <f t="shared" si="3"/>
        <v>0</v>
      </c>
      <c r="G313" s="690"/>
      <c r="H313" s="693"/>
      <c r="I313" s="692"/>
      <c r="J313" s="692"/>
      <c r="K313" s="692"/>
      <c r="L313" s="692"/>
      <c r="M313" s="692"/>
      <c r="N313" s="692"/>
      <c r="O313" s="692"/>
      <c r="P313" s="692"/>
    </row>
    <row r="314" spans="1:16" ht="15" customHeight="1" x14ac:dyDescent="0.25">
      <c r="A314" s="696" t="s">
        <v>1988</v>
      </c>
      <c r="B314" s="696" t="s">
        <v>1991</v>
      </c>
      <c r="C314" s="714">
        <v>15000</v>
      </c>
      <c r="D314" s="573"/>
      <c r="E314" s="696">
        <v>15000</v>
      </c>
      <c r="F314" s="87">
        <f t="shared" si="3"/>
        <v>0</v>
      </c>
      <c r="G314" s="690"/>
      <c r="H314" s="693"/>
      <c r="I314" s="692"/>
      <c r="J314" s="692"/>
      <c r="K314" s="692"/>
      <c r="L314" s="692"/>
      <c r="M314" s="692"/>
      <c r="N314" s="692"/>
      <c r="O314" s="692"/>
      <c r="P314" s="692"/>
    </row>
    <row r="315" spans="1:16" ht="15" customHeight="1" x14ac:dyDescent="0.25">
      <c r="A315" s="696" t="s">
        <v>1988</v>
      </c>
      <c r="B315" s="696" t="s">
        <v>1992</v>
      </c>
      <c r="C315" s="714">
        <v>17000</v>
      </c>
      <c r="D315" s="573"/>
      <c r="E315" s="696">
        <v>17000</v>
      </c>
      <c r="F315" s="87">
        <f t="shared" si="3"/>
        <v>0</v>
      </c>
      <c r="G315" s="690"/>
      <c r="H315" s="693"/>
      <c r="I315" s="692"/>
      <c r="J315" s="692"/>
      <c r="K315" s="692"/>
      <c r="L315" s="692"/>
      <c r="M315" s="692"/>
      <c r="N315" s="692"/>
      <c r="O315" s="692"/>
      <c r="P315" s="692"/>
    </row>
    <row r="316" spans="1:16" ht="15" customHeight="1" x14ac:dyDescent="0.25">
      <c r="A316" s="696" t="s">
        <v>1988</v>
      </c>
      <c r="B316" s="696" t="s">
        <v>1748</v>
      </c>
      <c r="C316" s="714">
        <v>15000</v>
      </c>
      <c r="D316" s="573"/>
      <c r="E316" s="696">
        <v>15000</v>
      </c>
      <c r="F316" s="87">
        <f t="shared" si="3"/>
        <v>0</v>
      </c>
      <c r="G316" s="690"/>
      <c r="H316" s="693"/>
      <c r="I316" s="692"/>
      <c r="J316" s="692"/>
      <c r="K316" s="692"/>
      <c r="L316" s="692"/>
      <c r="M316" s="692"/>
      <c r="N316" s="692"/>
      <c r="O316" s="692"/>
      <c r="P316" s="692"/>
    </row>
    <row r="317" spans="1:16" s="694" customFormat="1" ht="15" customHeight="1" x14ac:dyDescent="0.25">
      <c r="A317" s="696" t="s">
        <v>1988</v>
      </c>
      <c r="B317" s="696" t="s">
        <v>1993</v>
      </c>
      <c r="C317" s="714">
        <v>20000</v>
      </c>
      <c r="D317" s="573"/>
      <c r="E317" s="696">
        <v>20000</v>
      </c>
      <c r="F317" s="87">
        <f t="shared" si="3"/>
        <v>0</v>
      </c>
      <c r="G317" s="690"/>
      <c r="H317" s="693"/>
      <c r="I317" s="692"/>
      <c r="J317" s="692"/>
      <c r="K317" s="692"/>
      <c r="L317" s="692"/>
      <c r="M317" s="692"/>
      <c r="N317" s="692"/>
      <c r="O317" s="692"/>
      <c r="P317" s="692"/>
    </row>
    <row r="318" spans="1:16" s="694" customFormat="1" ht="15" customHeight="1" x14ac:dyDescent="0.25">
      <c r="A318" s="696" t="s">
        <v>1988</v>
      </c>
      <c r="B318" s="696" t="s">
        <v>1994</v>
      </c>
      <c r="C318" s="714">
        <v>26000</v>
      </c>
      <c r="D318" s="573"/>
      <c r="E318" s="696">
        <v>26000</v>
      </c>
      <c r="F318" s="87">
        <f t="shared" si="3"/>
        <v>0</v>
      </c>
      <c r="G318" s="690"/>
      <c r="H318" s="693"/>
      <c r="I318" s="692"/>
      <c r="J318" s="692"/>
      <c r="K318" s="692"/>
      <c r="L318" s="692"/>
      <c r="M318" s="692"/>
      <c r="N318" s="692"/>
      <c r="O318" s="692"/>
      <c r="P318" s="692"/>
    </row>
    <row r="319" spans="1:16" s="694" customFormat="1" ht="15" customHeight="1" x14ac:dyDescent="0.25">
      <c r="A319" s="696" t="s">
        <v>1988</v>
      </c>
      <c r="B319" s="696" t="s">
        <v>1889</v>
      </c>
      <c r="C319" s="714">
        <v>20000</v>
      </c>
      <c r="D319" s="573"/>
      <c r="E319" s="696">
        <v>20000</v>
      </c>
      <c r="F319" s="87">
        <f t="shared" si="3"/>
        <v>0</v>
      </c>
      <c r="G319" s="690"/>
      <c r="H319" s="693"/>
      <c r="I319" s="692"/>
      <c r="J319" s="692"/>
      <c r="K319" s="692"/>
      <c r="L319" s="692"/>
      <c r="M319" s="692"/>
      <c r="N319" s="692"/>
      <c r="O319" s="692"/>
      <c r="P319" s="692"/>
    </row>
    <row r="320" spans="1:16" s="694" customFormat="1" ht="15" customHeight="1" x14ac:dyDescent="0.25">
      <c r="A320" s="696" t="s">
        <v>1988</v>
      </c>
      <c r="B320" s="696" t="s">
        <v>1366</v>
      </c>
      <c r="C320" s="714">
        <v>15000</v>
      </c>
      <c r="D320" s="573"/>
      <c r="E320" s="696">
        <v>15000</v>
      </c>
      <c r="F320" s="87">
        <f t="shared" si="3"/>
        <v>0</v>
      </c>
      <c r="G320" s="690"/>
      <c r="H320" s="693"/>
      <c r="I320" s="692"/>
      <c r="J320" s="692"/>
      <c r="K320" s="692"/>
      <c r="L320" s="692"/>
      <c r="M320" s="692"/>
      <c r="N320" s="692"/>
      <c r="O320" s="692"/>
      <c r="P320" s="692"/>
    </row>
    <row r="321" spans="1:16" s="694" customFormat="1" ht="15" customHeight="1" x14ac:dyDescent="0.25">
      <c r="A321" s="696" t="s">
        <v>1988</v>
      </c>
      <c r="B321" s="696" t="s">
        <v>1888</v>
      </c>
      <c r="C321" s="714">
        <v>15000</v>
      </c>
      <c r="D321" s="573"/>
      <c r="E321" s="696">
        <v>15000</v>
      </c>
      <c r="F321" s="87">
        <f t="shared" si="3"/>
        <v>0</v>
      </c>
      <c r="G321" s="690"/>
      <c r="H321" s="693"/>
      <c r="I321" s="692"/>
      <c r="J321" s="692"/>
      <c r="K321" s="692"/>
      <c r="L321" s="692"/>
      <c r="M321" s="692"/>
      <c r="N321" s="692"/>
      <c r="O321" s="692"/>
      <c r="P321" s="692"/>
    </row>
    <row r="322" spans="1:16" s="694" customFormat="1" ht="15" customHeight="1" x14ac:dyDescent="0.25">
      <c r="A322" s="696" t="s">
        <v>1988</v>
      </c>
      <c r="B322" s="696" t="s">
        <v>1995</v>
      </c>
      <c r="C322" s="714">
        <v>5000</v>
      </c>
      <c r="D322" s="573"/>
      <c r="E322" s="696">
        <v>5000</v>
      </c>
      <c r="F322" s="87">
        <f t="shared" si="3"/>
        <v>0</v>
      </c>
      <c r="G322" s="690"/>
      <c r="H322" s="693"/>
      <c r="I322" s="692"/>
      <c r="J322" s="692"/>
      <c r="K322" s="692"/>
      <c r="L322" s="692"/>
      <c r="M322" s="692"/>
      <c r="N322" s="692"/>
      <c r="O322" s="692"/>
      <c r="P322" s="692"/>
    </row>
    <row r="323" spans="1:16" s="694" customFormat="1" ht="15" customHeight="1" x14ac:dyDescent="0.25">
      <c r="A323" s="696" t="s">
        <v>1988</v>
      </c>
      <c r="B323" s="696" t="s">
        <v>1996</v>
      </c>
      <c r="C323" s="714">
        <v>26000</v>
      </c>
      <c r="D323" s="573"/>
      <c r="E323" s="696">
        <v>26000</v>
      </c>
      <c r="F323" s="87">
        <f t="shared" si="3"/>
        <v>0</v>
      </c>
      <c r="G323" s="690"/>
      <c r="H323" s="693"/>
      <c r="I323" s="692"/>
      <c r="J323" s="692"/>
      <c r="K323" s="692"/>
      <c r="L323" s="692"/>
      <c r="M323" s="692"/>
      <c r="N323" s="692"/>
      <c r="O323" s="692"/>
      <c r="P323" s="692"/>
    </row>
    <row r="324" spans="1:16" s="694" customFormat="1" ht="15" customHeight="1" x14ac:dyDescent="0.25">
      <c r="A324" s="696" t="s">
        <v>1988</v>
      </c>
      <c r="B324" s="696" t="s">
        <v>30</v>
      </c>
      <c r="C324" s="714">
        <v>9000</v>
      </c>
      <c r="D324" s="573"/>
      <c r="E324" s="696">
        <v>9000</v>
      </c>
      <c r="F324" s="87">
        <f t="shared" si="3"/>
        <v>0</v>
      </c>
      <c r="G324" s="690"/>
      <c r="H324" s="693"/>
      <c r="I324" s="692"/>
      <c r="J324" s="692"/>
      <c r="K324" s="692"/>
      <c r="L324" s="692"/>
      <c r="M324" s="692"/>
      <c r="N324" s="692"/>
      <c r="O324" s="692"/>
      <c r="P324" s="692"/>
    </row>
    <row r="325" spans="1:16" s="694" customFormat="1" ht="15" customHeight="1" x14ac:dyDescent="0.25">
      <c r="A325" s="696" t="s">
        <v>1988</v>
      </c>
      <c r="B325" s="696" t="s">
        <v>1959</v>
      </c>
      <c r="C325" s="714">
        <v>21943</v>
      </c>
      <c r="D325" s="573"/>
      <c r="E325" s="696">
        <v>21943</v>
      </c>
      <c r="F325" s="87">
        <f t="shared" si="3"/>
        <v>0</v>
      </c>
      <c r="G325" s="690"/>
      <c r="H325" s="693"/>
      <c r="I325" s="692"/>
      <c r="J325" s="692"/>
      <c r="K325" s="692"/>
      <c r="L325" s="692"/>
      <c r="M325" s="692"/>
      <c r="N325" s="692"/>
      <c r="O325" s="692"/>
      <c r="P325" s="692"/>
    </row>
    <row r="326" spans="1:16" s="694" customFormat="1" ht="15" customHeight="1" x14ac:dyDescent="0.25">
      <c r="A326" s="696" t="s">
        <v>1988</v>
      </c>
      <c r="B326" s="696" t="s">
        <v>1997</v>
      </c>
      <c r="C326" s="714">
        <v>23003</v>
      </c>
      <c r="D326" s="573"/>
      <c r="E326" s="696">
        <v>23003</v>
      </c>
      <c r="F326" s="87">
        <f t="shared" si="3"/>
        <v>0</v>
      </c>
      <c r="G326" s="690"/>
      <c r="H326" s="693"/>
      <c r="I326" s="692"/>
      <c r="J326" s="692"/>
      <c r="K326" s="692"/>
      <c r="L326" s="692"/>
      <c r="M326" s="692"/>
      <c r="N326" s="692"/>
      <c r="O326" s="692"/>
      <c r="P326" s="692"/>
    </row>
    <row r="327" spans="1:16" s="694" customFormat="1" ht="15" customHeight="1" x14ac:dyDescent="0.25">
      <c r="A327" s="696" t="s">
        <v>1988</v>
      </c>
      <c r="B327" s="696" t="s">
        <v>1998</v>
      </c>
      <c r="C327" s="714">
        <v>31000</v>
      </c>
      <c r="D327" s="573"/>
      <c r="E327" s="696">
        <v>31000</v>
      </c>
      <c r="F327" s="87">
        <f t="shared" si="3"/>
        <v>0</v>
      </c>
      <c r="G327" s="690"/>
      <c r="H327" s="693"/>
      <c r="I327" s="692"/>
      <c r="J327" s="692"/>
      <c r="K327" s="692"/>
      <c r="L327" s="692"/>
      <c r="M327" s="692"/>
      <c r="N327" s="692"/>
      <c r="O327" s="692"/>
      <c r="P327" s="692"/>
    </row>
    <row r="328" spans="1:16" s="694" customFormat="1" ht="15" customHeight="1" x14ac:dyDescent="0.25">
      <c r="A328" s="696" t="s">
        <v>1988</v>
      </c>
      <c r="B328" s="696" t="s">
        <v>1999</v>
      </c>
      <c r="C328" s="714">
        <v>27000</v>
      </c>
      <c r="D328" s="573"/>
      <c r="E328" s="696">
        <v>27000</v>
      </c>
      <c r="F328" s="87">
        <f t="shared" si="3"/>
        <v>0</v>
      </c>
      <c r="G328" s="690"/>
      <c r="H328" s="693"/>
      <c r="I328" s="692"/>
      <c r="J328" s="692"/>
      <c r="K328" s="692"/>
      <c r="L328" s="692"/>
      <c r="M328" s="692"/>
      <c r="N328" s="692"/>
      <c r="O328" s="692"/>
      <c r="P328" s="692"/>
    </row>
    <row r="329" spans="1:16" s="694" customFormat="1" ht="15" customHeight="1" x14ac:dyDescent="0.25">
      <c r="A329" s="696" t="s">
        <v>1988</v>
      </c>
      <c r="B329" s="696" t="s">
        <v>2000</v>
      </c>
      <c r="C329" s="714">
        <v>31000</v>
      </c>
      <c r="D329" s="573"/>
      <c r="E329" s="696">
        <v>31000</v>
      </c>
      <c r="F329" s="87">
        <f t="shared" si="3"/>
        <v>0</v>
      </c>
      <c r="G329" s="690"/>
      <c r="H329" s="693"/>
      <c r="I329" s="692"/>
      <c r="J329" s="692"/>
      <c r="K329" s="692"/>
      <c r="L329" s="692"/>
      <c r="M329" s="692"/>
      <c r="N329" s="692"/>
      <c r="O329" s="692"/>
      <c r="P329" s="692"/>
    </row>
    <row r="330" spans="1:16" s="694" customFormat="1" ht="15" customHeight="1" x14ac:dyDescent="0.25">
      <c r="A330" s="696" t="s">
        <v>1988</v>
      </c>
      <c r="B330" s="696" t="s">
        <v>30</v>
      </c>
      <c r="C330" s="714">
        <v>4500</v>
      </c>
      <c r="D330" s="573"/>
      <c r="E330" s="696">
        <v>4500</v>
      </c>
      <c r="F330" s="87">
        <f t="shared" si="3"/>
        <v>0</v>
      </c>
      <c r="G330" s="690"/>
      <c r="H330" s="693"/>
      <c r="I330" s="692"/>
      <c r="J330" s="692"/>
      <c r="K330" s="692"/>
      <c r="L330" s="692"/>
      <c r="M330" s="692"/>
      <c r="N330" s="692"/>
      <c r="O330" s="692"/>
      <c r="P330" s="692"/>
    </row>
    <row r="331" spans="1:16" s="709" customFormat="1" ht="15" customHeight="1" x14ac:dyDescent="0.25">
      <c r="A331" s="696" t="s">
        <v>1988</v>
      </c>
      <c r="B331" s="696" t="s">
        <v>66</v>
      </c>
      <c r="C331" s="714">
        <v>210</v>
      </c>
      <c r="D331" s="573"/>
      <c r="E331" s="696">
        <v>210</v>
      </c>
      <c r="F331" s="87">
        <f t="shared" ref="F331" si="6">C331-E331</f>
        <v>0</v>
      </c>
      <c r="G331" s="690"/>
      <c r="H331" s="693"/>
      <c r="I331" s="692"/>
      <c r="J331" s="692"/>
      <c r="K331" s="692"/>
      <c r="L331" s="692"/>
      <c r="M331" s="692"/>
      <c r="N331" s="692"/>
      <c r="O331" s="692"/>
      <c r="P331" s="692"/>
    </row>
    <row r="332" spans="1:16" s="694" customFormat="1" ht="15" customHeight="1" x14ac:dyDescent="0.25">
      <c r="A332" s="696" t="s">
        <v>1988</v>
      </c>
      <c r="B332" s="696" t="s">
        <v>2001</v>
      </c>
      <c r="C332" s="714">
        <v>20000</v>
      </c>
      <c r="D332" s="573"/>
      <c r="E332" s="696">
        <v>20000</v>
      </c>
      <c r="F332" s="87">
        <f t="shared" si="3"/>
        <v>0</v>
      </c>
      <c r="G332" s="690"/>
      <c r="H332" s="693"/>
      <c r="I332" s="692"/>
      <c r="J332" s="692"/>
      <c r="K332" s="692"/>
      <c r="L332" s="692"/>
      <c r="M332" s="692"/>
      <c r="N332" s="692"/>
      <c r="O332" s="692"/>
      <c r="P332" s="692"/>
    </row>
    <row r="333" spans="1:16" s="694" customFormat="1" ht="15" customHeight="1" x14ac:dyDescent="0.25">
      <c r="A333" s="696" t="s">
        <v>1988</v>
      </c>
      <c r="B333" s="696" t="s">
        <v>2002</v>
      </c>
      <c r="C333" s="714">
        <v>15000</v>
      </c>
      <c r="D333" s="573"/>
      <c r="E333" s="696">
        <v>15000</v>
      </c>
      <c r="F333" s="87">
        <f t="shared" si="3"/>
        <v>0</v>
      </c>
      <c r="G333" s="690"/>
      <c r="H333" s="693"/>
      <c r="I333" s="692"/>
      <c r="J333" s="692"/>
      <c r="K333" s="692"/>
      <c r="L333" s="692"/>
      <c r="M333" s="692"/>
      <c r="N333" s="692"/>
      <c r="O333" s="692"/>
      <c r="P333" s="692"/>
    </row>
    <row r="334" spans="1:16" s="694" customFormat="1" ht="15" customHeight="1" x14ac:dyDescent="0.25">
      <c r="A334" s="696" t="s">
        <v>1988</v>
      </c>
      <c r="B334" s="696" t="s">
        <v>2003</v>
      </c>
      <c r="C334" s="714">
        <v>20000</v>
      </c>
      <c r="D334" s="573"/>
      <c r="E334" s="696">
        <v>20000</v>
      </c>
      <c r="F334" s="87">
        <f t="shared" si="3"/>
        <v>0</v>
      </c>
      <c r="G334" s="690"/>
      <c r="H334" s="693"/>
      <c r="I334" s="692"/>
      <c r="J334" s="692"/>
      <c r="K334" s="692"/>
      <c r="L334" s="692"/>
      <c r="M334" s="692"/>
      <c r="N334" s="692"/>
      <c r="O334" s="692"/>
      <c r="P334" s="692"/>
    </row>
    <row r="335" spans="1:16" s="694" customFormat="1" ht="15" customHeight="1" x14ac:dyDescent="0.25">
      <c r="A335" s="696" t="s">
        <v>1988</v>
      </c>
      <c r="B335" s="696" t="s">
        <v>2004</v>
      </c>
      <c r="C335" s="714">
        <v>30000</v>
      </c>
      <c r="D335" s="573"/>
      <c r="E335" s="696">
        <v>30000</v>
      </c>
      <c r="F335" s="87">
        <f t="shared" si="3"/>
        <v>0</v>
      </c>
      <c r="G335" s="690"/>
      <c r="H335" s="693"/>
      <c r="I335" s="692"/>
      <c r="J335" s="692"/>
      <c r="K335" s="692"/>
      <c r="L335" s="692"/>
      <c r="M335" s="692"/>
      <c r="N335" s="692"/>
      <c r="O335" s="692"/>
      <c r="P335" s="692"/>
    </row>
    <row r="336" spans="1:16" s="694" customFormat="1" ht="15" customHeight="1" x14ac:dyDescent="0.25">
      <c r="A336" s="696" t="s">
        <v>1988</v>
      </c>
      <c r="B336" s="696" t="s">
        <v>2005</v>
      </c>
      <c r="C336" s="714">
        <v>25000</v>
      </c>
      <c r="D336" s="573"/>
      <c r="E336" s="696">
        <v>25000</v>
      </c>
      <c r="F336" s="87">
        <f t="shared" si="3"/>
        <v>0</v>
      </c>
      <c r="G336" s="690"/>
      <c r="H336" s="693"/>
      <c r="I336" s="692"/>
      <c r="J336" s="692"/>
      <c r="K336" s="692"/>
      <c r="L336" s="692"/>
      <c r="M336" s="692"/>
      <c r="N336" s="692"/>
      <c r="O336" s="692"/>
      <c r="P336" s="692"/>
    </row>
    <row r="337" spans="1:16" s="694" customFormat="1" ht="15" customHeight="1" x14ac:dyDescent="0.25">
      <c r="A337" s="696" t="s">
        <v>1988</v>
      </c>
      <c r="B337" s="696" t="s">
        <v>2006</v>
      </c>
      <c r="C337" s="714">
        <v>25000</v>
      </c>
      <c r="D337" s="573"/>
      <c r="E337" s="696">
        <v>25000</v>
      </c>
      <c r="F337" s="87">
        <f t="shared" si="3"/>
        <v>0</v>
      </c>
      <c r="G337" s="690"/>
      <c r="H337" s="693"/>
      <c r="I337" s="692"/>
      <c r="J337" s="692"/>
      <c r="K337" s="692"/>
      <c r="L337" s="692"/>
      <c r="M337" s="692"/>
      <c r="N337" s="692"/>
      <c r="O337" s="692"/>
      <c r="P337" s="692"/>
    </row>
    <row r="338" spans="1:16" s="694" customFormat="1" ht="15" customHeight="1" x14ac:dyDescent="0.25">
      <c r="A338" s="696" t="s">
        <v>1988</v>
      </c>
      <c r="B338" s="696" t="s">
        <v>2007</v>
      </c>
      <c r="C338" s="714">
        <v>25000</v>
      </c>
      <c r="D338" s="573"/>
      <c r="E338" s="696">
        <v>25000</v>
      </c>
      <c r="F338" s="87">
        <f t="shared" si="3"/>
        <v>0</v>
      </c>
      <c r="G338" s="690"/>
      <c r="H338" s="693"/>
      <c r="I338" s="692"/>
      <c r="J338" s="692"/>
      <c r="K338" s="692"/>
      <c r="L338" s="692"/>
      <c r="M338" s="692"/>
      <c r="N338" s="692"/>
      <c r="O338" s="692"/>
      <c r="P338" s="692"/>
    </row>
    <row r="339" spans="1:16" s="694" customFormat="1" ht="15" customHeight="1" x14ac:dyDescent="0.25">
      <c r="A339" s="696" t="s">
        <v>2008</v>
      </c>
      <c r="B339" s="696" t="s">
        <v>2009</v>
      </c>
      <c r="C339" s="714">
        <v>15000</v>
      </c>
      <c r="D339" s="573"/>
      <c r="E339" s="696">
        <v>15000</v>
      </c>
      <c r="F339" s="87">
        <f t="shared" si="3"/>
        <v>0</v>
      </c>
      <c r="G339" s="690"/>
      <c r="H339" s="693"/>
      <c r="I339" s="692"/>
      <c r="J339" s="692"/>
      <c r="K339" s="692"/>
      <c r="L339" s="692"/>
      <c r="M339" s="692"/>
      <c r="N339" s="692"/>
      <c r="O339" s="692"/>
      <c r="P339" s="692"/>
    </row>
    <row r="340" spans="1:16" s="694" customFormat="1" ht="15" customHeight="1" x14ac:dyDescent="0.25">
      <c r="A340" s="696" t="s">
        <v>2008</v>
      </c>
      <c r="B340" s="696" t="s">
        <v>1769</v>
      </c>
      <c r="C340" s="714">
        <v>32000</v>
      </c>
      <c r="D340" s="573"/>
      <c r="E340" s="696">
        <v>32000</v>
      </c>
      <c r="F340" s="87">
        <f t="shared" si="3"/>
        <v>0</v>
      </c>
      <c r="G340" s="690"/>
      <c r="H340" s="693"/>
      <c r="I340" s="692"/>
      <c r="J340" s="692"/>
      <c r="K340" s="692"/>
      <c r="L340" s="692"/>
      <c r="M340" s="692"/>
      <c r="N340" s="692"/>
      <c r="O340" s="692"/>
      <c r="P340" s="692"/>
    </row>
    <row r="341" spans="1:16" s="694" customFormat="1" ht="15" customHeight="1" x14ac:dyDescent="0.25">
      <c r="A341" s="696" t="s">
        <v>2008</v>
      </c>
      <c r="B341" s="696" t="s">
        <v>2010</v>
      </c>
      <c r="C341" s="714">
        <v>28000</v>
      </c>
      <c r="D341" s="573"/>
      <c r="E341" s="696">
        <v>28000</v>
      </c>
      <c r="F341" s="87">
        <f t="shared" si="3"/>
        <v>0</v>
      </c>
      <c r="G341" s="690"/>
      <c r="H341" s="693"/>
      <c r="I341" s="692"/>
      <c r="J341" s="692"/>
      <c r="K341" s="692"/>
      <c r="L341" s="692"/>
      <c r="M341" s="692"/>
      <c r="N341" s="692"/>
      <c r="O341" s="692"/>
      <c r="P341" s="692"/>
    </row>
    <row r="342" spans="1:16" s="694" customFormat="1" ht="15" customHeight="1" x14ac:dyDescent="0.25">
      <c r="A342" s="696" t="s">
        <v>2008</v>
      </c>
      <c r="B342" s="696" t="s">
        <v>2011</v>
      </c>
      <c r="C342" s="714">
        <v>26000</v>
      </c>
      <c r="D342" s="573"/>
      <c r="E342" s="696">
        <v>26000</v>
      </c>
      <c r="F342" s="87">
        <f t="shared" si="3"/>
        <v>0</v>
      </c>
      <c r="G342" s="690"/>
      <c r="H342" s="693"/>
      <c r="I342" s="692"/>
      <c r="J342" s="692"/>
      <c r="K342" s="692"/>
      <c r="L342" s="692"/>
      <c r="M342" s="692"/>
      <c r="N342" s="692"/>
      <c r="O342" s="692"/>
      <c r="P342" s="692"/>
    </row>
    <row r="343" spans="1:16" s="694" customFormat="1" ht="15" customHeight="1" x14ac:dyDescent="0.25">
      <c r="A343" s="696" t="s">
        <v>2008</v>
      </c>
      <c r="B343" s="696" t="s">
        <v>2012</v>
      </c>
      <c r="C343" s="714">
        <v>25000</v>
      </c>
      <c r="D343" s="573"/>
      <c r="E343" s="696">
        <v>25000</v>
      </c>
      <c r="F343" s="87">
        <f t="shared" si="3"/>
        <v>0</v>
      </c>
      <c r="G343" s="690"/>
      <c r="H343" s="693"/>
      <c r="I343" s="692"/>
      <c r="J343" s="692"/>
      <c r="K343" s="692"/>
      <c r="L343" s="692"/>
      <c r="M343" s="692"/>
      <c r="N343" s="692"/>
      <c r="O343" s="692"/>
      <c r="P343" s="692"/>
    </row>
    <row r="344" spans="1:16" s="694" customFormat="1" ht="15" customHeight="1" x14ac:dyDescent="0.25">
      <c r="A344" s="696" t="s">
        <v>2008</v>
      </c>
      <c r="B344" s="696" t="s">
        <v>2013</v>
      </c>
      <c r="C344" s="714">
        <v>25000</v>
      </c>
      <c r="D344" s="573"/>
      <c r="E344" s="696">
        <v>25000</v>
      </c>
      <c r="F344" s="87">
        <f t="shared" si="3"/>
        <v>0</v>
      </c>
      <c r="G344" s="690"/>
      <c r="H344" s="693"/>
      <c r="I344" s="692"/>
      <c r="J344" s="692"/>
      <c r="K344" s="692"/>
      <c r="L344" s="692"/>
      <c r="M344" s="692"/>
      <c r="N344" s="692"/>
      <c r="O344" s="692"/>
      <c r="P344" s="692"/>
    </row>
    <row r="345" spans="1:16" s="694" customFormat="1" ht="15" customHeight="1" x14ac:dyDescent="0.25">
      <c r="A345" s="696" t="s">
        <v>2008</v>
      </c>
      <c r="B345" s="696" t="s">
        <v>2014</v>
      </c>
      <c r="C345" s="714">
        <v>15000</v>
      </c>
      <c r="D345" s="573"/>
      <c r="E345" s="696">
        <v>15000</v>
      </c>
      <c r="F345" s="87">
        <f t="shared" si="3"/>
        <v>0</v>
      </c>
      <c r="G345" s="690"/>
      <c r="H345" s="693"/>
      <c r="I345" s="692"/>
      <c r="J345" s="692"/>
      <c r="K345" s="692"/>
      <c r="L345" s="692"/>
      <c r="M345" s="692"/>
      <c r="N345" s="692"/>
      <c r="O345" s="692"/>
      <c r="P345" s="692"/>
    </row>
    <row r="346" spans="1:16" s="694" customFormat="1" ht="15" customHeight="1" x14ac:dyDescent="0.25">
      <c r="A346" s="696" t="s">
        <v>2008</v>
      </c>
      <c r="B346" s="696" t="s">
        <v>2015</v>
      </c>
      <c r="C346" s="714">
        <v>16000</v>
      </c>
      <c r="D346" s="573"/>
      <c r="E346" s="696">
        <v>16000</v>
      </c>
      <c r="F346" s="87">
        <f t="shared" si="3"/>
        <v>0</v>
      </c>
      <c r="G346" s="690"/>
      <c r="H346" s="693"/>
      <c r="I346" s="692"/>
      <c r="J346" s="692"/>
      <c r="K346" s="692"/>
      <c r="L346" s="692"/>
      <c r="M346" s="692"/>
      <c r="N346" s="692"/>
      <c r="O346" s="692"/>
      <c r="P346" s="692"/>
    </row>
    <row r="347" spans="1:16" s="694" customFormat="1" ht="15" customHeight="1" x14ac:dyDescent="0.25">
      <c r="A347" s="696" t="s">
        <v>2008</v>
      </c>
      <c r="B347" s="696" t="s">
        <v>2016</v>
      </c>
      <c r="C347" s="714">
        <v>15000</v>
      </c>
      <c r="D347" s="573"/>
      <c r="E347" s="696">
        <v>15000</v>
      </c>
      <c r="F347" s="87">
        <f t="shared" si="3"/>
        <v>0</v>
      </c>
      <c r="G347" s="690"/>
      <c r="H347" s="693"/>
      <c r="I347" s="692"/>
      <c r="J347" s="692"/>
      <c r="K347" s="692"/>
      <c r="L347" s="692"/>
      <c r="M347" s="692"/>
      <c r="N347" s="692"/>
      <c r="O347" s="692"/>
      <c r="P347" s="692"/>
    </row>
    <row r="348" spans="1:16" s="694" customFormat="1" ht="15" customHeight="1" x14ac:dyDescent="0.25">
      <c r="A348" s="696" t="s">
        <v>2008</v>
      </c>
      <c r="B348" s="696" t="s">
        <v>2017</v>
      </c>
      <c r="C348" s="714">
        <v>20000</v>
      </c>
      <c r="D348" s="573"/>
      <c r="E348" s="696">
        <v>20000</v>
      </c>
      <c r="F348" s="87">
        <f t="shared" si="3"/>
        <v>0</v>
      </c>
      <c r="G348" s="690"/>
      <c r="H348" s="693"/>
      <c r="I348" s="692"/>
      <c r="J348" s="692"/>
      <c r="K348" s="692"/>
      <c r="L348" s="692"/>
      <c r="M348" s="692"/>
      <c r="N348" s="692"/>
      <c r="O348" s="692"/>
      <c r="P348" s="692"/>
    </row>
    <row r="349" spans="1:16" s="694" customFormat="1" ht="15" customHeight="1" x14ac:dyDescent="0.25">
      <c r="A349" s="696" t="s">
        <v>2008</v>
      </c>
      <c r="B349" s="696" t="s">
        <v>2018</v>
      </c>
      <c r="C349" s="714">
        <v>28000</v>
      </c>
      <c r="D349" s="573"/>
      <c r="E349" s="696">
        <v>28000</v>
      </c>
      <c r="F349" s="87">
        <f t="shared" si="3"/>
        <v>0</v>
      </c>
      <c r="G349" s="690"/>
      <c r="H349" s="693"/>
      <c r="I349" s="692"/>
      <c r="J349" s="692"/>
      <c r="K349" s="692"/>
      <c r="L349" s="692"/>
      <c r="M349" s="692"/>
      <c r="N349" s="692"/>
      <c r="O349" s="692"/>
      <c r="P349" s="692"/>
    </row>
    <row r="350" spans="1:16" s="694" customFormat="1" ht="15" customHeight="1" x14ac:dyDescent="0.25">
      <c r="A350" s="696" t="s">
        <v>2008</v>
      </c>
      <c r="B350" s="696" t="s">
        <v>1913</v>
      </c>
      <c r="C350" s="714">
        <v>25000</v>
      </c>
      <c r="D350" s="573"/>
      <c r="E350" s="696">
        <v>25000</v>
      </c>
      <c r="F350" s="87">
        <f t="shared" si="3"/>
        <v>0</v>
      </c>
      <c r="G350" s="690"/>
      <c r="H350" s="693"/>
      <c r="I350" s="692"/>
      <c r="J350" s="692"/>
      <c r="K350" s="692"/>
      <c r="L350" s="692"/>
      <c r="M350" s="692"/>
      <c r="N350" s="692"/>
      <c r="O350" s="692"/>
      <c r="P350" s="692"/>
    </row>
    <row r="351" spans="1:16" s="694" customFormat="1" ht="15" customHeight="1" x14ac:dyDescent="0.25">
      <c r="A351" s="696" t="s">
        <v>2008</v>
      </c>
      <c r="B351" s="696" t="s">
        <v>2019</v>
      </c>
      <c r="C351" s="714">
        <v>10000</v>
      </c>
      <c r="D351" s="573"/>
      <c r="E351" s="696">
        <v>10000</v>
      </c>
      <c r="F351" s="87">
        <f t="shared" si="3"/>
        <v>0</v>
      </c>
      <c r="G351" s="690"/>
      <c r="H351" s="693"/>
      <c r="I351" s="692"/>
      <c r="J351" s="692"/>
      <c r="K351" s="692"/>
      <c r="L351" s="692"/>
      <c r="M351" s="692"/>
      <c r="N351" s="692"/>
      <c r="O351" s="692"/>
      <c r="P351" s="692"/>
    </row>
    <row r="352" spans="1:16" s="709" customFormat="1" ht="15" customHeight="1" x14ac:dyDescent="0.25">
      <c r="A352" s="696" t="s">
        <v>2008</v>
      </c>
      <c r="B352" s="696" t="s">
        <v>66</v>
      </c>
      <c r="C352" s="714">
        <v>210</v>
      </c>
      <c r="D352" s="573"/>
      <c r="E352" s="696">
        <v>210</v>
      </c>
      <c r="F352" s="87">
        <f t="shared" ref="F352" si="7">C352-E352</f>
        <v>0</v>
      </c>
      <c r="G352" s="690"/>
      <c r="H352" s="693"/>
      <c r="I352" s="692"/>
      <c r="J352" s="692"/>
      <c r="K352" s="692"/>
      <c r="L352" s="692"/>
      <c r="M352" s="692"/>
      <c r="N352" s="692"/>
      <c r="O352" s="692"/>
      <c r="P352" s="692"/>
    </row>
    <row r="353" spans="1:16" s="694" customFormat="1" ht="15" customHeight="1" x14ac:dyDescent="0.25">
      <c r="A353" s="696" t="s">
        <v>2008</v>
      </c>
      <c r="B353" s="696" t="s">
        <v>2787</v>
      </c>
      <c r="C353" s="714">
        <v>31000</v>
      </c>
      <c r="D353" s="573"/>
      <c r="E353" s="696">
        <v>31000</v>
      </c>
      <c r="F353" s="87">
        <f t="shared" si="3"/>
        <v>0</v>
      </c>
      <c r="G353" s="690"/>
      <c r="H353" s="693"/>
      <c r="I353" s="692"/>
      <c r="J353" s="692"/>
      <c r="K353" s="692"/>
      <c r="L353" s="692"/>
      <c r="M353" s="692"/>
      <c r="N353" s="692"/>
      <c r="O353" s="692"/>
      <c r="P353" s="692"/>
    </row>
    <row r="354" spans="1:16" s="694" customFormat="1" ht="15" customHeight="1" x14ac:dyDescent="0.25">
      <c r="A354" s="696" t="s">
        <v>2008</v>
      </c>
      <c r="B354" s="696" t="s">
        <v>2020</v>
      </c>
      <c r="C354" s="714">
        <v>31000</v>
      </c>
      <c r="D354" s="573"/>
      <c r="E354" s="696">
        <v>31000</v>
      </c>
      <c r="F354" s="87">
        <f t="shared" si="3"/>
        <v>0</v>
      </c>
      <c r="G354" s="690"/>
      <c r="H354" s="693"/>
      <c r="I354" s="692"/>
      <c r="J354" s="692"/>
      <c r="K354" s="692"/>
      <c r="L354" s="692"/>
      <c r="M354" s="692"/>
      <c r="N354" s="692"/>
      <c r="O354" s="692"/>
      <c r="P354" s="692"/>
    </row>
    <row r="355" spans="1:16" s="694" customFormat="1" ht="15" customHeight="1" x14ac:dyDescent="0.25">
      <c r="A355" s="696" t="s">
        <v>2008</v>
      </c>
      <c r="B355" s="696" t="s">
        <v>2021</v>
      </c>
      <c r="C355" s="714">
        <v>32000</v>
      </c>
      <c r="D355" s="573"/>
      <c r="E355" s="696">
        <v>32000</v>
      </c>
      <c r="F355" s="87">
        <f t="shared" si="3"/>
        <v>0</v>
      </c>
      <c r="G355" s="690"/>
      <c r="H355" s="693"/>
      <c r="I355" s="692"/>
      <c r="J355" s="692"/>
      <c r="K355" s="692"/>
      <c r="L355" s="692"/>
      <c r="M355" s="692"/>
      <c r="N355" s="692"/>
      <c r="O355" s="692"/>
      <c r="P355" s="692"/>
    </row>
    <row r="356" spans="1:16" s="694" customFormat="1" ht="15" customHeight="1" x14ac:dyDescent="0.25">
      <c r="A356" s="696" t="s">
        <v>2008</v>
      </c>
      <c r="B356" s="696" t="s">
        <v>2022</v>
      </c>
      <c r="C356" s="714">
        <v>26000</v>
      </c>
      <c r="D356" s="573"/>
      <c r="E356" s="696">
        <v>26000</v>
      </c>
      <c r="F356" s="87">
        <f t="shared" si="3"/>
        <v>0</v>
      </c>
      <c r="G356" s="690"/>
      <c r="H356" s="693"/>
      <c r="I356" s="692"/>
      <c r="J356" s="692"/>
      <c r="K356" s="692"/>
      <c r="L356" s="692"/>
      <c r="M356" s="692"/>
      <c r="N356" s="692"/>
      <c r="O356" s="692"/>
      <c r="P356" s="692"/>
    </row>
    <row r="357" spans="1:16" s="694" customFormat="1" ht="15" customHeight="1" x14ac:dyDescent="0.25">
      <c r="A357" s="696" t="s">
        <v>2008</v>
      </c>
      <c r="B357" s="696" t="s">
        <v>1819</v>
      </c>
      <c r="C357" s="714">
        <v>25000</v>
      </c>
      <c r="D357" s="573"/>
      <c r="E357" s="696">
        <v>25000</v>
      </c>
      <c r="F357" s="87">
        <f t="shared" si="3"/>
        <v>0</v>
      </c>
      <c r="G357" s="690"/>
      <c r="H357" s="693"/>
      <c r="I357" s="692"/>
      <c r="J357" s="692"/>
      <c r="K357" s="692"/>
      <c r="L357" s="692"/>
      <c r="M357" s="692"/>
      <c r="N357" s="692"/>
      <c r="O357" s="692"/>
      <c r="P357" s="692"/>
    </row>
    <row r="358" spans="1:16" s="694" customFormat="1" ht="15" customHeight="1" x14ac:dyDescent="0.25">
      <c r="A358" s="696" t="s">
        <v>2008</v>
      </c>
      <c r="B358" s="696" t="s">
        <v>2023</v>
      </c>
      <c r="C358" s="714">
        <v>22000</v>
      </c>
      <c r="D358" s="573"/>
      <c r="E358" s="696">
        <v>22000</v>
      </c>
      <c r="F358" s="87">
        <f t="shared" si="3"/>
        <v>0</v>
      </c>
      <c r="G358" s="690"/>
      <c r="H358" s="693"/>
      <c r="I358" s="692"/>
      <c r="J358" s="692"/>
      <c r="K358" s="692"/>
      <c r="L358" s="692"/>
      <c r="M358" s="692"/>
      <c r="N358" s="692"/>
      <c r="O358" s="692"/>
      <c r="P358" s="692"/>
    </row>
    <row r="359" spans="1:16" s="694" customFormat="1" ht="15" customHeight="1" x14ac:dyDescent="0.25">
      <c r="A359" s="696" t="s">
        <v>2024</v>
      </c>
      <c r="B359" s="696" t="s">
        <v>2788</v>
      </c>
      <c r="C359" s="714">
        <v>18000</v>
      </c>
      <c r="D359" s="573"/>
      <c r="E359" s="696">
        <v>18000</v>
      </c>
      <c r="F359" s="87">
        <f t="shared" si="3"/>
        <v>0</v>
      </c>
      <c r="G359" s="690"/>
      <c r="H359" s="693"/>
      <c r="I359" s="692"/>
      <c r="J359" s="692"/>
      <c r="K359" s="692"/>
      <c r="L359" s="692"/>
      <c r="M359" s="692"/>
      <c r="N359" s="692"/>
      <c r="O359" s="692"/>
      <c r="P359" s="692"/>
    </row>
    <row r="360" spans="1:16" s="694" customFormat="1" ht="15" customHeight="1" x14ac:dyDescent="0.25">
      <c r="A360" s="696" t="s">
        <v>2024</v>
      </c>
      <c r="B360" s="696" t="s">
        <v>1726</v>
      </c>
      <c r="C360" s="714">
        <v>20000</v>
      </c>
      <c r="D360" s="573"/>
      <c r="E360" s="696">
        <v>20000</v>
      </c>
      <c r="F360" s="87">
        <f t="shared" si="3"/>
        <v>0</v>
      </c>
      <c r="G360" s="690"/>
      <c r="H360" s="693"/>
      <c r="I360" s="692"/>
      <c r="J360" s="692"/>
      <c r="K360" s="692"/>
      <c r="L360" s="692"/>
      <c r="M360" s="692"/>
      <c r="N360" s="692"/>
      <c r="O360" s="692"/>
      <c r="P360" s="692"/>
    </row>
    <row r="361" spans="1:16" s="694" customFormat="1" ht="15" customHeight="1" x14ac:dyDescent="0.25">
      <c r="A361" s="696" t="s">
        <v>2024</v>
      </c>
      <c r="B361" s="696" t="s">
        <v>2180</v>
      </c>
      <c r="C361" s="714">
        <v>15000</v>
      </c>
      <c r="D361" s="573"/>
      <c r="E361" s="696">
        <v>15000</v>
      </c>
      <c r="F361" s="87">
        <f t="shared" si="3"/>
        <v>0</v>
      </c>
      <c r="G361" s="690"/>
      <c r="H361" s="693"/>
      <c r="I361" s="692"/>
      <c r="J361" s="692"/>
      <c r="K361" s="692"/>
      <c r="L361" s="692"/>
      <c r="M361" s="692"/>
      <c r="N361" s="692"/>
      <c r="O361" s="692"/>
      <c r="P361" s="692"/>
    </row>
    <row r="362" spans="1:16" s="709" customFormat="1" ht="15" customHeight="1" x14ac:dyDescent="0.25">
      <c r="A362" s="696" t="s">
        <v>2024</v>
      </c>
      <c r="B362" s="696" t="s">
        <v>2789</v>
      </c>
      <c r="C362" s="714">
        <v>15000</v>
      </c>
      <c r="D362" s="573"/>
      <c r="E362" s="696">
        <v>15000</v>
      </c>
      <c r="F362" s="87">
        <f t="shared" ref="F362:F371" si="8">C362-E362</f>
        <v>0</v>
      </c>
      <c r="G362" s="690"/>
      <c r="H362" s="693"/>
      <c r="I362" s="692"/>
      <c r="J362" s="692"/>
      <c r="K362" s="692"/>
      <c r="L362" s="692"/>
      <c r="M362" s="692"/>
      <c r="N362" s="692"/>
      <c r="O362" s="692"/>
      <c r="P362" s="692"/>
    </row>
    <row r="363" spans="1:16" s="709" customFormat="1" ht="15" customHeight="1" x14ac:dyDescent="0.25">
      <c r="A363" s="696" t="s">
        <v>2024</v>
      </c>
      <c r="B363" s="696" t="s">
        <v>30</v>
      </c>
      <c r="C363" s="714">
        <v>4500</v>
      </c>
      <c r="D363" s="573"/>
      <c r="E363" s="696">
        <v>4500</v>
      </c>
      <c r="F363" s="87">
        <f t="shared" si="8"/>
        <v>0</v>
      </c>
      <c r="G363" s="690"/>
      <c r="H363" s="693"/>
      <c r="I363" s="692"/>
      <c r="J363" s="692"/>
      <c r="K363" s="692"/>
      <c r="L363" s="692"/>
      <c r="M363" s="692"/>
      <c r="N363" s="692"/>
      <c r="O363" s="692"/>
      <c r="P363" s="692"/>
    </row>
    <row r="364" spans="1:16" s="709" customFormat="1" ht="15" customHeight="1" x14ac:dyDescent="0.25">
      <c r="A364" s="696" t="s">
        <v>2024</v>
      </c>
      <c r="B364" s="696" t="s">
        <v>17</v>
      </c>
      <c r="C364" s="714">
        <v>3000</v>
      </c>
      <c r="D364" s="573"/>
      <c r="E364" s="696">
        <v>3000</v>
      </c>
      <c r="F364" s="87">
        <f t="shared" si="8"/>
        <v>0</v>
      </c>
      <c r="G364" s="690"/>
      <c r="H364" s="693"/>
      <c r="I364" s="692"/>
      <c r="J364" s="692"/>
      <c r="K364" s="692"/>
      <c r="L364" s="692"/>
      <c r="M364" s="692"/>
      <c r="N364" s="692"/>
      <c r="O364" s="692"/>
      <c r="P364" s="692"/>
    </row>
    <row r="365" spans="1:16" s="709" customFormat="1" ht="15" customHeight="1" x14ac:dyDescent="0.25">
      <c r="A365" s="696" t="s">
        <v>2024</v>
      </c>
      <c r="B365" s="696" t="s">
        <v>2056</v>
      </c>
      <c r="C365" s="714">
        <v>10000</v>
      </c>
      <c r="D365" s="573"/>
      <c r="E365" s="696">
        <v>10000</v>
      </c>
      <c r="F365" s="87">
        <f t="shared" si="8"/>
        <v>0</v>
      </c>
      <c r="G365" s="690"/>
      <c r="H365" s="693"/>
      <c r="I365" s="692"/>
      <c r="J365" s="692"/>
      <c r="K365" s="692"/>
      <c r="L365" s="692"/>
      <c r="M365" s="692"/>
      <c r="N365" s="692"/>
      <c r="O365" s="692"/>
      <c r="P365" s="692"/>
    </row>
    <row r="366" spans="1:16" s="709" customFormat="1" ht="15" customHeight="1" x14ac:dyDescent="0.25">
      <c r="A366" s="696" t="s">
        <v>2024</v>
      </c>
      <c r="B366" s="696" t="s">
        <v>30</v>
      </c>
      <c r="C366" s="714">
        <v>7000</v>
      </c>
      <c r="D366" s="573"/>
      <c r="E366" s="696">
        <v>7000</v>
      </c>
      <c r="F366" s="87">
        <f t="shared" si="8"/>
        <v>0</v>
      </c>
      <c r="G366" s="690"/>
      <c r="H366" s="693"/>
      <c r="I366" s="692"/>
      <c r="J366" s="692"/>
      <c r="K366" s="692"/>
      <c r="L366" s="692"/>
      <c r="M366" s="692"/>
      <c r="N366" s="692"/>
      <c r="O366" s="692"/>
      <c r="P366" s="692"/>
    </row>
    <row r="367" spans="1:16" s="709" customFormat="1" ht="15" customHeight="1" x14ac:dyDescent="0.25">
      <c r="A367" s="696" t="s">
        <v>2024</v>
      </c>
      <c r="B367" s="696" t="s">
        <v>2057</v>
      </c>
      <c r="C367" s="714">
        <v>14000</v>
      </c>
      <c r="D367" s="573"/>
      <c r="E367" s="696">
        <v>14000</v>
      </c>
      <c r="F367" s="87">
        <f t="shared" si="8"/>
        <v>0</v>
      </c>
      <c r="G367" s="690"/>
      <c r="H367" s="693"/>
      <c r="I367" s="692"/>
      <c r="J367" s="692"/>
      <c r="K367" s="692"/>
      <c r="L367" s="692"/>
      <c r="M367" s="692"/>
      <c r="N367" s="692"/>
      <c r="O367" s="692"/>
      <c r="P367" s="692"/>
    </row>
    <row r="368" spans="1:16" s="709" customFormat="1" ht="15" customHeight="1" x14ac:dyDescent="0.25">
      <c r="A368" s="696" t="s">
        <v>2024</v>
      </c>
      <c r="B368" s="696" t="s">
        <v>2790</v>
      </c>
      <c r="C368" s="714">
        <v>18000</v>
      </c>
      <c r="D368" s="573"/>
      <c r="E368" s="696">
        <v>18000</v>
      </c>
      <c r="F368" s="87">
        <f t="shared" si="8"/>
        <v>0</v>
      </c>
      <c r="G368" s="690"/>
      <c r="H368" s="693"/>
      <c r="I368" s="692"/>
      <c r="J368" s="692"/>
      <c r="K368" s="692"/>
      <c r="L368" s="692"/>
      <c r="M368" s="692"/>
      <c r="N368" s="692"/>
      <c r="O368" s="692"/>
      <c r="P368" s="692"/>
    </row>
    <row r="369" spans="1:16" s="709" customFormat="1" ht="15" customHeight="1" x14ac:dyDescent="0.25">
      <c r="A369" s="696" t="s">
        <v>2024</v>
      </c>
      <c r="B369" s="696" t="s">
        <v>2049</v>
      </c>
      <c r="C369" s="714">
        <v>20000</v>
      </c>
      <c r="D369" s="573"/>
      <c r="E369" s="696">
        <v>20000</v>
      </c>
      <c r="F369" s="87">
        <f t="shared" si="8"/>
        <v>0</v>
      </c>
      <c r="G369" s="690"/>
      <c r="H369" s="693"/>
      <c r="I369" s="692"/>
      <c r="J369" s="692"/>
      <c r="K369" s="692"/>
      <c r="L369" s="692"/>
      <c r="M369" s="692"/>
      <c r="N369" s="692"/>
      <c r="O369" s="692"/>
      <c r="P369" s="692"/>
    </row>
    <row r="370" spans="1:16" s="709" customFormat="1" ht="15" customHeight="1" x14ac:dyDescent="0.25">
      <c r="A370" s="696" t="s">
        <v>2024</v>
      </c>
      <c r="B370" s="696" t="s">
        <v>1891</v>
      </c>
      <c r="C370" s="714">
        <v>23000</v>
      </c>
      <c r="D370" s="573"/>
      <c r="E370" s="696">
        <v>23000</v>
      </c>
      <c r="F370" s="87">
        <f t="shared" si="8"/>
        <v>0</v>
      </c>
      <c r="G370" s="690"/>
      <c r="H370" s="693"/>
      <c r="I370" s="692"/>
      <c r="J370" s="692"/>
      <c r="K370" s="692"/>
      <c r="L370" s="692"/>
      <c r="M370" s="692"/>
      <c r="N370" s="692"/>
      <c r="O370" s="692"/>
      <c r="P370" s="692"/>
    </row>
    <row r="371" spans="1:16" s="709" customFormat="1" ht="15" customHeight="1" x14ac:dyDescent="0.25">
      <c r="A371" s="696" t="s">
        <v>2024</v>
      </c>
      <c r="B371" s="696" t="s">
        <v>2025</v>
      </c>
      <c r="C371" s="714">
        <v>16000</v>
      </c>
      <c r="D371" s="573"/>
      <c r="E371" s="696">
        <v>16000</v>
      </c>
      <c r="F371" s="87">
        <f t="shared" si="8"/>
        <v>0</v>
      </c>
      <c r="G371" s="690"/>
      <c r="H371" s="693"/>
      <c r="I371" s="692"/>
      <c r="J371" s="692"/>
      <c r="K371" s="692"/>
      <c r="L371" s="692"/>
      <c r="M371" s="692"/>
      <c r="N371" s="692"/>
      <c r="O371" s="692"/>
      <c r="P371" s="692"/>
    </row>
    <row r="372" spans="1:16" s="709" customFormat="1" ht="15" customHeight="1" x14ac:dyDescent="0.25">
      <c r="A372" s="696" t="s">
        <v>2024</v>
      </c>
      <c r="B372" s="696" t="s">
        <v>2791</v>
      </c>
      <c r="C372" s="714">
        <v>16000</v>
      </c>
      <c r="D372" s="573"/>
      <c r="E372" s="696">
        <v>16000</v>
      </c>
      <c r="F372" s="87">
        <f t="shared" ref="F372" si="9">C372-E372</f>
        <v>0</v>
      </c>
      <c r="G372" s="690"/>
      <c r="H372" s="693"/>
      <c r="I372" s="692"/>
      <c r="J372" s="692"/>
      <c r="K372" s="692"/>
      <c r="L372" s="692"/>
      <c r="M372" s="692"/>
      <c r="N372" s="692"/>
      <c r="O372" s="692"/>
      <c r="P372" s="692"/>
    </row>
    <row r="373" spans="1:16" s="694" customFormat="1" ht="15" customHeight="1" x14ac:dyDescent="0.25">
      <c r="A373" s="696" t="s">
        <v>2024</v>
      </c>
      <c r="B373" s="696" t="s">
        <v>2026</v>
      </c>
      <c r="C373" s="714">
        <v>15000</v>
      </c>
      <c r="D373" s="573"/>
      <c r="E373" s="696">
        <v>15000</v>
      </c>
      <c r="F373" s="87">
        <f t="shared" si="3"/>
        <v>0</v>
      </c>
      <c r="G373" s="690"/>
      <c r="H373" s="693"/>
      <c r="I373" s="692"/>
      <c r="J373" s="692"/>
      <c r="K373" s="692"/>
      <c r="L373" s="692"/>
      <c r="M373" s="692"/>
      <c r="N373" s="692"/>
      <c r="O373" s="692"/>
      <c r="P373" s="692"/>
    </row>
    <row r="374" spans="1:16" s="694" customFormat="1" ht="15" customHeight="1" x14ac:dyDescent="0.25">
      <c r="A374" s="696" t="s">
        <v>2024</v>
      </c>
      <c r="B374" s="696" t="s">
        <v>2027</v>
      </c>
      <c r="C374" s="714">
        <v>24000</v>
      </c>
      <c r="D374" s="573"/>
      <c r="E374" s="696">
        <v>24000</v>
      </c>
      <c r="F374" s="87">
        <f t="shared" si="3"/>
        <v>0</v>
      </c>
      <c r="G374" s="690"/>
      <c r="H374" s="693"/>
      <c r="I374" s="692"/>
      <c r="J374" s="692"/>
      <c r="K374" s="692"/>
      <c r="L374" s="692"/>
      <c r="M374" s="692"/>
      <c r="N374" s="692"/>
      <c r="O374" s="692"/>
      <c r="P374" s="692"/>
    </row>
    <row r="375" spans="1:16" s="709" customFormat="1" ht="15" customHeight="1" x14ac:dyDescent="0.25">
      <c r="A375" s="696" t="s">
        <v>2024</v>
      </c>
      <c r="B375" s="696" t="s">
        <v>66</v>
      </c>
      <c r="C375" s="714">
        <v>210</v>
      </c>
      <c r="D375" s="573"/>
      <c r="E375" s="696">
        <v>210</v>
      </c>
      <c r="F375" s="87">
        <f t="shared" ref="F375" si="10">C375-E375</f>
        <v>0</v>
      </c>
      <c r="G375" s="690"/>
      <c r="H375" s="693"/>
      <c r="I375" s="692"/>
      <c r="J375" s="692"/>
      <c r="K375" s="692"/>
      <c r="L375" s="692"/>
      <c r="M375" s="692"/>
      <c r="N375" s="692"/>
      <c r="O375" s="692"/>
      <c r="P375" s="692"/>
    </row>
    <row r="376" spans="1:16" s="694" customFormat="1" ht="15" customHeight="1" x14ac:dyDescent="0.25">
      <c r="A376" s="696" t="s">
        <v>2024</v>
      </c>
      <c r="B376" s="696" t="s">
        <v>2028</v>
      </c>
      <c r="C376" s="714">
        <v>27000</v>
      </c>
      <c r="D376" s="573"/>
      <c r="E376" s="696">
        <v>27000</v>
      </c>
      <c r="F376" s="87">
        <f t="shared" si="3"/>
        <v>0</v>
      </c>
      <c r="G376" s="690"/>
      <c r="H376" s="693"/>
      <c r="I376" s="692"/>
      <c r="J376" s="692"/>
      <c r="K376" s="692"/>
      <c r="L376" s="692"/>
      <c r="M376" s="692"/>
      <c r="N376" s="692"/>
      <c r="O376" s="692"/>
      <c r="P376" s="692"/>
    </row>
    <row r="377" spans="1:16" ht="15" customHeight="1" x14ac:dyDescent="0.25">
      <c r="A377" s="696" t="s">
        <v>2034</v>
      </c>
      <c r="B377" s="696" t="s">
        <v>2029</v>
      </c>
      <c r="C377" s="714">
        <v>16000</v>
      </c>
      <c r="D377" s="573"/>
      <c r="E377" s="696">
        <v>16000</v>
      </c>
      <c r="F377" s="87">
        <f t="shared" si="3"/>
        <v>0</v>
      </c>
      <c r="G377" s="690"/>
      <c r="H377" s="693"/>
      <c r="I377" s="692"/>
      <c r="J377" s="692"/>
      <c r="K377" s="692"/>
      <c r="L377" s="692"/>
      <c r="M377" s="692"/>
      <c r="N377" s="692"/>
      <c r="O377" s="692"/>
      <c r="P377" s="692"/>
    </row>
    <row r="378" spans="1:16" s="695" customFormat="1" ht="15" customHeight="1" x14ac:dyDescent="0.25">
      <c r="A378" s="696" t="s">
        <v>2034</v>
      </c>
      <c r="B378" s="696" t="s">
        <v>1729</v>
      </c>
      <c r="C378" s="714">
        <v>16000</v>
      </c>
      <c r="D378" s="573"/>
      <c r="E378" s="696">
        <v>16000</v>
      </c>
      <c r="F378" s="87">
        <f t="shared" si="3"/>
        <v>0</v>
      </c>
      <c r="G378" s="690"/>
      <c r="H378" s="693"/>
      <c r="I378" s="692"/>
      <c r="J378" s="692"/>
      <c r="K378" s="692"/>
      <c r="L378" s="692"/>
      <c r="M378" s="692"/>
      <c r="N378" s="692"/>
      <c r="O378" s="692"/>
      <c r="P378" s="692"/>
    </row>
    <row r="379" spans="1:16" s="695" customFormat="1" ht="15" customHeight="1" x14ac:dyDescent="0.25">
      <c r="A379" s="696" t="s">
        <v>2034</v>
      </c>
      <c r="B379" s="696" t="s">
        <v>2018</v>
      </c>
      <c r="C379" s="714">
        <v>22000</v>
      </c>
      <c r="D379" s="573"/>
      <c r="E379" s="696">
        <v>22000</v>
      </c>
      <c r="F379" s="87">
        <f t="shared" si="3"/>
        <v>0</v>
      </c>
      <c r="G379" s="690"/>
      <c r="H379" s="693"/>
      <c r="I379" s="692"/>
      <c r="J379" s="692"/>
      <c r="K379" s="692"/>
      <c r="L379" s="692"/>
      <c r="M379" s="692"/>
      <c r="N379" s="692"/>
      <c r="O379" s="692"/>
      <c r="P379" s="692"/>
    </row>
    <row r="380" spans="1:16" s="695" customFormat="1" ht="15" customHeight="1" x14ac:dyDescent="0.25">
      <c r="A380" s="696" t="s">
        <v>2034</v>
      </c>
      <c r="B380" s="696" t="s">
        <v>1913</v>
      </c>
      <c r="C380" s="714">
        <v>20000</v>
      </c>
      <c r="D380" s="573"/>
      <c r="E380" s="696">
        <v>20000</v>
      </c>
      <c r="F380" s="87">
        <f t="shared" si="3"/>
        <v>0</v>
      </c>
      <c r="G380" s="690"/>
      <c r="H380" s="693"/>
      <c r="I380" s="692"/>
      <c r="J380" s="692"/>
      <c r="K380" s="692"/>
      <c r="L380" s="692"/>
      <c r="M380" s="692"/>
      <c r="N380" s="692"/>
      <c r="O380" s="692"/>
      <c r="P380" s="692"/>
    </row>
    <row r="381" spans="1:16" s="695" customFormat="1" ht="15" customHeight="1" x14ac:dyDescent="0.25">
      <c r="A381" s="696" t="s">
        <v>2034</v>
      </c>
      <c r="B381" s="696" t="s">
        <v>2030</v>
      </c>
      <c r="C381" s="714">
        <v>30000</v>
      </c>
      <c r="D381" s="573"/>
      <c r="E381" s="696">
        <v>30000</v>
      </c>
      <c r="F381" s="87">
        <f t="shared" si="3"/>
        <v>0</v>
      </c>
      <c r="G381" s="690"/>
      <c r="H381" s="693"/>
      <c r="I381" s="692"/>
      <c r="J381" s="692"/>
      <c r="K381" s="692"/>
      <c r="L381" s="692"/>
      <c r="M381" s="692"/>
      <c r="N381" s="692"/>
      <c r="O381" s="692"/>
      <c r="P381" s="692"/>
    </row>
    <row r="382" spans="1:16" s="695" customFormat="1" ht="15" customHeight="1" x14ac:dyDescent="0.25">
      <c r="A382" s="696" t="s">
        <v>2034</v>
      </c>
      <c r="B382" s="696" t="s">
        <v>1724</v>
      </c>
      <c r="C382" s="714">
        <v>23000</v>
      </c>
      <c r="D382" s="573"/>
      <c r="E382" s="696">
        <v>23000</v>
      </c>
      <c r="F382" s="87">
        <f t="shared" si="3"/>
        <v>0</v>
      </c>
      <c r="G382" s="690"/>
      <c r="H382" s="693"/>
      <c r="I382" s="692"/>
      <c r="J382" s="692"/>
      <c r="K382" s="692"/>
      <c r="L382" s="692"/>
      <c r="M382" s="692"/>
      <c r="N382" s="692"/>
      <c r="O382" s="692"/>
      <c r="P382" s="692"/>
    </row>
    <row r="383" spans="1:16" s="695" customFormat="1" ht="15" customHeight="1" x14ac:dyDescent="0.25">
      <c r="A383" s="696" t="s">
        <v>2034</v>
      </c>
      <c r="B383" s="696" t="s">
        <v>2031</v>
      </c>
      <c r="C383" s="714">
        <v>10000</v>
      </c>
      <c r="D383" s="573"/>
      <c r="E383" s="696">
        <v>10000</v>
      </c>
      <c r="F383" s="87">
        <f t="shared" si="3"/>
        <v>0</v>
      </c>
      <c r="G383" s="690"/>
      <c r="H383" s="693"/>
      <c r="I383" s="692"/>
      <c r="J383" s="692"/>
      <c r="K383" s="692"/>
      <c r="L383" s="692"/>
      <c r="M383" s="692"/>
      <c r="N383" s="692"/>
      <c r="O383" s="692"/>
      <c r="P383" s="692"/>
    </row>
    <row r="384" spans="1:16" s="695" customFormat="1" ht="15" customHeight="1" x14ac:dyDescent="0.25">
      <c r="A384" s="696" t="s">
        <v>2034</v>
      </c>
      <c r="B384" s="696" t="s">
        <v>2032</v>
      </c>
      <c r="C384" s="714">
        <v>40000</v>
      </c>
      <c r="D384" s="573"/>
      <c r="E384" s="696">
        <v>40000</v>
      </c>
      <c r="F384" s="87">
        <f t="shared" si="3"/>
        <v>0</v>
      </c>
      <c r="G384" s="690"/>
      <c r="H384" s="693"/>
      <c r="I384" s="692"/>
      <c r="J384" s="692"/>
      <c r="K384" s="692"/>
      <c r="L384" s="692"/>
      <c r="M384" s="692"/>
      <c r="N384" s="692"/>
      <c r="O384" s="692"/>
      <c r="P384" s="692"/>
    </row>
    <row r="385" spans="1:16" s="695" customFormat="1" ht="15" customHeight="1" x14ac:dyDescent="0.25">
      <c r="A385" s="696" t="s">
        <v>2034</v>
      </c>
      <c r="B385" s="696" t="s">
        <v>2035</v>
      </c>
      <c r="C385" s="714">
        <v>15000</v>
      </c>
      <c r="D385" s="573"/>
      <c r="E385" s="696">
        <v>15000</v>
      </c>
      <c r="F385" s="87">
        <f t="shared" si="3"/>
        <v>0</v>
      </c>
      <c r="G385" s="690"/>
      <c r="H385" s="693"/>
      <c r="I385" s="692"/>
      <c r="J385" s="692"/>
      <c r="K385" s="692"/>
      <c r="L385" s="692"/>
      <c r="M385" s="692"/>
      <c r="N385" s="692"/>
      <c r="O385" s="692"/>
      <c r="P385" s="692"/>
    </row>
    <row r="386" spans="1:16" s="695" customFormat="1" ht="15" customHeight="1" x14ac:dyDescent="0.25">
      <c r="A386" s="696" t="s">
        <v>2034</v>
      </c>
      <c r="B386" s="696" t="s">
        <v>2033</v>
      </c>
      <c r="C386" s="714">
        <v>27000</v>
      </c>
      <c r="D386" s="573"/>
      <c r="E386" s="696">
        <v>27000</v>
      </c>
      <c r="F386" s="87">
        <f t="shared" si="3"/>
        <v>0</v>
      </c>
      <c r="G386" s="690"/>
      <c r="H386" s="693"/>
      <c r="I386" s="692"/>
      <c r="J386" s="692"/>
      <c r="K386" s="692"/>
      <c r="L386" s="692"/>
      <c r="M386" s="692"/>
      <c r="N386" s="692"/>
      <c r="O386" s="692"/>
      <c r="P386" s="692"/>
    </row>
    <row r="387" spans="1:16" s="695" customFormat="1" ht="15" customHeight="1" x14ac:dyDescent="0.25">
      <c r="A387" s="696" t="s">
        <v>2034</v>
      </c>
      <c r="B387" s="696" t="s">
        <v>1827</v>
      </c>
      <c r="C387" s="714">
        <v>28605</v>
      </c>
      <c r="D387" s="573"/>
      <c r="E387" s="696">
        <v>28605</v>
      </c>
      <c r="F387" s="87">
        <f t="shared" si="3"/>
        <v>0</v>
      </c>
      <c r="G387" s="690"/>
      <c r="H387" s="693"/>
      <c r="I387" s="692"/>
      <c r="J387" s="692"/>
      <c r="K387" s="692"/>
      <c r="L387" s="692"/>
      <c r="M387" s="692"/>
      <c r="N387" s="692"/>
      <c r="O387" s="692"/>
      <c r="P387" s="692"/>
    </row>
    <row r="388" spans="1:16" s="709" customFormat="1" ht="15" customHeight="1" x14ac:dyDescent="0.25">
      <c r="A388" s="696" t="s">
        <v>2036</v>
      </c>
      <c r="B388" s="696" t="s">
        <v>66</v>
      </c>
      <c r="C388" s="714">
        <v>210</v>
      </c>
      <c r="D388" s="573"/>
      <c r="E388" s="696">
        <v>210</v>
      </c>
      <c r="F388" s="87">
        <f t="shared" ref="F388" si="11">C388-E388</f>
        <v>0</v>
      </c>
      <c r="G388" s="690"/>
      <c r="H388" s="693"/>
      <c r="I388" s="692"/>
      <c r="J388" s="692"/>
      <c r="K388" s="692"/>
      <c r="L388" s="692"/>
      <c r="M388" s="692"/>
      <c r="N388" s="692"/>
      <c r="O388" s="692"/>
      <c r="P388" s="692"/>
    </row>
    <row r="389" spans="1:16" s="695" customFormat="1" ht="15" customHeight="1" x14ac:dyDescent="0.25">
      <c r="A389" s="696" t="s">
        <v>2036</v>
      </c>
      <c r="B389" s="696" t="s">
        <v>2037</v>
      </c>
      <c r="C389" s="714">
        <v>15000</v>
      </c>
      <c r="D389" s="573"/>
      <c r="E389" s="696">
        <v>15000</v>
      </c>
      <c r="F389" s="87">
        <f t="shared" si="3"/>
        <v>0</v>
      </c>
      <c r="G389" s="690"/>
      <c r="H389" s="693"/>
      <c r="I389" s="692"/>
      <c r="J389" s="692"/>
      <c r="K389" s="692"/>
      <c r="L389" s="692"/>
      <c r="M389" s="692"/>
      <c r="N389" s="692"/>
      <c r="O389" s="692"/>
      <c r="P389" s="692"/>
    </row>
    <row r="390" spans="1:16" s="695" customFormat="1" ht="15" customHeight="1" x14ac:dyDescent="0.25">
      <c r="A390" s="696" t="s">
        <v>2036</v>
      </c>
      <c r="B390" s="696" t="s">
        <v>1848</v>
      </c>
      <c r="C390" s="714">
        <v>15000</v>
      </c>
      <c r="D390" s="573"/>
      <c r="E390" s="696">
        <v>15000</v>
      </c>
      <c r="F390" s="87">
        <f t="shared" si="3"/>
        <v>0</v>
      </c>
      <c r="G390" s="690"/>
      <c r="H390" s="693"/>
      <c r="I390" s="692"/>
      <c r="J390" s="692"/>
      <c r="K390" s="692"/>
      <c r="L390" s="692"/>
      <c r="M390" s="692"/>
      <c r="N390" s="692"/>
      <c r="O390" s="692"/>
      <c r="P390" s="692"/>
    </row>
    <row r="391" spans="1:16" s="695" customFormat="1" ht="15" customHeight="1" x14ac:dyDescent="0.25">
      <c r="A391" s="696" t="s">
        <v>2036</v>
      </c>
      <c r="B391" s="696" t="s">
        <v>2002</v>
      </c>
      <c r="C391" s="714">
        <v>16000</v>
      </c>
      <c r="D391" s="573"/>
      <c r="E391" s="696">
        <v>16000</v>
      </c>
      <c r="F391" s="87">
        <f t="shared" si="3"/>
        <v>0</v>
      </c>
      <c r="G391" s="690"/>
      <c r="H391" s="693"/>
      <c r="I391" s="692"/>
      <c r="J391" s="692"/>
      <c r="K391" s="692"/>
      <c r="L391" s="692"/>
      <c r="M391" s="692"/>
      <c r="N391" s="692"/>
      <c r="O391" s="692"/>
      <c r="P391" s="692"/>
    </row>
    <row r="392" spans="1:16" s="695" customFormat="1" ht="15" customHeight="1" x14ac:dyDescent="0.25">
      <c r="A392" s="696" t="s">
        <v>2036</v>
      </c>
      <c r="B392" s="696" t="s">
        <v>2038</v>
      </c>
      <c r="C392" s="714">
        <v>16000</v>
      </c>
      <c r="D392" s="573"/>
      <c r="E392" s="696">
        <v>16000</v>
      </c>
      <c r="F392" s="87">
        <f t="shared" si="3"/>
        <v>0</v>
      </c>
      <c r="G392" s="690"/>
      <c r="H392" s="693"/>
      <c r="I392" s="692"/>
      <c r="J392" s="692"/>
      <c r="K392" s="692"/>
      <c r="L392" s="692"/>
      <c r="M392" s="692"/>
      <c r="N392" s="692"/>
      <c r="O392" s="692"/>
      <c r="P392" s="692"/>
    </row>
    <row r="393" spans="1:16" s="695" customFormat="1" ht="15" customHeight="1" x14ac:dyDescent="0.25">
      <c r="A393" s="696" t="s">
        <v>2036</v>
      </c>
      <c r="B393" s="696" t="s">
        <v>2039</v>
      </c>
      <c r="C393" s="714">
        <v>27000</v>
      </c>
      <c r="D393" s="573"/>
      <c r="E393" s="696">
        <v>27000</v>
      </c>
      <c r="F393" s="87">
        <f t="shared" si="3"/>
        <v>0</v>
      </c>
      <c r="G393" s="690"/>
      <c r="H393" s="693"/>
      <c r="I393" s="692"/>
      <c r="J393" s="692"/>
      <c r="K393" s="692"/>
      <c r="L393" s="692"/>
      <c r="M393" s="692"/>
      <c r="N393" s="692"/>
      <c r="O393" s="692"/>
      <c r="P393" s="692"/>
    </row>
    <row r="394" spans="1:16" s="695" customFormat="1" ht="15" customHeight="1" x14ac:dyDescent="0.25">
      <c r="A394" s="696" t="s">
        <v>2036</v>
      </c>
      <c r="B394" s="696" t="s">
        <v>2040</v>
      </c>
      <c r="C394" s="714">
        <v>20000</v>
      </c>
      <c r="D394" s="573"/>
      <c r="E394" s="696">
        <v>20000</v>
      </c>
      <c r="F394" s="87">
        <f t="shared" ref="F394:F457" si="12">C394-E394</f>
        <v>0</v>
      </c>
      <c r="G394" s="690"/>
      <c r="H394" s="693"/>
      <c r="I394" s="692"/>
      <c r="J394" s="692"/>
      <c r="K394" s="692"/>
      <c r="L394" s="692"/>
      <c r="M394" s="692"/>
      <c r="N394" s="692"/>
      <c r="O394" s="692"/>
      <c r="P394" s="692"/>
    </row>
    <row r="395" spans="1:16" s="695" customFormat="1" ht="15" customHeight="1" x14ac:dyDescent="0.25">
      <c r="A395" s="696" t="s">
        <v>2036</v>
      </c>
      <c r="B395" s="696" t="s">
        <v>2041</v>
      </c>
      <c r="C395" s="714">
        <v>29000</v>
      </c>
      <c r="D395" s="573"/>
      <c r="E395" s="696">
        <v>29000</v>
      </c>
      <c r="F395" s="87">
        <f t="shared" si="12"/>
        <v>0</v>
      </c>
      <c r="G395" s="690"/>
      <c r="H395" s="693"/>
      <c r="I395" s="692"/>
      <c r="J395" s="692"/>
      <c r="K395" s="692"/>
      <c r="L395" s="692"/>
      <c r="M395" s="692"/>
      <c r="N395" s="692"/>
      <c r="O395" s="692"/>
      <c r="P395" s="692"/>
    </row>
    <row r="396" spans="1:16" s="695" customFormat="1" ht="15" customHeight="1" x14ac:dyDescent="0.25">
      <c r="A396" s="696" t="s">
        <v>2036</v>
      </c>
      <c r="B396" s="696" t="s">
        <v>2042</v>
      </c>
      <c r="C396" s="714">
        <v>27000</v>
      </c>
      <c r="D396" s="573"/>
      <c r="E396" s="696">
        <v>27000</v>
      </c>
      <c r="F396" s="87">
        <f t="shared" si="12"/>
        <v>0</v>
      </c>
      <c r="G396" s="690"/>
      <c r="H396" s="693"/>
      <c r="I396" s="692"/>
      <c r="J396" s="692"/>
      <c r="K396" s="692"/>
      <c r="L396" s="692"/>
      <c r="M396" s="692"/>
      <c r="N396" s="692"/>
      <c r="O396" s="692"/>
      <c r="P396" s="692"/>
    </row>
    <row r="397" spans="1:16" s="695" customFormat="1" ht="15" customHeight="1" x14ac:dyDescent="0.25">
      <c r="A397" s="696" t="s">
        <v>2036</v>
      </c>
      <c r="B397" s="696" t="s">
        <v>2043</v>
      </c>
      <c r="C397" s="714">
        <v>15473</v>
      </c>
      <c r="D397" s="573"/>
      <c r="E397" s="696">
        <v>15473</v>
      </c>
      <c r="F397" s="87">
        <f t="shared" si="12"/>
        <v>0</v>
      </c>
      <c r="G397" s="690"/>
      <c r="H397" s="693"/>
      <c r="I397" s="692"/>
      <c r="J397" s="692"/>
      <c r="K397" s="692"/>
      <c r="L397" s="692"/>
      <c r="M397" s="692"/>
      <c r="N397" s="692"/>
      <c r="O397" s="692"/>
      <c r="P397" s="692"/>
    </row>
    <row r="398" spans="1:16" s="695" customFormat="1" ht="15" customHeight="1" x14ac:dyDescent="0.25">
      <c r="A398" s="696" t="s">
        <v>2036</v>
      </c>
      <c r="B398" s="696" t="s">
        <v>1923</v>
      </c>
      <c r="C398" s="714">
        <v>16000</v>
      </c>
      <c r="D398" s="573"/>
      <c r="E398" s="696">
        <v>16000</v>
      </c>
      <c r="F398" s="87">
        <f t="shared" si="12"/>
        <v>0</v>
      </c>
      <c r="G398" s="690"/>
      <c r="H398" s="693"/>
      <c r="I398" s="692"/>
      <c r="J398" s="692"/>
      <c r="K398" s="692"/>
      <c r="L398" s="692"/>
      <c r="M398" s="692"/>
      <c r="N398" s="692"/>
      <c r="O398" s="692"/>
      <c r="P398" s="692"/>
    </row>
    <row r="399" spans="1:16" s="695" customFormat="1" ht="15" customHeight="1" x14ac:dyDescent="0.25">
      <c r="A399" s="696" t="s">
        <v>2036</v>
      </c>
      <c r="B399" s="696" t="s">
        <v>1924</v>
      </c>
      <c r="C399" s="714">
        <v>16000</v>
      </c>
      <c r="D399" s="573"/>
      <c r="E399" s="696">
        <v>16000</v>
      </c>
      <c r="F399" s="87">
        <f t="shared" si="12"/>
        <v>0</v>
      </c>
      <c r="G399" s="690"/>
      <c r="H399" s="693"/>
      <c r="I399" s="692"/>
      <c r="J399" s="692"/>
      <c r="K399" s="692"/>
      <c r="L399" s="692"/>
      <c r="M399" s="692"/>
      <c r="N399" s="692"/>
      <c r="O399" s="692"/>
      <c r="P399" s="692"/>
    </row>
    <row r="400" spans="1:16" s="695" customFormat="1" ht="15" customHeight="1" x14ac:dyDescent="0.25">
      <c r="A400" s="696" t="s">
        <v>2036</v>
      </c>
      <c r="B400" s="696" t="s">
        <v>2044</v>
      </c>
      <c r="C400" s="714">
        <v>16000</v>
      </c>
      <c r="D400" s="573"/>
      <c r="E400" s="696">
        <v>16000</v>
      </c>
      <c r="F400" s="87">
        <f t="shared" si="12"/>
        <v>0</v>
      </c>
      <c r="G400" s="690"/>
      <c r="H400" s="693"/>
      <c r="I400" s="692"/>
      <c r="J400" s="692"/>
      <c r="K400" s="692"/>
      <c r="L400" s="692"/>
      <c r="M400" s="692"/>
      <c r="N400" s="692"/>
      <c r="O400" s="692"/>
      <c r="P400" s="692"/>
    </row>
    <row r="401" spans="1:16" s="695" customFormat="1" ht="15" customHeight="1" x14ac:dyDescent="0.25">
      <c r="A401" s="696" t="s">
        <v>2036</v>
      </c>
      <c r="B401" s="696" t="s">
        <v>2045</v>
      </c>
      <c r="C401" s="714">
        <v>25000</v>
      </c>
      <c r="D401" s="573"/>
      <c r="E401" s="696">
        <v>25000</v>
      </c>
      <c r="F401" s="87">
        <f t="shared" si="12"/>
        <v>0</v>
      </c>
      <c r="G401" s="690"/>
      <c r="H401" s="693"/>
      <c r="I401" s="692"/>
      <c r="J401" s="692"/>
      <c r="K401" s="692"/>
      <c r="L401" s="692"/>
      <c r="M401" s="692"/>
      <c r="N401" s="692"/>
      <c r="O401" s="692"/>
      <c r="P401" s="692"/>
    </row>
    <row r="402" spans="1:16" s="695" customFormat="1" ht="15" customHeight="1" x14ac:dyDescent="0.25">
      <c r="A402" s="696" t="s">
        <v>2036</v>
      </c>
      <c r="B402" s="696" t="s">
        <v>2046</v>
      </c>
      <c r="C402" s="714">
        <v>20000</v>
      </c>
      <c r="D402" s="573"/>
      <c r="E402" s="696">
        <v>20000</v>
      </c>
      <c r="F402" s="87">
        <f t="shared" si="12"/>
        <v>0</v>
      </c>
      <c r="G402" s="690"/>
      <c r="H402" s="693"/>
      <c r="I402" s="692"/>
      <c r="J402" s="692"/>
      <c r="K402" s="692"/>
      <c r="L402" s="692"/>
      <c r="M402" s="692"/>
      <c r="N402" s="692"/>
      <c r="O402" s="692"/>
      <c r="P402" s="692"/>
    </row>
    <row r="403" spans="1:16" s="695" customFormat="1" ht="15" customHeight="1" x14ac:dyDescent="0.25">
      <c r="A403" s="696" t="s">
        <v>2036</v>
      </c>
      <c r="B403" s="696" t="s">
        <v>1959</v>
      </c>
      <c r="C403" s="714">
        <v>25000</v>
      </c>
      <c r="D403" s="573"/>
      <c r="E403" s="696">
        <v>25000</v>
      </c>
      <c r="F403" s="87">
        <f t="shared" si="12"/>
        <v>0</v>
      </c>
      <c r="G403" s="690"/>
      <c r="H403" s="693"/>
      <c r="I403" s="692"/>
      <c r="J403" s="692"/>
      <c r="K403" s="692"/>
      <c r="L403" s="692"/>
      <c r="M403" s="692"/>
      <c r="N403" s="692"/>
      <c r="O403" s="692"/>
      <c r="P403" s="692"/>
    </row>
    <row r="404" spans="1:16" s="695" customFormat="1" ht="15" customHeight="1" x14ac:dyDescent="0.25">
      <c r="A404" s="696" t="s">
        <v>2036</v>
      </c>
      <c r="B404" s="696" t="s">
        <v>2047</v>
      </c>
      <c r="C404" s="714">
        <v>22000</v>
      </c>
      <c r="D404" s="573"/>
      <c r="E404" s="696">
        <v>22000</v>
      </c>
      <c r="F404" s="87">
        <f t="shared" si="12"/>
        <v>0</v>
      </c>
      <c r="G404" s="690"/>
      <c r="H404" s="693"/>
      <c r="I404" s="692"/>
      <c r="J404" s="692"/>
      <c r="K404" s="692"/>
      <c r="L404" s="692"/>
      <c r="M404" s="692"/>
      <c r="N404" s="692"/>
      <c r="O404" s="692"/>
      <c r="P404" s="692"/>
    </row>
    <row r="405" spans="1:16" s="695" customFormat="1" ht="15" customHeight="1" x14ac:dyDescent="0.25">
      <c r="A405" s="696" t="s">
        <v>2036</v>
      </c>
      <c r="B405" s="696" t="s">
        <v>2048</v>
      </c>
      <c r="C405" s="714">
        <v>22000</v>
      </c>
      <c r="D405" s="573"/>
      <c r="E405" s="696">
        <v>22000</v>
      </c>
      <c r="F405" s="87">
        <f t="shared" si="12"/>
        <v>0</v>
      </c>
      <c r="G405" s="690"/>
      <c r="H405" s="693"/>
      <c r="I405" s="692"/>
      <c r="J405" s="692"/>
      <c r="K405" s="692"/>
      <c r="L405" s="692"/>
      <c r="M405" s="692"/>
      <c r="N405" s="692"/>
      <c r="O405" s="692"/>
      <c r="P405" s="692"/>
    </row>
    <row r="406" spans="1:16" s="695" customFormat="1" ht="15" customHeight="1" x14ac:dyDescent="0.25">
      <c r="A406" s="696" t="s">
        <v>2036</v>
      </c>
      <c r="B406" s="696" t="s">
        <v>2049</v>
      </c>
      <c r="C406" s="714">
        <v>22000</v>
      </c>
      <c r="D406" s="573"/>
      <c r="E406" s="696">
        <v>22000</v>
      </c>
      <c r="F406" s="87">
        <f t="shared" si="12"/>
        <v>0</v>
      </c>
      <c r="G406" s="690"/>
      <c r="H406" s="693"/>
      <c r="I406" s="692"/>
      <c r="J406" s="692"/>
      <c r="K406" s="692"/>
      <c r="L406" s="692"/>
      <c r="M406" s="692"/>
      <c r="N406" s="692"/>
      <c r="O406" s="692"/>
      <c r="P406" s="692"/>
    </row>
    <row r="407" spans="1:16" s="695" customFormat="1" ht="15" customHeight="1" x14ac:dyDescent="0.25">
      <c r="A407" s="696" t="s">
        <v>2036</v>
      </c>
      <c r="B407" s="696" t="s">
        <v>1891</v>
      </c>
      <c r="C407" s="714">
        <v>23000</v>
      </c>
      <c r="D407" s="573"/>
      <c r="E407" s="696">
        <v>23000</v>
      </c>
      <c r="F407" s="87">
        <f t="shared" si="12"/>
        <v>0</v>
      </c>
      <c r="G407" s="690"/>
      <c r="H407" s="693"/>
      <c r="I407" s="692"/>
      <c r="J407" s="692"/>
      <c r="K407" s="692"/>
      <c r="L407" s="692"/>
      <c r="M407" s="692"/>
      <c r="N407" s="692"/>
      <c r="O407" s="692"/>
      <c r="P407" s="692"/>
    </row>
    <row r="408" spans="1:16" s="695" customFormat="1" ht="15" customHeight="1" x14ac:dyDescent="0.25">
      <c r="A408" s="696" t="s">
        <v>2036</v>
      </c>
      <c r="B408" s="696" t="s">
        <v>2050</v>
      </c>
      <c r="C408" s="714">
        <v>20000</v>
      </c>
      <c r="D408" s="573"/>
      <c r="E408" s="696">
        <v>20000</v>
      </c>
      <c r="F408" s="87">
        <f t="shared" si="12"/>
        <v>0</v>
      </c>
      <c r="G408" s="690"/>
      <c r="H408" s="693"/>
      <c r="I408" s="692"/>
      <c r="J408" s="692"/>
      <c r="K408" s="692"/>
      <c r="L408" s="692"/>
      <c r="M408" s="692"/>
      <c r="N408" s="692"/>
      <c r="O408" s="692"/>
      <c r="P408" s="692"/>
    </row>
    <row r="409" spans="1:16" s="695" customFormat="1" ht="15" customHeight="1" x14ac:dyDescent="0.25">
      <c r="A409" s="696" t="s">
        <v>2036</v>
      </c>
      <c r="B409" s="696" t="s">
        <v>2051</v>
      </c>
      <c r="C409" s="714">
        <v>15000</v>
      </c>
      <c r="D409" s="573"/>
      <c r="E409" s="696">
        <v>15000</v>
      </c>
      <c r="F409" s="87">
        <f t="shared" si="12"/>
        <v>0</v>
      </c>
      <c r="G409" s="690"/>
      <c r="H409" s="693"/>
      <c r="I409" s="692"/>
      <c r="J409" s="692"/>
      <c r="K409" s="692"/>
      <c r="L409" s="692"/>
      <c r="M409" s="692"/>
      <c r="N409" s="692"/>
      <c r="O409" s="692"/>
      <c r="P409" s="692"/>
    </row>
    <row r="410" spans="1:16" s="695" customFormat="1" ht="15" customHeight="1" x14ac:dyDescent="0.25">
      <c r="A410" s="696" t="s">
        <v>2036</v>
      </c>
      <c r="B410" s="696" t="s">
        <v>30</v>
      </c>
      <c r="C410" s="714">
        <v>5000</v>
      </c>
      <c r="D410" s="573"/>
      <c r="E410" s="696">
        <v>5000</v>
      </c>
      <c r="F410" s="87">
        <f t="shared" si="12"/>
        <v>0</v>
      </c>
      <c r="G410" s="690"/>
      <c r="H410" s="693"/>
      <c r="I410" s="692"/>
      <c r="J410" s="692"/>
      <c r="K410" s="692"/>
      <c r="L410" s="692"/>
      <c r="M410" s="692"/>
      <c r="N410" s="692"/>
      <c r="O410" s="692"/>
      <c r="P410" s="692"/>
    </row>
    <row r="411" spans="1:16" s="695" customFormat="1" ht="15" customHeight="1" x14ac:dyDescent="0.25">
      <c r="A411" s="696" t="s">
        <v>2036</v>
      </c>
      <c r="B411" s="696" t="s">
        <v>2052</v>
      </c>
      <c r="C411" s="714">
        <v>20000</v>
      </c>
      <c r="D411" s="573"/>
      <c r="E411" s="696">
        <v>20000</v>
      </c>
      <c r="F411" s="87">
        <f t="shared" si="12"/>
        <v>0</v>
      </c>
      <c r="G411" s="690"/>
      <c r="H411" s="693"/>
      <c r="I411" s="692"/>
      <c r="J411" s="692"/>
      <c r="K411" s="692"/>
      <c r="L411" s="692"/>
      <c r="M411" s="692"/>
      <c r="N411" s="692"/>
      <c r="O411" s="692"/>
      <c r="P411" s="692"/>
    </row>
    <row r="412" spans="1:16" s="695" customFormat="1" ht="15" customHeight="1" x14ac:dyDescent="0.25">
      <c r="A412" s="696" t="s">
        <v>2036</v>
      </c>
      <c r="B412" s="696" t="s">
        <v>2053</v>
      </c>
      <c r="C412" s="714">
        <v>15000</v>
      </c>
      <c r="D412" s="573"/>
      <c r="E412" s="696">
        <v>15000</v>
      </c>
      <c r="F412" s="87">
        <f t="shared" si="12"/>
        <v>0</v>
      </c>
      <c r="G412" s="690"/>
      <c r="H412" s="693"/>
      <c r="I412" s="692"/>
      <c r="J412" s="692"/>
      <c r="K412" s="692"/>
      <c r="L412" s="692"/>
      <c r="M412" s="692"/>
      <c r="N412" s="692"/>
      <c r="O412" s="692"/>
      <c r="P412" s="692"/>
    </row>
    <row r="413" spans="1:16" s="695" customFormat="1" ht="15" customHeight="1" x14ac:dyDescent="0.25">
      <c r="A413" s="696" t="s">
        <v>2036</v>
      </c>
      <c r="B413" s="696" t="s">
        <v>1888</v>
      </c>
      <c r="C413" s="714">
        <v>15000</v>
      </c>
      <c r="D413" s="573"/>
      <c r="E413" s="696">
        <v>15000</v>
      </c>
      <c r="F413" s="87">
        <f t="shared" si="12"/>
        <v>0</v>
      </c>
      <c r="G413" s="690"/>
      <c r="H413" s="693"/>
      <c r="I413" s="692"/>
      <c r="J413" s="692"/>
      <c r="K413" s="692"/>
      <c r="L413" s="692"/>
      <c r="M413" s="692"/>
      <c r="N413" s="692"/>
      <c r="O413" s="692"/>
      <c r="P413" s="692"/>
    </row>
    <row r="414" spans="1:16" s="695" customFormat="1" ht="15" customHeight="1" x14ac:dyDescent="0.25">
      <c r="A414" s="696" t="s">
        <v>2036</v>
      </c>
      <c r="B414" s="696" t="s">
        <v>1366</v>
      </c>
      <c r="C414" s="714">
        <v>15000</v>
      </c>
      <c r="D414" s="573"/>
      <c r="E414" s="696">
        <v>15000</v>
      </c>
      <c r="F414" s="87">
        <f t="shared" si="12"/>
        <v>0</v>
      </c>
      <c r="G414" s="690"/>
      <c r="H414" s="693"/>
      <c r="I414" s="692"/>
      <c r="J414" s="692"/>
      <c r="K414" s="692"/>
      <c r="L414" s="692"/>
      <c r="M414" s="692"/>
      <c r="N414" s="692"/>
      <c r="O414" s="692"/>
      <c r="P414" s="692"/>
    </row>
    <row r="415" spans="1:16" s="695" customFormat="1" ht="15" customHeight="1" x14ac:dyDescent="0.25">
      <c r="A415" s="696" t="s">
        <v>2054</v>
      </c>
      <c r="B415" s="696" t="s">
        <v>2055</v>
      </c>
      <c r="C415" s="714">
        <v>19860</v>
      </c>
      <c r="D415" s="573"/>
      <c r="E415" s="696">
        <v>19860</v>
      </c>
      <c r="F415" s="87">
        <f t="shared" si="12"/>
        <v>0</v>
      </c>
      <c r="G415" s="690"/>
      <c r="H415" s="693"/>
      <c r="I415" s="692"/>
      <c r="J415" s="692"/>
      <c r="K415" s="692"/>
      <c r="L415" s="692"/>
      <c r="M415" s="692"/>
      <c r="N415" s="692"/>
      <c r="O415" s="692"/>
      <c r="P415" s="692"/>
    </row>
    <row r="416" spans="1:16" s="695" customFormat="1" ht="15" customHeight="1" x14ac:dyDescent="0.25">
      <c r="A416" s="696" t="s">
        <v>2054</v>
      </c>
      <c r="B416" s="696" t="s">
        <v>2056</v>
      </c>
      <c r="C416" s="714">
        <v>18000</v>
      </c>
      <c r="D416" s="573"/>
      <c r="E416" s="696">
        <v>18000</v>
      </c>
      <c r="F416" s="87">
        <f t="shared" si="12"/>
        <v>0</v>
      </c>
      <c r="G416" s="690"/>
      <c r="H416" s="693"/>
      <c r="I416" s="692"/>
      <c r="J416" s="692"/>
      <c r="K416" s="692"/>
      <c r="L416" s="692"/>
      <c r="M416" s="692"/>
      <c r="N416" s="692"/>
      <c r="O416" s="692"/>
      <c r="P416" s="692"/>
    </row>
    <row r="417" spans="1:16" s="695" customFormat="1" ht="15" customHeight="1" x14ac:dyDescent="0.25">
      <c r="A417" s="696" t="s">
        <v>2054</v>
      </c>
      <c r="B417" s="696" t="s">
        <v>30</v>
      </c>
      <c r="C417" s="714">
        <v>3500</v>
      </c>
      <c r="D417" s="573"/>
      <c r="E417" s="696">
        <v>3500</v>
      </c>
      <c r="F417" s="87">
        <f t="shared" si="12"/>
        <v>0</v>
      </c>
      <c r="G417" s="690"/>
      <c r="H417" s="693"/>
      <c r="I417" s="692"/>
      <c r="J417" s="692"/>
      <c r="K417" s="692"/>
      <c r="L417" s="692"/>
      <c r="M417" s="692"/>
      <c r="N417" s="692"/>
      <c r="O417" s="692"/>
      <c r="P417" s="692"/>
    </row>
    <row r="418" spans="1:16" s="695" customFormat="1" ht="15" customHeight="1" x14ac:dyDescent="0.25">
      <c r="A418" s="696" t="s">
        <v>2054</v>
      </c>
      <c r="B418" s="696" t="s">
        <v>17</v>
      </c>
      <c r="C418" s="714">
        <v>3000</v>
      </c>
      <c r="D418" s="573"/>
      <c r="E418" s="696">
        <v>3000</v>
      </c>
      <c r="F418" s="87">
        <f t="shared" si="12"/>
        <v>0</v>
      </c>
      <c r="G418" s="690"/>
      <c r="H418" s="693"/>
      <c r="I418" s="692"/>
      <c r="J418" s="692"/>
      <c r="K418" s="692"/>
      <c r="L418" s="692"/>
      <c r="M418" s="692"/>
      <c r="N418" s="692"/>
      <c r="O418" s="692"/>
      <c r="P418" s="692"/>
    </row>
    <row r="419" spans="1:16" s="695" customFormat="1" ht="15" customHeight="1" x14ac:dyDescent="0.25">
      <c r="A419" s="696" t="s">
        <v>2054</v>
      </c>
      <c r="B419" s="696" t="s">
        <v>1913</v>
      </c>
      <c r="C419" s="714">
        <v>25000</v>
      </c>
      <c r="D419" s="573"/>
      <c r="E419" s="696">
        <v>25000</v>
      </c>
      <c r="F419" s="87">
        <f t="shared" si="12"/>
        <v>0</v>
      </c>
      <c r="G419" s="690"/>
      <c r="H419" s="693"/>
      <c r="I419" s="692"/>
      <c r="J419" s="692"/>
      <c r="K419" s="692"/>
      <c r="L419" s="692"/>
      <c r="M419" s="692"/>
      <c r="N419" s="692"/>
      <c r="O419" s="692"/>
      <c r="P419" s="692"/>
    </row>
    <row r="420" spans="1:16" s="695" customFormat="1" ht="15" customHeight="1" x14ac:dyDescent="0.25">
      <c r="A420" s="696" t="s">
        <v>2054</v>
      </c>
      <c r="B420" s="696" t="s">
        <v>2018</v>
      </c>
      <c r="C420" s="714">
        <v>26000</v>
      </c>
      <c r="D420" s="573"/>
      <c r="E420" s="696">
        <v>26000</v>
      </c>
      <c r="F420" s="87">
        <f t="shared" si="12"/>
        <v>0</v>
      </c>
      <c r="G420" s="690"/>
      <c r="H420" s="693"/>
      <c r="I420" s="692"/>
      <c r="J420" s="692"/>
      <c r="K420" s="692"/>
      <c r="L420" s="692"/>
      <c r="M420" s="692"/>
      <c r="N420" s="692"/>
      <c r="O420" s="692"/>
      <c r="P420" s="692"/>
    </row>
    <row r="421" spans="1:16" s="695" customFormat="1" ht="15" customHeight="1" x14ac:dyDescent="0.25">
      <c r="A421" s="696" t="s">
        <v>2054</v>
      </c>
      <c r="B421" s="696" t="s">
        <v>2025</v>
      </c>
      <c r="C421" s="714">
        <v>16000</v>
      </c>
      <c r="D421" s="573"/>
      <c r="E421" s="696">
        <v>16000</v>
      </c>
      <c r="F421" s="87">
        <f t="shared" si="12"/>
        <v>0</v>
      </c>
      <c r="G421" s="690"/>
      <c r="H421" s="693"/>
      <c r="I421" s="692"/>
      <c r="J421" s="692"/>
      <c r="K421" s="692"/>
      <c r="L421" s="692"/>
      <c r="M421" s="692"/>
      <c r="N421" s="692"/>
      <c r="O421" s="692"/>
      <c r="P421" s="692"/>
    </row>
    <row r="422" spans="1:16" s="695" customFormat="1" ht="15" customHeight="1" x14ac:dyDescent="0.25">
      <c r="A422" s="696" t="s">
        <v>2054</v>
      </c>
      <c r="B422" s="696" t="s">
        <v>1795</v>
      </c>
      <c r="C422" s="714">
        <v>20000</v>
      </c>
      <c r="D422" s="573"/>
      <c r="E422" s="696">
        <v>20000</v>
      </c>
      <c r="F422" s="87">
        <f t="shared" si="12"/>
        <v>0</v>
      </c>
      <c r="G422" s="690"/>
      <c r="H422" s="693"/>
      <c r="I422" s="692"/>
      <c r="J422" s="692"/>
      <c r="K422" s="692"/>
      <c r="L422" s="692"/>
      <c r="M422" s="692"/>
      <c r="N422" s="692"/>
      <c r="O422" s="692"/>
      <c r="P422" s="692"/>
    </row>
    <row r="423" spans="1:16" s="695" customFormat="1" ht="15" customHeight="1" x14ac:dyDescent="0.25">
      <c r="A423" s="696" t="s">
        <v>2054</v>
      </c>
      <c r="B423" s="696" t="s">
        <v>2057</v>
      </c>
      <c r="C423" s="714">
        <v>13000</v>
      </c>
      <c r="D423" s="573"/>
      <c r="E423" s="696">
        <v>13000</v>
      </c>
      <c r="F423" s="87">
        <f t="shared" si="12"/>
        <v>0</v>
      </c>
      <c r="G423" s="690"/>
      <c r="H423" s="693"/>
      <c r="I423" s="692"/>
      <c r="J423" s="692"/>
      <c r="K423" s="692"/>
      <c r="L423" s="692"/>
      <c r="M423" s="692"/>
      <c r="N423" s="692"/>
      <c r="O423" s="692"/>
      <c r="P423" s="692"/>
    </row>
    <row r="424" spans="1:16" s="695" customFormat="1" ht="15" customHeight="1" x14ac:dyDescent="0.25">
      <c r="A424" s="696" t="s">
        <v>2054</v>
      </c>
      <c r="B424" s="696" t="s">
        <v>1925</v>
      </c>
      <c r="C424" s="714">
        <v>18000</v>
      </c>
      <c r="D424" s="573"/>
      <c r="E424" s="696">
        <v>18000</v>
      </c>
      <c r="F424" s="87">
        <f t="shared" si="12"/>
        <v>0</v>
      </c>
      <c r="G424" s="690"/>
      <c r="H424" s="693"/>
      <c r="I424" s="692"/>
      <c r="J424" s="692"/>
      <c r="K424" s="692"/>
      <c r="L424" s="692"/>
      <c r="M424" s="692"/>
      <c r="N424" s="692"/>
      <c r="O424" s="692"/>
      <c r="P424" s="692"/>
    </row>
    <row r="425" spans="1:16" s="695" customFormat="1" ht="15" customHeight="1" x14ac:dyDescent="0.25">
      <c r="A425" s="696" t="s">
        <v>2054</v>
      </c>
      <c r="B425" s="696" t="s">
        <v>1855</v>
      </c>
      <c r="C425" s="714">
        <v>15000</v>
      </c>
      <c r="D425" s="573"/>
      <c r="E425" s="696">
        <v>15000</v>
      </c>
      <c r="F425" s="87">
        <f t="shared" si="12"/>
        <v>0</v>
      </c>
      <c r="G425" s="690"/>
      <c r="H425" s="693"/>
      <c r="I425" s="692"/>
      <c r="J425" s="692"/>
      <c r="K425" s="692"/>
      <c r="L425" s="692"/>
      <c r="M425" s="692"/>
      <c r="N425" s="692"/>
      <c r="O425" s="692"/>
      <c r="P425" s="692"/>
    </row>
    <row r="426" spans="1:16" s="695" customFormat="1" ht="15" customHeight="1" x14ac:dyDescent="0.25">
      <c r="A426" s="696" t="s">
        <v>2054</v>
      </c>
      <c r="B426" s="696" t="s">
        <v>1926</v>
      </c>
      <c r="C426" s="714">
        <v>17000</v>
      </c>
      <c r="D426" s="573"/>
      <c r="E426" s="696">
        <v>17000</v>
      </c>
      <c r="F426" s="87">
        <f t="shared" si="12"/>
        <v>0</v>
      </c>
      <c r="G426" s="690"/>
      <c r="H426" s="693"/>
      <c r="I426" s="692"/>
      <c r="J426" s="692"/>
      <c r="K426" s="692"/>
      <c r="L426" s="692"/>
      <c r="M426" s="692"/>
      <c r="N426" s="692"/>
      <c r="O426" s="692"/>
      <c r="P426" s="692"/>
    </row>
    <row r="427" spans="1:16" s="695" customFormat="1" ht="15" customHeight="1" x14ac:dyDescent="0.25">
      <c r="A427" s="696" t="s">
        <v>2054</v>
      </c>
      <c r="B427" s="696" t="s">
        <v>2058</v>
      </c>
      <c r="C427" s="714">
        <v>25000</v>
      </c>
      <c r="D427" s="573"/>
      <c r="E427" s="696">
        <v>25000</v>
      </c>
      <c r="F427" s="87">
        <f t="shared" si="12"/>
        <v>0</v>
      </c>
      <c r="G427" s="690"/>
      <c r="H427" s="693"/>
      <c r="I427" s="692"/>
      <c r="J427" s="692"/>
      <c r="K427" s="692"/>
      <c r="L427" s="692"/>
      <c r="M427" s="692"/>
      <c r="N427" s="692"/>
      <c r="O427" s="692"/>
      <c r="P427" s="692"/>
    </row>
    <row r="428" spans="1:16" s="695" customFormat="1" ht="15" customHeight="1" x14ac:dyDescent="0.25">
      <c r="A428" s="696" t="s">
        <v>2054</v>
      </c>
      <c r="B428" s="696" t="s">
        <v>2059</v>
      </c>
      <c r="C428" s="714">
        <v>25000</v>
      </c>
      <c r="D428" s="573"/>
      <c r="E428" s="696">
        <v>25000</v>
      </c>
      <c r="F428" s="87">
        <f t="shared" si="12"/>
        <v>0</v>
      </c>
      <c r="G428" s="690"/>
      <c r="H428" s="693"/>
      <c r="I428" s="692"/>
      <c r="J428" s="692"/>
      <c r="K428" s="692"/>
      <c r="L428" s="692"/>
      <c r="M428" s="692"/>
      <c r="N428" s="692"/>
      <c r="O428" s="692"/>
      <c r="P428" s="692"/>
    </row>
    <row r="429" spans="1:16" s="695" customFormat="1" ht="15" customHeight="1" x14ac:dyDescent="0.25">
      <c r="A429" s="696" t="s">
        <v>2054</v>
      </c>
      <c r="B429" s="696" t="s">
        <v>2060</v>
      </c>
      <c r="C429" s="714">
        <v>25000</v>
      </c>
      <c r="D429" s="573"/>
      <c r="E429" s="696">
        <v>25000</v>
      </c>
      <c r="F429" s="87">
        <f t="shared" si="12"/>
        <v>0</v>
      </c>
      <c r="G429" s="690"/>
      <c r="H429" s="693"/>
      <c r="I429" s="692"/>
      <c r="J429" s="692"/>
      <c r="K429" s="692"/>
      <c r="L429" s="692"/>
      <c r="M429" s="692"/>
      <c r="N429" s="692"/>
      <c r="O429" s="692"/>
      <c r="P429" s="692"/>
    </row>
    <row r="430" spans="1:16" s="695" customFormat="1" ht="15" customHeight="1" x14ac:dyDescent="0.25">
      <c r="A430" s="696" t="s">
        <v>2054</v>
      </c>
      <c r="B430" s="696" t="s">
        <v>66</v>
      </c>
      <c r="C430" s="714">
        <v>150</v>
      </c>
      <c r="D430" s="573"/>
      <c r="E430" s="696">
        <v>150</v>
      </c>
      <c r="F430" s="87">
        <f t="shared" si="12"/>
        <v>0</v>
      </c>
      <c r="G430" s="690"/>
      <c r="H430" s="693"/>
      <c r="I430" s="692"/>
      <c r="J430" s="692"/>
      <c r="K430" s="692"/>
      <c r="L430" s="692"/>
      <c r="M430" s="692"/>
      <c r="N430" s="692"/>
      <c r="O430" s="692"/>
      <c r="P430" s="692"/>
    </row>
    <row r="431" spans="1:16" s="695" customFormat="1" ht="15" customHeight="1" x14ac:dyDescent="0.25">
      <c r="A431" s="696" t="s">
        <v>2054</v>
      </c>
      <c r="B431" s="696" t="s">
        <v>2061</v>
      </c>
      <c r="C431" s="714">
        <v>20000</v>
      </c>
      <c r="D431" s="573"/>
      <c r="E431" s="696">
        <v>20000</v>
      </c>
      <c r="F431" s="87">
        <f t="shared" si="12"/>
        <v>0</v>
      </c>
      <c r="G431" s="690"/>
      <c r="H431" s="693"/>
      <c r="I431" s="692"/>
      <c r="J431" s="692"/>
      <c r="K431" s="692"/>
      <c r="L431" s="692"/>
      <c r="M431" s="692"/>
      <c r="N431" s="692"/>
      <c r="O431" s="692"/>
      <c r="P431" s="692"/>
    </row>
    <row r="432" spans="1:16" s="695" customFormat="1" ht="15" customHeight="1" x14ac:dyDescent="0.25">
      <c r="A432" s="696" t="s">
        <v>2054</v>
      </c>
      <c r="B432" s="696" t="s">
        <v>2062</v>
      </c>
      <c r="C432" s="714">
        <v>30000</v>
      </c>
      <c r="D432" s="573"/>
      <c r="E432" s="696">
        <v>30000</v>
      </c>
      <c r="F432" s="87">
        <f t="shared" si="12"/>
        <v>0</v>
      </c>
      <c r="G432" s="690"/>
      <c r="H432" s="693"/>
      <c r="I432" s="692"/>
      <c r="J432" s="692"/>
      <c r="K432" s="692"/>
      <c r="L432" s="692"/>
      <c r="M432" s="692"/>
      <c r="N432" s="692"/>
      <c r="O432" s="692"/>
      <c r="P432" s="692"/>
    </row>
    <row r="433" spans="1:16" s="695" customFormat="1" ht="15" customHeight="1" x14ac:dyDescent="0.25">
      <c r="A433" s="696" t="s">
        <v>2054</v>
      </c>
      <c r="B433" s="696" t="s">
        <v>2063</v>
      </c>
      <c r="C433" s="714">
        <v>36000</v>
      </c>
      <c r="D433" s="573"/>
      <c r="E433" s="696">
        <v>36000</v>
      </c>
      <c r="F433" s="87">
        <f t="shared" si="12"/>
        <v>0</v>
      </c>
      <c r="G433" s="690"/>
      <c r="H433" s="693"/>
      <c r="I433" s="692"/>
      <c r="J433" s="692"/>
      <c r="K433" s="692"/>
      <c r="L433" s="692"/>
      <c r="M433" s="692"/>
      <c r="N433" s="692"/>
      <c r="O433" s="692"/>
      <c r="P433" s="692"/>
    </row>
    <row r="434" spans="1:16" s="695" customFormat="1" ht="15" customHeight="1" x14ac:dyDescent="0.25">
      <c r="A434" s="696" t="s">
        <v>2064</v>
      </c>
      <c r="B434" s="696" t="s">
        <v>2065</v>
      </c>
      <c r="C434" s="714">
        <v>23000</v>
      </c>
      <c r="D434" s="573"/>
      <c r="E434" s="696">
        <v>23000</v>
      </c>
      <c r="F434" s="87">
        <f t="shared" si="12"/>
        <v>0</v>
      </c>
      <c r="G434" s="690"/>
      <c r="H434" s="693"/>
      <c r="I434" s="692"/>
      <c r="J434" s="692"/>
      <c r="K434" s="692"/>
      <c r="L434" s="692"/>
      <c r="M434" s="692"/>
      <c r="N434" s="692"/>
      <c r="O434" s="692"/>
      <c r="P434" s="692"/>
    </row>
    <row r="435" spans="1:16" s="695" customFormat="1" ht="15" customHeight="1" x14ac:dyDescent="0.25">
      <c r="A435" s="696" t="s">
        <v>2064</v>
      </c>
      <c r="B435" s="696" t="s">
        <v>2066</v>
      </c>
      <c r="C435" s="714">
        <v>10000</v>
      </c>
      <c r="D435" s="573"/>
      <c r="E435" s="696">
        <v>10000</v>
      </c>
      <c r="F435" s="87">
        <f t="shared" si="12"/>
        <v>0</v>
      </c>
      <c r="G435" s="690"/>
      <c r="H435" s="693"/>
      <c r="I435" s="692"/>
      <c r="J435" s="692"/>
      <c r="K435" s="692"/>
      <c r="L435" s="692"/>
      <c r="M435" s="692"/>
      <c r="N435" s="692"/>
      <c r="O435" s="692"/>
      <c r="P435" s="692"/>
    </row>
    <row r="436" spans="1:16" s="695" customFormat="1" ht="15" customHeight="1" x14ac:dyDescent="0.25">
      <c r="A436" s="696" t="s">
        <v>2064</v>
      </c>
      <c r="B436" s="696" t="s">
        <v>2067</v>
      </c>
      <c r="C436" s="714">
        <v>15000</v>
      </c>
      <c r="D436" s="573"/>
      <c r="E436" s="696">
        <v>15000</v>
      </c>
      <c r="F436" s="87">
        <f t="shared" si="12"/>
        <v>0</v>
      </c>
      <c r="G436" s="690"/>
      <c r="H436" s="693"/>
      <c r="I436" s="692"/>
      <c r="J436" s="692"/>
      <c r="K436" s="692"/>
      <c r="L436" s="692"/>
      <c r="M436" s="692"/>
      <c r="N436" s="692"/>
      <c r="O436" s="692"/>
      <c r="P436" s="692"/>
    </row>
    <row r="437" spans="1:16" s="695" customFormat="1" ht="15" customHeight="1" x14ac:dyDescent="0.25">
      <c r="A437" s="696" t="s">
        <v>2064</v>
      </c>
      <c r="B437" s="696" t="s">
        <v>1846</v>
      </c>
      <c r="C437" s="714">
        <v>10000</v>
      </c>
      <c r="D437" s="573"/>
      <c r="E437" s="696">
        <v>10000</v>
      </c>
      <c r="F437" s="87">
        <f t="shared" si="12"/>
        <v>0</v>
      </c>
      <c r="G437" s="690"/>
      <c r="H437" s="693"/>
      <c r="I437" s="692"/>
      <c r="J437" s="692"/>
      <c r="K437" s="692"/>
      <c r="L437" s="692"/>
      <c r="M437" s="692"/>
      <c r="N437" s="692"/>
      <c r="O437" s="692"/>
      <c r="P437" s="692"/>
    </row>
    <row r="438" spans="1:16" s="695" customFormat="1" ht="15" customHeight="1" x14ac:dyDescent="0.25">
      <c r="A438" s="696" t="s">
        <v>2064</v>
      </c>
      <c r="B438" s="696" t="s">
        <v>2049</v>
      </c>
      <c r="C438" s="714">
        <v>22000</v>
      </c>
      <c r="D438" s="573"/>
      <c r="E438" s="696">
        <v>22000</v>
      </c>
      <c r="F438" s="87">
        <f t="shared" si="12"/>
        <v>0</v>
      </c>
      <c r="G438" s="690"/>
      <c r="H438" s="693"/>
      <c r="I438" s="692"/>
      <c r="J438" s="692"/>
      <c r="K438" s="692"/>
      <c r="L438" s="692"/>
      <c r="M438" s="692"/>
      <c r="N438" s="692"/>
      <c r="O438" s="692"/>
      <c r="P438" s="692"/>
    </row>
    <row r="439" spans="1:16" s="695" customFormat="1" ht="15" customHeight="1" x14ac:dyDescent="0.25">
      <c r="A439" s="696" t="s">
        <v>2064</v>
      </c>
      <c r="B439" s="696" t="s">
        <v>1725</v>
      </c>
      <c r="C439" s="714">
        <v>20000</v>
      </c>
      <c r="D439" s="573"/>
      <c r="E439" s="696">
        <v>20000</v>
      </c>
      <c r="F439" s="87">
        <f t="shared" si="12"/>
        <v>0</v>
      </c>
      <c r="G439" s="690"/>
      <c r="H439" s="693"/>
      <c r="I439" s="692"/>
      <c r="J439" s="692"/>
      <c r="K439" s="692"/>
      <c r="L439" s="692"/>
      <c r="M439" s="692"/>
      <c r="N439" s="692"/>
      <c r="O439" s="692"/>
      <c r="P439" s="692"/>
    </row>
    <row r="440" spans="1:16" s="695" customFormat="1" ht="15" customHeight="1" x14ac:dyDescent="0.25">
      <c r="A440" s="696" t="s">
        <v>2064</v>
      </c>
      <c r="B440" s="696" t="s">
        <v>1977</v>
      </c>
      <c r="C440" s="714">
        <v>10000</v>
      </c>
      <c r="D440" s="573"/>
      <c r="E440" s="696">
        <v>10000</v>
      </c>
      <c r="F440" s="87">
        <f t="shared" si="12"/>
        <v>0</v>
      </c>
      <c r="G440" s="690"/>
      <c r="H440" s="693"/>
      <c r="I440" s="692"/>
      <c r="J440" s="692"/>
      <c r="K440" s="692"/>
      <c r="L440" s="692"/>
      <c r="M440" s="692"/>
      <c r="N440" s="692"/>
      <c r="O440" s="692"/>
      <c r="P440" s="692"/>
    </row>
    <row r="441" spans="1:16" s="695" customFormat="1" ht="15" customHeight="1" x14ac:dyDescent="0.25">
      <c r="A441" s="696" t="s">
        <v>2064</v>
      </c>
      <c r="B441" s="696" t="s">
        <v>1841</v>
      </c>
      <c r="C441" s="714">
        <v>15000</v>
      </c>
      <c r="D441" s="573"/>
      <c r="E441" s="696">
        <v>15000</v>
      </c>
      <c r="F441" s="87">
        <f t="shared" si="12"/>
        <v>0</v>
      </c>
      <c r="G441" s="690"/>
      <c r="H441" s="693"/>
      <c r="I441" s="692"/>
      <c r="J441" s="692"/>
      <c r="K441" s="692"/>
      <c r="L441" s="692"/>
      <c r="M441" s="692"/>
      <c r="N441" s="692"/>
      <c r="O441" s="692"/>
      <c r="P441" s="692"/>
    </row>
    <row r="442" spans="1:16" s="695" customFormat="1" ht="15" customHeight="1" x14ac:dyDescent="0.25">
      <c r="A442" s="696" t="s">
        <v>2064</v>
      </c>
      <c r="B442" s="696" t="s">
        <v>2048</v>
      </c>
      <c r="C442" s="714">
        <v>23000</v>
      </c>
      <c r="D442" s="573"/>
      <c r="E442" s="696">
        <v>23000</v>
      </c>
      <c r="F442" s="87">
        <f t="shared" si="12"/>
        <v>0</v>
      </c>
      <c r="G442" s="690"/>
      <c r="H442" s="693"/>
      <c r="I442" s="692"/>
      <c r="J442" s="692"/>
      <c r="K442" s="692"/>
      <c r="L442" s="692"/>
      <c r="M442" s="692"/>
      <c r="N442" s="692"/>
      <c r="O442" s="692"/>
      <c r="P442" s="692"/>
    </row>
    <row r="443" spans="1:16" s="695" customFormat="1" ht="15" customHeight="1" x14ac:dyDescent="0.25">
      <c r="A443" s="696" t="s">
        <v>2064</v>
      </c>
      <c r="B443" s="696" t="s">
        <v>1891</v>
      </c>
      <c r="C443" s="714">
        <v>23000</v>
      </c>
      <c r="D443" s="573"/>
      <c r="E443" s="696">
        <v>23000</v>
      </c>
      <c r="F443" s="87">
        <f t="shared" si="12"/>
        <v>0</v>
      </c>
      <c r="G443" s="690"/>
      <c r="H443" s="693"/>
      <c r="I443" s="692"/>
      <c r="J443" s="692"/>
      <c r="K443" s="692"/>
      <c r="L443" s="692"/>
      <c r="M443" s="692"/>
      <c r="N443" s="692"/>
      <c r="O443" s="692"/>
      <c r="P443" s="692"/>
    </row>
    <row r="444" spans="1:16" s="695" customFormat="1" ht="15" customHeight="1" x14ac:dyDescent="0.25">
      <c r="A444" s="696" t="s">
        <v>2064</v>
      </c>
      <c r="B444" s="696" t="s">
        <v>2047</v>
      </c>
      <c r="C444" s="714">
        <v>23000</v>
      </c>
      <c r="D444" s="573"/>
      <c r="E444" s="696">
        <v>23000</v>
      </c>
      <c r="F444" s="87">
        <f t="shared" si="12"/>
        <v>0</v>
      </c>
      <c r="G444" s="690"/>
      <c r="H444" s="693"/>
      <c r="I444" s="692"/>
      <c r="J444" s="692"/>
      <c r="K444" s="692"/>
      <c r="L444" s="692"/>
      <c r="M444" s="692"/>
      <c r="N444" s="692"/>
      <c r="O444" s="692"/>
      <c r="P444" s="692"/>
    </row>
    <row r="445" spans="1:16" s="695" customFormat="1" ht="15" customHeight="1" x14ac:dyDescent="0.25">
      <c r="A445" s="696" t="s">
        <v>2064</v>
      </c>
      <c r="B445" s="696" t="s">
        <v>2068</v>
      </c>
      <c r="C445" s="714">
        <v>20000</v>
      </c>
      <c r="D445" s="573"/>
      <c r="E445" s="696">
        <v>20000</v>
      </c>
      <c r="F445" s="87">
        <f t="shared" si="12"/>
        <v>0</v>
      </c>
      <c r="G445" s="690"/>
      <c r="H445" s="693"/>
      <c r="I445" s="692"/>
      <c r="J445" s="692"/>
      <c r="K445" s="692"/>
      <c r="L445" s="692"/>
      <c r="M445" s="692"/>
      <c r="N445" s="692"/>
      <c r="O445" s="692"/>
      <c r="P445" s="692"/>
    </row>
    <row r="446" spans="1:16" s="695" customFormat="1" ht="15" customHeight="1" x14ac:dyDescent="0.25">
      <c r="A446" s="696" t="s">
        <v>2064</v>
      </c>
      <c r="B446" s="696" t="s">
        <v>1978</v>
      </c>
      <c r="C446" s="714">
        <v>10000</v>
      </c>
      <c r="D446" s="573"/>
      <c r="E446" s="696">
        <v>10000</v>
      </c>
      <c r="F446" s="87">
        <f t="shared" si="12"/>
        <v>0</v>
      </c>
      <c r="G446" s="690"/>
      <c r="H446" s="693"/>
      <c r="I446" s="692"/>
      <c r="J446" s="692"/>
      <c r="K446" s="692"/>
      <c r="L446" s="692"/>
      <c r="M446" s="692"/>
      <c r="N446" s="692"/>
      <c r="O446" s="692"/>
      <c r="P446" s="692"/>
    </row>
    <row r="447" spans="1:16" s="695" customFormat="1" ht="15" customHeight="1" x14ac:dyDescent="0.25">
      <c r="A447" s="696" t="s">
        <v>2064</v>
      </c>
      <c r="B447" s="696" t="s">
        <v>1951</v>
      </c>
      <c r="C447" s="714">
        <v>10000</v>
      </c>
      <c r="D447" s="573"/>
      <c r="E447" s="696">
        <v>10000</v>
      </c>
      <c r="F447" s="87">
        <f t="shared" si="12"/>
        <v>0</v>
      </c>
      <c r="G447" s="690"/>
      <c r="H447" s="693"/>
      <c r="I447" s="692"/>
      <c r="J447" s="692"/>
      <c r="K447" s="692"/>
      <c r="L447" s="692"/>
      <c r="M447" s="692"/>
      <c r="N447" s="692"/>
      <c r="O447" s="692"/>
      <c r="P447" s="692"/>
    </row>
    <row r="448" spans="1:16" s="695" customFormat="1" ht="15" customHeight="1" x14ac:dyDescent="0.25">
      <c r="A448" s="696" t="s">
        <v>2064</v>
      </c>
      <c r="B448" s="696" t="s">
        <v>30</v>
      </c>
      <c r="C448" s="714">
        <v>8000</v>
      </c>
      <c r="D448" s="573"/>
      <c r="E448" s="696">
        <v>8000</v>
      </c>
      <c r="F448" s="87">
        <f t="shared" si="12"/>
        <v>0</v>
      </c>
      <c r="G448" s="690"/>
      <c r="H448" s="693"/>
      <c r="I448" s="692"/>
      <c r="J448" s="692"/>
      <c r="K448" s="692"/>
      <c r="L448" s="692"/>
      <c r="M448" s="692"/>
      <c r="N448" s="692"/>
      <c r="O448" s="692"/>
      <c r="P448" s="692"/>
    </row>
    <row r="449" spans="1:16" s="695" customFormat="1" ht="15" customHeight="1" x14ac:dyDescent="0.25">
      <c r="A449" s="696" t="s">
        <v>2064</v>
      </c>
      <c r="B449" s="696" t="s">
        <v>1997</v>
      </c>
      <c r="C449" s="714">
        <v>23000</v>
      </c>
      <c r="D449" s="573"/>
      <c r="E449" s="696">
        <v>23000</v>
      </c>
      <c r="F449" s="87">
        <f t="shared" si="12"/>
        <v>0</v>
      </c>
      <c r="G449" s="690"/>
      <c r="H449" s="693"/>
      <c r="I449" s="692"/>
      <c r="J449" s="692"/>
      <c r="K449" s="692"/>
      <c r="L449" s="692"/>
      <c r="M449" s="692"/>
      <c r="N449" s="692"/>
      <c r="O449" s="692"/>
      <c r="P449" s="692"/>
    </row>
    <row r="450" spans="1:16" s="695" customFormat="1" ht="15" customHeight="1" x14ac:dyDescent="0.25">
      <c r="A450" s="696" t="s">
        <v>2064</v>
      </c>
      <c r="B450" s="696" t="s">
        <v>2069</v>
      </c>
      <c r="C450" s="714">
        <v>20000</v>
      </c>
      <c r="D450" s="573"/>
      <c r="E450" s="696">
        <v>20000</v>
      </c>
      <c r="F450" s="87">
        <f t="shared" si="12"/>
        <v>0</v>
      </c>
      <c r="G450" s="690"/>
      <c r="H450" s="693"/>
      <c r="I450" s="692"/>
      <c r="J450" s="692"/>
      <c r="K450" s="692"/>
      <c r="L450" s="692"/>
      <c r="M450" s="692"/>
      <c r="N450" s="692"/>
      <c r="O450" s="692"/>
      <c r="P450" s="692"/>
    </row>
    <row r="451" spans="1:16" s="695" customFormat="1" ht="15" customHeight="1" x14ac:dyDescent="0.25">
      <c r="A451" s="696" t="s">
        <v>2064</v>
      </c>
      <c r="B451" s="696" t="s">
        <v>2070</v>
      </c>
      <c r="C451" s="714">
        <v>20000</v>
      </c>
      <c r="D451" s="573"/>
      <c r="E451" s="696">
        <v>20000</v>
      </c>
      <c r="F451" s="87">
        <f t="shared" si="12"/>
        <v>0</v>
      </c>
      <c r="G451" s="690"/>
      <c r="H451" s="693"/>
      <c r="I451" s="692"/>
      <c r="J451" s="692"/>
      <c r="K451" s="692"/>
      <c r="L451" s="692"/>
      <c r="M451" s="692"/>
      <c r="N451" s="692"/>
      <c r="O451" s="692"/>
      <c r="P451" s="692"/>
    </row>
    <row r="452" spans="1:16" s="695" customFormat="1" ht="15" customHeight="1" x14ac:dyDescent="0.25">
      <c r="A452" s="696" t="s">
        <v>2064</v>
      </c>
      <c r="B452" s="696" t="s">
        <v>2071</v>
      </c>
      <c r="C452" s="714">
        <v>20000</v>
      </c>
      <c r="D452" s="573"/>
      <c r="E452" s="696">
        <v>20000</v>
      </c>
      <c r="F452" s="87">
        <f t="shared" si="12"/>
        <v>0</v>
      </c>
      <c r="G452" s="690"/>
      <c r="H452" s="693"/>
      <c r="I452" s="692"/>
      <c r="J452" s="692"/>
      <c r="K452" s="692"/>
      <c r="L452" s="692"/>
      <c r="M452" s="692"/>
      <c r="N452" s="692"/>
      <c r="O452" s="692"/>
      <c r="P452" s="692"/>
    </row>
    <row r="453" spans="1:16" s="695" customFormat="1" ht="15" customHeight="1" x14ac:dyDescent="0.25">
      <c r="A453" s="696" t="s">
        <v>2072</v>
      </c>
      <c r="B453" s="696" t="s">
        <v>2073</v>
      </c>
      <c r="C453" s="714">
        <v>25000</v>
      </c>
      <c r="D453" s="573"/>
      <c r="E453" s="696">
        <v>25000</v>
      </c>
      <c r="F453" s="87">
        <f t="shared" si="12"/>
        <v>0</v>
      </c>
      <c r="G453" s="690"/>
      <c r="H453" s="693"/>
      <c r="I453" s="692"/>
      <c r="J453" s="692"/>
      <c r="K453" s="692"/>
      <c r="L453" s="692"/>
      <c r="M453" s="692"/>
      <c r="N453" s="692"/>
      <c r="O453" s="692"/>
      <c r="P453" s="692"/>
    </row>
    <row r="454" spans="1:16" s="695" customFormat="1" ht="15" customHeight="1" x14ac:dyDescent="0.25">
      <c r="A454" s="696" t="s">
        <v>2072</v>
      </c>
      <c r="B454" s="696" t="s">
        <v>1883</v>
      </c>
      <c r="C454" s="714">
        <v>17334</v>
      </c>
      <c r="D454" s="573"/>
      <c r="E454" s="696">
        <v>17334</v>
      </c>
      <c r="F454" s="87">
        <f t="shared" si="12"/>
        <v>0</v>
      </c>
      <c r="G454" s="690"/>
      <c r="H454" s="693"/>
      <c r="I454" s="692"/>
      <c r="J454" s="692"/>
      <c r="K454" s="692"/>
      <c r="L454" s="692"/>
      <c r="M454" s="692"/>
      <c r="N454" s="692"/>
      <c r="O454" s="692"/>
      <c r="P454" s="692"/>
    </row>
    <row r="455" spans="1:16" s="695" customFormat="1" ht="15" customHeight="1" x14ac:dyDescent="0.25">
      <c r="A455" s="696" t="s">
        <v>2072</v>
      </c>
      <c r="B455" s="696" t="s">
        <v>2074</v>
      </c>
      <c r="C455" s="714">
        <v>14450</v>
      </c>
      <c r="D455" s="573"/>
      <c r="E455" s="696">
        <v>14450</v>
      </c>
      <c r="F455" s="87">
        <f t="shared" si="12"/>
        <v>0</v>
      </c>
      <c r="G455" s="690"/>
      <c r="H455" s="693"/>
      <c r="I455" s="692"/>
      <c r="J455" s="692"/>
      <c r="K455" s="692"/>
      <c r="L455" s="692"/>
      <c r="M455" s="692"/>
      <c r="N455" s="692"/>
      <c r="O455" s="692"/>
      <c r="P455" s="692"/>
    </row>
    <row r="456" spans="1:16" s="695" customFormat="1" ht="15" customHeight="1" x14ac:dyDescent="0.25">
      <c r="A456" s="696" t="s">
        <v>2072</v>
      </c>
      <c r="B456" s="696" t="s">
        <v>2075</v>
      </c>
      <c r="C456" s="714">
        <v>25000</v>
      </c>
      <c r="D456" s="573"/>
      <c r="E456" s="696">
        <v>25000</v>
      </c>
      <c r="F456" s="87">
        <f t="shared" si="12"/>
        <v>0</v>
      </c>
      <c r="G456" s="690"/>
      <c r="H456" s="693"/>
      <c r="I456" s="692"/>
      <c r="J456" s="692"/>
      <c r="K456" s="692"/>
      <c r="L456" s="692"/>
      <c r="M456" s="692"/>
      <c r="N456" s="692"/>
      <c r="O456" s="692"/>
      <c r="P456" s="692"/>
    </row>
    <row r="457" spans="1:16" s="695" customFormat="1" ht="15" customHeight="1" x14ac:dyDescent="0.25">
      <c r="A457" s="696" t="s">
        <v>2072</v>
      </c>
      <c r="B457" s="696" t="s">
        <v>30</v>
      </c>
      <c r="C457" s="714">
        <v>4500</v>
      </c>
      <c r="D457" s="573"/>
      <c r="E457" s="696">
        <v>4500</v>
      </c>
      <c r="F457" s="87">
        <f t="shared" si="12"/>
        <v>0</v>
      </c>
      <c r="G457" s="690"/>
      <c r="H457" s="693"/>
      <c r="I457" s="692"/>
      <c r="J457" s="692"/>
      <c r="K457" s="692"/>
      <c r="L457" s="692"/>
      <c r="M457" s="692"/>
      <c r="N457" s="692"/>
      <c r="O457" s="692"/>
      <c r="P457" s="692"/>
    </row>
    <row r="458" spans="1:16" s="695" customFormat="1" ht="15" customHeight="1" x14ac:dyDescent="0.25">
      <c r="A458" s="696" t="s">
        <v>2072</v>
      </c>
      <c r="B458" s="696" t="s">
        <v>2076</v>
      </c>
      <c r="C458" s="714">
        <v>10000</v>
      </c>
      <c r="D458" s="573"/>
      <c r="E458" s="696">
        <v>10000</v>
      </c>
      <c r="F458" s="87">
        <f t="shared" ref="F458:F506" si="13">C458-E458</f>
        <v>0</v>
      </c>
      <c r="G458" s="690"/>
      <c r="H458" s="693"/>
      <c r="I458" s="692"/>
      <c r="J458" s="692"/>
      <c r="K458" s="692"/>
      <c r="L458" s="692"/>
      <c r="M458" s="692"/>
      <c r="N458" s="692"/>
      <c r="O458" s="692"/>
      <c r="P458" s="692"/>
    </row>
    <row r="459" spans="1:16" s="695" customFormat="1" ht="15" customHeight="1" x14ac:dyDescent="0.25">
      <c r="A459" s="696" t="s">
        <v>2072</v>
      </c>
      <c r="B459" s="696" t="s">
        <v>2077</v>
      </c>
      <c r="C459" s="714">
        <v>15000</v>
      </c>
      <c r="D459" s="573"/>
      <c r="E459" s="696">
        <v>15000</v>
      </c>
      <c r="F459" s="87">
        <f t="shared" si="13"/>
        <v>0</v>
      </c>
      <c r="G459" s="690"/>
      <c r="H459" s="693"/>
      <c r="I459" s="692"/>
      <c r="J459" s="692"/>
      <c r="K459" s="692"/>
      <c r="L459" s="692"/>
      <c r="M459" s="692"/>
      <c r="N459" s="692"/>
      <c r="O459" s="692"/>
      <c r="P459" s="692"/>
    </row>
    <row r="460" spans="1:16" s="695" customFormat="1" ht="15" customHeight="1" x14ac:dyDescent="0.25">
      <c r="A460" s="696" t="s">
        <v>2072</v>
      </c>
      <c r="B460" s="696" t="s">
        <v>1724</v>
      </c>
      <c r="C460" s="714">
        <v>22000</v>
      </c>
      <c r="D460" s="573"/>
      <c r="E460" s="696">
        <v>22000</v>
      </c>
      <c r="F460" s="87">
        <f t="shared" si="13"/>
        <v>0</v>
      </c>
      <c r="G460" s="690"/>
      <c r="H460" s="693"/>
      <c r="I460" s="692"/>
      <c r="J460" s="692"/>
      <c r="K460" s="692"/>
      <c r="L460" s="692"/>
      <c r="M460" s="692"/>
      <c r="N460" s="692"/>
      <c r="O460" s="692"/>
      <c r="P460" s="692"/>
    </row>
    <row r="461" spans="1:16" s="695" customFormat="1" ht="15" customHeight="1" x14ac:dyDescent="0.25">
      <c r="A461" s="696" t="s">
        <v>2072</v>
      </c>
      <c r="B461" s="696" t="s">
        <v>2019</v>
      </c>
      <c r="C461" s="714">
        <v>15000</v>
      </c>
      <c r="D461" s="573"/>
      <c r="E461" s="696">
        <v>15000</v>
      </c>
      <c r="F461" s="87">
        <f t="shared" si="13"/>
        <v>0</v>
      </c>
      <c r="G461" s="690"/>
      <c r="H461" s="693"/>
      <c r="I461" s="692"/>
      <c r="J461" s="692"/>
      <c r="K461" s="692"/>
      <c r="L461" s="692"/>
      <c r="M461" s="692"/>
      <c r="N461" s="692"/>
      <c r="O461" s="692"/>
      <c r="P461" s="692"/>
    </row>
    <row r="462" spans="1:16" s="695" customFormat="1" ht="15" customHeight="1" x14ac:dyDescent="0.25">
      <c r="A462" s="696" t="s">
        <v>2072</v>
      </c>
      <c r="B462" s="696" t="s">
        <v>66</v>
      </c>
      <c r="C462" s="714">
        <v>210</v>
      </c>
      <c r="D462" s="573"/>
      <c r="E462" s="696">
        <v>210</v>
      </c>
      <c r="F462" s="87">
        <f t="shared" si="13"/>
        <v>0</v>
      </c>
      <c r="G462" s="690"/>
      <c r="H462" s="693"/>
      <c r="I462" s="692"/>
      <c r="J462" s="692"/>
      <c r="K462" s="692"/>
      <c r="L462" s="692"/>
      <c r="M462" s="692"/>
      <c r="N462" s="692"/>
      <c r="O462" s="692"/>
      <c r="P462" s="692"/>
    </row>
    <row r="463" spans="1:16" s="695" customFormat="1" ht="15" customHeight="1" x14ac:dyDescent="0.25">
      <c r="A463" s="696" t="s">
        <v>2072</v>
      </c>
      <c r="B463" s="696" t="s">
        <v>2078</v>
      </c>
      <c r="C463" s="714">
        <v>23000</v>
      </c>
      <c r="D463" s="573"/>
      <c r="E463" s="696">
        <v>23000</v>
      </c>
      <c r="F463" s="87">
        <f t="shared" si="13"/>
        <v>0</v>
      </c>
      <c r="G463" s="690"/>
      <c r="H463" s="693"/>
      <c r="I463" s="692"/>
      <c r="J463" s="692"/>
      <c r="K463" s="692"/>
      <c r="L463" s="692"/>
      <c r="M463" s="692"/>
      <c r="N463" s="692"/>
      <c r="O463" s="692"/>
      <c r="P463" s="692"/>
    </row>
    <row r="464" spans="1:16" s="695" customFormat="1" ht="15" customHeight="1" x14ac:dyDescent="0.25">
      <c r="A464" s="696" t="s">
        <v>2072</v>
      </c>
      <c r="B464" s="696" t="s">
        <v>2079</v>
      </c>
      <c r="C464" s="714">
        <v>23000</v>
      </c>
      <c r="D464" s="573"/>
      <c r="E464" s="696">
        <v>23000</v>
      </c>
      <c r="F464" s="87">
        <f t="shared" si="13"/>
        <v>0</v>
      </c>
      <c r="G464" s="690"/>
      <c r="H464" s="693"/>
      <c r="I464" s="692"/>
      <c r="J464" s="692"/>
      <c r="K464" s="692"/>
      <c r="L464" s="692"/>
      <c r="M464" s="692"/>
      <c r="N464" s="692"/>
      <c r="O464" s="692"/>
      <c r="P464" s="692"/>
    </row>
    <row r="465" spans="1:16" s="695" customFormat="1" ht="15" customHeight="1" x14ac:dyDescent="0.25">
      <c r="A465" s="696" t="s">
        <v>2072</v>
      </c>
      <c r="B465" s="696" t="s">
        <v>2080</v>
      </c>
      <c r="C465" s="714">
        <v>23000</v>
      </c>
      <c r="D465" s="573"/>
      <c r="E465" s="696">
        <v>23000</v>
      </c>
      <c r="F465" s="87">
        <f t="shared" si="13"/>
        <v>0</v>
      </c>
      <c r="G465" s="690"/>
      <c r="H465" s="693"/>
      <c r="I465" s="692"/>
      <c r="J465" s="692"/>
      <c r="K465" s="692"/>
      <c r="L465" s="692"/>
      <c r="M465" s="692"/>
      <c r="N465" s="692"/>
      <c r="O465" s="692"/>
      <c r="P465" s="692"/>
    </row>
    <row r="466" spans="1:16" s="695" customFormat="1" ht="15" customHeight="1" x14ac:dyDescent="0.25">
      <c r="A466" s="696" t="s">
        <v>2072</v>
      </c>
      <c r="B466" s="696" t="s">
        <v>2081</v>
      </c>
      <c r="C466" s="714">
        <v>22000</v>
      </c>
      <c r="D466" s="573"/>
      <c r="E466" s="696">
        <v>22000</v>
      </c>
      <c r="F466" s="87">
        <f t="shared" si="13"/>
        <v>0</v>
      </c>
      <c r="G466" s="690"/>
      <c r="H466" s="693"/>
      <c r="I466" s="692"/>
      <c r="J466" s="692"/>
      <c r="K466" s="692"/>
      <c r="L466" s="692"/>
      <c r="M466" s="692"/>
      <c r="N466" s="692"/>
      <c r="O466" s="692"/>
      <c r="P466" s="692"/>
    </row>
    <row r="467" spans="1:16" s="695" customFormat="1" ht="15" customHeight="1" x14ac:dyDescent="0.25">
      <c r="A467" s="696" t="s">
        <v>2072</v>
      </c>
      <c r="B467" s="696" t="s">
        <v>2082</v>
      </c>
      <c r="C467" s="714">
        <v>28459</v>
      </c>
      <c r="D467" s="573"/>
      <c r="E467" s="696">
        <v>28459</v>
      </c>
      <c r="F467" s="87">
        <f t="shared" si="13"/>
        <v>0</v>
      </c>
      <c r="G467" s="690"/>
      <c r="H467" s="693"/>
      <c r="I467" s="692"/>
      <c r="J467" s="692"/>
      <c r="K467" s="692"/>
      <c r="L467" s="692"/>
      <c r="M467" s="692"/>
      <c r="N467" s="692"/>
      <c r="O467" s="692"/>
      <c r="P467" s="692"/>
    </row>
    <row r="468" spans="1:16" s="695" customFormat="1" ht="15" customHeight="1" x14ac:dyDescent="0.25">
      <c r="A468" s="696" t="s">
        <v>2072</v>
      </c>
      <c r="B468" s="696" t="s">
        <v>2083</v>
      </c>
      <c r="C468" s="714">
        <v>29401</v>
      </c>
      <c r="D468" s="573"/>
      <c r="E468" s="696">
        <v>29401</v>
      </c>
      <c r="F468" s="87">
        <f t="shared" si="13"/>
        <v>0</v>
      </c>
      <c r="G468" s="690"/>
      <c r="H468" s="693"/>
      <c r="I468" s="692"/>
      <c r="J468" s="692"/>
      <c r="K468" s="692"/>
      <c r="L468" s="692"/>
      <c r="M468" s="692"/>
      <c r="N468" s="692"/>
      <c r="O468" s="692"/>
      <c r="P468" s="692"/>
    </row>
    <row r="469" spans="1:16" s="695" customFormat="1" ht="15" customHeight="1" x14ac:dyDescent="0.25">
      <c r="A469" s="696" t="s">
        <v>2072</v>
      </c>
      <c r="B469" s="696" t="s">
        <v>1913</v>
      </c>
      <c r="C469" s="714">
        <v>22000</v>
      </c>
      <c r="D469" s="573"/>
      <c r="E469" s="696">
        <v>22000</v>
      </c>
      <c r="F469" s="87">
        <f t="shared" si="13"/>
        <v>0</v>
      </c>
      <c r="G469" s="690"/>
      <c r="H469" s="693"/>
      <c r="I469" s="692"/>
      <c r="J469" s="692"/>
      <c r="K469" s="692"/>
      <c r="L469" s="692"/>
      <c r="M469" s="692"/>
      <c r="N469" s="692"/>
      <c r="O469" s="692"/>
      <c r="P469" s="692"/>
    </row>
    <row r="470" spans="1:16" s="695" customFormat="1" ht="15" customHeight="1" x14ac:dyDescent="0.25">
      <c r="A470" s="696" t="s">
        <v>2072</v>
      </c>
      <c r="B470" s="696" t="s">
        <v>2084</v>
      </c>
      <c r="C470" s="714">
        <v>32000</v>
      </c>
      <c r="D470" s="573"/>
      <c r="E470" s="696">
        <v>32000</v>
      </c>
      <c r="F470" s="87">
        <f t="shared" si="13"/>
        <v>0</v>
      </c>
      <c r="G470" s="690"/>
      <c r="H470" s="693"/>
      <c r="I470" s="692"/>
      <c r="J470" s="692"/>
      <c r="K470" s="692"/>
      <c r="L470" s="692"/>
      <c r="M470" s="692"/>
      <c r="N470" s="692"/>
      <c r="O470" s="692"/>
      <c r="P470" s="692"/>
    </row>
    <row r="471" spans="1:16" s="695" customFormat="1" ht="15" customHeight="1" x14ac:dyDescent="0.25">
      <c r="A471" s="696" t="s">
        <v>2072</v>
      </c>
      <c r="B471" s="696" t="s">
        <v>2018</v>
      </c>
      <c r="C471" s="714">
        <v>23000</v>
      </c>
      <c r="D471" s="573"/>
      <c r="E471" s="696">
        <v>23000</v>
      </c>
      <c r="F471" s="87">
        <f t="shared" si="13"/>
        <v>0</v>
      </c>
      <c r="G471" s="690"/>
      <c r="H471" s="693"/>
      <c r="I471" s="692"/>
      <c r="J471" s="692"/>
      <c r="K471" s="692"/>
      <c r="L471" s="692"/>
      <c r="M471" s="692"/>
      <c r="N471" s="692"/>
      <c r="O471" s="692"/>
      <c r="P471" s="692"/>
    </row>
    <row r="472" spans="1:16" s="709" customFormat="1" ht="15" customHeight="1" x14ac:dyDescent="0.25">
      <c r="A472" s="696" t="s">
        <v>2072</v>
      </c>
      <c r="B472" s="696" t="s">
        <v>2792</v>
      </c>
      <c r="C472" s="714">
        <v>30000</v>
      </c>
      <c r="D472" s="573"/>
      <c r="E472" s="696">
        <v>30000</v>
      </c>
      <c r="F472" s="87">
        <f t="shared" ref="F472:F473" si="14">C472-E472</f>
        <v>0</v>
      </c>
      <c r="G472" s="690"/>
      <c r="H472" s="693"/>
      <c r="I472" s="692"/>
      <c r="J472" s="692"/>
      <c r="K472" s="692"/>
      <c r="L472" s="692"/>
      <c r="M472" s="692"/>
      <c r="N472" s="692"/>
      <c r="O472" s="692"/>
      <c r="P472" s="692"/>
    </row>
    <row r="473" spans="1:16" s="709" customFormat="1" ht="15" customHeight="1" x14ac:dyDescent="0.25">
      <c r="A473" s="696" t="s">
        <v>2072</v>
      </c>
      <c r="B473" s="696" t="s">
        <v>2793</v>
      </c>
      <c r="C473" s="714">
        <v>30000</v>
      </c>
      <c r="D473" s="573"/>
      <c r="E473" s="696">
        <v>30000</v>
      </c>
      <c r="F473" s="87">
        <f t="shared" si="14"/>
        <v>0</v>
      </c>
      <c r="G473" s="690"/>
      <c r="H473" s="693"/>
      <c r="I473" s="692"/>
      <c r="J473" s="692"/>
      <c r="K473" s="692"/>
      <c r="L473" s="692"/>
      <c r="M473" s="692"/>
      <c r="N473" s="692"/>
      <c r="O473" s="692"/>
      <c r="P473" s="692"/>
    </row>
    <row r="474" spans="1:16" s="695" customFormat="1" ht="15" customHeight="1" x14ac:dyDescent="0.25">
      <c r="A474" s="696" t="s">
        <v>2072</v>
      </c>
      <c r="B474" s="696" t="s">
        <v>2085</v>
      </c>
      <c r="C474" s="714">
        <v>27000</v>
      </c>
      <c r="D474" s="573"/>
      <c r="E474" s="696">
        <v>27000</v>
      </c>
      <c r="F474" s="87">
        <f t="shared" si="13"/>
        <v>0</v>
      </c>
      <c r="G474" s="690"/>
      <c r="H474" s="693"/>
      <c r="I474" s="692"/>
      <c r="J474" s="692"/>
      <c r="K474" s="692"/>
      <c r="L474" s="692"/>
      <c r="M474" s="692"/>
      <c r="N474" s="692"/>
      <c r="O474" s="692"/>
      <c r="P474" s="692"/>
    </row>
    <row r="475" spans="1:16" s="695" customFormat="1" ht="15" customHeight="1" x14ac:dyDescent="0.25">
      <c r="A475" s="696" t="s">
        <v>2072</v>
      </c>
      <c r="B475" s="696" t="s">
        <v>2086</v>
      </c>
      <c r="C475" s="714">
        <v>25000</v>
      </c>
      <c r="D475" s="573"/>
      <c r="E475" s="696">
        <v>25000</v>
      </c>
      <c r="F475" s="87">
        <f t="shared" si="13"/>
        <v>0</v>
      </c>
      <c r="G475" s="690"/>
      <c r="H475" s="693"/>
      <c r="I475" s="692"/>
      <c r="J475" s="692"/>
      <c r="K475" s="692"/>
      <c r="L475" s="692"/>
      <c r="M475" s="692"/>
      <c r="N475" s="692"/>
      <c r="O475" s="692"/>
      <c r="P475" s="692"/>
    </row>
    <row r="476" spans="1:16" s="695" customFormat="1" ht="15" customHeight="1" x14ac:dyDescent="0.25">
      <c r="A476" s="696" t="s">
        <v>2087</v>
      </c>
      <c r="B476" s="696" t="s">
        <v>30</v>
      </c>
      <c r="C476" s="714">
        <v>4317</v>
      </c>
      <c r="D476" s="573"/>
      <c r="E476" s="696">
        <v>4317</v>
      </c>
      <c r="F476" s="87">
        <f t="shared" si="13"/>
        <v>0</v>
      </c>
      <c r="G476" s="690"/>
      <c r="H476" s="693"/>
      <c r="I476" s="692"/>
      <c r="J476" s="692"/>
      <c r="K476" s="692"/>
      <c r="L476" s="692"/>
      <c r="M476" s="692"/>
      <c r="N476" s="692"/>
      <c r="O476" s="692"/>
      <c r="P476" s="692"/>
    </row>
    <row r="477" spans="1:16" s="695" customFormat="1" ht="15" customHeight="1" x14ac:dyDescent="0.25">
      <c r="A477" s="696" t="s">
        <v>2087</v>
      </c>
      <c r="B477" s="696" t="s">
        <v>30</v>
      </c>
      <c r="C477" s="714">
        <v>5000</v>
      </c>
      <c r="D477" s="573"/>
      <c r="E477" s="696">
        <v>5000</v>
      </c>
      <c r="F477" s="87">
        <f t="shared" si="13"/>
        <v>0</v>
      </c>
      <c r="G477" s="690"/>
      <c r="H477" s="693"/>
      <c r="I477" s="692"/>
      <c r="J477" s="692"/>
      <c r="K477" s="692"/>
      <c r="L477" s="692"/>
      <c r="M477" s="692"/>
      <c r="N477" s="692"/>
      <c r="O477" s="692"/>
      <c r="P477" s="692"/>
    </row>
    <row r="478" spans="1:16" s="695" customFormat="1" ht="15" customHeight="1" x14ac:dyDescent="0.25">
      <c r="A478" s="696" t="s">
        <v>2087</v>
      </c>
      <c r="B478" s="696" t="s">
        <v>2088</v>
      </c>
      <c r="C478" s="714">
        <v>22000</v>
      </c>
      <c r="D478" s="573"/>
      <c r="E478" s="696">
        <v>22000</v>
      </c>
      <c r="F478" s="87">
        <f t="shared" si="13"/>
        <v>0</v>
      </c>
      <c r="G478" s="690"/>
      <c r="H478" s="693"/>
      <c r="I478" s="692"/>
      <c r="J478" s="692"/>
      <c r="K478" s="692"/>
      <c r="L478" s="692"/>
      <c r="M478" s="692"/>
      <c r="N478" s="692"/>
      <c r="O478" s="692"/>
      <c r="P478" s="692"/>
    </row>
    <row r="479" spans="1:16" s="695" customFormat="1" ht="15" customHeight="1" x14ac:dyDescent="0.25">
      <c r="A479" s="696" t="s">
        <v>2087</v>
      </c>
      <c r="B479" s="696" t="s">
        <v>2089</v>
      </c>
      <c r="C479" s="714">
        <v>7000</v>
      </c>
      <c r="D479" s="573"/>
      <c r="E479" s="696">
        <v>7000</v>
      </c>
      <c r="F479" s="87">
        <f t="shared" si="13"/>
        <v>0</v>
      </c>
      <c r="G479" s="690"/>
      <c r="H479" s="693"/>
      <c r="I479" s="692"/>
      <c r="J479" s="692"/>
      <c r="K479" s="692"/>
      <c r="L479" s="692"/>
      <c r="M479" s="692"/>
      <c r="N479" s="692"/>
      <c r="O479" s="692"/>
      <c r="P479" s="692"/>
    </row>
    <row r="480" spans="1:16" s="695" customFormat="1" ht="15" customHeight="1" x14ac:dyDescent="0.25">
      <c r="A480" s="696" t="s">
        <v>2087</v>
      </c>
      <c r="B480" s="696" t="s">
        <v>30</v>
      </c>
      <c r="C480" s="714">
        <v>6000</v>
      </c>
      <c r="D480" s="573"/>
      <c r="E480" s="696">
        <v>6000</v>
      </c>
      <c r="F480" s="87">
        <f t="shared" si="13"/>
        <v>0</v>
      </c>
      <c r="G480" s="690"/>
      <c r="H480" s="693"/>
      <c r="I480" s="692"/>
      <c r="J480" s="692"/>
      <c r="K480" s="692"/>
      <c r="L480" s="692"/>
      <c r="M480" s="692"/>
      <c r="N480" s="692"/>
      <c r="O480" s="692"/>
      <c r="P480" s="692"/>
    </row>
    <row r="481" spans="1:16" s="695" customFormat="1" ht="15" customHeight="1" x14ac:dyDescent="0.25">
      <c r="A481" s="696" t="s">
        <v>2087</v>
      </c>
      <c r="B481" s="696" t="s">
        <v>2090</v>
      </c>
      <c r="C481" s="714">
        <v>20000</v>
      </c>
      <c r="D481" s="573"/>
      <c r="E481" s="696">
        <v>20000</v>
      </c>
      <c r="F481" s="87">
        <f t="shared" si="13"/>
        <v>0</v>
      </c>
      <c r="G481" s="690"/>
      <c r="H481" s="693"/>
      <c r="I481" s="692"/>
      <c r="J481" s="692"/>
      <c r="K481" s="692"/>
      <c r="L481" s="692"/>
      <c r="M481" s="692"/>
      <c r="N481" s="692"/>
      <c r="O481" s="692"/>
      <c r="P481" s="692"/>
    </row>
    <row r="482" spans="1:16" s="695" customFormat="1" ht="15" customHeight="1" x14ac:dyDescent="0.25">
      <c r="A482" s="696" t="s">
        <v>2087</v>
      </c>
      <c r="B482" s="696" t="s">
        <v>2091</v>
      </c>
      <c r="C482" s="714">
        <v>22000</v>
      </c>
      <c r="D482" s="573"/>
      <c r="E482" s="696">
        <v>22000</v>
      </c>
      <c r="F482" s="87">
        <f t="shared" si="13"/>
        <v>0</v>
      </c>
      <c r="G482" s="690"/>
      <c r="H482" s="693"/>
      <c r="I482" s="692"/>
      <c r="J482" s="692"/>
      <c r="K482" s="692"/>
      <c r="L482" s="692"/>
      <c r="M482" s="692"/>
      <c r="N482" s="692"/>
      <c r="O482" s="692"/>
      <c r="P482" s="692"/>
    </row>
    <row r="483" spans="1:16" s="695" customFormat="1" ht="15" customHeight="1" x14ac:dyDescent="0.25">
      <c r="A483" s="696" t="s">
        <v>2087</v>
      </c>
      <c r="B483" s="696" t="s">
        <v>2057</v>
      </c>
      <c r="C483" s="714">
        <v>13000</v>
      </c>
      <c r="D483" s="573"/>
      <c r="E483" s="696">
        <v>13000</v>
      </c>
      <c r="F483" s="87">
        <f t="shared" si="13"/>
        <v>0</v>
      </c>
      <c r="G483" s="690"/>
      <c r="H483" s="693"/>
      <c r="I483" s="692"/>
      <c r="J483" s="692"/>
      <c r="K483" s="692"/>
      <c r="L483" s="692"/>
      <c r="M483" s="692"/>
      <c r="N483" s="692"/>
      <c r="O483" s="692"/>
      <c r="P483" s="692"/>
    </row>
    <row r="484" spans="1:16" s="695" customFormat="1" ht="15" customHeight="1" x14ac:dyDescent="0.25">
      <c r="A484" s="696" t="s">
        <v>2087</v>
      </c>
      <c r="B484" s="696" t="s">
        <v>2092</v>
      </c>
      <c r="C484" s="714">
        <v>16000</v>
      </c>
      <c r="D484" s="573"/>
      <c r="E484" s="696">
        <v>16000</v>
      </c>
      <c r="F484" s="87">
        <f t="shared" si="13"/>
        <v>0</v>
      </c>
      <c r="G484" s="690"/>
      <c r="H484" s="693"/>
      <c r="I484" s="692"/>
      <c r="J484" s="692"/>
      <c r="K484" s="692"/>
      <c r="L484" s="692"/>
      <c r="M484" s="692"/>
      <c r="N484" s="692"/>
      <c r="O484" s="692"/>
      <c r="P484" s="692"/>
    </row>
    <row r="485" spans="1:16" s="695" customFormat="1" ht="15" customHeight="1" x14ac:dyDescent="0.25">
      <c r="A485" s="696" t="s">
        <v>2087</v>
      </c>
      <c r="B485" s="696" t="s">
        <v>2093</v>
      </c>
      <c r="C485" s="714">
        <v>16000</v>
      </c>
      <c r="D485" s="573"/>
      <c r="E485" s="696">
        <v>16000</v>
      </c>
      <c r="F485" s="87">
        <f t="shared" si="13"/>
        <v>0</v>
      </c>
      <c r="G485" s="690"/>
      <c r="H485" s="693"/>
      <c r="I485" s="692"/>
      <c r="J485" s="692"/>
      <c r="K485" s="692"/>
      <c r="L485" s="692"/>
      <c r="M485" s="692"/>
      <c r="N485" s="692"/>
      <c r="O485" s="692"/>
      <c r="P485" s="692"/>
    </row>
    <row r="486" spans="1:16" s="695" customFormat="1" ht="15" customHeight="1" x14ac:dyDescent="0.25">
      <c r="A486" s="696" t="s">
        <v>2087</v>
      </c>
      <c r="B486" s="696" t="s">
        <v>2094</v>
      </c>
      <c r="C486" s="714">
        <v>16000</v>
      </c>
      <c r="D486" s="573"/>
      <c r="E486" s="696">
        <v>16000</v>
      </c>
      <c r="F486" s="87">
        <f t="shared" si="13"/>
        <v>0</v>
      </c>
      <c r="G486" s="690"/>
      <c r="H486" s="693"/>
      <c r="I486" s="692"/>
      <c r="J486" s="692"/>
      <c r="K486" s="692"/>
      <c r="L486" s="692"/>
      <c r="M486" s="692"/>
      <c r="N486" s="692"/>
      <c r="O486" s="692"/>
      <c r="P486" s="692"/>
    </row>
    <row r="487" spans="1:16" s="695" customFormat="1" ht="15" customHeight="1" x14ac:dyDescent="0.25">
      <c r="A487" s="696" t="s">
        <v>2087</v>
      </c>
      <c r="B487" s="696" t="s">
        <v>2095</v>
      </c>
      <c r="C487" s="714">
        <v>16000</v>
      </c>
      <c r="D487" s="573"/>
      <c r="E487" s="696">
        <v>16000</v>
      </c>
      <c r="F487" s="87">
        <f t="shared" si="13"/>
        <v>0</v>
      </c>
      <c r="G487" s="690"/>
      <c r="H487" s="693"/>
      <c r="I487" s="692"/>
      <c r="J487" s="692"/>
      <c r="K487" s="692"/>
      <c r="L487" s="692"/>
      <c r="M487" s="692"/>
      <c r="N487" s="692"/>
      <c r="O487" s="692"/>
      <c r="P487" s="692"/>
    </row>
    <row r="488" spans="1:16" s="695" customFormat="1" ht="15" customHeight="1" x14ac:dyDescent="0.25">
      <c r="A488" s="696" t="s">
        <v>2087</v>
      </c>
      <c r="B488" s="696" t="s">
        <v>2096</v>
      </c>
      <c r="C488" s="714">
        <v>16000</v>
      </c>
      <c r="D488" s="573"/>
      <c r="E488" s="696">
        <v>16000</v>
      </c>
      <c r="F488" s="87">
        <f t="shared" si="13"/>
        <v>0</v>
      </c>
      <c r="G488" s="690"/>
      <c r="H488" s="693"/>
      <c r="I488" s="692"/>
      <c r="J488" s="692"/>
      <c r="K488" s="692"/>
      <c r="L488" s="692"/>
      <c r="M488" s="692"/>
      <c r="N488" s="692"/>
      <c r="O488" s="692"/>
      <c r="P488" s="692"/>
    </row>
    <row r="489" spans="1:16" s="695" customFormat="1" ht="15" customHeight="1" x14ac:dyDescent="0.25">
      <c r="A489" s="696" t="s">
        <v>2087</v>
      </c>
      <c r="B489" s="696" t="s">
        <v>2097</v>
      </c>
      <c r="C489" s="714">
        <v>31000</v>
      </c>
      <c r="D489" s="573"/>
      <c r="E489" s="696">
        <v>31000</v>
      </c>
      <c r="F489" s="87">
        <f t="shared" si="13"/>
        <v>0</v>
      </c>
      <c r="G489" s="690"/>
      <c r="H489" s="693"/>
      <c r="I489" s="692"/>
      <c r="J489" s="692"/>
      <c r="K489" s="692"/>
      <c r="L489" s="692"/>
      <c r="M489" s="692"/>
      <c r="N489" s="692"/>
      <c r="O489" s="692"/>
      <c r="P489" s="692"/>
    </row>
    <row r="490" spans="1:16" s="695" customFormat="1" ht="15" customHeight="1" x14ac:dyDescent="0.25">
      <c r="A490" s="696" t="s">
        <v>2087</v>
      </c>
      <c r="B490" s="696" t="s">
        <v>2098</v>
      </c>
      <c r="C490" s="714">
        <v>30000</v>
      </c>
      <c r="D490" s="573"/>
      <c r="E490" s="696">
        <v>30000</v>
      </c>
      <c r="F490" s="87">
        <f t="shared" si="13"/>
        <v>0</v>
      </c>
      <c r="G490" s="690"/>
      <c r="H490" s="693"/>
      <c r="I490" s="692"/>
      <c r="J490" s="692"/>
      <c r="K490" s="692"/>
      <c r="L490" s="692"/>
      <c r="M490" s="692"/>
      <c r="N490" s="692"/>
      <c r="O490" s="692"/>
      <c r="P490" s="692"/>
    </row>
    <row r="491" spans="1:16" s="695" customFormat="1" ht="15" customHeight="1" x14ac:dyDescent="0.25">
      <c r="A491" s="696" t="s">
        <v>2087</v>
      </c>
      <c r="B491" s="696" t="s">
        <v>2099</v>
      </c>
      <c r="C491" s="714">
        <v>31000</v>
      </c>
      <c r="D491" s="573"/>
      <c r="E491" s="696">
        <v>31000</v>
      </c>
      <c r="F491" s="87">
        <f t="shared" si="13"/>
        <v>0</v>
      </c>
      <c r="G491" s="690"/>
      <c r="H491" s="693"/>
      <c r="I491" s="692"/>
      <c r="J491" s="692"/>
      <c r="K491" s="692"/>
      <c r="L491" s="692"/>
      <c r="M491" s="692"/>
      <c r="N491" s="692"/>
      <c r="O491" s="692"/>
      <c r="P491" s="692"/>
    </row>
    <row r="492" spans="1:16" s="695" customFormat="1" ht="15" customHeight="1" x14ac:dyDescent="0.25">
      <c r="A492" s="696" t="s">
        <v>2087</v>
      </c>
      <c r="B492" s="696" t="s">
        <v>1895</v>
      </c>
      <c r="C492" s="714">
        <v>10000</v>
      </c>
      <c r="D492" s="573"/>
      <c r="E492" s="696">
        <v>10000</v>
      </c>
      <c r="F492" s="87">
        <f t="shared" si="13"/>
        <v>0</v>
      </c>
      <c r="G492" s="690"/>
      <c r="H492" s="693"/>
      <c r="I492" s="692"/>
      <c r="J492" s="692"/>
      <c r="K492" s="692"/>
      <c r="L492" s="692"/>
      <c r="M492" s="692"/>
      <c r="N492" s="692"/>
      <c r="O492" s="692"/>
      <c r="P492" s="692"/>
    </row>
    <row r="493" spans="1:16" s="695" customFormat="1" ht="15" customHeight="1" x14ac:dyDescent="0.25">
      <c r="A493" s="696" t="s">
        <v>2087</v>
      </c>
      <c r="B493" s="696" t="s">
        <v>1846</v>
      </c>
      <c r="C493" s="714">
        <v>10000</v>
      </c>
      <c r="D493" s="573"/>
      <c r="E493" s="696">
        <v>10000</v>
      </c>
      <c r="F493" s="87">
        <f t="shared" si="13"/>
        <v>0</v>
      </c>
      <c r="G493" s="690"/>
      <c r="H493" s="693"/>
      <c r="I493" s="692"/>
      <c r="J493" s="692"/>
      <c r="K493" s="692"/>
      <c r="L493" s="692"/>
      <c r="M493" s="692"/>
      <c r="N493" s="692"/>
      <c r="O493" s="692"/>
      <c r="P493" s="692"/>
    </row>
    <row r="494" spans="1:16" s="695" customFormat="1" ht="15" customHeight="1" x14ac:dyDescent="0.25">
      <c r="A494" s="696" t="s">
        <v>2087</v>
      </c>
      <c r="B494" s="696" t="s">
        <v>1975</v>
      </c>
      <c r="C494" s="714">
        <v>10000</v>
      </c>
      <c r="D494" s="573"/>
      <c r="E494" s="696">
        <v>10000</v>
      </c>
      <c r="F494" s="87">
        <f t="shared" si="13"/>
        <v>0</v>
      </c>
      <c r="G494" s="690"/>
      <c r="H494" s="693"/>
      <c r="I494" s="692"/>
      <c r="J494" s="692"/>
      <c r="K494" s="692"/>
      <c r="L494" s="692"/>
      <c r="M494" s="692"/>
      <c r="N494" s="692"/>
      <c r="O494" s="692"/>
      <c r="P494" s="692"/>
    </row>
    <row r="495" spans="1:16" s="695" customFormat="1" ht="15" customHeight="1" x14ac:dyDescent="0.25">
      <c r="A495" s="696" t="s">
        <v>2087</v>
      </c>
      <c r="B495" s="696" t="s">
        <v>2100</v>
      </c>
      <c r="C495" s="714">
        <v>28000</v>
      </c>
      <c r="D495" s="573"/>
      <c r="E495" s="696">
        <v>28000</v>
      </c>
      <c r="F495" s="87">
        <f t="shared" si="13"/>
        <v>0</v>
      </c>
      <c r="G495" s="690"/>
      <c r="H495" s="693"/>
      <c r="I495" s="692"/>
      <c r="J495" s="692"/>
      <c r="K495" s="692"/>
      <c r="L495" s="692"/>
      <c r="M495" s="692"/>
      <c r="N495" s="692"/>
      <c r="O495" s="692"/>
      <c r="P495" s="692"/>
    </row>
    <row r="496" spans="1:16" s="695" customFormat="1" ht="15" customHeight="1" x14ac:dyDescent="0.25">
      <c r="A496" s="696" t="s">
        <v>2087</v>
      </c>
      <c r="B496" s="696" t="s">
        <v>2101</v>
      </c>
      <c r="C496" s="714">
        <v>33000</v>
      </c>
      <c r="D496" s="573"/>
      <c r="E496" s="696">
        <v>33000</v>
      </c>
      <c r="F496" s="87">
        <f t="shared" si="13"/>
        <v>0</v>
      </c>
      <c r="G496" s="690"/>
      <c r="H496" s="693"/>
      <c r="I496" s="692"/>
      <c r="J496" s="692"/>
      <c r="K496" s="692"/>
      <c r="L496" s="692"/>
      <c r="M496" s="692"/>
      <c r="N496" s="692"/>
      <c r="O496" s="692"/>
      <c r="P496" s="692"/>
    </row>
    <row r="497" spans="1:16" s="695" customFormat="1" ht="15" customHeight="1" x14ac:dyDescent="0.25">
      <c r="A497" s="696" t="s">
        <v>2087</v>
      </c>
      <c r="B497" s="696" t="s">
        <v>2102</v>
      </c>
      <c r="C497" s="714">
        <v>31000</v>
      </c>
      <c r="D497" s="573"/>
      <c r="E497" s="696">
        <v>31000</v>
      </c>
      <c r="F497" s="87">
        <f t="shared" si="13"/>
        <v>0</v>
      </c>
      <c r="G497" s="690"/>
      <c r="H497" s="693"/>
      <c r="I497" s="692"/>
      <c r="J497" s="692"/>
      <c r="K497" s="692"/>
      <c r="L497" s="692"/>
      <c r="M497" s="692"/>
      <c r="N497" s="692"/>
      <c r="O497" s="692"/>
      <c r="P497" s="692"/>
    </row>
    <row r="498" spans="1:16" s="695" customFormat="1" ht="15" customHeight="1" x14ac:dyDescent="0.25">
      <c r="A498" s="696" t="s">
        <v>2087</v>
      </c>
      <c r="B498" s="696" t="s">
        <v>2103</v>
      </c>
      <c r="C498" s="714">
        <v>20750</v>
      </c>
      <c r="D498" s="573"/>
      <c r="E498" s="696">
        <v>20750</v>
      </c>
      <c r="F498" s="87">
        <f t="shared" si="13"/>
        <v>0</v>
      </c>
      <c r="G498" s="690"/>
      <c r="H498" s="693"/>
      <c r="I498" s="692"/>
      <c r="J498" s="692"/>
      <c r="K498" s="692"/>
      <c r="L498" s="692"/>
      <c r="M498" s="692"/>
      <c r="N498" s="692"/>
      <c r="O498" s="692"/>
      <c r="P498" s="692"/>
    </row>
    <row r="499" spans="1:16" s="695" customFormat="1" ht="15" customHeight="1" x14ac:dyDescent="0.25">
      <c r="A499" s="696" t="s">
        <v>2087</v>
      </c>
      <c r="B499" s="696" t="s">
        <v>2104</v>
      </c>
      <c r="C499" s="714">
        <v>10000</v>
      </c>
      <c r="D499" s="573"/>
      <c r="E499" s="696">
        <v>10000</v>
      </c>
      <c r="F499" s="87">
        <f t="shared" si="13"/>
        <v>0</v>
      </c>
      <c r="G499" s="690"/>
      <c r="H499" s="693"/>
      <c r="I499" s="692"/>
      <c r="J499" s="692"/>
      <c r="K499" s="692"/>
      <c r="L499" s="692"/>
      <c r="M499" s="692"/>
      <c r="N499" s="692"/>
      <c r="O499" s="692"/>
      <c r="P499" s="692"/>
    </row>
    <row r="500" spans="1:16" s="695" customFormat="1" ht="15" customHeight="1" x14ac:dyDescent="0.25">
      <c r="A500" s="696" t="s">
        <v>2105</v>
      </c>
      <c r="B500" s="696" t="s">
        <v>2106</v>
      </c>
      <c r="C500" s="714">
        <v>27000</v>
      </c>
      <c r="D500" s="573"/>
      <c r="E500" s="696">
        <v>27000</v>
      </c>
      <c r="F500" s="87">
        <f t="shared" si="13"/>
        <v>0</v>
      </c>
      <c r="G500" s="690"/>
      <c r="H500" s="693"/>
      <c r="I500" s="692"/>
      <c r="J500" s="692"/>
      <c r="K500" s="692"/>
      <c r="L500" s="692"/>
      <c r="M500" s="692"/>
      <c r="N500" s="692"/>
      <c r="O500" s="692"/>
      <c r="P500" s="692"/>
    </row>
    <row r="501" spans="1:16" s="695" customFormat="1" ht="15" customHeight="1" x14ac:dyDescent="0.25">
      <c r="A501" s="696" t="s">
        <v>2105</v>
      </c>
      <c r="B501" s="696" t="s">
        <v>2107</v>
      </c>
      <c r="C501" s="714">
        <v>19199</v>
      </c>
      <c r="D501" s="573"/>
      <c r="E501" s="696">
        <v>19199</v>
      </c>
      <c r="F501" s="87">
        <f t="shared" si="13"/>
        <v>0</v>
      </c>
      <c r="G501" s="690"/>
      <c r="H501" s="693"/>
      <c r="I501" s="692"/>
      <c r="J501" s="692"/>
      <c r="K501" s="692"/>
      <c r="L501" s="692"/>
      <c r="M501" s="692"/>
      <c r="N501" s="692"/>
      <c r="O501" s="692"/>
      <c r="P501" s="692"/>
    </row>
    <row r="502" spans="1:16" s="695" customFormat="1" ht="15" customHeight="1" x14ac:dyDescent="0.25">
      <c r="A502" s="696" t="s">
        <v>2105</v>
      </c>
      <c r="B502" s="696" t="s">
        <v>2108</v>
      </c>
      <c r="C502" s="714">
        <v>16000</v>
      </c>
      <c r="D502" s="573"/>
      <c r="E502" s="696">
        <v>16000</v>
      </c>
      <c r="F502" s="87">
        <f t="shared" si="13"/>
        <v>0</v>
      </c>
      <c r="G502" s="690"/>
      <c r="H502" s="693"/>
      <c r="I502" s="692"/>
      <c r="J502" s="692"/>
      <c r="K502" s="692"/>
      <c r="L502" s="692"/>
      <c r="M502" s="692"/>
      <c r="N502" s="692"/>
      <c r="O502" s="692"/>
      <c r="P502" s="692"/>
    </row>
    <row r="503" spans="1:16" s="695" customFormat="1" ht="15" customHeight="1" x14ac:dyDescent="0.25">
      <c r="A503" s="696" t="s">
        <v>2105</v>
      </c>
      <c r="B503" s="696" t="s">
        <v>1850</v>
      </c>
      <c r="C503" s="714">
        <v>23000</v>
      </c>
      <c r="D503" s="573"/>
      <c r="E503" s="696">
        <v>23000</v>
      </c>
      <c r="F503" s="87">
        <f t="shared" si="13"/>
        <v>0</v>
      </c>
      <c r="G503" s="690"/>
      <c r="H503" s="693"/>
      <c r="I503" s="692"/>
      <c r="J503" s="692"/>
      <c r="K503" s="692"/>
      <c r="L503" s="692"/>
      <c r="M503" s="692"/>
      <c r="N503" s="692"/>
      <c r="O503" s="692"/>
      <c r="P503" s="692"/>
    </row>
    <row r="504" spans="1:16" s="695" customFormat="1" ht="15" customHeight="1" x14ac:dyDescent="0.25">
      <c r="A504" s="696" t="s">
        <v>2105</v>
      </c>
      <c r="B504" s="696" t="s">
        <v>66</v>
      </c>
      <c r="C504" s="714">
        <v>210</v>
      </c>
      <c r="D504" s="573"/>
      <c r="E504" s="696">
        <v>210</v>
      </c>
      <c r="F504" s="87">
        <f t="shared" si="13"/>
        <v>0</v>
      </c>
      <c r="G504" s="690"/>
      <c r="H504" s="693"/>
      <c r="I504" s="692"/>
      <c r="J504" s="692"/>
      <c r="K504" s="692"/>
      <c r="L504" s="692"/>
      <c r="M504" s="692"/>
      <c r="N504" s="692"/>
      <c r="O504" s="692"/>
      <c r="P504" s="692"/>
    </row>
    <row r="505" spans="1:16" s="695" customFormat="1" ht="15" customHeight="1" x14ac:dyDescent="0.25">
      <c r="A505" s="696" t="s">
        <v>2105</v>
      </c>
      <c r="B505" s="696" t="s">
        <v>2109</v>
      </c>
      <c r="C505" s="714">
        <v>30000</v>
      </c>
      <c r="D505" s="573"/>
      <c r="E505" s="696">
        <v>30000</v>
      </c>
      <c r="F505" s="87">
        <f t="shared" si="13"/>
        <v>0</v>
      </c>
      <c r="G505" s="690"/>
      <c r="H505" s="693"/>
      <c r="I505" s="692"/>
      <c r="J505" s="692"/>
      <c r="K505" s="692"/>
      <c r="L505" s="692"/>
      <c r="M505" s="692"/>
      <c r="N505" s="692"/>
      <c r="O505" s="692"/>
      <c r="P505" s="692"/>
    </row>
    <row r="506" spans="1:16" s="695" customFormat="1" ht="15" customHeight="1" x14ac:dyDescent="0.25">
      <c r="A506" s="696" t="s">
        <v>2105</v>
      </c>
      <c r="B506" s="696" t="s">
        <v>2110</v>
      </c>
      <c r="C506" s="714">
        <v>30000</v>
      </c>
      <c r="D506" s="573"/>
      <c r="E506" s="696">
        <v>30000</v>
      </c>
      <c r="F506" s="87">
        <f t="shared" si="13"/>
        <v>0</v>
      </c>
      <c r="G506" s="690"/>
      <c r="H506" s="693"/>
      <c r="I506" s="692"/>
      <c r="J506" s="692"/>
      <c r="K506" s="692"/>
      <c r="L506" s="692"/>
      <c r="M506" s="692"/>
      <c r="N506" s="692"/>
      <c r="O506" s="692"/>
      <c r="P506" s="692"/>
    </row>
    <row r="507" spans="1:16" ht="15" customHeight="1" x14ac:dyDescent="0.25">
      <c r="A507" s="696" t="s">
        <v>2105</v>
      </c>
      <c r="B507" s="696" t="s">
        <v>2111</v>
      </c>
      <c r="C507" s="714">
        <v>18979</v>
      </c>
      <c r="D507" s="573"/>
      <c r="E507" s="696">
        <v>18979</v>
      </c>
      <c r="F507" s="87">
        <f t="shared" si="3"/>
        <v>0</v>
      </c>
      <c r="G507" s="690"/>
      <c r="H507" s="693"/>
      <c r="I507" s="692"/>
      <c r="J507" s="692"/>
      <c r="K507" s="692"/>
      <c r="L507" s="692"/>
      <c r="M507" s="692"/>
      <c r="N507" s="692"/>
      <c r="O507" s="692"/>
      <c r="P507" s="692"/>
    </row>
    <row r="508" spans="1:16" ht="15" customHeight="1" x14ac:dyDescent="0.25">
      <c r="A508" s="696" t="s">
        <v>2105</v>
      </c>
      <c r="B508" s="696" t="s">
        <v>2112</v>
      </c>
      <c r="C508" s="714">
        <v>25000</v>
      </c>
      <c r="D508" s="573"/>
      <c r="E508" s="696">
        <v>25000</v>
      </c>
      <c r="F508" s="87">
        <f t="shared" ref="F508:F714" si="15">C508-E508</f>
        <v>0</v>
      </c>
      <c r="G508" s="690"/>
      <c r="H508" s="693"/>
      <c r="I508" s="692"/>
      <c r="J508" s="692"/>
      <c r="K508" s="692"/>
      <c r="L508" s="692"/>
      <c r="M508" s="692"/>
      <c r="N508" s="692"/>
      <c r="O508" s="692"/>
      <c r="P508" s="692"/>
    </row>
    <row r="509" spans="1:16" ht="15" customHeight="1" x14ac:dyDescent="0.25">
      <c r="A509" s="696" t="s">
        <v>2105</v>
      </c>
      <c r="B509" s="696" t="s">
        <v>2113</v>
      </c>
      <c r="C509" s="714">
        <v>16000</v>
      </c>
      <c r="D509" s="573"/>
      <c r="E509" s="696">
        <v>16000</v>
      </c>
      <c r="F509" s="87">
        <f t="shared" si="15"/>
        <v>0</v>
      </c>
      <c r="G509" s="690"/>
      <c r="H509" s="693"/>
      <c r="I509" s="692"/>
      <c r="J509" s="692"/>
      <c r="K509" s="692"/>
      <c r="L509" s="692"/>
      <c r="M509" s="692"/>
      <c r="N509" s="692"/>
      <c r="O509" s="692"/>
      <c r="P509" s="692"/>
    </row>
    <row r="510" spans="1:16" ht="15" customHeight="1" x14ac:dyDescent="0.25">
      <c r="A510" s="696" t="s">
        <v>2105</v>
      </c>
      <c r="B510" s="696" t="s">
        <v>1725</v>
      </c>
      <c r="C510" s="714">
        <v>20000</v>
      </c>
      <c r="D510" s="573"/>
      <c r="E510" s="696">
        <v>20000</v>
      </c>
      <c r="F510" s="87">
        <f t="shared" si="15"/>
        <v>0</v>
      </c>
      <c r="G510" s="690"/>
      <c r="H510" s="693"/>
      <c r="I510" s="692"/>
      <c r="J510" s="692"/>
      <c r="K510" s="692"/>
      <c r="L510" s="692"/>
      <c r="M510" s="692"/>
      <c r="N510" s="692"/>
      <c r="O510" s="692"/>
      <c r="P510" s="692"/>
    </row>
    <row r="511" spans="1:16" s="697" customFormat="1" ht="15" customHeight="1" x14ac:dyDescent="0.25">
      <c r="A511" s="696" t="s">
        <v>2114</v>
      </c>
      <c r="B511" s="696" t="s">
        <v>30</v>
      </c>
      <c r="C511" s="714">
        <v>4500</v>
      </c>
      <c r="D511" s="573"/>
      <c r="E511" s="696">
        <v>4500</v>
      </c>
      <c r="F511" s="87">
        <f t="shared" si="15"/>
        <v>0</v>
      </c>
      <c r="G511" s="690"/>
      <c r="H511" s="693"/>
      <c r="I511" s="692"/>
      <c r="J511" s="692"/>
      <c r="K511" s="692"/>
      <c r="L511" s="692"/>
      <c r="M511" s="692"/>
      <c r="N511" s="692"/>
      <c r="O511" s="692"/>
      <c r="P511" s="692"/>
    </row>
    <row r="512" spans="1:16" s="697" customFormat="1" ht="15" customHeight="1" x14ac:dyDescent="0.25">
      <c r="A512" s="696" t="s">
        <v>2114</v>
      </c>
      <c r="B512" s="696" t="s">
        <v>30</v>
      </c>
      <c r="C512" s="714">
        <v>10000</v>
      </c>
      <c r="D512" s="573"/>
      <c r="E512" s="696">
        <v>10000</v>
      </c>
      <c r="F512" s="87">
        <f t="shared" si="15"/>
        <v>0</v>
      </c>
      <c r="G512" s="690"/>
      <c r="H512" s="693"/>
      <c r="I512" s="692"/>
      <c r="J512" s="692"/>
      <c r="K512" s="692"/>
      <c r="L512" s="692"/>
      <c r="M512" s="692"/>
      <c r="N512" s="692"/>
      <c r="O512" s="692"/>
      <c r="P512" s="692"/>
    </row>
    <row r="513" spans="1:16" s="697" customFormat="1" ht="15" customHeight="1" x14ac:dyDescent="0.25">
      <c r="A513" s="696" t="s">
        <v>2114</v>
      </c>
      <c r="B513" s="696" t="s">
        <v>1978</v>
      </c>
      <c r="C513" s="714">
        <v>10000</v>
      </c>
      <c r="D513" s="573"/>
      <c r="E513" s="696">
        <v>10000</v>
      </c>
      <c r="F513" s="87">
        <f t="shared" si="15"/>
        <v>0</v>
      </c>
      <c r="G513" s="690"/>
      <c r="H513" s="693"/>
      <c r="I513" s="692"/>
      <c r="J513" s="692"/>
      <c r="K513" s="692"/>
      <c r="L513" s="692"/>
      <c r="M513" s="692"/>
      <c r="N513" s="692"/>
      <c r="O513" s="692"/>
      <c r="P513" s="692"/>
    </row>
    <row r="514" spans="1:16" s="697" customFormat="1" ht="15" customHeight="1" x14ac:dyDescent="0.25">
      <c r="A514" s="696" t="s">
        <v>2114</v>
      </c>
      <c r="B514" s="696" t="s">
        <v>1951</v>
      </c>
      <c r="C514" s="714">
        <v>10000</v>
      </c>
      <c r="D514" s="573"/>
      <c r="E514" s="696">
        <v>10000</v>
      </c>
      <c r="F514" s="87">
        <f t="shared" si="15"/>
        <v>0</v>
      </c>
      <c r="G514" s="690"/>
      <c r="H514" s="693"/>
      <c r="I514" s="692"/>
      <c r="J514" s="692"/>
      <c r="K514" s="692"/>
      <c r="L514" s="692"/>
      <c r="M514" s="692"/>
      <c r="N514" s="692"/>
      <c r="O514" s="692"/>
      <c r="P514" s="692"/>
    </row>
    <row r="515" spans="1:16" s="697" customFormat="1" ht="15" customHeight="1" x14ac:dyDescent="0.25">
      <c r="A515" s="696" t="s">
        <v>2114</v>
      </c>
      <c r="B515" s="696" t="s">
        <v>1899</v>
      </c>
      <c r="C515" s="714">
        <v>10000</v>
      </c>
      <c r="D515" s="573"/>
      <c r="E515" s="696">
        <v>10000</v>
      </c>
      <c r="F515" s="87">
        <f t="shared" si="15"/>
        <v>0</v>
      </c>
      <c r="G515" s="690"/>
      <c r="H515" s="693"/>
      <c r="I515" s="692"/>
      <c r="J515" s="692"/>
      <c r="K515" s="692"/>
      <c r="L515" s="692"/>
      <c r="M515" s="692"/>
      <c r="N515" s="692"/>
      <c r="O515" s="692"/>
      <c r="P515" s="692"/>
    </row>
    <row r="516" spans="1:16" s="697" customFormat="1" ht="15" customHeight="1" x14ac:dyDescent="0.25">
      <c r="A516" s="696" t="s">
        <v>2114</v>
      </c>
      <c r="B516" s="696" t="s">
        <v>1894</v>
      </c>
      <c r="C516" s="714">
        <v>10000</v>
      </c>
      <c r="D516" s="573"/>
      <c r="E516" s="696">
        <v>10000</v>
      </c>
      <c r="F516" s="87">
        <f t="shared" si="15"/>
        <v>0</v>
      </c>
      <c r="G516" s="690"/>
      <c r="H516" s="693"/>
      <c r="I516" s="692"/>
      <c r="J516" s="692"/>
      <c r="K516" s="692"/>
      <c r="L516" s="692"/>
      <c r="M516" s="692"/>
      <c r="N516" s="692"/>
      <c r="O516" s="692"/>
      <c r="P516" s="692"/>
    </row>
    <row r="517" spans="1:16" s="697" customFormat="1" ht="15" customHeight="1" x14ac:dyDescent="0.25">
      <c r="A517" s="696" t="s">
        <v>2114</v>
      </c>
      <c r="B517" s="696" t="s">
        <v>2115</v>
      </c>
      <c r="C517" s="714">
        <v>10000</v>
      </c>
      <c r="D517" s="573"/>
      <c r="E517" s="696">
        <v>10000</v>
      </c>
      <c r="F517" s="87">
        <f t="shared" si="15"/>
        <v>0</v>
      </c>
      <c r="G517" s="690"/>
      <c r="H517" s="693"/>
      <c r="I517" s="692"/>
      <c r="J517" s="692"/>
      <c r="K517" s="692"/>
      <c r="L517" s="692"/>
      <c r="M517" s="692"/>
      <c r="N517" s="692"/>
      <c r="O517" s="692"/>
      <c r="P517" s="692"/>
    </row>
    <row r="518" spans="1:16" s="697" customFormat="1" ht="15" customHeight="1" x14ac:dyDescent="0.25">
      <c r="A518" s="696" t="s">
        <v>2114</v>
      </c>
      <c r="B518" s="696" t="s">
        <v>1366</v>
      </c>
      <c r="C518" s="714">
        <v>15000</v>
      </c>
      <c r="D518" s="573"/>
      <c r="E518" s="696">
        <v>15000</v>
      </c>
      <c r="F518" s="87">
        <f t="shared" si="15"/>
        <v>0</v>
      </c>
      <c r="G518" s="690"/>
      <c r="H518" s="693"/>
      <c r="I518" s="692"/>
      <c r="J518" s="692"/>
      <c r="K518" s="692"/>
      <c r="L518" s="692"/>
      <c r="M518" s="692"/>
      <c r="N518" s="692"/>
      <c r="O518" s="692"/>
      <c r="P518" s="692"/>
    </row>
    <row r="519" spans="1:16" s="697" customFormat="1" ht="15" customHeight="1" x14ac:dyDescent="0.25">
      <c r="A519" s="696" t="s">
        <v>2114</v>
      </c>
      <c r="B519" s="696" t="s">
        <v>2053</v>
      </c>
      <c r="C519" s="714">
        <v>15000</v>
      </c>
      <c r="D519" s="573"/>
      <c r="E519" s="696">
        <v>15000</v>
      </c>
      <c r="F519" s="87">
        <f t="shared" si="15"/>
        <v>0</v>
      </c>
      <c r="G519" s="690"/>
      <c r="H519" s="693"/>
      <c r="I519" s="692"/>
      <c r="J519" s="692"/>
      <c r="K519" s="692"/>
      <c r="L519" s="692"/>
      <c r="M519" s="692"/>
      <c r="N519" s="692"/>
      <c r="O519" s="692"/>
      <c r="P519" s="692"/>
    </row>
    <row r="520" spans="1:16" s="697" customFormat="1" ht="15" customHeight="1" x14ac:dyDescent="0.25">
      <c r="A520" s="696" t="s">
        <v>2114</v>
      </c>
      <c r="B520" s="696" t="s">
        <v>1889</v>
      </c>
      <c r="C520" s="714">
        <v>15000</v>
      </c>
      <c r="D520" s="573"/>
      <c r="E520" s="696">
        <v>15000</v>
      </c>
      <c r="F520" s="87">
        <f t="shared" si="15"/>
        <v>0</v>
      </c>
      <c r="G520" s="690"/>
      <c r="H520" s="693"/>
      <c r="I520" s="692"/>
      <c r="J520" s="692"/>
      <c r="K520" s="692"/>
      <c r="L520" s="692"/>
      <c r="M520" s="692"/>
      <c r="N520" s="692"/>
      <c r="O520" s="692"/>
      <c r="P520" s="692"/>
    </row>
    <row r="521" spans="1:16" s="697" customFormat="1" ht="15" customHeight="1" x14ac:dyDescent="0.25">
      <c r="A521" s="696" t="s">
        <v>2114</v>
      </c>
      <c r="B521" s="696" t="s">
        <v>2026</v>
      </c>
      <c r="C521" s="714">
        <v>15000</v>
      </c>
      <c r="D521" s="573"/>
      <c r="E521" s="696">
        <v>15000</v>
      </c>
      <c r="F521" s="87">
        <f t="shared" si="15"/>
        <v>0</v>
      </c>
      <c r="G521" s="690"/>
      <c r="H521" s="693"/>
      <c r="I521" s="692"/>
      <c r="J521" s="692"/>
      <c r="K521" s="692"/>
      <c r="L521" s="692"/>
      <c r="M521" s="692"/>
      <c r="N521" s="692"/>
      <c r="O521" s="692"/>
      <c r="P521" s="692"/>
    </row>
    <row r="522" spans="1:16" s="697" customFormat="1" ht="15" customHeight="1" x14ac:dyDescent="0.25">
      <c r="A522" s="696" t="s">
        <v>2114</v>
      </c>
      <c r="B522" s="696" t="s">
        <v>1721</v>
      </c>
      <c r="C522" s="714">
        <v>16000</v>
      </c>
      <c r="D522" s="573"/>
      <c r="E522" s="696">
        <v>16000</v>
      </c>
      <c r="F522" s="87">
        <f t="shared" si="15"/>
        <v>0</v>
      </c>
      <c r="G522" s="690"/>
      <c r="H522" s="693"/>
      <c r="I522" s="692"/>
      <c r="J522" s="692"/>
      <c r="K522" s="692"/>
      <c r="L522" s="692"/>
      <c r="M522" s="692"/>
      <c r="N522" s="692"/>
      <c r="O522" s="692"/>
      <c r="P522" s="692"/>
    </row>
    <row r="523" spans="1:16" s="697" customFormat="1" ht="15" customHeight="1" x14ac:dyDescent="0.25">
      <c r="A523" s="696" t="s">
        <v>2114</v>
      </c>
      <c r="B523" s="696" t="s">
        <v>1860</v>
      </c>
      <c r="C523" s="714">
        <v>16000</v>
      </c>
      <c r="D523" s="573"/>
      <c r="E523" s="696">
        <v>16000</v>
      </c>
      <c r="F523" s="87">
        <f t="shared" si="15"/>
        <v>0</v>
      </c>
      <c r="G523" s="690"/>
      <c r="H523" s="693"/>
      <c r="I523" s="692"/>
      <c r="J523" s="692"/>
      <c r="K523" s="692"/>
      <c r="L523" s="692"/>
      <c r="M523" s="692"/>
      <c r="N523" s="692"/>
      <c r="O523" s="692"/>
      <c r="P523" s="692"/>
    </row>
    <row r="524" spans="1:16" s="697" customFormat="1" ht="15" customHeight="1" x14ac:dyDescent="0.25">
      <c r="A524" s="696" t="s">
        <v>2114</v>
      </c>
      <c r="B524" s="696" t="s">
        <v>2116</v>
      </c>
      <c r="C524" s="714">
        <v>16000</v>
      </c>
      <c r="D524" s="573"/>
      <c r="E524" s="696">
        <v>16000</v>
      </c>
      <c r="F524" s="87">
        <f t="shared" si="15"/>
        <v>0</v>
      </c>
      <c r="G524" s="690"/>
      <c r="H524" s="693"/>
      <c r="I524" s="692"/>
      <c r="J524" s="692"/>
      <c r="K524" s="692"/>
      <c r="L524" s="692"/>
      <c r="M524" s="692"/>
      <c r="N524" s="692"/>
      <c r="O524" s="692"/>
      <c r="P524" s="692"/>
    </row>
    <row r="525" spans="1:16" s="697" customFormat="1" ht="15" customHeight="1" x14ac:dyDescent="0.25">
      <c r="A525" s="696" t="s">
        <v>2114</v>
      </c>
      <c r="B525" s="696" t="s">
        <v>2117</v>
      </c>
      <c r="C525" s="714">
        <v>20000</v>
      </c>
      <c r="D525" s="573"/>
      <c r="E525" s="696">
        <v>20000</v>
      </c>
      <c r="F525" s="87">
        <f t="shared" si="15"/>
        <v>0</v>
      </c>
      <c r="G525" s="690"/>
      <c r="H525" s="693"/>
      <c r="I525" s="692"/>
      <c r="J525" s="692"/>
      <c r="K525" s="692"/>
      <c r="L525" s="692"/>
      <c r="M525" s="692"/>
      <c r="N525" s="692"/>
      <c r="O525" s="692"/>
      <c r="P525" s="692"/>
    </row>
    <row r="526" spans="1:16" s="697" customFormat="1" ht="15" customHeight="1" x14ac:dyDescent="0.25">
      <c r="A526" s="696" t="s">
        <v>2114</v>
      </c>
      <c r="B526" s="696" t="s">
        <v>2118</v>
      </c>
      <c r="C526" s="714">
        <v>21000</v>
      </c>
      <c r="D526" s="573"/>
      <c r="E526" s="696">
        <v>21000</v>
      </c>
      <c r="F526" s="87">
        <f t="shared" si="15"/>
        <v>0</v>
      </c>
      <c r="G526" s="690"/>
      <c r="H526" s="693"/>
      <c r="I526" s="692"/>
      <c r="J526" s="692"/>
      <c r="K526" s="692"/>
      <c r="L526" s="692"/>
      <c r="M526" s="692"/>
      <c r="N526" s="692"/>
      <c r="O526" s="692"/>
      <c r="P526" s="692"/>
    </row>
    <row r="527" spans="1:16" s="697" customFormat="1" ht="15" customHeight="1" x14ac:dyDescent="0.25">
      <c r="A527" s="696" t="s">
        <v>2114</v>
      </c>
      <c r="B527" s="696" t="s">
        <v>2119</v>
      </c>
      <c r="C527" s="714">
        <v>22000</v>
      </c>
      <c r="D527" s="573"/>
      <c r="E527" s="696">
        <v>22000</v>
      </c>
      <c r="F527" s="87">
        <f t="shared" si="15"/>
        <v>0</v>
      </c>
      <c r="G527" s="690"/>
      <c r="H527" s="693"/>
      <c r="I527" s="692"/>
      <c r="J527" s="692"/>
      <c r="K527" s="692"/>
      <c r="L527" s="692"/>
      <c r="M527" s="692"/>
      <c r="N527" s="692"/>
      <c r="O527" s="692"/>
      <c r="P527" s="692"/>
    </row>
    <row r="528" spans="1:16" s="697" customFormat="1" ht="15" customHeight="1" x14ac:dyDescent="0.25">
      <c r="A528" s="696" t="s">
        <v>2114</v>
      </c>
      <c r="B528" s="696" t="s">
        <v>2214</v>
      </c>
      <c r="C528" s="714">
        <v>22000</v>
      </c>
      <c r="D528" s="573"/>
      <c r="E528" s="696">
        <v>22000</v>
      </c>
      <c r="F528" s="87">
        <f t="shared" si="15"/>
        <v>0</v>
      </c>
      <c r="G528" s="690"/>
      <c r="H528" s="693"/>
      <c r="I528" s="692"/>
      <c r="J528" s="692"/>
      <c r="K528" s="692"/>
      <c r="L528" s="692"/>
      <c r="M528" s="692"/>
      <c r="N528" s="692"/>
      <c r="O528" s="692"/>
      <c r="P528" s="692"/>
    </row>
    <row r="529" spans="1:16" s="697" customFormat="1" ht="15" customHeight="1" x14ac:dyDescent="0.25">
      <c r="A529" s="696" t="s">
        <v>2114</v>
      </c>
      <c r="B529" s="696" t="s">
        <v>2120</v>
      </c>
      <c r="C529" s="714">
        <v>22000</v>
      </c>
      <c r="D529" s="573"/>
      <c r="E529" s="696">
        <v>22000</v>
      </c>
      <c r="F529" s="87">
        <f t="shared" si="15"/>
        <v>0</v>
      </c>
      <c r="G529" s="690"/>
      <c r="H529" s="693"/>
      <c r="I529" s="692"/>
      <c r="J529" s="692"/>
      <c r="K529" s="692"/>
      <c r="L529" s="692"/>
      <c r="M529" s="692"/>
      <c r="N529" s="692"/>
      <c r="O529" s="692"/>
      <c r="P529" s="692"/>
    </row>
    <row r="530" spans="1:16" s="697" customFormat="1" ht="15" customHeight="1" x14ac:dyDescent="0.25">
      <c r="A530" s="696" t="s">
        <v>2114</v>
      </c>
      <c r="B530" s="696" t="s">
        <v>1891</v>
      </c>
      <c r="C530" s="714">
        <v>24000</v>
      </c>
      <c r="D530" s="573"/>
      <c r="E530" s="696">
        <v>24000</v>
      </c>
      <c r="F530" s="87">
        <f t="shared" si="15"/>
        <v>0</v>
      </c>
      <c r="G530" s="690"/>
      <c r="H530" s="693"/>
      <c r="I530" s="692"/>
      <c r="J530" s="692"/>
      <c r="K530" s="692"/>
      <c r="L530" s="692"/>
      <c r="M530" s="692"/>
      <c r="N530" s="692"/>
      <c r="O530" s="692"/>
      <c r="P530" s="692"/>
    </row>
    <row r="531" spans="1:16" s="697" customFormat="1" ht="15" customHeight="1" x14ac:dyDescent="0.25">
      <c r="A531" s="696" t="s">
        <v>2114</v>
      </c>
      <c r="B531" s="696" t="s">
        <v>1959</v>
      </c>
      <c r="C531" s="714">
        <v>26000</v>
      </c>
      <c r="D531" s="573"/>
      <c r="E531" s="696">
        <v>26000</v>
      </c>
      <c r="F531" s="87">
        <f t="shared" si="15"/>
        <v>0</v>
      </c>
      <c r="G531" s="690"/>
      <c r="H531" s="693"/>
      <c r="I531" s="692"/>
      <c r="J531" s="692"/>
      <c r="K531" s="692"/>
      <c r="L531" s="692"/>
      <c r="M531" s="692"/>
      <c r="N531" s="692"/>
      <c r="O531" s="692"/>
      <c r="P531" s="692"/>
    </row>
    <row r="532" spans="1:16" s="697" customFormat="1" ht="15" customHeight="1" x14ac:dyDescent="0.25">
      <c r="A532" s="696" t="s">
        <v>2114</v>
      </c>
      <c r="B532" s="696" t="s">
        <v>2121</v>
      </c>
      <c r="C532" s="714">
        <v>10000</v>
      </c>
      <c r="D532" s="573"/>
      <c r="E532" s="696">
        <v>10000</v>
      </c>
      <c r="F532" s="87">
        <f t="shared" si="15"/>
        <v>0</v>
      </c>
      <c r="G532" s="690"/>
      <c r="H532" s="693"/>
      <c r="I532" s="692"/>
      <c r="J532" s="692"/>
      <c r="K532" s="692"/>
      <c r="L532" s="692"/>
      <c r="M532" s="692"/>
      <c r="N532" s="692"/>
      <c r="O532" s="692"/>
      <c r="P532" s="692"/>
    </row>
    <row r="533" spans="1:16" s="697" customFormat="1" ht="15" customHeight="1" x14ac:dyDescent="0.25">
      <c r="A533" s="696" t="s">
        <v>2114</v>
      </c>
      <c r="B533" s="696" t="s">
        <v>1888</v>
      </c>
      <c r="C533" s="714">
        <v>15000</v>
      </c>
      <c r="D533" s="573"/>
      <c r="E533" s="696">
        <v>15000</v>
      </c>
      <c r="F533" s="87">
        <f t="shared" si="15"/>
        <v>0</v>
      </c>
      <c r="G533" s="690"/>
      <c r="H533" s="693"/>
      <c r="I533" s="692"/>
      <c r="J533" s="692"/>
      <c r="K533" s="692"/>
      <c r="L533" s="692"/>
      <c r="M533" s="692"/>
      <c r="N533" s="692"/>
      <c r="O533" s="692"/>
      <c r="P533" s="692"/>
    </row>
    <row r="534" spans="1:16" s="697" customFormat="1" ht="15" customHeight="1" x14ac:dyDescent="0.25">
      <c r="A534" s="696" t="s">
        <v>2114</v>
      </c>
      <c r="B534" s="696" t="s">
        <v>1842</v>
      </c>
      <c r="C534" s="714">
        <v>10000</v>
      </c>
      <c r="D534" s="573"/>
      <c r="E534" s="696">
        <v>10000</v>
      </c>
      <c r="F534" s="87">
        <f t="shared" si="15"/>
        <v>0</v>
      </c>
      <c r="G534" s="690"/>
      <c r="H534" s="693"/>
      <c r="I534" s="692"/>
      <c r="J534" s="692"/>
      <c r="K534" s="692"/>
      <c r="L534" s="692"/>
      <c r="M534" s="692"/>
      <c r="N534" s="692"/>
      <c r="O534" s="692"/>
      <c r="P534" s="692"/>
    </row>
    <row r="535" spans="1:16" s="697" customFormat="1" ht="15" customHeight="1" x14ac:dyDescent="0.25">
      <c r="A535" s="696" t="s">
        <v>2114</v>
      </c>
      <c r="B535" s="696" t="s">
        <v>2049</v>
      </c>
      <c r="C535" s="714">
        <v>23000</v>
      </c>
      <c r="D535" s="573"/>
      <c r="E535" s="696">
        <v>23000</v>
      </c>
      <c r="F535" s="87">
        <f t="shared" si="15"/>
        <v>0</v>
      </c>
      <c r="G535" s="690"/>
      <c r="H535" s="693"/>
      <c r="I535" s="692"/>
      <c r="J535" s="692"/>
      <c r="K535" s="692"/>
      <c r="L535" s="692"/>
      <c r="M535" s="692"/>
      <c r="N535" s="692"/>
      <c r="O535" s="692"/>
      <c r="P535" s="692"/>
    </row>
    <row r="536" spans="1:16" s="697" customFormat="1" ht="15" customHeight="1" x14ac:dyDescent="0.25">
      <c r="A536" s="696" t="s">
        <v>2114</v>
      </c>
      <c r="B536" s="696" t="s">
        <v>66</v>
      </c>
      <c r="C536" s="714">
        <v>150</v>
      </c>
      <c r="D536" s="573"/>
      <c r="E536" s="696">
        <v>150</v>
      </c>
      <c r="F536" s="87">
        <f t="shared" si="15"/>
        <v>0</v>
      </c>
      <c r="G536" s="690"/>
      <c r="H536" s="693"/>
      <c r="I536" s="692"/>
      <c r="J536" s="692"/>
      <c r="K536" s="692"/>
      <c r="L536" s="692"/>
      <c r="M536" s="692"/>
      <c r="N536" s="692"/>
      <c r="O536" s="692"/>
      <c r="P536" s="692"/>
    </row>
    <row r="537" spans="1:16" s="697" customFormat="1" ht="15" customHeight="1" x14ac:dyDescent="0.25">
      <c r="A537" s="696" t="s">
        <v>2114</v>
      </c>
      <c r="B537" s="696" t="s">
        <v>2122</v>
      </c>
      <c r="C537" s="714">
        <v>30000</v>
      </c>
      <c r="D537" s="573"/>
      <c r="E537" s="696">
        <v>30000</v>
      </c>
      <c r="F537" s="87">
        <f t="shared" si="15"/>
        <v>0</v>
      </c>
      <c r="G537" s="690"/>
      <c r="H537" s="693"/>
      <c r="I537" s="692"/>
      <c r="J537" s="692"/>
      <c r="K537" s="692"/>
      <c r="L537" s="692"/>
      <c r="M537" s="692"/>
      <c r="N537" s="692"/>
      <c r="O537" s="692"/>
      <c r="P537" s="692"/>
    </row>
    <row r="538" spans="1:16" s="697" customFormat="1" ht="15" customHeight="1" x14ac:dyDescent="0.25">
      <c r="A538" s="696" t="s">
        <v>2114</v>
      </c>
      <c r="B538" s="696" t="s">
        <v>2123</v>
      </c>
      <c r="C538" s="714">
        <v>30000</v>
      </c>
      <c r="D538" s="573"/>
      <c r="E538" s="696">
        <v>30000</v>
      </c>
      <c r="F538" s="87">
        <f t="shared" si="15"/>
        <v>0</v>
      </c>
      <c r="G538" s="690"/>
      <c r="H538" s="693"/>
      <c r="I538" s="692"/>
      <c r="J538" s="692"/>
      <c r="K538" s="692"/>
      <c r="L538" s="692"/>
      <c r="M538" s="692"/>
      <c r="N538" s="692"/>
      <c r="O538" s="692"/>
      <c r="P538" s="692"/>
    </row>
    <row r="539" spans="1:16" s="697" customFormat="1" ht="15" customHeight="1" x14ac:dyDescent="0.25">
      <c r="A539" s="696" t="s">
        <v>2114</v>
      </c>
      <c r="B539" s="696" t="s">
        <v>1911</v>
      </c>
      <c r="C539" s="714">
        <v>27000</v>
      </c>
      <c r="D539" s="573"/>
      <c r="E539" s="696">
        <v>27000</v>
      </c>
      <c r="F539" s="87">
        <f t="shared" si="15"/>
        <v>0</v>
      </c>
      <c r="G539" s="690"/>
      <c r="H539" s="693"/>
      <c r="I539" s="692"/>
      <c r="J539" s="692"/>
      <c r="K539" s="692"/>
      <c r="L539" s="692"/>
      <c r="M539" s="692"/>
      <c r="N539" s="692"/>
      <c r="O539" s="692"/>
      <c r="P539" s="692"/>
    </row>
    <row r="540" spans="1:16" s="697" customFormat="1" ht="15" customHeight="1" x14ac:dyDescent="0.25">
      <c r="A540" s="696" t="s">
        <v>2114</v>
      </c>
      <c r="B540" s="696" t="s">
        <v>2124</v>
      </c>
      <c r="C540" s="714">
        <v>25000</v>
      </c>
      <c r="D540" s="573"/>
      <c r="E540" s="696">
        <v>25000</v>
      </c>
      <c r="F540" s="87">
        <f t="shared" si="15"/>
        <v>0</v>
      </c>
      <c r="G540" s="690"/>
      <c r="H540" s="693"/>
      <c r="I540" s="692"/>
      <c r="J540" s="692"/>
      <c r="K540" s="692"/>
      <c r="L540" s="692"/>
      <c r="M540" s="692"/>
      <c r="N540" s="692"/>
      <c r="O540" s="692"/>
      <c r="P540" s="692"/>
    </row>
    <row r="541" spans="1:16" s="697" customFormat="1" ht="15" customHeight="1" x14ac:dyDescent="0.25">
      <c r="A541" s="696" t="s">
        <v>2114</v>
      </c>
      <c r="B541" s="696" t="s">
        <v>2125</v>
      </c>
      <c r="C541" s="714">
        <v>25000</v>
      </c>
      <c r="D541" s="573"/>
      <c r="E541" s="696">
        <v>25000</v>
      </c>
      <c r="F541" s="87">
        <f t="shared" si="15"/>
        <v>0</v>
      </c>
      <c r="G541" s="690"/>
      <c r="H541" s="693"/>
      <c r="I541" s="692"/>
      <c r="J541" s="692"/>
      <c r="K541" s="692"/>
      <c r="L541" s="692"/>
      <c r="M541" s="692"/>
      <c r="N541" s="692"/>
      <c r="O541" s="692"/>
      <c r="P541" s="692"/>
    </row>
    <row r="542" spans="1:16" s="697" customFormat="1" ht="15" customHeight="1" x14ac:dyDescent="0.25">
      <c r="A542" s="696" t="s">
        <v>2126</v>
      </c>
      <c r="B542" s="696">
        <v>5151</v>
      </c>
      <c r="C542" s="714">
        <v>16000</v>
      </c>
      <c r="D542" s="573"/>
      <c r="E542" s="696">
        <v>16000</v>
      </c>
      <c r="F542" s="87">
        <f t="shared" si="15"/>
        <v>0</v>
      </c>
      <c r="G542" s="690"/>
      <c r="H542" s="693"/>
      <c r="I542" s="692"/>
      <c r="J542" s="692"/>
      <c r="K542" s="692"/>
      <c r="L542" s="692"/>
      <c r="M542" s="692"/>
      <c r="N542" s="692"/>
      <c r="O542" s="692"/>
      <c r="P542" s="692"/>
    </row>
    <row r="543" spans="1:16" s="697" customFormat="1" ht="15" customHeight="1" x14ac:dyDescent="0.25">
      <c r="A543" s="696" t="s">
        <v>2126</v>
      </c>
      <c r="B543" s="696">
        <v>9876</v>
      </c>
      <c r="C543" s="714">
        <v>17000</v>
      </c>
      <c r="D543" s="573"/>
      <c r="E543" s="696">
        <v>17000</v>
      </c>
      <c r="F543" s="87">
        <f t="shared" si="15"/>
        <v>0</v>
      </c>
      <c r="G543" s="690"/>
      <c r="H543" s="693"/>
      <c r="I543" s="692"/>
      <c r="J543" s="692"/>
      <c r="K543" s="692"/>
      <c r="L543" s="692"/>
      <c r="M543" s="692"/>
      <c r="N543" s="692"/>
      <c r="O543" s="692"/>
      <c r="P543" s="692"/>
    </row>
    <row r="544" spans="1:16" s="697" customFormat="1" ht="15" customHeight="1" x14ac:dyDescent="0.25">
      <c r="A544" s="696" t="s">
        <v>2126</v>
      </c>
      <c r="B544" s="696">
        <v>4777</v>
      </c>
      <c r="C544" s="714">
        <v>18000</v>
      </c>
      <c r="D544" s="573"/>
      <c r="E544" s="696">
        <v>18000</v>
      </c>
      <c r="F544" s="87">
        <f t="shared" si="15"/>
        <v>0</v>
      </c>
      <c r="G544" s="690"/>
      <c r="H544" s="693"/>
      <c r="I544" s="692"/>
      <c r="J544" s="692"/>
      <c r="K544" s="692"/>
      <c r="L544" s="692"/>
      <c r="M544" s="692"/>
      <c r="N544" s="692"/>
      <c r="O544" s="692"/>
      <c r="P544" s="692"/>
    </row>
    <row r="545" spans="1:16" s="697" customFormat="1" ht="15" customHeight="1" x14ac:dyDescent="0.25">
      <c r="A545" s="696" t="s">
        <v>2126</v>
      </c>
      <c r="B545" s="696" t="s">
        <v>2127</v>
      </c>
      <c r="C545" s="714">
        <v>25000</v>
      </c>
      <c r="D545" s="573"/>
      <c r="E545" s="696">
        <v>25000</v>
      </c>
      <c r="F545" s="87">
        <f t="shared" si="15"/>
        <v>0</v>
      </c>
      <c r="G545" s="690"/>
      <c r="H545" s="693"/>
      <c r="I545" s="692"/>
      <c r="J545" s="692"/>
      <c r="K545" s="692"/>
      <c r="L545" s="692"/>
      <c r="M545" s="692"/>
      <c r="N545" s="692"/>
      <c r="O545" s="692"/>
      <c r="P545" s="692"/>
    </row>
    <row r="546" spans="1:16" s="697" customFormat="1" ht="15" customHeight="1" x14ac:dyDescent="0.25">
      <c r="A546" s="696" t="s">
        <v>2126</v>
      </c>
      <c r="B546" s="696" t="s">
        <v>2128</v>
      </c>
      <c r="C546" s="714">
        <v>32000</v>
      </c>
      <c r="D546" s="573"/>
      <c r="E546" s="696">
        <v>32000</v>
      </c>
      <c r="F546" s="87">
        <f t="shared" si="15"/>
        <v>0</v>
      </c>
      <c r="G546" s="690"/>
      <c r="H546" s="693"/>
      <c r="I546" s="692"/>
      <c r="J546" s="692"/>
      <c r="K546" s="692"/>
      <c r="L546" s="692"/>
      <c r="M546" s="692"/>
      <c r="N546" s="692"/>
      <c r="O546" s="692"/>
      <c r="P546" s="692"/>
    </row>
    <row r="547" spans="1:16" s="697" customFormat="1" ht="15" customHeight="1" x14ac:dyDescent="0.25">
      <c r="A547" s="696" t="s">
        <v>2126</v>
      </c>
      <c r="B547" s="696" t="s">
        <v>2129</v>
      </c>
      <c r="C547" s="714">
        <v>30000</v>
      </c>
      <c r="D547" s="573"/>
      <c r="E547" s="696">
        <v>30000</v>
      </c>
      <c r="F547" s="87">
        <f t="shared" si="15"/>
        <v>0</v>
      </c>
      <c r="G547" s="690"/>
      <c r="H547" s="693"/>
      <c r="I547" s="692"/>
      <c r="J547" s="692"/>
      <c r="K547" s="692"/>
      <c r="L547" s="692"/>
      <c r="M547" s="692"/>
      <c r="N547" s="692"/>
      <c r="O547" s="692"/>
      <c r="P547" s="692"/>
    </row>
    <row r="548" spans="1:16" s="697" customFormat="1" ht="15" customHeight="1" x14ac:dyDescent="0.25">
      <c r="A548" s="696" t="s">
        <v>2126</v>
      </c>
      <c r="B548" s="696" t="s">
        <v>2130</v>
      </c>
      <c r="C548" s="714">
        <v>21000</v>
      </c>
      <c r="D548" s="573"/>
      <c r="E548" s="696">
        <v>21000</v>
      </c>
      <c r="F548" s="87">
        <f t="shared" si="15"/>
        <v>0</v>
      </c>
      <c r="G548" s="690"/>
      <c r="H548" s="693"/>
      <c r="I548" s="692"/>
      <c r="J548" s="692"/>
      <c r="K548" s="692"/>
      <c r="L548" s="692"/>
      <c r="M548" s="692"/>
      <c r="N548" s="692"/>
      <c r="O548" s="692"/>
      <c r="P548" s="692"/>
    </row>
    <row r="549" spans="1:16" s="697" customFormat="1" ht="15" customHeight="1" x14ac:dyDescent="0.25">
      <c r="A549" s="696" t="s">
        <v>2126</v>
      </c>
      <c r="B549" s="696" t="s">
        <v>2131</v>
      </c>
      <c r="C549" s="714">
        <v>20000</v>
      </c>
      <c r="D549" s="573"/>
      <c r="E549" s="696">
        <v>20000</v>
      </c>
      <c r="F549" s="87">
        <f t="shared" si="15"/>
        <v>0</v>
      </c>
      <c r="G549" s="690"/>
      <c r="H549" s="693"/>
      <c r="I549" s="692"/>
      <c r="J549" s="692"/>
      <c r="K549" s="692"/>
      <c r="L549" s="692"/>
      <c r="M549" s="692"/>
      <c r="N549" s="692"/>
      <c r="O549" s="692"/>
      <c r="P549" s="692"/>
    </row>
    <row r="550" spans="1:16" s="697" customFormat="1" ht="15" customHeight="1" x14ac:dyDescent="0.25">
      <c r="A550" s="696" t="s">
        <v>2126</v>
      </c>
      <c r="B550" s="696" t="s">
        <v>1913</v>
      </c>
      <c r="C550" s="714">
        <v>22000</v>
      </c>
      <c r="D550" s="573"/>
      <c r="E550" s="696">
        <v>22000</v>
      </c>
      <c r="F550" s="87">
        <f t="shared" si="15"/>
        <v>0</v>
      </c>
      <c r="G550" s="690"/>
      <c r="H550" s="693"/>
      <c r="I550" s="692"/>
      <c r="J550" s="692"/>
      <c r="K550" s="692"/>
      <c r="L550" s="692"/>
      <c r="M550" s="692"/>
      <c r="N550" s="692"/>
      <c r="O550" s="692"/>
      <c r="P550" s="692"/>
    </row>
    <row r="551" spans="1:16" s="697" customFormat="1" ht="15" customHeight="1" x14ac:dyDescent="0.25">
      <c r="A551" s="696" t="s">
        <v>2126</v>
      </c>
      <c r="B551" s="696" t="s">
        <v>2132</v>
      </c>
      <c r="C551" s="714">
        <v>23000</v>
      </c>
      <c r="D551" s="573"/>
      <c r="E551" s="696">
        <v>23000</v>
      </c>
      <c r="F551" s="87">
        <f t="shared" si="15"/>
        <v>0</v>
      </c>
      <c r="G551" s="690"/>
      <c r="H551" s="693"/>
      <c r="I551" s="692"/>
      <c r="J551" s="692"/>
      <c r="K551" s="692"/>
      <c r="L551" s="692"/>
      <c r="M551" s="692"/>
      <c r="N551" s="692"/>
      <c r="O551" s="692"/>
      <c r="P551" s="692"/>
    </row>
    <row r="552" spans="1:16" s="697" customFormat="1" ht="15" customHeight="1" x14ac:dyDescent="0.25">
      <c r="A552" s="696" t="s">
        <v>2126</v>
      </c>
      <c r="B552" s="696" t="s">
        <v>2048</v>
      </c>
      <c r="C552" s="714">
        <v>22000</v>
      </c>
      <c r="D552" s="573"/>
      <c r="E552" s="696">
        <v>22000</v>
      </c>
      <c r="F552" s="87">
        <f t="shared" si="15"/>
        <v>0</v>
      </c>
      <c r="G552" s="690"/>
      <c r="H552" s="693"/>
      <c r="I552" s="692"/>
      <c r="J552" s="692"/>
      <c r="K552" s="692"/>
      <c r="L552" s="692"/>
      <c r="M552" s="692"/>
      <c r="N552" s="692"/>
      <c r="O552" s="692"/>
      <c r="P552" s="692"/>
    </row>
    <row r="553" spans="1:16" s="697" customFormat="1" ht="15" customHeight="1" x14ac:dyDescent="0.25">
      <c r="A553" s="696" t="s">
        <v>2126</v>
      </c>
      <c r="B553" s="696" t="s">
        <v>2133</v>
      </c>
      <c r="C553" s="714">
        <v>16000</v>
      </c>
      <c r="D553" s="573"/>
      <c r="E553" s="696">
        <v>16000</v>
      </c>
      <c r="F553" s="87">
        <f t="shared" si="15"/>
        <v>0</v>
      </c>
      <c r="G553" s="690"/>
      <c r="H553" s="693"/>
      <c r="I553" s="692"/>
      <c r="J553" s="692"/>
      <c r="K553" s="692"/>
      <c r="L553" s="692"/>
      <c r="M553" s="692"/>
      <c r="N553" s="692"/>
      <c r="O553" s="692"/>
      <c r="P553" s="692"/>
    </row>
    <row r="554" spans="1:16" s="697" customFormat="1" ht="15" customHeight="1" x14ac:dyDescent="0.25">
      <c r="A554" s="696" t="s">
        <v>2126</v>
      </c>
      <c r="B554" s="696" t="s">
        <v>2134</v>
      </c>
      <c r="C554" s="714">
        <v>25000</v>
      </c>
      <c r="D554" s="573"/>
      <c r="E554" s="696">
        <v>25000</v>
      </c>
      <c r="F554" s="87">
        <f t="shared" si="15"/>
        <v>0</v>
      </c>
      <c r="G554" s="690"/>
      <c r="H554" s="693"/>
      <c r="I554" s="692"/>
      <c r="J554" s="692"/>
      <c r="K554" s="692"/>
      <c r="L554" s="692"/>
      <c r="M554" s="692"/>
      <c r="N554" s="692"/>
      <c r="O554" s="692"/>
      <c r="P554" s="692"/>
    </row>
    <row r="555" spans="1:16" s="697" customFormat="1" ht="15" customHeight="1" x14ac:dyDescent="0.25">
      <c r="A555" s="696" t="s">
        <v>2126</v>
      </c>
      <c r="B555" s="696" t="s">
        <v>2135</v>
      </c>
      <c r="C555" s="714">
        <v>34000</v>
      </c>
      <c r="D555" s="573"/>
      <c r="E555" s="696">
        <v>34000</v>
      </c>
      <c r="F555" s="87">
        <f t="shared" si="15"/>
        <v>0</v>
      </c>
      <c r="G555" s="690"/>
      <c r="H555" s="693"/>
      <c r="I555" s="692"/>
      <c r="J555" s="692"/>
      <c r="K555" s="692"/>
      <c r="L555" s="692"/>
      <c r="M555" s="692"/>
      <c r="N555" s="692"/>
      <c r="O555" s="692"/>
      <c r="P555" s="692"/>
    </row>
    <row r="556" spans="1:16" s="697" customFormat="1" ht="15" customHeight="1" x14ac:dyDescent="0.25">
      <c r="A556" s="696" t="s">
        <v>2126</v>
      </c>
      <c r="B556" s="696" t="s">
        <v>2136</v>
      </c>
      <c r="C556" s="714">
        <v>22855</v>
      </c>
      <c r="D556" s="573"/>
      <c r="E556" s="696">
        <v>22855</v>
      </c>
      <c r="F556" s="87">
        <f t="shared" si="15"/>
        <v>0</v>
      </c>
      <c r="G556" s="690"/>
      <c r="H556" s="693"/>
      <c r="I556" s="692"/>
      <c r="J556" s="692"/>
      <c r="K556" s="692"/>
      <c r="L556" s="692"/>
      <c r="M556" s="692"/>
      <c r="N556" s="692"/>
      <c r="O556" s="692"/>
      <c r="P556" s="692"/>
    </row>
    <row r="557" spans="1:16" s="697" customFormat="1" ht="15" customHeight="1" x14ac:dyDescent="0.25">
      <c r="A557" s="696" t="s">
        <v>2126</v>
      </c>
      <c r="B557" s="696" t="s">
        <v>1878</v>
      </c>
      <c r="C557" s="714">
        <v>27000</v>
      </c>
      <c r="D557" s="573"/>
      <c r="E557" s="696">
        <v>27000</v>
      </c>
      <c r="F557" s="87">
        <f t="shared" si="15"/>
        <v>0</v>
      </c>
      <c r="G557" s="690"/>
      <c r="H557" s="693"/>
      <c r="I557" s="692"/>
      <c r="J557" s="692"/>
      <c r="K557" s="692"/>
      <c r="L557" s="692"/>
      <c r="M557" s="692"/>
      <c r="N557" s="692"/>
      <c r="O557" s="692"/>
      <c r="P557" s="692"/>
    </row>
    <row r="558" spans="1:16" s="697" customFormat="1" ht="15" customHeight="1" x14ac:dyDescent="0.25">
      <c r="A558" s="696" t="s">
        <v>2126</v>
      </c>
      <c r="B558" s="696" t="s">
        <v>2137</v>
      </c>
      <c r="C558" s="714">
        <v>25000</v>
      </c>
      <c r="D558" s="573"/>
      <c r="E558" s="696">
        <v>25000</v>
      </c>
      <c r="F558" s="87">
        <f t="shared" si="15"/>
        <v>0</v>
      </c>
      <c r="G558" s="690"/>
      <c r="H558" s="693"/>
      <c r="I558" s="692"/>
      <c r="J558" s="692"/>
      <c r="K558" s="692"/>
      <c r="L558" s="692"/>
      <c r="M558" s="692"/>
      <c r="N558" s="692"/>
      <c r="O558" s="692"/>
      <c r="P558" s="692"/>
    </row>
    <row r="559" spans="1:16" s="697" customFormat="1" ht="15" customHeight="1" x14ac:dyDescent="0.25">
      <c r="A559" s="696" t="s">
        <v>2126</v>
      </c>
      <c r="B559" s="696" t="s">
        <v>2138</v>
      </c>
      <c r="C559" s="714">
        <v>25000</v>
      </c>
      <c r="D559" s="573"/>
      <c r="E559" s="696">
        <v>25000</v>
      </c>
      <c r="F559" s="87">
        <f t="shared" si="15"/>
        <v>0</v>
      </c>
      <c r="G559" s="690"/>
      <c r="H559" s="693"/>
      <c r="I559" s="692"/>
      <c r="J559" s="692"/>
      <c r="K559" s="692"/>
      <c r="L559" s="692"/>
      <c r="M559" s="692"/>
      <c r="N559" s="692"/>
      <c r="O559" s="692"/>
      <c r="P559" s="692"/>
    </row>
    <row r="560" spans="1:16" s="697" customFormat="1" ht="15" customHeight="1" x14ac:dyDescent="0.25">
      <c r="A560" s="696" t="s">
        <v>2126</v>
      </c>
      <c r="B560" s="696" t="s">
        <v>2139</v>
      </c>
      <c r="C560" s="714">
        <v>25000</v>
      </c>
      <c r="D560" s="573"/>
      <c r="E560" s="696">
        <v>25000</v>
      </c>
      <c r="F560" s="87">
        <f t="shared" si="15"/>
        <v>0</v>
      </c>
      <c r="G560" s="690"/>
      <c r="H560" s="693"/>
      <c r="I560" s="692"/>
      <c r="J560" s="692"/>
      <c r="K560" s="692"/>
      <c r="L560" s="692"/>
      <c r="M560" s="692"/>
      <c r="N560" s="692"/>
      <c r="O560" s="692"/>
      <c r="P560" s="692"/>
    </row>
    <row r="561" spans="1:16" s="697" customFormat="1" ht="15" customHeight="1" x14ac:dyDescent="0.25">
      <c r="A561" s="696" t="s">
        <v>2140</v>
      </c>
      <c r="B561" s="696">
        <v>5.1999999999999998E-3</v>
      </c>
      <c r="C561" s="714">
        <v>15000</v>
      </c>
      <c r="D561" s="573"/>
      <c r="E561" s="696">
        <v>15000</v>
      </c>
      <c r="F561" s="87">
        <f t="shared" si="15"/>
        <v>0</v>
      </c>
      <c r="G561" s="690"/>
      <c r="H561" s="693"/>
      <c r="I561" s="692"/>
      <c r="J561" s="692"/>
      <c r="K561" s="692"/>
      <c r="L561" s="692"/>
      <c r="M561" s="692"/>
      <c r="N561" s="692"/>
      <c r="O561" s="692"/>
      <c r="P561" s="692"/>
    </row>
    <row r="562" spans="1:16" s="697" customFormat="1" ht="15" customHeight="1" x14ac:dyDescent="0.25">
      <c r="A562" s="696" t="s">
        <v>2140</v>
      </c>
      <c r="B562" s="696">
        <v>5252</v>
      </c>
      <c r="C562" s="714">
        <v>17000</v>
      </c>
      <c r="D562" s="573"/>
      <c r="E562" s="696">
        <v>17000</v>
      </c>
      <c r="F562" s="87">
        <f t="shared" si="15"/>
        <v>0</v>
      </c>
      <c r="G562" s="690"/>
      <c r="H562" s="693"/>
      <c r="I562" s="692"/>
      <c r="J562" s="692"/>
      <c r="K562" s="692"/>
      <c r="L562" s="692"/>
      <c r="M562" s="692"/>
      <c r="N562" s="692"/>
      <c r="O562" s="692"/>
      <c r="P562" s="692"/>
    </row>
    <row r="563" spans="1:16" s="697" customFormat="1" ht="15" customHeight="1" x14ac:dyDescent="0.25">
      <c r="A563" s="696" t="s">
        <v>2140</v>
      </c>
      <c r="B563" s="696" t="s">
        <v>2141</v>
      </c>
      <c r="C563" s="714">
        <v>45000</v>
      </c>
      <c r="D563" s="573"/>
      <c r="E563" s="696">
        <v>45000</v>
      </c>
      <c r="F563" s="87">
        <f t="shared" si="15"/>
        <v>0</v>
      </c>
      <c r="G563" s="690"/>
      <c r="H563" s="693"/>
      <c r="I563" s="692"/>
      <c r="J563" s="692"/>
      <c r="K563" s="692"/>
      <c r="L563" s="692"/>
      <c r="M563" s="692"/>
      <c r="N563" s="692"/>
      <c r="O563" s="692"/>
      <c r="P563" s="692"/>
    </row>
    <row r="564" spans="1:16" s="697" customFormat="1" ht="15" customHeight="1" x14ac:dyDescent="0.25">
      <c r="A564" s="696" t="s">
        <v>2140</v>
      </c>
      <c r="B564" s="696" t="s">
        <v>2142</v>
      </c>
      <c r="C564" s="714">
        <v>16000</v>
      </c>
      <c r="D564" s="573"/>
      <c r="E564" s="696">
        <v>16000</v>
      </c>
      <c r="F564" s="87">
        <f t="shared" si="15"/>
        <v>0</v>
      </c>
      <c r="G564" s="690"/>
      <c r="H564" s="693"/>
      <c r="I564" s="692"/>
      <c r="J564" s="692"/>
      <c r="K564" s="692"/>
      <c r="L564" s="692"/>
      <c r="M564" s="692"/>
      <c r="N564" s="692"/>
      <c r="O564" s="692"/>
      <c r="P564" s="692"/>
    </row>
    <row r="565" spans="1:16" s="697" customFormat="1" ht="15" customHeight="1" x14ac:dyDescent="0.25">
      <c r="A565" s="696" t="s">
        <v>2140</v>
      </c>
      <c r="B565" s="696" t="s">
        <v>1811</v>
      </c>
      <c r="C565" s="714">
        <v>28000</v>
      </c>
      <c r="D565" s="573"/>
      <c r="E565" s="696">
        <v>28000</v>
      </c>
      <c r="F565" s="87">
        <f t="shared" si="15"/>
        <v>0</v>
      </c>
      <c r="G565" s="690"/>
      <c r="H565" s="693"/>
      <c r="I565" s="692"/>
      <c r="J565" s="692"/>
      <c r="K565" s="692"/>
      <c r="L565" s="692"/>
      <c r="M565" s="692"/>
      <c r="N565" s="692"/>
      <c r="O565" s="692"/>
      <c r="P565" s="692"/>
    </row>
    <row r="566" spans="1:16" s="697" customFormat="1" ht="15" customHeight="1" x14ac:dyDescent="0.25">
      <c r="A566" s="696" t="s">
        <v>2140</v>
      </c>
      <c r="B566" s="696" t="s">
        <v>1841</v>
      </c>
      <c r="C566" s="714">
        <v>15000</v>
      </c>
      <c r="D566" s="573"/>
      <c r="E566" s="696">
        <v>15000</v>
      </c>
      <c r="F566" s="87">
        <f t="shared" si="15"/>
        <v>0</v>
      </c>
      <c r="G566" s="690"/>
      <c r="H566" s="693"/>
      <c r="I566" s="692"/>
      <c r="J566" s="692"/>
      <c r="K566" s="692"/>
      <c r="L566" s="692"/>
      <c r="M566" s="692"/>
      <c r="N566" s="692"/>
      <c r="O566" s="692"/>
      <c r="P566" s="692"/>
    </row>
    <row r="567" spans="1:16" s="697" customFormat="1" ht="15" customHeight="1" x14ac:dyDescent="0.25">
      <c r="A567" s="696" t="s">
        <v>2140</v>
      </c>
      <c r="B567" s="696" t="s">
        <v>2143</v>
      </c>
      <c r="C567" s="714">
        <v>25000</v>
      </c>
      <c r="D567" s="573"/>
      <c r="E567" s="696">
        <v>25000</v>
      </c>
      <c r="F567" s="87">
        <f t="shared" si="15"/>
        <v>0</v>
      </c>
      <c r="G567" s="690"/>
      <c r="H567" s="693"/>
      <c r="I567" s="692"/>
      <c r="J567" s="692"/>
      <c r="K567" s="692"/>
      <c r="L567" s="692"/>
      <c r="M567" s="692"/>
      <c r="N567" s="692"/>
      <c r="O567" s="692"/>
      <c r="P567" s="692"/>
    </row>
    <row r="568" spans="1:16" s="697" customFormat="1" ht="15" customHeight="1" x14ac:dyDescent="0.25">
      <c r="A568" s="696" t="s">
        <v>2140</v>
      </c>
      <c r="B568" s="696" t="s">
        <v>2144</v>
      </c>
      <c r="C568" s="714">
        <v>25000</v>
      </c>
      <c r="D568" s="573"/>
      <c r="E568" s="696">
        <v>25000</v>
      </c>
      <c r="F568" s="87">
        <f t="shared" si="15"/>
        <v>0</v>
      </c>
      <c r="G568" s="690"/>
      <c r="H568" s="693"/>
      <c r="I568" s="692"/>
      <c r="J568" s="692"/>
      <c r="K568" s="692"/>
      <c r="L568" s="692"/>
      <c r="M568" s="692"/>
      <c r="N568" s="692"/>
      <c r="O568" s="692"/>
      <c r="P568" s="692"/>
    </row>
    <row r="569" spans="1:16" s="697" customFormat="1" ht="15" customHeight="1" x14ac:dyDescent="0.25">
      <c r="A569" s="696" t="s">
        <v>2140</v>
      </c>
      <c r="B569" s="696" t="s">
        <v>30</v>
      </c>
      <c r="C569" s="714">
        <v>7000</v>
      </c>
      <c r="D569" s="573"/>
      <c r="E569" s="696">
        <v>7000</v>
      </c>
      <c r="F569" s="87">
        <f t="shared" si="15"/>
        <v>0</v>
      </c>
      <c r="G569" s="690"/>
      <c r="H569" s="693"/>
      <c r="I569" s="692"/>
      <c r="J569" s="692"/>
      <c r="K569" s="692"/>
      <c r="L569" s="692"/>
      <c r="M569" s="692"/>
      <c r="N569" s="692"/>
      <c r="O569" s="692"/>
      <c r="P569" s="692"/>
    </row>
    <row r="570" spans="1:16" s="697" customFormat="1" ht="15" customHeight="1" x14ac:dyDescent="0.25">
      <c r="A570" s="696" t="s">
        <v>2140</v>
      </c>
      <c r="B570" s="696" t="s">
        <v>2067</v>
      </c>
      <c r="C570" s="714">
        <v>15000</v>
      </c>
      <c r="D570" s="573"/>
      <c r="E570" s="696">
        <v>15000</v>
      </c>
      <c r="F570" s="87">
        <f t="shared" si="15"/>
        <v>0</v>
      </c>
      <c r="G570" s="690"/>
      <c r="H570" s="693"/>
      <c r="I570" s="692"/>
      <c r="J570" s="692"/>
      <c r="K570" s="692"/>
      <c r="L570" s="692"/>
      <c r="M570" s="692"/>
      <c r="N570" s="692"/>
      <c r="O570" s="692"/>
      <c r="P570" s="692"/>
    </row>
    <row r="571" spans="1:16" s="697" customFormat="1" ht="15" customHeight="1" x14ac:dyDescent="0.25">
      <c r="A571" s="696" t="s">
        <v>2140</v>
      </c>
      <c r="B571" s="696" t="s">
        <v>2145</v>
      </c>
      <c r="C571" s="714">
        <v>21000</v>
      </c>
      <c r="D571" s="573"/>
      <c r="E571" s="696">
        <v>21000</v>
      </c>
      <c r="F571" s="87">
        <f t="shared" si="15"/>
        <v>0</v>
      </c>
      <c r="G571" s="690"/>
      <c r="H571" s="693"/>
      <c r="I571" s="692"/>
      <c r="J571" s="692"/>
      <c r="K571" s="692"/>
      <c r="L571" s="692"/>
      <c r="M571" s="692"/>
      <c r="N571" s="692"/>
      <c r="O571" s="692"/>
      <c r="P571" s="692"/>
    </row>
    <row r="572" spans="1:16" s="697" customFormat="1" ht="15" customHeight="1" x14ac:dyDescent="0.25">
      <c r="A572" s="696" t="s">
        <v>2140</v>
      </c>
      <c r="B572" s="696" t="s">
        <v>2146</v>
      </c>
      <c r="C572" s="714">
        <v>30000</v>
      </c>
      <c r="D572" s="573"/>
      <c r="E572" s="696">
        <v>30000</v>
      </c>
      <c r="F572" s="87">
        <f t="shared" si="15"/>
        <v>0</v>
      </c>
      <c r="G572" s="690"/>
      <c r="H572" s="693"/>
      <c r="I572" s="692"/>
      <c r="J572" s="692"/>
      <c r="K572" s="692"/>
      <c r="L572" s="692"/>
      <c r="M572" s="692"/>
      <c r="N572" s="692"/>
      <c r="O572" s="692"/>
      <c r="P572" s="692"/>
    </row>
    <row r="573" spans="1:16" s="697" customFormat="1" ht="15" customHeight="1" x14ac:dyDescent="0.25">
      <c r="A573" s="696" t="s">
        <v>2140</v>
      </c>
      <c r="B573" s="696" t="s">
        <v>2147</v>
      </c>
      <c r="C573" s="714">
        <v>28000</v>
      </c>
      <c r="D573" s="573"/>
      <c r="E573" s="696">
        <v>28000</v>
      </c>
      <c r="F573" s="87">
        <f t="shared" si="15"/>
        <v>0</v>
      </c>
      <c r="G573" s="690"/>
      <c r="H573" s="693"/>
      <c r="I573" s="692"/>
      <c r="J573" s="692"/>
      <c r="K573" s="692"/>
      <c r="L573" s="692"/>
      <c r="M573" s="692"/>
      <c r="N573" s="692"/>
      <c r="O573" s="692"/>
      <c r="P573" s="692"/>
    </row>
    <row r="574" spans="1:16" s="697" customFormat="1" ht="15" customHeight="1" x14ac:dyDescent="0.25">
      <c r="A574" s="696" t="s">
        <v>2140</v>
      </c>
      <c r="B574" s="696" t="s">
        <v>66</v>
      </c>
      <c r="C574" s="714">
        <v>100</v>
      </c>
      <c r="D574" s="573"/>
      <c r="E574" s="696">
        <v>100</v>
      </c>
      <c r="F574" s="87">
        <f t="shared" si="15"/>
        <v>0</v>
      </c>
      <c r="G574" s="690"/>
      <c r="H574" s="693"/>
      <c r="I574" s="692"/>
      <c r="J574" s="692"/>
      <c r="K574" s="692"/>
      <c r="L574" s="692"/>
      <c r="M574" s="692"/>
      <c r="N574" s="692"/>
      <c r="O574" s="692"/>
      <c r="P574" s="692"/>
    </row>
    <row r="575" spans="1:16" s="697" customFormat="1" ht="15" customHeight="1" x14ac:dyDescent="0.25">
      <c r="A575" s="696" t="s">
        <v>2140</v>
      </c>
      <c r="B575" s="696" t="s">
        <v>2148</v>
      </c>
      <c r="C575" s="714">
        <v>31000</v>
      </c>
      <c r="D575" s="573"/>
      <c r="E575" s="696">
        <v>31000</v>
      </c>
      <c r="F575" s="87">
        <f t="shared" si="15"/>
        <v>0</v>
      </c>
      <c r="G575" s="690"/>
      <c r="H575" s="693"/>
      <c r="I575" s="692"/>
      <c r="J575" s="692"/>
      <c r="K575" s="692"/>
      <c r="L575" s="692"/>
      <c r="M575" s="692"/>
      <c r="N575" s="692"/>
      <c r="O575" s="692"/>
      <c r="P575" s="692"/>
    </row>
    <row r="576" spans="1:16" s="697" customFormat="1" ht="15" customHeight="1" x14ac:dyDescent="0.25">
      <c r="A576" s="696" t="s">
        <v>2140</v>
      </c>
      <c r="B576" s="696" t="s">
        <v>2149</v>
      </c>
      <c r="C576" s="714">
        <v>20000</v>
      </c>
      <c r="D576" s="573"/>
      <c r="E576" s="696">
        <v>20000</v>
      </c>
      <c r="F576" s="87">
        <f t="shared" si="15"/>
        <v>0</v>
      </c>
      <c r="G576" s="690"/>
      <c r="H576" s="693"/>
      <c r="I576" s="692"/>
      <c r="J576" s="692"/>
      <c r="K576" s="692"/>
      <c r="L576" s="692"/>
      <c r="M576" s="692"/>
      <c r="N576" s="692"/>
      <c r="O576" s="692"/>
      <c r="P576" s="692"/>
    </row>
    <row r="577" spans="1:16" s="697" customFormat="1" ht="15" customHeight="1" x14ac:dyDescent="0.25">
      <c r="A577" s="696" t="s">
        <v>2140</v>
      </c>
      <c r="B577" s="696" t="s">
        <v>2150</v>
      </c>
      <c r="C577" s="714">
        <v>32000</v>
      </c>
      <c r="D577" s="573"/>
      <c r="E577" s="696">
        <v>32000</v>
      </c>
      <c r="F577" s="87">
        <f t="shared" si="15"/>
        <v>0</v>
      </c>
      <c r="G577" s="690"/>
      <c r="H577" s="693"/>
      <c r="I577" s="692"/>
      <c r="J577" s="692"/>
      <c r="K577" s="692"/>
      <c r="L577" s="692"/>
      <c r="M577" s="692"/>
      <c r="N577" s="692"/>
      <c r="O577" s="692"/>
      <c r="P577" s="692"/>
    </row>
    <row r="578" spans="1:16" s="697" customFormat="1" ht="15" customHeight="1" x14ac:dyDescent="0.25">
      <c r="A578" s="696" t="s">
        <v>2140</v>
      </c>
      <c r="B578" s="696" t="s">
        <v>2151</v>
      </c>
      <c r="C578" s="714">
        <v>28000</v>
      </c>
      <c r="D578" s="573"/>
      <c r="E578" s="696">
        <v>28000</v>
      </c>
      <c r="F578" s="87">
        <f t="shared" si="15"/>
        <v>0</v>
      </c>
      <c r="G578" s="690"/>
      <c r="H578" s="693"/>
      <c r="I578" s="692"/>
      <c r="J578" s="692"/>
      <c r="K578" s="692"/>
      <c r="L578" s="692"/>
      <c r="M578" s="692"/>
      <c r="N578" s="692"/>
      <c r="O578" s="692"/>
      <c r="P578" s="692"/>
    </row>
    <row r="579" spans="1:16" s="697" customFormat="1" ht="15" customHeight="1" x14ac:dyDescent="0.25">
      <c r="A579" s="696" t="s">
        <v>2140</v>
      </c>
      <c r="B579" s="696" t="s">
        <v>2152</v>
      </c>
      <c r="C579" s="714">
        <v>30000</v>
      </c>
      <c r="D579" s="573"/>
      <c r="E579" s="696">
        <v>30000</v>
      </c>
      <c r="F579" s="87">
        <f t="shared" si="15"/>
        <v>0</v>
      </c>
      <c r="G579" s="690"/>
      <c r="H579" s="693"/>
      <c r="I579" s="692"/>
      <c r="J579" s="692"/>
      <c r="K579" s="692"/>
      <c r="L579" s="692"/>
      <c r="M579" s="692"/>
      <c r="N579" s="692"/>
      <c r="O579" s="692"/>
      <c r="P579" s="692"/>
    </row>
    <row r="580" spans="1:16" s="697" customFormat="1" ht="15" customHeight="1" x14ac:dyDescent="0.25">
      <c r="A580" s="696" t="s">
        <v>2153</v>
      </c>
      <c r="B580" s="696" t="s">
        <v>2154</v>
      </c>
      <c r="C580" s="714">
        <v>7000</v>
      </c>
      <c r="D580" s="573"/>
      <c r="E580" s="696">
        <v>7000</v>
      </c>
      <c r="F580" s="87">
        <f t="shared" si="15"/>
        <v>0</v>
      </c>
      <c r="G580" s="690"/>
      <c r="H580" s="693"/>
      <c r="I580" s="692"/>
      <c r="J580" s="692"/>
      <c r="K580" s="692"/>
      <c r="L580" s="692"/>
      <c r="M580" s="692"/>
      <c r="N580" s="692"/>
      <c r="O580" s="692"/>
      <c r="P580" s="692"/>
    </row>
    <row r="581" spans="1:16" s="697" customFormat="1" ht="15" customHeight="1" x14ac:dyDescent="0.25">
      <c r="A581" s="696" t="s">
        <v>2153</v>
      </c>
      <c r="B581" s="696" t="s">
        <v>2155</v>
      </c>
      <c r="C581" s="714">
        <v>7000</v>
      </c>
      <c r="D581" s="573"/>
      <c r="E581" s="696">
        <v>7000</v>
      </c>
      <c r="F581" s="87">
        <f t="shared" si="15"/>
        <v>0</v>
      </c>
      <c r="G581" s="690"/>
      <c r="H581" s="693"/>
      <c r="I581" s="692"/>
      <c r="J581" s="692"/>
      <c r="K581" s="692"/>
      <c r="L581" s="692"/>
      <c r="M581" s="692"/>
      <c r="N581" s="692"/>
      <c r="O581" s="692"/>
      <c r="P581" s="692"/>
    </row>
    <row r="582" spans="1:16" s="697" customFormat="1" ht="15" customHeight="1" x14ac:dyDescent="0.25">
      <c r="A582" s="696" t="s">
        <v>2153</v>
      </c>
      <c r="B582" s="696" t="s">
        <v>2156</v>
      </c>
      <c r="C582" s="714">
        <v>8000</v>
      </c>
      <c r="D582" s="573"/>
      <c r="E582" s="696">
        <v>8000</v>
      </c>
      <c r="F582" s="87">
        <f t="shared" si="15"/>
        <v>0</v>
      </c>
      <c r="G582" s="690"/>
      <c r="H582" s="693"/>
      <c r="I582" s="692"/>
      <c r="J582" s="692"/>
      <c r="K582" s="692"/>
      <c r="L582" s="692"/>
      <c r="M582" s="692"/>
      <c r="N582" s="692"/>
      <c r="O582" s="692"/>
      <c r="P582" s="692"/>
    </row>
    <row r="583" spans="1:16" s="697" customFormat="1" ht="15" customHeight="1" x14ac:dyDescent="0.25">
      <c r="A583" s="696" t="s">
        <v>2153</v>
      </c>
      <c r="B583" s="696" t="s">
        <v>2157</v>
      </c>
      <c r="C583" s="714">
        <v>9000</v>
      </c>
      <c r="D583" s="573"/>
      <c r="E583" s="696">
        <v>9000</v>
      </c>
      <c r="F583" s="87">
        <f t="shared" si="15"/>
        <v>0</v>
      </c>
      <c r="G583" s="690"/>
      <c r="H583" s="693"/>
      <c r="I583" s="692"/>
      <c r="J583" s="692"/>
      <c r="K583" s="692"/>
      <c r="L583" s="692"/>
      <c r="M583" s="692"/>
      <c r="N583" s="692"/>
      <c r="O583" s="692"/>
      <c r="P583" s="692"/>
    </row>
    <row r="584" spans="1:16" s="697" customFormat="1" ht="15" customHeight="1" x14ac:dyDescent="0.25">
      <c r="A584" s="696" t="s">
        <v>2153</v>
      </c>
      <c r="B584" s="696" t="s">
        <v>1727</v>
      </c>
      <c r="C584" s="714">
        <v>17000</v>
      </c>
      <c r="D584" s="573"/>
      <c r="E584" s="696">
        <v>17000</v>
      </c>
      <c r="F584" s="87">
        <f t="shared" si="15"/>
        <v>0</v>
      </c>
      <c r="G584" s="690"/>
      <c r="H584" s="693"/>
      <c r="I584" s="692"/>
      <c r="J584" s="692"/>
      <c r="K584" s="692"/>
      <c r="L584" s="692"/>
      <c r="M584" s="692"/>
      <c r="N584" s="692"/>
      <c r="O584" s="692"/>
      <c r="P584" s="692"/>
    </row>
    <row r="585" spans="1:16" s="697" customFormat="1" ht="15" customHeight="1" x14ac:dyDescent="0.25">
      <c r="A585" s="696" t="s">
        <v>2153</v>
      </c>
      <c r="B585" s="696" t="s">
        <v>17</v>
      </c>
      <c r="C585" s="714">
        <v>3000</v>
      </c>
      <c r="D585" s="573"/>
      <c r="E585" s="696">
        <v>3000</v>
      </c>
      <c r="F585" s="87">
        <f t="shared" si="15"/>
        <v>0</v>
      </c>
      <c r="G585" s="690"/>
      <c r="H585" s="693"/>
      <c r="I585" s="692"/>
      <c r="J585" s="692"/>
      <c r="K585" s="692"/>
      <c r="L585" s="692"/>
      <c r="M585" s="692"/>
      <c r="N585" s="692"/>
      <c r="O585" s="692"/>
      <c r="P585" s="692"/>
    </row>
    <row r="586" spans="1:16" s="697" customFormat="1" ht="15" customHeight="1" x14ac:dyDescent="0.25">
      <c r="A586" s="696" t="s">
        <v>2153</v>
      </c>
      <c r="B586" s="696" t="s">
        <v>1748</v>
      </c>
      <c r="C586" s="714">
        <v>15000</v>
      </c>
      <c r="D586" s="573"/>
      <c r="E586" s="696">
        <v>15000</v>
      </c>
      <c r="F586" s="87">
        <f t="shared" si="15"/>
        <v>0</v>
      </c>
      <c r="G586" s="690"/>
      <c r="H586" s="693"/>
      <c r="I586" s="692"/>
      <c r="J586" s="692"/>
      <c r="K586" s="692"/>
      <c r="L586" s="692"/>
      <c r="M586" s="692"/>
      <c r="N586" s="692"/>
      <c r="O586" s="692"/>
      <c r="P586" s="692"/>
    </row>
    <row r="587" spans="1:16" s="697" customFormat="1" ht="15" customHeight="1" x14ac:dyDescent="0.25">
      <c r="A587" s="696" t="s">
        <v>2153</v>
      </c>
      <c r="B587" s="696" t="s">
        <v>2158</v>
      </c>
      <c r="C587" s="714">
        <v>15000</v>
      </c>
      <c r="D587" s="573"/>
      <c r="E587" s="696">
        <v>15000</v>
      </c>
      <c r="F587" s="87">
        <f t="shared" si="15"/>
        <v>0</v>
      </c>
      <c r="G587" s="690"/>
      <c r="H587" s="693"/>
      <c r="I587" s="692"/>
      <c r="J587" s="692"/>
      <c r="K587" s="692"/>
      <c r="L587" s="692"/>
      <c r="M587" s="692"/>
      <c r="N587" s="692"/>
      <c r="O587" s="692"/>
      <c r="P587" s="692"/>
    </row>
    <row r="588" spans="1:16" s="697" customFormat="1" ht="15" customHeight="1" x14ac:dyDescent="0.25">
      <c r="A588" s="696" t="s">
        <v>2153</v>
      </c>
      <c r="B588" s="696" t="s">
        <v>2159</v>
      </c>
      <c r="C588" s="714">
        <v>15000</v>
      </c>
      <c r="D588" s="573"/>
      <c r="E588" s="696">
        <v>15000</v>
      </c>
      <c r="F588" s="87">
        <f t="shared" si="15"/>
        <v>0</v>
      </c>
      <c r="G588" s="690"/>
      <c r="H588" s="693"/>
      <c r="I588" s="692"/>
      <c r="J588" s="692"/>
      <c r="K588" s="692"/>
      <c r="L588" s="692"/>
      <c r="M588" s="692"/>
      <c r="N588" s="692"/>
      <c r="O588" s="692"/>
      <c r="P588" s="692"/>
    </row>
    <row r="589" spans="1:16" s="697" customFormat="1" ht="15" customHeight="1" x14ac:dyDescent="0.25">
      <c r="A589" s="696" t="s">
        <v>2153</v>
      </c>
      <c r="B589" s="696" t="s">
        <v>2160</v>
      </c>
      <c r="C589" s="714">
        <v>16000</v>
      </c>
      <c r="D589" s="573"/>
      <c r="E589" s="696">
        <v>16000</v>
      </c>
      <c r="F589" s="87">
        <f t="shared" si="15"/>
        <v>0</v>
      </c>
      <c r="G589" s="690"/>
      <c r="H589" s="693"/>
      <c r="I589" s="692"/>
      <c r="J589" s="692"/>
      <c r="K589" s="692"/>
      <c r="L589" s="692"/>
      <c r="M589" s="692"/>
      <c r="N589" s="692"/>
      <c r="O589" s="692"/>
      <c r="P589" s="692"/>
    </row>
    <row r="590" spans="1:16" s="697" customFormat="1" ht="15" customHeight="1" x14ac:dyDescent="0.25">
      <c r="A590" s="696" t="s">
        <v>2153</v>
      </c>
      <c r="B590" s="696" t="s">
        <v>66</v>
      </c>
      <c r="C590" s="714">
        <v>210</v>
      </c>
      <c r="D590" s="573"/>
      <c r="E590" s="696">
        <v>210</v>
      </c>
      <c r="F590" s="87">
        <f t="shared" si="15"/>
        <v>0</v>
      </c>
      <c r="G590" s="690"/>
      <c r="H590" s="693"/>
      <c r="I590" s="692"/>
      <c r="J590" s="692"/>
      <c r="K590" s="692"/>
      <c r="L590" s="692"/>
      <c r="M590" s="692"/>
      <c r="N590" s="692"/>
      <c r="O590" s="692"/>
      <c r="P590" s="692"/>
    </row>
    <row r="591" spans="1:16" s="697" customFormat="1" ht="15" customHeight="1" x14ac:dyDescent="0.25">
      <c r="A591" s="696" t="s">
        <v>2153</v>
      </c>
      <c r="B591" s="696" t="s">
        <v>2002</v>
      </c>
      <c r="C591" s="714">
        <v>16000</v>
      </c>
      <c r="D591" s="573"/>
      <c r="E591" s="696">
        <v>16000</v>
      </c>
      <c r="F591" s="87">
        <f t="shared" si="15"/>
        <v>0</v>
      </c>
      <c r="G591" s="690"/>
      <c r="H591" s="693"/>
      <c r="I591" s="692"/>
      <c r="J591" s="692"/>
      <c r="K591" s="692"/>
      <c r="L591" s="692"/>
      <c r="M591" s="692"/>
      <c r="N591" s="692"/>
      <c r="O591" s="692"/>
      <c r="P591" s="692"/>
    </row>
    <row r="592" spans="1:16" s="697" customFormat="1" ht="15" customHeight="1" x14ac:dyDescent="0.25">
      <c r="A592" s="696" t="s">
        <v>2153</v>
      </c>
      <c r="B592" s="696" t="s">
        <v>2038</v>
      </c>
      <c r="C592" s="714">
        <v>16000</v>
      </c>
      <c r="D592" s="573"/>
      <c r="E592" s="696">
        <v>16000</v>
      </c>
      <c r="F592" s="87">
        <f t="shared" si="15"/>
        <v>0</v>
      </c>
      <c r="G592" s="690"/>
      <c r="H592" s="693"/>
      <c r="I592" s="692"/>
      <c r="J592" s="692"/>
      <c r="K592" s="692"/>
      <c r="L592" s="692"/>
      <c r="M592" s="692"/>
      <c r="N592" s="692"/>
      <c r="O592" s="692"/>
      <c r="P592" s="692"/>
    </row>
    <row r="593" spans="1:16" s="697" customFormat="1" ht="15" customHeight="1" x14ac:dyDescent="0.25">
      <c r="A593" s="696" t="s">
        <v>2153</v>
      </c>
      <c r="B593" s="696" t="s">
        <v>2161</v>
      </c>
      <c r="C593" s="714">
        <v>20000</v>
      </c>
      <c r="D593" s="573"/>
      <c r="E593" s="696">
        <v>20000</v>
      </c>
      <c r="F593" s="87">
        <f t="shared" si="15"/>
        <v>0</v>
      </c>
      <c r="G593" s="690"/>
      <c r="H593" s="693"/>
      <c r="I593" s="692"/>
      <c r="J593" s="692"/>
      <c r="K593" s="692"/>
      <c r="L593" s="692"/>
      <c r="M593" s="692"/>
      <c r="N593" s="692"/>
      <c r="O593" s="692"/>
      <c r="P593" s="692"/>
    </row>
    <row r="594" spans="1:16" s="697" customFormat="1" ht="15" customHeight="1" x14ac:dyDescent="0.25">
      <c r="A594" s="696" t="s">
        <v>2153</v>
      </c>
      <c r="B594" s="696" t="s">
        <v>2162</v>
      </c>
      <c r="C594" s="714">
        <v>9000</v>
      </c>
      <c r="D594" s="573"/>
      <c r="E594" s="696">
        <v>9000</v>
      </c>
      <c r="F594" s="87">
        <f t="shared" si="15"/>
        <v>0</v>
      </c>
      <c r="G594" s="690"/>
      <c r="H594" s="693"/>
      <c r="I594" s="692"/>
      <c r="J594" s="692"/>
      <c r="K594" s="692"/>
      <c r="L594" s="692"/>
      <c r="M594" s="692"/>
      <c r="N594" s="692"/>
      <c r="O594" s="692"/>
      <c r="P594" s="692"/>
    </row>
    <row r="595" spans="1:16" s="697" customFormat="1" ht="15" customHeight="1" x14ac:dyDescent="0.25">
      <c r="A595" s="696" t="s">
        <v>2153</v>
      </c>
      <c r="B595" s="696" t="s">
        <v>2213</v>
      </c>
      <c r="C595" s="714">
        <v>22000</v>
      </c>
      <c r="D595" s="573"/>
      <c r="E595" s="696">
        <v>22000</v>
      </c>
      <c r="F595" s="87">
        <f t="shared" si="15"/>
        <v>0</v>
      </c>
      <c r="G595" s="690"/>
      <c r="H595" s="693"/>
      <c r="I595" s="692"/>
      <c r="J595" s="713"/>
      <c r="K595" s="713"/>
      <c r="L595" s="713"/>
      <c r="M595" s="692"/>
      <c r="N595" s="692"/>
      <c r="O595" s="692"/>
      <c r="P595" s="692"/>
    </row>
    <row r="596" spans="1:16" s="697" customFormat="1" ht="15" customHeight="1" x14ac:dyDescent="0.25">
      <c r="A596" s="696" t="s">
        <v>2153</v>
      </c>
      <c r="B596" s="696" t="s">
        <v>2068</v>
      </c>
      <c r="C596" s="714">
        <v>21000</v>
      </c>
      <c r="D596" s="573"/>
      <c r="E596" s="696">
        <v>21000</v>
      </c>
      <c r="F596" s="87">
        <f t="shared" si="15"/>
        <v>0</v>
      </c>
      <c r="G596" s="690"/>
      <c r="H596" s="693"/>
      <c r="I596" s="692"/>
      <c r="J596" s="713"/>
      <c r="K596" s="713"/>
      <c r="L596" s="713"/>
      <c r="M596" s="692"/>
      <c r="N596" s="692"/>
      <c r="O596" s="692"/>
      <c r="P596" s="692"/>
    </row>
    <row r="597" spans="1:16" s="697" customFormat="1" ht="15" customHeight="1" x14ac:dyDescent="0.25">
      <c r="A597" s="696" t="s">
        <v>2153</v>
      </c>
      <c r="B597" s="696" t="s">
        <v>2163</v>
      </c>
      <c r="C597" s="714">
        <v>30000</v>
      </c>
      <c r="D597" s="573"/>
      <c r="E597" s="696">
        <v>30000</v>
      </c>
      <c r="F597" s="87">
        <f t="shared" si="15"/>
        <v>0</v>
      </c>
      <c r="G597" s="690"/>
      <c r="H597" s="693"/>
      <c r="I597" s="692"/>
      <c r="J597" s="713"/>
      <c r="K597" s="713"/>
      <c r="L597" s="713"/>
      <c r="M597" s="692"/>
      <c r="N597" s="692"/>
      <c r="O597" s="692"/>
      <c r="P597" s="692"/>
    </row>
    <row r="598" spans="1:16" s="697" customFormat="1" ht="15" customHeight="1" x14ac:dyDescent="0.25">
      <c r="A598" s="696" t="s">
        <v>2164</v>
      </c>
      <c r="B598" s="696" t="s">
        <v>2165</v>
      </c>
      <c r="C598" s="714">
        <v>25000</v>
      </c>
      <c r="D598" s="573"/>
      <c r="E598" s="696">
        <v>25000</v>
      </c>
      <c r="F598" s="87">
        <f t="shared" si="15"/>
        <v>0</v>
      </c>
      <c r="G598" s="690"/>
      <c r="H598" s="693"/>
      <c r="I598" s="692"/>
      <c r="J598" s="713"/>
      <c r="K598" s="713"/>
      <c r="L598" s="713"/>
      <c r="M598" s="692"/>
      <c r="N598" s="692"/>
      <c r="O598" s="692"/>
      <c r="P598" s="692"/>
    </row>
    <row r="599" spans="1:16" s="697" customFormat="1" ht="15" customHeight="1" x14ac:dyDescent="0.25">
      <c r="A599" s="696" t="s">
        <v>2164</v>
      </c>
      <c r="B599" s="696" t="s">
        <v>2166</v>
      </c>
      <c r="C599" s="714">
        <v>23000</v>
      </c>
      <c r="D599" s="573"/>
      <c r="E599" s="696">
        <v>23000</v>
      </c>
      <c r="F599" s="87">
        <f t="shared" si="15"/>
        <v>0</v>
      </c>
      <c r="G599" s="690"/>
      <c r="H599" s="693"/>
      <c r="I599" s="692"/>
      <c r="J599" s="713"/>
      <c r="K599" s="713"/>
      <c r="L599" s="713"/>
      <c r="M599" s="692"/>
      <c r="N599" s="692"/>
      <c r="O599" s="692"/>
      <c r="P599" s="692"/>
    </row>
    <row r="600" spans="1:16" s="697" customFormat="1" ht="15" customHeight="1" x14ac:dyDescent="0.25">
      <c r="A600" s="696" t="s">
        <v>2164</v>
      </c>
      <c r="B600" s="696" t="s">
        <v>2167</v>
      </c>
      <c r="C600" s="714">
        <v>8000</v>
      </c>
      <c r="D600" s="573"/>
      <c r="E600" s="696">
        <v>8000</v>
      </c>
      <c r="F600" s="87">
        <f t="shared" si="15"/>
        <v>0</v>
      </c>
      <c r="G600" s="690"/>
      <c r="H600" s="693"/>
      <c r="I600" s="692"/>
      <c r="J600" s="713"/>
      <c r="K600" s="713"/>
      <c r="L600" s="713"/>
      <c r="M600" s="692"/>
      <c r="N600" s="692"/>
      <c r="O600" s="692"/>
      <c r="P600" s="692"/>
    </row>
    <row r="601" spans="1:16" s="697" customFormat="1" ht="15" customHeight="1" x14ac:dyDescent="0.25">
      <c r="A601" s="696" t="s">
        <v>2164</v>
      </c>
      <c r="B601" s="696" t="s">
        <v>30</v>
      </c>
      <c r="C601" s="714">
        <v>4500</v>
      </c>
      <c r="D601" s="573"/>
      <c r="E601" s="696">
        <v>4500</v>
      </c>
      <c r="F601" s="87">
        <f t="shared" si="15"/>
        <v>0</v>
      </c>
      <c r="G601" s="690"/>
      <c r="H601" s="693"/>
      <c r="I601" s="692"/>
      <c r="J601" s="713"/>
      <c r="K601" s="713"/>
      <c r="L601" s="713"/>
      <c r="M601" s="692"/>
      <c r="N601" s="692"/>
      <c r="O601" s="692"/>
      <c r="P601" s="692"/>
    </row>
    <row r="602" spans="1:16" s="697" customFormat="1" ht="15" customHeight="1" x14ac:dyDescent="0.25">
      <c r="A602" s="696" t="s">
        <v>2164</v>
      </c>
      <c r="B602" s="696" t="s">
        <v>2168</v>
      </c>
      <c r="C602" s="714">
        <v>9000</v>
      </c>
      <c r="D602" s="573"/>
      <c r="E602" s="696">
        <v>9000</v>
      </c>
      <c r="F602" s="87">
        <f t="shared" si="15"/>
        <v>0</v>
      </c>
      <c r="G602" s="690"/>
      <c r="H602" s="693"/>
      <c r="I602" s="692"/>
      <c r="J602" s="713"/>
      <c r="K602" s="713"/>
      <c r="L602" s="713"/>
      <c r="M602" s="692"/>
      <c r="N602" s="692"/>
      <c r="O602" s="692"/>
      <c r="P602" s="692"/>
    </row>
    <row r="603" spans="1:16" s="697" customFormat="1" ht="15" customHeight="1" x14ac:dyDescent="0.25">
      <c r="A603" s="696" t="s">
        <v>2164</v>
      </c>
      <c r="B603" s="696" t="s">
        <v>1923</v>
      </c>
      <c r="C603" s="714">
        <v>16000</v>
      </c>
      <c r="D603" s="573"/>
      <c r="E603" s="696">
        <v>16000</v>
      </c>
      <c r="F603" s="87">
        <f t="shared" si="15"/>
        <v>0</v>
      </c>
      <c r="G603" s="690"/>
      <c r="H603" s="693"/>
      <c r="I603" s="692"/>
      <c r="J603" s="713"/>
      <c r="K603" s="713"/>
      <c r="L603" s="713"/>
      <c r="M603" s="692"/>
      <c r="N603" s="692"/>
      <c r="O603" s="692"/>
      <c r="P603" s="692"/>
    </row>
    <row r="604" spans="1:16" s="697" customFormat="1" ht="15" customHeight="1" x14ac:dyDescent="0.25">
      <c r="A604" s="696" t="s">
        <v>2164</v>
      </c>
      <c r="B604" s="696" t="s">
        <v>1744</v>
      </c>
      <c r="C604" s="714">
        <v>15000</v>
      </c>
      <c r="D604" s="573"/>
      <c r="E604" s="696">
        <v>15000</v>
      </c>
      <c r="F604" s="87">
        <f t="shared" si="15"/>
        <v>0</v>
      </c>
      <c r="G604" s="690"/>
      <c r="H604" s="693"/>
      <c r="I604" s="692"/>
      <c r="J604" s="713"/>
      <c r="K604" s="713"/>
      <c r="L604" s="713"/>
      <c r="M604" s="692"/>
      <c r="N604" s="692"/>
      <c r="O604" s="692"/>
      <c r="P604" s="692"/>
    </row>
    <row r="605" spans="1:16" s="697" customFormat="1" ht="15" customHeight="1" x14ac:dyDescent="0.25">
      <c r="A605" s="696" t="s">
        <v>2164</v>
      </c>
      <c r="B605" s="696" t="s">
        <v>30</v>
      </c>
      <c r="C605" s="714">
        <v>9000</v>
      </c>
      <c r="D605" s="573"/>
      <c r="E605" s="696">
        <v>9000</v>
      </c>
      <c r="F605" s="87">
        <f t="shared" si="15"/>
        <v>0</v>
      </c>
      <c r="G605" s="690"/>
      <c r="H605" s="693"/>
      <c r="I605" s="692"/>
      <c r="J605" s="713"/>
      <c r="K605" s="713"/>
      <c r="L605" s="713"/>
      <c r="M605" s="692"/>
      <c r="N605" s="692"/>
      <c r="O605" s="692"/>
      <c r="P605" s="692"/>
    </row>
    <row r="606" spans="1:16" s="697" customFormat="1" ht="15" customHeight="1" x14ac:dyDescent="0.25">
      <c r="A606" s="696" t="s">
        <v>2164</v>
      </c>
      <c r="B606" s="696" t="s">
        <v>2081</v>
      </c>
      <c r="C606" s="714">
        <v>14000</v>
      </c>
      <c r="D606" s="573"/>
      <c r="E606" s="696">
        <v>14000</v>
      </c>
      <c r="F606" s="87">
        <f t="shared" si="15"/>
        <v>0</v>
      </c>
      <c r="G606" s="690"/>
      <c r="H606" s="693"/>
      <c r="I606" s="692"/>
      <c r="J606" s="713"/>
      <c r="K606" s="713"/>
      <c r="L606" s="713"/>
      <c r="M606" s="692"/>
      <c r="N606" s="692"/>
      <c r="O606" s="692"/>
      <c r="P606" s="692"/>
    </row>
    <row r="607" spans="1:16" s="697" customFormat="1" ht="15" customHeight="1" x14ac:dyDescent="0.25">
      <c r="A607" s="696" t="s">
        <v>2164</v>
      </c>
      <c r="B607" s="696" t="s">
        <v>2169</v>
      </c>
      <c r="C607" s="714">
        <v>16000</v>
      </c>
      <c r="D607" s="573"/>
      <c r="E607" s="696">
        <v>16000</v>
      </c>
      <c r="F607" s="87">
        <f t="shared" si="15"/>
        <v>0</v>
      </c>
      <c r="G607" s="690"/>
      <c r="H607" s="693"/>
      <c r="I607" s="692"/>
      <c r="J607" s="713"/>
      <c r="K607" s="713"/>
      <c r="L607" s="713"/>
      <c r="M607" s="692"/>
      <c r="N607" s="692"/>
      <c r="O607" s="692"/>
      <c r="P607" s="692"/>
    </row>
    <row r="608" spans="1:16" s="697" customFormat="1" ht="15" customHeight="1" x14ac:dyDescent="0.25">
      <c r="A608" s="696" t="s">
        <v>2164</v>
      </c>
      <c r="B608" s="696" t="s">
        <v>2170</v>
      </c>
      <c r="C608" s="714">
        <v>22000</v>
      </c>
      <c r="D608" s="573"/>
      <c r="E608" s="696">
        <v>22000</v>
      </c>
      <c r="F608" s="87">
        <f t="shared" si="15"/>
        <v>0</v>
      </c>
      <c r="G608" s="690"/>
      <c r="H608" s="693"/>
      <c r="I608" s="692"/>
      <c r="J608" s="713"/>
      <c r="K608" s="713"/>
      <c r="L608" s="713"/>
      <c r="M608" s="692"/>
      <c r="N608" s="692"/>
      <c r="O608" s="692"/>
      <c r="P608" s="692"/>
    </row>
    <row r="609" spans="1:16" s="697" customFormat="1" ht="15" customHeight="1" x14ac:dyDescent="0.25">
      <c r="A609" s="696" t="s">
        <v>2164</v>
      </c>
      <c r="B609" s="696" t="s">
        <v>2171</v>
      </c>
      <c r="C609" s="714">
        <v>24000</v>
      </c>
      <c r="D609" s="573"/>
      <c r="E609" s="696">
        <v>24000</v>
      </c>
      <c r="F609" s="87">
        <f t="shared" si="15"/>
        <v>0</v>
      </c>
      <c r="G609" s="690"/>
      <c r="H609" s="693"/>
      <c r="I609" s="692"/>
      <c r="J609" s="713"/>
      <c r="K609" s="713"/>
      <c r="L609" s="713"/>
      <c r="M609" s="692"/>
      <c r="N609" s="692"/>
      <c r="O609" s="692"/>
      <c r="P609" s="692"/>
    </row>
    <row r="610" spans="1:16" s="697" customFormat="1" ht="15" customHeight="1" x14ac:dyDescent="0.25">
      <c r="A610" s="696" t="s">
        <v>2164</v>
      </c>
      <c r="B610" s="696" t="s">
        <v>2172</v>
      </c>
      <c r="C610" s="714">
        <v>25000</v>
      </c>
      <c r="D610" s="573"/>
      <c r="E610" s="696">
        <v>25000</v>
      </c>
      <c r="F610" s="87">
        <f t="shared" si="15"/>
        <v>0</v>
      </c>
      <c r="G610" s="690"/>
      <c r="H610" s="693"/>
      <c r="I610" s="692"/>
      <c r="J610" s="713"/>
      <c r="K610" s="713"/>
      <c r="L610" s="713"/>
      <c r="M610" s="692"/>
      <c r="N610" s="692"/>
      <c r="O610" s="692"/>
      <c r="P610" s="692"/>
    </row>
    <row r="611" spans="1:16" s="697" customFormat="1" ht="15" customHeight="1" x14ac:dyDescent="0.25">
      <c r="A611" s="696" t="s">
        <v>2164</v>
      </c>
      <c r="B611" s="696" t="s">
        <v>2173</v>
      </c>
      <c r="C611" s="714">
        <v>25000</v>
      </c>
      <c r="D611" s="573"/>
      <c r="E611" s="696">
        <v>25000</v>
      </c>
      <c r="F611" s="87">
        <f t="shared" si="15"/>
        <v>0</v>
      </c>
      <c r="G611" s="690"/>
      <c r="H611" s="693"/>
      <c r="I611" s="692"/>
      <c r="J611" s="713"/>
      <c r="K611" s="713"/>
      <c r="L611" s="713"/>
      <c r="M611" s="692"/>
      <c r="N611" s="692"/>
      <c r="O611" s="692"/>
      <c r="P611" s="692"/>
    </row>
    <row r="612" spans="1:16" s="697" customFormat="1" ht="15" customHeight="1" x14ac:dyDescent="0.25">
      <c r="A612" s="696" t="s">
        <v>2164</v>
      </c>
      <c r="B612" s="696" t="s">
        <v>2021</v>
      </c>
      <c r="C612" s="714">
        <v>32000</v>
      </c>
      <c r="D612" s="573"/>
      <c r="E612" s="696">
        <v>32000</v>
      </c>
      <c r="F612" s="87">
        <f t="shared" si="15"/>
        <v>0</v>
      </c>
      <c r="G612" s="690"/>
      <c r="H612" s="693"/>
      <c r="I612" s="692"/>
      <c r="J612" s="713"/>
      <c r="K612" s="713"/>
      <c r="L612" s="713"/>
      <c r="M612" s="692"/>
      <c r="N612" s="692"/>
      <c r="O612" s="692"/>
      <c r="P612" s="692"/>
    </row>
    <row r="613" spans="1:16" s="697" customFormat="1" ht="15" customHeight="1" x14ac:dyDescent="0.25">
      <c r="A613" s="696" t="s">
        <v>2164</v>
      </c>
      <c r="B613" s="696" t="s">
        <v>2174</v>
      </c>
      <c r="C613" s="714">
        <v>27000</v>
      </c>
      <c r="D613" s="573"/>
      <c r="E613" s="696">
        <v>27000</v>
      </c>
      <c r="F613" s="87">
        <f t="shared" si="15"/>
        <v>0</v>
      </c>
      <c r="G613" s="690"/>
      <c r="H613" s="693"/>
      <c r="I613" s="692"/>
      <c r="J613" s="713"/>
      <c r="K613" s="713"/>
      <c r="L613" s="713"/>
      <c r="M613" s="692"/>
      <c r="N613" s="692"/>
      <c r="O613" s="692"/>
      <c r="P613" s="692"/>
    </row>
    <row r="614" spans="1:16" s="697" customFormat="1" ht="15" customHeight="1" x14ac:dyDescent="0.25">
      <c r="A614" s="696" t="s">
        <v>2164</v>
      </c>
      <c r="B614" s="696" t="s">
        <v>2175</v>
      </c>
      <c r="C614" s="714">
        <v>28000</v>
      </c>
      <c r="D614" s="573"/>
      <c r="E614" s="696">
        <v>28000</v>
      </c>
      <c r="F614" s="87">
        <f t="shared" si="15"/>
        <v>0</v>
      </c>
      <c r="G614" s="690"/>
      <c r="H614" s="693"/>
      <c r="I614" s="692"/>
      <c r="J614" s="713"/>
      <c r="K614" s="713"/>
      <c r="L614" s="713"/>
      <c r="M614" s="692"/>
      <c r="N614" s="692"/>
      <c r="O614" s="692"/>
      <c r="P614" s="692"/>
    </row>
    <row r="615" spans="1:16" s="709" customFormat="1" ht="15" customHeight="1" x14ac:dyDescent="0.25">
      <c r="A615" s="696" t="s">
        <v>2763</v>
      </c>
      <c r="B615" s="696" t="s">
        <v>2764</v>
      </c>
      <c r="C615" s="714">
        <v>10000</v>
      </c>
      <c r="D615" s="573"/>
      <c r="E615" s="696">
        <v>10000</v>
      </c>
      <c r="F615" s="87">
        <f t="shared" si="15"/>
        <v>0</v>
      </c>
      <c r="G615" s="690"/>
      <c r="H615" s="693"/>
      <c r="I615" s="692"/>
      <c r="J615" s="713"/>
      <c r="K615" s="713"/>
      <c r="L615" s="713"/>
      <c r="M615" s="692"/>
      <c r="N615" s="692"/>
      <c r="O615" s="692"/>
      <c r="P615" s="692"/>
    </row>
    <row r="616" spans="1:16" s="709" customFormat="1" ht="15" customHeight="1" x14ac:dyDescent="0.25">
      <c r="A616" s="696" t="s">
        <v>2763</v>
      </c>
      <c r="B616" s="696" t="s">
        <v>1383</v>
      </c>
      <c r="C616" s="714">
        <v>25000</v>
      </c>
      <c r="D616" s="573"/>
      <c r="E616" s="696">
        <v>25000</v>
      </c>
      <c r="F616" s="87">
        <f t="shared" si="15"/>
        <v>0</v>
      </c>
      <c r="G616" s="690"/>
      <c r="H616" s="693"/>
      <c r="I616" s="692"/>
      <c r="J616" s="713"/>
      <c r="K616" s="713"/>
      <c r="L616" s="713"/>
      <c r="M616" s="692"/>
      <c r="N616" s="692"/>
      <c r="O616" s="692"/>
      <c r="P616" s="692"/>
    </row>
    <row r="617" spans="1:16" s="709" customFormat="1" ht="15" customHeight="1" x14ac:dyDescent="0.25">
      <c r="A617" s="696" t="s">
        <v>2763</v>
      </c>
      <c r="B617" s="696" t="s">
        <v>2765</v>
      </c>
      <c r="C617" s="714">
        <v>22000</v>
      </c>
      <c r="D617" s="573"/>
      <c r="E617" s="696">
        <v>22000</v>
      </c>
      <c r="F617" s="87">
        <f t="shared" si="15"/>
        <v>0</v>
      </c>
      <c r="G617" s="690"/>
      <c r="H617" s="693"/>
      <c r="I617" s="692"/>
      <c r="J617" s="713"/>
      <c r="K617" s="713"/>
      <c r="L617" s="713"/>
      <c r="M617" s="692"/>
      <c r="N617" s="692"/>
      <c r="O617" s="692"/>
      <c r="P617" s="692"/>
    </row>
    <row r="618" spans="1:16" s="709" customFormat="1" ht="15" customHeight="1" x14ac:dyDescent="0.25">
      <c r="A618" s="696" t="s">
        <v>2763</v>
      </c>
      <c r="B618" s="696" t="s">
        <v>1795</v>
      </c>
      <c r="C618" s="714">
        <v>20000</v>
      </c>
      <c r="D618" s="573"/>
      <c r="E618" s="696">
        <v>20000</v>
      </c>
      <c r="F618" s="87">
        <f t="shared" si="15"/>
        <v>0</v>
      </c>
      <c r="G618" s="690"/>
      <c r="H618" s="693"/>
      <c r="I618" s="692"/>
      <c r="J618" s="713"/>
      <c r="K618" s="713"/>
      <c r="L618" s="713"/>
      <c r="M618" s="692"/>
      <c r="N618" s="692"/>
      <c r="O618" s="692"/>
      <c r="P618" s="692"/>
    </row>
    <row r="619" spans="1:16" s="709" customFormat="1" ht="15" customHeight="1" x14ac:dyDescent="0.25">
      <c r="A619" s="696" t="s">
        <v>2763</v>
      </c>
      <c r="B619" s="696" t="s">
        <v>2766</v>
      </c>
      <c r="C619" s="714">
        <v>20000</v>
      </c>
      <c r="D619" s="573"/>
      <c r="E619" s="696">
        <v>20000</v>
      </c>
      <c r="F619" s="87">
        <f t="shared" si="15"/>
        <v>0</v>
      </c>
      <c r="G619" s="690"/>
      <c r="H619" s="693"/>
      <c r="I619" s="692"/>
      <c r="J619" s="713"/>
      <c r="K619" s="713"/>
      <c r="L619" s="713"/>
      <c r="M619" s="692"/>
      <c r="N619" s="692"/>
      <c r="O619" s="692"/>
      <c r="P619" s="692"/>
    </row>
    <row r="620" spans="1:16" s="709" customFormat="1" ht="15" customHeight="1" x14ac:dyDescent="0.25">
      <c r="A620" s="696" t="s">
        <v>2763</v>
      </c>
      <c r="B620" s="696" t="s">
        <v>2767</v>
      </c>
      <c r="C620" s="714">
        <v>25000</v>
      </c>
      <c r="D620" s="573"/>
      <c r="E620" s="696">
        <v>25000</v>
      </c>
      <c r="F620" s="87">
        <f t="shared" si="15"/>
        <v>0</v>
      </c>
      <c r="G620" s="690"/>
      <c r="H620" s="693"/>
      <c r="I620" s="692"/>
      <c r="J620" s="713"/>
      <c r="K620" s="713"/>
      <c r="L620" s="713"/>
      <c r="M620" s="692"/>
      <c r="N620" s="692"/>
      <c r="O620" s="692"/>
      <c r="P620" s="692"/>
    </row>
    <row r="621" spans="1:16" s="709" customFormat="1" ht="15" customHeight="1" x14ac:dyDescent="0.25">
      <c r="A621" s="696" t="s">
        <v>2763</v>
      </c>
      <c r="B621" s="696" t="s">
        <v>2768</v>
      </c>
      <c r="C621" s="714">
        <v>13000</v>
      </c>
      <c r="D621" s="573"/>
      <c r="E621" s="696">
        <v>13000</v>
      </c>
      <c r="F621" s="87">
        <f t="shared" si="15"/>
        <v>0</v>
      </c>
      <c r="G621" s="690"/>
      <c r="H621" s="693"/>
      <c r="I621" s="692"/>
      <c r="J621" s="713"/>
      <c r="K621" s="713"/>
      <c r="L621" s="713"/>
      <c r="M621" s="692"/>
      <c r="N621" s="692"/>
      <c r="O621" s="692"/>
      <c r="P621" s="692"/>
    </row>
    <row r="622" spans="1:16" s="709" customFormat="1" ht="15" customHeight="1" x14ac:dyDescent="0.25">
      <c r="A622" s="696" t="s">
        <v>2763</v>
      </c>
      <c r="B622" s="696" t="s">
        <v>17</v>
      </c>
      <c r="C622" s="714">
        <v>3000</v>
      </c>
      <c r="D622" s="573"/>
      <c r="E622" s="696">
        <v>3000</v>
      </c>
      <c r="F622" s="87">
        <f t="shared" si="15"/>
        <v>0</v>
      </c>
      <c r="G622" s="690"/>
      <c r="H622" s="693"/>
      <c r="I622" s="692"/>
      <c r="J622" s="713"/>
      <c r="K622" s="713"/>
      <c r="L622" s="713"/>
      <c r="M622" s="692"/>
      <c r="N622" s="692"/>
      <c r="O622" s="692"/>
      <c r="P622" s="692"/>
    </row>
    <row r="623" spans="1:16" s="709" customFormat="1" ht="15" customHeight="1" x14ac:dyDescent="0.25">
      <c r="A623" s="696" t="s">
        <v>2763</v>
      </c>
      <c r="B623" s="696" t="s">
        <v>1724</v>
      </c>
      <c r="C623" s="714">
        <v>22000</v>
      </c>
      <c r="D623" s="573"/>
      <c r="E623" s="696">
        <v>22000</v>
      </c>
      <c r="F623" s="87">
        <f t="shared" si="15"/>
        <v>0</v>
      </c>
      <c r="G623" s="690"/>
      <c r="H623" s="693"/>
      <c r="I623" s="692"/>
      <c r="J623" s="713"/>
      <c r="K623" s="713"/>
      <c r="L623" s="713"/>
      <c r="M623" s="692"/>
      <c r="N623" s="692"/>
      <c r="O623" s="692"/>
      <c r="P623" s="692"/>
    </row>
    <row r="624" spans="1:16" s="709" customFormat="1" ht="15" customHeight="1" x14ac:dyDescent="0.25">
      <c r="A624" s="696" t="s">
        <v>2763</v>
      </c>
      <c r="B624" s="696" t="s">
        <v>1726</v>
      </c>
      <c r="C624" s="714">
        <v>20000</v>
      </c>
      <c r="D624" s="573"/>
      <c r="E624" s="696">
        <v>20000</v>
      </c>
      <c r="F624" s="87">
        <f t="shared" si="15"/>
        <v>0</v>
      </c>
      <c r="G624" s="690"/>
      <c r="H624" s="693"/>
      <c r="I624" s="692"/>
      <c r="J624" s="713"/>
      <c r="K624" s="713"/>
      <c r="L624" s="713"/>
      <c r="M624" s="692"/>
      <c r="N624" s="692"/>
      <c r="O624" s="692"/>
      <c r="P624" s="692"/>
    </row>
    <row r="625" spans="1:16" s="709" customFormat="1" ht="15" customHeight="1" x14ac:dyDescent="0.25">
      <c r="A625" s="696" t="s">
        <v>2763</v>
      </c>
      <c r="B625" s="696" t="s">
        <v>2507</v>
      </c>
      <c r="C625" s="714">
        <v>27100</v>
      </c>
      <c r="D625" s="573"/>
      <c r="E625" s="696">
        <v>27100</v>
      </c>
      <c r="F625" s="87">
        <f t="shared" si="15"/>
        <v>0</v>
      </c>
      <c r="G625" s="690"/>
      <c r="H625" s="693"/>
      <c r="I625" s="692"/>
      <c r="J625" s="713"/>
      <c r="K625" s="713"/>
      <c r="L625" s="713"/>
      <c r="M625" s="692"/>
      <c r="N625" s="692"/>
      <c r="O625" s="692"/>
      <c r="P625" s="692"/>
    </row>
    <row r="626" spans="1:16" s="709" customFormat="1" ht="15" customHeight="1" x14ac:dyDescent="0.25">
      <c r="A626" s="696" t="s">
        <v>2763</v>
      </c>
      <c r="B626" s="696" t="s">
        <v>2179</v>
      </c>
      <c r="C626" s="714">
        <v>10000</v>
      </c>
      <c r="D626" s="573"/>
      <c r="E626" s="696">
        <v>10000</v>
      </c>
      <c r="F626" s="87">
        <f t="shared" si="15"/>
        <v>0</v>
      </c>
      <c r="G626" s="690"/>
      <c r="H626" s="693"/>
      <c r="I626" s="692"/>
      <c r="J626" s="713"/>
      <c r="K626" s="713"/>
      <c r="L626" s="713"/>
      <c r="M626" s="692"/>
      <c r="N626" s="692"/>
      <c r="O626" s="692"/>
      <c r="P626" s="692"/>
    </row>
    <row r="627" spans="1:16" s="709" customFormat="1" ht="15" customHeight="1" x14ac:dyDescent="0.25">
      <c r="A627" s="696" t="s">
        <v>2763</v>
      </c>
      <c r="B627" s="696" t="s">
        <v>2178</v>
      </c>
      <c r="C627" s="714">
        <v>10000</v>
      </c>
      <c r="D627" s="573"/>
      <c r="E627" s="696">
        <v>10000</v>
      </c>
      <c r="F627" s="87">
        <f t="shared" si="15"/>
        <v>0</v>
      </c>
      <c r="G627" s="690"/>
      <c r="H627" s="693"/>
      <c r="I627" s="692"/>
      <c r="J627" s="713"/>
      <c r="K627" s="713"/>
      <c r="L627" s="713"/>
      <c r="M627" s="692"/>
      <c r="N627" s="692"/>
      <c r="O627" s="692"/>
      <c r="P627" s="692"/>
    </row>
    <row r="628" spans="1:16" s="709" customFormat="1" ht="15" customHeight="1" x14ac:dyDescent="0.25">
      <c r="A628" s="696" t="s">
        <v>2763</v>
      </c>
      <c r="B628" s="696" t="s">
        <v>2769</v>
      </c>
      <c r="C628" s="714">
        <v>17000</v>
      </c>
      <c r="D628" s="573"/>
      <c r="E628" s="696">
        <v>17000</v>
      </c>
      <c r="F628" s="87">
        <f t="shared" si="15"/>
        <v>0</v>
      </c>
      <c r="G628" s="690"/>
      <c r="H628" s="693"/>
      <c r="I628" s="692"/>
      <c r="J628" s="713"/>
      <c r="K628" s="713"/>
      <c r="L628" s="713"/>
      <c r="M628" s="692"/>
      <c r="N628" s="692"/>
      <c r="O628" s="692"/>
      <c r="P628" s="692"/>
    </row>
    <row r="629" spans="1:16" s="709" customFormat="1" ht="15" customHeight="1" x14ac:dyDescent="0.25">
      <c r="A629" s="696" t="s">
        <v>2763</v>
      </c>
      <c r="B629" s="696" t="s">
        <v>2770</v>
      </c>
      <c r="C629" s="714">
        <v>22000</v>
      </c>
      <c r="D629" s="573"/>
      <c r="E629" s="696">
        <v>22000</v>
      </c>
      <c r="F629" s="87">
        <f t="shared" si="15"/>
        <v>0</v>
      </c>
      <c r="G629" s="690"/>
      <c r="H629" s="693"/>
      <c r="I629" s="692"/>
      <c r="J629" s="713"/>
      <c r="K629" s="713"/>
      <c r="L629" s="713"/>
      <c r="M629" s="692"/>
      <c r="N629" s="692"/>
      <c r="O629" s="692"/>
      <c r="P629" s="692"/>
    </row>
    <row r="630" spans="1:16" s="709" customFormat="1" ht="15" customHeight="1" x14ac:dyDescent="0.25">
      <c r="A630" s="696" t="s">
        <v>2763</v>
      </c>
      <c r="B630" s="696" t="s">
        <v>2771</v>
      </c>
      <c r="C630" s="714">
        <v>20000</v>
      </c>
      <c r="D630" s="573"/>
      <c r="E630" s="696">
        <v>20000</v>
      </c>
      <c r="F630" s="87">
        <f t="shared" si="15"/>
        <v>0</v>
      </c>
      <c r="G630" s="690"/>
      <c r="H630" s="693"/>
      <c r="I630" s="692"/>
      <c r="J630" s="713"/>
      <c r="K630" s="713"/>
      <c r="L630" s="713"/>
      <c r="M630" s="692"/>
      <c r="N630" s="692"/>
      <c r="O630" s="692"/>
      <c r="P630" s="692"/>
    </row>
    <row r="631" spans="1:16" s="709" customFormat="1" ht="15" customHeight="1" x14ac:dyDescent="0.25">
      <c r="A631" s="696" t="s">
        <v>2763</v>
      </c>
      <c r="B631" s="696" t="s">
        <v>2772</v>
      </c>
      <c r="C631" s="714">
        <v>28000</v>
      </c>
      <c r="D631" s="573"/>
      <c r="E631" s="696">
        <v>28000</v>
      </c>
      <c r="F631" s="87">
        <f t="shared" si="15"/>
        <v>0</v>
      </c>
      <c r="G631" s="690"/>
      <c r="H631" s="693"/>
      <c r="I631" s="692"/>
      <c r="J631" s="713"/>
      <c r="K631" s="713"/>
      <c r="L631" s="713"/>
      <c r="M631" s="692"/>
      <c r="N631" s="692"/>
      <c r="O631" s="692"/>
      <c r="P631" s="692"/>
    </row>
    <row r="632" spans="1:16" s="709" customFormat="1" ht="15" customHeight="1" x14ac:dyDescent="0.25">
      <c r="A632" s="696" t="s">
        <v>2763</v>
      </c>
      <c r="B632" s="696" t="s">
        <v>2430</v>
      </c>
      <c r="C632" s="714">
        <v>27000</v>
      </c>
      <c r="D632" s="573"/>
      <c r="E632" s="696">
        <v>27000</v>
      </c>
      <c r="F632" s="87">
        <f t="shared" si="15"/>
        <v>0</v>
      </c>
      <c r="G632" s="690"/>
      <c r="H632" s="693"/>
      <c r="I632" s="692"/>
      <c r="J632" s="713"/>
      <c r="K632" s="713"/>
      <c r="L632" s="713"/>
      <c r="M632" s="692"/>
      <c r="N632" s="692"/>
      <c r="O632" s="692"/>
      <c r="P632" s="692"/>
    </row>
    <row r="633" spans="1:16" s="709" customFormat="1" ht="15" customHeight="1" x14ac:dyDescent="0.25">
      <c r="A633" s="696" t="s">
        <v>2763</v>
      </c>
      <c r="B633" s="696" t="s">
        <v>2773</v>
      </c>
      <c r="C633" s="714">
        <v>22000</v>
      </c>
      <c r="D633" s="573"/>
      <c r="E633" s="696">
        <v>22000</v>
      </c>
      <c r="F633" s="87">
        <f t="shared" si="15"/>
        <v>0</v>
      </c>
      <c r="G633" s="690"/>
      <c r="H633" s="693"/>
      <c r="I633" s="692"/>
      <c r="J633" s="692"/>
      <c r="K633" s="692"/>
      <c r="L633" s="692"/>
      <c r="M633" s="692"/>
      <c r="N633" s="692"/>
      <c r="O633" s="692"/>
      <c r="P633" s="692"/>
    </row>
    <row r="634" spans="1:16" s="709" customFormat="1" ht="15" customHeight="1" x14ac:dyDescent="0.25">
      <c r="A634" s="696" t="s">
        <v>2763</v>
      </c>
      <c r="B634" s="696" t="s">
        <v>2774</v>
      </c>
      <c r="C634" s="714">
        <v>27000</v>
      </c>
      <c r="D634" s="573"/>
      <c r="E634" s="696">
        <v>27000</v>
      </c>
      <c r="F634" s="87">
        <f t="shared" si="15"/>
        <v>0</v>
      </c>
      <c r="G634" s="690"/>
      <c r="H634" s="693"/>
      <c r="I634" s="692"/>
      <c r="J634" s="692"/>
      <c r="K634" s="692"/>
      <c r="L634" s="692"/>
      <c r="M634" s="692"/>
      <c r="N634" s="692"/>
      <c r="O634" s="692"/>
      <c r="P634" s="692"/>
    </row>
    <row r="635" spans="1:16" s="709" customFormat="1" ht="15" customHeight="1" x14ac:dyDescent="0.25">
      <c r="A635" s="696" t="s">
        <v>2775</v>
      </c>
      <c r="B635" s="696" t="s">
        <v>66</v>
      </c>
      <c r="C635" s="714">
        <v>210</v>
      </c>
      <c r="D635" s="573"/>
      <c r="E635" s="696">
        <v>210</v>
      </c>
      <c r="F635" s="87">
        <f t="shared" si="15"/>
        <v>0</v>
      </c>
      <c r="G635" s="690"/>
      <c r="H635" s="693"/>
      <c r="I635" s="692"/>
      <c r="J635" s="692"/>
      <c r="K635" s="692"/>
      <c r="L635" s="692"/>
      <c r="M635" s="692"/>
      <c r="N635" s="692"/>
      <c r="O635" s="692"/>
      <c r="P635" s="692"/>
    </row>
    <row r="636" spans="1:16" s="709" customFormat="1" ht="15" customHeight="1" x14ac:dyDescent="0.25">
      <c r="A636" s="696" t="s">
        <v>2775</v>
      </c>
      <c r="B636" s="696" t="s">
        <v>2067</v>
      </c>
      <c r="C636" s="714">
        <v>10000</v>
      </c>
      <c r="D636" s="573"/>
      <c r="E636" s="696">
        <v>10000</v>
      </c>
      <c r="F636" s="87">
        <f t="shared" si="15"/>
        <v>0</v>
      </c>
      <c r="G636" s="690"/>
      <c r="H636" s="693"/>
      <c r="I636" s="692"/>
      <c r="J636" s="692"/>
      <c r="K636" s="692"/>
      <c r="L636" s="692"/>
      <c r="M636" s="692"/>
      <c r="N636" s="692"/>
      <c r="O636" s="692"/>
      <c r="P636" s="692"/>
    </row>
    <row r="637" spans="1:16" s="709" customFormat="1" ht="15" customHeight="1" x14ac:dyDescent="0.25">
      <c r="A637" s="696" t="s">
        <v>2775</v>
      </c>
      <c r="B637" s="696" t="s">
        <v>2776</v>
      </c>
      <c r="C637" s="714">
        <v>20000</v>
      </c>
      <c r="D637" s="573"/>
      <c r="E637" s="696">
        <v>20000</v>
      </c>
      <c r="F637" s="87">
        <f t="shared" si="15"/>
        <v>0</v>
      </c>
      <c r="G637" s="690"/>
      <c r="H637" s="693"/>
      <c r="I637" s="692"/>
      <c r="J637" s="692"/>
      <c r="K637" s="692"/>
      <c r="L637" s="692"/>
      <c r="M637" s="692"/>
      <c r="N637" s="692"/>
      <c r="O637" s="692"/>
      <c r="P637" s="692"/>
    </row>
    <row r="638" spans="1:16" s="709" customFormat="1" ht="15" customHeight="1" x14ac:dyDescent="0.25">
      <c r="A638" s="696" t="s">
        <v>2775</v>
      </c>
      <c r="B638" s="696" t="s">
        <v>2093</v>
      </c>
      <c r="C638" s="714">
        <v>16000</v>
      </c>
      <c r="D638" s="573"/>
      <c r="E638" s="696">
        <v>16000</v>
      </c>
      <c r="F638" s="87">
        <f t="shared" si="15"/>
        <v>0</v>
      </c>
      <c r="G638" s="690"/>
      <c r="H638" s="693"/>
      <c r="I638" s="692"/>
      <c r="J638" s="692"/>
      <c r="K638" s="692"/>
      <c r="L638" s="692"/>
      <c r="M638" s="692"/>
      <c r="N638" s="692"/>
      <c r="O638" s="692"/>
      <c r="P638" s="692"/>
    </row>
    <row r="639" spans="1:16" s="709" customFormat="1" ht="15" customHeight="1" x14ac:dyDescent="0.25">
      <c r="A639" s="696" t="s">
        <v>2775</v>
      </c>
      <c r="B639" s="696" t="s">
        <v>2038</v>
      </c>
      <c r="C639" s="714">
        <v>16000</v>
      </c>
      <c r="D639" s="573"/>
      <c r="E639" s="696">
        <v>16000</v>
      </c>
      <c r="F639" s="87">
        <f t="shared" si="15"/>
        <v>0</v>
      </c>
      <c r="G639" s="690"/>
      <c r="H639" s="693"/>
      <c r="I639" s="692"/>
      <c r="J639" s="692"/>
      <c r="K639" s="692"/>
      <c r="L639" s="692"/>
      <c r="M639" s="692"/>
      <c r="N639" s="692"/>
      <c r="O639" s="692"/>
      <c r="P639" s="692"/>
    </row>
    <row r="640" spans="1:16" s="709" customFormat="1" ht="15" customHeight="1" x14ac:dyDescent="0.25">
      <c r="A640" s="696" t="s">
        <v>2775</v>
      </c>
      <c r="B640" s="696" t="s">
        <v>2079</v>
      </c>
      <c r="C640" s="714">
        <v>16000</v>
      </c>
      <c r="D640" s="573"/>
      <c r="E640" s="696">
        <v>16000</v>
      </c>
      <c r="F640" s="87">
        <f t="shared" si="15"/>
        <v>0</v>
      </c>
      <c r="G640" s="690"/>
      <c r="H640" s="693"/>
      <c r="I640" s="692"/>
      <c r="J640" s="692"/>
      <c r="K640" s="692"/>
      <c r="L640" s="692"/>
      <c r="M640" s="692"/>
      <c r="N640" s="692"/>
      <c r="O640" s="692"/>
      <c r="P640" s="692"/>
    </row>
    <row r="641" spans="1:16" s="709" customFormat="1" ht="15" customHeight="1" x14ac:dyDescent="0.25">
      <c r="A641" s="696" t="s">
        <v>2775</v>
      </c>
      <c r="B641" s="696" t="s">
        <v>2142</v>
      </c>
      <c r="C641" s="714">
        <v>16000</v>
      </c>
      <c r="D641" s="573"/>
      <c r="E641" s="696">
        <v>16000</v>
      </c>
      <c r="F641" s="87">
        <f t="shared" si="15"/>
        <v>0</v>
      </c>
      <c r="G641" s="690"/>
      <c r="H641" s="693"/>
      <c r="I641" s="692"/>
      <c r="J641" s="692"/>
      <c r="K641" s="692"/>
      <c r="L641" s="692"/>
      <c r="M641" s="692"/>
      <c r="N641" s="692"/>
      <c r="O641" s="692"/>
      <c r="P641" s="692"/>
    </row>
    <row r="642" spans="1:16" s="709" customFormat="1" ht="15" customHeight="1" x14ac:dyDescent="0.25">
      <c r="A642" s="696" t="s">
        <v>2775</v>
      </c>
      <c r="B642" s="696" t="s">
        <v>2202</v>
      </c>
      <c r="C642" s="714">
        <v>14000</v>
      </c>
      <c r="D642" s="573"/>
      <c r="E642" s="696">
        <v>14000</v>
      </c>
      <c r="F642" s="87">
        <f t="shared" si="15"/>
        <v>0</v>
      </c>
      <c r="G642" s="690"/>
      <c r="H642" s="693"/>
      <c r="I642" s="692"/>
      <c r="J642" s="692"/>
      <c r="K642" s="692"/>
      <c r="L642" s="692"/>
      <c r="M642" s="692"/>
      <c r="N642" s="692"/>
      <c r="O642" s="692"/>
      <c r="P642" s="692"/>
    </row>
    <row r="643" spans="1:16" s="709" customFormat="1" ht="15" customHeight="1" x14ac:dyDescent="0.25">
      <c r="A643" s="696" t="s">
        <v>2775</v>
      </c>
      <c r="B643" s="696" t="s">
        <v>2201</v>
      </c>
      <c r="C643" s="714">
        <v>17000</v>
      </c>
      <c r="D643" s="573"/>
      <c r="E643" s="696">
        <v>17000</v>
      </c>
      <c r="F643" s="87">
        <f t="shared" si="15"/>
        <v>0</v>
      </c>
      <c r="G643" s="690"/>
      <c r="H643" s="693"/>
      <c r="I643" s="692"/>
      <c r="J643" s="692"/>
      <c r="K643" s="692"/>
      <c r="L643" s="692"/>
      <c r="M643" s="692"/>
      <c r="N643" s="692"/>
      <c r="O643" s="692"/>
      <c r="P643" s="692"/>
    </row>
    <row r="644" spans="1:16" s="709" customFormat="1" ht="15" customHeight="1" x14ac:dyDescent="0.25">
      <c r="A644" s="696" t="s">
        <v>2775</v>
      </c>
      <c r="B644" s="696" t="s">
        <v>2081</v>
      </c>
      <c r="C644" s="714">
        <v>15000</v>
      </c>
      <c r="D644" s="573"/>
      <c r="E644" s="696">
        <v>15000</v>
      </c>
      <c r="F644" s="87">
        <f t="shared" si="15"/>
        <v>0</v>
      </c>
      <c r="G644" s="690"/>
      <c r="H644" s="693"/>
      <c r="I644" s="692"/>
      <c r="J644" s="692"/>
      <c r="K644" s="692"/>
      <c r="L644" s="692"/>
      <c r="M644" s="692"/>
      <c r="N644" s="692"/>
      <c r="O644" s="692"/>
      <c r="P644" s="692"/>
    </row>
    <row r="645" spans="1:16" s="709" customFormat="1" ht="15" customHeight="1" x14ac:dyDescent="0.25">
      <c r="A645" s="696" t="s">
        <v>2775</v>
      </c>
      <c r="B645" s="696" t="s">
        <v>17</v>
      </c>
      <c r="C645" s="714">
        <v>3000</v>
      </c>
      <c r="D645" s="573"/>
      <c r="E645" s="696">
        <v>3000</v>
      </c>
      <c r="F645" s="87">
        <f t="shared" si="15"/>
        <v>0</v>
      </c>
      <c r="G645" s="690"/>
      <c r="H645" s="693"/>
      <c r="I645" s="692"/>
      <c r="J645" s="692"/>
      <c r="K645" s="692"/>
      <c r="L645" s="692"/>
      <c r="M645" s="692"/>
      <c r="N645" s="692"/>
      <c r="O645" s="692"/>
      <c r="P645" s="692"/>
    </row>
    <row r="646" spans="1:16" s="709" customFormat="1" ht="15" customHeight="1" x14ac:dyDescent="0.25">
      <c r="A646" s="696" t="s">
        <v>2775</v>
      </c>
      <c r="B646" s="696" t="s">
        <v>2510</v>
      </c>
      <c r="C646" s="714">
        <v>25000</v>
      </c>
      <c r="D646" s="573"/>
      <c r="E646" s="696">
        <v>25000</v>
      </c>
      <c r="F646" s="87">
        <f t="shared" si="15"/>
        <v>0</v>
      </c>
      <c r="G646" s="690"/>
      <c r="H646" s="693"/>
      <c r="I646" s="692"/>
      <c r="J646" s="692"/>
      <c r="K646" s="692"/>
      <c r="L646" s="692"/>
      <c r="M646" s="692"/>
      <c r="N646" s="692"/>
      <c r="O646" s="692"/>
      <c r="P646" s="692"/>
    </row>
    <row r="647" spans="1:16" s="709" customFormat="1" ht="15" customHeight="1" x14ac:dyDescent="0.25">
      <c r="A647" s="696" t="s">
        <v>2775</v>
      </c>
      <c r="B647" s="696" t="s">
        <v>2777</v>
      </c>
      <c r="C647" s="714">
        <v>8000</v>
      </c>
      <c r="D647" s="573"/>
      <c r="E647" s="696">
        <v>8000</v>
      </c>
      <c r="F647" s="87">
        <f t="shared" si="15"/>
        <v>0</v>
      </c>
      <c r="G647" s="690"/>
      <c r="H647" s="693"/>
      <c r="I647" s="692"/>
      <c r="J647" s="692"/>
      <c r="K647" s="692"/>
      <c r="L647" s="692"/>
      <c r="M647" s="692"/>
      <c r="N647" s="692"/>
      <c r="O647" s="692"/>
      <c r="P647" s="692"/>
    </row>
    <row r="648" spans="1:16" s="709" customFormat="1" ht="15" customHeight="1" x14ac:dyDescent="0.25">
      <c r="A648" s="696" t="s">
        <v>2775</v>
      </c>
      <c r="B648" s="696" t="s">
        <v>2778</v>
      </c>
      <c r="C648" s="714">
        <v>8000</v>
      </c>
      <c r="D648" s="573"/>
      <c r="E648" s="696">
        <v>8000</v>
      </c>
      <c r="F648" s="87">
        <f t="shared" si="15"/>
        <v>0</v>
      </c>
      <c r="G648" s="690"/>
      <c r="H648" s="693"/>
      <c r="I648" s="692"/>
      <c r="J648" s="692"/>
      <c r="K648" s="692"/>
      <c r="L648" s="692"/>
      <c r="M648" s="692"/>
      <c r="N648" s="692"/>
      <c r="O648" s="692"/>
      <c r="P648" s="692"/>
    </row>
    <row r="649" spans="1:16" s="709" customFormat="1" ht="15" customHeight="1" x14ac:dyDescent="0.25">
      <c r="A649" s="696" t="s">
        <v>2775</v>
      </c>
      <c r="B649" s="696" t="s">
        <v>2779</v>
      </c>
      <c r="C649" s="714">
        <v>27000</v>
      </c>
      <c r="D649" s="573"/>
      <c r="E649" s="696">
        <v>27000</v>
      </c>
      <c r="F649" s="87">
        <f t="shared" si="15"/>
        <v>0</v>
      </c>
      <c r="G649" s="690"/>
      <c r="H649" s="693"/>
      <c r="I649" s="692"/>
      <c r="J649" s="692"/>
      <c r="K649" s="692"/>
      <c r="L649" s="692"/>
      <c r="M649" s="692"/>
      <c r="N649" s="692"/>
      <c r="O649" s="692"/>
      <c r="P649" s="692"/>
    </row>
    <row r="650" spans="1:16" s="709" customFormat="1" ht="15" customHeight="1" x14ac:dyDescent="0.25">
      <c r="A650" s="696" t="s">
        <v>2775</v>
      </c>
      <c r="B650" s="696" t="s">
        <v>2780</v>
      </c>
      <c r="C650" s="714">
        <v>25000</v>
      </c>
      <c r="D650" s="573"/>
      <c r="E650" s="696">
        <v>25000</v>
      </c>
      <c r="F650" s="87">
        <f t="shared" si="15"/>
        <v>0</v>
      </c>
      <c r="G650" s="690"/>
      <c r="H650" s="693"/>
      <c r="I650" s="692"/>
      <c r="J650" s="692"/>
      <c r="K650" s="692"/>
      <c r="L650" s="692"/>
      <c r="M650" s="692"/>
      <c r="N650" s="692"/>
      <c r="O650" s="692"/>
      <c r="P650" s="692"/>
    </row>
    <row r="651" spans="1:16" s="709" customFormat="1" ht="15" customHeight="1" x14ac:dyDescent="0.25">
      <c r="A651" s="696" t="s">
        <v>2775</v>
      </c>
      <c r="B651" s="696" t="s">
        <v>2028</v>
      </c>
      <c r="C651" s="714">
        <v>25000</v>
      </c>
      <c r="D651" s="573"/>
      <c r="E651" s="696">
        <v>25000</v>
      </c>
      <c r="F651" s="87">
        <f t="shared" si="15"/>
        <v>0</v>
      </c>
      <c r="G651" s="690"/>
      <c r="H651" s="693"/>
      <c r="I651" s="692"/>
      <c r="J651" s="692"/>
      <c r="K651" s="692"/>
      <c r="L651" s="692"/>
      <c r="M651" s="692"/>
      <c r="N651" s="692"/>
      <c r="O651" s="692"/>
      <c r="P651" s="692"/>
    </row>
    <row r="652" spans="1:16" s="709" customFormat="1" ht="15" customHeight="1" x14ac:dyDescent="0.25">
      <c r="A652" s="696" t="s">
        <v>2775</v>
      </c>
      <c r="B652" s="696" t="s">
        <v>2781</v>
      </c>
      <c r="C652" s="714">
        <v>25000</v>
      </c>
      <c r="D652" s="573"/>
      <c r="E652" s="696">
        <v>25000</v>
      </c>
      <c r="F652" s="87">
        <f t="shared" si="15"/>
        <v>0</v>
      </c>
      <c r="G652" s="690"/>
      <c r="H652" s="693"/>
      <c r="I652" s="692"/>
      <c r="J652" s="692"/>
      <c r="K652" s="692"/>
      <c r="L652" s="692"/>
      <c r="M652" s="692"/>
      <c r="N652" s="692"/>
      <c r="O652" s="692"/>
      <c r="P652" s="692"/>
    </row>
    <row r="653" spans="1:16" s="709" customFormat="1" ht="15" customHeight="1" x14ac:dyDescent="0.25">
      <c r="A653" s="696" t="s">
        <v>2775</v>
      </c>
      <c r="B653" s="696" t="s">
        <v>1357</v>
      </c>
      <c r="C653" s="714">
        <v>16000</v>
      </c>
      <c r="D653" s="573"/>
      <c r="E653" s="696">
        <v>16000</v>
      </c>
      <c r="F653" s="87">
        <f t="shared" si="15"/>
        <v>0</v>
      </c>
      <c r="G653" s="690"/>
      <c r="H653" s="693"/>
      <c r="I653" s="692"/>
      <c r="J653" s="692"/>
      <c r="K653" s="692"/>
      <c r="L653" s="692"/>
      <c r="M653" s="692"/>
      <c r="N653" s="692"/>
      <c r="O653" s="692"/>
      <c r="P653" s="692"/>
    </row>
    <row r="654" spans="1:16" s="709" customFormat="1" ht="15" customHeight="1" x14ac:dyDescent="0.25">
      <c r="A654" s="696" t="s">
        <v>2775</v>
      </c>
      <c r="B654" s="696" t="s">
        <v>2057</v>
      </c>
      <c r="C654" s="714">
        <v>13000</v>
      </c>
      <c r="D654" s="573"/>
      <c r="E654" s="696">
        <v>13000</v>
      </c>
      <c r="F654" s="87">
        <f t="shared" si="15"/>
        <v>0</v>
      </c>
      <c r="G654" s="690"/>
      <c r="H654" s="693"/>
      <c r="I654" s="692"/>
      <c r="J654" s="692"/>
      <c r="K654" s="692"/>
      <c r="L654" s="692"/>
      <c r="M654" s="692"/>
      <c r="N654" s="692"/>
      <c r="O654" s="692"/>
      <c r="P654" s="692"/>
    </row>
    <row r="655" spans="1:16" s="709" customFormat="1" ht="15" customHeight="1" x14ac:dyDescent="0.25">
      <c r="A655" s="696" t="s">
        <v>2775</v>
      </c>
      <c r="B655" s="696" t="s">
        <v>2782</v>
      </c>
      <c r="C655" s="714">
        <v>28000</v>
      </c>
      <c r="D655" s="573"/>
      <c r="E655" s="696">
        <v>28000</v>
      </c>
      <c r="F655" s="87">
        <f t="shared" si="15"/>
        <v>0</v>
      </c>
      <c r="G655" s="690"/>
      <c r="H655" s="693"/>
      <c r="I655" s="692"/>
      <c r="J655" s="692"/>
      <c r="K655" s="692"/>
      <c r="L655" s="692"/>
      <c r="M655" s="692"/>
      <c r="N655" s="692"/>
      <c r="O655" s="692"/>
      <c r="P655" s="692"/>
    </row>
    <row r="656" spans="1:16" s="709" customFormat="1" ht="15" customHeight="1" x14ac:dyDescent="0.25">
      <c r="A656" s="696" t="s">
        <v>2775</v>
      </c>
      <c r="B656" s="696" t="s">
        <v>2783</v>
      </c>
      <c r="C656" s="714">
        <v>30000</v>
      </c>
      <c r="D656" s="573"/>
      <c r="E656" s="696">
        <v>30000</v>
      </c>
      <c r="F656" s="87">
        <f t="shared" si="15"/>
        <v>0</v>
      </c>
      <c r="G656" s="690"/>
      <c r="H656" s="693"/>
      <c r="I656" s="692"/>
      <c r="J656" s="692"/>
      <c r="K656" s="692"/>
      <c r="L656" s="692"/>
      <c r="M656" s="692"/>
      <c r="N656" s="692"/>
      <c r="O656" s="692"/>
      <c r="P656" s="692"/>
    </row>
    <row r="657" spans="1:16" s="709" customFormat="1" ht="15" customHeight="1" x14ac:dyDescent="0.25">
      <c r="A657" s="696" t="s">
        <v>2775</v>
      </c>
      <c r="B657" s="696" t="s">
        <v>2657</v>
      </c>
      <c r="C657" s="714">
        <v>25000</v>
      </c>
      <c r="D657" s="573"/>
      <c r="E657" s="696">
        <v>25000</v>
      </c>
      <c r="F657" s="87">
        <f t="shared" si="15"/>
        <v>0</v>
      </c>
      <c r="G657" s="690"/>
      <c r="H657" s="693"/>
      <c r="I657" s="692"/>
      <c r="J657" s="692"/>
      <c r="K657" s="692"/>
      <c r="L657" s="692"/>
      <c r="M657" s="692"/>
      <c r="N657" s="692"/>
      <c r="O657" s="692"/>
      <c r="P657" s="692"/>
    </row>
    <row r="658" spans="1:16" s="709" customFormat="1" ht="15" customHeight="1" x14ac:dyDescent="0.25">
      <c r="A658" s="696" t="s">
        <v>2775</v>
      </c>
      <c r="B658" s="696" t="s">
        <v>2784</v>
      </c>
      <c r="C658" s="714">
        <v>26000</v>
      </c>
      <c r="D658" s="573"/>
      <c r="E658" s="696">
        <v>26000</v>
      </c>
      <c r="F658" s="87">
        <f t="shared" si="15"/>
        <v>0</v>
      </c>
      <c r="G658" s="690"/>
      <c r="H658" s="693"/>
      <c r="I658" s="692"/>
      <c r="J658" s="692"/>
      <c r="K658" s="692"/>
      <c r="L658" s="692"/>
      <c r="M658" s="692"/>
      <c r="N658" s="692"/>
      <c r="O658" s="692"/>
      <c r="P658" s="692"/>
    </row>
    <row r="659" spans="1:16" s="698" customFormat="1" ht="15" customHeight="1" x14ac:dyDescent="0.25">
      <c r="A659" s="696" t="s">
        <v>2176</v>
      </c>
      <c r="B659" s="696" t="s">
        <v>2177</v>
      </c>
      <c r="C659" s="714">
        <v>22513</v>
      </c>
      <c r="D659" s="573"/>
      <c r="E659" s="696">
        <v>22513</v>
      </c>
      <c r="F659" s="87">
        <f t="shared" si="15"/>
        <v>0</v>
      </c>
      <c r="G659" s="690"/>
      <c r="H659" s="693"/>
      <c r="I659" s="692"/>
      <c r="J659" s="692"/>
      <c r="K659" s="692"/>
      <c r="L659" s="692"/>
      <c r="M659" s="692"/>
      <c r="N659" s="692"/>
      <c r="O659" s="692"/>
      <c r="P659" s="692"/>
    </row>
    <row r="660" spans="1:16" s="698" customFormat="1" ht="15" customHeight="1" x14ac:dyDescent="0.25">
      <c r="A660" s="696" t="s">
        <v>2176</v>
      </c>
      <c r="B660" s="696" t="s">
        <v>30</v>
      </c>
      <c r="C660" s="714">
        <v>8000</v>
      </c>
      <c r="D660" s="573"/>
      <c r="E660" s="696">
        <v>8000</v>
      </c>
      <c r="F660" s="87">
        <f t="shared" si="15"/>
        <v>0</v>
      </c>
      <c r="G660" s="690"/>
      <c r="H660" s="693"/>
      <c r="I660" s="692"/>
      <c r="J660" s="692"/>
      <c r="K660" s="692"/>
      <c r="L660" s="692"/>
      <c r="M660" s="692"/>
      <c r="N660" s="692"/>
      <c r="O660" s="692"/>
      <c r="P660" s="692"/>
    </row>
    <row r="661" spans="1:16" s="698" customFormat="1" ht="15" customHeight="1" x14ac:dyDescent="0.25">
      <c r="A661" s="696" t="s">
        <v>2176</v>
      </c>
      <c r="B661" s="696" t="s">
        <v>2178</v>
      </c>
      <c r="C661" s="714">
        <v>10000</v>
      </c>
      <c r="D661" s="573"/>
      <c r="E661" s="696">
        <v>10000</v>
      </c>
      <c r="F661" s="87">
        <f t="shared" si="15"/>
        <v>0</v>
      </c>
      <c r="G661" s="690"/>
      <c r="H661" s="693"/>
      <c r="I661" s="692"/>
      <c r="J661" s="692"/>
      <c r="K661" s="692"/>
      <c r="L661" s="692"/>
      <c r="M661" s="692"/>
      <c r="N661" s="692"/>
      <c r="O661" s="692"/>
      <c r="P661" s="692"/>
    </row>
    <row r="662" spans="1:16" s="698" customFormat="1" ht="15" customHeight="1" x14ac:dyDescent="0.25">
      <c r="A662" s="696" t="s">
        <v>2176</v>
      </c>
      <c r="B662" s="696" t="s">
        <v>2179</v>
      </c>
      <c r="C662" s="714">
        <v>10000</v>
      </c>
      <c r="D662" s="573"/>
      <c r="E662" s="696">
        <v>10000</v>
      </c>
      <c r="F662" s="87">
        <f t="shared" si="15"/>
        <v>0</v>
      </c>
      <c r="G662" s="690"/>
      <c r="H662" s="693"/>
      <c r="I662" s="692"/>
      <c r="J662" s="692"/>
      <c r="K662" s="692"/>
      <c r="L662" s="692"/>
      <c r="M662" s="692"/>
      <c r="N662" s="692"/>
      <c r="O662" s="692"/>
      <c r="P662" s="692"/>
    </row>
    <row r="663" spans="1:16" s="698" customFormat="1" ht="15" customHeight="1" x14ac:dyDescent="0.25">
      <c r="A663" s="696" t="s">
        <v>2176</v>
      </c>
      <c r="B663" s="696" t="s">
        <v>2180</v>
      </c>
      <c r="C663" s="714">
        <v>17000</v>
      </c>
      <c r="D663" s="573"/>
      <c r="E663" s="696">
        <v>17000</v>
      </c>
      <c r="F663" s="87">
        <f t="shared" si="15"/>
        <v>0</v>
      </c>
      <c r="G663" s="690"/>
      <c r="H663" s="693"/>
      <c r="I663" s="692"/>
      <c r="J663" s="692"/>
      <c r="K663" s="692"/>
      <c r="L663" s="692"/>
      <c r="M663" s="692"/>
      <c r="N663" s="692"/>
      <c r="O663" s="692"/>
      <c r="P663" s="692"/>
    </row>
    <row r="664" spans="1:16" s="698" customFormat="1" ht="15" customHeight="1" x14ac:dyDescent="0.25">
      <c r="A664" s="696" t="s">
        <v>2176</v>
      </c>
      <c r="B664" s="696">
        <v>9777</v>
      </c>
      <c r="C664" s="714">
        <v>17000</v>
      </c>
      <c r="D664" s="573"/>
      <c r="E664" s="696">
        <v>17000</v>
      </c>
      <c r="F664" s="87">
        <f t="shared" si="15"/>
        <v>0</v>
      </c>
      <c r="G664" s="690"/>
      <c r="H664" s="693"/>
      <c r="I664" s="692"/>
      <c r="J664" s="692"/>
      <c r="K664" s="692"/>
      <c r="L664" s="692"/>
      <c r="M664" s="692"/>
      <c r="N664" s="692"/>
      <c r="O664" s="692"/>
      <c r="P664" s="692"/>
    </row>
    <row r="665" spans="1:16" s="698" customFormat="1" ht="15" customHeight="1" x14ac:dyDescent="0.25">
      <c r="A665" s="696" t="s">
        <v>2176</v>
      </c>
      <c r="B665" s="696">
        <v>5151</v>
      </c>
      <c r="C665" s="714">
        <v>17000</v>
      </c>
      <c r="D665" s="573"/>
      <c r="E665" s="696">
        <v>17000</v>
      </c>
      <c r="F665" s="87">
        <f t="shared" si="15"/>
        <v>0</v>
      </c>
      <c r="G665" s="690"/>
      <c r="H665" s="693"/>
      <c r="I665" s="692"/>
      <c r="J665" s="692"/>
      <c r="K665" s="692"/>
      <c r="L665" s="692"/>
      <c r="M665" s="692"/>
      <c r="N665" s="692"/>
      <c r="O665" s="692"/>
      <c r="P665" s="692"/>
    </row>
    <row r="666" spans="1:16" s="698" customFormat="1" ht="15" customHeight="1" x14ac:dyDescent="0.25">
      <c r="A666" s="696" t="s">
        <v>2176</v>
      </c>
      <c r="B666" s="696">
        <v>9876</v>
      </c>
      <c r="C666" s="714">
        <v>17000</v>
      </c>
      <c r="D666" s="573"/>
      <c r="E666" s="696">
        <v>17000</v>
      </c>
      <c r="F666" s="87">
        <f t="shared" si="15"/>
        <v>0</v>
      </c>
      <c r="G666" s="690"/>
      <c r="H666" s="693"/>
      <c r="I666" s="692"/>
      <c r="J666" s="692"/>
      <c r="K666" s="692"/>
      <c r="L666" s="692"/>
      <c r="M666" s="692"/>
      <c r="N666" s="692"/>
      <c r="O666" s="692"/>
      <c r="P666" s="692"/>
    </row>
    <row r="667" spans="1:16" s="698" customFormat="1" ht="15" customHeight="1" x14ac:dyDescent="0.25">
      <c r="A667" s="696" t="s">
        <v>2176</v>
      </c>
      <c r="B667" s="696" t="s">
        <v>2181</v>
      </c>
      <c r="C667" s="714">
        <v>20000</v>
      </c>
      <c r="D667" s="573"/>
      <c r="E667" s="696">
        <v>20000</v>
      </c>
      <c r="F667" s="87">
        <f t="shared" si="15"/>
        <v>0</v>
      </c>
      <c r="G667" s="690"/>
      <c r="H667" s="693"/>
      <c r="I667" s="692"/>
      <c r="J667" s="692"/>
      <c r="K667" s="692"/>
      <c r="L667" s="692"/>
      <c r="M667" s="692"/>
      <c r="N667" s="692"/>
      <c r="O667" s="692"/>
      <c r="P667" s="692"/>
    </row>
    <row r="668" spans="1:16" s="698" customFormat="1" ht="15" customHeight="1" x14ac:dyDescent="0.25">
      <c r="A668" s="696" t="s">
        <v>2176</v>
      </c>
      <c r="B668" s="696" t="s">
        <v>2182</v>
      </c>
      <c r="C668" s="714">
        <v>30000</v>
      </c>
      <c r="D668" s="573"/>
      <c r="E668" s="696">
        <v>30000</v>
      </c>
      <c r="F668" s="87">
        <f t="shared" si="15"/>
        <v>0</v>
      </c>
      <c r="G668" s="690"/>
      <c r="H668" s="693"/>
      <c r="I668" s="692"/>
      <c r="J668" s="692"/>
      <c r="K668" s="692"/>
      <c r="L668" s="692"/>
      <c r="M668" s="692"/>
      <c r="N668" s="692"/>
      <c r="O668" s="692"/>
      <c r="P668" s="692"/>
    </row>
    <row r="669" spans="1:16" s="698" customFormat="1" ht="15" customHeight="1" x14ac:dyDescent="0.25">
      <c r="A669" s="696" t="s">
        <v>2176</v>
      </c>
      <c r="B669" s="696" t="s">
        <v>2026</v>
      </c>
      <c r="C669" s="714">
        <v>15000</v>
      </c>
      <c r="D669" s="573"/>
      <c r="E669" s="696">
        <v>15000</v>
      </c>
      <c r="F669" s="87">
        <f t="shared" si="15"/>
        <v>0</v>
      </c>
      <c r="G669" s="690"/>
      <c r="H669" s="693"/>
      <c r="I669" s="692"/>
      <c r="J669" s="692"/>
      <c r="K669" s="692"/>
      <c r="L669" s="692"/>
      <c r="M669" s="692"/>
      <c r="N669" s="692"/>
      <c r="O669" s="692"/>
      <c r="P669" s="692"/>
    </row>
    <row r="670" spans="1:16" s="698" customFormat="1" ht="15" customHeight="1" x14ac:dyDescent="0.25">
      <c r="A670" s="696" t="s">
        <v>2176</v>
      </c>
      <c r="B670" s="696" t="s">
        <v>1889</v>
      </c>
      <c r="C670" s="714">
        <v>15000</v>
      </c>
      <c r="D670" s="573"/>
      <c r="E670" s="696">
        <v>15000</v>
      </c>
      <c r="F670" s="87">
        <f t="shared" si="15"/>
        <v>0</v>
      </c>
      <c r="G670" s="690"/>
      <c r="H670" s="693"/>
      <c r="I670" s="692"/>
      <c r="J670" s="692"/>
      <c r="K670" s="692"/>
      <c r="L670" s="692"/>
      <c r="M670" s="692"/>
      <c r="N670" s="692"/>
      <c r="O670" s="692"/>
      <c r="P670" s="692"/>
    </row>
    <row r="671" spans="1:16" s="698" customFormat="1" ht="15" customHeight="1" x14ac:dyDescent="0.25">
      <c r="A671" s="696" t="s">
        <v>2176</v>
      </c>
      <c r="B671" s="696" t="s">
        <v>2183</v>
      </c>
      <c r="C671" s="714">
        <v>27000</v>
      </c>
      <c r="D671" s="573"/>
      <c r="E671" s="696">
        <v>27000</v>
      </c>
      <c r="F671" s="87">
        <f t="shared" si="15"/>
        <v>0</v>
      </c>
      <c r="G671" s="690"/>
      <c r="H671" s="693"/>
      <c r="I671" s="692"/>
      <c r="J671" s="692"/>
      <c r="K671" s="692"/>
      <c r="L671" s="692"/>
      <c r="M671" s="692"/>
      <c r="N671" s="692"/>
      <c r="O671" s="692"/>
      <c r="P671" s="692"/>
    </row>
    <row r="672" spans="1:16" s="698" customFormat="1" ht="15" customHeight="1" x14ac:dyDescent="0.25">
      <c r="A672" s="696" t="s">
        <v>2176</v>
      </c>
      <c r="B672" s="696" t="s">
        <v>2136</v>
      </c>
      <c r="C672" s="714">
        <v>27000</v>
      </c>
      <c r="D672" s="573"/>
      <c r="E672" s="696">
        <v>27000</v>
      </c>
      <c r="F672" s="87">
        <f t="shared" si="15"/>
        <v>0</v>
      </c>
      <c r="G672" s="690"/>
      <c r="H672" s="693"/>
      <c r="I672" s="692"/>
      <c r="J672" s="692"/>
      <c r="K672" s="692"/>
      <c r="L672" s="692"/>
      <c r="M672" s="692"/>
      <c r="N672" s="692"/>
      <c r="O672" s="692"/>
      <c r="P672" s="692"/>
    </row>
    <row r="673" spans="1:16" s="698" customFormat="1" ht="15" customHeight="1" x14ac:dyDescent="0.25">
      <c r="A673" s="696" t="s">
        <v>2176</v>
      </c>
      <c r="B673" s="696" t="s">
        <v>2184</v>
      </c>
      <c r="C673" s="714">
        <v>27000</v>
      </c>
      <c r="D673" s="573"/>
      <c r="E673" s="696">
        <v>27000</v>
      </c>
      <c r="F673" s="87">
        <f t="shared" si="15"/>
        <v>0</v>
      </c>
      <c r="G673" s="690"/>
      <c r="H673" s="693"/>
      <c r="I673" s="692"/>
      <c r="J673" s="692"/>
      <c r="K673" s="692"/>
      <c r="L673" s="692"/>
      <c r="M673" s="692"/>
      <c r="N673" s="692"/>
      <c r="O673" s="692"/>
      <c r="P673" s="692"/>
    </row>
    <row r="674" spans="1:16" s="698" customFormat="1" ht="15" customHeight="1" x14ac:dyDescent="0.25">
      <c r="A674" s="696" t="s">
        <v>2176</v>
      </c>
      <c r="B674" s="696" t="s">
        <v>2185</v>
      </c>
      <c r="C674" s="714">
        <v>30000</v>
      </c>
      <c r="D674" s="573"/>
      <c r="E674" s="696">
        <v>30000</v>
      </c>
      <c r="F674" s="87">
        <f t="shared" si="15"/>
        <v>0</v>
      </c>
      <c r="G674" s="690"/>
      <c r="H674" s="693"/>
      <c r="I674" s="692"/>
      <c r="J674" s="692"/>
      <c r="K674" s="692"/>
      <c r="L674" s="692"/>
      <c r="M674" s="692"/>
      <c r="N674" s="692"/>
      <c r="O674" s="692"/>
      <c r="P674" s="692"/>
    </row>
    <row r="675" spans="1:16" s="698" customFormat="1" ht="15" customHeight="1" x14ac:dyDescent="0.25">
      <c r="A675" s="696" t="s">
        <v>2176</v>
      </c>
      <c r="B675" s="696" t="s">
        <v>2186</v>
      </c>
      <c r="C675" s="714">
        <v>30000</v>
      </c>
      <c r="D675" s="573"/>
      <c r="E675" s="696">
        <v>30000</v>
      </c>
      <c r="F675" s="87">
        <f t="shared" si="15"/>
        <v>0</v>
      </c>
      <c r="G675" s="690"/>
      <c r="H675" s="693"/>
      <c r="I675" s="692"/>
      <c r="J675" s="692"/>
      <c r="K675" s="692"/>
      <c r="L675" s="692"/>
      <c r="M675" s="692"/>
      <c r="N675" s="692"/>
      <c r="O675" s="692"/>
      <c r="P675" s="692"/>
    </row>
    <row r="676" spans="1:16" s="698" customFormat="1" ht="15" customHeight="1" x14ac:dyDescent="0.25">
      <c r="A676" s="696" t="s">
        <v>2187</v>
      </c>
      <c r="B676" s="696" t="s">
        <v>2188</v>
      </c>
      <c r="C676" s="714">
        <v>20000</v>
      </c>
      <c r="D676" s="573"/>
      <c r="E676" s="696">
        <v>20000</v>
      </c>
      <c r="F676" s="87">
        <f t="shared" si="15"/>
        <v>0</v>
      </c>
      <c r="G676" s="690"/>
      <c r="H676" s="693"/>
      <c r="I676" s="692"/>
      <c r="J676" s="692"/>
      <c r="K676" s="692"/>
      <c r="L676" s="692"/>
      <c r="M676" s="692"/>
      <c r="N676" s="692"/>
      <c r="O676" s="692"/>
      <c r="P676" s="692"/>
    </row>
    <row r="677" spans="1:16" s="698" customFormat="1" ht="15" customHeight="1" x14ac:dyDescent="0.25">
      <c r="A677" s="696" t="s">
        <v>2187</v>
      </c>
      <c r="B677" s="696" t="s">
        <v>2078</v>
      </c>
      <c r="C677" s="714">
        <v>13000</v>
      </c>
      <c r="D677" s="573"/>
      <c r="E677" s="696">
        <v>13000</v>
      </c>
      <c r="F677" s="87">
        <f t="shared" si="15"/>
        <v>0</v>
      </c>
      <c r="G677" s="690"/>
      <c r="H677" s="693"/>
      <c r="I677" s="692"/>
      <c r="J677" s="692"/>
      <c r="K677" s="692"/>
      <c r="L677" s="692"/>
      <c r="M677" s="692"/>
      <c r="N677" s="692"/>
      <c r="O677" s="692"/>
      <c r="P677" s="692"/>
    </row>
    <row r="678" spans="1:16" s="698" customFormat="1" ht="15" customHeight="1" x14ac:dyDescent="0.25">
      <c r="A678" s="696" t="s">
        <v>2187</v>
      </c>
      <c r="B678" s="696" t="s">
        <v>2080</v>
      </c>
      <c r="C678" s="714">
        <v>14000</v>
      </c>
      <c r="D678" s="573"/>
      <c r="E678" s="696">
        <v>14000</v>
      </c>
      <c r="F678" s="87">
        <f t="shared" si="15"/>
        <v>0</v>
      </c>
      <c r="G678" s="690"/>
      <c r="H678" s="693"/>
      <c r="I678" s="692"/>
      <c r="J678" s="692"/>
      <c r="K678" s="692"/>
      <c r="L678" s="692"/>
      <c r="M678" s="692"/>
      <c r="N678" s="692"/>
      <c r="O678" s="692"/>
      <c r="P678" s="692"/>
    </row>
    <row r="679" spans="1:16" s="698" customFormat="1" ht="15" customHeight="1" x14ac:dyDescent="0.25">
      <c r="A679" s="696" t="s">
        <v>2187</v>
      </c>
      <c r="B679" s="696" t="s">
        <v>2079</v>
      </c>
      <c r="C679" s="714">
        <v>15000</v>
      </c>
      <c r="D679" s="573"/>
      <c r="E679" s="696">
        <v>15000</v>
      </c>
      <c r="F679" s="87">
        <f t="shared" si="15"/>
        <v>0</v>
      </c>
      <c r="G679" s="690"/>
      <c r="H679" s="693"/>
      <c r="I679" s="692"/>
      <c r="J679" s="692"/>
      <c r="K679" s="692"/>
      <c r="L679" s="692"/>
      <c r="M679" s="692"/>
      <c r="N679" s="692"/>
      <c r="O679" s="692"/>
      <c r="P679" s="692"/>
    </row>
    <row r="680" spans="1:16" s="698" customFormat="1" ht="15" customHeight="1" x14ac:dyDescent="0.25">
      <c r="A680" s="696" t="s">
        <v>2187</v>
      </c>
      <c r="B680" s="696" t="s">
        <v>2189</v>
      </c>
      <c r="C680" s="714">
        <v>10000</v>
      </c>
      <c r="D680" s="573"/>
      <c r="E680" s="696">
        <v>10000</v>
      </c>
      <c r="F680" s="87">
        <f t="shared" si="15"/>
        <v>0</v>
      </c>
      <c r="G680" s="690"/>
      <c r="H680" s="693"/>
      <c r="I680" s="692"/>
      <c r="J680" s="692"/>
      <c r="K680" s="692"/>
      <c r="L680" s="692"/>
      <c r="M680" s="692"/>
      <c r="N680" s="692"/>
      <c r="O680" s="692"/>
      <c r="P680" s="692"/>
    </row>
    <row r="681" spans="1:16" s="698" customFormat="1" ht="15" customHeight="1" x14ac:dyDescent="0.25">
      <c r="A681" s="696" t="s">
        <v>2187</v>
      </c>
      <c r="B681" s="696" t="s">
        <v>2190</v>
      </c>
      <c r="C681" s="714">
        <v>17000</v>
      </c>
      <c r="D681" s="573"/>
      <c r="E681" s="696">
        <v>17000</v>
      </c>
      <c r="F681" s="87">
        <f t="shared" si="15"/>
        <v>0</v>
      </c>
      <c r="G681" s="690"/>
      <c r="H681" s="693"/>
      <c r="I681" s="692"/>
      <c r="J681" s="692"/>
      <c r="K681" s="692"/>
      <c r="L681" s="692"/>
      <c r="M681" s="692"/>
      <c r="N681" s="692"/>
      <c r="O681" s="692"/>
      <c r="P681" s="692"/>
    </row>
    <row r="682" spans="1:16" s="698" customFormat="1" ht="15" customHeight="1" x14ac:dyDescent="0.25">
      <c r="A682" s="696" t="s">
        <v>2187</v>
      </c>
      <c r="B682" s="696" t="s">
        <v>2044</v>
      </c>
      <c r="C682" s="714">
        <v>17000</v>
      </c>
      <c r="D682" s="573"/>
      <c r="E682" s="696">
        <v>17000</v>
      </c>
      <c r="F682" s="87">
        <f t="shared" si="15"/>
        <v>0</v>
      </c>
      <c r="G682" s="690"/>
      <c r="H682" s="693"/>
      <c r="I682" s="692"/>
      <c r="J682" s="692"/>
      <c r="K682" s="692"/>
      <c r="L682" s="692"/>
      <c r="M682" s="692"/>
      <c r="N682" s="692"/>
      <c r="O682" s="692"/>
      <c r="P682" s="692"/>
    </row>
    <row r="683" spans="1:16" s="698" customFormat="1" ht="15" customHeight="1" x14ac:dyDescent="0.25">
      <c r="A683" s="696" t="s">
        <v>2187</v>
      </c>
      <c r="B683" s="696" t="s">
        <v>1924</v>
      </c>
      <c r="C683" s="714">
        <v>15000</v>
      </c>
      <c r="D683" s="573"/>
      <c r="E683" s="696">
        <v>15000</v>
      </c>
      <c r="F683" s="87">
        <f t="shared" si="15"/>
        <v>0</v>
      </c>
      <c r="G683" s="690"/>
      <c r="H683" s="693"/>
      <c r="I683" s="692"/>
      <c r="J683" s="692"/>
      <c r="K683" s="692"/>
      <c r="L683" s="692"/>
      <c r="M683" s="692"/>
      <c r="N683" s="692"/>
      <c r="O683" s="692"/>
      <c r="P683" s="692"/>
    </row>
    <row r="684" spans="1:16" s="698" customFormat="1" ht="15" customHeight="1" x14ac:dyDescent="0.25">
      <c r="A684" s="696" t="s">
        <v>2187</v>
      </c>
      <c r="B684" s="696" t="s">
        <v>66</v>
      </c>
      <c r="C684" s="714">
        <v>210</v>
      </c>
      <c r="D684" s="573"/>
      <c r="E684" s="696">
        <v>210</v>
      </c>
      <c r="F684" s="87">
        <f t="shared" si="15"/>
        <v>0</v>
      </c>
      <c r="G684" s="690"/>
      <c r="H684" s="693"/>
      <c r="I684" s="692"/>
      <c r="J684" s="692"/>
      <c r="K684" s="692"/>
      <c r="L684" s="692"/>
      <c r="M684" s="692"/>
      <c r="N684" s="692"/>
      <c r="O684" s="692"/>
      <c r="P684" s="692"/>
    </row>
    <row r="685" spans="1:16" s="698" customFormat="1" ht="15" customHeight="1" x14ac:dyDescent="0.25">
      <c r="A685" s="696" t="s">
        <v>2187</v>
      </c>
      <c r="B685" s="696" t="s">
        <v>2212</v>
      </c>
      <c r="C685" s="714">
        <v>23000</v>
      </c>
      <c r="D685" s="573"/>
      <c r="E685" s="696">
        <v>23000</v>
      </c>
      <c r="F685" s="87">
        <f t="shared" si="15"/>
        <v>0</v>
      </c>
      <c r="G685" s="690"/>
      <c r="H685" s="693"/>
      <c r="I685" s="692"/>
      <c r="J685" s="692"/>
      <c r="K685" s="692"/>
      <c r="L685" s="692"/>
      <c r="M685" s="692"/>
      <c r="N685" s="692"/>
      <c r="O685" s="692"/>
      <c r="P685" s="692"/>
    </row>
    <row r="686" spans="1:16" s="698" customFormat="1" ht="15" customHeight="1" x14ac:dyDescent="0.25">
      <c r="A686" s="696" t="s">
        <v>2187</v>
      </c>
      <c r="B686" s="696" t="s">
        <v>2191</v>
      </c>
      <c r="C686" s="714">
        <v>24000</v>
      </c>
      <c r="D686" s="573"/>
      <c r="E686" s="696">
        <v>24000</v>
      </c>
      <c r="F686" s="87">
        <f t="shared" si="15"/>
        <v>0</v>
      </c>
      <c r="G686" s="690"/>
      <c r="H686" s="693"/>
      <c r="I686" s="692"/>
      <c r="J686" s="692"/>
      <c r="K686" s="692"/>
      <c r="L686" s="692"/>
      <c r="M686" s="692"/>
      <c r="N686" s="692"/>
      <c r="O686" s="692"/>
      <c r="P686" s="692"/>
    </row>
    <row r="687" spans="1:16" s="698" customFormat="1" ht="15" customHeight="1" x14ac:dyDescent="0.25">
      <c r="A687" s="696" t="s">
        <v>2187</v>
      </c>
      <c r="B687" s="696" t="s">
        <v>2192</v>
      </c>
      <c r="C687" s="714">
        <v>30000</v>
      </c>
      <c r="D687" s="573"/>
      <c r="E687" s="696">
        <v>30000</v>
      </c>
      <c r="F687" s="87">
        <f t="shared" si="15"/>
        <v>0</v>
      </c>
      <c r="G687" s="690"/>
      <c r="H687" s="693"/>
      <c r="I687" s="692"/>
      <c r="J687" s="692"/>
      <c r="K687" s="692"/>
      <c r="L687" s="692"/>
      <c r="M687" s="692"/>
      <c r="N687" s="692"/>
      <c r="O687" s="692"/>
      <c r="P687" s="692"/>
    </row>
    <row r="688" spans="1:16" s="698" customFormat="1" ht="15" customHeight="1" x14ac:dyDescent="0.25">
      <c r="A688" s="696" t="s">
        <v>2187</v>
      </c>
      <c r="B688" s="696" t="s">
        <v>2193</v>
      </c>
      <c r="C688" s="714">
        <v>22498</v>
      </c>
      <c r="D688" s="573"/>
      <c r="E688" s="696">
        <v>22498</v>
      </c>
      <c r="F688" s="87">
        <f t="shared" si="15"/>
        <v>0</v>
      </c>
      <c r="G688" s="690"/>
      <c r="H688" s="693"/>
      <c r="I688" s="692"/>
      <c r="J688" s="692"/>
      <c r="K688" s="692"/>
      <c r="L688" s="692"/>
      <c r="M688" s="692"/>
      <c r="N688" s="692"/>
      <c r="O688" s="692"/>
      <c r="P688" s="692"/>
    </row>
    <row r="689" spans="1:16" s="698" customFormat="1" ht="15" customHeight="1" x14ac:dyDescent="0.25">
      <c r="A689" s="696" t="s">
        <v>2187</v>
      </c>
      <c r="B689" s="696" t="s">
        <v>2762</v>
      </c>
      <c r="C689" s="714">
        <v>24500</v>
      </c>
      <c r="D689" s="573"/>
      <c r="E689" s="696">
        <v>24500</v>
      </c>
      <c r="F689" s="87">
        <f t="shared" si="15"/>
        <v>0</v>
      </c>
      <c r="G689" s="690"/>
      <c r="H689" s="693"/>
      <c r="I689" s="692"/>
      <c r="J689" s="692"/>
      <c r="K689" s="692"/>
      <c r="L689" s="692"/>
      <c r="M689" s="692"/>
      <c r="N689" s="692"/>
      <c r="O689" s="692"/>
      <c r="P689" s="692"/>
    </row>
    <row r="690" spans="1:16" s="698" customFormat="1" ht="15" customHeight="1" x14ac:dyDescent="0.25">
      <c r="A690" s="696" t="s">
        <v>2187</v>
      </c>
      <c r="B690" s="696" t="s">
        <v>2194</v>
      </c>
      <c r="C690" s="714">
        <v>18000</v>
      </c>
      <c r="D690" s="573"/>
      <c r="E690" s="696">
        <v>18000</v>
      </c>
      <c r="F690" s="87">
        <f t="shared" si="15"/>
        <v>0</v>
      </c>
      <c r="G690" s="690"/>
      <c r="H690" s="693"/>
      <c r="I690" s="692"/>
      <c r="J690" s="692"/>
      <c r="K690" s="692"/>
      <c r="L690" s="692"/>
      <c r="M690" s="692"/>
      <c r="N690" s="692"/>
      <c r="O690" s="692"/>
      <c r="P690" s="692"/>
    </row>
    <row r="691" spans="1:16" s="698" customFormat="1" ht="15" customHeight="1" x14ac:dyDescent="0.25">
      <c r="A691" s="696" t="s">
        <v>2187</v>
      </c>
      <c r="B691" s="696" t="s">
        <v>2195</v>
      </c>
      <c r="C691" s="714">
        <v>15000</v>
      </c>
      <c r="D691" s="573"/>
      <c r="E691" s="696">
        <v>15000</v>
      </c>
      <c r="F691" s="87">
        <f t="shared" si="15"/>
        <v>0</v>
      </c>
      <c r="G691" s="690"/>
      <c r="H691" s="693"/>
      <c r="I691" s="692"/>
      <c r="J691" s="692"/>
      <c r="K691" s="692"/>
      <c r="L691" s="692"/>
      <c r="M691" s="692"/>
      <c r="N691" s="692"/>
      <c r="O691" s="692"/>
      <c r="P691" s="692"/>
    </row>
    <row r="692" spans="1:16" s="698" customFormat="1" ht="15" customHeight="1" x14ac:dyDescent="0.25">
      <c r="A692" s="696" t="s">
        <v>2187</v>
      </c>
      <c r="B692" s="696" t="s">
        <v>2196</v>
      </c>
      <c r="C692" s="714">
        <v>22000</v>
      </c>
      <c r="D692" s="573"/>
      <c r="E692" s="696">
        <v>22000</v>
      </c>
      <c r="F692" s="87">
        <f t="shared" si="15"/>
        <v>0</v>
      </c>
      <c r="G692" s="690"/>
      <c r="H692" s="693"/>
      <c r="I692" s="692"/>
      <c r="J692" s="692"/>
      <c r="K692" s="692"/>
      <c r="L692" s="692"/>
      <c r="M692" s="692"/>
      <c r="N692" s="692"/>
      <c r="O692" s="692"/>
      <c r="P692" s="692"/>
    </row>
    <row r="693" spans="1:16" s="698" customFormat="1" ht="15" customHeight="1" x14ac:dyDescent="0.25">
      <c r="A693" s="696" t="s">
        <v>2197</v>
      </c>
      <c r="B693" s="696" t="s">
        <v>66</v>
      </c>
      <c r="C693" s="714">
        <v>150</v>
      </c>
      <c r="D693" s="573"/>
      <c r="E693" s="696">
        <v>150</v>
      </c>
      <c r="F693" s="87">
        <f t="shared" si="15"/>
        <v>0</v>
      </c>
      <c r="G693" s="690"/>
      <c r="H693" s="693"/>
      <c r="I693" s="692"/>
      <c r="J693" s="692"/>
      <c r="K693" s="692"/>
      <c r="L693" s="692"/>
      <c r="M693" s="692"/>
      <c r="N693" s="692"/>
      <c r="O693" s="692"/>
      <c r="P693" s="692"/>
    </row>
    <row r="694" spans="1:16" s="698" customFormat="1" ht="15" customHeight="1" x14ac:dyDescent="0.25">
      <c r="A694" s="696" t="s">
        <v>2197</v>
      </c>
      <c r="B694" s="696" t="s">
        <v>2133</v>
      </c>
      <c r="C694" s="714">
        <v>16000</v>
      </c>
      <c r="D694" s="573"/>
      <c r="E694" s="696">
        <v>16000</v>
      </c>
      <c r="F694" s="87">
        <f t="shared" si="15"/>
        <v>0</v>
      </c>
      <c r="G694" s="690"/>
      <c r="H694" s="693"/>
      <c r="I694" s="692"/>
      <c r="J694" s="692"/>
      <c r="K694" s="692"/>
      <c r="L694" s="692"/>
      <c r="M694" s="692"/>
      <c r="N694" s="692"/>
      <c r="O694" s="692"/>
      <c r="P694" s="692"/>
    </row>
    <row r="695" spans="1:16" s="698" customFormat="1" ht="15" customHeight="1" x14ac:dyDescent="0.25">
      <c r="A695" s="696" t="s">
        <v>2197</v>
      </c>
      <c r="B695" s="696" t="s">
        <v>2198</v>
      </c>
      <c r="C695" s="714">
        <v>16000</v>
      </c>
      <c r="D695" s="573"/>
      <c r="E695" s="696">
        <v>16000</v>
      </c>
      <c r="F695" s="87">
        <f t="shared" si="15"/>
        <v>0</v>
      </c>
      <c r="G695" s="690"/>
      <c r="H695" s="693"/>
      <c r="I695" s="692"/>
      <c r="J695" s="692"/>
      <c r="K695" s="692"/>
      <c r="L695" s="692"/>
      <c r="M695" s="692"/>
      <c r="N695" s="692"/>
      <c r="O695" s="692"/>
      <c r="P695" s="692"/>
    </row>
    <row r="696" spans="1:16" s="698" customFormat="1" ht="15" customHeight="1" x14ac:dyDescent="0.25">
      <c r="A696" s="696" t="s">
        <v>2197</v>
      </c>
      <c r="B696" s="696" t="s">
        <v>2093</v>
      </c>
      <c r="C696" s="714">
        <v>16000</v>
      </c>
      <c r="D696" s="573"/>
      <c r="E696" s="696">
        <v>16000</v>
      </c>
      <c r="F696" s="87">
        <f t="shared" si="15"/>
        <v>0</v>
      </c>
      <c r="G696" s="690"/>
      <c r="H696" s="693"/>
      <c r="I696" s="692"/>
      <c r="J696" s="692"/>
      <c r="K696" s="692"/>
      <c r="L696" s="692"/>
      <c r="M696" s="692"/>
      <c r="N696" s="692"/>
      <c r="O696" s="692"/>
      <c r="P696" s="692"/>
    </row>
    <row r="697" spans="1:16" s="698" customFormat="1" ht="15" customHeight="1" x14ac:dyDescent="0.25">
      <c r="A697" s="696" t="s">
        <v>2197</v>
      </c>
      <c r="B697" s="696" t="s">
        <v>2199</v>
      </c>
      <c r="C697" s="714">
        <v>10000</v>
      </c>
      <c r="D697" s="573"/>
      <c r="E697" s="696">
        <v>10000</v>
      </c>
      <c r="F697" s="87">
        <f t="shared" si="15"/>
        <v>0</v>
      </c>
      <c r="G697" s="690"/>
      <c r="H697" s="693"/>
      <c r="I697" s="692"/>
      <c r="J697" s="692"/>
      <c r="K697" s="692"/>
      <c r="L697" s="692"/>
      <c r="M697" s="692"/>
      <c r="N697" s="692"/>
      <c r="O697" s="692"/>
      <c r="P697" s="692"/>
    </row>
    <row r="698" spans="1:16" s="698" customFormat="1" ht="15" customHeight="1" x14ac:dyDescent="0.25">
      <c r="A698" s="696" t="s">
        <v>2197</v>
      </c>
      <c r="B698" s="696" t="s">
        <v>2200</v>
      </c>
      <c r="C698" s="714">
        <v>14000</v>
      </c>
      <c r="D698" s="573"/>
      <c r="E698" s="696">
        <v>14000</v>
      </c>
      <c r="F698" s="87">
        <f t="shared" si="15"/>
        <v>0</v>
      </c>
      <c r="G698" s="690"/>
      <c r="H698" s="693"/>
      <c r="I698" s="692"/>
      <c r="J698" s="692"/>
      <c r="K698" s="692"/>
      <c r="L698" s="692"/>
      <c r="M698" s="692"/>
      <c r="N698" s="692"/>
      <c r="O698" s="692"/>
      <c r="P698" s="692"/>
    </row>
    <row r="699" spans="1:16" s="698" customFormat="1" ht="15" customHeight="1" x14ac:dyDescent="0.25">
      <c r="A699" s="696" t="s">
        <v>2197</v>
      </c>
      <c r="B699" s="696" t="s">
        <v>2201</v>
      </c>
      <c r="C699" s="714">
        <v>13000</v>
      </c>
      <c r="D699" s="573"/>
      <c r="E699" s="696">
        <v>13000</v>
      </c>
      <c r="F699" s="87">
        <f t="shared" si="15"/>
        <v>0</v>
      </c>
      <c r="G699" s="690"/>
      <c r="H699" s="693"/>
      <c r="I699" s="692"/>
      <c r="J699" s="692"/>
      <c r="K699" s="692"/>
      <c r="L699" s="692"/>
      <c r="M699" s="692"/>
      <c r="N699" s="692"/>
      <c r="O699" s="692"/>
      <c r="P699" s="692"/>
    </row>
    <row r="700" spans="1:16" s="698" customFormat="1" ht="15" customHeight="1" x14ac:dyDescent="0.25">
      <c r="A700" s="696" t="s">
        <v>2197</v>
      </c>
      <c r="B700" s="696" t="s">
        <v>2067</v>
      </c>
      <c r="C700" s="714">
        <v>10000</v>
      </c>
      <c r="D700" s="573"/>
      <c r="E700" s="696">
        <v>10000</v>
      </c>
      <c r="F700" s="87">
        <f t="shared" si="15"/>
        <v>0</v>
      </c>
      <c r="G700" s="690"/>
      <c r="H700" s="693"/>
      <c r="I700" s="692"/>
      <c r="J700" s="692"/>
      <c r="K700" s="692"/>
      <c r="L700" s="692"/>
      <c r="M700" s="692"/>
      <c r="N700" s="692"/>
      <c r="O700" s="692"/>
      <c r="P700" s="692"/>
    </row>
    <row r="701" spans="1:16" s="698" customFormat="1" ht="15" customHeight="1" x14ac:dyDescent="0.25">
      <c r="A701" s="696" t="s">
        <v>2197</v>
      </c>
      <c r="B701" s="696" t="s">
        <v>2202</v>
      </c>
      <c r="C701" s="714">
        <v>15000</v>
      </c>
      <c r="D701" s="573"/>
      <c r="E701" s="696">
        <v>15000</v>
      </c>
      <c r="F701" s="87">
        <f t="shared" si="15"/>
        <v>0</v>
      </c>
      <c r="G701" s="690"/>
      <c r="H701" s="693"/>
      <c r="I701" s="692"/>
      <c r="J701" s="692"/>
      <c r="K701" s="692"/>
      <c r="L701" s="692"/>
      <c r="M701" s="692"/>
      <c r="N701" s="692"/>
      <c r="O701" s="692"/>
      <c r="P701" s="692"/>
    </row>
    <row r="702" spans="1:16" s="698" customFormat="1" ht="15" customHeight="1" x14ac:dyDescent="0.25">
      <c r="A702" s="696" t="s">
        <v>2197</v>
      </c>
      <c r="B702" s="696" t="s">
        <v>2203</v>
      </c>
      <c r="C702" s="714">
        <v>14000</v>
      </c>
      <c r="D702" s="573"/>
      <c r="E702" s="696">
        <v>14000</v>
      </c>
      <c r="F702" s="87">
        <f t="shared" si="15"/>
        <v>0</v>
      </c>
      <c r="G702" s="690"/>
      <c r="H702" s="693"/>
      <c r="I702" s="692"/>
      <c r="J702" s="692"/>
      <c r="K702" s="692"/>
      <c r="L702" s="692"/>
      <c r="M702" s="692"/>
      <c r="N702" s="692"/>
      <c r="O702" s="692"/>
      <c r="P702" s="692"/>
    </row>
    <row r="703" spans="1:16" s="698" customFormat="1" ht="15" customHeight="1" x14ac:dyDescent="0.25">
      <c r="A703" s="696" t="s">
        <v>2197</v>
      </c>
      <c r="B703" s="696" t="s">
        <v>2204</v>
      </c>
      <c r="C703" s="714">
        <v>10000</v>
      </c>
      <c r="D703" s="573"/>
      <c r="E703" s="696">
        <v>10000</v>
      </c>
      <c r="F703" s="87">
        <f t="shared" si="15"/>
        <v>0</v>
      </c>
      <c r="G703" s="690"/>
      <c r="H703" s="693"/>
      <c r="I703" s="692"/>
      <c r="J703" s="692"/>
      <c r="K703" s="692"/>
      <c r="L703" s="692"/>
      <c r="M703" s="692"/>
      <c r="N703" s="692"/>
      <c r="O703" s="692"/>
      <c r="P703" s="692"/>
    </row>
    <row r="704" spans="1:16" s="698" customFormat="1" ht="15" customHeight="1" x14ac:dyDescent="0.25">
      <c r="A704" s="696" t="s">
        <v>2197</v>
      </c>
      <c r="B704" s="696" t="s">
        <v>2047</v>
      </c>
      <c r="C704" s="714">
        <v>23000</v>
      </c>
      <c r="D704" s="573"/>
      <c r="E704" s="696">
        <v>23000</v>
      </c>
      <c r="F704" s="87">
        <f t="shared" si="15"/>
        <v>0</v>
      </c>
      <c r="G704" s="690"/>
      <c r="H704" s="693"/>
      <c r="I704" s="692"/>
      <c r="J704" s="692"/>
      <c r="K704" s="692"/>
      <c r="L704" s="692"/>
      <c r="M704" s="692"/>
      <c r="N704" s="692"/>
      <c r="O704" s="692"/>
      <c r="P704" s="692"/>
    </row>
    <row r="705" spans="1:16" s="698" customFormat="1" ht="15" customHeight="1" x14ac:dyDescent="0.25">
      <c r="A705" s="696" t="s">
        <v>2197</v>
      </c>
      <c r="B705" s="696" t="s">
        <v>2205</v>
      </c>
      <c r="C705" s="714">
        <v>24000</v>
      </c>
      <c r="D705" s="573"/>
      <c r="E705" s="696">
        <v>24000</v>
      </c>
      <c r="F705" s="87">
        <f t="shared" si="15"/>
        <v>0</v>
      </c>
      <c r="G705" s="690"/>
      <c r="H705" s="693"/>
      <c r="I705" s="692"/>
      <c r="J705" s="692"/>
      <c r="K705" s="692"/>
      <c r="L705" s="692"/>
      <c r="M705" s="692"/>
      <c r="N705" s="692"/>
      <c r="O705" s="692"/>
      <c r="P705" s="692"/>
    </row>
    <row r="706" spans="1:16" s="698" customFormat="1" ht="15" customHeight="1" x14ac:dyDescent="0.25">
      <c r="A706" s="696" t="s">
        <v>2197</v>
      </c>
      <c r="B706" s="696" t="s">
        <v>2206</v>
      </c>
      <c r="C706" s="714">
        <v>30000</v>
      </c>
      <c r="D706" s="573"/>
      <c r="E706" s="696">
        <v>30000</v>
      </c>
      <c r="F706" s="87">
        <f t="shared" si="15"/>
        <v>0</v>
      </c>
      <c r="G706" s="690"/>
      <c r="H706" s="693"/>
      <c r="I706" s="692"/>
      <c r="J706" s="692"/>
      <c r="K706" s="692"/>
      <c r="L706" s="692"/>
      <c r="M706" s="692"/>
      <c r="N706" s="692"/>
      <c r="O706" s="692"/>
      <c r="P706" s="692"/>
    </row>
    <row r="707" spans="1:16" s="698" customFormat="1" ht="15" customHeight="1" x14ac:dyDescent="0.25">
      <c r="A707" s="696" t="s">
        <v>2197</v>
      </c>
      <c r="B707" s="696" t="s">
        <v>1923</v>
      </c>
      <c r="C707" s="714">
        <v>16000</v>
      </c>
      <c r="D707" s="573"/>
      <c r="E707" s="696">
        <v>16000</v>
      </c>
      <c r="F707" s="87">
        <f t="shared" si="15"/>
        <v>0</v>
      </c>
      <c r="G707" s="690"/>
      <c r="H707" s="693"/>
      <c r="I707" s="692"/>
      <c r="J707" s="692"/>
      <c r="K707" s="692"/>
      <c r="L707" s="692"/>
      <c r="M707" s="692"/>
      <c r="N707" s="692"/>
      <c r="O707" s="692"/>
      <c r="P707" s="692"/>
    </row>
    <row r="708" spans="1:16" s="698" customFormat="1" ht="15" customHeight="1" x14ac:dyDescent="0.25">
      <c r="A708" s="696" t="s">
        <v>2197</v>
      </c>
      <c r="B708" s="696" t="s">
        <v>27</v>
      </c>
      <c r="C708" s="714">
        <v>18900</v>
      </c>
      <c r="D708" s="573"/>
      <c r="E708" s="696">
        <v>18900</v>
      </c>
      <c r="F708" s="87">
        <f t="shared" si="15"/>
        <v>0</v>
      </c>
      <c r="G708" s="690"/>
      <c r="H708" s="693"/>
      <c r="I708" s="692"/>
      <c r="J708" s="692"/>
      <c r="K708" s="692"/>
      <c r="L708" s="692"/>
      <c r="M708" s="692"/>
      <c r="N708" s="692"/>
      <c r="O708" s="692"/>
      <c r="P708" s="692"/>
    </row>
    <row r="709" spans="1:16" s="698" customFormat="1" ht="15" customHeight="1" x14ac:dyDescent="0.25">
      <c r="A709" s="696" t="s">
        <v>2197</v>
      </c>
      <c r="B709" s="696" t="s">
        <v>30</v>
      </c>
      <c r="C709" s="714">
        <v>8000</v>
      </c>
      <c r="D709" s="573"/>
      <c r="E709" s="696">
        <v>8000</v>
      </c>
      <c r="F709" s="87">
        <f t="shared" si="15"/>
        <v>0</v>
      </c>
      <c r="G709" s="690"/>
      <c r="H709" s="693"/>
      <c r="I709" s="692"/>
      <c r="J709" s="692"/>
      <c r="K709" s="692"/>
      <c r="L709" s="692"/>
      <c r="M709" s="692"/>
      <c r="N709" s="692"/>
      <c r="O709" s="692"/>
      <c r="P709" s="692"/>
    </row>
    <row r="710" spans="1:16" s="698" customFormat="1" ht="15" customHeight="1" x14ac:dyDescent="0.25">
      <c r="A710" s="696" t="s">
        <v>2197</v>
      </c>
      <c r="B710" s="696" t="s">
        <v>2207</v>
      </c>
      <c r="C710" s="714">
        <v>20000</v>
      </c>
      <c r="D710" s="573"/>
      <c r="E710" s="696">
        <v>20000</v>
      </c>
      <c r="F710" s="87">
        <f t="shared" si="15"/>
        <v>0</v>
      </c>
      <c r="G710" s="690"/>
      <c r="H710" s="693"/>
      <c r="I710" s="692"/>
      <c r="J710" s="692"/>
      <c r="K710" s="692"/>
      <c r="L710" s="692"/>
      <c r="M710" s="692"/>
      <c r="N710" s="692"/>
      <c r="O710" s="692"/>
      <c r="P710" s="692"/>
    </row>
    <row r="711" spans="1:16" s="698" customFormat="1" ht="15" customHeight="1" x14ac:dyDescent="0.25">
      <c r="A711" s="696" t="s">
        <v>2197</v>
      </c>
      <c r="B711" s="696" t="s">
        <v>2208</v>
      </c>
      <c r="C711" s="714">
        <v>15000</v>
      </c>
      <c r="D711" s="573"/>
      <c r="E711" s="696">
        <v>15000</v>
      </c>
      <c r="F711" s="87">
        <f t="shared" si="15"/>
        <v>0</v>
      </c>
      <c r="G711" s="690"/>
      <c r="H711" s="693"/>
      <c r="I711" s="692"/>
      <c r="J711" s="692"/>
      <c r="K711" s="692"/>
      <c r="L711" s="692"/>
      <c r="M711" s="692"/>
      <c r="N711" s="692"/>
      <c r="O711" s="692"/>
      <c r="P711" s="692"/>
    </row>
    <row r="712" spans="1:16" s="698" customFormat="1" ht="15" customHeight="1" x14ac:dyDescent="0.25">
      <c r="A712" s="696" t="s">
        <v>2197</v>
      </c>
      <c r="B712" s="696" t="s">
        <v>2209</v>
      </c>
      <c r="C712" s="714">
        <v>28000</v>
      </c>
      <c r="D712" s="573"/>
      <c r="E712" s="696">
        <v>28000</v>
      </c>
      <c r="F712" s="87">
        <f t="shared" si="15"/>
        <v>0</v>
      </c>
      <c r="G712" s="690"/>
      <c r="H712" s="693"/>
      <c r="I712" s="692"/>
      <c r="J712" s="692"/>
      <c r="K712" s="692"/>
      <c r="L712" s="692"/>
      <c r="M712" s="692"/>
      <c r="N712" s="692"/>
      <c r="O712" s="692"/>
      <c r="P712" s="692"/>
    </row>
    <row r="713" spans="1:16" s="698" customFormat="1" ht="15" customHeight="1" x14ac:dyDescent="0.25">
      <c r="A713" s="696" t="s">
        <v>2197</v>
      </c>
      <c r="B713" s="696" t="s">
        <v>2210</v>
      </c>
      <c r="C713" s="714">
        <v>17619</v>
      </c>
      <c r="D713" s="573"/>
      <c r="E713" s="696">
        <v>17619</v>
      </c>
      <c r="F713" s="87">
        <f t="shared" si="15"/>
        <v>0</v>
      </c>
      <c r="G713" s="690"/>
      <c r="H713" s="693"/>
      <c r="I713" s="692"/>
      <c r="J713" s="692"/>
      <c r="K713" s="692"/>
      <c r="L713" s="692"/>
      <c r="M713" s="692"/>
      <c r="N713" s="692"/>
      <c r="O713" s="692"/>
      <c r="P713" s="692"/>
    </row>
    <row r="714" spans="1:16" s="698" customFormat="1" ht="15" customHeight="1" x14ac:dyDescent="0.25">
      <c r="A714" s="696" t="s">
        <v>2197</v>
      </c>
      <c r="B714" s="696" t="s">
        <v>2211</v>
      </c>
      <c r="C714" s="714">
        <v>21000</v>
      </c>
      <c r="D714" s="573"/>
      <c r="E714" s="696">
        <v>21000</v>
      </c>
      <c r="F714" s="87">
        <f t="shared" si="15"/>
        <v>0</v>
      </c>
      <c r="G714" s="690"/>
      <c r="H714" s="693"/>
      <c r="I714" s="692"/>
      <c r="J714" s="692"/>
      <c r="K714" s="692"/>
      <c r="L714" s="692"/>
      <c r="M714" s="692"/>
      <c r="N714" s="692"/>
      <c r="O714" s="692"/>
      <c r="P714" s="692"/>
    </row>
    <row r="715" spans="1:16" ht="15" customHeight="1" x14ac:dyDescent="0.25">
      <c r="A715" s="42"/>
      <c r="B715" s="20" t="s">
        <v>9</v>
      </c>
      <c r="C715" s="21">
        <f>SUM(C5:C714)</f>
        <v>15724367</v>
      </c>
      <c r="D715" s="708">
        <f>SUM(D6:D714)</f>
        <v>61613.910000000098</v>
      </c>
      <c r="E715" s="21">
        <f>SUM(E5:E714)</f>
        <v>15724367</v>
      </c>
      <c r="F715" s="494"/>
      <c r="G715" s="691">
        <f>SUM(G6:G55)</f>
        <v>13324990</v>
      </c>
      <c r="H715" s="693"/>
      <c r="I715" s="692"/>
      <c r="J715" s="692"/>
      <c r="K715" s="692"/>
      <c r="L715" s="692"/>
      <c r="M715" s="692"/>
      <c r="N715" s="692"/>
      <c r="O715" s="692"/>
      <c r="P715" s="692"/>
    </row>
    <row r="716" spans="1:16" ht="15" x14ac:dyDescent="0.25">
      <c r="A716" s="42"/>
      <c r="B716" s="20" t="s">
        <v>10</v>
      </c>
      <c r="C716" s="25">
        <f>SUM(C715-G715)</f>
        <v>2399377</v>
      </c>
      <c r="D716" s="603"/>
      <c r="E716" s="26" t="s">
        <v>10</v>
      </c>
      <c r="F716" s="25">
        <f>SUM(E715-G715)</f>
        <v>2399377</v>
      </c>
      <c r="G716" s="25"/>
      <c r="H716" s="692"/>
      <c r="I716" s="692"/>
      <c r="J716" s="692"/>
      <c r="K716" s="692"/>
      <c r="L716" s="692"/>
      <c r="M716" s="692"/>
      <c r="N716" s="692"/>
      <c r="O716" s="692"/>
      <c r="P716" s="692"/>
    </row>
    <row r="717" spans="1:16" ht="15" thickBot="1" x14ac:dyDescent="0.25">
      <c r="H717" s="692"/>
      <c r="I717" s="692"/>
      <c r="J717" s="692"/>
      <c r="K717" s="692"/>
      <c r="L717" s="692"/>
      <c r="M717" s="692"/>
      <c r="N717" s="692"/>
      <c r="O717" s="692"/>
      <c r="P717" s="692"/>
    </row>
    <row r="718" spans="1:16" ht="15.75" thickBot="1" x14ac:dyDescent="0.3">
      <c r="B718" s="164" t="s">
        <v>3175</v>
      </c>
      <c r="C718" s="99">
        <v>8434</v>
      </c>
      <c r="H718" s="692"/>
      <c r="I718" s="692"/>
      <c r="J718" s="692"/>
      <c r="K718" s="692"/>
      <c r="L718" s="692"/>
      <c r="M718" s="692"/>
      <c r="N718" s="692"/>
      <c r="O718" s="692"/>
      <c r="P718" s="692"/>
    </row>
    <row r="719" spans="1:16" x14ac:dyDescent="0.2">
      <c r="H719" s="692"/>
      <c r="I719" s="692"/>
      <c r="J719" s="692"/>
      <c r="K719" s="692"/>
      <c r="L719" s="692"/>
      <c r="M719" s="692"/>
      <c r="N719" s="692"/>
      <c r="O719" s="692"/>
      <c r="P719" s="692"/>
    </row>
    <row r="720" spans="1:16" x14ac:dyDescent="0.2">
      <c r="H720" s="692"/>
      <c r="I720" s="692"/>
      <c r="J720" s="692"/>
      <c r="K720" s="692"/>
      <c r="L720" s="692"/>
      <c r="M720" s="692"/>
      <c r="N720" s="692"/>
      <c r="O720" s="692"/>
      <c r="P720" s="692"/>
    </row>
    <row r="721" spans="8:16" x14ac:dyDescent="0.2">
      <c r="H721" s="692"/>
      <c r="I721" s="692"/>
      <c r="J721" s="692"/>
      <c r="K721" s="692"/>
      <c r="L721" s="692"/>
      <c r="M721" s="692"/>
      <c r="N721" s="692"/>
      <c r="O721" s="692"/>
      <c r="P721" s="692"/>
    </row>
    <row r="722" spans="8:16" x14ac:dyDescent="0.2">
      <c r="H722" s="692"/>
      <c r="I722" s="692"/>
      <c r="J722" s="692"/>
      <c r="K722" s="692"/>
      <c r="L722" s="692"/>
      <c r="M722" s="692"/>
      <c r="N722" s="692"/>
      <c r="O722" s="692"/>
      <c r="P722" s="692"/>
    </row>
    <row r="723" spans="8:16" x14ac:dyDescent="0.2">
      <c r="H723" s="692"/>
      <c r="I723" s="692"/>
      <c r="J723" s="692"/>
      <c r="K723" s="692"/>
      <c r="L723" s="692"/>
      <c r="M723" s="692"/>
      <c r="N723" s="692"/>
      <c r="O723" s="692"/>
      <c r="P723" s="692"/>
    </row>
    <row r="724" spans="8:16" x14ac:dyDescent="0.2">
      <c r="H724" s="692"/>
      <c r="I724" s="692"/>
      <c r="J724" s="692"/>
      <c r="K724" s="692"/>
      <c r="L724" s="692"/>
      <c r="M724" s="692"/>
      <c r="N724" s="692"/>
      <c r="O724" s="692"/>
      <c r="P724" s="69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6"/>
  <sheetViews>
    <sheetView workbookViewId="0">
      <selection activeCell="D5" sqref="D5"/>
    </sheetView>
  </sheetViews>
  <sheetFormatPr defaultRowHeight="14.25" x14ac:dyDescent="0.2"/>
  <cols>
    <col min="2" max="2" width="7.375" customWidth="1"/>
    <col min="3" max="3" width="12.375" customWidth="1"/>
    <col min="4" max="4" width="11" bestFit="1" customWidth="1"/>
    <col min="5" max="5" width="7.375" customWidth="1"/>
    <col min="6" max="6" width="10.375" customWidth="1"/>
    <col min="7" max="7" width="15.625" customWidth="1"/>
    <col min="8" max="9" width="11.75" customWidth="1"/>
    <col min="10" max="10" width="6.625" customWidth="1"/>
    <col min="11" max="11" width="29.625" customWidth="1"/>
  </cols>
  <sheetData>
    <row r="1" spans="2:11" x14ac:dyDescent="0.2">
      <c r="B1" s="1"/>
      <c r="C1" s="1"/>
      <c r="D1" s="1"/>
      <c r="E1" s="1"/>
      <c r="F1" s="1"/>
      <c r="G1" s="1"/>
      <c r="H1" s="1"/>
      <c r="I1" s="1"/>
      <c r="J1" s="1"/>
    </row>
    <row r="2" spans="2:11" ht="21" x14ac:dyDescent="0.35">
      <c r="B2" s="1"/>
      <c r="C2" s="1"/>
      <c r="D2" s="769" t="s">
        <v>101</v>
      </c>
      <c r="E2" s="769"/>
      <c r="F2" s="769"/>
      <c r="G2" s="769"/>
      <c r="H2" s="1"/>
      <c r="I2" s="1"/>
      <c r="J2" s="1"/>
    </row>
    <row r="3" spans="2:11" ht="15" x14ac:dyDescent="0.25">
      <c r="B3" s="1"/>
      <c r="C3" s="1"/>
      <c r="D3" s="61"/>
      <c r="E3" s="58"/>
      <c r="F3" s="63">
        <v>44652</v>
      </c>
      <c r="G3" s="1"/>
      <c r="H3" s="1"/>
      <c r="I3" s="1"/>
      <c r="J3" s="1"/>
    </row>
    <row r="4" spans="2:11" ht="15" x14ac:dyDescent="0.25">
      <c r="B4" s="30" t="s">
        <v>2</v>
      </c>
      <c r="C4" s="30" t="s">
        <v>97</v>
      </c>
      <c r="D4" s="30" t="s">
        <v>4</v>
      </c>
      <c r="E4" s="59"/>
      <c r="F4" s="30" t="s">
        <v>5</v>
      </c>
      <c r="G4" s="30" t="s">
        <v>4</v>
      </c>
      <c r="H4" s="30" t="s">
        <v>181</v>
      </c>
      <c r="I4" s="60" t="s">
        <v>8</v>
      </c>
      <c r="J4" s="60" t="s">
        <v>2</v>
      </c>
    </row>
    <row r="5" spans="2:11" ht="15" x14ac:dyDescent="0.25">
      <c r="B5" s="64" t="s">
        <v>23</v>
      </c>
      <c r="C5" s="64" t="s">
        <v>358</v>
      </c>
      <c r="D5" s="64">
        <v>1999075</v>
      </c>
      <c r="E5" s="64"/>
      <c r="F5" s="64"/>
      <c r="G5" s="64">
        <v>1999075</v>
      </c>
      <c r="H5" s="1"/>
      <c r="I5" s="1"/>
      <c r="J5" s="1"/>
    </row>
    <row r="6" spans="2:11" ht="15" x14ac:dyDescent="0.25">
      <c r="B6" s="1" t="s">
        <v>29</v>
      </c>
      <c r="C6" s="15">
        <v>4393</v>
      </c>
      <c r="D6" s="28">
        <v>21000</v>
      </c>
      <c r="E6" s="59"/>
      <c r="F6" s="17">
        <v>225.51</v>
      </c>
      <c r="G6" s="28">
        <v>21000</v>
      </c>
      <c r="H6" s="1">
        <f t="shared" ref="H6:H69" si="0">D6-G6</f>
        <v>0</v>
      </c>
      <c r="I6" s="117">
        <v>200000</v>
      </c>
      <c r="J6" s="118" t="s">
        <v>23</v>
      </c>
      <c r="K6" s="51" t="s">
        <v>93</v>
      </c>
    </row>
    <row r="7" spans="2:11" ht="15" x14ac:dyDescent="0.25">
      <c r="B7" s="1" t="s">
        <v>29</v>
      </c>
      <c r="C7" s="15">
        <v>5185</v>
      </c>
      <c r="D7" s="28">
        <v>9000</v>
      </c>
      <c r="E7" s="59"/>
      <c r="F7" s="17">
        <v>96.65</v>
      </c>
      <c r="G7" s="28">
        <v>9000</v>
      </c>
      <c r="H7" s="1">
        <f t="shared" si="0"/>
        <v>0</v>
      </c>
      <c r="I7" s="117">
        <v>300000</v>
      </c>
      <c r="J7" s="154" t="s">
        <v>29</v>
      </c>
      <c r="K7" s="51" t="s">
        <v>93</v>
      </c>
    </row>
    <row r="8" spans="2:11" ht="15" x14ac:dyDescent="0.25">
      <c r="B8" s="1" t="s">
        <v>29</v>
      </c>
      <c r="C8" s="15" t="s">
        <v>44</v>
      </c>
      <c r="D8" s="28">
        <v>26000</v>
      </c>
      <c r="E8" s="59"/>
      <c r="F8" s="17">
        <v>279.20999999999998</v>
      </c>
      <c r="G8" s="28">
        <v>26000</v>
      </c>
      <c r="H8" s="1">
        <f t="shared" si="0"/>
        <v>0</v>
      </c>
      <c r="I8" s="117">
        <v>300000</v>
      </c>
      <c r="J8" s="155" t="s">
        <v>31</v>
      </c>
      <c r="K8" s="57" t="s">
        <v>91</v>
      </c>
    </row>
    <row r="9" spans="2:11" ht="15" x14ac:dyDescent="0.25">
      <c r="B9" s="1" t="s">
        <v>29</v>
      </c>
      <c r="C9" s="15" t="s">
        <v>45</v>
      </c>
      <c r="D9" s="28">
        <v>9000</v>
      </c>
      <c r="E9" s="59"/>
      <c r="F9" s="17">
        <v>96.65</v>
      </c>
      <c r="G9" s="28">
        <v>9000</v>
      </c>
      <c r="H9" s="1">
        <f t="shared" si="0"/>
        <v>0</v>
      </c>
      <c r="I9" s="117">
        <v>800000</v>
      </c>
      <c r="J9" s="154" t="s">
        <v>48</v>
      </c>
      <c r="K9" s="51" t="s">
        <v>93</v>
      </c>
    </row>
    <row r="10" spans="2:11" ht="15" x14ac:dyDescent="0.25">
      <c r="B10" s="1" t="s">
        <v>29</v>
      </c>
      <c r="C10" s="15">
        <v>7514</v>
      </c>
      <c r="D10" s="28">
        <v>29000</v>
      </c>
      <c r="E10" s="59"/>
      <c r="F10" s="17">
        <v>311.42</v>
      </c>
      <c r="G10" s="28">
        <v>29000</v>
      </c>
      <c r="H10" s="1">
        <f t="shared" si="0"/>
        <v>0</v>
      </c>
      <c r="I10" s="117">
        <v>400000</v>
      </c>
      <c r="J10" s="154" t="s">
        <v>50</v>
      </c>
      <c r="K10" s="51" t="s">
        <v>93</v>
      </c>
    </row>
    <row r="11" spans="2:11" ht="15" x14ac:dyDescent="0.25">
      <c r="B11" s="1" t="s">
        <v>29</v>
      </c>
      <c r="C11" s="15">
        <v>4924</v>
      </c>
      <c r="D11" s="28">
        <v>12000</v>
      </c>
      <c r="E11" s="59"/>
      <c r="F11" s="17">
        <v>128.87</v>
      </c>
      <c r="G11" s="28">
        <v>12000</v>
      </c>
      <c r="H11" s="1">
        <f t="shared" si="0"/>
        <v>0</v>
      </c>
      <c r="I11" s="117">
        <v>700000</v>
      </c>
      <c r="J11" s="154" t="s">
        <v>51</v>
      </c>
      <c r="K11" s="51" t="s">
        <v>93</v>
      </c>
    </row>
    <row r="12" spans="2:11" ht="15" x14ac:dyDescent="0.25">
      <c r="B12" s="1" t="s">
        <v>29</v>
      </c>
      <c r="C12" s="15" t="s">
        <v>30</v>
      </c>
      <c r="D12" s="28">
        <v>3500</v>
      </c>
      <c r="E12" s="59"/>
      <c r="F12" s="17">
        <v>37.58</v>
      </c>
      <c r="G12" s="28">
        <v>3500</v>
      </c>
      <c r="H12" s="1">
        <f t="shared" si="0"/>
        <v>0</v>
      </c>
      <c r="I12" s="117">
        <v>400000</v>
      </c>
      <c r="J12" s="154" t="s">
        <v>53</v>
      </c>
      <c r="K12" s="51" t="s">
        <v>93</v>
      </c>
    </row>
    <row r="13" spans="2:11" x14ac:dyDescent="0.2">
      <c r="B13" s="1" t="s">
        <v>29</v>
      </c>
      <c r="C13" s="15">
        <v>7029</v>
      </c>
      <c r="D13" s="28">
        <v>12000</v>
      </c>
      <c r="E13" s="1"/>
      <c r="F13" s="17">
        <v>128.86000000000001</v>
      </c>
      <c r="G13" s="28">
        <v>12000</v>
      </c>
      <c r="H13" s="1">
        <f t="shared" si="0"/>
        <v>0</v>
      </c>
      <c r="I13" s="117">
        <v>800000</v>
      </c>
      <c r="J13" s="154" t="s">
        <v>58</v>
      </c>
      <c r="K13" s="51" t="s">
        <v>93</v>
      </c>
    </row>
    <row r="14" spans="2:11" x14ac:dyDescent="0.2">
      <c r="B14" s="1" t="s">
        <v>29</v>
      </c>
      <c r="C14" s="15">
        <v>3505</v>
      </c>
      <c r="D14" s="16">
        <v>29000</v>
      </c>
      <c r="E14" s="1"/>
      <c r="F14" s="17">
        <v>311.43</v>
      </c>
      <c r="G14" s="16">
        <v>29000</v>
      </c>
      <c r="H14" s="1">
        <f t="shared" si="0"/>
        <v>0</v>
      </c>
      <c r="I14" s="117">
        <v>600000</v>
      </c>
      <c r="J14" s="117" t="s">
        <v>60</v>
      </c>
      <c r="K14" s="51" t="s">
        <v>93</v>
      </c>
    </row>
    <row r="15" spans="2:11" x14ac:dyDescent="0.2">
      <c r="B15" s="1" t="s">
        <v>29</v>
      </c>
      <c r="C15" s="15">
        <v>7780</v>
      </c>
      <c r="D15" s="16">
        <v>21000</v>
      </c>
      <c r="E15" s="1"/>
      <c r="F15" s="17">
        <v>225.51</v>
      </c>
      <c r="G15" s="16">
        <v>21000</v>
      </c>
      <c r="H15" s="1">
        <f t="shared" si="0"/>
        <v>0</v>
      </c>
      <c r="I15" s="117">
        <v>300000</v>
      </c>
      <c r="J15" s="117" t="s">
        <v>65</v>
      </c>
      <c r="K15" s="51" t="s">
        <v>93</v>
      </c>
    </row>
    <row r="16" spans="2:11" x14ac:dyDescent="0.2">
      <c r="B16" s="1" t="s">
        <v>29</v>
      </c>
      <c r="C16" s="15">
        <v>1220</v>
      </c>
      <c r="D16" s="16">
        <v>14000</v>
      </c>
      <c r="E16" s="1"/>
      <c r="F16" s="17">
        <v>150.34</v>
      </c>
      <c r="G16" s="16">
        <v>14000</v>
      </c>
      <c r="H16" s="1">
        <f t="shared" si="0"/>
        <v>0</v>
      </c>
      <c r="I16" s="117">
        <v>200000</v>
      </c>
      <c r="J16" s="117" t="s">
        <v>67</v>
      </c>
      <c r="K16" s="51" t="s">
        <v>93</v>
      </c>
    </row>
    <row r="17" spans="2:13" x14ac:dyDescent="0.2">
      <c r="B17" s="1" t="s">
        <v>29</v>
      </c>
      <c r="C17" s="15">
        <v>941</v>
      </c>
      <c r="D17" s="16">
        <v>14000</v>
      </c>
      <c r="E17" s="1"/>
      <c r="F17" s="17">
        <v>150.34</v>
      </c>
      <c r="G17" s="16">
        <v>14000</v>
      </c>
      <c r="H17" s="1">
        <f t="shared" si="0"/>
        <v>0</v>
      </c>
      <c r="I17" s="117">
        <v>400000</v>
      </c>
      <c r="J17" s="117" t="s">
        <v>70</v>
      </c>
      <c r="K17" s="51" t="s">
        <v>93</v>
      </c>
    </row>
    <row r="18" spans="2:13" x14ac:dyDescent="0.2">
      <c r="B18" s="1" t="s">
        <v>29</v>
      </c>
      <c r="C18" s="15">
        <v>1352</v>
      </c>
      <c r="D18" s="16">
        <v>12000</v>
      </c>
      <c r="E18" s="1"/>
      <c r="F18" s="17">
        <v>128.86000000000001</v>
      </c>
      <c r="G18" s="16">
        <v>12000</v>
      </c>
      <c r="H18" s="1">
        <f t="shared" si="0"/>
        <v>0</v>
      </c>
      <c r="I18" s="117">
        <v>100000</v>
      </c>
      <c r="J18" s="117" t="s">
        <v>71</v>
      </c>
      <c r="K18" s="51" t="s">
        <v>93</v>
      </c>
    </row>
    <row r="19" spans="2:13" x14ac:dyDescent="0.2">
      <c r="B19" s="1" t="s">
        <v>29</v>
      </c>
      <c r="C19" s="32" t="s">
        <v>30</v>
      </c>
      <c r="D19" s="16">
        <v>5000</v>
      </c>
      <c r="E19" s="1"/>
      <c r="F19" s="17">
        <v>53.69</v>
      </c>
      <c r="G19" s="16">
        <v>5000</v>
      </c>
      <c r="H19" s="1">
        <f t="shared" si="0"/>
        <v>0</v>
      </c>
      <c r="I19" s="117">
        <v>400000</v>
      </c>
      <c r="J19" s="117" t="s">
        <v>74</v>
      </c>
      <c r="K19" s="51" t="s">
        <v>93</v>
      </c>
    </row>
    <row r="20" spans="2:13" x14ac:dyDescent="0.2">
      <c r="B20" s="1" t="s">
        <v>29</v>
      </c>
      <c r="C20" s="15">
        <v>3226</v>
      </c>
      <c r="D20" s="16">
        <v>17000</v>
      </c>
      <c r="E20" s="1"/>
      <c r="F20" s="17">
        <v>182.56</v>
      </c>
      <c r="G20" s="16">
        <v>17000</v>
      </c>
      <c r="H20" s="1">
        <f t="shared" si="0"/>
        <v>0</v>
      </c>
      <c r="I20" s="117">
        <v>300000</v>
      </c>
      <c r="J20" s="117" t="s">
        <v>76</v>
      </c>
      <c r="K20" s="51" t="s">
        <v>93</v>
      </c>
    </row>
    <row r="21" spans="2:13" x14ac:dyDescent="0.2">
      <c r="B21" s="1" t="s">
        <v>29</v>
      </c>
      <c r="C21" s="15">
        <v>4623</v>
      </c>
      <c r="D21" s="16">
        <v>18000</v>
      </c>
      <c r="E21" s="1"/>
      <c r="F21" s="17">
        <v>193.29</v>
      </c>
      <c r="G21" s="16">
        <v>18000</v>
      </c>
      <c r="H21" s="1">
        <f t="shared" si="0"/>
        <v>0</v>
      </c>
      <c r="I21" s="117">
        <v>100000</v>
      </c>
      <c r="J21" s="117" t="s">
        <v>77</v>
      </c>
      <c r="K21" s="51" t="s">
        <v>93</v>
      </c>
    </row>
    <row r="22" spans="2:13" x14ac:dyDescent="0.2">
      <c r="B22" s="1" t="s">
        <v>29</v>
      </c>
      <c r="C22" s="15">
        <v>5305</v>
      </c>
      <c r="D22" s="16">
        <v>22000</v>
      </c>
      <c r="E22" s="1"/>
      <c r="F22" s="17">
        <v>236.25</v>
      </c>
      <c r="G22" s="16">
        <v>22000</v>
      </c>
      <c r="H22" s="1">
        <f t="shared" si="0"/>
        <v>0</v>
      </c>
      <c r="I22" s="117">
        <v>100000</v>
      </c>
      <c r="J22" s="117" t="s">
        <v>78</v>
      </c>
      <c r="K22" s="51" t="s">
        <v>93</v>
      </c>
    </row>
    <row r="23" spans="2:13" x14ac:dyDescent="0.2">
      <c r="B23" s="1" t="s">
        <v>29</v>
      </c>
      <c r="C23" s="15">
        <v>4326</v>
      </c>
      <c r="D23" s="16">
        <v>18000</v>
      </c>
      <c r="E23" s="1"/>
      <c r="F23" s="17">
        <v>193.3</v>
      </c>
      <c r="G23" s="16">
        <v>18000</v>
      </c>
      <c r="H23" s="1">
        <f t="shared" si="0"/>
        <v>0</v>
      </c>
      <c r="I23" s="117">
        <v>200000</v>
      </c>
      <c r="J23" s="117" t="s">
        <v>79</v>
      </c>
      <c r="K23" s="51" t="s">
        <v>93</v>
      </c>
    </row>
    <row r="24" spans="2:13" x14ac:dyDescent="0.2">
      <c r="B24" s="1" t="s">
        <v>29</v>
      </c>
      <c r="C24" s="15">
        <v>8526</v>
      </c>
      <c r="D24" s="16">
        <v>18000</v>
      </c>
      <c r="E24" s="1"/>
      <c r="F24" s="17">
        <v>193.3</v>
      </c>
      <c r="G24" s="16">
        <v>18000</v>
      </c>
      <c r="H24" s="1">
        <f t="shared" si="0"/>
        <v>0</v>
      </c>
      <c r="I24" s="117">
        <v>400000</v>
      </c>
      <c r="J24" s="117" t="s">
        <v>83</v>
      </c>
      <c r="K24" s="51" t="s">
        <v>93</v>
      </c>
    </row>
    <row r="25" spans="2:13" x14ac:dyDescent="0.2">
      <c r="B25" s="1" t="s">
        <v>29</v>
      </c>
      <c r="C25" s="15">
        <v>7466</v>
      </c>
      <c r="D25" s="16">
        <v>8000</v>
      </c>
      <c r="E25" s="1"/>
      <c r="F25" s="17">
        <v>85.91</v>
      </c>
      <c r="G25" s="16">
        <v>8000</v>
      </c>
      <c r="H25" s="1">
        <f t="shared" si="0"/>
        <v>0</v>
      </c>
      <c r="I25" s="117">
        <v>200000</v>
      </c>
      <c r="J25" s="117" t="s">
        <v>84</v>
      </c>
      <c r="K25" s="51" t="s">
        <v>93</v>
      </c>
    </row>
    <row r="26" spans="2:13" x14ac:dyDescent="0.2">
      <c r="B26" s="1" t="s">
        <v>29</v>
      </c>
      <c r="C26" s="15">
        <v>4953</v>
      </c>
      <c r="D26" s="16">
        <v>6000</v>
      </c>
      <c r="E26" s="1"/>
      <c r="F26" s="17">
        <v>67.430000000000007</v>
      </c>
      <c r="G26" s="16">
        <v>6000</v>
      </c>
      <c r="H26" s="1">
        <f t="shared" si="0"/>
        <v>0</v>
      </c>
      <c r="I26" s="117">
        <v>200000</v>
      </c>
      <c r="J26" s="117" t="s">
        <v>85</v>
      </c>
      <c r="K26" s="51" t="s">
        <v>93</v>
      </c>
    </row>
    <row r="27" spans="2:13" x14ac:dyDescent="0.2">
      <c r="B27" s="1" t="s">
        <v>29</v>
      </c>
      <c r="C27" s="15">
        <v>7271</v>
      </c>
      <c r="D27" s="16">
        <v>10000</v>
      </c>
      <c r="E27" s="1"/>
      <c r="F27" s="17">
        <v>107.38</v>
      </c>
      <c r="G27" s="16">
        <v>10000</v>
      </c>
      <c r="H27" s="1">
        <f t="shared" si="0"/>
        <v>0</v>
      </c>
      <c r="I27" s="117">
        <v>200000</v>
      </c>
      <c r="J27" s="117" t="s">
        <v>87</v>
      </c>
      <c r="K27" s="51" t="s">
        <v>93</v>
      </c>
    </row>
    <row r="28" spans="2:13" x14ac:dyDescent="0.2">
      <c r="B28" s="1" t="s">
        <v>29</v>
      </c>
      <c r="C28" s="15">
        <v>1712</v>
      </c>
      <c r="D28" s="16">
        <v>35000</v>
      </c>
      <c r="E28" s="1"/>
      <c r="F28" s="17">
        <v>375.85</v>
      </c>
      <c r="G28" s="16">
        <v>35000</v>
      </c>
      <c r="H28" s="1">
        <f t="shared" si="0"/>
        <v>0</v>
      </c>
      <c r="I28" s="117">
        <v>100000</v>
      </c>
      <c r="J28" s="117" t="s">
        <v>88</v>
      </c>
      <c r="K28" s="51" t="s">
        <v>93</v>
      </c>
    </row>
    <row r="29" spans="2:13" ht="15" x14ac:dyDescent="0.25">
      <c r="B29" s="1" t="s">
        <v>29</v>
      </c>
      <c r="C29" s="15">
        <v>7562</v>
      </c>
      <c r="D29" s="16">
        <v>18000</v>
      </c>
      <c r="E29" s="1"/>
      <c r="F29" s="17">
        <v>193.29</v>
      </c>
      <c r="G29" s="16">
        <v>18000</v>
      </c>
      <c r="H29" s="1">
        <f t="shared" si="0"/>
        <v>0</v>
      </c>
      <c r="I29" s="30"/>
      <c r="J29" s="30"/>
      <c r="K29" s="51"/>
      <c r="L29" s="51"/>
      <c r="M29" s="30"/>
    </row>
    <row r="30" spans="2:13" x14ac:dyDescent="0.2">
      <c r="B30" s="1" t="s">
        <v>29</v>
      </c>
      <c r="C30" s="15">
        <v>1887</v>
      </c>
      <c r="D30" s="16">
        <v>14000</v>
      </c>
      <c r="E30" s="1"/>
      <c r="F30" s="17">
        <v>150.34</v>
      </c>
      <c r="G30" s="16">
        <v>14000</v>
      </c>
      <c r="H30" s="1">
        <f t="shared" si="0"/>
        <v>0</v>
      </c>
      <c r="I30" s="1"/>
      <c r="J30" s="1"/>
    </row>
    <row r="31" spans="2:13" x14ac:dyDescent="0.2">
      <c r="B31" s="1" t="s">
        <v>29</v>
      </c>
      <c r="C31" s="15">
        <v>1172</v>
      </c>
      <c r="D31" s="1">
        <v>30000</v>
      </c>
      <c r="E31" s="1"/>
      <c r="F31" s="17">
        <v>322.16000000000003</v>
      </c>
      <c r="G31" s="1">
        <v>30000</v>
      </c>
      <c r="H31" s="1">
        <f t="shared" si="0"/>
        <v>0</v>
      </c>
      <c r="I31" s="1"/>
      <c r="J31" s="1"/>
    </row>
    <row r="32" spans="2:13" x14ac:dyDescent="0.2">
      <c r="B32" s="1" t="s">
        <v>29</v>
      </c>
      <c r="C32" s="15">
        <v>6717</v>
      </c>
      <c r="D32" s="16">
        <v>23000</v>
      </c>
      <c r="E32" s="1"/>
      <c r="F32" s="17">
        <v>246.99</v>
      </c>
      <c r="G32" s="16">
        <v>23000</v>
      </c>
      <c r="H32" s="1">
        <f t="shared" si="0"/>
        <v>0</v>
      </c>
      <c r="I32" s="1"/>
      <c r="J32" s="1"/>
    </row>
    <row r="33" spans="2:10" x14ac:dyDescent="0.2">
      <c r="B33" s="1" t="s">
        <v>29</v>
      </c>
      <c r="C33" s="15">
        <v>1179</v>
      </c>
      <c r="D33" s="16">
        <v>14000</v>
      </c>
      <c r="E33" s="1"/>
      <c r="F33" s="17">
        <v>149.06</v>
      </c>
      <c r="G33" s="16">
        <v>14000</v>
      </c>
      <c r="H33" s="1">
        <f t="shared" si="0"/>
        <v>0</v>
      </c>
      <c r="I33" s="1"/>
      <c r="J33" s="1"/>
    </row>
    <row r="34" spans="2:10" x14ac:dyDescent="0.2">
      <c r="B34" s="1" t="s">
        <v>29</v>
      </c>
      <c r="C34" s="15">
        <v>1246</v>
      </c>
      <c r="D34" s="16">
        <v>8000</v>
      </c>
      <c r="E34" s="1"/>
      <c r="F34" s="17">
        <v>85.91</v>
      </c>
      <c r="G34" s="16">
        <v>8000</v>
      </c>
      <c r="H34" s="1">
        <f t="shared" si="0"/>
        <v>0</v>
      </c>
      <c r="I34" s="1"/>
      <c r="J34" s="1"/>
    </row>
    <row r="35" spans="2:10" x14ac:dyDescent="0.2">
      <c r="B35" s="1" t="s">
        <v>29</v>
      </c>
      <c r="C35" s="15" t="s">
        <v>47</v>
      </c>
      <c r="D35" s="16">
        <v>5000</v>
      </c>
      <c r="E35" s="1"/>
      <c r="F35" s="17">
        <v>53.69</v>
      </c>
      <c r="G35" s="16">
        <v>5000</v>
      </c>
      <c r="H35" s="1">
        <f t="shared" si="0"/>
        <v>0</v>
      </c>
      <c r="I35" s="1"/>
      <c r="J35" s="1"/>
    </row>
    <row r="36" spans="2:10" x14ac:dyDescent="0.2">
      <c r="B36" s="1" t="s">
        <v>31</v>
      </c>
      <c r="C36" s="15">
        <v>7006</v>
      </c>
      <c r="D36" s="16">
        <v>30000</v>
      </c>
      <c r="E36" s="1"/>
      <c r="F36" s="17">
        <v>319.42</v>
      </c>
      <c r="G36" s="16">
        <v>30000</v>
      </c>
      <c r="H36" s="1">
        <f t="shared" si="0"/>
        <v>0</v>
      </c>
      <c r="I36" s="1"/>
      <c r="J36" s="1"/>
    </row>
    <row r="37" spans="2:10" x14ac:dyDescent="0.2">
      <c r="B37" s="1" t="s">
        <v>31</v>
      </c>
      <c r="C37" s="15">
        <v>6021</v>
      </c>
      <c r="D37" s="16">
        <v>17000</v>
      </c>
      <c r="E37" s="1"/>
      <c r="F37" s="17">
        <v>179.45</v>
      </c>
      <c r="G37" s="16">
        <v>17000</v>
      </c>
      <c r="H37" s="1">
        <f t="shared" si="0"/>
        <v>0</v>
      </c>
      <c r="I37" s="1"/>
      <c r="J37" s="1"/>
    </row>
    <row r="38" spans="2:10" x14ac:dyDescent="0.2">
      <c r="B38" s="1" t="s">
        <v>31</v>
      </c>
      <c r="C38" s="15">
        <v>8010</v>
      </c>
      <c r="D38" s="16">
        <v>24000</v>
      </c>
      <c r="E38" s="1"/>
      <c r="F38" s="17">
        <v>255.53</v>
      </c>
      <c r="G38" s="16">
        <v>24000</v>
      </c>
      <c r="H38" s="1">
        <f t="shared" si="0"/>
        <v>0</v>
      </c>
      <c r="I38" s="1"/>
      <c r="J38" s="1"/>
    </row>
    <row r="39" spans="2:10" x14ac:dyDescent="0.2">
      <c r="B39" s="1" t="s">
        <v>31</v>
      </c>
      <c r="C39" s="15">
        <v>9189</v>
      </c>
      <c r="D39" s="16">
        <v>13000</v>
      </c>
      <c r="E39" s="1"/>
      <c r="F39" s="17">
        <v>138.41</v>
      </c>
      <c r="G39" s="16">
        <v>13000</v>
      </c>
      <c r="H39" s="1">
        <f t="shared" si="0"/>
        <v>0</v>
      </c>
      <c r="I39" s="1"/>
      <c r="J39" s="1"/>
    </row>
    <row r="40" spans="2:10" x14ac:dyDescent="0.2">
      <c r="B40" s="1" t="s">
        <v>31</v>
      </c>
      <c r="C40" s="15">
        <v>5924</v>
      </c>
      <c r="D40" s="16">
        <v>27000</v>
      </c>
      <c r="E40" s="1"/>
      <c r="F40" s="17">
        <v>287.48</v>
      </c>
      <c r="G40" s="16">
        <v>27000</v>
      </c>
      <c r="H40" s="1">
        <f t="shared" si="0"/>
        <v>0</v>
      </c>
      <c r="I40" s="1"/>
      <c r="J40" s="1"/>
    </row>
    <row r="41" spans="2:10" x14ac:dyDescent="0.2">
      <c r="B41" s="1" t="s">
        <v>31</v>
      </c>
      <c r="C41" s="15">
        <v>2323</v>
      </c>
      <c r="D41" s="16">
        <v>19000</v>
      </c>
      <c r="E41" s="1"/>
      <c r="F41" s="17">
        <v>202.3</v>
      </c>
      <c r="G41" s="16">
        <v>19000</v>
      </c>
      <c r="H41" s="1">
        <f t="shared" si="0"/>
        <v>0</v>
      </c>
      <c r="I41" s="1"/>
      <c r="J41" s="1"/>
    </row>
    <row r="42" spans="2:10" x14ac:dyDescent="0.2">
      <c r="B42" s="1" t="s">
        <v>31</v>
      </c>
      <c r="C42" s="15">
        <v>5826</v>
      </c>
      <c r="D42" s="16">
        <v>10000</v>
      </c>
      <c r="E42" s="1"/>
      <c r="F42" s="17">
        <v>106.47</v>
      </c>
      <c r="G42" s="16">
        <v>10000</v>
      </c>
      <c r="H42" s="1">
        <f t="shared" si="0"/>
        <v>0</v>
      </c>
      <c r="I42" s="1"/>
      <c r="J42" s="1"/>
    </row>
    <row r="43" spans="2:10" x14ac:dyDescent="0.2">
      <c r="B43" s="1" t="s">
        <v>31</v>
      </c>
      <c r="C43" s="15">
        <v>1309</v>
      </c>
      <c r="D43" s="16">
        <v>8000</v>
      </c>
      <c r="E43" s="1"/>
      <c r="F43" s="17">
        <v>85.18</v>
      </c>
      <c r="G43" s="16">
        <v>8000</v>
      </c>
      <c r="H43" s="1">
        <f t="shared" si="0"/>
        <v>0</v>
      </c>
      <c r="I43" s="1"/>
      <c r="J43" s="1"/>
    </row>
    <row r="44" spans="2:10" x14ac:dyDescent="0.2">
      <c r="B44" s="1" t="s">
        <v>31</v>
      </c>
      <c r="C44" s="15">
        <v>2708</v>
      </c>
      <c r="D44" s="16">
        <v>16000</v>
      </c>
      <c r="E44" s="1"/>
      <c r="F44" s="17">
        <v>170.35</v>
      </c>
      <c r="G44" s="16">
        <v>16000</v>
      </c>
      <c r="H44" s="1">
        <f t="shared" si="0"/>
        <v>0</v>
      </c>
      <c r="I44" s="1"/>
      <c r="J44" s="1"/>
    </row>
    <row r="45" spans="2:10" x14ac:dyDescent="0.2">
      <c r="B45" s="1" t="s">
        <v>31</v>
      </c>
      <c r="C45" s="15">
        <v>3579</v>
      </c>
      <c r="D45" s="16">
        <v>32000</v>
      </c>
      <c r="E45" s="1"/>
      <c r="F45" s="17">
        <v>340.72</v>
      </c>
      <c r="G45" s="16">
        <v>32000</v>
      </c>
      <c r="H45" s="1">
        <f t="shared" si="0"/>
        <v>0</v>
      </c>
      <c r="I45" s="1"/>
      <c r="J45" s="1"/>
    </row>
    <row r="46" spans="2:10" x14ac:dyDescent="0.2">
      <c r="B46" s="1" t="s">
        <v>31</v>
      </c>
      <c r="C46" s="15">
        <v>2227</v>
      </c>
      <c r="D46" s="16">
        <v>13000</v>
      </c>
      <c r="E46" s="1"/>
      <c r="F46" s="17">
        <v>138.41999999999999</v>
      </c>
      <c r="G46" s="16">
        <v>13000</v>
      </c>
      <c r="H46" s="1">
        <f t="shared" si="0"/>
        <v>0</v>
      </c>
      <c r="I46" s="1"/>
      <c r="J46" s="1"/>
    </row>
    <row r="47" spans="2:10" x14ac:dyDescent="0.2">
      <c r="B47" s="1" t="s">
        <v>31</v>
      </c>
      <c r="C47" s="15">
        <v>2961</v>
      </c>
      <c r="D47" s="16">
        <v>16000</v>
      </c>
      <c r="E47" s="1"/>
      <c r="F47" s="17">
        <v>170.35</v>
      </c>
      <c r="G47" s="16">
        <v>16000</v>
      </c>
      <c r="H47" s="1">
        <f t="shared" si="0"/>
        <v>0</v>
      </c>
      <c r="I47" s="1"/>
      <c r="J47" s="1"/>
    </row>
    <row r="48" spans="2:10" x14ac:dyDescent="0.2">
      <c r="B48" s="1" t="s">
        <v>31</v>
      </c>
      <c r="C48" s="15">
        <v>2962</v>
      </c>
      <c r="D48" s="16">
        <v>16000</v>
      </c>
      <c r="E48" s="1"/>
      <c r="F48" s="17">
        <v>170.35</v>
      </c>
      <c r="G48" s="16">
        <v>16000</v>
      </c>
      <c r="H48" s="1">
        <f t="shared" si="0"/>
        <v>0</v>
      </c>
      <c r="I48" s="1"/>
      <c r="J48" s="1"/>
    </row>
    <row r="49" spans="2:10" x14ac:dyDescent="0.2">
      <c r="B49" s="1" t="s">
        <v>31</v>
      </c>
      <c r="C49" s="15">
        <v>2233</v>
      </c>
      <c r="D49" s="16">
        <v>14000</v>
      </c>
      <c r="E49" s="1"/>
      <c r="F49" s="17">
        <f t="shared" ref="F49:F66" si="1">D49/93.92</f>
        <v>149.06303236797274</v>
      </c>
      <c r="G49" s="16">
        <v>14000</v>
      </c>
      <c r="H49" s="1">
        <f t="shared" si="0"/>
        <v>0</v>
      </c>
      <c r="I49" s="1"/>
      <c r="J49" s="1"/>
    </row>
    <row r="50" spans="2:10" x14ac:dyDescent="0.2">
      <c r="B50" s="1" t="s">
        <v>31</v>
      </c>
      <c r="C50" s="15">
        <v>2963</v>
      </c>
      <c r="D50" s="16">
        <v>16000</v>
      </c>
      <c r="E50" s="1"/>
      <c r="F50" s="17">
        <v>170.35</v>
      </c>
      <c r="G50" s="16">
        <v>16000</v>
      </c>
      <c r="H50" s="1">
        <f t="shared" si="0"/>
        <v>0</v>
      </c>
      <c r="I50" s="1"/>
      <c r="J50" s="1"/>
    </row>
    <row r="51" spans="2:10" x14ac:dyDescent="0.2">
      <c r="B51" s="1" t="s">
        <v>31</v>
      </c>
      <c r="C51" s="15">
        <v>1051</v>
      </c>
      <c r="D51" s="16">
        <v>25000</v>
      </c>
      <c r="E51" s="1"/>
      <c r="F51" s="17">
        <f t="shared" si="1"/>
        <v>266.18398637137989</v>
      </c>
      <c r="G51" s="16">
        <v>25000</v>
      </c>
      <c r="H51" s="1">
        <f t="shared" si="0"/>
        <v>0</v>
      </c>
      <c r="I51" s="1"/>
      <c r="J51" s="1"/>
    </row>
    <row r="52" spans="2:10" x14ac:dyDescent="0.2">
      <c r="B52" s="1" t="s">
        <v>31</v>
      </c>
      <c r="C52" s="32" t="s">
        <v>30</v>
      </c>
      <c r="D52" s="16">
        <v>4500</v>
      </c>
      <c r="E52" s="1"/>
      <c r="F52" s="17">
        <f t="shared" si="1"/>
        <v>47.913117546848383</v>
      </c>
      <c r="G52" s="16">
        <v>4500</v>
      </c>
      <c r="H52" s="1">
        <f t="shared" si="0"/>
        <v>0</v>
      </c>
      <c r="I52" s="1"/>
      <c r="J52" s="1"/>
    </row>
    <row r="53" spans="2:10" x14ac:dyDescent="0.2">
      <c r="B53" s="1" t="s">
        <v>31</v>
      </c>
      <c r="C53" s="15">
        <v>4126</v>
      </c>
      <c r="D53" s="16">
        <v>13000</v>
      </c>
      <c r="E53" s="1"/>
      <c r="F53" s="17">
        <f t="shared" si="1"/>
        <v>138.41567291311753</v>
      </c>
      <c r="G53" s="16">
        <v>13000</v>
      </c>
      <c r="H53" s="1">
        <f t="shared" si="0"/>
        <v>0</v>
      </c>
      <c r="I53" s="1"/>
      <c r="J53" s="1"/>
    </row>
    <row r="54" spans="2:10" x14ac:dyDescent="0.2">
      <c r="B54" s="1" t="s">
        <v>31</v>
      </c>
      <c r="C54" s="15">
        <v>2926</v>
      </c>
      <c r="D54" s="16">
        <v>18000</v>
      </c>
      <c r="E54" s="1"/>
      <c r="F54" s="17">
        <f t="shared" si="1"/>
        <v>191.65247018739353</v>
      </c>
      <c r="G54" s="16">
        <v>18000</v>
      </c>
      <c r="H54" s="1">
        <f t="shared" si="0"/>
        <v>0</v>
      </c>
      <c r="I54" s="1"/>
      <c r="J54" s="1"/>
    </row>
    <row r="55" spans="2:10" x14ac:dyDescent="0.2">
      <c r="B55" s="1" t="s">
        <v>31</v>
      </c>
      <c r="C55" s="15">
        <v>4713</v>
      </c>
      <c r="D55" s="16">
        <v>6000</v>
      </c>
      <c r="E55" s="1"/>
      <c r="F55" s="17">
        <f t="shared" si="1"/>
        <v>63.884156729131178</v>
      </c>
      <c r="G55" s="16">
        <v>6000</v>
      </c>
      <c r="H55" s="1">
        <f t="shared" si="0"/>
        <v>0</v>
      </c>
      <c r="I55" s="1"/>
      <c r="J55" s="1"/>
    </row>
    <row r="56" spans="2:10" x14ac:dyDescent="0.2">
      <c r="B56" s="1" t="s">
        <v>31</v>
      </c>
      <c r="C56" s="15">
        <v>2207</v>
      </c>
      <c r="D56" s="16">
        <v>11000</v>
      </c>
      <c r="E56" s="1"/>
      <c r="F56" s="17">
        <f t="shared" si="1"/>
        <v>117.12095400340715</v>
      </c>
      <c r="G56" s="16">
        <v>11000</v>
      </c>
      <c r="H56" s="1">
        <f t="shared" si="0"/>
        <v>0</v>
      </c>
      <c r="I56" s="1"/>
      <c r="J56" s="1"/>
    </row>
    <row r="57" spans="2:10" x14ac:dyDescent="0.2">
      <c r="B57" s="1" t="s">
        <v>31</v>
      </c>
      <c r="C57" s="15">
        <v>8297</v>
      </c>
      <c r="D57" s="16">
        <v>27000</v>
      </c>
      <c r="E57" s="1"/>
      <c r="F57" s="17">
        <v>287.47000000000003</v>
      </c>
      <c r="G57" s="16">
        <v>27000</v>
      </c>
      <c r="H57" s="1">
        <f t="shared" si="0"/>
        <v>0</v>
      </c>
      <c r="I57" s="1"/>
      <c r="J57" s="1"/>
    </row>
    <row r="58" spans="2:10" x14ac:dyDescent="0.2">
      <c r="B58" s="1" t="s">
        <v>31</v>
      </c>
      <c r="C58" s="15">
        <v>1895</v>
      </c>
      <c r="D58" s="16">
        <v>27000</v>
      </c>
      <c r="E58" s="1"/>
      <c r="F58" s="17">
        <v>287.47000000000003</v>
      </c>
      <c r="G58" s="16">
        <v>27000</v>
      </c>
      <c r="H58" s="1">
        <f t="shared" si="0"/>
        <v>0</v>
      </c>
      <c r="I58" s="1"/>
      <c r="J58" s="1"/>
    </row>
    <row r="59" spans="2:10" x14ac:dyDescent="0.2">
      <c r="B59" s="1" t="s">
        <v>31</v>
      </c>
      <c r="C59" s="15">
        <v>213</v>
      </c>
      <c r="D59" s="16">
        <v>12000</v>
      </c>
      <c r="E59" s="1"/>
      <c r="F59" s="17">
        <f t="shared" si="1"/>
        <v>127.76831345826236</v>
      </c>
      <c r="G59" s="16">
        <v>12000</v>
      </c>
      <c r="H59" s="1">
        <f t="shared" si="0"/>
        <v>0</v>
      </c>
      <c r="I59" s="1"/>
      <c r="J59" s="1"/>
    </row>
    <row r="60" spans="2:10" x14ac:dyDescent="0.2">
      <c r="B60" s="1" t="s">
        <v>31</v>
      </c>
      <c r="C60" s="15">
        <v>5475</v>
      </c>
      <c r="D60" s="16">
        <v>30000</v>
      </c>
      <c r="E60" s="1"/>
      <c r="F60" s="17">
        <f t="shared" si="1"/>
        <v>319.42078364565589</v>
      </c>
      <c r="G60" s="16">
        <v>30000</v>
      </c>
      <c r="H60" s="1">
        <f t="shared" si="0"/>
        <v>0</v>
      </c>
      <c r="I60" s="1"/>
      <c r="J60" s="1"/>
    </row>
    <row r="61" spans="2:10" x14ac:dyDescent="0.2">
      <c r="B61" s="1" t="s">
        <v>31</v>
      </c>
      <c r="C61" s="15">
        <v>2246</v>
      </c>
      <c r="D61" s="16">
        <v>15000</v>
      </c>
      <c r="E61" s="1"/>
      <c r="F61" s="17">
        <f t="shared" si="1"/>
        <v>159.71039182282794</v>
      </c>
      <c r="G61" s="16">
        <v>15000</v>
      </c>
      <c r="H61" s="1">
        <f t="shared" si="0"/>
        <v>0</v>
      </c>
      <c r="I61" s="1"/>
      <c r="J61" s="1"/>
    </row>
    <row r="62" spans="2:10" x14ac:dyDescent="0.2">
      <c r="B62" s="1" t="s">
        <v>31</v>
      </c>
      <c r="C62" s="15">
        <v>1152</v>
      </c>
      <c r="D62" s="16">
        <v>13000</v>
      </c>
      <c r="E62" s="1"/>
      <c r="F62" s="17">
        <v>137.22999999999999</v>
      </c>
      <c r="G62" s="16">
        <v>13000</v>
      </c>
      <c r="H62" s="1">
        <f t="shared" si="0"/>
        <v>0</v>
      </c>
      <c r="I62" s="1"/>
      <c r="J62" s="1"/>
    </row>
    <row r="63" spans="2:10" x14ac:dyDescent="0.2">
      <c r="B63" s="1" t="s">
        <v>31</v>
      </c>
      <c r="C63" s="15">
        <v>5324</v>
      </c>
      <c r="D63" s="16">
        <v>11000</v>
      </c>
      <c r="E63" s="1"/>
      <c r="F63" s="17">
        <f t="shared" si="1"/>
        <v>117.12095400340715</v>
      </c>
      <c r="G63" s="16">
        <v>11000</v>
      </c>
      <c r="H63" s="1">
        <f t="shared" si="0"/>
        <v>0</v>
      </c>
      <c r="I63" s="1"/>
      <c r="J63" s="1"/>
    </row>
    <row r="64" spans="2:10" x14ac:dyDescent="0.2">
      <c r="B64" s="1" t="s">
        <v>31</v>
      </c>
      <c r="C64" s="15">
        <v>3426</v>
      </c>
      <c r="D64" s="16">
        <v>15000</v>
      </c>
      <c r="E64" s="1"/>
      <c r="F64" s="17">
        <f t="shared" si="1"/>
        <v>159.71039182282794</v>
      </c>
      <c r="G64" s="16">
        <v>15000</v>
      </c>
      <c r="H64" s="1">
        <f t="shared" si="0"/>
        <v>0</v>
      </c>
      <c r="I64" s="1"/>
      <c r="J64" s="1"/>
    </row>
    <row r="65" spans="2:10" x14ac:dyDescent="0.2">
      <c r="B65" s="1" t="s">
        <v>31</v>
      </c>
      <c r="C65" s="15">
        <v>2056</v>
      </c>
      <c r="D65" s="16">
        <v>17000</v>
      </c>
      <c r="E65" s="1"/>
      <c r="F65" s="17">
        <v>179.45</v>
      </c>
      <c r="G65" s="16">
        <v>17000</v>
      </c>
      <c r="H65" s="1">
        <f t="shared" si="0"/>
        <v>0</v>
      </c>
      <c r="I65" s="1"/>
      <c r="J65" s="1"/>
    </row>
    <row r="66" spans="2:10" x14ac:dyDescent="0.2">
      <c r="B66" s="1" t="s">
        <v>31</v>
      </c>
      <c r="C66" s="15">
        <v>4326</v>
      </c>
      <c r="D66" s="16">
        <v>14000</v>
      </c>
      <c r="E66" s="1"/>
      <c r="F66" s="17">
        <f t="shared" si="1"/>
        <v>149.06303236797274</v>
      </c>
      <c r="G66" s="16">
        <v>14000</v>
      </c>
      <c r="H66" s="1">
        <f t="shared" si="0"/>
        <v>0</v>
      </c>
      <c r="I66" s="1"/>
      <c r="J66" s="1"/>
    </row>
    <row r="67" spans="2:10" x14ac:dyDescent="0.2">
      <c r="B67" s="1" t="s">
        <v>32</v>
      </c>
      <c r="C67" s="15">
        <v>1321</v>
      </c>
      <c r="D67" s="16">
        <v>13000</v>
      </c>
      <c r="E67" s="1"/>
      <c r="F67" s="17">
        <f t="shared" ref="F67:F92" si="2">D67/94.73</f>
        <v>137.23213343185895</v>
      </c>
      <c r="G67" s="16">
        <v>13000</v>
      </c>
      <c r="H67" s="1">
        <f t="shared" si="0"/>
        <v>0</v>
      </c>
      <c r="I67" s="1"/>
      <c r="J67" s="1"/>
    </row>
    <row r="68" spans="2:10" x14ac:dyDescent="0.2">
      <c r="B68" s="1" t="s">
        <v>32</v>
      </c>
      <c r="C68" s="15">
        <v>9559</v>
      </c>
      <c r="D68" s="16">
        <v>16000</v>
      </c>
      <c r="E68" s="1"/>
      <c r="F68" s="17">
        <f t="shared" si="2"/>
        <v>168.90108730074948</v>
      </c>
      <c r="G68" s="16">
        <v>16000</v>
      </c>
      <c r="H68" s="1">
        <f t="shared" si="0"/>
        <v>0</v>
      </c>
      <c r="I68" s="1"/>
      <c r="J68" s="1"/>
    </row>
    <row r="69" spans="2:10" x14ac:dyDescent="0.2">
      <c r="B69" s="1" t="s">
        <v>32</v>
      </c>
      <c r="C69" s="15">
        <v>253</v>
      </c>
      <c r="D69" s="16">
        <v>13000</v>
      </c>
      <c r="E69" s="1"/>
      <c r="F69" s="17">
        <f t="shared" si="2"/>
        <v>137.23213343185895</v>
      </c>
      <c r="G69" s="16">
        <v>13000</v>
      </c>
      <c r="H69" s="1">
        <f t="shared" si="0"/>
        <v>0</v>
      </c>
      <c r="I69" s="1"/>
      <c r="J69" s="1"/>
    </row>
    <row r="70" spans="2:10" x14ac:dyDescent="0.2">
      <c r="B70" s="1" t="s">
        <v>32</v>
      </c>
      <c r="C70" s="15">
        <v>3776</v>
      </c>
      <c r="D70" s="16">
        <v>12000</v>
      </c>
      <c r="E70" s="1"/>
      <c r="F70" s="17">
        <f t="shared" si="2"/>
        <v>126.67581547556212</v>
      </c>
      <c r="G70" s="16">
        <v>12000</v>
      </c>
      <c r="H70" s="1">
        <f t="shared" ref="H70:H133" si="3">D70-G70</f>
        <v>0</v>
      </c>
      <c r="I70" s="1"/>
      <c r="J70" s="1"/>
    </row>
    <row r="71" spans="2:10" x14ac:dyDescent="0.2">
      <c r="B71" s="1" t="s">
        <v>32</v>
      </c>
      <c r="C71" s="15">
        <v>6353</v>
      </c>
      <c r="D71" s="16">
        <v>13000</v>
      </c>
      <c r="E71" s="1"/>
      <c r="F71" s="17">
        <f t="shared" si="2"/>
        <v>137.23213343185895</v>
      </c>
      <c r="G71" s="16">
        <v>13000</v>
      </c>
      <c r="H71" s="1">
        <f t="shared" si="3"/>
        <v>0</v>
      </c>
      <c r="I71" s="1"/>
      <c r="J71" s="1"/>
    </row>
    <row r="72" spans="2:10" x14ac:dyDescent="0.2">
      <c r="B72" s="1" t="s">
        <v>32</v>
      </c>
      <c r="C72" s="15">
        <v>6408</v>
      </c>
      <c r="D72" s="16">
        <v>16000</v>
      </c>
      <c r="E72" s="1"/>
      <c r="F72" s="17">
        <f t="shared" si="2"/>
        <v>168.90108730074948</v>
      </c>
      <c r="G72" s="16">
        <v>16000</v>
      </c>
      <c r="H72" s="1">
        <f t="shared" si="3"/>
        <v>0</v>
      </c>
      <c r="I72" s="1"/>
      <c r="J72" s="1"/>
    </row>
    <row r="73" spans="2:10" x14ac:dyDescent="0.2">
      <c r="B73" s="1" t="s">
        <v>32</v>
      </c>
      <c r="C73" s="15">
        <v>4747</v>
      </c>
      <c r="D73" s="16">
        <v>11000</v>
      </c>
      <c r="E73" s="1"/>
      <c r="F73" s="17">
        <f t="shared" si="2"/>
        <v>116.11949751926528</v>
      </c>
      <c r="G73" s="16">
        <v>11000</v>
      </c>
      <c r="H73" s="1">
        <f t="shared" si="3"/>
        <v>0</v>
      </c>
      <c r="I73" s="1"/>
      <c r="J73" s="1"/>
    </row>
    <row r="74" spans="2:10" x14ac:dyDescent="0.2">
      <c r="B74" s="1" t="s">
        <v>32</v>
      </c>
      <c r="C74" s="32" t="s">
        <v>30</v>
      </c>
      <c r="D74" s="16">
        <v>5000</v>
      </c>
      <c r="E74" s="1"/>
      <c r="F74" s="17">
        <f t="shared" si="2"/>
        <v>52.781589781484215</v>
      </c>
      <c r="G74" s="16">
        <v>5000</v>
      </c>
      <c r="H74" s="1">
        <f t="shared" si="3"/>
        <v>0</v>
      </c>
      <c r="I74" s="1"/>
      <c r="J74" s="1"/>
    </row>
    <row r="75" spans="2:10" x14ac:dyDescent="0.2">
      <c r="B75" s="1" t="s">
        <v>32</v>
      </c>
      <c r="C75" s="15">
        <v>4326</v>
      </c>
      <c r="D75" s="16">
        <v>13000</v>
      </c>
      <c r="E75" s="1"/>
      <c r="F75" s="17">
        <f t="shared" si="2"/>
        <v>137.23213343185895</v>
      </c>
      <c r="G75" s="16">
        <v>13000</v>
      </c>
      <c r="H75" s="1">
        <f t="shared" si="3"/>
        <v>0</v>
      </c>
      <c r="I75" s="1"/>
      <c r="J75" s="1"/>
    </row>
    <row r="76" spans="2:10" x14ac:dyDescent="0.2">
      <c r="B76" s="1" t="s">
        <v>32</v>
      </c>
      <c r="C76" s="32" t="s">
        <v>17</v>
      </c>
      <c r="D76" s="16">
        <v>3500</v>
      </c>
      <c r="E76" s="1"/>
      <c r="F76">
        <v>36.94</v>
      </c>
      <c r="G76" s="16">
        <v>3500</v>
      </c>
      <c r="H76" s="1">
        <f t="shared" si="3"/>
        <v>0</v>
      </c>
      <c r="I76" s="1"/>
      <c r="J76" s="1"/>
    </row>
    <row r="77" spans="2:10" x14ac:dyDescent="0.2">
      <c r="B77" s="1" t="s">
        <v>32</v>
      </c>
      <c r="C77" s="15" t="s">
        <v>49</v>
      </c>
      <c r="D77" s="16">
        <v>13000</v>
      </c>
      <c r="E77" s="1"/>
      <c r="F77">
        <v>137.22999999999999</v>
      </c>
      <c r="G77" s="16">
        <v>13000</v>
      </c>
      <c r="H77" s="1">
        <f t="shared" si="3"/>
        <v>0</v>
      </c>
      <c r="I77" s="1"/>
      <c r="J77" s="1"/>
    </row>
    <row r="78" spans="2:10" x14ac:dyDescent="0.2">
      <c r="B78" s="1" t="s">
        <v>32</v>
      </c>
      <c r="C78" s="15">
        <v>8468</v>
      </c>
      <c r="D78" s="16">
        <v>10000</v>
      </c>
      <c r="E78" s="1"/>
      <c r="F78" s="17">
        <f t="shared" si="2"/>
        <v>105.56317956296843</v>
      </c>
      <c r="G78" s="16">
        <v>10000</v>
      </c>
      <c r="H78" s="1">
        <f t="shared" si="3"/>
        <v>0</v>
      </c>
      <c r="I78" s="1"/>
      <c r="J78" s="1"/>
    </row>
    <row r="79" spans="2:10" x14ac:dyDescent="0.2">
      <c r="B79" s="1" t="s">
        <v>32</v>
      </c>
      <c r="C79" s="15">
        <v>120</v>
      </c>
      <c r="D79" s="16">
        <v>14000</v>
      </c>
      <c r="E79" s="1"/>
      <c r="F79" s="17">
        <f t="shared" si="2"/>
        <v>147.78845138815581</v>
      </c>
      <c r="G79" s="16">
        <v>14000</v>
      </c>
      <c r="H79" s="1">
        <f t="shared" si="3"/>
        <v>0</v>
      </c>
      <c r="I79" s="1"/>
      <c r="J79" s="1"/>
    </row>
    <row r="80" spans="2:10" x14ac:dyDescent="0.2">
      <c r="B80" s="1" t="s">
        <v>32</v>
      </c>
      <c r="C80" s="15">
        <v>1888</v>
      </c>
      <c r="D80" s="16">
        <v>13000</v>
      </c>
      <c r="E80" s="1"/>
      <c r="F80" s="17">
        <f t="shared" si="2"/>
        <v>137.23213343185895</v>
      </c>
      <c r="G80" s="16">
        <v>13000</v>
      </c>
      <c r="H80" s="1">
        <f t="shared" si="3"/>
        <v>0</v>
      </c>
      <c r="I80" s="1"/>
      <c r="J80" s="1"/>
    </row>
    <row r="81" spans="2:10" x14ac:dyDescent="0.2">
      <c r="B81" s="1" t="s">
        <v>32</v>
      </c>
      <c r="C81" s="15">
        <v>118</v>
      </c>
      <c r="D81" s="16">
        <v>14000</v>
      </c>
      <c r="E81" s="1"/>
      <c r="F81" s="17">
        <v>147.78</v>
      </c>
      <c r="G81" s="16">
        <v>14000</v>
      </c>
      <c r="H81" s="1">
        <f t="shared" si="3"/>
        <v>0</v>
      </c>
      <c r="I81" s="1"/>
      <c r="J81" s="1"/>
    </row>
    <row r="82" spans="2:10" x14ac:dyDescent="0.2">
      <c r="B82" s="1" t="s">
        <v>32</v>
      </c>
      <c r="C82" s="15">
        <v>4884</v>
      </c>
      <c r="D82" s="16">
        <v>15000</v>
      </c>
      <c r="E82" s="1"/>
      <c r="F82" s="17">
        <f t="shared" si="2"/>
        <v>158.34476934445266</v>
      </c>
      <c r="G82" s="16">
        <v>15000</v>
      </c>
      <c r="H82" s="1">
        <f t="shared" si="3"/>
        <v>0</v>
      </c>
      <c r="I82" s="1"/>
      <c r="J82" s="1"/>
    </row>
    <row r="83" spans="2:10" x14ac:dyDescent="0.2">
      <c r="B83" s="1" t="s">
        <v>32</v>
      </c>
      <c r="C83" s="15">
        <v>7570</v>
      </c>
      <c r="D83" s="16">
        <v>25000</v>
      </c>
      <c r="E83" s="1"/>
      <c r="F83" s="17">
        <v>263.89999999999998</v>
      </c>
      <c r="G83" s="16">
        <v>25000</v>
      </c>
      <c r="H83" s="1">
        <f t="shared" si="3"/>
        <v>0</v>
      </c>
      <c r="I83" s="1"/>
      <c r="J83" s="1"/>
    </row>
    <row r="84" spans="2:10" x14ac:dyDescent="0.2">
      <c r="B84" s="1" t="s">
        <v>32</v>
      </c>
      <c r="C84" s="15">
        <v>775</v>
      </c>
      <c r="D84" s="16">
        <v>27000</v>
      </c>
      <c r="E84" s="1"/>
      <c r="F84" s="17">
        <f t="shared" si="2"/>
        <v>285.02058482001479</v>
      </c>
      <c r="G84" s="16">
        <v>27000</v>
      </c>
      <c r="H84" s="1">
        <f t="shared" si="3"/>
        <v>0</v>
      </c>
      <c r="I84" s="1"/>
      <c r="J84" s="1"/>
    </row>
    <row r="85" spans="2:10" x14ac:dyDescent="0.2">
      <c r="B85" s="1" t="s">
        <v>32</v>
      </c>
      <c r="C85" s="15">
        <v>1477</v>
      </c>
      <c r="D85" s="16">
        <v>17000</v>
      </c>
      <c r="E85" s="1"/>
      <c r="F85" s="17">
        <v>179.45</v>
      </c>
      <c r="G85" s="16">
        <v>17000</v>
      </c>
      <c r="H85" s="1">
        <f t="shared" si="3"/>
        <v>0</v>
      </c>
      <c r="I85" s="1"/>
      <c r="J85" s="1"/>
    </row>
    <row r="86" spans="2:10" x14ac:dyDescent="0.2">
      <c r="B86" s="1" t="s">
        <v>32</v>
      </c>
      <c r="C86" s="15">
        <v>4924</v>
      </c>
      <c r="D86" s="16">
        <v>12000</v>
      </c>
      <c r="E86" s="1"/>
      <c r="F86" s="17">
        <f t="shared" si="2"/>
        <v>126.67581547556212</v>
      </c>
      <c r="G86" s="16">
        <v>12000</v>
      </c>
      <c r="H86" s="1">
        <f t="shared" si="3"/>
        <v>0</v>
      </c>
      <c r="I86" s="1"/>
      <c r="J86" s="1"/>
    </row>
    <row r="87" spans="2:10" x14ac:dyDescent="0.2">
      <c r="B87" s="1" t="s">
        <v>32</v>
      </c>
      <c r="C87" s="15">
        <v>9192</v>
      </c>
      <c r="D87" s="16">
        <v>30000</v>
      </c>
      <c r="E87" s="1"/>
      <c r="F87" s="17">
        <f t="shared" si="2"/>
        <v>316.68953868890532</v>
      </c>
      <c r="G87" s="16">
        <v>30000</v>
      </c>
      <c r="H87" s="1">
        <f t="shared" si="3"/>
        <v>0</v>
      </c>
      <c r="I87" s="1"/>
      <c r="J87" s="1"/>
    </row>
    <row r="88" spans="2:10" x14ac:dyDescent="0.2">
      <c r="B88" s="1" t="s">
        <v>32</v>
      </c>
      <c r="C88" s="15">
        <v>293</v>
      </c>
      <c r="D88" s="16">
        <v>14000</v>
      </c>
      <c r="E88" s="1"/>
      <c r="F88" s="17">
        <f t="shared" si="2"/>
        <v>147.78845138815581</v>
      </c>
      <c r="G88" s="16">
        <v>14000</v>
      </c>
      <c r="H88" s="1">
        <f t="shared" si="3"/>
        <v>0</v>
      </c>
      <c r="I88" s="1"/>
      <c r="J88" s="1"/>
    </row>
    <row r="89" spans="2:10" x14ac:dyDescent="0.2">
      <c r="B89" s="1" t="s">
        <v>32</v>
      </c>
      <c r="C89" s="15">
        <v>3543</v>
      </c>
      <c r="D89" s="16">
        <v>18000</v>
      </c>
      <c r="E89" s="1"/>
      <c r="F89" s="17">
        <f t="shared" si="2"/>
        <v>190.01372321334318</v>
      </c>
      <c r="G89" s="16">
        <v>18000</v>
      </c>
      <c r="H89" s="1">
        <f t="shared" si="3"/>
        <v>0</v>
      </c>
      <c r="I89" s="1"/>
      <c r="J89" s="1"/>
    </row>
    <row r="90" spans="2:10" x14ac:dyDescent="0.2">
      <c r="B90" s="1" t="s">
        <v>32</v>
      </c>
      <c r="C90" s="15">
        <v>185</v>
      </c>
      <c r="D90" s="16">
        <v>26000</v>
      </c>
      <c r="E90" s="1"/>
      <c r="F90" s="17">
        <f t="shared" si="2"/>
        <v>274.46426686371791</v>
      </c>
      <c r="G90" s="16">
        <v>26000</v>
      </c>
      <c r="H90" s="1">
        <f t="shared" si="3"/>
        <v>0</v>
      </c>
      <c r="I90" s="1"/>
      <c r="J90" s="1"/>
    </row>
    <row r="91" spans="2:10" x14ac:dyDescent="0.2">
      <c r="B91" s="1" t="s">
        <v>32</v>
      </c>
      <c r="C91" s="15">
        <v>371</v>
      </c>
      <c r="D91" s="16">
        <v>17000</v>
      </c>
      <c r="E91" s="1"/>
      <c r="F91" s="17">
        <f t="shared" si="2"/>
        <v>179.45740525704633</v>
      </c>
      <c r="G91" s="16">
        <v>17000</v>
      </c>
      <c r="H91" s="1">
        <f t="shared" si="3"/>
        <v>0</v>
      </c>
      <c r="I91" s="1"/>
      <c r="J91" s="1"/>
    </row>
    <row r="92" spans="2:10" x14ac:dyDescent="0.2">
      <c r="B92" s="1" t="s">
        <v>32</v>
      </c>
      <c r="C92" s="15">
        <v>5353</v>
      </c>
      <c r="D92" s="16">
        <v>15000</v>
      </c>
      <c r="E92" s="1"/>
      <c r="F92" s="17">
        <f t="shared" si="2"/>
        <v>158.34476934445266</v>
      </c>
      <c r="G92" s="16">
        <v>15000</v>
      </c>
      <c r="H92" s="1">
        <f t="shared" si="3"/>
        <v>0</v>
      </c>
      <c r="I92" s="1"/>
      <c r="J92" s="1"/>
    </row>
    <row r="93" spans="2:10" x14ac:dyDescent="0.2">
      <c r="B93" s="1" t="s">
        <v>48</v>
      </c>
      <c r="C93" s="15">
        <v>1557</v>
      </c>
      <c r="D93" s="16">
        <v>20000</v>
      </c>
      <c r="E93" s="1"/>
      <c r="F93" s="17">
        <f t="shared" ref="F93:F115" si="4">D93/94.81</f>
        <v>210.94821221390148</v>
      </c>
      <c r="G93" s="16">
        <v>20000</v>
      </c>
      <c r="H93" s="1">
        <f t="shared" si="3"/>
        <v>0</v>
      </c>
      <c r="I93" s="1"/>
      <c r="J93" s="1"/>
    </row>
    <row r="94" spans="2:10" x14ac:dyDescent="0.2">
      <c r="B94" s="1" t="s">
        <v>48</v>
      </c>
      <c r="C94" s="15">
        <v>7029</v>
      </c>
      <c r="D94" s="16">
        <v>12000</v>
      </c>
      <c r="E94" s="1"/>
      <c r="F94" s="17">
        <f t="shared" si="4"/>
        <v>126.56892732834089</v>
      </c>
      <c r="G94" s="16">
        <v>12000</v>
      </c>
      <c r="H94" s="1">
        <f t="shared" si="3"/>
        <v>0</v>
      </c>
      <c r="I94" s="1"/>
      <c r="J94" s="1"/>
    </row>
    <row r="95" spans="2:10" x14ac:dyDescent="0.2">
      <c r="B95" s="1" t="s">
        <v>48</v>
      </c>
      <c r="C95" s="15">
        <v>4126</v>
      </c>
      <c r="D95" s="16">
        <v>13000</v>
      </c>
      <c r="E95" s="1"/>
      <c r="F95" s="17">
        <f t="shared" si="4"/>
        <v>137.11633793903596</v>
      </c>
      <c r="G95" s="16">
        <v>13000</v>
      </c>
      <c r="H95" s="1">
        <f t="shared" si="3"/>
        <v>0</v>
      </c>
      <c r="I95" s="1"/>
      <c r="J95" s="1"/>
    </row>
    <row r="96" spans="2:10" x14ac:dyDescent="0.2">
      <c r="B96" s="1" t="s">
        <v>48</v>
      </c>
      <c r="C96" s="15">
        <v>8326</v>
      </c>
      <c r="D96" s="16">
        <v>17000</v>
      </c>
      <c r="E96" s="1"/>
      <c r="F96" s="17">
        <f t="shared" si="4"/>
        <v>179.30598038181625</v>
      </c>
      <c r="G96" s="16">
        <v>17000</v>
      </c>
      <c r="H96" s="1">
        <f t="shared" si="3"/>
        <v>0</v>
      </c>
      <c r="I96" s="1"/>
      <c r="J96" s="1"/>
    </row>
    <row r="97" spans="2:10" x14ac:dyDescent="0.2">
      <c r="B97" s="1" t="s">
        <v>48</v>
      </c>
      <c r="C97" s="15">
        <v>5014</v>
      </c>
      <c r="D97" s="16">
        <v>15000</v>
      </c>
      <c r="E97" s="1"/>
      <c r="F97" s="17">
        <f t="shared" si="4"/>
        <v>158.21115916042612</v>
      </c>
      <c r="G97" s="16">
        <v>15000</v>
      </c>
      <c r="H97" s="1">
        <f t="shared" si="3"/>
        <v>0</v>
      </c>
      <c r="I97" s="1"/>
      <c r="J97" s="1"/>
    </row>
    <row r="98" spans="2:10" x14ac:dyDescent="0.2">
      <c r="B98" s="1" t="s">
        <v>48</v>
      </c>
      <c r="C98" s="15">
        <v>1973</v>
      </c>
      <c r="D98" s="16">
        <v>10000</v>
      </c>
      <c r="E98" s="1"/>
      <c r="F98" s="17">
        <f t="shared" si="4"/>
        <v>105.47410610695074</v>
      </c>
      <c r="G98" s="16">
        <v>10000</v>
      </c>
      <c r="H98" s="1">
        <f t="shared" si="3"/>
        <v>0</v>
      </c>
      <c r="I98" s="1"/>
      <c r="J98" s="1"/>
    </row>
    <row r="99" spans="2:10" x14ac:dyDescent="0.2">
      <c r="B99" s="1" t="s">
        <v>48</v>
      </c>
      <c r="C99" s="15">
        <v>30</v>
      </c>
      <c r="D99" s="16">
        <v>28000</v>
      </c>
      <c r="E99" s="1"/>
      <c r="F99" s="17">
        <f t="shared" si="4"/>
        <v>295.32749709946205</v>
      </c>
      <c r="G99" s="16">
        <v>28000</v>
      </c>
      <c r="H99" s="1">
        <f t="shared" si="3"/>
        <v>0</v>
      </c>
      <c r="I99" s="1"/>
      <c r="J99" s="1"/>
    </row>
    <row r="100" spans="2:10" x14ac:dyDescent="0.2">
      <c r="B100" s="1" t="s">
        <v>48</v>
      </c>
      <c r="C100" s="15">
        <v>2234</v>
      </c>
      <c r="D100" s="16">
        <v>19000</v>
      </c>
      <c r="E100" s="1"/>
      <c r="F100" s="17">
        <f t="shared" si="4"/>
        <v>200.40080160320642</v>
      </c>
      <c r="G100" s="16">
        <v>19000</v>
      </c>
      <c r="H100" s="1">
        <f t="shared" si="3"/>
        <v>0</v>
      </c>
      <c r="I100" s="1"/>
      <c r="J100" s="1"/>
    </row>
    <row r="101" spans="2:10" x14ac:dyDescent="0.2">
      <c r="B101" s="1" t="s">
        <v>48</v>
      </c>
      <c r="C101" s="15">
        <v>2962</v>
      </c>
      <c r="D101" s="16">
        <v>16000</v>
      </c>
      <c r="E101" s="1"/>
      <c r="F101" s="17">
        <f t="shared" si="4"/>
        <v>168.75856977112119</v>
      </c>
      <c r="G101" s="16">
        <v>16000</v>
      </c>
      <c r="H101" s="1">
        <f t="shared" si="3"/>
        <v>0</v>
      </c>
      <c r="I101" s="1"/>
      <c r="J101" s="1"/>
    </row>
    <row r="102" spans="2:10" x14ac:dyDescent="0.2">
      <c r="B102" s="1" t="s">
        <v>48</v>
      </c>
      <c r="C102" s="15">
        <v>2740</v>
      </c>
      <c r="D102" s="16">
        <v>15000</v>
      </c>
      <c r="E102" s="1"/>
      <c r="F102" s="17">
        <f t="shared" si="4"/>
        <v>158.21115916042612</v>
      </c>
      <c r="G102" s="16">
        <v>15000</v>
      </c>
      <c r="H102" s="1">
        <f t="shared" si="3"/>
        <v>0</v>
      </c>
      <c r="I102" s="1"/>
      <c r="J102" s="1"/>
    </row>
    <row r="103" spans="2:10" x14ac:dyDescent="0.2">
      <c r="B103" s="1" t="s">
        <v>48</v>
      </c>
      <c r="C103" s="15">
        <v>129</v>
      </c>
      <c r="D103" s="16">
        <v>14000</v>
      </c>
      <c r="E103" s="1"/>
      <c r="F103" s="17">
        <f t="shared" si="4"/>
        <v>147.66374854973103</v>
      </c>
      <c r="G103" s="16">
        <v>14000</v>
      </c>
      <c r="H103" s="1">
        <f t="shared" si="3"/>
        <v>0</v>
      </c>
      <c r="I103" s="1"/>
      <c r="J103" s="1"/>
    </row>
    <row r="104" spans="2:10" x14ac:dyDescent="0.2">
      <c r="B104" s="1" t="s">
        <v>48</v>
      </c>
      <c r="C104" s="15">
        <v>3626</v>
      </c>
      <c r="D104" s="16">
        <v>20000</v>
      </c>
      <c r="E104" s="1"/>
      <c r="F104" s="17">
        <f t="shared" si="4"/>
        <v>210.94821221390148</v>
      </c>
      <c r="G104" s="16">
        <v>20000</v>
      </c>
      <c r="H104" s="1">
        <f t="shared" si="3"/>
        <v>0</v>
      </c>
      <c r="I104" s="1"/>
      <c r="J104" s="1"/>
    </row>
    <row r="105" spans="2:10" x14ac:dyDescent="0.2">
      <c r="B105" s="1" t="s">
        <v>48</v>
      </c>
      <c r="C105" s="15">
        <v>2963</v>
      </c>
      <c r="D105" s="16">
        <v>16000</v>
      </c>
      <c r="E105" s="1"/>
      <c r="F105" s="17">
        <f t="shared" si="4"/>
        <v>168.75856977112119</v>
      </c>
      <c r="G105" s="16">
        <v>16000</v>
      </c>
      <c r="H105" s="1">
        <f t="shared" si="3"/>
        <v>0</v>
      </c>
      <c r="I105" s="1"/>
      <c r="J105" s="1"/>
    </row>
    <row r="106" spans="2:10" x14ac:dyDescent="0.2">
      <c r="B106" s="1" t="s">
        <v>48</v>
      </c>
      <c r="C106" s="15">
        <v>5404</v>
      </c>
      <c r="D106" s="16">
        <v>12000</v>
      </c>
      <c r="E106" s="1"/>
      <c r="F106" s="17">
        <f t="shared" si="4"/>
        <v>126.56892732834089</v>
      </c>
      <c r="G106" s="16">
        <v>12000</v>
      </c>
      <c r="H106" s="1">
        <f t="shared" si="3"/>
        <v>0</v>
      </c>
      <c r="I106" s="1"/>
      <c r="J106" s="1"/>
    </row>
    <row r="107" spans="2:10" x14ac:dyDescent="0.2">
      <c r="B107" s="1" t="s">
        <v>48</v>
      </c>
      <c r="C107" s="15">
        <v>128</v>
      </c>
      <c r="D107" s="16">
        <v>13000</v>
      </c>
      <c r="E107" s="1"/>
      <c r="F107" s="17">
        <f t="shared" si="4"/>
        <v>137.11633793903596</v>
      </c>
      <c r="G107" s="16">
        <v>13000</v>
      </c>
      <c r="H107" s="1">
        <f t="shared" si="3"/>
        <v>0</v>
      </c>
      <c r="I107" s="1"/>
      <c r="J107" s="1"/>
    </row>
    <row r="108" spans="2:10" x14ac:dyDescent="0.2">
      <c r="B108" s="1" t="s">
        <v>48</v>
      </c>
      <c r="C108" s="15">
        <v>2526</v>
      </c>
      <c r="D108" s="16">
        <v>17000</v>
      </c>
      <c r="E108" s="1"/>
      <c r="F108" s="17">
        <f t="shared" si="4"/>
        <v>179.30598038181625</v>
      </c>
      <c r="G108" s="16">
        <v>17000</v>
      </c>
      <c r="H108" s="1">
        <f t="shared" si="3"/>
        <v>0</v>
      </c>
      <c r="I108" s="1"/>
      <c r="J108" s="1"/>
    </row>
    <row r="109" spans="2:10" x14ac:dyDescent="0.2">
      <c r="B109" s="1" t="s">
        <v>48</v>
      </c>
      <c r="C109" s="15" t="s">
        <v>55</v>
      </c>
      <c r="D109" s="16">
        <v>25000</v>
      </c>
      <c r="E109" s="1"/>
      <c r="F109" s="17">
        <f t="shared" si="4"/>
        <v>263.68526526737685</v>
      </c>
      <c r="G109" s="16">
        <v>25000</v>
      </c>
      <c r="H109" s="1">
        <f t="shared" si="3"/>
        <v>0</v>
      </c>
      <c r="I109" s="1"/>
      <c r="J109" s="1"/>
    </row>
    <row r="110" spans="2:10" x14ac:dyDescent="0.2">
      <c r="B110" s="1" t="s">
        <v>48</v>
      </c>
      <c r="C110" s="15">
        <v>2961</v>
      </c>
      <c r="D110" s="16">
        <v>16000</v>
      </c>
      <c r="E110" s="1"/>
      <c r="F110" s="17">
        <f t="shared" si="4"/>
        <v>168.75856977112119</v>
      </c>
      <c r="G110" s="16">
        <v>16000</v>
      </c>
      <c r="H110" s="1">
        <f t="shared" si="3"/>
        <v>0</v>
      </c>
      <c r="I110" s="1"/>
      <c r="J110" s="1"/>
    </row>
    <row r="111" spans="2:10" x14ac:dyDescent="0.2">
      <c r="B111" s="1" t="s">
        <v>48</v>
      </c>
      <c r="C111" s="15" t="s">
        <v>54</v>
      </c>
      <c r="D111" s="16">
        <v>25000</v>
      </c>
      <c r="E111" s="1"/>
      <c r="F111" s="17">
        <f t="shared" si="4"/>
        <v>263.68526526737685</v>
      </c>
      <c r="G111" s="16">
        <v>25000</v>
      </c>
      <c r="H111" s="1">
        <f t="shared" si="3"/>
        <v>0</v>
      </c>
      <c r="I111" s="1"/>
      <c r="J111" s="1"/>
    </row>
    <row r="112" spans="2:10" x14ac:dyDescent="0.2">
      <c r="B112" s="1" t="s">
        <v>48</v>
      </c>
      <c r="C112" s="15">
        <v>6821</v>
      </c>
      <c r="D112" s="16">
        <v>16000</v>
      </c>
      <c r="E112" s="1"/>
      <c r="F112" s="17">
        <f t="shared" si="4"/>
        <v>168.75856977112119</v>
      </c>
      <c r="G112" s="16">
        <v>16000</v>
      </c>
      <c r="H112" s="1">
        <f t="shared" si="3"/>
        <v>0</v>
      </c>
      <c r="I112" s="1"/>
      <c r="J112" s="1"/>
    </row>
    <row r="113" spans="2:10" x14ac:dyDescent="0.2">
      <c r="B113" s="1" t="s">
        <v>48</v>
      </c>
      <c r="C113" s="15">
        <v>3548</v>
      </c>
      <c r="D113" s="16">
        <v>17000</v>
      </c>
      <c r="E113" s="1"/>
      <c r="F113" s="17">
        <f t="shared" si="4"/>
        <v>179.30598038181625</v>
      </c>
      <c r="G113" s="16">
        <v>17000</v>
      </c>
      <c r="H113" s="1">
        <f t="shared" si="3"/>
        <v>0</v>
      </c>
      <c r="I113" s="1"/>
      <c r="J113" s="1"/>
    </row>
    <row r="114" spans="2:10" x14ac:dyDescent="0.2">
      <c r="B114" s="1" t="s">
        <v>48</v>
      </c>
      <c r="C114" s="15">
        <v>4393</v>
      </c>
      <c r="D114" s="16">
        <v>25000</v>
      </c>
      <c r="E114" s="1"/>
      <c r="F114" s="17">
        <f t="shared" si="4"/>
        <v>263.68526526737685</v>
      </c>
      <c r="G114" s="16">
        <v>25000</v>
      </c>
      <c r="H114" s="1">
        <f t="shared" si="3"/>
        <v>0</v>
      </c>
      <c r="I114" s="1"/>
      <c r="J114" s="1"/>
    </row>
    <row r="115" spans="2:10" x14ac:dyDescent="0.2">
      <c r="B115" s="1" t="s">
        <v>48</v>
      </c>
      <c r="C115" s="15">
        <v>4551</v>
      </c>
      <c r="D115" s="16">
        <v>15000</v>
      </c>
      <c r="E115" s="1"/>
      <c r="F115" s="17">
        <f t="shared" si="4"/>
        <v>158.21115916042612</v>
      </c>
      <c r="G115" s="16">
        <v>15000</v>
      </c>
      <c r="H115" s="1">
        <f t="shared" si="3"/>
        <v>0</v>
      </c>
      <c r="I115" s="1"/>
      <c r="J115" s="1"/>
    </row>
    <row r="116" spans="2:10" x14ac:dyDescent="0.2">
      <c r="B116" s="1" t="s">
        <v>48</v>
      </c>
      <c r="C116" s="15">
        <v>8191</v>
      </c>
      <c r="D116" s="16">
        <v>28000</v>
      </c>
      <c r="E116" s="1"/>
      <c r="F116" s="17">
        <f>D116/99.66</f>
        <v>280.95524784266507</v>
      </c>
      <c r="G116" s="16">
        <v>28000</v>
      </c>
      <c r="H116" s="1">
        <f t="shared" si="3"/>
        <v>0</v>
      </c>
      <c r="I116" s="1"/>
      <c r="J116" s="1"/>
    </row>
    <row r="117" spans="2:10" x14ac:dyDescent="0.2">
      <c r="B117" s="1" t="s">
        <v>48</v>
      </c>
      <c r="C117" s="15">
        <v>4967</v>
      </c>
      <c r="D117" s="16">
        <v>25000</v>
      </c>
      <c r="E117" s="1"/>
      <c r="F117" s="17">
        <v>315.36</v>
      </c>
      <c r="G117" s="16">
        <v>25000</v>
      </c>
      <c r="H117" s="1">
        <f t="shared" si="3"/>
        <v>0</v>
      </c>
      <c r="I117" s="1"/>
      <c r="J117" s="1"/>
    </row>
    <row r="118" spans="2:10" x14ac:dyDescent="0.2">
      <c r="B118" s="1" t="s">
        <v>48</v>
      </c>
      <c r="C118" s="15">
        <v>1992</v>
      </c>
      <c r="D118" s="16">
        <v>30000</v>
      </c>
      <c r="E118" s="1"/>
      <c r="F118" s="17">
        <f>D118/114.96</f>
        <v>260.96033402922757</v>
      </c>
      <c r="G118" s="16">
        <v>30000</v>
      </c>
      <c r="H118" s="1">
        <f t="shared" si="3"/>
        <v>0</v>
      </c>
      <c r="I118" s="1"/>
      <c r="J118" s="1"/>
    </row>
    <row r="119" spans="2:10" x14ac:dyDescent="0.2">
      <c r="B119" s="1" t="s">
        <v>48</v>
      </c>
      <c r="C119" s="15">
        <v>2943</v>
      </c>
      <c r="D119" s="16">
        <v>33000</v>
      </c>
      <c r="E119" s="1"/>
      <c r="F119" s="17">
        <f>D119/99.66</f>
        <v>331.12582781456956</v>
      </c>
      <c r="G119" s="16">
        <v>33000</v>
      </c>
      <c r="H119" s="1">
        <f t="shared" si="3"/>
        <v>0</v>
      </c>
      <c r="I119" s="1"/>
      <c r="J119" s="1"/>
    </row>
    <row r="120" spans="2:10" x14ac:dyDescent="0.2">
      <c r="B120" s="1" t="s">
        <v>48</v>
      </c>
      <c r="C120" s="15">
        <v>2283</v>
      </c>
      <c r="D120" s="16">
        <v>10000</v>
      </c>
      <c r="E120" s="1"/>
      <c r="F120" s="17">
        <v>105.12</v>
      </c>
      <c r="G120" s="16">
        <v>10000</v>
      </c>
      <c r="H120" s="1">
        <f t="shared" si="3"/>
        <v>0</v>
      </c>
      <c r="I120" s="1"/>
      <c r="J120" s="1"/>
    </row>
    <row r="121" spans="2:10" x14ac:dyDescent="0.2">
      <c r="B121" s="1" t="s">
        <v>48</v>
      </c>
      <c r="C121" s="15">
        <v>2227</v>
      </c>
      <c r="D121" s="16">
        <v>16000</v>
      </c>
      <c r="E121" s="1"/>
      <c r="F121" s="17">
        <v>168.19</v>
      </c>
      <c r="G121" s="16">
        <v>16000</v>
      </c>
      <c r="H121" s="1">
        <f t="shared" si="3"/>
        <v>0</v>
      </c>
      <c r="I121" s="1"/>
      <c r="J121" s="1"/>
    </row>
    <row r="122" spans="2:10" x14ac:dyDescent="0.2">
      <c r="B122" s="1" t="s">
        <v>50</v>
      </c>
      <c r="C122" s="15">
        <v>5826</v>
      </c>
      <c r="D122" s="16">
        <v>12000</v>
      </c>
      <c r="E122" s="1"/>
      <c r="F122" s="17">
        <v>125.09</v>
      </c>
      <c r="G122" s="16">
        <v>12000</v>
      </c>
      <c r="H122" s="1">
        <f t="shared" si="3"/>
        <v>0</v>
      </c>
      <c r="I122" s="1"/>
      <c r="J122" s="1"/>
    </row>
    <row r="123" spans="2:10" x14ac:dyDescent="0.2">
      <c r="B123" s="1" t="s">
        <v>50</v>
      </c>
      <c r="C123" s="15">
        <v>4326</v>
      </c>
      <c r="D123" s="16">
        <v>15000</v>
      </c>
      <c r="E123" s="1"/>
      <c r="F123" s="17">
        <v>156.36000000000001</v>
      </c>
      <c r="G123" s="16">
        <v>15000</v>
      </c>
      <c r="H123" s="1">
        <f t="shared" si="3"/>
        <v>0</v>
      </c>
      <c r="I123" s="1"/>
      <c r="J123" s="1"/>
    </row>
    <row r="124" spans="2:10" x14ac:dyDescent="0.2">
      <c r="B124" s="1" t="s">
        <v>50</v>
      </c>
      <c r="C124" s="15" t="s">
        <v>30</v>
      </c>
      <c r="D124" s="16">
        <v>3500</v>
      </c>
      <c r="E124" s="1"/>
      <c r="F124" s="17">
        <v>36.479999999999997</v>
      </c>
      <c r="G124" s="16">
        <v>3500</v>
      </c>
      <c r="H124" s="1">
        <f t="shared" si="3"/>
        <v>0</v>
      </c>
      <c r="I124" s="1"/>
      <c r="J124" s="1"/>
    </row>
    <row r="125" spans="2:10" x14ac:dyDescent="0.2">
      <c r="B125" s="1" t="s">
        <v>50</v>
      </c>
      <c r="C125" s="15"/>
      <c r="D125" s="16">
        <v>5000</v>
      </c>
      <c r="E125" s="1"/>
      <c r="F125" s="17">
        <v>52.12</v>
      </c>
      <c r="G125" s="16">
        <v>5000</v>
      </c>
      <c r="H125" s="1">
        <f t="shared" si="3"/>
        <v>0</v>
      </c>
      <c r="I125" s="1"/>
      <c r="J125" s="1"/>
    </row>
    <row r="126" spans="2:10" x14ac:dyDescent="0.2">
      <c r="B126" s="1" t="s">
        <v>50</v>
      </c>
      <c r="C126" s="15">
        <v>3426</v>
      </c>
      <c r="D126" s="16">
        <v>14000</v>
      </c>
      <c r="E126" s="1"/>
      <c r="F126" s="17">
        <v>145.94</v>
      </c>
      <c r="G126" s="16">
        <v>14000</v>
      </c>
      <c r="H126" s="1">
        <f t="shared" si="3"/>
        <v>0</v>
      </c>
      <c r="I126" s="1"/>
      <c r="J126" s="1"/>
    </row>
    <row r="127" spans="2:10" x14ac:dyDescent="0.2">
      <c r="B127" s="1" t="s">
        <v>50</v>
      </c>
      <c r="C127" s="15">
        <v>2232</v>
      </c>
      <c r="D127" s="16">
        <v>20000</v>
      </c>
      <c r="E127" s="1"/>
      <c r="F127" s="17">
        <v>208.49</v>
      </c>
      <c r="G127" s="16">
        <v>20000</v>
      </c>
      <c r="H127" s="1">
        <f t="shared" si="3"/>
        <v>0</v>
      </c>
      <c r="I127" s="1"/>
      <c r="J127" s="1"/>
    </row>
    <row r="128" spans="2:10" x14ac:dyDescent="0.2">
      <c r="B128" s="1" t="s">
        <v>50</v>
      </c>
      <c r="C128" s="15">
        <v>2056</v>
      </c>
      <c r="D128" s="16">
        <v>17000</v>
      </c>
      <c r="E128" s="1"/>
      <c r="F128" s="17">
        <v>177.21</v>
      </c>
      <c r="G128" s="16">
        <v>17000</v>
      </c>
      <c r="H128" s="1">
        <f t="shared" si="3"/>
        <v>0</v>
      </c>
      <c r="I128" s="1"/>
      <c r="J128" s="1"/>
    </row>
    <row r="129" spans="2:10" x14ac:dyDescent="0.2">
      <c r="B129" s="1" t="s">
        <v>50</v>
      </c>
      <c r="C129" s="15">
        <v>1152</v>
      </c>
      <c r="D129" s="16">
        <v>12000</v>
      </c>
      <c r="E129" s="1"/>
      <c r="F129" s="17">
        <v>125.09</v>
      </c>
      <c r="G129" s="16">
        <v>12000</v>
      </c>
      <c r="H129" s="1">
        <f t="shared" si="3"/>
        <v>0</v>
      </c>
      <c r="I129" s="1"/>
      <c r="J129" s="1"/>
    </row>
    <row r="130" spans="2:10" x14ac:dyDescent="0.2">
      <c r="B130" s="1" t="s">
        <v>50</v>
      </c>
      <c r="C130" s="15">
        <v>2615</v>
      </c>
      <c r="D130" s="16">
        <v>25000</v>
      </c>
      <c r="E130" s="1"/>
      <c r="F130" s="17">
        <v>260.60000000000002</v>
      </c>
      <c r="G130" s="16">
        <v>25000</v>
      </c>
      <c r="H130" s="1">
        <f t="shared" si="3"/>
        <v>0</v>
      </c>
      <c r="I130" s="1"/>
      <c r="J130" s="1"/>
    </row>
    <row r="131" spans="2:10" x14ac:dyDescent="0.2">
      <c r="B131" s="1" t="s">
        <v>50</v>
      </c>
      <c r="C131" s="15">
        <v>4494</v>
      </c>
      <c r="D131" s="16">
        <v>19000</v>
      </c>
      <c r="E131" s="1"/>
      <c r="F131" s="17">
        <v>198.06</v>
      </c>
      <c r="G131" s="16">
        <v>19000</v>
      </c>
      <c r="H131" s="1">
        <f t="shared" si="3"/>
        <v>0</v>
      </c>
      <c r="I131" s="1"/>
      <c r="J131" s="1"/>
    </row>
    <row r="132" spans="2:10" x14ac:dyDescent="0.2">
      <c r="B132" s="1" t="s">
        <v>50</v>
      </c>
      <c r="C132" s="15">
        <v>5567</v>
      </c>
      <c r="D132" s="16">
        <v>18000</v>
      </c>
      <c r="E132" s="1"/>
      <c r="F132" s="17">
        <v>187.63</v>
      </c>
      <c r="G132" s="16">
        <v>18000</v>
      </c>
      <c r="H132" s="1">
        <f t="shared" si="3"/>
        <v>0</v>
      </c>
      <c r="I132" s="1"/>
      <c r="J132" s="1"/>
    </row>
    <row r="133" spans="2:10" x14ac:dyDescent="0.2">
      <c r="B133" s="1" t="s">
        <v>50</v>
      </c>
      <c r="C133" s="15">
        <v>2057</v>
      </c>
      <c r="D133" s="16">
        <v>25000</v>
      </c>
      <c r="E133" s="1"/>
      <c r="F133" s="17">
        <v>260.61</v>
      </c>
      <c r="G133" s="16">
        <v>25000</v>
      </c>
      <c r="H133" s="1">
        <f t="shared" si="3"/>
        <v>0</v>
      </c>
      <c r="I133" s="1"/>
      <c r="J133" s="1"/>
    </row>
    <row r="134" spans="2:10" x14ac:dyDescent="0.2">
      <c r="B134" s="1" t="s">
        <v>50</v>
      </c>
      <c r="C134" s="15">
        <v>148</v>
      </c>
      <c r="D134" s="16">
        <v>14000</v>
      </c>
      <c r="E134" s="1"/>
      <c r="F134" s="17">
        <v>145.94</v>
      </c>
      <c r="G134" s="16">
        <v>14000</v>
      </c>
      <c r="H134" s="1">
        <f t="shared" ref="H134:H197" si="5">D134-G134</f>
        <v>0</v>
      </c>
      <c r="I134" s="1"/>
      <c r="J134" s="1"/>
    </row>
    <row r="135" spans="2:10" x14ac:dyDescent="0.2">
      <c r="B135" s="1" t="s">
        <v>50</v>
      </c>
      <c r="C135" s="15">
        <v>7350</v>
      </c>
      <c r="D135" s="16">
        <v>14000</v>
      </c>
      <c r="E135" s="1"/>
      <c r="F135" s="17">
        <v>145.94</v>
      </c>
      <c r="G135" s="16">
        <v>14000</v>
      </c>
      <c r="H135" s="1">
        <f t="shared" si="5"/>
        <v>0</v>
      </c>
      <c r="I135" s="1"/>
      <c r="J135" s="1"/>
    </row>
    <row r="136" spans="2:10" x14ac:dyDescent="0.2">
      <c r="B136" s="1" t="s">
        <v>50</v>
      </c>
      <c r="C136" s="15">
        <v>4747</v>
      </c>
      <c r="D136" s="16">
        <v>12000</v>
      </c>
      <c r="E136" s="1"/>
      <c r="F136" s="17">
        <v>125.09</v>
      </c>
      <c r="G136" s="16">
        <v>12000</v>
      </c>
      <c r="H136" s="1">
        <f t="shared" si="5"/>
        <v>0</v>
      </c>
      <c r="I136" s="1"/>
      <c r="J136" s="1"/>
    </row>
    <row r="137" spans="2:10" x14ac:dyDescent="0.2">
      <c r="B137" s="1" t="s">
        <v>50</v>
      </c>
      <c r="C137" s="15">
        <v>8386</v>
      </c>
      <c r="D137" s="16">
        <v>8000</v>
      </c>
      <c r="E137" s="1"/>
      <c r="F137" s="17">
        <v>83.39</v>
      </c>
      <c r="G137" s="16">
        <v>8000</v>
      </c>
      <c r="H137" s="1">
        <f t="shared" si="5"/>
        <v>0</v>
      </c>
      <c r="I137" s="1"/>
      <c r="J137" s="1"/>
    </row>
    <row r="138" spans="2:10" x14ac:dyDescent="0.2">
      <c r="B138" s="1" t="s">
        <v>50</v>
      </c>
      <c r="C138" s="15">
        <v>6648</v>
      </c>
      <c r="D138" s="16">
        <v>28000</v>
      </c>
      <c r="E138" s="1"/>
      <c r="F138" s="17">
        <v>291.88</v>
      </c>
      <c r="G138" s="16">
        <v>28000</v>
      </c>
      <c r="H138" s="1">
        <f t="shared" si="5"/>
        <v>0</v>
      </c>
      <c r="I138" s="1"/>
      <c r="J138" s="1"/>
    </row>
    <row r="139" spans="2:10" x14ac:dyDescent="0.2">
      <c r="B139" s="1" t="s">
        <v>50</v>
      </c>
      <c r="C139" s="15">
        <v>5659</v>
      </c>
      <c r="D139" s="16">
        <v>30000</v>
      </c>
      <c r="E139" s="1"/>
      <c r="F139" s="17">
        <v>312.73</v>
      </c>
      <c r="G139" s="16">
        <v>30000</v>
      </c>
      <c r="H139" s="1">
        <f t="shared" si="5"/>
        <v>0</v>
      </c>
      <c r="I139" s="1"/>
      <c r="J139" s="1"/>
    </row>
    <row r="140" spans="2:10" x14ac:dyDescent="0.2">
      <c r="B140" s="1" t="s">
        <v>50</v>
      </c>
      <c r="C140" s="15">
        <v>1289</v>
      </c>
      <c r="D140" s="16">
        <v>23000</v>
      </c>
      <c r="E140" s="1"/>
      <c r="F140" s="17">
        <v>239.75</v>
      </c>
      <c r="G140" s="16">
        <v>23000</v>
      </c>
      <c r="H140" s="1">
        <f t="shared" si="5"/>
        <v>0</v>
      </c>
      <c r="I140" s="1"/>
      <c r="J140" s="1"/>
    </row>
    <row r="141" spans="2:10" x14ac:dyDescent="0.2">
      <c r="B141" s="1" t="s">
        <v>50</v>
      </c>
      <c r="C141" s="15">
        <v>293</v>
      </c>
      <c r="D141" s="16">
        <v>14000</v>
      </c>
      <c r="E141" s="1"/>
      <c r="F141" s="17">
        <v>145.94</v>
      </c>
      <c r="G141" s="16">
        <v>14000</v>
      </c>
      <c r="H141" s="1">
        <f t="shared" si="5"/>
        <v>0</v>
      </c>
      <c r="I141" s="1"/>
      <c r="J141" s="1"/>
    </row>
    <row r="142" spans="2:10" x14ac:dyDescent="0.2">
      <c r="B142" s="1" t="s">
        <v>50</v>
      </c>
      <c r="C142" s="15">
        <v>4953</v>
      </c>
      <c r="D142" s="16">
        <v>8000</v>
      </c>
      <c r="E142" s="1"/>
      <c r="F142" s="17">
        <v>83.39</v>
      </c>
      <c r="G142" s="16">
        <v>8000</v>
      </c>
      <c r="H142" s="1">
        <f t="shared" si="5"/>
        <v>0</v>
      </c>
      <c r="I142" s="1"/>
      <c r="J142" s="1"/>
    </row>
    <row r="143" spans="2:10" x14ac:dyDescent="0.2">
      <c r="B143" s="1" t="s">
        <v>50</v>
      </c>
      <c r="C143" s="15" t="s">
        <v>30</v>
      </c>
      <c r="D143" s="16">
        <v>4500</v>
      </c>
      <c r="E143" s="1"/>
      <c r="F143" s="17">
        <v>46.91</v>
      </c>
      <c r="G143" s="16">
        <v>4500</v>
      </c>
      <c r="H143" s="1">
        <f t="shared" si="5"/>
        <v>0</v>
      </c>
      <c r="I143" s="1"/>
      <c r="J143" s="1"/>
    </row>
    <row r="144" spans="2:10" x14ac:dyDescent="0.2">
      <c r="B144" s="1" t="s">
        <v>50</v>
      </c>
      <c r="C144" s="15">
        <v>8108</v>
      </c>
      <c r="D144" s="16">
        <v>30000</v>
      </c>
      <c r="E144" s="1"/>
      <c r="F144" s="17">
        <v>312.73</v>
      </c>
      <c r="G144" s="16">
        <v>30000</v>
      </c>
      <c r="H144" s="1">
        <f t="shared" si="5"/>
        <v>0</v>
      </c>
      <c r="I144" s="1"/>
      <c r="J144" s="1"/>
    </row>
    <row r="145" spans="2:10" x14ac:dyDescent="0.2">
      <c r="B145" s="1" t="s">
        <v>50</v>
      </c>
      <c r="C145" s="15">
        <v>118</v>
      </c>
      <c r="D145" s="16">
        <v>14000</v>
      </c>
      <c r="E145" s="1"/>
      <c r="F145" s="17">
        <v>145.9</v>
      </c>
      <c r="G145" s="16">
        <v>14000</v>
      </c>
      <c r="H145" s="1">
        <f t="shared" si="5"/>
        <v>0</v>
      </c>
      <c r="I145" s="1"/>
      <c r="J145" s="1"/>
    </row>
    <row r="146" spans="2:10" x14ac:dyDescent="0.2">
      <c r="B146" s="1" t="s">
        <v>50</v>
      </c>
      <c r="C146" s="15">
        <v>4608</v>
      </c>
      <c r="D146" s="16">
        <v>23000</v>
      </c>
      <c r="E146" s="1"/>
      <c r="F146" s="17">
        <v>239.76</v>
      </c>
      <c r="G146" s="16">
        <v>23000</v>
      </c>
      <c r="H146" s="1">
        <f t="shared" si="5"/>
        <v>0</v>
      </c>
      <c r="I146" s="1"/>
      <c r="J146" s="1"/>
    </row>
    <row r="147" spans="2:10" x14ac:dyDescent="0.2">
      <c r="B147" s="1" t="s">
        <v>50</v>
      </c>
      <c r="C147" s="15">
        <v>6903</v>
      </c>
      <c r="D147" s="16">
        <v>18000</v>
      </c>
      <c r="E147" s="1"/>
      <c r="F147" s="17">
        <v>187.63</v>
      </c>
      <c r="G147" s="16">
        <v>18000</v>
      </c>
      <c r="H147" s="1">
        <f t="shared" si="5"/>
        <v>0</v>
      </c>
      <c r="I147" s="1"/>
      <c r="J147" s="1"/>
    </row>
    <row r="148" spans="2:10" x14ac:dyDescent="0.2">
      <c r="B148" s="1" t="s">
        <v>50</v>
      </c>
      <c r="C148" s="15">
        <v>6255</v>
      </c>
      <c r="D148" s="16">
        <v>25000</v>
      </c>
      <c r="E148" s="1"/>
      <c r="F148" s="17">
        <v>260.60000000000002</v>
      </c>
      <c r="G148" s="16">
        <v>25000</v>
      </c>
      <c r="H148" s="1">
        <f t="shared" si="5"/>
        <v>0</v>
      </c>
      <c r="I148" s="1"/>
      <c r="J148" s="1"/>
    </row>
    <row r="149" spans="2:10" x14ac:dyDescent="0.2">
      <c r="B149" s="1" t="s">
        <v>50</v>
      </c>
      <c r="C149" s="15">
        <v>7125</v>
      </c>
      <c r="D149" s="16">
        <v>25000</v>
      </c>
      <c r="E149" s="1"/>
      <c r="F149" s="17">
        <v>260.60000000000002</v>
      </c>
      <c r="G149" s="16">
        <v>25000</v>
      </c>
      <c r="H149" s="1">
        <f t="shared" si="5"/>
        <v>0</v>
      </c>
      <c r="I149" s="1"/>
      <c r="J149" s="1"/>
    </row>
    <row r="150" spans="2:10" x14ac:dyDescent="0.2">
      <c r="B150" s="1" t="s">
        <v>50</v>
      </c>
      <c r="C150" s="15">
        <v>8254</v>
      </c>
      <c r="D150" s="16">
        <v>23000</v>
      </c>
      <c r="E150" s="1"/>
      <c r="F150" s="17">
        <v>239.76</v>
      </c>
      <c r="G150" s="16">
        <v>23000</v>
      </c>
      <c r="H150" s="1">
        <f t="shared" si="5"/>
        <v>0</v>
      </c>
      <c r="I150" s="1"/>
      <c r="J150" s="1"/>
    </row>
    <row r="151" spans="2:10" x14ac:dyDescent="0.2">
      <c r="B151" s="1" t="s">
        <v>50</v>
      </c>
      <c r="C151" s="15">
        <v>1480</v>
      </c>
      <c r="D151" s="16">
        <v>22000</v>
      </c>
      <c r="E151" s="1"/>
      <c r="F151" s="17">
        <v>229.33</v>
      </c>
      <c r="G151" s="16">
        <v>22000</v>
      </c>
      <c r="H151" s="1">
        <f t="shared" si="5"/>
        <v>0</v>
      </c>
      <c r="I151" s="1"/>
      <c r="J151" s="1"/>
    </row>
    <row r="152" spans="2:10" x14ac:dyDescent="0.2">
      <c r="B152" s="1" t="s">
        <v>50</v>
      </c>
      <c r="C152" s="15">
        <v>120</v>
      </c>
      <c r="D152" s="16">
        <v>14000</v>
      </c>
      <c r="E152" s="1"/>
      <c r="F152" s="17">
        <v>145.94</v>
      </c>
      <c r="G152" s="16">
        <v>14000</v>
      </c>
      <c r="H152" s="1">
        <f t="shared" si="5"/>
        <v>0</v>
      </c>
      <c r="I152" s="1"/>
      <c r="J152" s="1"/>
    </row>
    <row r="153" spans="2:10" x14ac:dyDescent="0.2">
      <c r="B153" s="1" t="s">
        <v>51</v>
      </c>
      <c r="C153" s="15">
        <v>1321</v>
      </c>
      <c r="D153" s="34">
        <v>13000</v>
      </c>
      <c r="E153" s="1"/>
      <c r="F153" s="17">
        <v>134.4</v>
      </c>
      <c r="G153" s="34">
        <v>13000</v>
      </c>
      <c r="H153" s="1">
        <f t="shared" si="5"/>
        <v>0</v>
      </c>
      <c r="I153" s="1"/>
      <c r="J153" s="1"/>
    </row>
    <row r="154" spans="2:10" x14ac:dyDescent="0.2">
      <c r="B154" s="1" t="s">
        <v>51</v>
      </c>
      <c r="C154" s="15">
        <v>9921</v>
      </c>
      <c r="D154" s="16">
        <v>20000</v>
      </c>
      <c r="E154" s="1"/>
      <c r="F154" s="17">
        <v>206.76</v>
      </c>
      <c r="G154" s="16">
        <v>20000</v>
      </c>
      <c r="H154" s="1">
        <f t="shared" si="5"/>
        <v>0</v>
      </c>
      <c r="I154" s="1"/>
      <c r="J154" s="1"/>
    </row>
    <row r="155" spans="2:10" x14ac:dyDescent="0.2">
      <c r="B155" s="1" t="s">
        <v>51</v>
      </c>
      <c r="C155" s="15">
        <v>5931</v>
      </c>
      <c r="D155" s="16">
        <v>20000</v>
      </c>
      <c r="E155" s="1"/>
      <c r="F155" s="17">
        <v>206.76</v>
      </c>
      <c r="G155" s="16">
        <v>20000</v>
      </c>
      <c r="H155" s="1">
        <f t="shared" si="5"/>
        <v>0</v>
      </c>
      <c r="I155" s="1"/>
      <c r="J155" s="1"/>
    </row>
    <row r="156" spans="2:10" x14ac:dyDescent="0.2">
      <c r="B156" s="1" t="s">
        <v>51</v>
      </c>
      <c r="C156" s="15">
        <v>869</v>
      </c>
      <c r="D156" s="16">
        <v>31000</v>
      </c>
      <c r="E156" s="1"/>
      <c r="F156" s="17">
        <v>320.48</v>
      </c>
      <c r="G156" s="16">
        <v>31000</v>
      </c>
      <c r="H156" s="1">
        <f t="shared" si="5"/>
        <v>0</v>
      </c>
      <c r="I156" s="1"/>
      <c r="J156" s="1"/>
    </row>
    <row r="157" spans="2:10" x14ac:dyDescent="0.2">
      <c r="B157" s="1" t="s">
        <v>51</v>
      </c>
      <c r="C157" s="15" t="s">
        <v>30</v>
      </c>
      <c r="D157" s="16">
        <v>5000</v>
      </c>
      <c r="E157" s="1"/>
      <c r="F157" s="17">
        <v>51.69</v>
      </c>
      <c r="G157" s="16">
        <v>5000</v>
      </c>
      <c r="H157" s="1">
        <f t="shared" si="5"/>
        <v>0</v>
      </c>
      <c r="I157" s="1"/>
      <c r="J157" s="1"/>
    </row>
    <row r="158" spans="2:10" x14ac:dyDescent="0.2">
      <c r="B158" s="1" t="s">
        <v>51</v>
      </c>
      <c r="C158" s="15">
        <v>2694</v>
      </c>
      <c r="D158" s="16">
        <v>18000</v>
      </c>
      <c r="E158" s="1"/>
      <c r="F158" s="17">
        <v>186.08500000000001</v>
      </c>
      <c r="G158" s="16">
        <v>18000</v>
      </c>
      <c r="H158" s="1">
        <f t="shared" si="5"/>
        <v>0</v>
      </c>
      <c r="I158" s="1"/>
      <c r="J158" s="1"/>
    </row>
    <row r="159" spans="2:10" x14ac:dyDescent="0.2">
      <c r="B159" s="1" t="s">
        <v>51</v>
      </c>
      <c r="C159" s="15">
        <v>4559</v>
      </c>
      <c r="D159" s="16">
        <v>16000</v>
      </c>
      <c r="E159" s="1"/>
      <c r="F159" s="17">
        <v>165.40899999999999</v>
      </c>
      <c r="G159" s="16">
        <v>16000</v>
      </c>
      <c r="H159" s="1">
        <f t="shared" si="5"/>
        <v>0</v>
      </c>
      <c r="I159" s="1"/>
      <c r="J159" s="1"/>
    </row>
    <row r="160" spans="2:10" x14ac:dyDescent="0.2">
      <c r="B160" s="1" t="s">
        <v>51</v>
      </c>
      <c r="C160" s="15">
        <v>1557</v>
      </c>
      <c r="D160" s="16">
        <v>18000</v>
      </c>
      <c r="E160" s="1"/>
      <c r="F160" s="17">
        <v>186.08500000000001</v>
      </c>
      <c r="G160" s="16">
        <v>18000</v>
      </c>
      <c r="H160" s="1">
        <f t="shared" si="5"/>
        <v>0</v>
      </c>
      <c r="I160" s="1"/>
      <c r="J160" s="1"/>
    </row>
    <row r="161" spans="2:10" x14ac:dyDescent="0.2">
      <c r="B161" s="1" t="s">
        <v>51</v>
      </c>
      <c r="C161" s="15">
        <v>6353</v>
      </c>
      <c r="D161" s="16">
        <v>15000</v>
      </c>
      <c r="E161" s="1"/>
      <c r="F161" s="17">
        <v>155.071</v>
      </c>
      <c r="G161" s="16">
        <v>15000</v>
      </c>
      <c r="H161" s="1">
        <f t="shared" si="5"/>
        <v>0</v>
      </c>
      <c r="I161" s="1"/>
      <c r="J161" s="1"/>
    </row>
    <row r="162" spans="2:10" x14ac:dyDescent="0.2">
      <c r="B162" s="1" t="s">
        <v>51</v>
      </c>
      <c r="C162" s="15">
        <v>253</v>
      </c>
      <c r="D162" s="16">
        <v>15000</v>
      </c>
      <c r="E162" s="1"/>
      <c r="F162" s="17">
        <v>155.071</v>
      </c>
      <c r="G162" s="16">
        <v>15000</v>
      </c>
      <c r="H162" s="1">
        <f t="shared" si="5"/>
        <v>0</v>
      </c>
      <c r="I162" s="1"/>
      <c r="J162" s="1"/>
    </row>
    <row r="163" spans="2:10" x14ac:dyDescent="0.2">
      <c r="B163" s="1" t="s">
        <v>51</v>
      </c>
      <c r="C163" s="15">
        <v>2926</v>
      </c>
      <c r="D163" s="16">
        <v>18000</v>
      </c>
      <c r="E163" s="1"/>
      <c r="F163" s="17">
        <v>186.08500000000001</v>
      </c>
      <c r="G163" s="16">
        <v>18000</v>
      </c>
      <c r="H163" s="1">
        <f t="shared" si="5"/>
        <v>0</v>
      </c>
      <c r="I163" s="1"/>
      <c r="J163" s="1"/>
    </row>
    <row r="164" spans="2:10" x14ac:dyDescent="0.2">
      <c r="B164" s="1" t="s">
        <v>51</v>
      </c>
      <c r="C164" s="15" t="s">
        <v>57</v>
      </c>
      <c r="D164" s="16">
        <v>15000</v>
      </c>
      <c r="E164" s="1"/>
      <c r="F164" s="17">
        <v>155.071</v>
      </c>
      <c r="G164" s="16">
        <v>15000</v>
      </c>
      <c r="H164" s="1">
        <f t="shared" si="5"/>
        <v>0</v>
      </c>
      <c r="I164" s="1"/>
      <c r="J164" s="1"/>
    </row>
    <row r="165" spans="2:10" x14ac:dyDescent="0.2">
      <c r="B165" s="1" t="s">
        <v>51</v>
      </c>
      <c r="C165" s="15">
        <v>292</v>
      </c>
      <c r="D165" s="16">
        <v>15000</v>
      </c>
      <c r="E165" s="1"/>
      <c r="F165" s="17">
        <v>155.071</v>
      </c>
      <c r="G165" s="16">
        <v>15000</v>
      </c>
      <c r="H165" s="1">
        <f t="shared" si="5"/>
        <v>0</v>
      </c>
      <c r="I165" s="1"/>
      <c r="J165" s="1"/>
    </row>
    <row r="166" spans="2:10" x14ac:dyDescent="0.2">
      <c r="B166" s="1" t="s">
        <v>51</v>
      </c>
      <c r="C166" s="15">
        <v>127</v>
      </c>
      <c r="D166" s="16">
        <v>15000</v>
      </c>
      <c r="E166" s="1"/>
      <c r="F166" s="17">
        <v>155.07</v>
      </c>
      <c r="G166" s="16">
        <v>15000</v>
      </c>
      <c r="H166" s="1">
        <f t="shared" si="5"/>
        <v>0</v>
      </c>
      <c r="I166" s="1"/>
      <c r="J166" s="1"/>
    </row>
    <row r="167" spans="2:10" x14ac:dyDescent="0.2">
      <c r="B167" s="1" t="s">
        <v>51</v>
      </c>
      <c r="C167" s="15">
        <v>119</v>
      </c>
      <c r="D167" s="16">
        <v>15000</v>
      </c>
      <c r="E167" s="1"/>
      <c r="F167" s="17">
        <v>155.07</v>
      </c>
      <c r="G167" s="16">
        <v>15000</v>
      </c>
      <c r="H167" s="1">
        <f t="shared" si="5"/>
        <v>0</v>
      </c>
      <c r="I167" s="1"/>
      <c r="J167" s="1"/>
    </row>
    <row r="168" spans="2:10" x14ac:dyDescent="0.2">
      <c r="B168" s="1" t="s">
        <v>51</v>
      </c>
      <c r="C168" s="15">
        <v>8966</v>
      </c>
      <c r="D168" s="16">
        <v>5000</v>
      </c>
      <c r="E168" s="1"/>
      <c r="F168" s="17">
        <v>51.69</v>
      </c>
      <c r="G168" s="16">
        <v>5000</v>
      </c>
      <c r="H168" s="1">
        <f t="shared" si="5"/>
        <v>0</v>
      </c>
      <c r="I168" s="1"/>
      <c r="J168" s="1"/>
    </row>
    <row r="169" spans="2:10" x14ac:dyDescent="0.2">
      <c r="B169" s="1" t="s">
        <v>51</v>
      </c>
      <c r="C169" s="15">
        <v>2227</v>
      </c>
      <c r="D169" s="16">
        <v>13000</v>
      </c>
      <c r="E169" s="1"/>
      <c r="F169" s="17">
        <v>134.4</v>
      </c>
      <c r="G169" s="16">
        <v>13000</v>
      </c>
      <c r="H169" s="1">
        <f t="shared" si="5"/>
        <v>0</v>
      </c>
      <c r="I169" s="1"/>
      <c r="J169" s="1"/>
    </row>
    <row r="170" spans="2:10" x14ac:dyDescent="0.2">
      <c r="B170" s="1" t="s">
        <v>51</v>
      </c>
      <c r="C170" s="15">
        <v>5596</v>
      </c>
      <c r="D170" s="16">
        <v>28000</v>
      </c>
      <c r="E170" s="1"/>
      <c r="F170" s="17">
        <v>289.45999999999998</v>
      </c>
      <c r="G170" s="16">
        <v>28000</v>
      </c>
      <c r="H170" s="1">
        <f t="shared" si="5"/>
        <v>0</v>
      </c>
      <c r="I170" s="1"/>
      <c r="J170" s="1"/>
    </row>
    <row r="171" spans="2:10" x14ac:dyDescent="0.2">
      <c r="B171" s="1" t="s">
        <v>51</v>
      </c>
      <c r="C171" s="15">
        <v>647</v>
      </c>
      <c r="D171" s="16">
        <v>15000</v>
      </c>
      <c r="E171" s="1"/>
      <c r="F171" s="17">
        <v>155.071</v>
      </c>
      <c r="G171" s="16">
        <v>15000</v>
      </c>
      <c r="H171" s="1">
        <f t="shared" si="5"/>
        <v>0</v>
      </c>
      <c r="I171" s="1"/>
      <c r="J171" s="1"/>
    </row>
    <row r="172" spans="2:10" x14ac:dyDescent="0.2">
      <c r="B172" s="1" t="s">
        <v>51</v>
      </c>
      <c r="C172" s="15">
        <v>121</v>
      </c>
      <c r="D172" s="16">
        <v>16000</v>
      </c>
      <c r="E172" s="1"/>
      <c r="F172" s="17">
        <v>165.40899999999999</v>
      </c>
      <c r="G172" s="16">
        <v>16000</v>
      </c>
      <c r="H172" s="1">
        <f t="shared" si="5"/>
        <v>0</v>
      </c>
      <c r="I172" s="1"/>
      <c r="J172" s="1"/>
    </row>
    <row r="173" spans="2:10" x14ac:dyDescent="0.2">
      <c r="B173" s="1" t="s">
        <v>51</v>
      </c>
      <c r="C173" s="15">
        <v>7271</v>
      </c>
      <c r="D173" s="16">
        <v>10000</v>
      </c>
      <c r="E173" s="1"/>
      <c r="F173" s="17">
        <v>103.38</v>
      </c>
      <c r="G173" s="16">
        <v>10000</v>
      </c>
      <c r="H173" s="1">
        <f t="shared" si="5"/>
        <v>0</v>
      </c>
      <c r="I173" s="1"/>
      <c r="J173" s="1"/>
    </row>
    <row r="174" spans="2:10" x14ac:dyDescent="0.2">
      <c r="B174" s="1" t="s">
        <v>51</v>
      </c>
      <c r="C174" s="15">
        <v>3877</v>
      </c>
      <c r="D174" s="16">
        <v>15000</v>
      </c>
      <c r="E174" s="1"/>
      <c r="F174" s="17">
        <v>155.071</v>
      </c>
      <c r="G174" s="16">
        <v>15000</v>
      </c>
      <c r="H174" s="1">
        <f t="shared" si="5"/>
        <v>0</v>
      </c>
      <c r="I174" s="1"/>
      <c r="J174" s="1"/>
    </row>
    <row r="175" spans="2:10" x14ac:dyDescent="0.2">
      <c r="B175" s="1" t="s">
        <v>51</v>
      </c>
      <c r="C175" s="15">
        <v>8530</v>
      </c>
      <c r="D175" s="16">
        <v>9000</v>
      </c>
      <c r="E175" s="1"/>
      <c r="F175" s="17">
        <v>93.043000000000006</v>
      </c>
      <c r="G175" s="16">
        <v>9000</v>
      </c>
      <c r="H175" s="1">
        <f t="shared" si="5"/>
        <v>0</v>
      </c>
      <c r="I175" s="1"/>
      <c r="J175" s="1"/>
    </row>
    <row r="176" spans="2:10" x14ac:dyDescent="0.2">
      <c r="B176" s="1" t="s">
        <v>51</v>
      </c>
      <c r="C176" s="15">
        <v>9924</v>
      </c>
      <c r="D176" s="16">
        <v>31000</v>
      </c>
      <c r="E176" s="1"/>
      <c r="F176" s="17">
        <v>320.48</v>
      </c>
      <c r="G176" s="16">
        <v>31000</v>
      </c>
      <c r="H176" s="1">
        <f t="shared" si="5"/>
        <v>0</v>
      </c>
      <c r="I176" s="1"/>
      <c r="J176" s="1"/>
    </row>
    <row r="177" spans="2:10" x14ac:dyDescent="0.2">
      <c r="B177" s="1" t="s">
        <v>53</v>
      </c>
      <c r="C177" s="15">
        <v>5931</v>
      </c>
      <c r="D177" s="16">
        <v>24000</v>
      </c>
      <c r="E177" s="1"/>
      <c r="F177" s="17">
        <v>248.113</v>
      </c>
      <c r="G177" s="16">
        <v>24000</v>
      </c>
      <c r="H177" s="1">
        <f t="shared" si="5"/>
        <v>0</v>
      </c>
      <c r="I177" s="1"/>
      <c r="J177" s="1"/>
    </row>
    <row r="178" spans="2:10" x14ac:dyDescent="0.2">
      <c r="B178" s="1" t="s">
        <v>53</v>
      </c>
      <c r="C178" s="15">
        <v>2681</v>
      </c>
      <c r="D178" s="16">
        <v>14000</v>
      </c>
      <c r="E178" s="1"/>
      <c r="F178" s="17">
        <v>144.733</v>
      </c>
      <c r="G178" s="16">
        <v>14000</v>
      </c>
      <c r="H178" s="1">
        <f t="shared" si="5"/>
        <v>0</v>
      </c>
      <c r="I178" s="1"/>
      <c r="J178" s="1"/>
    </row>
    <row r="179" spans="2:10" x14ac:dyDescent="0.2">
      <c r="B179" s="1" t="s">
        <v>53</v>
      </c>
      <c r="C179" s="15" t="s">
        <v>30</v>
      </c>
      <c r="D179" s="16">
        <v>4500</v>
      </c>
      <c r="E179" s="1"/>
      <c r="F179" s="17">
        <v>46.521000000000001</v>
      </c>
      <c r="G179" s="16">
        <v>4500</v>
      </c>
      <c r="H179" s="1">
        <f t="shared" si="5"/>
        <v>0</v>
      </c>
      <c r="I179" s="1"/>
      <c r="J179" s="1"/>
    </row>
    <row r="180" spans="2:10" x14ac:dyDescent="0.2">
      <c r="B180" s="1" t="s">
        <v>53</v>
      </c>
      <c r="C180" s="15">
        <v>253</v>
      </c>
      <c r="D180" s="16">
        <v>13000</v>
      </c>
      <c r="E180" s="1"/>
      <c r="F180" s="17">
        <v>134.39500000000001</v>
      </c>
      <c r="G180" s="16">
        <v>13000</v>
      </c>
      <c r="H180" s="1">
        <f t="shared" si="5"/>
        <v>0</v>
      </c>
      <c r="I180" s="1"/>
      <c r="J180" s="1"/>
    </row>
    <row r="181" spans="2:10" x14ac:dyDescent="0.2">
      <c r="B181" s="1" t="s">
        <v>53</v>
      </c>
      <c r="C181" s="15">
        <v>5596</v>
      </c>
      <c r="D181" s="16">
        <v>9000</v>
      </c>
      <c r="E181" s="1"/>
      <c r="F181" s="17">
        <v>93.043000000000006</v>
      </c>
      <c r="G181" s="16">
        <v>9000</v>
      </c>
      <c r="H181" s="1">
        <f t="shared" si="5"/>
        <v>0</v>
      </c>
      <c r="I181" s="1"/>
      <c r="J181" s="1"/>
    </row>
    <row r="182" spans="2:10" x14ac:dyDescent="0.2">
      <c r="B182" s="1" t="s">
        <v>53</v>
      </c>
      <c r="C182" s="15">
        <v>8010</v>
      </c>
      <c r="D182" s="16">
        <v>24000</v>
      </c>
      <c r="E182" s="1"/>
      <c r="F182" s="17">
        <v>248.113</v>
      </c>
      <c r="G182" s="16">
        <v>24000</v>
      </c>
      <c r="H182" s="1">
        <f t="shared" si="5"/>
        <v>0</v>
      </c>
      <c r="I182" s="1"/>
      <c r="J182" s="1"/>
    </row>
    <row r="183" spans="2:10" x14ac:dyDescent="0.2">
      <c r="B183" s="1" t="s">
        <v>53</v>
      </c>
      <c r="C183" s="15">
        <v>1199</v>
      </c>
      <c r="D183" s="16">
        <v>30000</v>
      </c>
      <c r="E183" s="1"/>
      <c r="F183" s="17">
        <v>310.142</v>
      </c>
      <c r="G183" s="16">
        <v>30000</v>
      </c>
      <c r="H183" s="1">
        <f t="shared" si="5"/>
        <v>0</v>
      </c>
      <c r="I183" s="1"/>
      <c r="J183" s="1"/>
    </row>
    <row r="184" spans="2:10" x14ac:dyDescent="0.2">
      <c r="B184" s="1" t="s">
        <v>53</v>
      </c>
      <c r="C184" s="15">
        <v>765</v>
      </c>
      <c r="D184" s="16">
        <v>30000</v>
      </c>
      <c r="E184" s="1"/>
      <c r="F184" s="17">
        <v>310.142</v>
      </c>
      <c r="G184" s="16">
        <v>30000</v>
      </c>
      <c r="H184" s="1">
        <f t="shared" si="5"/>
        <v>0</v>
      </c>
      <c r="I184" s="1"/>
      <c r="J184" s="1"/>
    </row>
    <row r="185" spans="2:10" x14ac:dyDescent="0.2">
      <c r="B185" s="1" t="s">
        <v>53</v>
      </c>
      <c r="C185" s="15">
        <v>2740</v>
      </c>
      <c r="D185" s="16">
        <v>15000</v>
      </c>
      <c r="E185" s="1"/>
      <c r="F185" s="17">
        <v>155.071</v>
      </c>
      <c r="G185" s="16">
        <v>15000</v>
      </c>
      <c r="H185" s="1">
        <f t="shared" si="5"/>
        <v>0</v>
      </c>
      <c r="I185" s="1"/>
      <c r="J185" s="1"/>
    </row>
    <row r="186" spans="2:10" x14ac:dyDescent="0.2">
      <c r="B186" s="1" t="s">
        <v>53</v>
      </c>
      <c r="C186" s="32" t="s">
        <v>63</v>
      </c>
      <c r="D186" s="16">
        <v>3500</v>
      </c>
      <c r="E186" s="1"/>
      <c r="F186" s="17">
        <v>36.183</v>
      </c>
      <c r="G186" s="16">
        <v>3500</v>
      </c>
      <c r="H186" s="1">
        <f t="shared" si="5"/>
        <v>0</v>
      </c>
      <c r="I186" s="1"/>
      <c r="J186" s="1"/>
    </row>
    <row r="187" spans="2:10" x14ac:dyDescent="0.2">
      <c r="B187" s="1" t="s">
        <v>53</v>
      </c>
      <c r="C187" s="15">
        <v>4441</v>
      </c>
      <c r="D187" s="16">
        <v>5000</v>
      </c>
      <c r="E187" s="1"/>
      <c r="F187" s="17">
        <v>51.69</v>
      </c>
      <c r="G187" s="16">
        <v>5000</v>
      </c>
      <c r="H187" s="1">
        <f t="shared" si="5"/>
        <v>0</v>
      </c>
      <c r="I187" s="1"/>
      <c r="J187" s="1"/>
    </row>
    <row r="188" spans="2:10" x14ac:dyDescent="0.2">
      <c r="B188" s="1" t="s">
        <v>53</v>
      </c>
      <c r="C188" s="15">
        <v>530</v>
      </c>
      <c r="D188" s="16">
        <v>9000</v>
      </c>
      <c r="E188" s="1"/>
      <c r="F188" s="17">
        <v>93.043000000000006</v>
      </c>
      <c r="G188" s="16">
        <v>9000</v>
      </c>
      <c r="H188" s="1">
        <f t="shared" si="5"/>
        <v>0</v>
      </c>
      <c r="I188" s="1"/>
      <c r="J188" s="1"/>
    </row>
    <row r="189" spans="2:10" x14ac:dyDescent="0.2">
      <c r="B189" s="1" t="s">
        <v>53</v>
      </c>
      <c r="C189" s="15">
        <v>5185</v>
      </c>
      <c r="D189" s="16">
        <v>9000</v>
      </c>
      <c r="E189" s="1"/>
      <c r="F189" s="17">
        <v>93.043000000000006</v>
      </c>
      <c r="G189" s="16">
        <v>9000</v>
      </c>
      <c r="H189" s="1">
        <f t="shared" si="5"/>
        <v>0</v>
      </c>
      <c r="I189" s="1"/>
      <c r="J189" s="1"/>
    </row>
    <row r="190" spans="2:10" x14ac:dyDescent="0.2">
      <c r="B190" s="1" t="s">
        <v>53</v>
      </c>
      <c r="C190" s="15">
        <v>9090</v>
      </c>
      <c r="D190" s="16">
        <v>18000</v>
      </c>
      <c r="E190" s="1"/>
      <c r="F190" s="17">
        <v>186.08500000000001</v>
      </c>
      <c r="G190" s="16">
        <v>18000</v>
      </c>
      <c r="H190" s="1">
        <f t="shared" si="5"/>
        <v>0</v>
      </c>
      <c r="I190" s="1"/>
      <c r="J190" s="1"/>
    </row>
    <row r="191" spans="2:10" x14ac:dyDescent="0.2">
      <c r="B191" s="1" t="s">
        <v>53</v>
      </c>
      <c r="C191" s="15">
        <v>4713</v>
      </c>
      <c r="D191" s="16">
        <v>7000</v>
      </c>
      <c r="E191" s="1"/>
      <c r="F191" s="17">
        <v>72.366</v>
      </c>
      <c r="G191" s="16">
        <v>7000</v>
      </c>
      <c r="H191" s="1">
        <f t="shared" si="5"/>
        <v>0</v>
      </c>
      <c r="I191" s="1"/>
      <c r="J191" s="1"/>
    </row>
    <row r="192" spans="2:10" x14ac:dyDescent="0.2">
      <c r="B192" s="1" t="s">
        <v>53</v>
      </c>
      <c r="C192" s="15">
        <v>128</v>
      </c>
      <c r="D192" s="16">
        <v>13000</v>
      </c>
      <c r="E192" s="1"/>
      <c r="F192" s="17">
        <v>134.39500000000001</v>
      </c>
      <c r="G192" s="16">
        <v>13000</v>
      </c>
      <c r="H192" s="1">
        <f t="shared" si="5"/>
        <v>0</v>
      </c>
      <c r="I192" s="1"/>
      <c r="J192" s="1"/>
    </row>
    <row r="193" spans="2:10" x14ac:dyDescent="0.2">
      <c r="B193" s="1" t="s">
        <v>53</v>
      </c>
      <c r="C193" s="15">
        <v>8722</v>
      </c>
      <c r="D193" s="16">
        <v>12000</v>
      </c>
      <c r="E193" s="1"/>
      <c r="F193" s="17">
        <v>124.057</v>
      </c>
      <c r="G193" s="16">
        <v>12000</v>
      </c>
      <c r="H193" s="1">
        <f t="shared" si="5"/>
        <v>0</v>
      </c>
      <c r="I193" s="1"/>
      <c r="J193" s="1"/>
    </row>
    <row r="194" spans="2:10" x14ac:dyDescent="0.2">
      <c r="B194" s="1" t="s">
        <v>53</v>
      </c>
      <c r="C194" s="15">
        <v>3295</v>
      </c>
      <c r="D194" s="16">
        <v>28000</v>
      </c>
      <c r="E194" s="1"/>
      <c r="F194" s="17">
        <v>289.45999999999998</v>
      </c>
      <c r="G194" s="16">
        <v>28000</v>
      </c>
      <c r="H194" s="1">
        <f t="shared" si="5"/>
        <v>0</v>
      </c>
      <c r="I194" s="1"/>
      <c r="J194" s="1"/>
    </row>
    <row r="195" spans="2:10" x14ac:dyDescent="0.2">
      <c r="B195" s="1" t="s">
        <v>53</v>
      </c>
      <c r="C195" s="15">
        <v>3776</v>
      </c>
      <c r="D195" s="16">
        <v>12000</v>
      </c>
      <c r="E195" s="1"/>
      <c r="F195" s="17">
        <v>124.057</v>
      </c>
      <c r="G195" s="16">
        <v>12000</v>
      </c>
      <c r="H195" s="1">
        <f t="shared" si="5"/>
        <v>0</v>
      </c>
      <c r="I195" s="1"/>
      <c r="J195" s="1"/>
    </row>
    <row r="196" spans="2:10" x14ac:dyDescent="0.2">
      <c r="B196" s="1" t="s">
        <v>53</v>
      </c>
      <c r="C196" s="15">
        <v>1028</v>
      </c>
      <c r="D196" s="16">
        <v>20000</v>
      </c>
      <c r="E196" s="1"/>
      <c r="F196" s="17">
        <v>206.76</v>
      </c>
      <c r="G196" s="16">
        <v>20000</v>
      </c>
      <c r="H196" s="1">
        <f t="shared" si="5"/>
        <v>0</v>
      </c>
      <c r="I196" s="1"/>
      <c r="J196" s="1"/>
    </row>
    <row r="197" spans="2:10" x14ac:dyDescent="0.2">
      <c r="B197" s="1" t="s">
        <v>53</v>
      </c>
      <c r="C197" s="15">
        <v>6353</v>
      </c>
      <c r="D197" s="16">
        <v>13000</v>
      </c>
      <c r="E197" s="1"/>
      <c r="F197" s="17">
        <v>134.39599999999999</v>
      </c>
      <c r="G197" s="16">
        <v>13000</v>
      </c>
      <c r="H197" s="1">
        <f t="shared" si="5"/>
        <v>0</v>
      </c>
      <c r="I197" s="1"/>
      <c r="J197" s="1"/>
    </row>
    <row r="198" spans="2:10" x14ac:dyDescent="0.2">
      <c r="B198" s="1" t="s">
        <v>53</v>
      </c>
      <c r="C198" s="15">
        <v>1309</v>
      </c>
      <c r="D198" s="16">
        <v>15000</v>
      </c>
      <c r="E198" s="1"/>
      <c r="F198" s="17">
        <v>155.071</v>
      </c>
      <c r="G198" s="16">
        <v>15000</v>
      </c>
      <c r="H198" s="1">
        <f t="shared" ref="H198:H261" si="6">D198-G198</f>
        <v>0</v>
      </c>
      <c r="I198" s="1"/>
      <c r="J198" s="1"/>
    </row>
    <row r="199" spans="2:10" x14ac:dyDescent="0.2">
      <c r="B199" s="1" t="s">
        <v>53</v>
      </c>
      <c r="C199" s="15">
        <v>9025</v>
      </c>
      <c r="D199" s="16">
        <v>17000</v>
      </c>
      <c r="E199" s="1"/>
      <c r="F199" s="17">
        <v>175.75</v>
      </c>
      <c r="G199" s="16">
        <v>17000</v>
      </c>
      <c r="H199" s="1">
        <f t="shared" si="6"/>
        <v>0</v>
      </c>
      <c r="I199" s="1"/>
      <c r="J199" s="1"/>
    </row>
    <row r="200" spans="2:10" x14ac:dyDescent="0.2">
      <c r="B200" s="1" t="s">
        <v>53</v>
      </c>
      <c r="C200" s="15">
        <v>4729</v>
      </c>
      <c r="D200" s="16">
        <v>28000</v>
      </c>
      <c r="E200" s="1"/>
      <c r="F200" s="17">
        <v>175.75</v>
      </c>
      <c r="G200" s="16">
        <v>28000</v>
      </c>
      <c r="H200" s="1">
        <f t="shared" si="6"/>
        <v>0</v>
      </c>
      <c r="I200" s="1"/>
      <c r="J200" s="1"/>
    </row>
    <row r="201" spans="2:10" x14ac:dyDescent="0.2">
      <c r="B201" s="1" t="s">
        <v>53</v>
      </c>
      <c r="C201" s="15">
        <v>7562</v>
      </c>
      <c r="D201" s="16">
        <v>17000</v>
      </c>
      <c r="E201" s="1"/>
      <c r="F201" s="17">
        <v>175.74</v>
      </c>
      <c r="G201" s="16">
        <v>17000</v>
      </c>
      <c r="H201" s="1">
        <f t="shared" si="6"/>
        <v>0</v>
      </c>
      <c r="I201" s="1"/>
      <c r="J201" s="1"/>
    </row>
    <row r="202" spans="2:10" x14ac:dyDescent="0.2">
      <c r="B202" s="1" t="s">
        <v>53</v>
      </c>
      <c r="C202" s="15">
        <v>9626</v>
      </c>
      <c r="D202" s="16">
        <v>22000</v>
      </c>
      <c r="E202" s="1"/>
      <c r="F202" s="17">
        <v>227.44</v>
      </c>
      <c r="G202" s="16">
        <v>22000</v>
      </c>
      <c r="H202" s="1">
        <f t="shared" si="6"/>
        <v>0</v>
      </c>
      <c r="I202" s="1"/>
      <c r="J202" s="1"/>
    </row>
    <row r="203" spans="2:10" x14ac:dyDescent="0.2">
      <c r="B203" s="1" t="s">
        <v>53</v>
      </c>
      <c r="C203" s="15">
        <v>291</v>
      </c>
      <c r="D203" s="16">
        <v>15000</v>
      </c>
      <c r="E203" s="1"/>
      <c r="F203" s="17">
        <v>155.071</v>
      </c>
      <c r="G203" s="16">
        <v>15000</v>
      </c>
      <c r="H203" s="1">
        <f t="shared" si="6"/>
        <v>0</v>
      </c>
      <c r="I203" s="1"/>
      <c r="J203" s="1"/>
    </row>
    <row r="204" spans="2:10" x14ac:dyDescent="0.2">
      <c r="B204" s="1" t="s">
        <v>53</v>
      </c>
      <c r="C204" s="15">
        <v>1868</v>
      </c>
      <c r="D204" s="16">
        <v>13000</v>
      </c>
      <c r="E204" s="1"/>
      <c r="F204" s="17">
        <v>134.39599999999999</v>
      </c>
      <c r="G204" s="16">
        <v>13000</v>
      </c>
      <c r="H204" s="1">
        <f t="shared" si="6"/>
        <v>0</v>
      </c>
      <c r="I204" s="1"/>
      <c r="J204" s="1"/>
    </row>
    <row r="205" spans="2:10" x14ac:dyDescent="0.2">
      <c r="B205" s="1" t="s">
        <v>53</v>
      </c>
      <c r="C205" s="15">
        <v>7798</v>
      </c>
      <c r="D205" s="16">
        <v>28000</v>
      </c>
      <c r="E205" s="1"/>
      <c r="F205" s="17">
        <v>289.67</v>
      </c>
      <c r="G205" s="16">
        <v>28000</v>
      </c>
      <c r="H205" s="1">
        <f t="shared" si="6"/>
        <v>0</v>
      </c>
      <c r="I205" s="1"/>
      <c r="J205" s="1"/>
    </row>
    <row r="206" spans="2:10" x14ac:dyDescent="0.2">
      <c r="B206" s="1" t="s">
        <v>53</v>
      </c>
      <c r="C206" s="15">
        <v>129</v>
      </c>
      <c r="D206" s="16">
        <v>15000</v>
      </c>
      <c r="E206" s="1"/>
      <c r="F206" s="17">
        <v>155.071</v>
      </c>
      <c r="G206" s="16">
        <v>15000</v>
      </c>
      <c r="H206" s="1">
        <f t="shared" si="6"/>
        <v>0</v>
      </c>
      <c r="I206" s="1"/>
      <c r="J206" s="1"/>
    </row>
    <row r="207" spans="2:10" x14ac:dyDescent="0.2">
      <c r="B207" s="1" t="s">
        <v>53</v>
      </c>
      <c r="C207" s="15">
        <v>3540</v>
      </c>
      <c r="D207" s="16">
        <v>8000</v>
      </c>
      <c r="E207" s="1"/>
      <c r="F207" s="17">
        <v>82.703999999999994</v>
      </c>
      <c r="G207" s="16">
        <v>8000</v>
      </c>
      <c r="H207" s="1">
        <f t="shared" si="6"/>
        <v>0</v>
      </c>
      <c r="I207" s="1"/>
      <c r="J207" s="1"/>
    </row>
    <row r="208" spans="2:10" x14ac:dyDescent="0.2">
      <c r="B208" s="1" t="s">
        <v>53</v>
      </c>
      <c r="C208" s="15">
        <v>3044</v>
      </c>
      <c r="D208" s="16">
        <v>28000</v>
      </c>
      <c r="E208" s="1"/>
      <c r="F208" s="17">
        <v>289.67</v>
      </c>
      <c r="G208" s="16">
        <v>28000</v>
      </c>
      <c r="H208" s="1">
        <f t="shared" si="6"/>
        <v>0</v>
      </c>
      <c r="I208" s="1"/>
      <c r="J208" s="1"/>
    </row>
    <row r="209" spans="2:10" x14ac:dyDescent="0.2">
      <c r="B209" s="1" t="s">
        <v>53</v>
      </c>
      <c r="C209" s="15">
        <v>5826</v>
      </c>
      <c r="D209" s="16">
        <v>18000</v>
      </c>
      <c r="E209" s="1"/>
      <c r="F209" s="17">
        <v>186.08500000000001</v>
      </c>
      <c r="G209" s="16">
        <v>18000</v>
      </c>
      <c r="H209" s="1">
        <f t="shared" si="6"/>
        <v>0</v>
      </c>
      <c r="I209" s="1"/>
      <c r="J209" s="1"/>
    </row>
    <row r="210" spans="2:10" x14ac:dyDescent="0.2">
      <c r="B210" s="1" t="s">
        <v>58</v>
      </c>
      <c r="C210" s="15">
        <v>6552</v>
      </c>
      <c r="D210" s="16">
        <v>12000</v>
      </c>
      <c r="E210" s="1"/>
      <c r="F210" s="17">
        <v>124.057</v>
      </c>
      <c r="G210" s="16">
        <v>12000</v>
      </c>
      <c r="H210" s="1">
        <f t="shared" si="6"/>
        <v>0</v>
      </c>
      <c r="I210" s="1"/>
      <c r="J210" s="1"/>
    </row>
    <row r="211" spans="2:10" x14ac:dyDescent="0.2">
      <c r="B211" s="1" t="s">
        <v>58</v>
      </c>
      <c r="C211" s="15">
        <v>9189</v>
      </c>
      <c r="D211" s="16">
        <v>15000</v>
      </c>
      <c r="E211" s="1"/>
      <c r="F211" s="17">
        <v>155.071</v>
      </c>
      <c r="G211" s="16">
        <v>15000</v>
      </c>
      <c r="H211" s="1">
        <f t="shared" si="6"/>
        <v>0</v>
      </c>
      <c r="I211" s="1"/>
      <c r="J211" s="1"/>
    </row>
    <row r="212" spans="2:10" x14ac:dyDescent="0.2">
      <c r="B212" s="1" t="s">
        <v>58</v>
      </c>
      <c r="C212" s="15">
        <v>120</v>
      </c>
      <c r="D212" s="16">
        <v>14000</v>
      </c>
      <c r="E212" s="1"/>
      <c r="F212" s="17">
        <v>144.733</v>
      </c>
      <c r="G212" s="16">
        <v>14000</v>
      </c>
      <c r="H212" s="1">
        <f t="shared" si="6"/>
        <v>0</v>
      </c>
      <c r="I212" s="1"/>
      <c r="J212" s="1"/>
    </row>
    <row r="213" spans="2:10" x14ac:dyDescent="0.2">
      <c r="B213" s="1" t="s">
        <v>58</v>
      </c>
      <c r="C213" s="15">
        <v>118</v>
      </c>
      <c r="D213" s="16">
        <v>14000</v>
      </c>
      <c r="E213" s="1"/>
      <c r="F213" s="17">
        <v>144.733</v>
      </c>
      <c r="G213" s="16">
        <v>14000</v>
      </c>
      <c r="H213" s="1">
        <f t="shared" si="6"/>
        <v>0</v>
      </c>
      <c r="I213" s="1"/>
      <c r="J213" s="1"/>
    </row>
    <row r="214" spans="2:10" x14ac:dyDescent="0.2">
      <c r="B214" s="1" t="s">
        <v>58</v>
      </c>
      <c r="C214" s="15">
        <v>146</v>
      </c>
      <c r="D214" s="16">
        <v>22000</v>
      </c>
      <c r="E214" s="1"/>
      <c r="F214" s="17">
        <v>227.43700000000001</v>
      </c>
      <c r="G214" s="16">
        <v>22000</v>
      </c>
      <c r="H214" s="1">
        <f t="shared" si="6"/>
        <v>0</v>
      </c>
      <c r="I214" s="1"/>
      <c r="J214" s="1"/>
    </row>
    <row r="215" spans="2:10" x14ac:dyDescent="0.2">
      <c r="B215" s="1" t="s">
        <v>58</v>
      </c>
      <c r="C215" s="15">
        <v>5403</v>
      </c>
      <c r="D215" s="16">
        <v>8000</v>
      </c>
      <c r="E215" s="1"/>
      <c r="F215" s="17">
        <v>82.703999999999994</v>
      </c>
      <c r="G215" s="16">
        <v>8000</v>
      </c>
      <c r="H215" s="1">
        <f t="shared" si="6"/>
        <v>0</v>
      </c>
      <c r="I215" s="1"/>
      <c r="J215" s="1"/>
    </row>
    <row r="216" spans="2:10" x14ac:dyDescent="0.2">
      <c r="B216" s="1" t="s">
        <v>58</v>
      </c>
      <c r="C216" s="15">
        <v>932</v>
      </c>
      <c r="D216" s="16">
        <v>18000</v>
      </c>
      <c r="E216" s="1"/>
      <c r="F216" s="17">
        <v>186.08500000000001</v>
      </c>
      <c r="G216" s="16">
        <v>18000</v>
      </c>
      <c r="H216" s="1">
        <f t="shared" si="6"/>
        <v>0</v>
      </c>
      <c r="I216" s="1"/>
      <c r="J216" s="1"/>
    </row>
    <row r="217" spans="2:10" x14ac:dyDescent="0.2">
      <c r="B217" s="1" t="s">
        <v>58</v>
      </c>
      <c r="C217" s="15">
        <v>293</v>
      </c>
      <c r="D217" s="16">
        <v>14000</v>
      </c>
      <c r="E217" s="1"/>
      <c r="F217" s="17">
        <v>144.733</v>
      </c>
      <c r="G217" s="16">
        <v>14000</v>
      </c>
      <c r="H217" s="1">
        <f t="shared" si="6"/>
        <v>0</v>
      </c>
      <c r="I217" s="1"/>
      <c r="J217" s="1"/>
    </row>
    <row r="218" spans="2:10" x14ac:dyDescent="0.2">
      <c r="B218" s="1" t="s">
        <v>58</v>
      </c>
      <c r="C218" s="15" t="s">
        <v>30</v>
      </c>
      <c r="D218" s="16">
        <v>5000</v>
      </c>
      <c r="E218" s="1"/>
      <c r="F218" s="17">
        <v>51.69</v>
      </c>
      <c r="G218" s="16">
        <v>5000</v>
      </c>
      <c r="H218" s="1">
        <f t="shared" si="6"/>
        <v>0</v>
      </c>
      <c r="I218" s="1"/>
      <c r="J218" s="1"/>
    </row>
    <row r="219" spans="2:10" x14ac:dyDescent="0.2">
      <c r="B219" s="1" t="s">
        <v>58</v>
      </c>
      <c r="C219" s="15">
        <v>4378</v>
      </c>
      <c r="D219" s="16">
        <v>15000</v>
      </c>
      <c r="E219" s="1"/>
      <c r="F219" s="17">
        <v>155.071</v>
      </c>
      <c r="G219" s="16">
        <v>15000</v>
      </c>
      <c r="H219" s="1">
        <f t="shared" si="6"/>
        <v>0</v>
      </c>
      <c r="I219" s="1"/>
      <c r="J219" s="1"/>
    </row>
    <row r="220" spans="2:10" x14ac:dyDescent="0.2">
      <c r="B220" s="1" t="s">
        <v>58</v>
      </c>
      <c r="C220" s="15">
        <v>1978</v>
      </c>
      <c r="D220" s="16">
        <v>20000</v>
      </c>
      <c r="E220" s="1"/>
      <c r="F220" s="17">
        <v>206.071</v>
      </c>
      <c r="G220" s="16">
        <v>20000</v>
      </c>
      <c r="H220" s="1">
        <f t="shared" si="6"/>
        <v>0</v>
      </c>
      <c r="I220" s="1"/>
      <c r="J220" s="1"/>
    </row>
    <row r="221" spans="2:10" x14ac:dyDescent="0.2">
      <c r="B221" s="1" t="s">
        <v>58</v>
      </c>
      <c r="C221" s="15">
        <v>1220</v>
      </c>
      <c r="D221" s="16">
        <v>14000</v>
      </c>
      <c r="E221" s="1"/>
      <c r="F221" s="17">
        <v>144.733</v>
      </c>
      <c r="G221" s="16">
        <v>14000</v>
      </c>
      <c r="H221" s="1">
        <f t="shared" si="6"/>
        <v>0</v>
      </c>
      <c r="I221" s="1"/>
      <c r="J221" s="1"/>
    </row>
    <row r="222" spans="2:10" x14ac:dyDescent="0.2">
      <c r="B222" s="1" t="s">
        <v>58</v>
      </c>
      <c r="C222" s="15">
        <v>2227</v>
      </c>
      <c r="D222" s="16">
        <v>15000</v>
      </c>
      <c r="E222" s="1"/>
      <c r="F222" s="17">
        <v>155.07</v>
      </c>
      <c r="G222" s="16">
        <v>15000</v>
      </c>
      <c r="H222" s="1">
        <f t="shared" si="6"/>
        <v>0</v>
      </c>
      <c r="I222" s="1"/>
      <c r="J222" s="1"/>
    </row>
    <row r="223" spans="2:10" x14ac:dyDescent="0.2">
      <c r="B223" s="1" t="s">
        <v>58</v>
      </c>
      <c r="C223" s="15">
        <v>4945</v>
      </c>
      <c r="D223" s="16">
        <v>20000</v>
      </c>
      <c r="E223" s="1"/>
      <c r="F223" s="17">
        <v>206.761</v>
      </c>
      <c r="G223" s="16">
        <v>20000</v>
      </c>
      <c r="H223" s="1">
        <f t="shared" si="6"/>
        <v>0</v>
      </c>
      <c r="I223" s="1"/>
      <c r="J223" s="1"/>
    </row>
    <row r="224" spans="2:10" x14ac:dyDescent="0.2">
      <c r="B224" s="1" t="s">
        <v>58</v>
      </c>
      <c r="C224" s="15">
        <v>941</v>
      </c>
      <c r="D224" s="16">
        <v>13000</v>
      </c>
      <c r="E224" s="1"/>
      <c r="F224" s="17">
        <v>134.39500000000001</v>
      </c>
      <c r="G224" s="16">
        <v>13000</v>
      </c>
      <c r="H224" s="1">
        <f t="shared" si="6"/>
        <v>0</v>
      </c>
      <c r="I224" s="1"/>
      <c r="J224" s="1"/>
    </row>
    <row r="225" spans="2:10" x14ac:dyDescent="0.2">
      <c r="B225" s="1" t="s">
        <v>58</v>
      </c>
      <c r="C225" s="15">
        <v>4494</v>
      </c>
      <c r="D225" s="16">
        <v>17000</v>
      </c>
      <c r="E225" s="1"/>
      <c r="F225" s="17">
        <v>175.74700000000001</v>
      </c>
      <c r="G225" s="16">
        <v>17000</v>
      </c>
      <c r="H225" s="1">
        <f t="shared" si="6"/>
        <v>0</v>
      </c>
      <c r="I225" s="1"/>
      <c r="J225" s="1"/>
    </row>
    <row r="226" spans="2:10" x14ac:dyDescent="0.2">
      <c r="B226" s="1" t="s">
        <v>58</v>
      </c>
      <c r="C226" s="15">
        <v>1593</v>
      </c>
      <c r="D226" s="16">
        <v>13000</v>
      </c>
      <c r="E226" s="1"/>
      <c r="F226" s="17">
        <v>134.39500000000001</v>
      </c>
      <c r="G226" s="16">
        <v>13000</v>
      </c>
      <c r="H226" s="1">
        <f t="shared" si="6"/>
        <v>0</v>
      </c>
      <c r="I226" s="1"/>
      <c r="J226" s="1"/>
    </row>
    <row r="227" spans="2:10" x14ac:dyDescent="0.2">
      <c r="B227" s="1" t="s">
        <v>58</v>
      </c>
      <c r="C227" s="15">
        <v>1887</v>
      </c>
      <c r="D227" s="16">
        <v>14000</v>
      </c>
      <c r="E227" s="1"/>
      <c r="F227" s="17">
        <v>144.733</v>
      </c>
      <c r="G227" s="16">
        <v>14000</v>
      </c>
      <c r="H227" s="1">
        <f t="shared" si="6"/>
        <v>0</v>
      </c>
      <c r="I227" s="1"/>
      <c r="J227" s="1"/>
    </row>
    <row r="228" spans="2:10" x14ac:dyDescent="0.2">
      <c r="B228" s="1" t="s">
        <v>58</v>
      </c>
      <c r="C228" s="15">
        <v>1313</v>
      </c>
      <c r="D228" s="16">
        <v>9000</v>
      </c>
      <c r="E228" s="1"/>
      <c r="F228" s="17">
        <v>93.043000000000006</v>
      </c>
      <c r="G228" s="16">
        <v>9000</v>
      </c>
      <c r="H228" s="1">
        <f t="shared" si="6"/>
        <v>0</v>
      </c>
      <c r="I228" s="1"/>
      <c r="J228" s="1"/>
    </row>
    <row r="229" spans="2:10" x14ac:dyDescent="0.2">
      <c r="B229" s="1" t="s">
        <v>58</v>
      </c>
      <c r="C229" s="15">
        <v>3381</v>
      </c>
      <c r="D229" s="16">
        <v>9000</v>
      </c>
      <c r="E229" s="1"/>
      <c r="F229" s="17">
        <v>93.043000000000006</v>
      </c>
      <c r="G229" s="16">
        <v>9000</v>
      </c>
      <c r="H229" s="1">
        <f t="shared" si="6"/>
        <v>0</v>
      </c>
      <c r="I229" s="1"/>
      <c r="J229" s="1"/>
    </row>
    <row r="230" spans="2:10" x14ac:dyDescent="0.2">
      <c r="B230" s="1" t="s">
        <v>58</v>
      </c>
      <c r="C230" s="15">
        <v>8530</v>
      </c>
      <c r="D230" s="16">
        <v>9000</v>
      </c>
      <c r="E230" s="1"/>
      <c r="F230" s="17">
        <v>93.043000000000006</v>
      </c>
      <c r="G230" s="16">
        <v>9000</v>
      </c>
      <c r="H230" s="1">
        <f t="shared" si="6"/>
        <v>0</v>
      </c>
      <c r="I230" s="1"/>
      <c r="J230" s="1"/>
    </row>
    <row r="231" spans="2:10" x14ac:dyDescent="0.2">
      <c r="B231" s="1" t="s">
        <v>58</v>
      </c>
      <c r="C231" s="15">
        <v>7488</v>
      </c>
      <c r="D231" s="16">
        <v>9000</v>
      </c>
      <c r="E231" s="1"/>
      <c r="F231" s="17">
        <v>93.04</v>
      </c>
      <c r="G231" s="16">
        <v>9000</v>
      </c>
      <c r="H231" s="1">
        <f t="shared" si="6"/>
        <v>0</v>
      </c>
      <c r="I231" s="1"/>
      <c r="J231" s="1"/>
    </row>
    <row r="232" spans="2:10" x14ac:dyDescent="0.2">
      <c r="B232" s="1" t="s">
        <v>59</v>
      </c>
      <c r="C232" s="15">
        <v>253</v>
      </c>
      <c r="D232" s="16">
        <v>13000</v>
      </c>
      <c r="E232" s="1"/>
      <c r="F232" s="17">
        <v>134.39500000000001</v>
      </c>
      <c r="G232" s="16">
        <v>13000</v>
      </c>
      <c r="H232" s="1">
        <f t="shared" si="6"/>
        <v>0</v>
      </c>
      <c r="I232" s="1"/>
      <c r="J232" s="1"/>
    </row>
    <row r="233" spans="2:10" x14ac:dyDescent="0.2">
      <c r="B233" s="1" t="s">
        <v>59</v>
      </c>
      <c r="C233" s="15">
        <v>1816</v>
      </c>
      <c r="D233" s="16">
        <v>10000</v>
      </c>
      <c r="E233" s="1"/>
      <c r="F233" s="17">
        <v>103.38</v>
      </c>
      <c r="G233" s="16">
        <v>10000</v>
      </c>
      <c r="H233" s="1">
        <f t="shared" si="6"/>
        <v>0</v>
      </c>
      <c r="I233" s="1"/>
      <c r="J233" s="1"/>
    </row>
    <row r="234" spans="2:10" x14ac:dyDescent="0.2">
      <c r="B234" s="1" t="s">
        <v>59</v>
      </c>
      <c r="C234" s="15">
        <v>292</v>
      </c>
      <c r="D234" s="16">
        <v>15000</v>
      </c>
      <c r="E234" s="1"/>
      <c r="F234" s="17">
        <v>155.071</v>
      </c>
      <c r="G234" s="16">
        <v>15000</v>
      </c>
      <c r="H234" s="1">
        <f t="shared" si="6"/>
        <v>0</v>
      </c>
      <c r="I234" s="1"/>
      <c r="J234" s="1"/>
    </row>
    <row r="235" spans="2:10" x14ac:dyDescent="0.2">
      <c r="B235" s="1" t="s">
        <v>59</v>
      </c>
      <c r="C235" s="15" t="s">
        <v>61</v>
      </c>
      <c r="D235" s="16">
        <v>4500</v>
      </c>
      <c r="E235" s="1"/>
      <c r="F235" s="17">
        <v>46.521000000000001</v>
      </c>
      <c r="G235" s="16">
        <v>4500</v>
      </c>
      <c r="H235" s="1">
        <f t="shared" si="6"/>
        <v>0</v>
      </c>
      <c r="I235" s="1"/>
      <c r="J235" s="1"/>
    </row>
    <row r="236" spans="2:10" x14ac:dyDescent="0.2">
      <c r="B236" s="1" t="s">
        <v>59</v>
      </c>
      <c r="C236" s="15" t="s">
        <v>62</v>
      </c>
      <c r="D236" s="16">
        <v>400</v>
      </c>
      <c r="E236" s="1"/>
      <c r="F236" s="17">
        <v>4.1349999999999998</v>
      </c>
      <c r="G236" s="16">
        <v>400</v>
      </c>
      <c r="H236" s="1">
        <f t="shared" si="6"/>
        <v>0</v>
      </c>
      <c r="I236" s="1"/>
      <c r="J236" s="1"/>
    </row>
    <row r="237" spans="2:10" x14ac:dyDescent="0.2">
      <c r="B237" s="1" t="s">
        <v>59</v>
      </c>
      <c r="C237" s="15">
        <v>7109</v>
      </c>
      <c r="D237" s="16">
        <v>500</v>
      </c>
      <c r="E237" s="1"/>
      <c r="F237" s="17">
        <v>5.1689999999999996</v>
      </c>
      <c r="G237" s="16">
        <v>500</v>
      </c>
      <c r="H237" s="1">
        <f t="shared" si="6"/>
        <v>0</v>
      </c>
      <c r="I237" s="1"/>
      <c r="J237" s="1"/>
    </row>
    <row r="238" spans="2:10" x14ac:dyDescent="0.2">
      <c r="B238" s="1" t="s">
        <v>59</v>
      </c>
      <c r="C238" s="15" t="s">
        <v>63</v>
      </c>
      <c r="D238" s="16">
        <v>3500</v>
      </c>
      <c r="E238" s="1"/>
      <c r="F238" s="17">
        <v>36.183</v>
      </c>
      <c r="G238" s="16">
        <v>3500</v>
      </c>
      <c r="H238" s="1">
        <f t="shared" si="6"/>
        <v>0</v>
      </c>
      <c r="I238" s="1"/>
      <c r="J238" s="1"/>
    </row>
    <row r="239" spans="2:10" x14ac:dyDescent="0.2">
      <c r="B239" s="1" t="s">
        <v>59</v>
      </c>
      <c r="C239" s="15">
        <v>3505</v>
      </c>
      <c r="D239" s="16">
        <v>30000</v>
      </c>
      <c r="E239" s="1"/>
      <c r="F239" s="17">
        <v>310.142</v>
      </c>
      <c r="G239" s="16">
        <v>30000</v>
      </c>
      <c r="H239" s="1">
        <f t="shared" si="6"/>
        <v>0</v>
      </c>
      <c r="I239" s="1"/>
      <c r="J239" s="1"/>
    </row>
    <row r="240" spans="2:10" x14ac:dyDescent="0.2">
      <c r="B240" s="1" t="s">
        <v>59</v>
      </c>
      <c r="C240" s="15">
        <v>5552</v>
      </c>
      <c r="D240" s="16">
        <v>30000</v>
      </c>
      <c r="E240" s="1"/>
      <c r="F240" s="17">
        <v>310.142</v>
      </c>
      <c r="G240" s="16">
        <v>30000</v>
      </c>
      <c r="H240" s="1">
        <f t="shared" si="6"/>
        <v>0</v>
      </c>
      <c r="I240" s="1"/>
      <c r="J240" s="1"/>
    </row>
    <row r="241" spans="2:10" x14ac:dyDescent="0.2">
      <c r="B241" s="1" t="s">
        <v>59</v>
      </c>
      <c r="C241" s="15">
        <v>5931</v>
      </c>
      <c r="D241" s="16">
        <v>24000</v>
      </c>
      <c r="E241" s="1"/>
      <c r="F241" s="17">
        <v>248.113</v>
      </c>
      <c r="G241" s="16">
        <v>24000</v>
      </c>
      <c r="H241" s="1">
        <f t="shared" si="6"/>
        <v>0</v>
      </c>
      <c r="I241" s="1"/>
      <c r="J241" s="1"/>
    </row>
    <row r="242" spans="2:10" x14ac:dyDescent="0.2">
      <c r="B242" s="1" t="s">
        <v>59</v>
      </c>
      <c r="C242" s="15">
        <v>8665</v>
      </c>
      <c r="D242" s="16">
        <v>24000</v>
      </c>
      <c r="E242" s="1"/>
      <c r="F242" s="17">
        <v>248.113</v>
      </c>
      <c r="G242" s="16">
        <v>24000</v>
      </c>
      <c r="H242" s="1">
        <f t="shared" si="6"/>
        <v>0</v>
      </c>
      <c r="I242" s="1"/>
      <c r="J242" s="1"/>
    </row>
    <row r="243" spans="2:10" x14ac:dyDescent="0.2">
      <c r="B243" s="1" t="s">
        <v>59</v>
      </c>
      <c r="C243" s="15">
        <v>2131</v>
      </c>
      <c r="D243" s="16">
        <v>23000</v>
      </c>
      <c r="E243" s="1"/>
      <c r="F243" s="17">
        <v>237.77500000000001</v>
      </c>
      <c r="G243" s="16">
        <v>23000</v>
      </c>
      <c r="H243" s="1">
        <f t="shared" si="6"/>
        <v>0</v>
      </c>
      <c r="I243" s="1"/>
      <c r="J243" s="1"/>
    </row>
    <row r="244" spans="2:10" x14ac:dyDescent="0.2">
      <c r="B244" s="1" t="s">
        <v>59</v>
      </c>
      <c r="C244" s="15">
        <v>119</v>
      </c>
      <c r="D244" s="16">
        <v>15000</v>
      </c>
      <c r="E244" s="1"/>
      <c r="F244" s="17">
        <v>155.071</v>
      </c>
      <c r="G244" s="16">
        <v>15000</v>
      </c>
      <c r="H244" s="1">
        <f t="shared" si="6"/>
        <v>0</v>
      </c>
      <c r="I244" s="1"/>
      <c r="J244" s="1"/>
    </row>
    <row r="245" spans="2:10" x14ac:dyDescent="0.2">
      <c r="B245" s="1" t="s">
        <v>59</v>
      </c>
      <c r="C245" s="15">
        <v>127</v>
      </c>
      <c r="D245" s="16">
        <v>15000</v>
      </c>
      <c r="E245" s="1"/>
      <c r="F245" s="17">
        <v>155.071</v>
      </c>
      <c r="G245" s="16">
        <v>15000</v>
      </c>
      <c r="H245" s="1">
        <f t="shared" si="6"/>
        <v>0</v>
      </c>
      <c r="I245" s="1"/>
      <c r="J245" s="1"/>
    </row>
    <row r="246" spans="2:10" x14ac:dyDescent="0.2">
      <c r="B246" s="1" t="s">
        <v>59</v>
      </c>
      <c r="C246" s="15">
        <v>2681</v>
      </c>
      <c r="D246" s="16">
        <v>14000</v>
      </c>
      <c r="E246" s="1"/>
      <c r="F246" s="17">
        <v>144.733</v>
      </c>
      <c r="G246" s="16">
        <v>14000</v>
      </c>
      <c r="H246" s="1">
        <f t="shared" si="6"/>
        <v>0</v>
      </c>
      <c r="I246" s="1"/>
      <c r="J246" s="1"/>
    </row>
    <row r="247" spans="2:10" x14ac:dyDescent="0.2">
      <c r="B247" s="1" t="s">
        <v>59</v>
      </c>
      <c r="C247" s="15">
        <v>4125</v>
      </c>
      <c r="D247" s="16">
        <v>10000</v>
      </c>
      <c r="E247" s="1"/>
      <c r="F247" s="17">
        <v>103.381</v>
      </c>
      <c r="G247" s="16">
        <v>10000</v>
      </c>
      <c r="H247" s="1">
        <f t="shared" si="6"/>
        <v>0</v>
      </c>
      <c r="I247" s="1"/>
      <c r="J247" s="1"/>
    </row>
    <row r="248" spans="2:10" x14ac:dyDescent="0.2">
      <c r="B248" s="1" t="s">
        <v>59</v>
      </c>
      <c r="C248" s="15">
        <v>1565</v>
      </c>
      <c r="D248" s="16">
        <v>10000</v>
      </c>
      <c r="E248" s="1"/>
      <c r="F248" s="17">
        <v>103.381</v>
      </c>
      <c r="G248" s="16">
        <v>10000</v>
      </c>
      <c r="H248" s="1">
        <f t="shared" si="6"/>
        <v>0</v>
      </c>
      <c r="I248" s="1"/>
      <c r="J248" s="1"/>
    </row>
    <row r="249" spans="2:10" x14ac:dyDescent="0.2">
      <c r="B249" s="1" t="s">
        <v>59</v>
      </c>
      <c r="C249" s="15">
        <v>7127</v>
      </c>
      <c r="D249" s="16">
        <v>10000</v>
      </c>
      <c r="E249" s="1"/>
      <c r="F249" s="17">
        <v>103.381</v>
      </c>
      <c r="G249" s="16">
        <v>10000</v>
      </c>
      <c r="H249" s="1">
        <f t="shared" si="6"/>
        <v>0</v>
      </c>
      <c r="I249" s="1"/>
      <c r="J249" s="1"/>
    </row>
    <row r="250" spans="2:10" x14ac:dyDescent="0.2">
      <c r="B250" s="1" t="s">
        <v>59</v>
      </c>
      <c r="C250" s="15">
        <v>8921</v>
      </c>
      <c r="D250" s="16">
        <v>9000</v>
      </c>
      <c r="E250" s="1"/>
      <c r="F250" s="17">
        <v>93.043000000000006</v>
      </c>
      <c r="G250" s="16">
        <v>9000</v>
      </c>
      <c r="H250" s="1">
        <f t="shared" si="6"/>
        <v>0</v>
      </c>
      <c r="I250" s="1"/>
      <c r="J250" s="1"/>
    </row>
    <row r="251" spans="2:10" x14ac:dyDescent="0.2">
      <c r="B251" s="1" t="s">
        <v>64</v>
      </c>
      <c r="C251" s="15">
        <v>2077</v>
      </c>
      <c r="D251" s="16">
        <v>16000</v>
      </c>
      <c r="E251" s="1"/>
      <c r="F251" s="17">
        <v>165.40899999999999</v>
      </c>
      <c r="G251" s="16">
        <v>16000</v>
      </c>
      <c r="H251" s="1">
        <f t="shared" si="6"/>
        <v>0</v>
      </c>
      <c r="I251" s="1"/>
      <c r="J251" s="1"/>
    </row>
    <row r="252" spans="2:10" x14ac:dyDescent="0.2">
      <c r="B252" s="1" t="s">
        <v>64</v>
      </c>
      <c r="C252" s="15">
        <v>2290</v>
      </c>
      <c r="D252" s="16">
        <v>16000</v>
      </c>
      <c r="E252" s="1"/>
      <c r="F252" s="17">
        <v>165.40899999999999</v>
      </c>
      <c r="G252" s="16">
        <v>16000</v>
      </c>
      <c r="H252" s="1">
        <f t="shared" si="6"/>
        <v>0</v>
      </c>
      <c r="I252" s="1"/>
      <c r="J252" s="1"/>
    </row>
    <row r="253" spans="2:10" x14ac:dyDescent="0.2">
      <c r="B253" s="1" t="s">
        <v>64</v>
      </c>
      <c r="C253" s="15">
        <v>3543</v>
      </c>
      <c r="D253" s="16">
        <v>18000</v>
      </c>
      <c r="E253" s="1"/>
      <c r="F253" s="17">
        <v>186.08500000000001</v>
      </c>
      <c r="G253" s="16">
        <v>18000</v>
      </c>
      <c r="H253" s="1">
        <f t="shared" si="6"/>
        <v>0</v>
      </c>
      <c r="I253" s="1"/>
      <c r="J253" s="1"/>
    </row>
    <row r="254" spans="2:10" x14ac:dyDescent="0.2">
      <c r="B254" s="1" t="s">
        <v>64</v>
      </c>
      <c r="C254" s="15">
        <v>3390</v>
      </c>
      <c r="D254" s="16">
        <v>16000</v>
      </c>
      <c r="E254" s="1"/>
      <c r="F254" s="17">
        <v>165.40899999999999</v>
      </c>
      <c r="G254" s="16">
        <v>16000</v>
      </c>
      <c r="H254" s="1">
        <f t="shared" si="6"/>
        <v>0</v>
      </c>
      <c r="I254" s="1"/>
      <c r="J254" s="1"/>
    </row>
    <row r="255" spans="2:10" x14ac:dyDescent="0.2">
      <c r="B255" s="1" t="s">
        <v>64</v>
      </c>
      <c r="C255" s="15">
        <v>128</v>
      </c>
      <c r="D255" s="16">
        <v>13000</v>
      </c>
      <c r="E255" s="1"/>
      <c r="F255" s="17">
        <v>134.39500000000001</v>
      </c>
      <c r="G255" s="16">
        <v>13000</v>
      </c>
      <c r="H255" s="1">
        <f t="shared" si="6"/>
        <v>0</v>
      </c>
      <c r="I255" s="1"/>
      <c r="J255" s="1"/>
    </row>
    <row r="256" spans="2:10" x14ac:dyDescent="0.2">
      <c r="B256" s="1" t="s">
        <v>64</v>
      </c>
      <c r="C256" s="15">
        <v>4441</v>
      </c>
      <c r="D256" s="16">
        <v>5000</v>
      </c>
      <c r="E256" s="1"/>
      <c r="F256" s="17">
        <v>51.69</v>
      </c>
      <c r="G256" s="16">
        <v>5000</v>
      </c>
      <c r="H256" s="1">
        <f t="shared" si="6"/>
        <v>0</v>
      </c>
      <c r="I256" s="1"/>
      <c r="J256" s="1"/>
    </row>
    <row r="257" spans="2:10" x14ac:dyDescent="0.2">
      <c r="B257" s="1" t="s">
        <v>64</v>
      </c>
      <c r="C257" s="15">
        <v>530</v>
      </c>
      <c r="D257" s="16">
        <v>9000</v>
      </c>
      <c r="E257" s="1"/>
      <c r="F257" s="17">
        <v>93.043000000000006</v>
      </c>
      <c r="G257" s="16">
        <v>9000</v>
      </c>
      <c r="H257" s="1">
        <f t="shared" si="6"/>
        <v>0</v>
      </c>
      <c r="I257" s="1"/>
      <c r="J257" s="1"/>
    </row>
    <row r="258" spans="2:10" x14ac:dyDescent="0.2">
      <c r="B258" s="1" t="s">
        <v>64</v>
      </c>
      <c r="C258" s="15">
        <v>1477</v>
      </c>
      <c r="D258" s="16">
        <v>16000</v>
      </c>
      <c r="E258" s="1"/>
      <c r="F258" s="17">
        <v>165.40899999999999</v>
      </c>
      <c r="G258" s="16">
        <v>16000</v>
      </c>
      <c r="H258" s="1">
        <f t="shared" si="6"/>
        <v>0</v>
      </c>
      <c r="I258" s="1"/>
      <c r="J258" s="1"/>
    </row>
    <row r="259" spans="2:10" x14ac:dyDescent="0.2">
      <c r="B259" s="1" t="s">
        <v>64</v>
      </c>
      <c r="C259" s="15">
        <v>2151</v>
      </c>
      <c r="D259" s="16">
        <v>10000</v>
      </c>
      <c r="E259" s="1"/>
      <c r="F259" s="17">
        <v>103.381</v>
      </c>
      <c r="G259" s="16">
        <v>10000</v>
      </c>
      <c r="H259" s="1">
        <f t="shared" si="6"/>
        <v>0</v>
      </c>
      <c r="I259" s="1"/>
      <c r="J259" s="1"/>
    </row>
    <row r="260" spans="2:10" x14ac:dyDescent="0.2">
      <c r="B260" s="1" t="s">
        <v>64</v>
      </c>
      <c r="C260" s="15" t="s">
        <v>61</v>
      </c>
      <c r="D260" s="16">
        <v>5000</v>
      </c>
      <c r="E260" s="1"/>
      <c r="F260" s="17">
        <v>51.69</v>
      </c>
      <c r="G260" s="16">
        <v>5000</v>
      </c>
      <c r="H260" s="1">
        <f t="shared" si="6"/>
        <v>0</v>
      </c>
      <c r="I260" s="1"/>
      <c r="J260" s="1"/>
    </row>
    <row r="261" spans="2:10" x14ac:dyDescent="0.2">
      <c r="B261" s="1" t="s">
        <v>64</v>
      </c>
      <c r="C261" s="15">
        <v>8469</v>
      </c>
      <c r="D261" s="16">
        <v>10000</v>
      </c>
      <c r="E261" s="1"/>
      <c r="F261" s="17">
        <v>103.381</v>
      </c>
      <c r="G261" s="16">
        <v>10000</v>
      </c>
      <c r="H261" s="1">
        <f t="shared" si="6"/>
        <v>0</v>
      </c>
      <c r="I261" s="1"/>
      <c r="J261" s="1"/>
    </row>
    <row r="262" spans="2:10" x14ac:dyDescent="0.2">
      <c r="B262" s="1" t="s">
        <v>64</v>
      </c>
      <c r="C262" s="15">
        <v>118</v>
      </c>
      <c r="D262" s="16">
        <v>15000</v>
      </c>
      <c r="E262" s="1"/>
      <c r="F262" s="17">
        <v>155.071</v>
      </c>
      <c r="G262" s="16">
        <v>15000</v>
      </c>
      <c r="H262" s="1">
        <f t="shared" ref="H262:H325" si="7">D262-G262</f>
        <v>0</v>
      </c>
      <c r="I262" s="1"/>
      <c r="J262" s="1"/>
    </row>
    <row r="263" spans="2:10" x14ac:dyDescent="0.2">
      <c r="B263" s="1" t="s">
        <v>64</v>
      </c>
      <c r="C263" s="15">
        <v>2227</v>
      </c>
      <c r="D263" s="16">
        <v>15000</v>
      </c>
      <c r="E263" s="1"/>
      <c r="F263" s="17">
        <v>155.071</v>
      </c>
      <c r="G263" s="16">
        <v>15000</v>
      </c>
      <c r="H263" s="1">
        <f t="shared" si="7"/>
        <v>0</v>
      </c>
      <c r="I263" s="1"/>
      <c r="J263" s="1"/>
    </row>
    <row r="264" spans="2:10" x14ac:dyDescent="0.2">
      <c r="B264" s="1" t="s">
        <v>64</v>
      </c>
      <c r="C264" s="15">
        <v>9516</v>
      </c>
      <c r="D264" s="16">
        <v>15000</v>
      </c>
      <c r="E264" s="1"/>
      <c r="F264" s="17">
        <v>155.071</v>
      </c>
      <c r="G264" s="16">
        <v>15000</v>
      </c>
      <c r="H264" s="1">
        <f t="shared" si="7"/>
        <v>0</v>
      </c>
      <c r="I264" s="1"/>
      <c r="J264" s="1"/>
    </row>
    <row r="265" spans="2:10" x14ac:dyDescent="0.2">
      <c r="B265" s="1" t="s">
        <v>64</v>
      </c>
      <c r="C265" s="15">
        <v>6565</v>
      </c>
      <c r="D265" s="16">
        <v>14000</v>
      </c>
      <c r="E265" s="1"/>
      <c r="F265" s="17">
        <v>144.733</v>
      </c>
      <c r="G265" s="16">
        <v>14000</v>
      </c>
      <c r="H265" s="1">
        <f t="shared" si="7"/>
        <v>0</v>
      </c>
      <c r="I265" s="1"/>
      <c r="J265" s="1"/>
    </row>
    <row r="266" spans="2:10" x14ac:dyDescent="0.2">
      <c r="B266" s="1" t="s">
        <v>64</v>
      </c>
      <c r="C266" s="15">
        <v>120</v>
      </c>
      <c r="D266" s="16">
        <v>15000</v>
      </c>
      <c r="E266" s="1"/>
      <c r="F266" s="17">
        <v>155.071</v>
      </c>
      <c r="G266" s="16">
        <v>15000</v>
      </c>
      <c r="H266" s="1">
        <f t="shared" si="7"/>
        <v>0</v>
      </c>
      <c r="I266" s="1"/>
      <c r="J266" s="1"/>
    </row>
    <row r="267" spans="2:10" x14ac:dyDescent="0.2">
      <c r="B267" s="1" t="s">
        <v>64</v>
      </c>
      <c r="C267" s="15">
        <v>1758</v>
      </c>
      <c r="D267" s="16">
        <v>13000</v>
      </c>
      <c r="E267" s="1"/>
      <c r="F267" s="17">
        <v>134.39500000000001</v>
      </c>
      <c r="G267" s="16">
        <v>13000</v>
      </c>
      <c r="H267" s="1">
        <f t="shared" si="7"/>
        <v>0</v>
      </c>
      <c r="I267" s="1"/>
      <c r="J267" s="1"/>
    </row>
    <row r="268" spans="2:10" x14ac:dyDescent="0.2">
      <c r="B268" s="1" t="s">
        <v>64</v>
      </c>
      <c r="C268" s="15">
        <v>293</v>
      </c>
      <c r="D268" s="16">
        <v>15000</v>
      </c>
      <c r="E268" s="1"/>
      <c r="F268" s="17">
        <v>155.071</v>
      </c>
      <c r="G268" s="16">
        <v>15000</v>
      </c>
      <c r="H268" s="1">
        <f t="shared" si="7"/>
        <v>0</v>
      </c>
      <c r="I268" s="1"/>
      <c r="J268" s="1"/>
    </row>
    <row r="269" spans="2:10" x14ac:dyDescent="0.2">
      <c r="B269" s="1" t="s">
        <v>64</v>
      </c>
      <c r="C269" s="15">
        <v>291</v>
      </c>
      <c r="D269" s="16">
        <v>14000</v>
      </c>
      <c r="E269" s="1"/>
      <c r="F269" s="17">
        <v>144.733</v>
      </c>
      <c r="G269" s="16">
        <v>14000</v>
      </c>
      <c r="H269" s="1">
        <f t="shared" si="7"/>
        <v>0</v>
      </c>
      <c r="I269" s="1"/>
      <c r="J269" s="1"/>
    </row>
    <row r="270" spans="2:10" x14ac:dyDescent="0.2">
      <c r="B270" s="1" t="s">
        <v>64</v>
      </c>
      <c r="C270" s="15">
        <v>4107</v>
      </c>
      <c r="D270" s="16">
        <v>15000</v>
      </c>
      <c r="E270" s="1"/>
      <c r="F270" s="17">
        <v>155.071</v>
      </c>
      <c r="G270" s="16">
        <v>15000</v>
      </c>
      <c r="H270" s="1">
        <f t="shared" si="7"/>
        <v>0</v>
      </c>
      <c r="I270" s="1"/>
      <c r="J270" s="1"/>
    </row>
    <row r="271" spans="2:10" x14ac:dyDescent="0.2">
      <c r="B271" s="1" t="s">
        <v>64</v>
      </c>
      <c r="C271" s="15">
        <v>7271</v>
      </c>
      <c r="D271" s="16">
        <v>9000</v>
      </c>
      <c r="E271" s="1"/>
      <c r="F271" s="17">
        <v>93.043000000000006</v>
      </c>
      <c r="G271" s="16">
        <v>9000</v>
      </c>
      <c r="H271" s="1">
        <f t="shared" si="7"/>
        <v>0</v>
      </c>
      <c r="I271" s="1"/>
      <c r="J271" s="1"/>
    </row>
    <row r="272" spans="2:10" x14ac:dyDescent="0.2">
      <c r="B272" s="1" t="s">
        <v>64</v>
      </c>
      <c r="C272" s="15">
        <v>5403</v>
      </c>
      <c r="D272" s="16">
        <v>8000</v>
      </c>
      <c r="E272" s="1"/>
      <c r="F272" s="17">
        <v>82.703999999999994</v>
      </c>
      <c r="G272" s="16">
        <v>8000</v>
      </c>
      <c r="H272" s="1">
        <f t="shared" si="7"/>
        <v>0</v>
      </c>
      <c r="I272" s="1"/>
      <c r="J272" s="1"/>
    </row>
    <row r="273" spans="2:10" x14ac:dyDescent="0.2">
      <c r="B273" s="1" t="s">
        <v>64</v>
      </c>
      <c r="C273" s="15">
        <v>9599</v>
      </c>
      <c r="D273" s="16">
        <v>30000</v>
      </c>
      <c r="E273" s="1"/>
      <c r="F273" s="17">
        <v>310.142</v>
      </c>
      <c r="G273" s="16">
        <v>30000</v>
      </c>
      <c r="H273" s="1">
        <f t="shared" si="7"/>
        <v>0</v>
      </c>
      <c r="I273" s="1"/>
      <c r="J273" s="1"/>
    </row>
    <row r="274" spans="2:10" x14ac:dyDescent="0.2">
      <c r="B274" s="1" t="s">
        <v>64</v>
      </c>
      <c r="C274" s="15">
        <v>4156</v>
      </c>
      <c r="D274" s="16">
        <v>25000</v>
      </c>
      <c r="E274" s="1"/>
      <c r="F274" s="17">
        <v>258.45100000000002</v>
      </c>
      <c r="G274" s="16">
        <v>25000</v>
      </c>
      <c r="H274" s="1">
        <f t="shared" si="7"/>
        <v>0</v>
      </c>
      <c r="I274" s="1"/>
      <c r="J274" s="1"/>
    </row>
    <row r="275" spans="2:10" x14ac:dyDescent="0.2">
      <c r="B275" s="1" t="s">
        <v>64</v>
      </c>
      <c r="C275" s="15">
        <v>533</v>
      </c>
      <c r="D275" s="16">
        <v>7000</v>
      </c>
      <c r="E275" s="1"/>
      <c r="F275" s="17">
        <v>72.366</v>
      </c>
      <c r="G275" s="16">
        <v>7000</v>
      </c>
      <c r="H275" s="1">
        <f t="shared" si="7"/>
        <v>0</v>
      </c>
      <c r="I275" s="1"/>
      <c r="J275" s="1"/>
    </row>
    <row r="276" spans="2:10" x14ac:dyDescent="0.2">
      <c r="B276" s="1" t="s">
        <v>64</v>
      </c>
      <c r="C276" s="15">
        <v>5185</v>
      </c>
      <c r="D276" s="16">
        <v>8000</v>
      </c>
      <c r="E276" s="1"/>
      <c r="F276" s="17">
        <v>82.703999999999994</v>
      </c>
      <c r="G276" s="16">
        <v>8000</v>
      </c>
      <c r="H276" s="1">
        <f t="shared" si="7"/>
        <v>0</v>
      </c>
      <c r="I276" s="1"/>
      <c r="J276" s="1"/>
    </row>
    <row r="277" spans="2:10" x14ac:dyDescent="0.2">
      <c r="B277" s="1" t="s">
        <v>60</v>
      </c>
      <c r="C277" s="15" t="s">
        <v>61</v>
      </c>
      <c r="D277" s="16">
        <v>2986</v>
      </c>
      <c r="E277" s="1"/>
      <c r="F277" s="17">
        <v>30.869</v>
      </c>
      <c r="G277" s="16">
        <v>2986</v>
      </c>
      <c r="H277" s="1">
        <f t="shared" si="7"/>
        <v>0</v>
      </c>
      <c r="I277" s="1"/>
      <c r="J277" s="1"/>
    </row>
    <row r="278" spans="2:10" x14ac:dyDescent="0.2">
      <c r="B278" s="1" t="s">
        <v>60</v>
      </c>
      <c r="C278" s="32" t="s">
        <v>68</v>
      </c>
      <c r="D278" s="16">
        <v>5000</v>
      </c>
      <c r="E278" s="1"/>
      <c r="F278" s="17">
        <v>51.69</v>
      </c>
      <c r="G278" s="16">
        <v>5000</v>
      </c>
      <c r="H278" s="1">
        <f t="shared" si="7"/>
        <v>0</v>
      </c>
      <c r="I278" s="1"/>
      <c r="J278" s="1"/>
    </row>
    <row r="279" spans="2:10" x14ac:dyDescent="0.2">
      <c r="B279" s="1" t="s">
        <v>60</v>
      </c>
      <c r="C279" s="15">
        <v>941</v>
      </c>
      <c r="D279" s="16">
        <v>25000</v>
      </c>
      <c r="E279" s="1"/>
      <c r="F279" s="17">
        <v>258.45100000000002</v>
      </c>
      <c r="G279" s="16">
        <v>25000</v>
      </c>
      <c r="H279" s="1">
        <f t="shared" si="7"/>
        <v>0</v>
      </c>
      <c r="I279" s="1"/>
      <c r="J279" s="1"/>
    </row>
    <row r="280" spans="2:10" x14ac:dyDescent="0.2">
      <c r="B280" s="1" t="s">
        <v>60</v>
      </c>
      <c r="C280" s="15">
        <v>6349</v>
      </c>
      <c r="D280" s="16">
        <v>25000</v>
      </c>
      <c r="E280" s="1"/>
      <c r="F280" s="17">
        <v>258.45100000000002</v>
      </c>
      <c r="G280" s="16">
        <v>25000</v>
      </c>
      <c r="H280" s="1">
        <f t="shared" si="7"/>
        <v>0</v>
      </c>
      <c r="I280" s="1"/>
      <c r="J280" s="1"/>
    </row>
    <row r="281" spans="2:10" x14ac:dyDescent="0.2">
      <c r="B281" s="1" t="s">
        <v>60</v>
      </c>
      <c r="C281" s="15">
        <v>1321</v>
      </c>
      <c r="D281" s="16">
        <v>13000</v>
      </c>
      <c r="E281" s="1"/>
      <c r="F281" s="17">
        <v>134.39500000000001</v>
      </c>
      <c r="G281" s="16">
        <v>13000</v>
      </c>
      <c r="H281" s="1">
        <f t="shared" si="7"/>
        <v>0</v>
      </c>
      <c r="I281" s="1"/>
      <c r="J281" s="1"/>
    </row>
    <row r="282" spans="2:10" x14ac:dyDescent="0.2">
      <c r="B282" s="1" t="s">
        <v>60</v>
      </c>
      <c r="C282" s="15">
        <v>9941</v>
      </c>
      <c r="D282" s="16">
        <v>13000</v>
      </c>
      <c r="E282" s="1"/>
      <c r="F282" s="17">
        <v>134.39500000000001</v>
      </c>
      <c r="G282" s="16">
        <v>13000</v>
      </c>
      <c r="H282" s="1">
        <f t="shared" si="7"/>
        <v>0</v>
      </c>
      <c r="I282" s="1"/>
      <c r="J282" s="1"/>
    </row>
    <row r="283" spans="2:10" x14ac:dyDescent="0.2">
      <c r="B283" s="1" t="s">
        <v>60</v>
      </c>
      <c r="C283" s="15">
        <v>1593</v>
      </c>
      <c r="D283" s="16">
        <v>14000</v>
      </c>
      <c r="E283" s="1"/>
      <c r="F283" s="17">
        <v>144.733</v>
      </c>
      <c r="G283" s="16">
        <v>14000</v>
      </c>
      <c r="H283" s="1">
        <f t="shared" si="7"/>
        <v>0</v>
      </c>
      <c r="I283" s="1"/>
      <c r="J283" s="1"/>
    </row>
    <row r="284" spans="2:10" x14ac:dyDescent="0.2">
      <c r="B284" s="1" t="s">
        <v>60</v>
      </c>
      <c r="C284" s="15">
        <v>121</v>
      </c>
      <c r="D284" s="16">
        <v>15000</v>
      </c>
      <c r="E284" s="1"/>
      <c r="F284" s="17">
        <v>155.071</v>
      </c>
      <c r="G284" s="16">
        <v>15000</v>
      </c>
      <c r="H284" s="1">
        <f t="shared" si="7"/>
        <v>0</v>
      </c>
      <c r="I284" s="1"/>
      <c r="J284" s="1"/>
    </row>
    <row r="285" spans="2:10" x14ac:dyDescent="0.2">
      <c r="B285" s="1" t="s">
        <v>60</v>
      </c>
      <c r="C285" s="15">
        <v>1708</v>
      </c>
      <c r="D285" s="16">
        <v>15000</v>
      </c>
      <c r="E285" s="1"/>
      <c r="F285" s="17">
        <v>155.071</v>
      </c>
      <c r="G285" s="16">
        <v>15000</v>
      </c>
      <c r="H285" s="1">
        <f t="shared" si="7"/>
        <v>0</v>
      </c>
      <c r="I285" s="1"/>
      <c r="J285" s="1"/>
    </row>
    <row r="286" spans="2:10" x14ac:dyDescent="0.2">
      <c r="B286" s="1" t="s">
        <v>60</v>
      </c>
      <c r="C286" s="15">
        <v>9691</v>
      </c>
      <c r="D286" s="16">
        <v>15000</v>
      </c>
      <c r="E286" s="1"/>
      <c r="F286" s="17">
        <v>155.071</v>
      </c>
      <c r="G286" s="16">
        <v>15000</v>
      </c>
      <c r="H286" s="1">
        <f t="shared" si="7"/>
        <v>0</v>
      </c>
      <c r="I286" s="1"/>
      <c r="J286" s="1"/>
    </row>
    <row r="287" spans="2:10" x14ac:dyDescent="0.2">
      <c r="B287" s="1" t="s">
        <v>60</v>
      </c>
      <c r="C287" s="15">
        <v>253</v>
      </c>
      <c r="D287" s="16">
        <v>20000</v>
      </c>
      <c r="E287" s="1"/>
      <c r="F287" s="17">
        <v>206.761</v>
      </c>
      <c r="G287" s="16">
        <v>20000</v>
      </c>
      <c r="H287" s="1">
        <f t="shared" si="7"/>
        <v>0</v>
      </c>
      <c r="I287" s="1"/>
      <c r="J287" s="1"/>
    </row>
    <row r="288" spans="2:10" x14ac:dyDescent="0.2">
      <c r="B288" s="1" t="s">
        <v>60</v>
      </c>
      <c r="C288" s="15">
        <v>2946</v>
      </c>
      <c r="D288" s="16">
        <v>26000</v>
      </c>
      <c r="E288" s="1"/>
      <c r="F288" s="17">
        <v>268.78899999999999</v>
      </c>
      <c r="G288" s="16">
        <v>26000</v>
      </c>
      <c r="H288" s="1">
        <f t="shared" si="7"/>
        <v>0</v>
      </c>
      <c r="I288" s="1"/>
      <c r="J288" s="1"/>
    </row>
    <row r="289" spans="2:10" x14ac:dyDescent="0.2">
      <c r="B289" s="1" t="s">
        <v>60</v>
      </c>
      <c r="C289" s="15">
        <v>1717</v>
      </c>
      <c r="D289" s="16">
        <v>31000</v>
      </c>
      <c r="E289" s="1"/>
      <c r="F289" s="17">
        <v>320.48</v>
      </c>
      <c r="G289" s="16">
        <v>31000</v>
      </c>
      <c r="H289" s="1">
        <f t="shared" si="7"/>
        <v>0</v>
      </c>
      <c r="I289" s="1"/>
      <c r="J289" s="1"/>
    </row>
    <row r="290" spans="2:10" x14ac:dyDescent="0.2">
      <c r="B290" s="36" t="s">
        <v>60</v>
      </c>
      <c r="C290" s="35">
        <v>5931</v>
      </c>
      <c r="D290" s="36">
        <v>32000</v>
      </c>
      <c r="E290" s="36"/>
      <c r="F290" s="55">
        <v>330.81799999999998</v>
      </c>
      <c r="G290" s="36">
        <v>32000</v>
      </c>
      <c r="H290" s="1">
        <f t="shared" si="7"/>
        <v>0</v>
      </c>
      <c r="I290" s="1"/>
      <c r="J290" s="1"/>
    </row>
    <row r="291" spans="2:10" x14ac:dyDescent="0.2">
      <c r="B291" s="1" t="s">
        <v>65</v>
      </c>
      <c r="C291" s="15" t="s">
        <v>66</v>
      </c>
      <c r="D291" s="16">
        <v>400</v>
      </c>
      <c r="E291" s="1"/>
      <c r="F291" s="17">
        <v>155.07</v>
      </c>
      <c r="G291" s="16">
        <v>400</v>
      </c>
      <c r="H291" s="1">
        <f t="shared" si="7"/>
        <v>0</v>
      </c>
      <c r="I291" s="1"/>
      <c r="J291" s="1"/>
    </row>
    <row r="292" spans="2:10" x14ac:dyDescent="0.2">
      <c r="B292" s="1" t="s">
        <v>65</v>
      </c>
      <c r="C292" s="15">
        <v>6353</v>
      </c>
      <c r="D292" s="16">
        <v>20000</v>
      </c>
      <c r="E292" s="1"/>
      <c r="F292" s="17">
        <v>206.76</v>
      </c>
      <c r="G292" s="16">
        <v>20000</v>
      </c>
      <c r="H292" s="1">
        <f t="shared" si="7"/>
        <v>0</v>
      </c>
      <c r="I292" s="1"/>
      <c r="J292" s="1"/>
    </row>
    <row r="293" spans="2:10" x14ac:dyDescent="0.2">
      <c r="B293" s="1" t="s">
        <v>65</v>
      </c>
      <c r="C293" s="15">
        <v>2290</v>
      </c>
      <c r="D293" s="16">
        <v>16000</v>
      </c>
      <c r="E293" s="1"/>
      <c r="F293" s="17">
        <v>165.41</v>
      </c>
      <c r="G293" s="16">
        <v>16000</v>
      </c>
      <c r="H293" s="1">
        <f t="shared" si="7"/>
        <v>0</v>
      </c>
      <c r="I293" s="1"/>
      <c r="J293" s="1"/>
    </row>
    <row r="294" spans="2:10" x14ac:dyDescent="0.2">
      <c r="B294" s="1" t="s">
        <v>65</v>
      </c>
      <c r="C294" s="15">
        <v>1912</v>
      </c>
      <c r="D294" s="16">
        <v>34000</v>
      </c>
      <c r="E294" s="1"/>
      <c r="F294" s="17">
        <v>351.49</v>
      </c>
      <c r="G294" s="16">
        <v>34000</v>
      </c>
      <c r="H294" s="1">
        <f t="shared" si="7"/>
        <v>0</v>
      </c>
      <c r="I294" s="1"/>
      <c r="J294" s="1"/>
    </row>
    <row r="295" spans="2:10" x14ac:dyDescent="0.2">
      <c r="B295" s="1" t="s">
        <v>65</v>
      </c>
      <c r="C295" s="15">
        <v>2227</v>
      </c>
      <c r="D295" s="16">
        <v>20000</v>
      </c>
      <c r="E295" s="1"/>
      <c r="F295" s="17">
        <v>206.76</v>
      </c>
      <c r="G295" s="16">
        <v>20000</v>
      </c>
      <c r="H295" s="1">
        <f t="shared" si="7"/>
        <v>0</v>
      </c>
      <c r="I295" s="1"/>
      <c r="J295" s="1"/>
    </row>
    <row r="296" spans="2:10" x14ac:dyDescent="0.2">
      <c r="B296" s="1" t="s">
        <v>65</v>
      </c>
      <c r="C296" s="15">
        <v>5079</v>
      </c>
      <c r="D296" s="16">
        <v>30000</v>
      </c>
      <c r="E296" s="1"/>
      <c r="F296" s="17">
        <v>310.14</v>
      </c>
      <c r="G296" s="16">
        <v>30000</v>
      </c>
      <c r="H296" s="1">
        <f t="shared" si="7"/>
        <v>0</v>
      </c>
      <c r="I296" s="1"/>
      <c r="J296" s="1"/>
    </row>
    <row r="297" spans="2:10" x14ac:dyDescent="0.2">
      <c r="B297" s="1" t="s">
        <v>65</v>
      </c>
      <c r="C297" s="15">
        <v>3390</v>
      </c>
      <c r="D297" s="16">
        <v>16000</v>
      </c>
      <c r="E297" s="1"/>
      <c r="F297" s="17">
        <v>165.41</v>
      </c>
      <c r="G297" s="16">
        <v>16000</v>
      </c>
      <c r="H297" s="1">
        <f t="shared" si="7"/>
        <v>0</v>
      </c>
      <c r="I297" s="1"/>
      <c r="J297" s="1"/>
    </row>
    <row r="298" spans="2:10" x14ac:dyDescent="0.2">
      <c r="B298" s="1" t="s">
        <v>65</v>
      </c>
      <c r="C298" s="15">
        <v>2311</v>
      </c>
      <c r="D298" s="16">
        <v>15000</v>
      </c>
      <c r="E298" s="1"/>
      <c r="F298" s="17">
        <v>155.07</v>
      </c>
      <c r="G298" s="16">
        <v>15000</v>
      </c>
      <c r="H298" s="1">
        <f t="shared" si="7"/>
        <v>0</v>
      </c>
      <c r="I298" s="1"/>
      <c r="J298" s="1"/>
    </row>
    <row r="299" spans="2:10" x14ac:dyDescent="0.2">
      <c r="B299" s="1" t="s">
        <v>67</v>
      </c>
      <c r="C299" s="15">
        <v>1054</v>
      </c>
      <c r="D299" s="16">
        <v>15000</v>
      </c>
      <c r="E299" s="1"/>
      <c r="F299" s="17">
        <v>155.07</v>
      </c>
      <c r="G299" s="16">
        <v>15000</v>
      </c>
      <c r="H299" s="1">
        <f t="shared" si="7"/>
        <v>0</v>
      </c>
      <c r="I299" s="1"/>
      <c r="J299" s="1"/>
    </row>
    <row r="300" spans="2:10" x14ac:dyDescent="0.2">
      <c r="B300" s="1" t="s">
        <v>67</v>
      </c>
      <c r="C300" s="15">
        <v>4393</v>
      </c>
      <c r="D300" s="16">
        <v>25000</v>
      </c>
      <c r="E300" s="1"/>
      <c r="F300" s="17">
        <v>258.45</v>
      </c>
      <c r="G300" s="16">
        <v>25000</v>
      </c>
      <c r="H300" s="1">
        <f t="shared" si="7"/>
        <v>0</v>
      </c>
      <c r="I300" s="1"/>
      <c r="J300" s="1"/>
    </row>
    <row r="301" spans="2:10" x14ac:dyDescent="0.2">
      <c r="B301" s="1" t="s">
        <v>67</v>
      </c>
      <c r="C301" s="15">
        <v>2383</v>
      </c>
      <c r="D301" s="16">
        <v>15000</v>
      </c>
      <c r="E301" s="1"/>
      <c r="F301" s="17">
        <v>155.07</v>
      </c>
      <c r="G301" s="16">
        <v>15000</v>
      </c>
      <c r="H301" s="1">
        <f t="shared" si="7"/>
        <v>0</v>
      </c>
      <c r="I301" s="1"/>
      <c r="J301" s="1"/>
    </row>
    <row r="302" spans="2:10" x14ac:dyDescent="0.2">
      <c r="B302" s="1" t="s">
        <v>67</v>
      </c>
      <c r="C302" s="15">
        <v>8492</v>
      </c>
      <c r="D302" s="16">
        <v>20000</v>
      </c>
      <c r="E302" s="1"/>
      <c r="F302" s="17">
        <v>206.76</v>
      </c>
      <c r="G302" s="16">
        <v>20000</v>
      </c>
      <c r="H302" s="1">
        <f t="shared" si="7"/>
        <v>0</v>
      </c>
      <c r="I302" s="1"/>
      <c r="J302" s="1"/>
    </row>
    <row r="303" spans="2:10" x14ac:dyDescent="0.2">
      <c r="B303" s="1" t="s">
        <v>67</v>
      </c>
      <c r="C303" s="15">
        <v>7127</v>
      </c>
      <c r="D303" s="16">
        <v>8000</v>
      </c>
      <c r="E303" s="1"/>
      <c r="F303" s="17">
        <v>82.7</v>
      </c>
      <c r="G303" s="16">
        <v>8000</v>
      </c>
      <c r="H303" s="1">
        <f t="shared" si="7"/>
        <v>0</v>
      </c>
      <c r="I303" s="1"/>
      <c r="J303" s="1"/>
    </row>
    <row r="304" spans="2:10" x14ac:dyDescent="0.2">
      <c r="B304" s="1" t="s">
        <v>67</v>
      </c>
      <c r="C304" s="15">
        <v>5818</v>
      </c>
      <c r="D304" s="16">
        <v>18000</v>
      </c>
      <c r="E304" s="1"/>
      <c r="F304" s="17">
        <v>186.08</v>
      </c>
      <c r="G304" s="16">
        <v>18000</v>
      </c>
      <c r="H304" s="1">
        <f t="shared" si="7"/>
        <v>0</v>
      </c>
      <c r="I304" s="1"/>
      <c r="J304" s="1"/>
    </row>
    <row r="305" spans="2:10" x14ac:dyDescent="0.2">
      <c r="B305" s="1" t="s">
        <v>67</v>
      </c>
      <c r="C305" s="15">
        <v>4953</v>
      </c>
      <c r="D305" s="16">
        <v>6000</v>
      </c>
      <c r="E305" s="1"/>
      <c r="F305" s="17">
        <v>62.03</v>
      </c>
      <c r="G305" s="16">
        <v>6000</v>
      </c>
      <c r="H305" s="1">
        <f t="shared" si="7"/>
        <v>0</v>
      </c>
      <c r="I305" s="1"/>
      <c r="J305" s="1"/>
    </row>
    <row r="306" spans="2:10" x14ac:dyDescent="0.2">
      <c r="B306" s="1" t="s">
        <v>67</v>
      </c>
      <c r="C306" s="15">
        <v>9242</v>
      </c>
      <c r="D306" s="16">
        <v>20000</v>
      </c>
      <c r="E306" s="1"/>
      <c r="F306" s="17">
        <v>206.81</v>
      </c>
      <c r="G306" s="16">
        <v>20000</v>
      </c>
      <c r="H306" s="1">
        <f t="shared" si="7"/>
        <v>0</v>
      </c>
      <c r="I306" s="1"/>
      <c r="J306" s="1"/>
    </row>
    <row r="307" spans="2:10" x14ac:dyDescent="0.2">
      <c r="B307" s="1" t="s">
        <v>69</v>
      </c>
      <c r="C307" s="15">
        <v>7109</v>
      </c>
      <c r="D307" s="16">
        <v>3370</v>
      </c>
      <c r="E307" s="1"/>
      <c r="F307" s="17">
        <v>34.840000000000003</v>
      </c>
      <c r="G307" s="16">
        <v>3370</v>
      </c>
      <c r="H307" s="1">
        <f t="shared" si="7"/>
        <v>0</v>
      </c>
      <c r="I307" s="1"/>
      <c r="J307" s="1"/>
    </row>
    <row r="308" spans="2:10" x14ac:dyDescent="0.2">
      <c r="B308" s="1" t="s">
        <v>69</v>
      </c>
      <c r="C308" s="15">
        <v>5931</v>
      </c>
      <c r="D308" s="16">
        <v>26000</v>
      </c>
      <c r="E308" s="1"/>
      <c r="F308" s="17">
        <v>218.79</v>
      </c>
      <c r="G308" s="16">
        <v>26000</v>
      </c>
      <c r="H308" s="1">
        <f t="shared" si="7"/>
        <v>0</v>
      </c>
      <c r="I308" s="1"/>
      <c r="J308" s="1"/>
    </row>
    <row r="309" spans="2:10" x14ac:dyDescent="0.2">
      <c r="B309" s="1" t="s">
        <v>69</v>
      </c>
      <c r="C309" s="15">
        <v>941</v>
      </c>
      <c r="D309" s="16">
        <v>13000</v>
      </c>
      <c r="E309" s="1"/>
      <c r="F309" s="17">
        <v>134.59</v>
      </c>
      <c r="G309" s="16">
        <v>13000</v>
      </c>
      <c r="H309" s="1">
        <f t="shared" si="7"/>
        <v>0</v>
      </c>
      <c r="I309" s="1"/>
      <c r="J309" s="1"/>
    </row>
    <row r="310" spans="2:10" x14ac:dyDescent="0.2">
      <c r="B310" s="1" t="s">
        <v>69</v>
      </c>
      <c r="C310" s="15">
        <v>7029</v>
      </c>
      <c r="D310" s="16">
        <v>13000</v>
      </c>
      <c r="E310" s="1"/>
      <c r="F310" s="17">
        <v>134.59</v>
      </c>
      <c r="G310" s="16">
        <v>13000</v>
      </c>
      <c r="H310" s="1">
        <f t="shared" si="7"/>
        <v>0</v>
      </c>
      <c r="I310" s="1"/>
      <c r="J310" s="1"/>
    </row>
    <row r="311" spans="2:10" x14ac:dyDescent="0.2">
      <c r="B311" s="1" t="s">
        <v>69</v>
      </c>
      <c r="C311" s="15">
        <v>3058</v>
      </c>
      <c r="D311" s="16">
        <v>10000</v>
      </c>
      <c r="E311" s="1"/>
      <c r="F311" s="17">
        <v>103.38</v>
      </c>
      <c r="G311" s="16">
        <v>10000</v>
      </c>
      <c r="H311" s="1">
        <f t="shared" si="7"/>
        <v>0</v>
      </c>
      <c r="I311" s="1"/>
      <c r="J311" s="1"/>
    </row>
    <row r="312" spans="2:10" x14ac:dyDescent="0.2">
      <c r="B312" s="1" t="s">
        <v>69</v>
      </c>
      <c r="C312" s="15">
        <v>2453</v>
      </c>
      <c r="D312" s="16">
        <v>24000</v>
      </c>
      <c r="E312" s="1"/>
      <c r="F312" s="17">
        <v>248.11</v>
      </c>
      <c r="G312" s="16">
        <v>24000</v>
      </c>
      <c r="H312" s="1">
        <f t="shared" si="7"/>
        <v>0</v>
      </c>
      <c r="I312" s="1"/>
      <c r="J312" s="1"/>
    </row>
    <row r="313" spans="2:10" x14ac:dyDescent="0.2">
      <c r="B313" s="1" t="s">
        <v>69</v>
      </c>
      <c r="C313" s="15">
        <v>2227</v>
      </c>
      <c r="D313" s="16">
        <v>22000</v>
      </c>
      <c r="E313" s="1"/>
      <c r="F313" s="17">
        <v>227.44</v>
      </c>
      <c r="G313" s="16">
        <v>22000</v>
      </c>
      <c r="H313" s="1">
        <f t="shared" si="7"/>
        <v>0</v>
      </c>
      <c r="I313" s="1"/>
      <c r="J313" s="1"/>
    </row>
    <row r="314" spans="2:10" x14ac:dyDescent="0.2">
      <c r="B314" s="1" t="s">
        <v>69</v>
      </c>
      <c r="C314" s="15">
        <v>9189</v>
      </c>
      <c r="D314" s="16">
        <v>15000</v>
      </c>
      <c r="E314" s="1"/>
      <c r="F314" s="17">
        <v>155.07</v>
      </c>
      <c r="G314" s="16">
        <v>15000</v>
      </c>
      <c r="H314" s="1">
        <f t="shared" si="7"/>
        <v>0</v>
      </c>
      <c r="I314" s="1"/>
      <c r="J314" s="1"/>
    </row>
    <row r="315" spans="2:10" x14ac:dyDescent="0.2">
      <c r="B315" s="1" t="s">
        <v>69</v>
      </c>
      <c r="C315" s="32" t="s">
        <v>30</v>
      </c>
      <c r="D315" s="16">
        <v>5000</v>
      </c>
      <c r="E315" s="1"/>
      <c r="F315" s="17">
        <v>51.69</v>
      </c>
      <c r="G315" s="16">
        <v>5000</v>
      </c>
      <c r="H315" s="1">
        <f t="shared" si="7"/>
        <v>0</v>
      </c>
      <c r="I315" s="1"/>
      <c r="J315" s="1"/>
    </row>
    <row r="316" spans="2:10" x14ac:dyDescent="0.2">
      <c r="B316" s="1" t="s">
        <v>69</v>
      </c>
      <c r="C316" s="15">
        <v>6353</v>
      </c>
      <c r="D316" s="16">
        <v>22000</v>
      </c>
      <c r="E316" s="1"/>
      <c r="F316" s="17">
        <v>227.44</v>
      </c>
      <c r="G316" s="16">
        <v>22000</v>
      </c>
      <c r="H316" s="1">
        <f t="shared" si="7"/>
        <v>0</v>
      </c>
      <c r="I316" s="1"/>
      <c r="J316" s="1"/>
    </row>
    <row r="317" spans="2:10" x14ac:dyDescent="0.2">
      <c r="B317" s="1" t="s">
        <v>69</v>
      </c>
      <c r="C317" s="15">
        <v>3226</v>
      </c>
      <c r="D317" s="16">
        <v>20000</v>
      </c>
      <c r="E317" s="1"/>
      <c r="F317" s="17">
        <v>322.60000000000002</v>
      </c>
      <c r="G317" s="16">
        <v>20000</v>
      </c>
      <c r="H317" s="1">
        <f t="shared" si="7"/>
        <v>0</v>
      </c>
      <c r="I317" s="1"/>
      <c r="J317" s="1"/>
    </row>
    <row r="318" spans="2:10" x14ac:dyDescent="0.2">
      <c r="B318" s="1" t="s">
        <v>69</v>
      </c>
      <c r="C318" s="15">
        <v>3776</v>
      </c>
      <c r="D318" s="16">
        <v>10000</v>
      </c>
      <c r="E318" s="1"/>
      <c r="F318" s="17">
        <v>103.38</v>
      </c>
      <c r="G318" s="16">
        <v>10000</v>
      </c>
      <c r="H318" s="1">
        <f t="shared" si="7"/>
        <v>0</v>
      </c>
      <c r="I318" s="1"/>
      <c r="J318" s="1"/>
    </row>
    <row r="319" spans="2:10" x14ac:dyDescent="0.2">
      <c r="B319" s="1" t="s">
        <v>69</v>
      </c>
      <c r="C319" s="15">
        <v>8207</v>
      </c>
      <c r="D319" s="16">
        <v>30000</v>
      </c>
      <c r="E319" s="1"/>
      <c r="F319" s="17">
        <v>310.14999999999998</v>
      </c>
      <c r="G319" s="16">
        <v>30000</v>
      </c>
      <c r="H319" s="1">
        <f t="shared" si="7"/>
        <v>0</v>
      </c>
      <c r="I319" s="1"/>
      <c r="J319" s="1"/>
    </row>
    <row r="320" spans="2:10" x14ac:dyDescent="0.2">
      <c r="B320" s="1" t="s">
        <v>69</v>
      </c>
      <c r="C320" s="15">
        <v>9941</v>
      </c>
      <c r="D320" s="16">
        <v>15000</v>
      </c>
      <c r="E320" s="1"/>
      <c r="F320" s="17">
        <v>155.07</v>
      </c>
      <c r="G320" s="16">
        <v>15000</v>
      </c>
      <c r="H320" s="1">
        <f t="shared" si="7"/>
        <v>0</v>
      </c>
      <c r="I320" s="1"/>
      <c r="J320" s="1"/>
    </row>
    <row r="321" spans="2:10" x14ac:dyDescent="0.2">
      <c r="B321" s="1" t="s">
        <v>69</v>
      </c>
      <c r="C321" s="15">
        <v>9691</v>
      </c>
      <c r="D321" s="16">
        <v>15000</v>
      </c>
      <c r="E321" s="1"/>
      <c r="F321" s="17">
        <v>155.07</v>
      </c>
      <c r="G321" s="16">
        <v>15000</v>
      </c>
      <c r="H321" s="1">
        <f t="shared" si="7"/>
        <v>0</v>
      </c>
      <c r="I321" s="1"/>
      <c r="J321" s="1"/>
    </row>
    <row r="322" spans="2:10" x14ac:dyDescent="0.2">
      <c r="B322" s="1" t="s">
        <v>69</v>
      </c>
      <c r="C322" s="15">
        <v>991</v>
      </c>
      <c r="D322" s="16">
        <v>18000</v>
      </c>
      <c r="E322" s="1"/>
      <c r="F322" s="17">
        <v>243.98</v>
      </c>
      <c r="G322" s="16">
        <v>18000</v>
      </c>
      <c r="H322" s="1">
        <f t="shared" si="7"/>
        <v>0</v>
      </c>
      <c r="I322" s="1"/>
      <c r="J322" s="1"/>
    </row>
    <row r="323" spans="2:10" x14ac:dyDescent="0.2">
      <c r="B323" s="1" t="s">
        <v>69</v>
      </c>
      <c r="C323" s="15">
        <v>1593</v>
      </c>
      <c r="D323" s="16">
        <v>15000</v>
      </c>
      <c r="E323" s="1"/>
      <c r="F323" s="17">
        <v>155.07</v>
      </c>
      <c r="G323" s="16">
        <v>15000</v>
      </c>
      <c r="H323" s="1">
        <f t="shared" si="7"/>
        <v>0</v>
      </c>
      <c r="I323" s="1"/>
      <c r="J323" s="1"/>
    </row>
    <row r="324" spans="2:10" x14ac:dyDescent="0.2">
      <c r="B324" s="1" t="s">
        <v>69</v>
      </c>
      <c r="C324" s="15">
        <v>9476</v>
      </c>
      <c r="D324" s="16">
        <v>12000</v>
      </c>
      <c r="E324" s="1"/>
      <c r="F324" s="17">
        <v>124.06</v>
      </c>
      <c r="G324" s="16">
        <v>12000</v>
      </c>
      <c r="H324" s="1">
        <f t="shared" si="7"/>
        <v>0</v>
      </c>
      <c r="I324" s="1"/>
      <c r="J324" s="1"/>
    </row>
    <row r="325" spans="2:10" x14ac:dyDescent="0.2">
      <c r="B325" s="1" t="s">
        <v>69</v>
      </c>
      <c r="C325" s="15">
        <v>1352</v>
      </c>
      <c r="D325" s="16">
        <v>12000</v>
      </c>
      <c r="E325" s="1"/>
      <c r="F325" s="17">
        <v>124.06</v>
      </c>
      <c r="G325" s="16">
        <v>12000</v>
      </c>
      <c r="H325" s="1">
        <f t="shared" si="7"/>
        <v>0</v>
      </c>
      <c r="I325" s="1"/>
      <c r="J325" s="1"/>
    </row>
    <row r="326" spans="2:10" x14ac:dyDescent="0.2">
      <c r="B326" s="1" t="s">
        <v>69</v>
      </c>
      <c r="C326" s="15">
        <v>28</v>
      </c>
      <c r="D326" s="16">
        <v>15000</v>
      </c>
      <c r="E326" s="1"/>
      <c r="F326" s="17">
        <v>155.07</v>
      </c>
      <c r="G326" s="16">
        <v>15000</v>
      </c>
      <c r="H326" s="1">
        <f t="shared" ref="H326:H389" si="8">D326-G326</f>
        <v>0</v>
      </c>
      <c r="I326" s="1"/>
      <c r="J326" s="1"/>
    </row>
    <row r="327" spans="2:10" x14ac:dyDescent="0.2">
      <c r="B327" s="1" t="s">
        <v>69</v>
      </c>
      <c r="C327" s="15">
        <v>1708</v>
      </c>
      <c r="D327" s="16">
        <v>15000</v>
      </c>
      <c r="E327" s="1"/>
      <c r="F327" s="17">
        <v>155.07</v>
      </c>
      <c r="G327" s="16">
        <v>15000</v>
      </c>
      <c r="H327" s="1">
        <f t="shared" si="8"/>
        <v>0</v>
      </c>
      <c r="I327" s="1"/>
      <c r="J327" s="1"/>
    </row>
    <row r="328" spans="2:10" x14ac:dyDescent="0.2">
      <c r="B328" s="1" t="s">
        <v>70</v>
      </c>
      <c r="C328" s="15">
        <v>2681</v>
      </c>
      <c r="D328" s="16">
        <v>14000</v>
      </c>
      <c r="E328" s="1"/>
      <c r="F328" s="17">
        <v>144.72999999999999</v>
      </c>
      <c r="G328" s="16">
        <v>14000</v>
      </c>
      <c r="H328" s="1">
        <f t="shared" si="8"/>
        <v>0</v>
      </c>
      <c r="I328" s="1"/>
      <c r="J328" s="1"/>
    </row>
    <row r="329" spans="2:10" x14ac:dyDescent="0.2">
      <c r="B329" s="1" t="s">
        <v>70</v>
      </c>
      <c r="C329" s="15">
        <v>5931</v>
      </c>
      <c r="D329" s="16">
        <v>26000</v>
      </c>
      <c r="E329" s="1"/>
      <c r="F329" s="17">
        <v>268.29000000000002</v>
      </c>
      <c r="G329" s="16">
        <v>26000</v>
      </c>
      <c r="H329" s="1">
        <f t="shared" si="8"/>
        <v>0</v>
      </c>
      <c r="I329" s="1"/>
      <c r="J329" s="1"/>
    </row>
    <row r="330" spans="2:10" x14ac:dyDescent="0.2">
      <c r="B330" s="1" t="s">
        <v>70</v>
      </c>
      <c r="C330" s="15">
        <v>5931</v>
      </c>
      <c r="D330" s="16">
        <v>6000</v>
      </c>
      <c r="E330" s="1"/>
      <c r="F330" s="17">
        <v>62.03</v>
      </c>
      <c r="G330" s="16">
        <v>6000</v>
      </c>
      <c r="H330" s="1">
        <f t="shared" si="8"/>
        <v>0</v>
      </c>
      <c r="I330" s="1"/>
      <c r="J330" s="1"/>
    </row>
    <row r="331" spans="2:10" x14ac:dyDescent="0.2">
      <c r="B331" s="1" t="s">
        <v>70</v>
      </c>
      <c r="C331" s="32" t="s">
        <v>61</v>
      </c>
      <c r="D331" s="16">
        <v>3500</v>
      </c>
      <c r="E331" s="1"/>
      <c r="F331" s="17">
        <v>36.159999999999997</v>
      </c>
      <c r="G331" s="16">
        <v>3500</v>
      </c>
      <c r="H331" s="1">
        <f t="shared" si="8"/>
        <v>0</v>
      </c>
      <c r="I331" s="1"/>
      <c r="J331" s="1"/>
    </row>
    <row r="332" spans="2:10" x14ac:dyDescent="0.2">
      <c r="B332" s="1" t="s">
        <v>70</v>
      </c>
      <c r="C332" s="15">
        <v>3361</v>
      </c>
      <c r="D332" s="16">
        <v>37000</v>
      </c>
      <c r="E332" s="1"/>
      <c r="F332" s="17">
        <v>382.51</v>
      </c>
      <c r="G332" s="16">
        <v>37000</v>
      </c>
      <c r="H332" s="1">
        <f t="shared" si="8"/>
        <v>0</v>
      </c>
      <c r="I332" s="1"/>
      <c r="J332" s="1"/>
    </row>
    <row r="333" spans="2:10" x14ac:dyDescent="0.2">
      <c r="B333" s="1" t="s">
        <v>70</v>
      </c>
      <c r="C333" s="15">
        <v>4784</v>
      </c>
      <c r="D333" s="16">
        <v>25000</v>
      </c>
      <c r="E333" s="1"/>
      <c r="F333" s="17">
        <v>258.45</v>
      </c>
      <c r="G333" s="16">
        <v>25000</v>
      </c>
      <c r="H333" s="1">
        <f t="shared" si="8"/>
        <v>0</v>
      </c>
      <c r="I333" s="1"/>
      <c r="J333" s="1"/>
    </row>
    <row r="334" spans="2:10" x14ac:dyDescent="0.2">
      <c r="B334" s="1" t="s">
        <v>71</v>
      </c>
      <c r="C334" s="35">
        <v>7109</v>
      </c>
      <c r="D334" s="36">
        <v>4223</v>
      </c>
      <c r="E334" s="1"/>
      <c r="F334" s="37">
        <v>43.66</v>
      </c>
      <c r="G334" s="36">
        <v>4223</v>
      </c>
      <c r="H334" s="1">
        <f t="shared" si="8"/>
        <v>0</v>
      </c>
      <c r="I334" s="1"/>
      <c r="J334" s="1"/>
    </row>
    <row r="335" spans="2:10" x14ac:dyDescent="0.2">
      <c r="B335" s="1" t="s">
        <v>71</v>
      </c>
      <c r="C335" s="35">
        <v>5924</v>
      </c>
      <c r="D335" s="36">
        <v>28000</v>
      </c>
      <c r="E335" s="1"/>
      <c r="F335" s="37">
        <v>261.54000000000002</v>
      </c>
      <c r="G335" s="36">
        <v>28000</v>
      </c>
      <c r="H335" s="1">
        <f t="shared" si="8"/>
        <v>0</v>
      </c>
      <c r="I335" s="1"/>
      <c r="J335" s="1"/>
    </row>
    <row r="336" spans="2:10" x14ac:dyDescent="0.2">
      <c r="B336" s="1" t="s">
        <v>71</v>
      </c>
      <c r="C336" s="35">
        <v>5924</v>
      </c>
      <c r="D336" s="36">
        <v>26000</v>
      </c>
      <c r="E336" s="1"/>
      <c r="F336" s="37">
        <v>268.77999999999997</v>
      </c>
      <c r="G336" s="36">
        <v>26000</v>
      </c>
      <c r="H336" s="1">
        <f t="shared" si="8"/>
        <v>0</v>
      </c>
      <c r="I336" s="1"/>
      <c r="J336" s="1"/>
    </row>
    <row r="337" spans="2:13" x14ac:dyDescent="0.2">
      <c r="B337" s="1" t="s">
        <v>71</v>
      </c>
      <c r="C337" s="35">
        <v>5924</v>
      </c>
      <c r="D337" s="36">
        <v>25000</v>
      </c>
      <c r="E337" s="1"/>
      <c r="F337" s="37">
        <v>238.45</v>
      </c>
      <c r="G337" s="36">
        <v>25000</v>
      </c>
      <c r="H337" s="1">
        <f t="shared" si="8"/>
        <v>0</v>
      </c>
      <c r="I337" s="1"/>
      <c r="J337" s="1"/>
    </row>
    <row r="338" spans="2:13" x14ac:dyDescent="0.2">
      <c r="B338" s="1" t="s">
        <v>71</v>
      </c>
      <c r="C338" s="15">
        <v>3918</v>
      </c>
      <c r="D338" s="16">
        <v>30000</v>
      </c>
      <c r="E338" s="1"/>
      <c r="F338" s="17">
        <v>310.14</v>
      </c>
      <c r="G338" s="16">
        <v>30000</v>
      </c>
      <c r="H338" s="1">
        <f t="shared" si="8"/>
        <v>0</v>
      </c>
      <c r="I338" s="1"/>
      <c r="J338" s="1"/>
    </row>
    <row r="339" spans="2:13" x14ac:dyDescent="0.2">
      <c r="B339" s="1" t="s">
        <v>71</v>
      </c>
      <c r="C339" s="15">
        <v>4137</v>
      </c>
      <c r="D339" s="16">
        <v>17000</v>
      </c>
      <c r="E339" s="1"/>
      <c r="F339" s="17">
        <v>175.76</v>
      </c>
      <c r="G339" s="16">
        <v>17000</v>
      </c>
      <c r="H339" s="1">
        <f t="shared" si="8"/>
        <v>0</v>
      </c>
      <c r="I339" s="1"/>
      <c r="J339" s="1"/>
    </row>
    <row r="340" spans="2:13" x14ac:dyDescent="0.2">
      <c r="B340" s="1" t="s">
        <v>71</v>
      </c>
      <c r="C340" s="15">
        <v>2227</v>
      </c>
      <c r="D340" s="16">
        <v>20000</v>
      </c>
      <c r="E340" s="1"/>
      <c r="F340" s="17">
        <v>206.76</v>
      </c>
      <c r="G340" s="16">
        <v>20000</v>
      </c>
      <c r="H340" s="1">
        <f t="shared" si="8"/>
        <v>0</v>
      </c>
      <c r="I340" s="1"/>
      <c r="J340" s="1"/>
    </row>
    <row r="341" spans="2:13" x14ac:dyDescent="0.2">
      <c r="B341" s="1" t="s">
        <v>71</v>
      </c>
      <c r="C341" s="15">
        <v>253</v>
      </c>
      <c r="D341" s="16">
        <v>20000</v>
      </c>
      <c r="E341" s="1"/>
      <c r="F341" s="17">
        <v>206.76</v>
      </c>
      <c r="G341" s="16">
        <v>20000</v>
      </c>
      <c r="H341" s="1">
        <f t="shared" si="8"/>
        <v>0</v>
      </c>
      <c r="I341" s="1"/>
      <c r="J341" s="1"/>
    </row>
    <row r="342" spans="2:13" x14ac:dyDescent="0.2">
      <c r="B342" s="1" t="s">
        <v>71</v>
      </c>
      <c r="C342" s="15">
        <v>1593</v>
      </c>
      <c r="D342" s="16">
        <v>15000</v>
      </c>
      <c r="E342" s="1"/>
      <c r="F342" s="17">
        <v>155.07</v>
      </c>
      <c r="G342" s="16">
        <v>15000</v>
      </c>
      <c r="H342" s="1">
        <f t="shared" si="8"/>
        <v>0</v>
      </c>
      <c r="I342" s="1"/>
      <c r="J342" s="1"/>
    </row>
    <row r="343" spans="2:13" x14ac:dyDescent="0.2">
      <c r="B343" s="1" t="s">
        <v>71</v>
      </c>
      <c r="C343" s="15">
        <v>5925</v>
      </c>
      <c r="D343" s="16">
        <v>20000</v>
      </c>
      <c r="E343" s="1"/>
      <c r="F343" s="17">
        <v>206.76</v>
      </c>
      <c r="G343" s="16">
        <v>20000</v>
      </c>
      <c r="H343" s="1">
        <f t="shared" si="8"/>
        <v>0</v>
      </c>
      <c r="I343" s="1"/>
      <c r="J343" s="1"/>
    </row>
    <row r="344" spans="2:13" x14ac:dyDescent="0.2">
      <c r="B344" s="1" t="s">
        <v>71</v>
      </c>
      <c r="C344" s="15">
        <v>5819</v>
      </c>
      <c r="D344" s="16">
        <v>12000</v>
      </c>
      <c r="E344" s="1"/>
      <c r="F344" s="17">
        <v>124.06</v>
      </c>
      <c r="G344" s="16">
        <v>12000</v>
      </c>
      <c r="H344" s="1">
        <f t="shared" si="8"/>
        <v>0</v>
      </c>
      <c r="I344" s="1"/>
      <c r="J344" s="1"/>
    </row>
    <row r="345" spans="2:13" x14ac:dyDescent="0.2">
      <c r="B345" s="1" t="s">
        <v>71</v>
      </c>
      <c r="C345" s="15">
        <v>9941</v>
      </c>
      <c r="D345" s="16">
        <v>14000</v>
      </c>
      <c r="E345" s="1"/>
      <c r="F345" s="17">
        <v>144.75</v>
      </c>
      <c r="G345" s="16">
        <v>14000</v>
      </c>
      <c r="H345" s="1">
        <f t="shared" si="8"/>
        <v>0</v>
      </c>
      <c r="I345" s="1"/>
      <c r="J345" s="1"/>
    </row>
    <row r="346" spans="2:13" x14ac:dyDescent="0.2">
      <c r="B346" s="1" t="s">
        <v>71</v>
      </c>
      <c r="C346" s="15">
        <v>941</v>
      </c>
      <c r="D346" s="16">
        <v>14000</v>
      </c>
      <c r="E346" s="1"/>
      <c r="F346" s="17">
        <v>144.72999999999999</v>
      </c>
      <c r="G346" s="16">
        <v>14000</v>
      </c>
      <c r="H346" s="1">
        <f t="shared" si="8"/>
        <v>0</v>
      </c>
      <c r="I346" s="1"/>
      <c r="J346" s="1"/>
    </row>
    <row r="347" spans="2:13" x14ac:dyDescent="0.2">
      <c r="B347" s="1" t="s">
        <v>72</v>
      </c>
      <c r="C347" s="15">
        <v>1258</v>
      </c>
      <c r="D347" s="16">
        <v>14000</v>
      </c>
      <c r="E347" s="1"/>
      <c r="F347" s="17">
        <v>144.72999999999999</v>
      </c>
      <c r="G347" s="16">
        <v>14000</v>
      </c>
      <c r="H347" s="1">
        <f t="shared" si="8"/>
        <v>0</v>
      </c>
      <c r="I347" s="1"/>
      <c r="J347" s="1"/>
    </row>
    <row r="348" spans="2:13" ht="15" x14ac:dyDescent="0.25">
      <c r="B348" s="1" t="s">
        <v>72</v>
      </c>
      <c r="C348" s="32">
        <v>2681</v>
      </c>
      <c r="D348" s="16">
        <v>14000</v>
      </c>
      <c r="E348" s="1"/>
      <c r="F348" s="17">
        <v>144.72999999999999</v>
      </c>
      <c r="G348" s="16">
        <v>14000</v>
      </c>
      <c r="H348" s="1">
        <f t="shared" si="8"/>
        <v>0</v>
      </c>
      <c r="I348" s="1"/>
      <c r="J348" s="1"/>
      <c r="K348" s="33" t="s">
        <v>130</v>
      </c>
      <c r="L348" s="33"/>
      <c r="M348" s="33"/>
    </row>
    <row r="349" spans="2:13" x14ac:dyDescent="0.2">
      <c r="B349" s="1" t="s">
        <v>72</v>
      </c>
      <c r="C349" s="32" t="s">
        <v>73</v>
      </c>
      <c r="D349" s="16">
        <v>5000</v>
      </c>
      <c r="E349" s="1"/>
      <c r="F349" s="17">
        <v>51.69</v>
      </c>
      <c r="G349" s="16">
        <v>5000</v>
      </c>
      <c r="H349" s="1">
        <f t="shared" si="8"/>
        <v>0</v>
      </c>
      <c r="I349" s="1"/>
      <c r="J349" s="1"/>
    </row>
    <row r="350" spans="2:13" x14ac:dyDescent="0.2">
      <c r="B350" s="1" t="s">
        <v>72</v>
      </c>
      <c r="C350" s="32">
        <v>6999</v>
      </c>
      <c r="D350" s="16">
        <v>18000</v>
      </c>
      <c r="E350" s="1"/>
      <c r="F350" s="17">
        <v>186.11</v>
      </c>
      <c r="G350" s="16">
        <v>18000</v>
      </c>
      <c r="H350" s="1">
        <f t="shared" si="8"/>
        <v>0</v>
      </c>
      <c r="I350" s="1"/>
      <c r="J350" s="1"/>
    </row>
    <row r="351" spans="2:13" x14ac:dyDescent="0.2">
      <c r="B351" s="1" t="s">
        <v>72</v>
      </c>
      <c r="C351" s="32" t="s">
        <v>66</v>
      </c>
      <c r="D351" s="16">
        <v>400</v>
      </c>
      <c r="E351" s="1"/>
      <c r="F351" s="17">
        <v>3.8</v>
      </c>
      <c r="G351" s="16">
        <v>400</v>
      </c>
      <c r="H351" s="1">
        <f t="shared" si="8"/>
        <v>0</v>
      </c>
      <c r="I351" s="1"/>
      <c r="J351" s="1"/>
    </row>
    <row r="352" spans="2:13" x14ac:dyDescent="0.2">
      <c r="B352" s="1" t="s">
        <v>72</v>
      </c>
      <c r="C352" s="15">
        <v>1352</v>
      </c>
      <c r="D352" s="16">
        <v>13000</v>
      </c>
      <c r="E352" s="1"/>
      <c r="F352" s="17">
        <v>134.38999999999999</v>
      </c>
      <c r="G352" s="16">
        <v>13000</v>
      </c>
      <c r="H352" s="1">
        <f t="shared" si="8"/>
        <v>0</v>
      </c>
      <c r="I352" s="1"/>
      <c r="J352" s="1"/>
    </row>
    <row r="353" spans="2:10" x14ac:dyDescent="0.2">
      <c r="B353" s="1" t="s">
        <v>72</v>
      </c>
      <c r="C353" s="15">
        <v>6967</v>
      </c>
      <c r="D353" s="16">
        <v>18000</v>
      </c>
      <c r="E353" s="1"/>
      <c r="F353" s="17">
        <v>186.08</v>
      </c>
      <c r="G353" s="16">
        <v>18000</v>
      </c>
      <c r="H353" s="1">
        <f t="shared" si="8"/>
        <v>0</v>
      </c>
      <c r="I353" s="1"/>
      <c r="J353" s="1"/>
    </row>
    <row r="354" spans="2:10" x14ac:dyDescent="0.2">
      <c r="B354" s="1" t="s">
        <v>72</v>
      </c>
      <c r="C354" s="15">
        <v>9476</v>
      </c>
      <c r="D354" s="16">
        <v>13000</v>
      </c>
      <c r="E354" s="1"/>
      <c r="F354" s="17">
        <v>134.35</v>
      </c>
      <c r="G354" s="16">
        <v>13000</v>
      </c>
      <c r="H354" s="1">
        <f t="shared" si="8"/>
        <v>0</v>
      </c>
      <c r="I354" s="1"/>
      <c r="J354" s="1"/>
    </row>
    <row r="355" spans="2:10" x14ac:dyDescent="0.2">
      <c r="B355" s="1" t="s">
        <v>72</v>
      </c>
      <c r="C355" s="15">
        <v>2892</v>
      </c>
      <c r="D355" s="16">
        <v>30000</v>
      </c>
      <c r="E355" s="1"/>
      <c r="F355" s="17">
        <v>310.14</v>
      </c>
      <c r="G355" s="16">
        <v>30000</v>
      </c>
      <c r="H355" s="1">
        <f t="shared" si="8"/>
        <v>0</v>
      </c>
      <c r="I355" s="1"/>
      <c r="J355" s="1"/>
    </row>
    <row r="356" spans="2:10" x14ac:dyDescent="0.2">
      <c r="B356" s="1" t="s">
        <v>74</v>
      </c>
      <c r="C356" s="15">
        <v>8886</v>
      </c>
      <c r="D356" s="16">
        <v>20000</v>
      </c>
      <c r="E356" s="1"/>
      <c r="F356" s="17">
        <v>235.9</v>
      </c>
      <c r="G356" s="16">
        <v>20000</v>
      </c>
      <c r="H356" s="1">
        <f t="shared" si="8"/>
        <v>0</v>
      </c>
      <c r="I356" s="1"/>
      <c r="J356" s="1"/>
    </row>
    <row r="357" spans="2:10" x14ac:dyDescent="0.2">
      <c r="B357" s="1" t="s">
        <v>74</v>
      </c>
      <c r="C357" s="15">
        <v>2681</v>
      </c>
      <c r="D357" s="16">
        <v>14000</v>
      </c>
      <c r="E357" s="1"/>
      <c r="F357" s="17">
        <v>144.72999999999999</v>
      </c>
      <c r="G357" s="16">
        <v>14000</v>
      </c>
      <c r="H357" s="1">
        <f t="shared" si="8"/>
        <v>0</v>
      </c>
      <c r="I357" s="1"/>
      <c r="J357" s="1"/>
    </row>
    <row r="358" spans="2:10" x14ac:dyDescent="0.2">
      <c r="B358" s="1" t="s">
        <v>74</v>
      </c>
      <c r="C358" s="15">
        <v>2808</v>
      </c>
      <c r="D358" s="16">
        <v>28000</v>
      </c>
      <c r="E358" s="1"/>
      <c r="F358" s="17">
        <v>299.91000000000003</v>
      </c>
      <c r="G358" s="16">
        <v>28000</v>
      </c>
      <c r="H358" s="1">
        <f t="shared" si="8"/>
        <v>0</v>
      </c>
      <c r="I358" s="1"/>
      <c r="J358" s="1"/>
    </row>
    <row r="359" spans="2:10" x14ac:dyDescent="0.2">
      <c r="B359" s="1" t="s">
        <v>74</v>
      </c>
      <c r="C359" s="15">
        <v>7109</v>
      </c>
      <c r="D359" s="16">
        <v>4000</v>
      </c>
      <c r="E359" s="1"/>
      <c r="F359" s="17">
        <v>41.36</v>
      </c>
      <c r="G359" s="16">
        <v>4000</v>
      </c>
      <c r="H359" s="1">
        <f t="shared" si="8"/>
        <v>0</v>
      </c>
      <c r="I359" s="1"/>
      <c r="J359" s="1"/>
    </row>
    <row r="360" spans="2:10" x14ac:dyDescent="0.2">
      <c r="B360" s="1" t="s">
        <v>74</v>
      </c>
      <c r="C360" s="32" t="s">
        <v>61</v>
      </c>
      <c r="D360" s="16">
        <v>4000</v>
      </c>
      <c r="E360" s="1"/>
      <c r="F360" s="17">
        <v>41.36</v>
      </c>
      <c r="G360" s="16">
        <v>4000</v>
      </c>
      <c r="H360" s="1">
        <f t="shared" si="8"/>
        <v>0</v>
      </c>
      <c r="I360" s="1"/>
      <c r="J360" s="1"/>
    </row>
    <row r="361" spans="2:10" x14ac:dyDescent="0.2">
      <c r="B361" s="1" t="s">
        <v>74</v>
      </c>
      <c r="C361" s="15">
        <v>2227</v>
      </c>
      <c r="D361" s="16">
        <v>20000</v>
      </c>
      <c r="E361" s="1"/>
      <c r="F361" s="17">
        <v>206.76</v>
      </c>
      <c r="G361" s="16">
        <v>20000</v>
      </c>
      <c r="H361" s="1">
        <f t="shared" si="8"/>
        <v>0</v>
      </c>
      <c r="I361" s="1"/>
      <c r="J361" s="1"/>
    </row>
    <row r="362" spans="2:10" x14ac:dyDescent="0.2">
      <c r="B362" s="1" t="s">
        <v>74</v>
      </c>
      <c r="C362" s="15">
        <v>7909</v>
      </c>
      <c r="D362" s="16">
        <v>10000</v>
      </c>
      <c r="E362" s="1"/>
      <c r="F362" s="17">
        <v>103.76</v>
      </c>
      <c r="G362" s="16">
        <v>10000</v>
      </c>
      <c r="H362" s="1">
        <f t="shared" si="8"/>
        <v>0</v>
      </c>
      <c r="I362" s="1"/>
      <c r="J362" s="1"/>
    </row>
    <row r="363" spans="2:10" x14ac:dyDescent="0.2">
      <c r="B363" s="1" t="s">
        <v>74</v>
      </c>
      <c r="C363" s="15">
        <v>6353</v>
      </c>
      <c r="D363" s="16">
        <v>20000</v>
      </c>
      <c r="E363" s="1"/>
      <c r="F363" s="17">
        <v>206.76</v>
      </c>
      <c r="G363" s="16">
        <v>20000</v>
      </c>
      <c r="H363" s="1">
        <f t="shared" si="8"/>
        <v>0</v>
      </c>
      <c r="I363" s="1"/>
      <c r="J363" s="1"/>
    </row>
    <row r="364" spans="2:10" x14ac:dyDescent="0.2">
      <c r="B364" s="1" t="s">
        <v>74</v>
      </c>
      <c r="C364" s="15">
        <v>253</v>
      </c>
      <c r="D364" s="16">
        <v>20000</v>
      </c>
      <c r="E364" s="1"/>
      <c r="F364" s="17">
        <v>206.76</v>
      </c>
      <c r="G364" s="16">
        <v>20000</v>
      </c>
      <c r="H364" s="1">
        <f t="shared" si="8"/>
        <v>0</v>
      </c>
      <c r="I364" s="1"/>
      <c r="J364" s="1"/>
    </row>
    <row r="365" spans="2:10" x14ac:dyDescent="0.2">
      <c r="B365" s="1" t="s">
        <v>74</v>
      </c>
      <c r="C365" s="15">
        <v>651</v>
      </c>
      <c r="D365" s="16">
        <v>3000</v>
      </c>
      <c r="E365" s="1"/>
      <c r="F365" s="17">
        <v>31.09</v>
      </c>
      <c r="G365" s="16">
        <v>3000</v>
      </c>
      <c r="H365" s="1">
        <f t="shared" si="8"/>
        <v>0</v>
      </c>
      <c r="I365" s="1"/>
      <c r="J365" s="1"/>
    </row>
    <row r="366" spans="2:10" x14ac:dyDescent="0.2">
      <c r="B366" s="1" t="s">
        <v>74</v>
      </c>
      <c r="C366" s="15">
        <v>4926</v>
      </c>
      <c r="D366" s="16">
        <v>25000</v>
      </c>
      <c r="E366" s="1"/>
      <c r="F366" s="17">
        <v>182.26</v>
      </c>
      <c r="G366" s="16">
        <v>25000</v>
      </c>
      <c r="H366" s="1">
        <f t="shared" si="8"/>
        <v>0</v>
      </c>
      <c r="I366" s="1"/>
      <c r="J366" s="1"/>
    </row>
    <row r="367" spans="2:10" x14ac:dyDescent="0.2">
      <c r="B367" s="1" t="s">
        <v>74</v>
      </c>
      <c r="C367" s="15">
        <v>4447</v>
      </c>
      <c r="D367" s="16">
        <v>25000</v>
      </c>
      <c r="E367" s="1"/>
      <c r="F367" s="17">
        <v>258.45</v>
      </c>
      <c r="G367" s="16">
        <v>25000</v>
      </c>
      <c r="H367" s="1">
        <f t="shared" si="8"/>
        <v>0</v>
      </c>
      <c r="I367" s="1"/>
      <c r="J367" s="1"/>
    </row>
    <row r="368" spans="2:10" x14ac:dyDescent="0.2">
      <c r="B368" s="1" t="s">
        <v>74</v>
      </c>
      <c r="C368" s="15">
        <v>2804</v>
      </c>
      <c r="D368" s="16">
        <v>25000</v>
      </c>
      <c r="E368" s="1"/>
      <c r="F368" s="17">
        <v>258.45</v>
      </c>
      <c r="G368" s="16">
        <v>25000</v>
      </c>
      <c r="H368" s="1">
        <f t="shared" si="8"/>
        <v>0</v>
      </c>
      <c r="I368" s="1"/>
      <c r="J368" s="1"/>
    </row>
    <row r="369" spans="2:10" x14ac:dyDescent="0.2">
      <c r="B369" s="1" t="s">
        <v>74</v>
      </c>
      <c r="C369" s="15">
        <v>9026</v>
      </c>
      <c r="D369" s="16">
        <v>15000</v>
      </c>
      <c r="E369" s="1"/>
      <c r="F369" s="17">
        <v>155.07</v>
      </c>
      <c r="G369" s="16">
        <v>15000</v>
      </c>
      <c r="H369" s="1">
        <f t="shared" si="8"/>
        <v>0</v>
      </c>
      <c r="I369" s="1"/>
      <c r="J369" s="1"/>
    </row>
    <row r="370" spans="2:10" x14ac:dyDescent="0.2">
      <c r="B370" s="1" t="s">
        <v>74</v>
      </c>
      <c r="C370" s="15">
        <v>4092</v>
      </c>
      <c r="D370" s="16">
        <v>14000</v>
      </c>
      <c r="E370" s="1"/>
      <c r="F370" s="17">
        <v>144.72999999999999</v>
      </c>
      <c r="G370" s="16">
        <v>14000</v>
      </c>
      <c r="H370" s="1">
        <f t="shared" si="8"/>
        <v>0</v>
      </c>
      <c r="I370" s="1"/>
      <c r="J370" s="1"/>
    </row>
    <row r="371" spans="2:10" x14ac:dyDescent="0.2">
      <c r="B371" s="1" t="s">
        <v>74</v>
      </c>
      <c r="C371" s="15">
        <v>941</v>
      </c>
      <c r="D371" s="16">
        <v>13000</v>
      </c>
      <c r="E371" s="1"/>
      <c r="F371" s="17">
        <v>134.38999999999999</v>
      </c>
      <c r="G371" s="16">
        <v>13000</v>
      </c>
      <c r="H371" s="1">
        <f t="shared" si="8"/>
        <v>0</v>
      </c>
      <c r="I371" s="1"/>
      <c r="J371" s="1"/>
    </row>
    <row r="372" spans="2:10" x14ac:dyDescent="0.2">
      <c r="B372" s="1" t="s">
        <v>76</v>
      </c>
      <c r="C372" s="15">
        <v>1220</v>
      </c>
      <c r="D372" s="16">
        <v>15000</v>
      </c>
      <c r="E372" s="1"/>
      <c r="F372" s="17">
        <v>155.07</v>
      </c>
      <c r="G372" s="16">
        <v>15000</v>
      </c>
      <c r="H372" s="1">
        <f t="shared" si="8"/>
        <v>0</v>
      </c>
      <c r="I372" s="1"/>
      <c r="J372" s="1"/>
    </row>
    <row r="373" spans="2:10" x14ac:dyDescent="0.2">
      <c r="B373" s="1" t="s">
        <v>76</v>
      </c>
      <c r="C373" s="15">
        <v>5931</v>
      </c>
      <c r="D373" s="16">
        <v>18000</v>
      </c>
      <c r="E373" s="1"/>
      <c r="F373" s="17">
        <v>186.08</v>
      </c>
      <c r="G373" s="16">
        <v>18000</v>
      </c>
      <c r="H373" s="1">
        <f t="shared" si="8"/>
        <v>0</v>
      </c>
      <c r="I373" s="1"/>
      <c r="J373" s="1"/>
    </row>
    <row r="374" spans="2:10" x14ac:dyDescent="0.2">
      <c r="B374" s="1" t="s">
        <v>76</v>
      </c>
      <c r="C374" s="15">
        <v>7020</v>
      </c>
      <c r="D374" s="16">
        <v>25000</v>
      </c>
      <c r="E374" s="1"/>
      <c r="F374" s="17">
        <v>258.45</v>
      </c>
      <c r="G374" s="16">
        <v>25000</v>
      </c>
      <c r="H374" s="1">
        <f t="shared" si="8"/>
        <v>0</v>
      </c>
      <c r="I374" s="1"/>
      <c r="J374" s="1"/>
    </row>
    <row r="375" spans="2:10" x14ac:dyDescent="0.2">
      <c r="B375" s="1" t="s">
        <v>76</v>
      </c>
      <c r="C375" s="32" t="s">
        <v>61</v>
      </c>
      <c r="D375" s="16">
        <v>3500</v>
      </c>
      <c r="E375" s="1"/>
      <c r="F375" s="17">
        <v>36.18</v>
      </c>
      <c r="G375" s="16">
        <v>3500</v>
      </c>
      <c r="H375" s="1">
        <f t="shared" si="8"/>
        <v>0</v>
      </c>
      <c r="I375" s="1"/>
      <c r="J375" s="1"/>
    </row>
    <row r="376" spans="2:10" x14ac:dyDescent="0.2">
      <c r="B376" s="1" t="s">
        <v>76</v>
      </c>
      <c r="C376" s="15">
        <v>7369</v>
      </c>
      <c r="D376" s="16">
        <v>20000</v>
      </c>
      <c r="E376" s="1"/>
      <c r="F376" s="17">
        <v>206.76</v>
      </c>
      <c r="G376" s="16">
        <v>20000</v>
      </c>
      <c r="H376" s="1">
        <f t="shared" si="8"/>
        <v>0</v>
      </c>
      <c r="I376" s="1"/>
      <c r="J376" s="1"/>
    </row>
    <row r="377" spans="2:10" x14ac:dyDescent="0.2">
      <c r="B377" s="1" t="s">
        <v>76</v>
      </c>
      <c r="C377" s="15">
        <v>4313</v>
      </c>
      <c r="D377" s="16">
        <v>7000</v>
      </c>
      <c r="E377" s="1"/>
      <c r="F377" s="17">
        <v>72.37</v>
      </c>
      <c r="G377" s="16">
        <v>7000</v>
      </c>
      <c r="H377" s="1">
        <f t="shared" si="8"/>
        <v>0</v>
      </c>
      <c r="I377" s="1"/>
      <c r="J377" s="1"/>
    </row>
    <row r="378" spans="2:10" x14ac:dyDescent="0.2">
      <c r="B378" s="1" t="s">
        <v>76</v>
      </c>
      <c r="C378" s="15">
        <v>4125</v>
      </c>
      <c r="D378" s="16">
        <v>8000</v>
      </c>
      <c r="E378" s="1"/>
      <c r="F378" s="17">
        <v>82.7</v>
      </c>
      <c r="G378" s="16">
        <v>8000</v>
      </c>
      <c r="H378" s="1">
        <f t="shared" si="8"/>
        <v>0</v>
      </c>
      <c r="I378" s="1"/>
      <c r="J378" s="1"/>
    </row>
    <row r="379" spans="2:10" x14ac:dyDescent="0.2">
      <c r="B379" s="1" t="s">
        <v>77</v>
      </c>
      <c r="C379" s="15">
        <v>5943</v>
      </c>
      <c r="D379" s="16">
        <v>35000</v>
      </c>
      <c r="E379" s="1"/>
      <c r="F379" s="17">
        <v>349.29</v>
      </c>
      <c r="G379" s="16">
        <v>35000</v>
      </c>
      <c r="H379" s="1">
        <f t="shared" si="8"/>
        <v>0</v>
      </c>
      <c r="I379" s="1"/>
      <c r="J379" s="1"/>
    </row>
    <row r="380" spans="2:10" x14ac:dyDescent="0.2">
      <c r="B380" s="1" t="s">
        <v>77</v>
      </c>
      <c r="C380" s="15">
        <v>3222</v>
      </c>
      <c r="D380" s="16">
        <v>34000</v>
      </c>
      <c r="E380" s="1"/>
      <c r="F380" s="17">
        <v>349.73</v>
      </c>
      <c r="G380" s="16">
        <v>34000</v>
      </c>
      <c r="H380" s="1">
        <f t="shared" si="8"/>
        <v>0</v>
      </c>
      <c r="I380" s="1"/>
      <c r="J380" s="1"/>
    </row>
    <row r="381" spans="2:10" x14ac:dyDescent="0.2">
      <c r="B381" s="1" t="s">
        <v>77</v>
      </c>
      <c r="C381" s="15">
        <v>4017</v>
      </c>
      <c r="D381" s="16">
        <v>15000</v>
      </c>
      <c r="E381" s="1"/>
      <c r="F381" s="17">
        <v>155.07</v>
      </c>
      <c r="G381" s="16">
        <v>15000</v>
      </c>
      <c r="H381" s="1">
        <f t="shared" si="8"/>
        <v>0</v>
      </c>
      <c r="I381" s="1"/>
      <c r="J381" s="1"/>
    </row>
    <row r="382" spans="2:10" x14ac:dyDescent="0.2">
      <c r="B382" s="1" t="s">
        <v>77</v>
      </c>
      <c r="C382" s="15">
        <v>4953</v>
      </c>
      <c r="D382" s="16">
        <v>6000</v>
      </c>
      <c r="E382" s="1"/>
      <c r="F382" s="17">
        <v>62.02</v>
      </c>
      <c r="G382" s="16">
        <v>6000</v>
      </c>
      <c r="H382" s="1">
        <f t="shared" si="8"/>
        <v>0</v>
      </c>
      <c r="I382" s="1"/>
      <c r="J382" s="1"/>
    </row>
    <row r="383" spans="2:10" x14ac:dyDescent="0.2">
      <c r="B383" s="1" t="s">
        <v>77</v>
      </c>
      <c r="C383" s="15">
        <v>650</v>
      </c>
      <c r="D383" s="16">
        <v>18000</v>
      </c>
      <c r="E383" s="1"/>
      <c r="F383" s="17">
        <v>186.08</v>
      </c>
      <c r="G383" s="16">
        <v>18000</v>
      </c>
      <c r="H383" s="1">
        <f t="shared" si="8"/>
        <v>0</v>
      </c>
      <c r="I383" s="1"/>
      <c r="J383" s="1"/>
    </row>
    <row r="384" spans="2:10" x14ac:dyDescent="0.2">
      <c r="B384" s="1" t="s">
        <v>77</v>
      </c>
      <c r="C384" s="15">
        <v>3066</v>
      </c>
      <c r="D384" s="16">
        <v>25000</v>
      </c>
      <c r="E384" s="1"/>
      <c r="F384" s="17">
        <v>258.45</v>
      </c>
      <c r="G384" s="16">
        <v>25000</v>
      </c>
      <c r="H384" s="1">
        <f t="shared" si="8"/>
        <v>0</v>
      </c>
      <c r="I384" s="1"/>
      <c r="J384" s="1"/>
    </row>
    <row r="385" spans="2:10" x14ac:dyDescent="0.2">
      <c r="B385" s="1" t="s">
        <v>77</v>
      </c>
      <c r="C385" s="15">
        <v>3131</v>
      </c>
      <c r="D385" s="16">
        <v>12000</v>
      </c>
      <c r="E385" s="1"/>
      <c r="F385" s="17">
        <v>124.06</v>
      </c>
      <c r="G385" s="16">
        <v>12000</v>
      </c>
      <c r="H385" s="1">
        <f t="shared" si="8"/>
        <v>0</v>
      </c>
      <c r="I385" s="1"/>
      <c r="J385" s="1"/>
    </row>
    <row r="386" spans="2:10" x14ac:dyDescent="0.2">
      <c r="B386" s="1" t="s">
        <v>77</v>
      </c>
      <c r="C386" s="32">
        <v>4787</v>
      </c>
      <c r="D386" s="1">
        <v>25000</v>
      </c>
      <c r="E386" s="1"/>
      <c r="F386" s="1">
        <v>258.45</v>
      </c>
      <c r="G386" s="1">
        <v>25000</v>
      </c>
      <c r="H386" s="1">
        <f t="shared" si="8"/>
        <v>0</v>
      </c>
      <c r="I386" s="1"/>
      <c r="J386" s="1"/>
    </row>
    <row r="387" spans="2:10" x14ac:dyDescent="0.2">
      <c r="B387" s="1" t="s">
        <v>78</v>
      </c>
      <c r="C387" s="32" t="s">
        <v>66</v>
      </c>
      <c r="D387" s="1">
        <v>400</v>
      </c>
      <c r="E387" s="1"/>
      <c r="F387" s="1">
        <v>3.8</v>
      </c>
      <c r="G387" s="1">
        <v>400</v>
      </c>
      <c r="H387" s="1">
        <f t="shared" si="8"/>
        <v>0</v>
      </c>
      <c r="I387" s="1"/>
      <c r="J387" s="1"/>
    </row>
    <row r="388" spans="2:10" x14ac:dyDescent="0.2">
      <c r="B388" s="1" t="s">
        <v>78</v>
      </c>
      <c r="C388" s="32">
        <v>2227</v>
      </c>
      <c r="D388" s="1">
        <v>15000</v>
      </c>
      <c r="E388" s="1"/>
      <c r="F388" s="1">
        <v>155.07</v>
      </c>
      <c r="G388" s="1">
        <v>15000</v>
      </c>
      <c r="H388" s="1">
        <f t="shared" si="8"/>
        <v>0</v>
      </c>
      <c r="I388" s="1"/>
      <c r="J388" s="1"/>
    </row>
    <row r="389" spans="2:10" x14ac:dyDescent="0.2">
      <c r="B389" s="1" t="s">
        <v>78</v>
      </c>
      <c r="C389" s="32">
        <v>8657</v>
      </c>
      <c r="D389" s="1">
        <v>25000</v>
      </c>
      <c r="E389" s="1"/>
      <c r="F389" s="1">
        <v>258.45</v>
      </c>
      <c r="G389" s="1">
        <v>25000</v>
      </c>
      <c r="H389" s="1">
        <f t="shared" si="8"/>
        <v>0</v>
      </c>
      <c r="I389" s="1"/>
      <c r="J389" s="1"/>
    </row>
    <row r="390" spans="2:10" x14ac:dyDescent="0.2">
      <c r="B390" s="1" t="s">
        <v>78</v>
      </c>
      <c r="C390" s="32">
        <v>4156</v>
      </c>
      <c r="D390" s="1">
        <v>30000</v>
      </c>
      <c r="E390" s="1"/>
      <c r="F390" s="1">
        <v>310.14</v>
      </c>
      <c r="G390" s="1">
        <v>30000</v>
      </c>
      <c r="H390" s="1">
        <f t="shared" ref="H390:H453" si="9">D390-G390</f>
        <v>0</v>
      </c>
      <c r="I390" s="1"/>
      <c r="J390" s="1"/>
    </row>
    <row r="391" spans="2:10" x14ac:dyDescent="0.2">
      <c r="B391" s="1" t="s">
        <v>78</v>
      </c>
      <c r="C391" s="32">
        <v>2797</v>
      </c>
      <c r="D391" s="1">
        <v>14000</v>
      </c>
      <c r="E391" s="1"/>
      <c r="F391" s="1">
        <v>144.72999999999999</v>
      </c>
      <c r="G391" s="1">
        <v>14000</v>
      </c>
      <c r="H391" s="1">
        <f t="shared" si="9"/>
        <v>0</v>
      </c>
      <c r="I391" s="1"/>
      <c r="J391" s="1"/>
    </row>
    <row r="392" spans="2:10" x14ac:dyDescent="0.2">
      <c r="B392" s="1" t="s">
        <v>78</v>
      </c>
      <c r="C392" s="32">
        <v>6353</v>
      </c>
      <c r="D392" s="1">
        <v>20000</v>
      </c>
      <c r="E392" s="1"/>
      <c r="F392" s="1">
        <v>206.76</v>
      </c>
      <c r="G392" s="1">
        <v>20000</v>
      </c>
      <c r="H392" s="1">
        <f t="shared" si="9"/>
        <v>0</v>
      </c>
      <c r="I392" s="1"/>
      <c r="J392" s="1"/>
    </row>
    <row r="393" spans="2:10" x14ac:dyDescent="0.2">
      <c r="B393" s="1" t="s">
        <v>78</v>
      </c>
      <c r="C393" s="32">
        <v>253</v>
      </c>
      <c r="D393" s="1">
        <v>20000</v>
      </c>
      <c r="E393" s="1"/>
      <c r="F393" s="1">
        <v>206.76</v>
      </c>
      <c r="G393" s="1">
        <v>20000</v>
      </c>
      <c r="H393" s="1">
        <f t="shared" si="9"/>
        <v>0</v>
      </c>
      <c r="I393" s="1"/>
      <c r="J393" s="1"/>
    </row>
    <row r="394" spans="2:10" x14ac:dyDescent="0.2">
      <c r="B394" s="1" t="s">
        <v>78</v>
      </c>
      <c r="C394" s="32">
        <v>5691</v>
      </c>
      <c r="D394" s="1">
        <v>20000</v>
      </c>
      <c r="E394" s="1"/>
      <c r="F394" s="1">
        <v>206.76</v>
      </c>
      <c r="G394" s="1">
        <v>20000</v>
      </c>
      <c r="H394" s="1">
        <f t="shared" si="9"/>
        <v>0</v>
      </c>
      <c r="I394" s="1"/>
      <c r="J394" s="1"/>
    </row>
    <row r="395" spans="2:10" x14ac:dyDescent="0.2">
      <c r="B395" s="1" t="s">
        <v>79</v>
      </c>
      <c r="C395" s="32">
        <v>545</v>
      </c>
      <c r="D395" s="1">
        <v>15000</v>
      </c>
      <c r="E395" s="1"/>
      <c r="F395" s="1">
        <v>155.07</v>
      </c>
      <c r="G395" s="1">
        <v>15000</v>
      </c>
      <c r="H395" s="1">
        <f t="shared" si="9"/>
        <v>0</v>
      </c>
      <c r="I395" s="1"/>
      <c r="J395" s="1"/>
    </row>
    <row r="396" spans="2:10" x14ac:dyDescent="0.2">
      <c r="B396" s="1" t="s">
        <v>79</v>
      </c>
      <c r="C396" s="32">
        <v>7573</v>
      </c>
      <c r="D396" s="1">
        <v>23000</v>
      </c>
      <c r="E396" s="1"/>
      <c r="F396" s="1">
        <v>237.77</v>
      </c>
      <c r="G396" s="1">
        <v>23000</v>
      </c>
      <c r="H396" s="1">
        <f t="shared" si="9"/>
        <v>0</v>
      </c>
      <c r="I396" s="1"/>
      <c r="J396" s="1"/>
    </row>
    <row r="397" spans="2:10" x14ac:dyDescent="0.2">
      <c r="B397" s="1" t="s">
        <v>79</v>
      </c>
      <c r="C397" s="32">
        <v>2092</v>
      </c>
      <c r="D397" s="1">
        <v>30000</v>
      </c>
      <c r="E397" s="1"/>
      <c r="F397" s="1">
        <v>310.14</v>
      </c>
      <c r="G397" s="1">
        <v>30000</v>
      </c>
      <c r="H397" s="1">
        <f t="shared" si="9"/>
        <v>0</v>
      </c>
      <c r="I397" s="1"/>
      <c r="J397" s="1"/>
    </row>
    <row r="398" spans="2:10" x14ac:dyDescent="0.2">
      <c r="B398" s="1" t="s">
        <v>79</v>
      </c>
      <c r="C398" s="32">
        <v>3828</v>
      </c>
      <c r="D398" s="1">
        <v>10000</v>
      </c>
      <c r="E398" s="1"/>
      <c r="F398" s="1">
        <v>78.41</v>
      </c>
      <c r="G398" s="1">
        <v>10000</v>
      </c>
      <c r="H398" s="1">
        <f t="shared" si="9"/>
        <v>0</v>
      </c>
      <c r="I398" s="1"/>
      <c r="J398" s="1"/>
    </row>
    <row r="399" spans="2:10" x14ac:dyDescent="0.2">
      <c r="B399" s="1" t="s">
        <v>79</v>
      </c>
      <c r="C399" s="32">
        <v>4674</v>
      </c>
      <c r="D399" s="1">
        <v>30000</v>
      </c>
      <c r="E399" s="1"/>
      <c r="F399" s="1">
        <v>310.14</v>
      </c>
      <c r="G399" s="1">
        <v>30000</v>
      </c>
      <c r="H399" s="1">
        <f t="shared" si="9"/>
        <v>0</v>
      </c>
      <c r="I399" s="1"/>
      <c r="J399" s="1"/>
    </row>
    <row r="400" spans="2:10" x14ac:dyDescent="0.2">
      <c r="B400" s="1" t="s">
        <v>79</v>
      </c>
      <c r="C400" s="32">
        <v>4911</v>
      </c>
      <c r="D400" s="1">
        <v>10000</v>
      </c>
      <c r="E400" s="1"/>
      <c r="F400" s="1">
        <v>97.69</v>
      </c>
      <c r="G400" s="1">
        <v>10000</v>
      </c>
      <c r="H400" s="1">
        <f t="shared" si="9"/>
        <v>0</v>
      </c>
      <c r="I400" s="1"/>
      <c r="J400" s="1"/>
    </row>
    <row r="401" spans="2:10" x14ac:dyDescent="0.2">
      <c r="B401" s="1" t="s">
        <v>79</v>
      </c>
      <c r="C401" s="32" t="s">
        <v>61</v>
      </c>
      <c r="D401" s="1">
        <v>5000</v>
      </c>
      <c r="E401" s="1"/>
      <c r="F401" s="1">
        <v>51.69</v>
      </c>
      <c r="G401" s="1">
        <v>5000</v>
      </c>
      <c r="H401" s="1">
        <f t="shared" si="9"/>
        <v>0</v>
      </c>
      <c r="I401" s="1"/>
      <c r="J401" s="1"/>
    </row>
    <row r="402" spans="2:10" x14ac:dyDescent="0.2">
      <c r="B402" s="1" t="s">
        <v>79</v>
      </c>
      <c r="C402" s="32" t="s">
        <v>61</v>
      </c>
      <c r="D402" s="1">
        <v>4500</v>
      </c>
      <c r="E402" s="1"/>
      <c r="F402" s="1">
        <v>46.52</v>
      </c>
      <c r="G402" s="1">
        <v>4500</v>
      </c>
      <c r="H402" s="1">
        <f t="shared" si="9"/>
        <v>0</v>
      </c>
      <c r="I402" s="1"/>
      <c r="J402" s="1"/>
    </row>
    <row r="403" spans="2:10" x14ac:dyDescent="0.2">
      <c r="B403" s="1" t="s">
        <v>79</v>
      </c>
      <c r="C403" s="32">
        <v>7069</v>
      </c>
      <c r="D403" s="1">
        <v>20000</v>
      </c>
      <c r="E403" s="1"/>
      <c r="F403" s="1">
        <v>206.76</v>
      </c>
      <c r="G403" s="1">
        <v>20000</v>
      </c>
      <c r="H403" s="1">
        <f t="shared" si="9"/>
        <v>0</v>
      </c>
      <c r="I403" s="1"/>
      <c r="J403" s="1"/>
    </row>
    <row r="404" spans="2:10" x14ac:dyDescent="0.2">
      <c r="B404" s="1" t="s">
        <v>79</v>
      </c>
      <c r="C404" s="32">
        <v>9027</v>
      </c>
      <c r="D404" s="1">
        <v>10000</v>
      </c>
      <c r="E404" s="1"/>
      <c r="F404" s="1">
        <v>103.38</v>
      </c>
      <c r="G404" s="1">
        <v>10000</v>
      </c>
      <c r="H404" s="1">
        <f t="shared" si="9"/>
        <v>0</v>
      </c>
      <c r="I404" s="1"/>
      <c r="J404" s="1"/>
    </row>
    <row r="405" spans="2:10" x14ac:dyDescent="0.2">
      <c r="B405" s="1" t="s">
        <v>81</v>
      </c>
      <c r="C405" s="32">
        <v>4501</v>
      </c>
      <c r="D405" s="1">
        <v>25000</v>
      </c>
      <c r="E405" s="1"/>
      <c r="F405" s="1">
        <v>258.45</v>
      </c>
      <c r="G405" s="1">
        <v>25000</v>
      </c>
      <c r="H405" s="1">
        <f t="shared" si="9"/>
        <v>0</v>
      </c>
      <c r="I405" s="1"/>
      <c r="J405" s="1"/>
    </row>
    <row r="406" spans="2:10" x14ac:dyDescent="0.2">
      <c r="B406" s="1" t="s">
        <v>81</v>
      </c>
      <c r="C406" s="32">
        <v>9599</v>
      </c>
      <c r="D406" s="1">
        <v>32000</v>
      </c>
      <c r="E406" s="1"/>
      <c r="F406" s="1">
        <v>330.82</v>
      </c>
      <c r="G406" s="1">
        <v>32000</v>
      </c>
      <c r="H406" s="1">
        <f t="shared" si="9"/>
        <v>0</v>
      </c>
      <c r="I406" s="1"/>
      <c r="J406" s="1"/>
    </row>
    <row r="407" spans="2:10" x14ac:dyDescent="0.2">
      <c r="B407" s="1" t="s">
        <v>81</v>
      </c>
      <c r="C407" s="32" t="s">
        <v>61</v>
      </c>
      <c r="D407" s="1">
        <v>3500</v>
      </c>
      <c r="E407" s="1"/>
      <c r="F407" s="1">
        <v>36.18</v>
      </c>
      <c r="G407" s="1">
        <v>3500</v>
      </c>
      <c r="H407" s="1">
        <f t="shared" si="9"/>
        <v>0</v>
      </c>
      <c r="I407" s="1"/>
      <c r="J407" s="1"/>
    </row>
    <row r="408" spans="2:10" x14ac:dyDescent="0.2">
      <c r="B408" s="1" t="s">
        <v>81</v>
      </c>
      <c r="C408" s="32">
        <v>8797</v>
      </c>
      <c r="D408" s="1">
        <v>18000</v>
      </c>
      <c r="E408" s="1"/>
      <c r="F408" s="1">
        <v>164.38</v>
      </c>
      <c r="G408" s="1">
        <v>18000</v>
      </c>
      <c r="H408" s="1">
        <f t="shared" si="9"/>
        <v>0</v>
      </c>
      <c r="I408" s="1"/>
      <c r="J408" s="1"/>
    </row>
    <row r="409" spans="2:10" x14ac:dyDescent="0.2">
      <c r="B409" s="1" t="s">
        <v>81</v>
      </c>
      <c r="C409" s="32">
        <v>9942</v>
      </c>
      <c r="D409" s="1">
        <v>25000</v>
      </c>
      <c r="E409" s="1"/>
      <c r="F409" s="1">
        <v>253.79</v>
      </c>
      <c r="G409" s="1">
        <v>25000</v>
      </c>
      <c r="H409" s="1">
        <f t="shared" si="9"/>
        <v>0</v>
      </c>
      <c r="I409" s="1"/>
      <c r="J409" s="1"/>
    </row>
    <row r="410" spans="2:10" x14ac:dyDescent="0.2">
      <c r="B410" s="1" t="s">
        <v>81</v>
      </c>
      <c r="C410" s="32">
        <v>2021</v>
      </c>
      <c r="D410" s="1">
        <v>25000</v>
      </c>
      <c r="E410" s="1"/>
      <c r="F410" s="1">
        <v>258.45</v>
      </c>
      <c r="G410" s="1">
        <v>25000</v>
      </c>
      <c r="H410" s="1">
        <f t="shared" si="9"/>
        <v>0</v>
      </c>
      <c r="I410" s="1"/>
      <c r="J410" s="1"/>
    </row>
    <row r="411" spans="2:10" x14ac:dyDescent="0.2">
      <c r="B411" s="1" t="s">
        <v>82</v>
      </c>
      <c r="C411" s="32" t="s">
        <v>61</v>
      </c>
      <c r="D411" s="1">
        <v>5000</v>
      </c>
      <c r="E411" s="1"/>
      <c r="F411" s="1">
        <v>51.69</v>
      </c>
      <c r="G411" s="1">
        <v>5000</v>
      </c>
      <c r="H411" s="1">
        <f t="shared" si="9"/>
        <v>0</v>
      </c>
      <c r="I411" s="1"/>
      <c r="J411" s="1"/>
    </row>
    <row r="412" spans="2:10" x14ac:dyDescent="0.2">
      <c r="B412" s="1" t="s">
        <v>82</v>
      </c>
      <c r="C412" s="32" t="s">
        <v>61</v>
      </c>
      <c r="D412" s="1">
        <v>4500</v>
      </c>
      <c r="E412" s="1"/>
      <c r="F412" s="1">
        <v>46.52</v>
      </c>
      <c r="G412" s="1">
        <v>4500</v>
      </c>
      <c r="H412" s="1">
        <f t="shared" si="9"/>
        <v>0</v>
      </c>
      <c r="I412" s="1"/>
      <c r="J412" s="1"/>
    </row>
    <row r="413" spans="2:10" x14ac:dyDescent="0.2">
      <c r="B413" s="1" t="s">
        <v>82</v>
      </c>
      <c r="C413" s="32" t="s">
        <v>66</v>
      </c>
      <c r="D413" s="1">
        <v>400</v>
      </c>
      <c r="E413" s="1"/>
      <c r="F413" s="1">
        <v>3.8</v>
      </c>
      <c r="G413" s="1">
        <v>400</v>
      </c>
      <c r="H413" s="1">
        <f t="shared" si="9"/>
        <v>0</v>
      </c>
      <c r="I413" s="1"/>
      <c r="J413" s="1"/>
    </row>
    <row r="414" spans="2:10" x14ac:dyDescent="0.2">
      <c r="B414" s="1" t="s">
        <v>82</v>
      </c>
      <c r="C414" s="32">
        <v>4713</v>
      </c>
      <c r="D414" s="1">
        <v>6000</v>
      </c>
      <c r="E414" s="1"/>
      <c r="F414" s="1">
        <v>62.03</v>
      </c>
      <c r="G414" s="1">
        <v>6000</v>
      </c>
      <c r="H414" s="1">
        <f t="shared" si="9"/>
        <v>0</v>
      </c>
      <c r="I414" s="1"/>
      <c r="J414" s="1"/>
    </row>
    <row r="415" spans="2:10" x14ac:dyDescent="0.2">
      <c r="B415" s="1" t="s">
        <v>82</v>
      </c>
      <c r="C415" s="32">
        <v>6391</v>
      </c>
      <c r="D415" s="1">
        <v>15000</v>
      </c>
      <c r="E415" s="1"/>
      <c r="F415" s="1">
        <v>155.07</v>
      </c>
      <c r="G415" s="1">
        <v>15000</v>
      </c>
      <c r="H415" s="1">
        <f t="shared" si="9"/>
        <v>0</v>
      </c>
      <c r="I415" s="1"/>
      <c r="J415" s="1"/>
    </row>
    <row r="416" spans="2:10" x14ac:dyDescent="0.2">
      <c r="B416" s="1" t="s">
        <v>82</v>
      </c>
      <c r="C416" s="32">
        <v>5520</v>
      </c>
      <c r="D416" s="1">
        <v>24000</v>
      </c>
      <c r="E416" s="1"/>
      <c r="F416" s="1">
        <v>248.01</v>
      </c>
      <c r="G416" s="1">
        <v>24000</v>
      </c>
      <c r="H416" s="1">
        <f t="shared" si="9"/>
        <v>0</v>
      </c>
      <c r="I416" s="1"/>
      <c r="J416" s="1"/>
    </row>
    <row r="417" spans="2:10" x14ac:dyDescent="0.2">
      <c r="B417" s="1" t="s">
        <v>82</v>
      </c>
      <c r="C417" s="32">
        <v>3505</v>
      </c>
      <c r="D417" s="1">
        <v>30000</v>
      </c>
      <c r="E417" s="1"/>
      <c r="F417" s="1">
        <v>310.14</v>
      </c>
      <c r="G417" s="1">
        <v>30000</v>
      </c>
      <c r="H417" s="1">
        <f t="shared" si="9"/>
        <v>0</v>
      </c>
      <c r="I417" s="1"/>
      <c r="J417" s="1"/>
    </row>
    <row r="418" spans="2:10" x14ac:dyDescent="0.2">
      <c r="B418" s="1" t="s">
        <v>82</v>
      </c>
      <c r="C418" s="32">
        <v>1087</v>
      </c>
      <c r="D418" s="1">
        <v>32000</v>
      </c>
      <c r="E418" s="1"/>
      <c r="F418" s="1">
        <v>312.20999999999998</v>
      </c>
      <c r="G418" s="1">
        <v>32000</v>
      </c>
      <c r="H418" s="1">
        <f t="shared" si="9"/>
        <v>0</v>
      </c>
      <c r="I418" s="1"/>
      <c r="J418" s="1"/>
    </row>
    <row r="419" spans="2:10" x14ac:dyDescent="0.2">
      <c r="B419" s="1" t="s">
        <v>82</v>
      </c>
      <c r="C419" s="32">
        <v>4481</v>
      </c>
      <c r="D419" s="1">
        <v>25000</v>
      </c>
      <c r="E419" s="1"/>
      <c r="F419" s="1">
        <v>258.45</v>
      </c>
      <c r="G419" s="1">
        <v>25000</v>
      </c>
      <c r="H419" s="1">
        <f t="shared" si="9"/>
        <v>0</v>
      </c>
      <c r="I419" s="1"/>
      <c r="J419" s="1"/>
    </row>
    <row r="420" spans="2:10" x14ac:dyDescent="0.2">
      <c r="B420" s="1" t="s">
        <v>82</v>
      </c>
      <c r="C420" s="32">
        <v>5857</v>
      </c>
      <c r="D420" s="1">
        <v>35000</v>
      </c>
      <c r="E420" s="1"/>
      <c r="F420" s="1">
        <v>344.16</v>
      </c>
      <c r="G420" s="1">
        <v>35000</v>
      </c>
      <c r="H420" s="1">
        <f t="shared" si="9"/>
        <v>0</v>
      </c>
      <c r="I420" s="1"/>
      <c r="J420" s="1"/>
    </row>
    <row r="421" spans="2:10" x14ac:dyDescent="0.2">
      <c r="B421" s="1" t="s">
        <v>82</v>
      </c>
      <c r="C421" s="32">
        <v>2143</v>
      </c>
      <c r="D421" s="1">
        <v>35000</v>
      </c>
      <c r="E421" s="1"/>
      <c r="F421" s="1">
        <v>361.83</v>
      </c>
      <c r="G421" s="1">
        <v>35000</v>
      </c>
      <c r="H421" s="1">
        <f t="shared" si="9"/>
        <v>0</v>
      </c>
      <c r="I421" s="1"/>
      <c r="J421" s="1"/>
    </row>
    <row r="422" spans="2:10" x14ac:dyDescent="0.2">
      <c r="B422" s="1" t="s">
        <v>82</v>
      </c>
      <c r="C422" s="32">
        <v>65</v>
      </c>
      <c r="D422" s="1">
        <v>5000</v>
      </c>
      <c r="E422" s="1"/>
      <c r="F422" s="1">
        <v>51.69</v>
      </c>
      <c r="G422" s="1">
        <v>5000</v>
      </c>
      <c r="H422" s="1">
        <f t="shared" si="9"/>
        <v>0</v>
      </c>
      <c r="I422" s="1"/>
      <c r="J422" s="1"/>
    </row>
    <row r="423" spans="2:10" x14ac:dyDescent="0.2">
      <c r="B423" s="1" t="s">
        <v>83</v>
      </c>
      <c r="C423" s="32">
        <v>8665</v>
      </c>
      <c r="D423" s="1">
        <v>25000</v>
      </c>
      <c r="E423" s="1"/>
      <c r="F423" s="1">
        <v>258.45</v>
      </c>
      <c r="G423" s="1">
        <v>25000</v>
      </c>
      <c r="H423" s="1">
        <f t="shared" si="9"/>
        <v>0</v>
      </c>
      <c r="I423" s="1"/>
      <c r="J423" s="1"/>
    </row>
    <row r="424" spans="2:10" x14ac:dyDescent="0.2">
      <c r="B424" s="1" t="s">
        <v>83</v>
      </c>
      <c r="C424" s="32">
        <v>4729</v>
      </c>
      <c r="D424" s="1">
        <v>32000</v>
      </c>
      <c r="E424" s="1"/>
      <c r="F424" s="1">
        <v>330.82</v>
      </c>
      <c r="G424" s="1">
        <v>32000</v>
      </c>
      <c r="H424" s="1">
        <f t="shared" si="9"/>
        <v>0</v>
      </c>
      <c r="I424" s="1"/>
      <c r="J424" s="1"/>
    </row>
    <row r="425" spans="2:10" x14ac:dyDescent="0.2">
      <c r="B425" s="1" t="s">
        <v>83</v>
      </c>
      <c r="C425" s="32">
        <v>7578</v>
      </c>
      <c r="D425" s="1">
        <v>25000</v>
      </c>
      <c r="E425" s="1"/>
      <c r="F425" s="1">
        <v>258.45</v>
      </c>
      <c r="G425" s="1">
        <v>25000</v>
      </c>
      <c r="H425" s="1">
        <f t="shared" si="9"/>
        <v>0</v>
      </c>
      <c r="I425" s="1"/>
      <c r="J425" s="1"/>
    </row>
    <row r="426" spans="2:10" x14ac:dyDescent="0.2">
      <c r="B426" s="1" t="s">
        <v>83</v>
      </c>
      <c r="C426" s="32">
        <v>4045</v>
      </c>
      <c r="D426" s="1">
        <v>25000</v>
      </c>
      <c r="E426" s="1"/>
      <c r="F426" s="1">
        <v>258.45</v>
      </c>
      <c r="G426" s="1">
        <v>25000</v>
      </c>
      <c r="H426" s="1">
        <f t="shared" si="9"/>
        <v>0</v>
      </c>
      <c r="I426" s="1"/>
      <c r="J426" s="1"/>
    </row>
    <row r="427" spans="2:10" x14ac:dyDescent="0.2">
      <c r="B427" s="1" t="s">
        <v>83</v>
      </c>
      <c r="C427" s="32">
        <v>3828</v>
      </c>
      <c r="D427" s="1">
        <v>23000</v>
      </c>
      <c r="E427" s="1"/>
      <c r="F427" s="1">
        <v>237.78</v>
      </c>
      <c r="G427" s="1">
        <v>23000</v>
      </c>
      <c r="H427" s="1">
        <f t="shared" si="9"/>
        <v>0</v>
      </c>
      <c r="I427" s="1"/>
      <c r="J427" s="1"/>
    </row>
    <row r="428" spans="2:10" x14ac:dyDescent="0.2">
      <c r="B428" s="1" t="s">
        <v>83</v>
      </c>
      <c r="C428" s="32">
        <v>1681</v>
      </c>
      <c r="D428" s="1">
        <v>30000</v>
      </c>
      <c r="E428" s="1"/>
      <c r="F428" s="1">
        <v>310.14</v>
      </c>
      <c r="G428" s="1">
        <v>30000</v>
      </c>
      <c r="H428" s="1">
        <f t="shared" si="9"/>
        <v>0</v>
      </c>
      <c r="I428" s="1"/>
      <c r="J428" s="1"/>
    </row>
    <row r="429" spans="2:10" x14ac:dyDescent="0.2">
      <c r="B429" s="1" t="s">
        <v>83</v>
      </c>
      <c r="C429" s="32">
        <v>8878</v>
      </c>
      <c r="D429" s="1">
        <v>10000</v>
      </c>
      <c r="E429" s="1"/>
      <c r="F429" s="1">
        <v>103.38</v>
      </c>
      <c r="G429" s="1">
        <v>10000</v>
      </c>
      <c r="H429" s="1">
        <f t="shared" si="9"/>
        <v>0</v>
      </c>
      <c r="I429" s="1"/>
      <c r="J429" s="1"/>
    </row>
    <row r="430" spans="2:10" x14ac:dyDescent="0.2">
      <c r="B430" s="1" t="s">
        <v>84</v>
      </c>
      <c r="C430" s="32" t="s">
        <v>63</v>
      </c>
      <c r="D430" s="1">
        <v>3500</v>
      </c>
      <c r="E430" s="1"/>
      <c r="F430" s="1">
        <v>36.18</v>
      </c>
      <c r="G430" s="1">
        <v>3500</v>
      </c>
      <c r="H430" s="1">
        <f t="shared" si="9"/>
        <v>0</v>
      </c>
      <c r="I430" s="1"/>
      <c r="J430" s="1"/>
    </row>
    <row r="431" spans="2:10" x14ac:dyDescent="0.2">
      <c r="B431" s="1" t="s">
        <v>84</v>
      </c>
      <c r="C431" s="32">
        <v>6177</v>
      </c>
      <c r="D431" s="1">
        <v>10000</v>
      </c>
      <c r="E431" s="1"/>
      <c r="F431" s="1">
        <v>103.38</v>
      </c>
      <c r="G431" s="1">
        <v>10000</v>
      </c>
      <c r="H431" s="1">
        <f t="shared" si="9"/>
        <v>0</v>
      </c>
      <c r="I431" s="1"/>
      <c r="J431" s="1"/>
    </row>
    <row r="432" spans="2:10" x14ac:dyDescent="0.2">
      <c r="B432" s="1" t="s">
        <v>84</v>
      </c>
      <c r="C432" s="32">
        <v>2943</v>
      </c>
      <c r="D432" s="1">
        <v>34000</v>
      </c>
      <c r="E432" s="1"/>
      <c r="F432" s="1">
        <v>351.49</v>
      </c>
      <c r="G432" s="1">
        <v>34000</v>
      </c>
      <c r="H432" s="1">
        <f t="shared" si="9"/>
        <v>0</v>
      </c>
      <c r="I432" s="1"/>
      <c r="J432" s="1"/>
    </row>
    <row r="433" spans="2:10" x14ac:dyDescent="0.2">
      <c r="B433" s="1" t="s">
        <v>84</v>
      </c>
      <c r="C433" s="32" t="s">
        <v>73</v>
      </c>
      <c r="D433" s="1">
        <v>5000</v>
      </c>
      <c r="E433" s="1"/>
      <c r="F433" s="1">
        <v>51.69</v>
      </c>
      <c r="G433" s="1">
        <v>5000</v>
      </c>
      <c r="H433" s="1">
        <f t="shared" si="9"/>
        <v>0</v>
      </c>
      <c r="I433" s="1"/>
      <c r="J433" s="1"/>
    </row>
    <row r="434" spans="2:10" x14ac:dyDescent="0.2">
      <c r="B434" s="1" t="s">
        <v>84</v>
      </c>
      <c r="C434" s="32" t="s">
        <v>73</v>
      </c>
      <c r="D434" s="1">
        <v>4500</v>
      </c>
      <c r="E434" s="1"/>
      <c r="F434" s="1">
        <v>46.65</v>
      </c>
      <c r="G434" s="1">
        <v>4500</v>
      </c>
      <c r="H434" s="1">
        <f t="shared" si="9"/>
        <v>0</v>
      </c>
      <c r="I434" s="1"/>
      <c r="J434" s="1"/>
    </row>
    <row r="435" spans="2:10" x14ac:dyDescent="0.2">
      <c r="B435" s="1" t="s">
        <v>84</v>
      </c>
      <c r="C435" s="32">
        <v>3365</v>
      </c>
      <c r="D435" s="1">
        <v>10000</v>
      </c>
      <c r="E435" s="1"/>
      <c r="F435" s="1">
        <v>103.38</v>
      </c>
      <c r="G435" s="1">
        <v>10000</v>
      </c>
      <c r="H435" s="1">
        <f t="shared" si="9"/>
        <v>0</v>
      </c>
      <c r="I435" s="1"/>
      <c r="J435" s="1"/>
    </row>
    <row r="436" spans="2:10" x14ac:dyDescent="0.2">
      <c r="B436" s="1" t="s">
        <v>84</v>
      </c>
      <c r="C436" s="32">
        <v>1522</v>
      </c>
      <c r="D436" s="1">
        <v>12000</v>
      </c>
      <c r="E436" s="1"/>
      <c r="F436" s="1">
        <v>124.06</v>
      </c>
      <c r="G436" s="1">
        <v>12000</v>
      </c>
      <c r="H436" s="1">
        <f t="shared" si="9"/>
        <v>0</v>
      </c>
      <c r="I436" s="1"/>
      <c r="J436" s="1"/>
    </row>
    <row r="437" spans="2:10" x14ac:dyDescent="0.2">
      <c r="B437" s="1" t="s">
        <v>84</v>
      </c>
      <c r="C437" s="32">
        <v>4953</v>
      </c>
      <c r="D437" s="1">
        <v>6000</v>
      </c>
      <c r="E437" s="1"/>
      <c r="F437" s="1">
        <v>62.03</v>
      </c>
      <c r="G437" s="1">
        <v>6000</v>
      </c>
      <c r="H437" s="1">
        <f t="shared" si="9"/>
        <v>0</v>
      </c>
      <c r="I437" s="1"/>
      <c r="J437" s="1"/>
    </row>
    <row r="438" spans="2:10" x14ac:dyDescent="0.2">
      <c r="B438" s="1" t="s">
        <v>85</v>
      </c>
      <c r="C438" s="32" t="s">
        <v>73</v>
      </c>
      <c r="D438" s="1">
        <v>3500</v>
      </c>
      <c r="E438" s="1"/>
      <c r="F438" s="1">
        <v>36.18</v>
      </c>
      <c r="G438" s="1">
        <v>3500</v>
      </c>
      <c r="H438" s="1">
        <f t="shared" si="9"/>
        <v>0</v>
      </c>
      <c r="I438" s="1"/>
      <c r="J438" s="1"/>
    </row>
    <row r="439" spans="2:10" x14ac:dyDescent="0.2">
      <c r="B439" s="1" t="s">
        <v>85</v>
      </c>
      <c r="C439" s="32">
        <v>7991</v>
      </c>
      <c r="D439" s="1">
        <v>26000</v>
      </c>
      <c r="E439" s="1"/>
      <c r="F439" s="1">
        <v>264.66000000000003</v>
      </c>
      <c r="G439" s="1">
        <v>26000</v>
      </c>
      <c r="H439" s="1">
        <f t="shared" si="9"/>
        <v>0</v>
      </c>
      <c r="I439" s="1"/>
      <c r="J439" s="1"/>
    </row>
    <row r="440" spans="2:10" x14ac:dyDescent="0.2">
      <c r="B440" s="1" t="s">
        <v>85</v>
      </c>
      <c r="C440" s="32">
        <v>1425</v>
      </c>
      <c r="D440" s="1">
        <v>23000</v>
      </c>
      <c r="E440" s="1"/>
      <c r="F440" s="1">
        <v>163.13999999999999</v>
      </c>
      <c r="G440" s="1">
        <v>23000</v>
      </c>
      <c r="H440" s="1">
        <f t="shared" si="9"/>
        <v>0</v>
      </c>
      <c r="I440" s="1"/>
      <c r="J440" s="1"/>
    </row>
    <row r="441" spans="2:10" x14ac:dyDescent="0.2">
      <c r="B441" s="1" t="s">
        <v>85</v>
      </c>
      <c r="C441" s="32">
        <v>7707</v>
      </c>
      <c r="D441" s="1">
        <v>30000</v>
      </c>
      <c r="E441" s="1"/>
      <c r="F441" s="1">
        <v>306.63</v>
      </c>
      <c r="G441" s="1">
        <v>30000</v>
      </c>
      <c r="H441" s="1">
        <f t="shared" si="9"/>
        <v>0</v>
      </c>
      <c r="I441" s="1"/>
      <c r="J441" s="1"/>
    </row>
    <row r="442" spans="2:10" x14ac:dyDescent="0.2">
      <c r="B442" s="1" t="s">
        <v>85</v>
      </c>
      <c r="C442" s="32">
        <v>1330</v>
      </c>
      <c r="D442" s="1">
        <v>40000</v>
      </c>
      <c r="E442" s="1"/>
      <c r="F442" s="1">
        <v>413.52</v>
      </c>
      <c r="G442" s="1">
        <v>40000</v>
      </c>
      <c r="H442" s="1">
        <f t="shared" si="9"/>
        <v>0</v>
      </c>
      <c r="I442" s="1"/>
      <c r="J442" s="1"/>
    </row>
    <row r="443" spans="2:10" x14ac:dyDescent="0.2">
      <c r="B443" s="1" t="s">
        <v>85</v>
      </c>
      <c r="C443" s="32">
        <v>4920</v>
      </c>
      <c r="D443" s="1">
        <v>20000</v>
      </c>
      <c r="E443" s="1"/>
      <c r="F443" s="1">
        <v>228.29</v>
      </c>
      <c r="G443" s="1">
        <v>20000</v>
      </c>
      <c r="H443" s="1">
        <f t="shared" si="9"/>
        <v>0</v>
      </c>
      <c r="I443" s="1"/>
      <c r="J443" s="1"/>
    </row>
    <row r="444" spans="2:10" x14ac:dyDescent="0.2">
      <c r="B444" s="1" t="s">
        <v>85</v>
      </c>
      <c r="C444" s="32">
        <v>7362</v>
      </c>
      <c r="D444" s="1">
        <v>8000</v>
      </c>
      <c r="E444" s="1"/>
      <c r="F444" s="1">
        <v>82.7</v>
      </c>
      <c r="G444" s="1">
        <v>8000</v>
      </c>
      <c r="H444" s="1">
        <f t="shared" si="9"/>
        <v>0</v>
      </c>
      <c r="I444" s="1"/>
      <c r="J444" s="1"/>
    </row>
    <row r="445" spans="2:10" x14ac:dyDescent="0.2">
      <c r="B445" s="1" t="s">
        <v>85</v>
      </c>
      <c r="C445" s="32">
        <v>8227</v>
      </c>
      <c r="D445" s="1">
        <v>8000</v>
      </c>
      <c r="E445" s="1"/>
      <c r="F445" s="1">
        <v>82.7</v>
      </c>
      <c r="G445" s="1">
        <v>8000</v>
      </c>
      <c r="H445" s="1">
        <f t="shared" si="9"/>
        <v>0</v>
      </c>
      <c r="I445" s="1"/>
      <c r="J445" s="1"/>
    </row>
    <row r="446" spans="2:10" x14ac:dyDescent="0.2">
      <c r="B446" s="1" t="s">
        <v>85</v>
      </c>
      <c r="C446" s="32">
        <v>3222</v>
      </c>
      <c r="D446" s="1">
        <v>32000</v>
      </c>
      <c r="E446" s="1"/>
      <c r="F446" s="1">
        <v>330.82</v>
      </c>
      <c r="G446" s="1">
        <v>32000</v>
      </c>
      <c r="H446" s="1">
        <f t="shared" si="9"/>
        <v>0</v>
      </c>
      <c r="I446" s="1"/>
      <c r="J446" s="1"/>
    </row>
    <row r="447" spans="2:10" x14ac:dyDescent="0.2">
      <c r="B447" s="1" t="s">
        <v>87</v>
      </c>
      <c r="C447" s="32">
        <v>6000</v>
      </c>
      <c r="D447" s="1">
        <v>26000</v>
      </c>
      <c r="E447" s="1"/>
      <c r="F447" s="1">
        <v>209.35</v>
      </c>
      <c r="G447" s="1">
        <v>26000</v>
      </c>
      <c r="H447" s="1">
        <f t="shared" si="9"/>
        <v>0</v>
      </c>
      <c r="I447" s="1"/>
      <c r="J447" s="1"/>
    </row>
    <row r="448" spans="2:10" x14ac:dyDescent="0.2">
      <c r="B448" s="1" t="s">
        <v>87</v>
      </c>
      <c r="C448" s="32">
        <v>9253</v>
      </c>
      <c r="D448" s="1">
        <v>30000</v>
      </c>
      <c r="E448" s="1"/>
      <c r="F448" s="1">
        <v>310.14</v>
      </c>
      <c r="G448" s="1">
        <v>30000</v>
      </c>
      <c r="H448" s="1">
        <f t="shared" si="9"/>
        <v>0</v>
      </c>
      <c r="I448" s="1"/>
      <c r="J448" s="1"/>
    </row>
    <row r="449" spans="2:10" x14ac:dyDescent="0.2">
      <c r="B449" s="1" t="s">
        <v>87</v>
      </c>
      <c r="C449" s="32" t="s">
        <v>66</v>
      </c>
      <c r="D449" s="1">
        <v>400</v>
      </c>
      <c r="E449" s="1"/>
      <c r="F449" s="1">
        <v>3.8</v>
      </c>
      <c r="G449" s="1">
        <v>400</v>
      </c>
      <c r="H449" s="1">
        <f t="shared" si="9"/>
        <v>0</v>
      </c>
      <c r="I449" s="1"/>
      <c r="J449" s="1"/>
    </row>
    <row r="450" spans="2:10" x14ac:dyDescent="0.2">
      <c r="B450" s="1" t="s">
        <v>87</v>
      </c>
      <c r="C450" s="32" t="s">
        <v>61</v>
      </c>
      <c r="D450" s="1">
        <v>5000</v>
      </c>
      <c r="E450" s="1"/>
      <c r="F450" s="1">
        <v>51.69</v>
      </c>
      <c r="G450" s="1">
        <v>5000</v>
      </c>
      <c r="H450" s="1">
        <f t="shared" si="9"/>
        <v>0</v>
      </c>
      <c r="I450" s="1"/>
      <c r="J450" s="1"/>
    </row>
    <row r="451" spans="2:10" x14ac:dyDescent="0.2">
      <c r="B451" s="1" t="s">
        <v>87</v>
      </c>
      <c r="C451" s="32">
        <v>8743</v>
      </c>
      <c r="D451" s="1">
        <v>68000</v>
      </c>
      <c r="E451" s="1"/>
      <c r="F451" s="1">
        <v>653.78</v>
      </c>
      <c r="G451" s="1">
        <v>68000</v>
      </c>
      <c r="H451" s="1">
        <f t="shared" si="9"/>
        <v>0</v>
      </c>
      <c r="I451" s="1"/>
      <c r="J451" s="1"/>
    </row>
    <row r="452" spans="2:10" x14ac:dyDescent="0.2">
      <c r="B452" s="1" t="s">
        <v>87</v>
      </c>
      <c r="C452" s="32">
        <v>1380</v>
      </c>
      <c r="D452" s="1">
        <v>32000</v>
      </c>
      <c r="E452" s="1"/>
      <c r="F452" s="1">
        <v>300.01</v>
      </c>
      <c r="G452" s="1">
        <v>32000</v>
      </c>
      <c r="H452" s="1">
        <f t="shared" si="9"/>
        <v>0</v>
      </c>
      <c r="I452" s="1"/>
      <c r="J452" s="1"/>
    </row>
    <row r="453" spans="2:10" x14ac:dyDescent="0.2">
      <c r="B453" s="1" t="s">
        <v>87</v>
      </c>
      <c r="C453" s="32">
        <v>7909</v>
      </c>
      <c r="D453" s="1">
        <v>10000</v>
      </c>
      <c r="E453" s="1"/>
      <c r="F453" s="1">
        <v>103.38</v>
      </c>
      <c r="G453" s="1">
        <v>10000</v>
      </c>
      <c r="H453" s="1">
        <f t="shared" si="9"/>
        <v>0</v>
      </c>
      <c r="I453" s="1"/>
      <c r="J453" s="1"/>
    </row>
    <row r="454" spans="2:10" x14ac:dyDescent="0.2">
      <c r="B454" s="1" t="s">
        <v>87</v>
      </c>
      <c r="C454" s="32">
        <v>2151</v>
      </c>
      <c r="D454" s="1">
        <v>5000</v>
      </c>
      <c r="E454" s="1"/>
      <c r="F454" s="1">
        <v>51.69</v>
      </c>
      <c r="G454" s="1">
        <v>5000</v>
      </c>
      <c r="H454" s="1">
        <f t="shared" ref="H454:H466" si="10">D454-G454</f>
        <v>0</v>
      </c>
      <c r="I454" s="1"/>
      <c r="J454" s="1"/>
    </row>
    <row r="455" spans="2:10" x14ac:dyDescent="0.2">
      <c r="B455" s="1" t="s">
        <v>88</v>
      </c>
      <c r="C455" s="32">
        <v>926</v>
      </c>
      <c r="D455" s="1">
        <v>30000</v>
      </c>
      <c r="E455" s="1"/>
      <c r="F455" s="1">
        <v>196.1</v>
      </c>
      <c r="G455" s="1">
        <v>30000</v>
      </c>
      <c r="H455" s="1">
        <f t="shared" si="10"/>
        <v>0</v>
      </c>
      <c r="I455" s="1"/>
      <c r="J455" s="1"/>
    </row>
    <row r="456" spans="2:10" x14ac:dyDescent="0.2">
      <c r="B456" s="1" t="s">
        <v>88</v>
      </c>
      <c r="C456" s="32">
        <v>2207</v>
      </c>
      <c r="D456" s="1">
        <v>12000</v>
      </c>
      <c r="E456" s="1"/>
      <c r="F456" s="1">
        <v>114.03</v>
      </c>
      <c r="G456" s="1">
        <v>12000</v>
      </c>
      <c r="H456" s="1">
        <f t="shared" si="10"/>
        <v>0</v>
      </c>
      <c r="I456" s="1"/>
      <c r="J456" s="1"/>
    </row>
    <row r="457" spans="2:10" x14ac:dyDescent="0.2">
      <c r="B457" s="1" t="s">
        <v>89</v>
      </c>
      <c r="C457" s="32" t="s">
        <v>63</v>
      </c>
      <c r="D457" s="1">
        <v>3500</v>
      </c>
      <c r="E457" s="1"/>
      <c r="F457" s="1">
        <v>36.18</v>
      </c>
      <c r="G457" s="1">
        <v>3500</v>
      </c>
      <c r="H457" s="1">
        <f t="shared" si="10"/>
        <v>0</v>
      </c>
      <c r="I457" s="1"/>
      <c r="J457" s="1"/>
    </row>
    <row r="458" spans="2:10" x14ac:dyDescent="0.2">
      <c r="B458" s="1" t="s">
        <v>89</v>
      </c>
      <c r="C458" s="32" t="s">
        <v>61</v>
      </c>
      <c r="D458" s="1">
        <v>5000</v>
      </c>
      <c r="E458" s="1"/>
      <c r="F458" s="1">
        <v>51.69</v>
      </c>
      <c r="G458" s="1">
        <v>5000</v>
      </c>
      <c r="H458" s="1">
        <f t="shared" si="10"/>
        <v>0</v>
      </c>
      <c r="I458" s="1"/>
      <c r="J458" s="1"/>
    </row>
    <row r="459" spans="2:10" x14ac:dyDescent="0.2">
      <c r="B459" s="1" t="s">
        <v>89</v>
      </c>
      <c r="C459" s="32">
        <v>3625</v>
      </c>
      <c r="D459" s="1">
        <v>18000</v>
      </c>
      <c r="E459" s="1"/>
      <c r="F459" s="1">
        <v>186.08</v>
      </c>
      <c r="G459" s="1">
        <v>18000</v>
      </c>
      <c r="H459" s="1">
        <f t="shared" si="10"/>
        <v>0</v>
      </c>
      <c r="I459" s="1"/>
      <c r="J459" s="1"/>
    </row>
    <row r="460" spans="2:10" x14ac:dyDescent="0.2">
      <c r="B460" s="1" t="s">
        <v>89</v>
      </c>
      <c r="C460" s="32">
        <v>2522</v>
      </c>
      <c r="D460" s="1">
        <v>34000</v>
      </c>
      <c r="E460" s="1"/>
      <c r="F460" s="1">
        <v>351.49</v>
      </c>
      <c r="G460" s="1">
        <v>34000</v>
      </c>
      <c r="H460" s="1">
        <f t="shared" si="10"/>
        <v>0</v>
      </c>
      <c r="I460" s="1"/>
      <c r="J460" s="1"/>
    </row>
    <row r="461" spans="2:10" x14ac:dyDescent="0.2">
      <c r="B461" s="1" t="s">
        <v>89</v>
      </c>
      <c r="C461" s="32">
        <v>8208</v>
      </c>
      <c r="D461" s="1">
        <v>15000</v>
      </c>
      <c r="E461" s="1"/>
      <c r="F461" s="1">
        <v>155.07</v>
      </c>
      <c r="G461" s="1">
        <v>15000</v>
      </c>
      <c r="H461" s="1">
        <f t="shared" si="10"/>
        <v>0</v>
      </c>
      <c r="I461" s="1"/>
      <c r="J461" s="1"/>
    </row>
    <row r="462" spans="2:10" x14ac:dyDescent="0.2">
      <c r="B462" s="1" t="s">
        <v>89</v>
      </c>
      <c r="C462" s="32">
        <v>5865</v>
      </c>
      <c r="D462" s="1">
        <v>32000</v>
      </c>
      <c r="E462" s="1"/>
      <c r="F462" s="1">
        <v>330.82</v>
      </c>
      <c r="G462" s="1">
        <v>32000</v>
      </c>
      <c r="H462" s="1">
        <f t="shared" si="10"/>
        <v>0</v>
      </c>
      <c r="I462" s="1"/>
      <c r="J462" s="1"/>
    </row>
    <row r="463" spans="2:10" x14ac:dyDescent="0.2">
      <c r="B463" s="1" t="s">
        <v>89</v>
      </c>
      <c r="C463" s="32">
        <v>2943</v>
      </c>
      <c r="D463" s="1">
        <v>34000</v>
      </c>
      <c r="E463" s="1"/>
      <c r="F463" s="1">
        <v>351.49</v>
      </c>
      <c r="G463" s="1">
        <v>34000</v>
      </c>
      <c r="H463" s="1">
        <f t="shared" si="10"/>
        <v>0</v>
      </c>
      <c r="I463" s="1"/>
      <c r="J463" s="1"/>
    </row>
    <row r="464" spans="2:10" x14ac:dyDescent="0.2">
      <c r="B464" s="1" t="s">
        <v>89</v>
      </c>
      <c r="C464" s="32">
        <v>9090</v>
      </c>
      <c r="D464" s="1">
        <v>12000</v>
      </c>
      <c r="E464" s="1"/>
      <c r="F464" s="1">
        <v>124.06</v>
      </c>
      <c r="G464" s="1">
        <v>12000</v>
      </c>
      <c r="H464" s="1">
        <f t="shared" si="10"/>
        <v>0</v>
      </c>
      <c r="I464" s="1"/>
      <c r="J464" s="1"/>
    </row>
    <row r="465" spans="2:14" x14ac:dyDescent="0.2">
      <c r="B465" s="1" t="s">
        <v>89</v>
      </c>
      <c r="C465" s="32">
        <v>9068</v>
      </c>
      <c r="D465" s="1">
        <v>50000</v>
      </c>
      <c r="E465" s="1"/>
      <c r="F465" s="1">
        <v>516.9</v>
      </c>
      <c r="G465" s="1">
        <v>50000</v>
      </c>
      <c r="H465" s="1">
        <f t="shared" si="10"/>
        <v>0</v>
      </c>
      <c r="I465" s="1"/>
      <c r="J465" s="1"/>
    </row>
    <row r="466" spans="2:14" ht="15" x14ac:dyDescent="0.25">
      <c r="B466" s="1" t="s">
        <v>89</v>
      </c>
      <c r="C466" s="32">
        <v>2189</v>
      </c>
      <c r="D466" s="1">
        <v>10000</v>
      </c>
      <c r="E466" s="1"/>
      <c r="F466" s="1">
        <v>103.38</v>
      </c>
      <c r="G466" s="1">
        <v>10000</v>
      </c>
      <c r="H466" s="1">
        <f t="shared" si="10"/>
        <v>0</v>
      </c>
      <c r="I466" s="1"/>
      <c r="J466" s="1"/>
      <c r="N466" s="45"/>
    </row>
    <row r="467" spans="2:14" ht="15" x14ac:dyDescent="0.25">
      <c r="B467" s="1"/>
      <c r="C467" s="20" t="s">
        <v>9</v>
      </c>
      <c r="D467" s="21">
        <f>SUM(D5:D466)</f>
        <v>9711554</v>
      </c>
      <c r="E467" s="22"/>
      <c r="F467" s="23">
        <f>SUM(F6:F466)</f>
        <v>79937.782968645915</v>
      </c>
      <c r="G467" s="21">
        <f>SUM(G5:G466)</f>
        <v>9711554</v>
      </c>
      <c r="H467" s="22"/>
      <c r="I467" s="24">
        <f>SUM(I6:I29)</f>
        <v>7700000</v>
      </c>
      <c r="J467" s="1"/>
      <c r="K467">
        <f>2000599-1997554</f>
        <v>3045</v>
      </c>
      <c r="L467" s="42" t="s">
        <v>108</v>
      </c>
      <c r="M467" s="42" t="s">
        <v>109</v>
      </c>
      <c r="N467" s="42" t="s">
        <v>110</v>
      </c>
    </row>
    <row r="468" spans="2:14" ht="15" x14ac:dyDescent="0.25">
      <c r="B468" s="1"/>
      <c r="C468" s="20" t="s">
        <v>10</v>
      </c>
      <c r="D468" s="25">
        <f>SUM(D467-I467)</f>
        <v>2011554</v>
      </c>
      <c r="E468" s="22"/>
      <c r="F468" s="22"/>
      <c r="G468" s="26" t="s">
        <v>10</v>
      </c>
      <c r="H468" s="25">
        <f>SUM(G467-I467)</f>
        <v>2011554</v>
      </c>
      <c r="I468" s="25"/>
      <c r="J468" s="1"/>
      <c r="K468" s="33" t="s">
        <v>103</v>
      </c>
      <c r="L468" s="42">
        <f>1997554+1253980-1700000</f>
        <v>1551534</v>
      </c>
      <c r="M468" s="42">
        <f>2000598+1253983-1701246</f>
        <v>1553335</v>
      </c>
      <c r="N468" s="42">
        <f>1553335-1551534</f>
        <v>1801</v>
      </c>
    </row>
    <row r="470" spans="2:14" ht="15" x14ac:dyDescent="0.25">
      <c r="C470" s="42"/>
      <c r="D470" s="42" t="s">
        <v>190</v>
      </c>
      <c r="E470" s="42"/>
      <c r="F470" s="42"/>
      <c r="G470" s="42"/>
    </row>
    <row r="471" spans="2:14" ht="15" x14ac:dyDescent="0.25">
      <c r="C471" s="42" t="s">
        <v>185</v>
      </c>
      <c r="D471" s="42"/>
      <c r="E471" s="42"/>
      <c r="F471" s="42" t="s">
        <v>186</v>
      </c>
      <c r="G471" s="42"/>
    </row>
    <row r="472" spans="2:14" ht="15" x14ac:dyDescent="0.25">
      <c r="C472" s="42" t="s">
        <v>184</v>
      </c>
      <c r="D472" s="42">
        <v>9711554</v>
      </c>
      <c r="E472" s="42"/>
      <c r="F472" s="42" t="s">
        <v>187</v>
      </c>
      <c r="G472" s="42">
        <v>9711555</v>
      </c>
      <c r="H472">
        <f>7698480+14000+1999075</f>
        <v>9711555</v>
      </c>
      <c r="I472">
        <f>9711555-7696956</f>
        <v>2014599</v>
      </c>
    </row>
    <row r="473" spans="2:14" ht="15" x14ac:dyDescent="0.25">
      <c r="C473" s="42" t="s">
        <v>143</v>
      </c>
      <c r="D473" s="42">
        <v>7700000</v>
      </c>
      <c r="E473" s="42"/>
      <c r="F473" s="42" t="s">
        <v>191</v>
      </c>
      <c r="G473" s="42">
        <v>7696956</v>
      </c>
      <c r="I473">
        <f>2014599-2011554</f>
        <v>3045</v>
      </c>
      <c r="L473">
        <f>7698480+1999075</f>
        <v>9697555</v>
      </c>
      <c r="M473">
        <f>9711554-9697555</f>
        <v>13999</v>
      </c>
    </row>
    <row r="474" spans="2:14" ht="15" x14ac:dyDescent="0.25">
      <c r="C474" s="42"/>
      <c r="D474" s="42"/>
      <c r="E474" s="42"/>
      <c r="F474" s="42"/>
      <c r="G474" s="42"/>
      <c r="L474">
        <f>7698480+1999075</f>
        <v>9697555</v>
      </c>
    </row>
    <row r="475" spans="2:14" ht="15" x14ac:dyDescent="0.25">
      <c r="C475" s="89" t="s">
        <v>95</v>
      </c>
      <c r="D475" s="89">
        <f>9711554-7700000</f>
        <v>2011554</v>
      </c>
      <c r="E475" s="89"/>
      <c r="F475" s="89" t="s">
        <v>95</v>
      </c>
      <c r="G475" s="89">
        <f>9711555-7696956</f>
        <v>2014599</v>
      </c>
    </row>
    <row r="476" spans="2:14" ht="15" x14ac:dyDescent="0.25">
      <c r="F476" s="89" t="s">
        <v>192</v>
      </c>
      <c r="G476" s="89">
        <f>2014599-2011554</f>
        <v>3045</v>
      </c>
      <c r="H476" s="45" t="s">
        <v>193</v>
      </c>
      <c r="I476" s="45"/>
    </row>
  </sheetData>
  <mergeCells count="1">
    <mergeCell ref="D2:G2"/>
  </mergeCells>
  <pageMargins left="0.7" right="0.7" top="0.75" bottom="0.17" header="0.3" footer="0.3"/>
  <pageSetup scale="9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4"/>
  <sheetViews>
    <sheetView workbookViewId="0">
      <selection activeCell="D11" sqref="D11"/>
    </sheetView>
  </sheetViews>
  <sheetFormatPr defaultRowHeight="14.25" x14ac:dyDescent="0.2"/>
  <cols>
    <col min="1" max="1" width="7.375" style="728" bestFit="1" customWidth="1"/>
    <col min="2" max="2" width="12.125" style="699" customWidth="1"/>
    <col min="3" max="3" width="16.375" style="699" customWidth="1"/>
    <col min="4" max="4" width="13.625" style="699" customWidth="1"/>
    <col min="5" max="5" width="11" style="699" bestFit="1" customWidth="1"/>
    <col min="6" max="6" width="12.375" style="699" bestFit="1" customWidth="1"/>
    <col min="7" max="7" width="13" style="699" bestFit="1" customWidth="1"/>
    <col min="8" max="8" width="14.125" style="699" customWidth="1"/>
    <col min="9" max="10" width="9" style="699"/>
    <col min="11" max="11" width="23" style="699" bestFit="1" customWidth="1"/>
    <col min="12" max="16384" width="9" style="699"/>
  </cols>
  <sheetData>
    <row r="2" spans="1:17" ht="21" x14ac:dyDescent="0.35">
      <c r="B2" s="510"/>
      <c r="C2" s="510"/>
      <c r="D2" s="419" t="s">
        <v>772</v>
      </c>
      <c r="E2" s="419"/>
      <c r="F2" s="419"/>
      <c r="G2" s="510"/>
      <c r="H2" s="510"/>
    </row>
    <row r="3" spans="1:17" ht="15" x14ac:dyDescent="0.25">
      <c r="B3" s="510"/>
      <c r="C3" s="510"/>
      <c r="D3" s="511"/>
      <c r="E3" s="682">
        <v>45413</v>
      </c>
      <c r="F3" s="512"/>
      <c r="G3" s="510"/>
      <c r="H3" s="510"/>
    </row>
    <row r="4" spans="1:17" ht="15.75" x14ac:dyDescent="0.25">
      <c r="A4" s="729" t="s">
        <v>2958</v>
      </c>
      <c r="B4" s="30" t="s">
        <v>2</v>
      </c>
      <c r="C4" s="30" t="s">
        <v>97</v>
      </c>
      <c r="D4" s="30" t="s">
        <v>4</v>
      </c>
      <c r="E4" s="30" t="s">
        <v>5</v>
      </c>
      <c r="F4" s="30" t="s">
        <v>4</v>
      </c>
      <c r="G4" s="30" t="s">
        <v>98</v>
      </c>
      <c r="H4" s="417" t="s">
        <v>8</v>
      </c>
    </row>
    <row r="5" spans="1:17" ht="15.75" x14ac:dyDescent="0.25">
      <c r="B5" s="108" t="s">
        <v>2197</v>
      </c>
      <c r="C5" s="162" t="s">
        <v>374</v>
      </c>
      <c r="D5" s="210">
        <v>2550994</v>
      </c>
      <c r="E5" s="162"/>
      <c r="F5" s="210">
        <v>2550994</v>
      </c>
      <c r="G5" s="30"/>
      <c r="H5" s="688"/>
      <c r="I5" s="693"/>
      <c r="J5" s="692"/>
      <c r="K5" s="87" t="s">
        <v>2797</v>
      </c>
      <c r="L5" s="692"/>
      <c r="M5" s="692"/>
      <c r="N5" s="692"/>
      <c r="O5" s="692"/>
      <c r="P5" s="692"/>
      <c r="Q5" s="692"/>
    </row>
    <row r="6" spans="1:17" ht="15.75" x14ac:dyDescent="0.25">
      <c r="A6" s="728">
        <f>D6/E6</f>
        <v>88.028169014084511</v>
      </c>
      <c r="B6" s="87" t="s">
        <v>2217</v>
      </c>
      <c r="C6" s="553" t="s">
        <v>2218</v>
      </c>
      <c r="D6" s="563">
        <v>25000</v>
      </c>
      <c r="E6" s="573">
        <v>284</v>
      </c>
      <c r="F6" s="563">
        <v>25000</v>
      </c>
      <c r="G6" s="87">
        <f t="shared" ref="G6:G69" si="0">D6-F6</f>
        <v>0</v>
      </c>
      <c r="H6" s="509">
        <v>400000</v>
      </c>
      <c r="I6" s="525" t="s">
        <v>2798</v>
      </c>
      <c r="J6" s="692"/>
      <c r="K6" s="710">
        <v>400000</v>
      </c>
      <c r="M6" s="692"/>
      <c r="N6" s="692"/>
      <c r="O6" s="692"/>
      <c r="P6" s="692"/>
      <c r="Q6" s="692"/>
    </row>
    <row r="7" spans="1:17" ht="15.75" x14ac:dyDescent="0.25">
      <c r="A7" s="728">
        <f t="shared" ref="A7:A70" si="1">D7/E7</f>
        <v>88.235294117647058</v>
      </c>
      <c r="B7" s="87" t="s">
        <v>2217</v>
      </c>
      <c r="C7" s="553" t="s">
        <v>17</v>
      </c>
      <c r="D7" s="563">
        <v>3000</v>
      </c>
      <c r="E7" s="573">
        <v>34</v>
      </c>
      <c r="F7" s="563">
        <v>3000</v>
      </c>
      <c r="G7" s="87">
        <f>D7-F7</f>
        <v>0</v>
      </c>
      <c r="H7" s="509">
        <v>500000</v>
      </c>
      <c r="I7" s="525" t="s">
        <v>2799</v>
      </c>
      <c r="J7" s="692"/>
      <c r="K7" s="710">
        <v>500000</v>
      </c>
      <c r="M7" s="692"/>
      <c r="N7" s="692"/>
      <c r="O7" s="692"/>
      <c r="P7" s="692"/>
      <c r="Q7" s="692"/>
    </row>
    <row r="8" spans="1:17" ht="15.75" x14ac:dyDescent="0.25">
      <c r="A8" s="728">
        <f t="shared" si="1"/>
        <v>91.911764705882348</v>
      </c>
      <c r="B8" s="87" t="s">
        <v>2217</v>
      </c>
      <c r="C8" s="554" t="s">
        <v>2219</v>
      </c>
      <c r="D8" s="563">
        <v>25000</v>
      </c>
      <c r="E8" s="573">
        <v>272</v>
      </c>
      <c r="F8" s="563">
        <v>25000</v>
      </c>
      <c r="G8" s="87">
        <f t="shared" si="0"/>
        <v>0</v>
      </c>
      <c r="H8" s="509">
        <v>400000</v>
      </c>
      <c r="I8" s="525" t="s">
        <v>2800</v>
      </c>
      <c r="J8" s="692"/>
      <c r="K8" s="710">
        <v>400000</v>
      </c>
      <c r="M8" s="692"/>
      <c r="N8" s="692"/>
      <c r="O8" s="692"/>
      <c r="P8" s="692"/>
      <c r="Q8" s="692"/>
    </row>
    <row r="9" spans="1:17" ht="15.75" x14ac:dyDescent="0.25">
      <c r="A9" s="728">
        <f t="shared" si="1"/>
        <v>88.105726872246692</v>
      </c>
      <c r="B9" s="87" t="s">
        <v>2217</v>
      </c>
      <c r="C9" s="553" t="s">
        <v>2220</v>
      </c>
      <c r="D9" s="563">
        <v>20000</v>
      </c>
      <c r="E9" s="573">
        <v>227</v>
      </c>
      <c r="F9" s="563">
        <v>20000</v>
      </c>
      <c r="G9" s="87">
        <f t="shared" si="0"/>
        <v>0</v>
      </c>
      <c r="H9" s="509">
        <v>300000</v>
      </c>
      <c r="I9" s="525" t="s">
        <v>2800</v>
      </c>
      <c r="J9" s="692"/>
      <c r="K9" s="710">
        <v>300000</v>
      </c>
      <c r="M9" s="692"/>
      <c r="N9" s="692"/>
      <c r="O9" s="692"/>
      <c r="P9" s="692"/>
      <c r="Q9" s="692"/>
    </row>
    <row r="10" spans="1:17" ht="15.75" x14ac:dyDescent="0.25">
      <c r="A10" s="728">
        <f t="shared" si="1"/>
        <v>88.028169014084511</v>
      </c>
      <c r="B10" s="87" t="s">
        <v>2217</v>
      </c>
      <c r="C10" s="554" t="s">
        <v>2221</v>
      </c>
      <c r="D10" s="563">
        <v>25000</v>
      </c>
      <c r="E10" s="573">
        <v>284</v>
      </c>
      <c r="F10" s="563">
        <v>25000</v>
      </c>
      <c r="G10" s="87">
        <f t="shared" si="0"/>
        <v>0</v>
      </c>
      <c r="H10" s="509">
        <v>1000000</v>
      </c>
      <c r="I10" s="525" t="s">
        <v>2801</v>
      </c>
      <c r="J10" s="692"/>
      <c r="K10" s="710">
        <v>1000000</v>
      </c>
      <c r="M10" s="692"/>
      <c r="N10" s="692"/>
      <c r="O10" s="692"/>
      <c r="P10" s="692"/>
      <c r="Q10" s="692"/>
    </row>
    <row r="11" spans="1:17" ht="15.75" x14ac:dyDescent="0.25">
      <c r="A11" s="728">
        <f t="shared" si="1"/>
        <v>88.028169014084511</v>
      </c>
      <c r="B11" s="87" t="s">
        <v>2217</v>
      </c>
      <c r="C11" s="553" t="s">
        <v>2222</v>
      </c>
      <c r="D11" s="563">
        <v>25000</v>
      </c>
      <c r="E11" s="573">
        <v>284</v>
      </c>
      <c r="F11" s="563">
        <v>25000</v>
      </c>
      <c r="G11" s="87">
        <f t="shared" si="0"/>
        <v>0</v>
      </c>
      <c r="H11" s="509">
        <v>200000</v>
      </c>
      <c r="I11" s="525" t="s">
        <v>2802</v>
      </c>
      <c r="J11" s="692"/>
      <c r="K11" s="710">
        <v>200000</v>
      </c>
      <c r="M11" s="692"/>
      <c r="N11" s="692"/>
      <c r="O11" s="692"/>
      <c r="P11" s="692"/>
      <c r="Q11" s="692"/>
    </row>
    <row r="12" spans="1:17" ht="15.75" x14ac:dyDescent="0.25">
      <c r="A12" s="728">
        <f t="shared" si="1"/>
        <v>92.10526315789474</v>
      </c>
      <c r="B12" s="87" t="s">
        <v>2217</v>
      </c>
      <c r="C12" s="553" t="s">
        <v>2145</v>
      </c>
      <c r="D12" s="563">
        <v>21000</v>
      </c>
      <c r="E12" s="573">
        <v>228</v>
      </c>
      <c r="F12" s="563">
        <v>21000</v>
      </c>
      <c r="G12" s="87">
        <f t="shared" si="0"/>
        <v>0</v>
      </c>
      <c r="H12" s="509">
        <v>500000</v>
      </c>
      <c r="I12" s="525" t="s">
        <v>2805</v>
      </c>
      <c r="J12" s="692"/>
      <c r="K12" s="710">
        <v>500000</v>
      </c>
      <c r="M12" s="692"/>
      <c r="N12" s="692"/>
      <c r="O12" s="692"/>
      <c r="P12" s="692"/>
      <c r="Q12" s="692"/>
    </row>
    <row r="13" spans="1:17" ht="15.75" x14ac:dyDescent="0.25">
      <c r="A13" s="728">
        <f t="shared" si="1"/>
        <v>88.105726872246692</v>
      </c>
      <c r="B13" s="87" t="s">
        <v>2217</v>
      </c>
      <c r="C13" s="553" t="s">
        <v>2223</v>
      </c>
      <c r="D13" s="563">
        <v>20000</v>
      </c>
      <c r="E13" s="573">
        <v>227</v>
      </c>
      <c r="F13" s="563">
        <v>20000</v>
      </c>
      <c r="G13" s="87">
        <f t="shared" si="0"/>
        <v>0</v>
      </c>
      <c r="H13" s="509">
        <v>500000</v>
      </c>
      <c r="I13" s="525" t="s">
        <v>2806</v>
      </c>
      <c r="J13" s="692"/>
      <c r="K13" s="710">
        <v>500000</v>
      </c>
      <c r="M13" s="692"/>
      <c r="N13" s="692"/>
      <c r="O13" s="692"/>
      <c r="P13" s="692"/>
      <c r="Q13" s="692"/>
    </row>
    <row r="14" spans="1:17" ht="15.75" x14ac:dyDescent="0.25">
      <c r="A14" s="728">
        <f t="shared" si="1"/>
        <v>96.153846153846146</v>
      </c>
      <c r="B14" s="87" t="s">
        <v>2217</v>
      </c>
      <c r="C14" s="553" t="s">
        <v>66</v>
      </c>
      <c r="D14" s="563">
        <v>100</v>
      </c>
      <c r="E14" s="573">
        <v>1.04</v>
      </c>
      <c r="F14" s="563">
        <v>100</v>
      </c>
      <c r="G14" s="87">
        <f t="shared" si="0"/>
        <v>0</v>
      </c>
      <c r="H14" s="509">
        <v>500000</v>
      </c>
      <c r="I14" s="525" t="s">
        <v>2807</v>
      </c>
      <c r="J14" s="692"/>
      <c r="K14" s="710">
        <v>500000</v>
      </c>
      <c r="M14" s="692"/>
      <c r="N14" s="692"/>
      <c r="O14" s="692"/>
      <c r="P14" s="692"/>
      <c r="Q14" s="692"/>
    </row>
    <row r="15" spans="1:17" ht="15.75" x14ac:dyDescent="0.25">
      <c r="A15" s="728">
        <f t="shared" si="1"/>
        <v>88.028169014084511</v>
      </c>
      <c r="B15" s="87" t="s">
        <v>2217</v>
      </c>
      <c r="C15" s="555" t="s">
        <v>2224</v>
      </c>
      <c r="D15" s="563">
        <v>25000</v>
      </c>
      <c r="E15" s="573">
        <v>284</v>
      </c>
      <c r="F15" s="563">
        <v>25000</v>
      </c>
      <c r="G15" s="87">
        <f t="shared" si="0"/>
        <v>0</v>
      </c>
      <c r="H15" s="509">
        <v>500000</v>
      </c>
      <c r="I15" s="525" t="s">
        <v>2808</v>
      </c>
      <c r="J15" s="692"/>
      <c r="K15" s="710">
        <v>500000</v>
      </c>
      <c r="M15" s="692"/>
      <c r="N15" s="692"/>
      <c r="O15" s="692"/>
      <c r="P15" s="692"/>
      <c r="Q15" s="692"/>
    </row>
    <row r="16" spans="1:17" ht="15.75" x14ac:dyDescent="0.25">
      <c r="A16" s="728">
        <f t="shared" si="1"/>
        <v>88.028169014084511</v>
      </c>
      <c r="B16" s="87" t="s">
        <v>2217</v>
      </c>
      <c r="C16" s="555" t="s">
        <v>2225</v>
      </c>
      <c r="D16" s="563">
        <v>25000</v>
      </c>
      <c r="E16" s="573">
        <v>284</v>
      </c>
      <c r="F16" s="563">
        <v>25000</v>
      </c>
      <c r="G16" s="87">
        <f t="shared" si="0"/>
        <v>0</v>
      </c>
      <c r="H16" s="509">
        <v>1200000</v>
      </c>
      <c r="I16" s="525" t="s">
        <v>2809</v>
      </c>
      <c r="J16" s="692"/>
      <c r="K16" s="710">
        <v>1200000</v>
      </c>
      <c r="M16" s="692"/>
      <c r="N16" s="692"/>
      <c r="O16" s="692"/>
      <c r="P16" s="692"/>
      <c r="Q16" s="692"/>
    </row>
    <row r="17" spans="1:17" ht="15.75" x14ac:dyDescent="0.25">
      <c r="A17" s="728">
        <f t="shared" si="1"/>
        <v>88.028169014084511</v>
      </c>
      <c r="B17" s="87" t="s">
        <v>2217</v>
      </c>
      <c r="C17" s="555" t="s">
        <v>2226</v>
      </c>
      <c r="D17" s="563">
        <v>25000</v>
      </c>
      <c r="E17" s="573">
        <v>284</v>
      </c>
      <c r="F17" s="563">
        <v>25000</v>
      </c>
      <c r="G17" s="87">
        <f t="shared" si="0"/>
        <v>0</v>
      </c>
      <c r="H17" s="509">
        <v>400000</v>
      </c>
      <c r="I17" s="525" t="s">
        <v>2810</v>
      </c>
      <c r="J17" s="692"/>
      <c r="K17" s="710">
        <v>400000</v>
      </c>
      <c r="M17" s="692"/>
      <c r="N17" s="692"/>
      <c r="O17" s="692"/>
      <c r="P17" s="692"/>
      <c r="Q17" s="692"/>
    </row>
    <row r="18" spans="1:17" ht="15.75" x14ac:dyDescent="0.25">
      <c r="A18" s="728">
        <f t="shared" si="1"/>
        <v>88.028169014084511</v>
      </c>
      <c r="B18" s="87" t="s">
        <v>2217</v>
      </c>
      <c r="C18" s="555" t="s">
        <v>2227</v>
      </c>
      <c r="D18" s="563">
        <v>25000</v>
      </c>
      <c r="E18" s="573">
        <v>284</v>
      </c>
      <c r="F18" s="563">
        <v>25000</v>
      </c>
      <c r="G18" s="87">
        <f t="shared" si="0"/>
        <v>0</v>
      </c>
      <c r="H18" s="509">
        <v>600000</v>
      </c>
      <c r="I18" s="525" t="s">
        <v>2811</v>
      </c>
      <c r="J18" s="692"/>
      <c r="K18" s="710">
        <v>300000</v>
      </c>
      <c r="M18" s="692"/>
      <c r="N18" s="692"/>
      <c r="O18" s="692"/>
      <c r="P18" s="692"/>
      <c r="Q18" s="692"/>
    </row>
    <row r="19" spans="1:17" ht="15.75" x14ac:dyDescent="0.25">
      <c r="A19" s="728">
        <f t="shared" si="1"/>
        <v>88.495575221238937</v>
      </c>
      <c r="B19" s="87" t="s">
        <v>2217</v>
      </c>
      <c r="C19" s="555" t="s">
        <v>2178</v>
      </c>
      <c r="D19" s="563">
        <v>10000</v>
      </c>
      <c r="E19" s="573">
        <v>113</v>
      </c>
      <c r="F19" s="563">
        <v>10000</v>
      </c>
      <c r="G19" s="87">
        <f t="shared" si="0"/>
        <v>0</v>
      </c>
      <c r="H19" s="509">
        <v>400000</v>
      </c>
      <c r="I19" s="525" t="s">
        <v>2812</v>
      </c>
      <c r="J19" s="692"/>
      <c r="K19" s="710">
        <v>182977</v>
      </c>
      <c r="M19" s="692"/>
      <c r="N19" s="692"/>
      <c r="O19" s="692"/>
      <c r="P19" s="692"/>
      <c r="Q19" s="692"/>
    </row>
    <row r="20" spans="1:17" ht="15.75" x14ac:dyDescent="0.25">
      <c r="A20" s="728">
        <f t="shared" si="1"/>
        <v>88.495575221238937</v>
      </c>
      <c r="B20" s="87" t="s">
        <v>2217</v>
      </c>
      <c r="C20" s="555" t="s">
        <v>2228</v>
      </c>
      <c r="D20" s="563">
        <v>10000</v>
      </c>
      <c r="E20" s="573">
        <v>113</v>
      </c>
      <c r="F20" s="563">
        <v>10000</v>
      </c>
      <c r="G20" s="87">
        <f t="shared" si="0"/>
        <v>0</v>
      </c>
      <c r="H20" s="509">
        <v>500000</v>
      </c>
      <c r="I20" s="525" t="s">
        <v>2813</v>
      </c>
      <c r="J20" s="692"/>
      <c r="K20" s="710">
        <v>117023</v>
      </c>
      <c r="M20" s="692"/>
      <c r="N20" s="692"/>
      <c r="O20" s="692"/>
      <c r="P20" s="692"/>
      <c r="Q20" s="692"/>
    </row>
    <row r="21" spans="1:17" ht="15.75" x14ac:dyDescent="0.25">
      <c r="A21" s="728">
        <f t="shared" si="1"/>
        <v>88.495575221238937</v>
      </c>
      <c r="B21" s="87" t="s">
        <v>2217</v>
      </c>
      <c r="C21" s="555" t="s">
        <v>2229</v>
      </c>
      <c r="D21" s="563">
        <v>10000</v>
      </c>
      <c r="E21" s="573">
        <v>113</v>
      </c>
      <c r="F21" s="563">
        <v>10000</v>
      </c>
      <c r="G21" s="87">
        <f t="shared" si="0"/>
        <v>0</v>
      </c>
      <c r="H21" s="509">
        <v>300000</v>
      </c>
      <c r="I21" s="525" t="s">
        <v>2814</v>
      </c>
      <c r="J21" s="692"/>
      <c r="K21" s="710">
        <v>200000</v>
      </c>
      <c r="M21" s="692"/>
      <c r="N21" s="692"/>
      <c r="O21" s="692"/>
      <c r="P21" s="692"/>
      <c r="Q21" s="692"/>
    </row>
    <row r="22" spans="1:17" ht="15.75" x14ac:dyDescent="0.25">
      <c r="A22" s="728">
        <f t="shared" si="1"/>
        <v>87.912087912087912</v>
      </c>
      <c r="B22" s="87" t="s">
        <v>2217</v>
      </c>
      <c r="C22" s="555" t="s">
        <v>2002</v>
      </c>
      <c r="D22" s="563">
        <v>16000</v>
      </c>
      <c r="E22" s="573">
        <v>182</v>
      </c>
      <c r="F22" s="563">
        <v>16000</v>
      </c>
      <c r="G22" s="87">
        <f t="shared" si="0"/>
        <v>0</v>
      </c>
      <c r="H22" s="509">
        <v>300000</v>
      </c>
      <c r="I22" s="525" t="s">
        <v>2815</v>
      </c>
      <c r="J22" s="692"/>
      <c r="K22" s="710">
        <v>400000</v>
      </c>
      <c r="M22" s="692"/>
      <c r="N22" s="692"/>
      <c r="O22" s="692"/>
      <c r="P22" s="692"/>
      <c r="Q22" s="692"/>
    </row>
    <row r="23" spans="1:17" ht="15.75" x14ac:dyDescent="0.25">
      <c r="A23" s="728">
        <f t="shared" si="1"/>
        <v>95.238095238095241</v>
      </c>
      <c r="B23" s="87" t="s">
        <v>2217</v>
      </c>
      <c r="C23" s="555" t="s">
        <v>1848</v>
      </c>
      <c r="D23" s="563">
        <v>16000</v>
      </c>
      <c r="E23" s="573">
        <v>168</v>
      </c>
      <c r="F23" s="563">
        <v>16000</v>
      </c>
      <c r="G23" s="87">
        <f t="shared" si="0"/>
        <v>0</v>
      </c>
      <c r="H23" s="509">
        <v>600000</v>
      </c>
      <c r="I23" s="525" t="s">
        <v>2816</v>
      </c>
      <c r="J23" s="692"/>
      <c r="K23" s="710">
        <v>300000</v>
      </c>
      <c r="M23" s="692"/>
      <c r="N23" s="692"/>
      <c r="O23" s="692"/>
      <c r="P23" s="692"/>
      <c r="Q23" s="692"/>
    </row>
    <row r="24" spans="1:17" ht="15.75" x14ac:dyDescent="0.25">
      <c r="A24" s="728">
        <f t="shared" si="1"/>
        <v>87.912087912087912</v>
      </c>
      <c r="B24" s="87" t="s">
        <v>2217</v>
      </c>
      <c r="C24" s="555" t="s">
        <v>2230</v>
      </c>
      <c r="D24" s="563">
        <v>16000</v>
      </c>
      <c r="E24" s="573">
        <v>182</v>
      </c>
      <c r="F24" s="563">
        <v>16000</v>
      </c>
      <c r="G24" s="87">
        <f t="shared" si="0"/>
        <v>0</v>
      </c>
      <c r="H24" s="509">
        <v>400000</v>
      </c>
      <c r="I24" s="525" t="s">
        <v>2817</v>
      </c>
      <c r="J24" s="692"/>
      <c r="K24" s="710">
        <v>300000</v>
      </c>
      <c r="M24" s="692"/>
      <c r="N24" s="692"/>
      <c r="O24" s="692"/>
      <c r="P24" s="692"/>
      <c r="Q24" s="692"/>
    </row>
    <row r="25" spans="1:17" ht="15.75" x14ac:dyDescent="0.25">
      <c r="A25" s="728">
        <f t="shared" si="1"/>
        <v>87.912087912087912</v>
      </c>
      <c r="B25" s="87" t="s">
        <v>2217</v>
      </c>
      <c r="C25" s="555" t="s">
        <v>2025</v>
      </c>
      <c r="D25" s="563">
        <v>16000</v>
      </c>
      <c r="E25" s="573">
        <v>182</v>
      </c>
      <c r="F25" s="563">
        <v>16000</v>
      </c>
      <c r="G25" s="87">
        <f t="shared" si="0"/>
        <v>0</v>
      </c>
      <c r="H25" s="509">
        <v>400000</v>
      </c>
      <c r="I25" s="525" t="s">
        <v>2818</v>
      </c>
      <c r="J25" s="692"/>
      <c r="K25" s="710">
        <v>230000</v>
      </c>
      <c r="M25" s="692"/>
      <c r="N25" s="692"/>
      <c r="O25" s="692"/>
      <c r="P25" s="692"/>
      <c r="Q25" s="692"/>
    </row>
    <row r="26" spans="1:17" ht="15.75" x14ac:dyDescent="0.25">
      <c r="A26" s="728">
        <f t="shared" si="1"/>
        <v>88.105726872246692</v>
      </c>
      <c r="B26" s="87" t="s">
        <v>2217</v>
      </c>
      <c r="C26" s="555" t="s">
        <v>2231</v>
      </c>
      <c r="D26" s="563">
        <v>20000</v>
      </c>
      <c r="E26" s="573">
        <v>227</v>
      </c>
      <c r="F26" s="563">
        <v>20000</v>
      </c>
      <c r="G26" s="87">
        <f t="shared" si="0"/>
        <v>0</v>
      </c>
      <c r="H26" s="509">
        <v>300000</v>
      </c>
      <c r="I26" s="525" t="s">
        <v>2819</v>
      </c>
      <c r="J26" s="692"/>
      <c r="K26" s="710">
        <v>190000</v>
      </c>
      <c r="M26" s="692"/>
      <c r="N26" s="692"/>
      <c r="O26" s="692"/>
      <c r="P26" s="692"/>
      <c r="Q26" s="692"/>
    </row>
    <row r="27" spans="1:17" ht="15.75" x14ac:dyDescent="0.25">
      <c r="A27" s="728">
        <f t="shared" si="1"/>
        <v>88.105726872246692</v>
      </c>
      <c r="B27" s="87" t="s">
        <v>2217</v>
      </c>
      <c r="C27" s="555" t="s">
        <v>2232</v>
      </c>
      <c r="D27" s="563">
        <v>20000</v>
      </c>
      <c r="E27" s="573">
        <v>227</v>
      </c>
      <c r="F27" s="563">
        <v>20000</v>
      </c>
      <c r="G27" s="87">
        <f t="shared" si="0"/>
        <v>0</v>
      </c>
      <c r="H27" s="509">
        <v>700000</v>
      </c>
      <c r="I27" s="525" t="s">
        <v>2820</v>
      </c>
      <c r="J27" s="692"/>
      <c r="K27" s="710">
        <v>70000</v>
      </c>
      <c r="M27" s="692"/>
      <c r="N27" s="692"/>
      <c r="O27" s="692"/>
      <c r="P27" s="692"/>
      <c r="Q27" s="692"/>
    </row>
    <row r="28" spans="1:17" ht="15.75" x14ac:dyDescent="0.25">
      <c r="A28" s="728">
        <f t="shared" si="1"/>
        <v>93.023255813953483</v>
      </c>
      <c r="B28" s="87" t="s">
        <v>2217</v>
      </c>
      <c r="C28" s="555" t="s">
        <v>2233</v>
      </c>
      <c r="D28" s="563">
        <v>20000</v>
      </c>
      <c r="E28" s="573">
        <v>215</v>
      </c>
      <c r="F28" s="563">
        <v>20000</v>
      </c>
      <c r="G28" s="87">
        <f t="shared" si="0"/>
        <v>0</v>
      </c>
      <c r="H28" s="509">
        <v>400000</v>
      </c>
      <c r="I28" s="525" t="s">
        <v>2821</v>
      </c>
      <c r="J28" s="692"/>
      <c r="K28" s="710">
        <v>360000</v>
      </c>
      <c r="M28" s="692"/>
      <c r="N28" s="692"/>
      <c r="O28" s="692"/>
      <c r="P28" s="692"/>
      <c r="Q28" s="692"/>
    </row>
    <row r="29" spans="1:17" ht="15.75" x14ac:dyDescent="0.25">
      <c r="A29" s="728">
        <f t="shared" si="1"/>
        <v>91.463414634146346</v>
      </c>
      <c r="B29" s="87" t="s">
        <v>2217</v>
      </c>
      <c r="C29" s="555" t="s">
        <v>2234</v>
      </c>
      <c r="D29" s="563">
        <v>15000</v>
      </c>
      <c r="E29" s="573">
        <v>164</v>
      </c>
      <c r="F29" s="563">
        <v>15000</v>
      </c>
      <c r="G29" s="87">
        <f t="shared" si="0"/>
        <v>0</v>
      </c>
      <c r="H29" s="509">
        <v>700000</v>
      </c>
      <c r="I29" s="525" t="s">
        <v>2822</v>
      </c>
      <c r="J29" s="692"/>
      <c r="K29" s="710">
        <v>180000</v>
      </c>
      <c r="M29" s="692"/>
      <c r="N29" s="692"/>
      <c r="O29" s="692"/>
      <c r="P29" s="692"/>
      <c r="Q29" s="692"/>
    </row>
    <row r="30" spans="1:17" ht="15.75" x14ac:dyDescent="0.25">
      <c r="A30" s="728">
        <f t="shared" si="1"/>
        <v>88.235294117647058</v>
      </c>
      <c r="B30" s="87" t="s">
        <v>2217</v>
      </c>
      <c r="C30" s="555" t="s">
        <v>2235</v>
      </c>
      <c r="D30" s="563">
        <v>15000</v>
      </c>
      <c r="E30" s="573">
        <v>170</v>
      </c>
      <c r="F30" s="563">
        <v>15000</v>
      </c>
      <c r="G30" s="87">
        <f t="shared" si="0"/>
        <v>0</v>
      </c>
      <c r="H30" s="509">
        <v>300000</v>
      </c>
      <c r="I30" s="525" t="s">
        <v>2823</v>
      </c>
      <c r="J30" s="692"/>
      <c r="K30" s="710">
        <v>400000</v>
      </c>
      <c r="M30" s="692"/>
      <c r="N30" s="692"/>
      <c r="O30" s="692"/>
      <c r="P30" s="692"/>
      <c r="Q30" s="692"/>
    </row>
    <row r="31" spans="1:17" ht="15.75" x14ac:dyDescent="0.25">
      <c r="A31" s="728">
        <f t="shared" si="1"/>
        <v>94.26229508196721</v>
      </c>
      <c r="B31" s="87" t="s">
        <v>2217</v>
      </c>
      <c r="C31" s="555" t="s">
        <v>2134</v>
      </c>
      <c r="D31" s="563">
        <v>23000</v>
      </c>
      <c r="E31" s="573">
        <v>244</v>
      </c>
      <c r="F31" s="563">
        <v>23000</v>
      </c>
      <c r="G31" s="87">
        <f t="shared" si="0"/>
        <v>0</v>
      </c>
      <c r="H31" s="509"/>
      <c r="I31" s="525"/>
      <c r="J31" s="692"/>
      <c r="K31" s="710">
        <v>430000</v>
      </c>
      <c r="M31" s="692"/>
      <c r="N31" s="692"/>
      <c r="O31" s="692"/>
      <c r="P31" s="692"/>
      <c r="Q31" s="692"/>
    </row>
    <row r="32" spans="1:17" ht="15.75" x14ac:dyDescent="0.25">
      <c r="A32" s="728">
        <f t="shared" si="1"/>
        <v>87.888198757763973</v>
      </c>
      <c r="B32" s="87" t="s">
        <v>2217</v>
      </c>
      <c r="C32" s="555" t="s">
        <v>2236</v>
      </c>
      <c r="D32" s="563">
        <v>28300</v>
      </c>
      <c r="E32" s="573">
        <v>322</v>
      </c>
      <c r="F32" s="563">
        <v>28300</v>
      </c>
      <c r="G32" s="87">
        <f t="shared" si="0"/>
        <v>0</v>
      </c>
      <c r="H32" s="509"/>
      <c r="I32" s="525"/>
      <c r="J32" s="692"/>
      <c r="K32" s="710">
        <v>150000</v>
      </c>
      <c r="M32" s="692"/>
      <c r="N32" s="692"/>
      <c r="O32" s="692"/>
      <c r="P32" s="692"/>
      <c r="Q32" s="692"/>
    </row>
    <row r="33" spans="1:17" ht="15.75" x14ac:dyDescent="0.25">
      <c r="A33" s="728">
        <f t="shared" si="1"/>
        <v>88.495575221238937</v>
      </c>
      <c r="B33" s="87" t="s">
        <v>2217</v>
      </c>
      <c r="C33" s="555" t="s">
        <v>2179</v>
      </c>
      <c r="D33" s="563">
        <v>10000</v>
      </c>
      <c r="E33" s="573">
        <v>113</v>
      </c>
      <c r="F33" s="563">
        <v>10000</v>
      </c>
      <c r="G33" s="87">
        <f t="shared" si="0"/>
        <v>0</v>
      </c>
      <c r="H33" s="689"/>
      <c r="I33" s="693"/>
      <c r="J33" s="692"/>
      <c r="K33" s="710">
        <v>700000</v>
      </c>
      <c r="M33" s="692"/>
      <c r="N33" s="692"/>
      <c r="O33" s="692"/>
      <c r="P33" s="692"/>
      <c r="Q33" s="692"/>
    </row>
    <row r="34" spans="1:17" ht="15.75" x14ac:dyDescent="0.25">
      <c r="A34" s="728">
        <f t="shared" si="1"/>
        <v>106.51048951048951</v>
      </c>
      <c r="B34" s="87" t="s">
        <v>2237</v>
      </c>
      <c r="C34" s="555" t="s">
        <v>2239</v>
      </c>
      <c r="D34" s="563">
        <v>15231</v>
      </c>
      <c r="E34" s="573">
        <v>143</v>
      </c>
      <c r="F34" s="563">
        <v>15231</v>
      </c>
      <c r="G34" s="87">
        <f t="shared" si="0"/>
        <v>0</v>
      </c>
      <c r="H34" s="689"/>
      <c r="I34" s="693"/>
      <c r="J34" s="692"/>
      <c r="K34" s="710">
        <v>400000</v>
      </c>
      <c r="M34" s="692"/>
      <c r="N34" s="692"/>
      <c r="O34" s="692"/>
      <c r="P34" s="692"/>
      <c r="Q34" s="692"/>
    </row>
    <row r="35" spans="1:17" ht="15.75" x14ac:dyDescent="0.25">
      <c r="A35" s="728">
        <f t="shared" si="1"/>
        <v>87.976539589442808</v>
      </c>
      <c r="B35" s="87" t="s">
        <v>2237</v>
      </c>
      <c r="C35" s="555" t="s">
        <v>2238</v>
      </c>
      <c r="D35" s="563">
        <v>30000</v>
      </c>
      <c r="E35" s="573">
        <v>341</v>
      </c>
      <c r="F35" s="563">
        <v>30000</v>
      </c>
      <c r="G35" s="87">
        <f t="shared" si="0"/>
        <v>0</v>
      </c>
      <c r="H35" s="689"/>
      <c r="I35" s="723" t="s">
        <v>475</v>
      </c>
      <c r="J35" s="721">
        <f>SUM(H6:H30)</f>
        <v>12300000</v>
      </c>
      <c r="K35" s="710">
        <v>700000</v>
      </c>
      <c r="M35" s="692"/>
      <c r="N35" s="692"/>
      <c r="O35" s="692"/>
      <c r="P35" s="692"/>
      <c r="Q35" s="692"/>
    </row>
    <row r="36" spans="1:17" ht="15.75" x14ac:dyDescent="0.25">
      <c r="A36" s="728">
        <f t="shared" si="1"/>
        <v>92.10526315789474</v>
      </c>
      <c r="B36" s="87" t="s">
        <v>2237</v>
      </c>
      <c r="C36" s="555" t="s">
        <v>2240</v>
      </c>
      <c r="D36" s="563">
        <v>21000</v>
      </c>
      <c r="E36" s="573">
        <v>228</v>
      </c>
      <c r="F36" s="563">
        <v>21000</v>
      </c>
      <c r="G36" s="87">
        <f t="shared" si="0"/>
        <v>0</v>
      </c>
      <c r="H36" s="689"/>
      <c r="I36" s="693"/>
      <c r="J36" s="692"/>
      <c r="K36" s="710">
        <v>300000</v>
      </c>
      <c r="M36" s="692"/>
      <c r="N36" s="692"/>
      <c r="O36" s="692"/>
      <c r="P36" s="692"/>
      <c r="Q36" s="692"/>
    </row>
    <row r="37" spans="1:17" ht="15.75" x14ac:dyDescent="0.25">
      <c r="A37" s="728">
        <f t="shared" si="1"/>
        <v>92.024539877300612</v>
      </c>
      <c r="B37" s="87" t="s">
        <v>2237</v>
      </c>
      <c r="C37" s="555" t="s">
        <v>2241</v>
      </c>
      <c r="D37" s="563">
        <v>15000</v>
      </c>
      <c r="E37" s="573">
        <v>163</v>
      </c>
      <c r="F37" s="563">
        <v>15000</v>
      </c>
      <c r="G37" s="87">
        <f t="shared" si="0"/>
        <v>0</v>
      </c>
      <c r="H37" s="689"/>
      <c r="I37" s="693"/>
      <c r="J37" s="692"/>
      <c r="K37" s="692"/>
      <c r="L37" s="692"/>
      <c r="M37" s="692"/>
      <c r="N37" s="692"/>
      <c r="O37" s="692"/>
      <c r="P37" s="692"/>
      <c r="Q37" s="692"/>
    </row>
    <row r="38" spans="1:17" ht="15.75" x14ac:dyDescent="0.25">
      <c r="A38" s="728">
        <f t="shared" si="1"/>
        <v>100.96153846153845</v>
      </c>
      <c r="B38" s="87" t="s">
        <v>2237</v>
      </c>
      <c r="C38" s="555" t="s">
        <v>66</v>
      </c>
      <c r="D38" s="563">
        <v>210</v>
      </c>
      <c r="E38" s="573">
        <v>2.08</v>
      </c>
      <c r="F38" s="563">
        <v>210</v>
      </c>
      <c r="G38" s="87">
        <f t="shared" si="0"/>
        <v>0</v>
      </c>
      <c r="H38" s="689"/>
      <c r="I38" s="693"/>
      <c r="J38" s="722" t="s">
        <v>2922</v>
      </c>
      <c r="K38" s="722">
        <f>SUM(K6:K37)</f>
        <v>12310000</v>
      </c>
      <c r="L38" s="724" t="s">
        <v>360</v>
      </c>
      <c r="M38" s="724">
        <f>K38-J35</f>
        <v>10000</v>
      </c>
      <c r="O38" s="692"/>
      <c r="P38" s="692"/>
      <c r="Q38" s="692"/>
    </row>
    <row r="39" spans="1:17" ht="15.75" x14ac:dyDescent="0.25">
      <c r="A39" s="728">
        <f t="shared" si="1"/>
        <v>82.236842105263165</v>
      </c>
      <c r="B39" s="87" t="s">
        <v>2237</v>
      </c>
      <c r="C39" s="555" t="s">
        <v>1884</v>
      </c>
      <c r="D39" s="563">
        <v>25000</v>
      </c>
      <c r="E39" s="573">
        <v>304</v>
      </c>
      <c r="F39" s="563">
        <v>25000</v>
      </c>
      <c r="G39" s="87">
        <f t="shared" si="0"/>
        <v>0</v>
      </c>
      <c r="H39" s="689"/>
      <c r="I39" s="693"/>
      <c r="J39" s="692"/>
      <c r="K39" s="713"/>
      <c r="L39" s="692"/>
      <c r="M39" s="692"/>
      <c r="N39" s="692"/>
      <c r="O39" s="692"/>
      <c r="P39" s="692"/>
      <c r="Q39" s="692"/>
    </row>
    <row r="40" spans="1:17" ht="15.75" x14ac:dyDescent="0.25">
      <c r="A40" s="728">
        <f t="shared" si="1"/>
        <v>93.333333333333329</v>
      </c>
      <c r="B40" s="87" t="s">
        <v>2237</v>
      </c>
      <c r="C40" s="555" t="s">
        <v>2112</v>
      </c>
      <c r="D40" s="563">
        <v>28000</v>
      </c>
      <c r="E40" s="573">
        <v>300</v>
      </c>
      <c r="F40" s="563">
        <v>28000</v>
      </c>
      <c r="G40" s="87">
        <f t="shared" si="0"/>
        <v>0</v>
      </c>
      <c r="H40" s="689"/>
      <c r="I40" s="693"/>
      <c r="J40" s="692"/>
      <c r="K40" s="713"/>
      <c r="L40" s="692"/>
      <c r="M40" s="692"/>
      <c r="N40" s="692"/>
      <c r="O40" s="692"/>
      <c r="P40" s="692"/>
      <c r="Q40" s="692"/>
    </row>
    <row r="41" spans="1:17" ht="15.75" x14ac:dyDescent="0.25">
      <c r="A41" s="728">
        <f t="shared" si="1"/>
        <v>87.774294670846402</v>
      </c>
      <c r="B41" s="87" t="s">
        <v>2237</v>
      </c>
      <c r="C41" s="555" t="s">
        <v>2242</v>
      </c>
      <c r="D41" s="563">
        <v>28000</v>
      </c>
      <c r="E41" s="573">
        <v>319</v>
      </c>
      <c r="F41" s="563">
        <v>28000</v>
      </c>
      <c r="G41" s="87">
        <f t="shared" si="0"/>
        <v>0</v>
      </c>
      <c r="H41" s="689"/>
      <c r="I41" s="693"/>
      <c r="J41" s="692"/>
      <c r="K41" s="713"/>
      <c r="L41" s="692"/>
      <c r="M41" s="692"/>
      <c r="N41" s="692"/>
      <c r="O41" s="692"/>
      <c r="P41" s="692"/>
      <c r="Q41" s="692"/>
    </row>
    <row r="42" spans="1:17" ht="15.75" x14ac:dyDescent="0.25">
      <c r="A42" s="728">
        <f t="shared" si="1"/>
        <v>90.090090090090087</v>
      </c>
      <c r="B42" s="87" t="s">
        <v>2237</v>
      </c>
      <c r="C42" s="555" t="s">
        <v>2243</v>
      </c>
      <c r="D42" s="563">
        <v>30000</v>
      </c>
      <c r="E42" s="573">
        <v>333</v>
      </c>
      <c r="F42" s="563">
        <v>30000</v>
      </c>
      <c r="G42" s="87">
        <f t="shared" si="0"/>
        <v>0</v>
      </c>
      <c r="H42" s="689"/>
      <c r="I42" s="693"/>
      <c r="J42" s="692"/>
      <c r="K42" s="692"/>
      <c r="L42" s="692"/>
      <c r="M42" s="692"/>
      <c r="N42" s="692"/>
      <c r="O42" s="692"/>
      <c r="P42" s="692"/>
      <c r="Q42" s="692"/>
    </row>
    <row r="43" spans="1:17" ht="15.75" x14ac:dyDescent="0.25">
      <c r="A43" s="728">
        <f t="shared" si="1"/>
        <v>88.495575221238937</v>
      </c>
      <c r="B43" s="87" t="s">
        <v>2237</v>
      </c>
      <c r="C43" s="555" t="s">
        <v>2244</v>
      </c>
      <c r="D43" s="563">
        <v>10000</v>
      </c>
      <c r="E43" s="573">
        <v>113</v>
      </c>
      <c r="F43" s="563">
        <v>10000</v>
      </c>
      <c r="G43" s="87">
        <f t="shared" si="0"/>
        <v>0</v>
      </c>
      <c r="H43" s="689"/>
      <c r="I43" s="693"/>
      <c r="J43" s="692"/>
      <c r="K43" s="692"/>
      <c r="L43" s="692"/>
      <c r="M43" s="692"/>
      <c r="N43" s="692"/>
      <c r="O43" s="692"/>
      <c r="P43" s="692"/>
      <c r="Q43" s="692"/>
    </row>
    <row r="44" spans="1:17" ht="15.75" x14ac:dyDescent="0.25">
      <c r="A44" s="728">
        <f t="shared" si="1"/>
        <v>92.165898617511516</v>
      </c>
      <c r="B44" s="87" t="s">
        <v>2237</v>
      </c>
      <c r="C44" s="555" t="s">
        <v>2245</v>
      </c>
      <c r="D44" s="563">
        <v>20000</v>
      </c>
      <c r="E44" s="573">
        <v>217</v>
      </c>
      <c r="F44" s="563">
        <v>20000</v>
      </c>
      <c r="G44" s="87">
        <f t="shared" si="0"/>
        <v>0</v>
      </c>
      <c r="H44" s="689"/>
      <c r="I44" s="693"/>
      <c r="J44" s="692"/>
      <c r="K44" s="692"/>
      <c r="L44" s="692"/>
      <c r="M44" s="692"/>
      <c r="N44" s="692"/>
      <c r="O44" s="692"/>
      <c r="P44" s="692"/>
      <c r="Q44" s="692"/>
    </row>
    <row r="45" spans="1:17" ht="15.75" x14ac:dyDescent="0.25">
      <c r="A45" s="728">
        <f t="shared" si="1"/>
        <v>91.911764705882348</v>
      </c>
      <c r="B45" s="87" t="s">
        <v>2237</v>
      </c>
      <c r="C45" s="555" t="s">
        <v>2246</v>
      </c>
      <c r="D45" s="563">
        <v>25000</v>
      </c>
      <c r="E45" s="573">
        <v>272</v>
      </c>
      <c r="F45" s="563">
        <v>25000</v>
      </c>
      <c r="G45" s="87">
        <f t="shared" si="0"/>
        <v>0</v>
      </c>
      <c r="H45" s="689"/>
      <c r="I45" s="693"/>
      <c r="J45" s="692"/>
      <c r="K45" s="692"/>
      <c r="L45" s="692"/>
      <c r="M45" s="692"/>
      <c r="N45" s="692"/>
      <c r="O45" s="692"/>
      <c r="P45" s="692"/>
      <c r="Q45" s="692"/>
    </row>
    <row r="46" spans="1:17" ht="15.75" x14ac:dyDescent="0.25">
      <c r="A46" s="728">
        <f t="shared" si="1"/>
        <v>88.082901554404145</v>
      </c>
      <c r="B46" s="87" t="s">
        <v>2237</v>
      </c>
      <c r="C46" s="555" t="s">
        <v>2190</v>
      </c>
      <c r="D46" s="563">
        <v>17000</v>
      </c>
      <c r="E46" s="573">
        <v>193</v>
      </c>
      <c r="F46" s="563">
        <v>17000</v>
      </c>
      <c r="G46" s="87">
        <f t="shared" si="0"/>
        <v>0</v>
      </c>
      <c r="H46" s="689"/>
      <c r="I46" s="693"/>
      <c r="J46" s="692"/>
      <c r="K46" s="692"/>
      <c r="L46" s="692"/>
      <c r="M46" s="692"/>
      <c r="N46" s="692"/>
      <c r="O46" s="692"/>
      <c r="P46" s="692"/>
      <c r="Q46" s="692"/>
    </row>
    <row r="47" spans="1:17" ht="15.75" x14ac:dyDescent="0.25">
      <c r="A47" s="728">
        <f t="shared" si="1"/>
        <v>87.804878048780495</v>
      </c>
      <c r="B47" s="87" t="s">
        <v>2237</v>
      </c>
      <c r="C47" s="555" t="s">
        <v>2113</v>
      </c>
      <c r="D47" s="563">
        <v>18000</v>
      </c>
      <c r="E47" s="573">
        <v>205</v>
      </c>
      <c r="F47" s="563">
        <v>18000</v>
      </c>
      <c r="G47" s="87">
        <f t="shared" si="0"/>
        <v>0</v>
      </c>
      <c r="H47" s="689"/>
      <c r="I47" s="693"/>
      <c r="J47" s="692"/>
      <c r="K47" s="692"/>
      <c r="L47" s="692"/>
      <c r="M47" s="692"/>
      <c r="N47" s="692"/>
      <c r="O47" s="692"/>
      <c r="P47" s="692"/>
      <c r="Q47" s="692"/>
    </row>
    <row r="48" spans="1:17" ht="15.75" x14ac:dyDescent="0.25">
      <c r="A48" s="728">
        <f t="shared" si="1"/>
        <v>88.495575221238937</v>
      </c>
      <c r="B48" s="87" t="s">
        <v>2237</v>
      </c>
      <c r="C48" s="555" t="s">
        <v>2247</v>
      </c>
      <c r="D48" s="563">
        <v>10000</v>
      </c>
      <c r="E48" s="573">
        <v>113</v>
      </c>
      <c r="F48" s="563">
        <v>10000</v>
      </c>
      <c r="G48" s="87">
        <f t="shared" si="0"/>
        <v>0</v>
      </c>
      <c r="H48" s="689"/>
      <c r="I48" s="693"/>
      <c r="J48" s="692"/>
      <c r="K48" s="692"/>
      <c r="L48" s="692"/>
      <c r="M48" s="692"/>
      <c r="N48" s="692"/>
      <c r="O48" s="692"/>
      <c r="P48" s="692"/>
      <c r="Q48" s="692"/>
    </row>
    <row r="49" spans="1:17" ht="15.75" x14ac:dyDescent="0.25">
      <c r="A49" s="728">
        <f t="shared" si="1"/>
        <v>88.235294117647058</v>
      </c>
      <c r="B49" s="87" t="s">
        <v>2237</v>
      </c>
      <c r="C49" s="555" t="s">
        <v>2081</v>
      </c>
      <c r="D49" s="563">
        <v>15000</v>
      </c>
      <c r="E49" s="573">
        <v>170</v>
      </c>
      <c r="F49" s="563">
        <v>15000</v>
      </c>
      <c r="G49" s="87">
        <f t="shared" si="0"/>
        <v>0</v>
      </c>
      <c r="H49" s="689"/>
      <c r="I49" s="693"/>
      <c r="J49" s="692"/>
      <c r="K49" s="692"/>
      <c r="L49" s="692"/>
      <c r="M49" s="692"/>
      <c r="N49" s="692"/>
      <c r="O49" s="692"/>
      <c r="P49" s="692"/>
      <c r="Q49" s="692"/>
    </row>
    <row r="50" spans="1:17" ht="15.75" x14ac:dyDescent="0.25">
      <c r="A50" s="728">
        <f t="shared" si="1"/>
        <v>94.117647058823536</v>
      </c>
      <c r="B50" s="87" t="s">
        <v>2237</v>
      </c>
      <c r="C50" s="555" t="s">
        <v>2038</v>
      </c>
      <c r="D50" s="563">
        <v>16000</v>
      </c>
      <c r="E50" s="573">
        <v>170</v>
      </c>
      <c r="F50" s="563">
        <v>16000</v>
      </c>
      <c r="G50" s="87">
        <f t="shared" si="0"/>
        <v>0</v>
      </c>
      <c r="H50" s="689"/>
      <c r="I50" s="693"/>
      <c r="J50" s="692"/>
      <c r="K50" s="692"/>
      <c r="L50" s="692"/>
      <c r="M50" s="692"/>
      <c r="N50" s="692"/>
      <c r="O50" s="692"/>
      <c r="P50" s="692"/>
      <c r="Q50" s="692"/>
    </row>
    <row r="51" spans="1:17" ht="15.75" x14ac:dyDescent="0.25">
      <c r="A51" s="728">
        <f t="shared" si="1"/>
        <v>94.339622641509436</v>
      </c>
      <c r="B51" s="87" t="s">
        <v>2237</v>
      </c>
      <c r="C51" s="555" t="s">
        <v>2079</v>
      </c>
      <c r="D51" s="563">
        <v>15000</v>
      </c>
      <c r="E51" s="573">
        <v>159</v>
      </c>
      <c r="F51" s="563">
        <v>15000</v>
      </c>
      <c r="G51" s="87">
        <f t="shared" si="0"/>
        <v>0</v>
      </c>
      <c r="H51" s="689"/>
      <c r="I51" s="693"/>
      <c r="J51" s="692"/>
      <c r="K51" s="692"/>
      <c r="L51" s="692"/>
      <c r="M51" s="692"/>
      <c r="N51" s="692"/>
      <c r="O51" s="692"/>
      <c r="P51" s="692"/>
      <c r="Q51" s="692"/>
    </row>
    <row r="52" spans="1:17" ht="15.75" x14ac:dyDescent="0.25">
      <c r="A52" s="728">
        <f t="shared" si="1"/>
        <v>88.235294117647058</v>
      </c>
      <c r="B52" s="87" t="s">
        <v>2237</v>
      </c>
      <c r="C52" s="555" t="s">
        <v>2053</v>
      </c>
      <c r="D52" s="563">
        <v>15000</v>
      </c>
      <c r="E52" s="573">
        <v>170</v>
      </c>
      <c r="F52" s="563">
        <v>15000</v>
      </c>
      <c r="G52" s="87">
        <f t="shared" si="0"/>
        <v>0</v>
      </c>
      <c r="H52" s="689"/>
      <c r="I52" s="693"/>
      <c r="J52" s="692"/>
      <c r="K52" s="692"/>
      <c r="L52" s="692"/>
      <c r="M52" s="692"/>
      <c r="N52" s="692"/>
      <c r="O52" s="692"/>
      <c r="P52" s="692"/>
      <c r="Q52" s="692"/>
    </row>
    <row r="53" spans="1:17" ht="15.75" x14ac:dyDescent="0.25">
      <c r="A53" s="728">
        <f t="shared" si="1"/>
        <v>89.743589743589737</v>
      </c>
      <c r="B53" s="87" t="s">
        <v>2237</v>
      </c>
      <c r="C53" s="555" t="s">
        <v>17</v>
      </c>
      <c r="D53" s="563">
        <v>3500</v>
      </c>
      <c r="E53" s="573">
        <v>39</v>
      </c>
      <c r="F53" s="563">
        <v>3500</v>
      </c>
      <c r="G53" s="87">
        <f t="shared" si="0"/>
        <v>0</v>
      </c>
      <c r="H53" s="689"/>
      <c r="I53" s="693"/>
      <c r="J53" s="692"/>
      <c r="K53" s="692"/>
      <c r="L53" s="692"/>
      <c r="M53" s="692"/>
      <c r="N53" s="692"/>
      <c r="O53" s="692"/>
      <c r="P53" s="692"/>
      <c r="Q53" s="692"/>
    </row>
    <row r="54" spans="1:17" ht="15.75" x14ac:dyDescent="0.25">
      <c r="A54" s="728">
        <f t="shared" si="1"/>
        <v>88.235294117647058</v>
      </c>
      <c r="B54" s="87" t="s">
        <v>2237</v>
      </c>
      <c r="C54" s="555" t="s">
        <v>1366</v>
      </c>
      <c r="D54" s="563">
        <v>15000</v>
      </c>
      <c r="E54" s="573">
        <v>170</v>
      </c>
      <c r="F54" s="563">
        <v>15000</v>
      </c>
      <c r="G54" s="87">
        <f t="shared" si="0"/>
        <v>0</v>
      </c>
      <c r="H54" s="689"/>
      <c r="I54" s="693"/>
      <c r="J54" s="692"/>
      <c r="K54" s="692"/>
      <c r="L54" s="692"/>
      <c r="M54" s="692"/>
      <c r="N54" s="692"/>
      <c r="O54" s="692"/>
      <c r="P54" s="692"/>
      <c r="Q54" s="692"/>
    </row>
    <row r="55" spans="1:17" ht="15.75" x14ac:dyDescent="0.25">
      <c r="A55" s="728">
        <f t="shared" si="1"/>
        <v>96.551724137931032</v>
      </c>
      <c r="B55" s="87" t="s">
        <v>2237</v>
      </c>
      <c r="C55" s="555" t="s">
        <v>2080</v>
      </c>
      <c r="D55" s="563">
        <v>14000</v>
      </c>
      <c r="E55" s="573">
        <v>145</v>
      </c>
      <c r="F55" s="563">
        <v>14000</v>
      </c>
      <c r="G55" s="87">
        <f t="shared" si="0"/>
        <v>0</v>
      </c>
      <c r="H55" s="689"/>
      <c r="I55" s="693"/>
      <c r="J55" s="692"/>
      <c r="K55" s="692"/>
      <c r="L55" s="692"/>
      <c r="M55" s="692"/>
      <c r="N55" s="692"/>
      <c r="O55" s="692"/>
      <c r="P55" s="692"/>
      <c r="Q55" s="692"/>
    </row>
    <row r="56" spans="1:17" ht="15.75" x14ac:dyDescent="0.25">
      <c r="A56" s="728">
        <f t="shared" si="1"/>
        <v>97.276264591439684</v>
      </c>
      <c r="B56" s="87" t="s">
        <v>2237</v>
      </c>
      <c r="C56" s="555" t="s">
        <v>2248</v>
      </c>
      <c r="D56" s="563">
        <v>25000</v>
      </c>
      <c r="E56" s="573">
        <v>257</v>
      </c>
      <c r="F56" s="563">
        <v>25000</v>
      </c>
      <c r="G56" s="87">
        <f t="shared" si="0"/>
        <v>0</v>
      </c>
      <c r="H56" s="689"/>
      <c r="I56" s="693"/>
      <c r="J56" s="692"/>
      <c r="K56" s="692"/>
      <c r="L56" s="692"/>
      <c r="M56" s="692"/>
      <c r="N56" s="692"/>
      <c r="O56" s="692"/>
      <c r="P56" s="692"/>
      <c r="Q56" s="692"/>
    </row>
    <row r="57" spans="1:17" ht="15.75" x14ac:dyDescent="0.25">
      <c r="A57" s="728">
        <f t="shared" si="1"/>
        <v>90.163934426229503</v>
      </c>
      <c r="B57" s="87" t="s">
        <v>2237</v>
      </c>
      <c r="C57" s="555" t="s">
        <v>2249</v>
      </c>
      <c r="D57" s="563">
        <v>22000</v>
      </c>
      <c r="E57" s="573">
        <v>244</v>
      </c>
      <c r="F57" s="563">
        <v>22000</v>
      </c>
      <c r="G57" s="87">
        <f t="shared" si="0"/>
        <v>0</v>
      </c>
      <c r="H57" s="689"/>
      <c r="I57" s="693"/>
      <c r="J57" s="692"/>
      <c r="K57" s="692"/>
      <c r="L57" s="692"/>
      <c r="M57" s="692"/>
      <c r="N57" s="692"/>
      <c r="O57" s="692"/>
      <c r="P57" s="692"/>
      <c r="Q57" s="692"/>
    </row>
    <row r="58" spans="1:17" ht="15.75" x14ac:dyDescent="0.25">
      <c r="A58" s="728">
        <f t="shared" si="1"/>
        <v>91.286307053941911</v>
      </c>
      <c r="B58" s="87" t="s">
        <v>2237</v>
      </c>
      <c r="C58" s="555" t="s">
        <v>2250</v>
      </c>
      <c r="D58" s="563">
        <v>22000</v>
      </c>
      <c r="E58" s="573">
        <v>241</v>
      </c>
      <c r="F58" s="563">
        <v>22000</v>
      </c>
      <c r="G58" s="87">
        <f t="shared" si="0"/>
        <v>0</v>
      </c>
      <c r="H58" s="689"/>
      <c r="I58" s="693"/>
      <c r="J58" s="692"/>
      <c r="K58" s="692"/>
      <c r="L58" s="692"/>
      <c r="M58" s="692"/>
      <c r="N58" s="692"/>
      <c r="O58" s="692"/>
      <c r="P58" s="692"/>
      <c r="Q58" s="692"/>
    </row>
    <row r="59" spans="1:17" ht="15" customHeight="1" x14ac:dyDescent="0.25">
      <c r="A59" s="728">
        <f t="shared" si="1"/>
        <v>88.235294117647058</v>
      </c>
      <c r="B59" s="87" t="s">
        <v>2237</v>
      </c>
      <c r="C59" s="555" t="s">
        <v>2251</v>
      </c>
      <c r="D59" s="563">
        <v>15000</v>
      </c>
      <c r="E59" s="573">
        <v>170</v>
      </c>
      <c r="F59" s="563">
        <v>15000</v>
      </c>
      <c r="G59" s="87">
        <f t="shared" si="0"/>
        <v>0</v>
      </c>
      <c r="H59" s="690"/>
      <c r="I59" s="693"/>
      <c r="J59" s="692"/>
      <c r="K59" s="692"/>
      <c r="L59" s="692"/>
      <c r="M59" s="692"/>
      <c r="N59" s="692"/>
      <c r="O59" s="692"/>
      <c r="P59" s="692"/>
      <c r="Q59" s="692"/>
    </row>
    <row r="60" spans="1:17" ht="15" customHeight="1" x14ac:dyDescent="0.25">
      <c r="A60" s="728">
        <f t="shared" si="1"/>
        <v>92.05020920502092</v>
      </c>
      <c r="B60" s="87" t="s">
        <v>2252</v>
      </c>
      <c r="C60" s="555" t="s">
        <v>1724</v>
      </c>
      <c r="D60" s="563">
        <v>22000</v>
      </c>
      <c r="E60" s="573">
        <v>239</v>
      </c>
      <c r="F60" s="563">
        <v>22000</v>
      </c>
      <c r="G60" s="87">
        <f t="shared" si="0"/>
        <v>0</v>
      </c>
      <c r="H60" s="690"/>
      <c r="I60" s="693"/>
      <c r="J60" s="692"/>
      <c r="K60" s="692"/>
      <c r="L60" s="692"/>
      <c r="M60" s="692"/>
      <c r="N60" s="692"/>
      <c r="O60" s="692"/>
      <c r="P60" s="692"/>
      <c r="Q60" s="692"/>
    </row>
    <row r="61" spans="1:17" ht="15" customHeight="1" x14ac:dyDescent="0.25">
      <c r="A61" s="728">
        <f t="shared" si="1"/>
        <v>88.495575221238937</v>
      </c>
      <c r="B61" s="87" t="s">
        <v>2252</v>
      </c>
      <c r="C61" s="555" t="s">
        <v>2253</v>
      </c>
      <c r="D61" s="563">
        <v>10000</v>
      </c>
      <c r="E61" s="573">
        <v>113</v>
      </c>
      <c r="F61" s="563">
        <v>10000</v>
      </c>
      <c r="G61" s="87">
        <f t="shared" si="0"/>
        <v>0</v>
      </c>
      <c r="H61" s="690"/>
      <c r="I61" s="693"/>
      <c r="J61" s="692"/>
      <c r="K61" s="692"/>
      <c r="L61" s="692"/>
      <c r="M61" s="692"/>
      <c r="N61" s="692"/>
      <c r="O61" s="692"/>
      <c r="P61" s="692"/>
      <c r="Q61" s="692"/>
    </row>
    <row r="62" spans="1:17" ht="15" customHeight="1" x14ac:dyDescent="0.25">
      <c r="A62" s="728">
        <f t="shared" si="1"/>
        <v>87.804878048780495</v>
      </c>
      <c r="B62" s="87" t="s">
        <v>2252</v>
      </c>
      <c r="C62" s="555" t="s">
        <v>2254</v>
      </c>
      <c r="D62" s="563">
        <v>18000</v>
      </c>
      <c r="E62" s="573">
        <v>205</v>
      </c>
      <c r="F62" s="563">
        <v>18000</v>
      </c>
      <c r="G62" s="87">
        <f t="shared" si="0"/>
        <v>0</v>
      </c>
      <c r="H62" s="690"/>
      <c r="I62" s="693"/>
      <c r="J62" s="692"/>
      <c r="K62" s="692"/>
      <c r="L62" s="692"/>
      <c r="M62" s="692"/>
      <c r="N62" s="692"/>
      <c r="O62" s="692"/>
      <c r="P62" s="692"/>
      <c r="Q62" s="692"/>
    </row>
    <row r="63" spans="1:17" ht="15" customHeight="1" x14ac:dyDescent="0.25">
      <c r="A63" s="728">
        <f t="shared" si="1"/>
        <v>87.982832618025753</v>
      </c>
      <c r="B63" s="87" t="s">
        <v>2252</v>
      </c>
      <c r="C63" s="555" t="s">
        <v>1967</v>
      </c>
      <c r="D63" s="563">
        <v>20500</v>
      </c>
      <c r="E63" s="573">
        <v>233</v>
      </c>
      <c r="F63" s="563">
        <v>20500</v>
      </c>
      <c r="G63" s="87">
        <f t="shared" si="0"/>
        <v>0</v>
      </c>
      <c r="H63" s="690"/>
      <c r="I63" s="693"/>
      <c r="J63" s="692"/>
      <c r="K63" s="692"/>
      <c r="L63" s="692"/>
      <c r="M63" s="692"/>
      <c r="N63" s="692"/>
      <c r="O63" s="692"/>
      <c r="P63" s="692"/>
      <c r="Q63" s="692"/>
    </row>
    <row r="64" spans="1:17" ht="15" customHeight="1" x14ac:dyDescent="0.25">
      <c r="A64" s="728">
        <f t="shared" si="1"/>
        <v>87.976539589442808</v>
      </c>
      <c r="B64" s="87" t="s">
        <v>2252</v>
      </c>
      <c r="C64" s="555" t="s">
        <v>1726</v>
      </c>
      <c r="D64" s="563">
        <v>30000</v>
      </c>
      <c r="E64" s="573">
        <v>341</v>
      </c>
      <c r="F64" s="563">
        <v>30000</v>
      </c>
      <c r="G64" s="87">
        <f t="shared" si="0"/>
        <v>0</v>
      </c>
      <c r="H64" s="690"/>
      <c r="I64" s="693"/>
      <c r="J64" s="692"/>
      <c r="K64" s="692"/>
      <c r="L64" s="692"/>
      <c r="M64" s="692"/>
      <c r="N64" s="692"/>
      <c r="O64" s="692"/>
      <c r="P64" s="692"/>
      <c r="Q64" s="692"/>
    </row>
    <row r="65" spans="1:17" ht="15" customHeight="1" x14ac:dyDescent="0.25">
      <c r="A65" s="728">
        <f t="shared" si="1"/>
        <v>88.235294117647058</v>
      </c>
      <c r="B65" s="87" t="s">
        <v>2252</v>
      </c>
      <c r="C65" s="555" t="s">
        <v>2255</v>
      </c>
      <c r="D65" s="563">
        <v>15000</v>
      </c>
      <c r="E65" s="573">
        <v>170</v>
      </c>
      <c r="F65" s="563">
        <v>15000</v>
      </c>
      <c r="G65" s="87">
        <f t="shared" si="0"/>
        <v>0</v>
      </c>
      <c r="H65" s="690"/>
      <c r="I65" s="693"/>
      <c r="J65" s="692"/>
      <c r="K65" s="692"/>
      <c r="L65" s="692"/>
      <c r="M65" s="692"/>
      <c r="N65" s="692"/>
      <c r="O65" s="692"/>
      <c r="P65" s="692"/>
      <c r="Q65" s="692"/>
    </row>
    <row r="66" spans="1:17" ht="15" customHeight="1" x14ac:dyDescent="0.25">
      <c r="A66" s="728">
        <f t="shared" si="1"/>
        <v>92.10526315789474</v>
      </c>
      <c r="B66" s="87" t="s">
        <v>2252</v>
      </c>
      <c r="C66" s="555" t="s">
        <v>2202</v>
      </c>
      <c r="D66" s="563">
        <v>14000</v>
      </c>
      <c r="E66" s="573">
        <v>152</v>
      </c>
      <c r="F66" s="563">
        <v>14000</v>
      </c>
      <c r="G66" s="87">
        <f t="shared" si="0"/>
        <v>0</v>
      </c>
      <c r="H66" s="690"/>
      <c r="I66" s="693"/>
      <c r="J66" s="692"/>
      <c r="K66" s="692"/>
      <c r="L66" s="692"/>
      <c r="M66" s="692"/>
      <c r="N66" s="692"/>
      <c r="O66" s="692"/>
      <c r="P66" s="692"/>
      <c r="Q66" s="692"/>
    </row>
    <row r="67" spans="1:17" ht="15" customHeight="1" x14ac:dyDescent="0.25">
      <c r="A67" s="728">
        <f t="shared" si="1"/>
        <v>89.702188733405094</v>
      </c>
      <c r="B67" s="87" t="s">
        <v>2252</v>
      </c>
      <c r="C67" s="555" t="s">
        <v>30</v>
      </c>
      <c r="D67" s="563">
        <v>5000</v>
      </c>
      <c r="E67" s="573">
        <v>55.74</v>
      </c>
      <c r="F67" s="563">
        <v>5000</v>
      </c>
      <c r="G67" s="87">
        <f t="shared" si="0"/>
        <v>0</v>
      </c>
      <c r="H67" s="690"/>
      <c r="I67" s="693"/>
      <c r="J67" s="692"/>
      <c r="K67" s="692"/>
      <c r="L67" s="692"/>
      <c r="M67" s="692"/>
      <c r="N67" s="692"/>
      <c r="O67" s="692"/>
      <c r="P67" s="692"/>
      <c r="Q67" s="692"/>
    </row>
    <row r="68" spans="1:17" ht="15" customHeight="1" x14ac:dyDescent="0.25">
      <c r="A68" s="728">
        <f t="shared" si="1"/>
        <v>88.105726872246692</v>
      </c>
      <c r="B68" s="87" t="s">
        <v>2252</v>
      </c>
      <c r="C68" s="555" t="s">
        <v>2256</v>
      </c>
      <c r="D68" s="563">
        <v>20000</v>
      </c>
      <c r="E68" s="573">
        <v>227</v>
      </c>
      <c r="F68" s="563">
        <v>20000</v>
      </c>
      <c r="G68" s="87">
        <f t="shared" si="0"/>
        <v>0</v>
      </c>
      <c r="H68" s="690"/>
      <c r="I68" s="693"/>
      <c r="J68" s="692"/>
      <c r="K68" s="692"/>
      <c r="L68" s="692"/>
      <c r="M68" s="692"/>
      <c r="N68" s="692"/>
      <c r="O68" s="692"/>
      <c r="P68" s="692"/>
      <c r="Q68" s="692"/>
    </row>
    <row r="69" spans="1:17" ht="15" customHeight="1" x14ac:dyDescent="0.25">
      <c r="A69" s="728">
        <f t="shared" si="1"/>
        <v>88.105726872246692</v>
      </c>
      <c r="B69" s="87" t="s">
        <v>2252</v>
      </c>
      <c r="C69" s="555" t="s">
        <v>2257</v>
      </c>
      <c r="D69" s="563">
        <v>20000</v>
      </c>
      <c r="E69" s="573">
        <v>227</v>
      </c>
      <c r="F69" s="563">
        <v>20000</v>
      </c>
      <c r="G69" s="87">
        <f t="shared" si="0"/>
        <v>0</v>
      </c>
      <c r="H69" s="690"/>
      <c r="I69" s="693"/>
      <c r="J69" s="692"/>
      <c r="K69" s="692"/>
      <c r="L69" s="692"/>
      <c r="M69" s="692"/>
      <c r="N69" s="692"/>
      <c r="O69" s="692"/>
      <c r="P69" s="692"/>
      <c r="Q69" s="692"/>
    </row>
    <row r="70" spans="1:17" ht="15" customHeight="1" x14ac:dyDescent="0.25">
      <c r="A70" s="728">
        <f t="shared" si="1"/>
        <v>88.666666666666671</v>
      </c>
      <c r="B70" s="87" t="s">
        <v>2252</v>
      </c>
      <c r="C70" s="555" t="s">
        <v>2258</v>
      </c>
      <c r="D70" s="563">
        <v>23674</v>
      </c>
      <c r="E70" s="573">
        <v>267</v>
      </c>
      <c r="F70" s="563">
        <v>23674</v>
      </c>
      <c r="G70" s="87">
        <f t="shared" ref="G70:G135" si="2">D70-F70</f>
        <v>0</v>
      </c>
      <c r="H70" s="690"/>
      <c r="I70" s="693"/>
      <c r="J70" s="692"/>
      <c r="K70" s="692"/>
      <c r="L70" s="692"/>
      <c r="M70" s="692"/>
      <c r="N70" s="692"/>
      <c r="O70" s="692"/>
      <c r="P70" s="692"/>
      <c r="Q70" s="692"/>
    </row>
    <row r="71" spans="1:17" ht="15" customHeight="1" x14ac:dyDescent="0.25">
      <c r="A71" s="728">
        <f t="shared" ref="A71:A134" si="3">D71/E71</f>
        <v>88.495575221238937</v>
      </c>
      <c r="B71" s="87" t="s">
        <v>2252</v>
      </c>
      <c r="C71" s="555" t="s">
        <v>2259</v>
      </c>
      <c r="D71" s="563">
        <v>10000</v>
      </c>
      <c r="E71" s="573">
        <v>113</v>
      </c>
      <c r="F71" s="563">
        <v>10000</v>
      </c>
      <c r="G71" s="87">
        <f t="shared" si="2"/>
        <v>0</v>
      </c>
      <c r="H71" s="690"/>
      <c r="I71" s="693"/>
      <c r="J71" s="692"/>
      <c r="K71" s="692"/>
      <c r="L71" s="692"/>
      <c r="M71" s="692"/>
      <c r="N71" s="692"/>
      <c r="O71" s="692"/>
      <c r="P71" s="692"/>
      <c r="Q71" s="692"/>
    </row>
    <row r="72" spans="1:17" ht="15" customHeight="1" x14ac:dyDescent="0.25">
      <c r="A72" s="728">
        <f t="shared" si="3"/>
        <v>87.804878048780495</v>
      </c>
      <c r="B72" s="87" t="s">
        <v>2252</v>
      </c>
      <c r="C72" s="555" t="s">
        <v>2260</v>
      </c>
      <c r="D72" s="563">
        <v>18000</v>
      </c>
      <c r="E72" s="573">
        <v>205</v>
      </c>
      <c r="F72" s="563">
        <v>18000</v>
      </c>
      <c r="G72" s="87">
        <f t="shared" si="2"/>
        <v>0</v>
      </c>
      <c r="H72" s="690"/>
      <c r="I72" s="693"/>
      <c r="J72" s="692"/>
      <c r="K72" s="692"/>
      <c r="L72" s="692"/>
      <c r="M72" s="692"/>
      <c r="N72" s="692"/>
      <c r="O72" s="692"/>
      <c r="P72" s="692"/>
      <c r="Q72" s="692"/>
    </row>
    <row r="73" spans="1:17" ht="15" customHeight="1" x14ac:dyDescent="0.25">
      <c r="A73" s="728">
        <f t="shared" si="3"/>
        <v>88.082901554404145</v>
      </c>
      <c r="B73" s="87" t="s">
        <v>2252</v>
      </c>
      <c r="C73" s="555" t="s">
        <v>2261</v>
      </c>
      <c r="D73" s="563">
        <v>17000</v>
      </c>
      <c r="E73" s="573">
        <v>193</v>
      </c>
      <c r="F73" s="563">
        <v>17000</v>
      </c>
      <c r="G73" s="87">
        <f t="shared" si="2"/>
        <v>0</v>
      </c>
      <c r="H73" s="690"/>
      <c r="I73" s="693"/>
      <c r="J73" s="692"/>
      <c r="K73" s="692"/>
      <c r="L73" s="692"/>
      <c r="M73" s="692"/>
      <c r="N73" s="692"/>
      <c r="O73" s="692"/>
      <c r="P73" s="692"/>
      <c r="Q73" s="692"/>
    </row>
    <row r="74" spans="1:17" ht="15" customHeight="1" x14ac:dyDescent="0.25">
      <c r="A74" s="728">
        <f t="shared" si="3"/>
        <v>88.495575221238937</v>
      </c>
      <c r="B74" s="87" t="s">
        <v>2262</v>
      </c>
      <c r="C74" s="555" t="s">
        <v>2263</v>
      </c>
      <c r="D74" s="563">
        <v>10000</v>
      </c>
      <c r="E74" s="573">
        <v>113</v>
      </c>
      <c r="F74" s="563">
        <v>10000</v>
      </c>
      <c r="G74" s="87">
        <f t="shared" si="2"/>
        <v>0</v>
      </c>
      <c r="H74" s="690"/>
      <c r="I74" s="693"/>
      <c r="J74" s="692"/>
      <c r="K74" s="692"/>
      <c r="L74" s="692"/>
      <c r="M74" s="692"/>
      <c r="N74" s="692"/>
      <c r="O74" s="692"/>
      <c r="P74" s="692"/>
      <c r="Q74" s="692"/>
    </row>
    <row r="75" spans="1:17" ht="15" customHeight="1" x14ac:dyDescent="0.25">
      <c r="A75" s="728">
        <f t="shared" si="3"/>
        <v>88.495575221238937</v>
      </c>
      <c r="B75" s="87" t="s">
        <v>2262</v>
      </c>
      <c r="C75" s="555" t="s">
        <v>2264</v>
      </c>
      <c r="D75" s="563">
        <v>10000</v>
      </c>
      <c r="E75" s="573">
        <v>113</v>
      </c>
      <c r="F75" s="563">
        <v>10000</v>
      </c>
      <c r="G75" s="87">
        <f t="shared" si="2"/>
        <v>0</v>
      </c>
      <c r="H75" s="690"/>
      <c r="I75" s="693"/>
      <c r="J75" s="692"/>
      <c r="K75" s="692"/>
      <c r="L75" s="692"/>
      <c r="M75" s="692"/>
      <c r="N75" s="692"/>
      <c r="O75" s="692"/>
      <c r="P75" s="692"/>
      <c r="Q75" s="692"/>
    </row>
    <row r="76" spans="1:17" ht="15" customHeight="1" x14ac:dyDescent="0.25">
      <c r="A76" s="728">
        <f t="shared" si="3"/>
        <v>88.028169014084511</v>
      </c>
      <c r="B76" s="87" t="s">
        <v>2262</v>
      </c>
      <c r="C76" s="555" t="s">
        <v>2265</v>
      </c>
      <c r="D76" s="563">
        <v>25000</v>
      </c>
      <c r="E76" s="573">
        <v>284</v>
      </c>
      <c r="F76" s="563">
        <v>25000</v>
      </c>
      <c r="G76" s="87">
        <f t="shared" si="2"/>
        <v>0</v>
      </c>
      <c r="H76" s="690"/>
      <c r="I76" s="693"/>
      <c r="J76" s="692"/>
      <c r="K76" s="692"/>
      <c r="L76" s="692"/>
      <c r="M76" s="692"/>
      <c r="N76" s="692"/>
      <c r="O76" s="692"/>
      <c r="P76" s="692"/>
      <c r="Q76" s="692"/>
    </row>
    <row r="77" spans="1:17" ht="15" customHeight="1" x14ac:dyDescent="0.25">
      <c r="A77" s="728">
        <f t="shared" si="3"/>
        <v>88.028169014084511</v>
      </c>
      <c r="B77" s="87" t="s">
        <v>2262</v>
      </c>
      <c r="C77" s="555" t="s">
        <v>2266</v>
      </c>
      <c r="D77" s="563">
        <v>25000</v>
      </c>
      <c r="E77" s="573">
        <v>284</v>
      </c>
      <c r="F77" s="563">
        <v>25000</v>
      </c>
      <c r="G77" s="87">
        <f t="shared" si="2"/>
        <v>0</v>
      </c>
      <c r="H77" s="690"/>
      <c r="I77" s="693"/>
      <c r="J77" s="692"/>
      <c r="K77" s="692"/>
      <c r="L77" s="692"/>
      <c r="M77" s="692"/>
      <c r="N77" s="692"/>
      <c r="O77" s="692"/>
      <c r="P77" s="692"/>
      <c r="Q77" s="692"/>
    </row>
    <row r="78" spans="1:17" ht="15" customHeight="1" x14ac:dyDescent="0.25">
      <c r="A78" s="728">
        <f t="shared" si="3"/>
        <v>88.028169014084511</v>
      </c>
      <c r="B78" s="87" t="s">
        <v>2262</v>
      </c>
      <c r="C78" s="555" t="s">
        <v>2267</v>
      </c>
      <c r="D78" s="563">
        <v>25000</v>
      </c>
      <c r="E78" s="573">
        <v>284</v>
      </c>
      <c r="F78" s="563">
        <v>25000</v>
      </c>
      <c r="G78" s="87">
        <f t="shared" si="2"/>
        <v>0</v>
      </c>
      <c r="H78" s="690"/>
      <c r="I78" s="693"/>
      <c r="J78" s="692"/>
      <c r="K78" s="692"/>
      <c r="L78" s="692"/>
      <c r="M78" s="692"/>
      <c r="N78" s="692"/>
      <c r="O78" s="692"/>
      <c r="P78" s="692"/>
      <c r="Q78" s="692"/>
    </row>
    <row r="79" spans="1:17" ht="15" customHeight="1" x14ac:dyDescent="0.25">
      <c r="A79" s="728">
        <f t="shared" si="3"/>
        <v>88.028169014084511</v>
      </c>
      <c r="B79" s="87" t="s">
        <v>2262</v>
      </c>
      <c r="C79" s="555" t="s">
        <v>2268</v>
      </c>
      <c r="D79" s="563">
        <v>25000</v>
      </c>
      <c r="E79" s="573">
        <v>284</v>
      </c>
      <c r="F79" s="563">
        <v>25000</v>
      </c>
      <c r="G79" s="87">
        <f t="shared" si="2"/>
        <v>0</v>
      </c>
      <c r="H79" s="690"/>
      <c r="I79" s="693"/>
      <c r="J79" s="692"/>
      <c r="K79" s="692"/>
      <c r="L79" s="692"/>
      <c r="M79" s="692"/>
      <c r="N79" s="692"/>
      <c r="O79" s="692"/>
      <c r="P79" s="692"/>
      <c r="Q79" s="692"/>
    </row>
    <row r="80" spans="1:17" ht="15" customHeight="1" x14ac:dyDescent="0.25">
      <c r="A80" s="728">
        <f t="shared" si="3"/>
        <v>88.028169014084511</v>
      </c>
      <c r="B80" s="87" t="s">
        <v>2262</v>
      </c>
      <c r="C80" s="555" t="s">
        <v>2269</v>
      </c>
      <c r="D80" s="563">
        <v>25000</v>
      </c>
      <c r="E80" s="573">
        <v>284</v>
      </c>
      <c r="F80" s="563">
        <v>25000</v>
      </c>
      <c r="G80" s="87">
        <f t="shared" si="2"/>
        <v>0</v>
      </c>
      <c r="H80" s="690"/>
      <c r="I80" s="693"/>
      <c r="J80" s="692"/>
      <c r="K80" s="692"/>
      <c r="L80" s="692"/>
      <c r="M80" s="692"/>
      <c r="N80" s="692"/>
      <c r="O80" s="692"/>
      <c r="P80" s="692"/>
      <c r="Q80" s="692"/>
    </row>
    <row r="81" spans="1:17" ht="15" customHeight="1" x14ac:dyDescent="0.25">
      <c r="A81" s="728">
        <f t="shared" si="3"/>
        <v>92.436974789915965</v>
      </c>
      <c r="B81" s="87" t="s">
        <v>2262</v>
      </c>
      <c r="C81" s="555" t="s">
        <v>2270</v>
      </c>
      <c r="D81" s="563">
        <v>33000</v>
      </c>
      <c r="E81" s="573">
        <v>357</v>
      </c>
      <c r="F81" s="563">
        <v>33000</v>
      </c>
      <c r="G81" s="87">
        <f t="shared" si="2"/>
        <v>0</v>
      </c>
      <c r="H81" s="690"/>
      <c r="I81" s="693"/>
      <c r="J81" s="692"/>
      <c r="K81" s="692"/>
      <c r="L81" s="692"/>
      <c r="M81" s="692"/>
      <c r="N81" s="692"/>
      <c r="O81" s="692"/>
      <c r="P81" s="692"/>
      <c r="Q81" s="692"/>
    </row>
    <row r="82" spans="1:17" ht="15" customHeight="1" x14ac:dyDescent="0.25">
      <c r="A82" s="728">
        <f t="shared" si="3"/>
        <v>87.804878048780495</v>
      </c>
      <c r="B82" s="87" t="s">
        <v>2262</v>
      </c>
      <c r="C82" s="555" t="s">
        <v>2271</v>
      </c>
      <c r="D82" s="563">
        <v>18000</v>
      </c>
      <c r="E82" s="573">
        <v>205</v>
      </c>
      <c r="F82" s="563">
        <v>18000</v>
      </c>
      <c r="G82" s="87">
        <f t="shared" si="2"/>
        <v>0</v>
      </c>
      <c r="H82" s="690"/>
      <c r="I82" s="693"/>
      <c r="J82" s="692"/>
      <c r="K82" s="692"/>
      <c r="L82" s="692"/>
      <c r="M82" s="692"/>
      <c r="N82" s="692"/>
      <c r="O82" s="692"/>
      <c r="P82" s="692"/>
      <c r="Q82" s="692"/>
    </row>
    <row r="83" spans="1:17" ht="15" customHeight="1" x14ac:dyDescent="0.25">
      <c r="A83" s="728">
        <f t="shared" si="3"/>
        <v>88.105726872246692</v>
      </c>
      <c r="B83" s="87" t="s">
        <v>2262</v>
      </c>
      <c r="C83" s="555" t="s">
        <v>2272</v>
      </c>
      <c r="D83" s="563">
        <v>20000</v>
      </c>
      <c r="E83" s="573">
        <v>227</v>
      </c>
      <c r="F83" s="563">
        <v>20000</v>
      </c>
      <c r="G83" s="87">
        <f t="shared" si="2"/>
        <v>0</v>
      </c>
      <c r="H83" s="690"/>
      <c r="I83" s="693"/>
      <c r="J83" s="692"/>
      <c r="K83" s="692"/>
      <c r="L83" s="692"/>
      <c r="M83" s="692"/>
      <c r="N83" s="692"/>
      <c r="O83" s="692"/>
      <c r="P83" s="692"/>
      <c r="Q83" s="692"/>
    </row>
    <row r="84" spans="1:17" ht="15" customHeight="1" x14ac:dyDescent="0.25">
      <c r="A84" s="728">
        <f t="shared" si="3"/>
        <v>96.969696969696969</v>
      </c>
      <c r="B84" s="87" t="s">
        <v>2262</v>
      </c>
      <c r="C84" s="555" t="s">
        <v>1869</v>
      </c>
      <c r="D84" s="563">
        <v>16000</v>
      </c>
      <c r="E84" s="573">
        <v>165</v>
      </c>
      <c r="F84" s="563">
        <v>16000</v>
      </c>
      <c r="G84" s="87">
        <f t="shared" si="2"/>
        <v>0</v>
      </c>
      <c r="H84" s="690"/>
      <c r="I84" s="693"/>
      <c r="J84" s="692"/>
      <c r="K84" s="692"/>
      <c r="L84" s="692"/>
      <c r="M84" s="692"/>
      <c r="N84" s="692"/>
      <c r="O84" s="692"/>
      <c r="P84" s="692"/>
      <c r="Q84" s="692"/>
    </row>
    <row r="85" spans="1:17" ht="15" customHeight="1" x14ac:dyDescent="0.25">
      <c r="A85" s="728">
        <f t="shared" si="3"/>
        <v>88.495575221238937</v>
      </c>
      <c r="B85" s="87" t="s">
        <v>2262</v>
      </c>
      <c r="C85" s="555" t="s">
        <v>2273</v>
      </c>
      <c r="D85" s="563">
        <v>10000</v>
      </c>
      <c r="E85" s="573">
        <v>113</v>
      </c>
      <c r="F85" s="563">
        <v>10000</v>
      </c>
      <c r="G85" s="87">
        <f t="shared" si="2"/>
        <v>0</v>
      </c>
      <c r="H85" s="690"/>
      <c r="I85" s="693"/>
      <c r="J85" s="692"/>
      <c r="K85" s="692"/>
      <c r="L85" s="692"/>
      <c r="M85" s="692"/>
      <c r="N85" s="692"/>
      <c r="O85" s="692"/>
      <c r="P85" s="692"/>
      <c r="Q85" s="692"/>
    </row>
    <row r="86" spans="1:17" ht="15" customHeight="1" x14ac:dyDescent="0.25">
      <c r="A86" s="728">
        <f t="shared" si="3"/>
        <v>87.912087912087912</v>
      </c>
      <c r="B86" s="87" t="s">
        <v>2262</v>
      </c>
      <c r="C86" s="555" t="s">
        <v>2133</v>
      </c>
      <c r="D86" s="563">
        <v>16000</v>
      </c>
      <c r="E86" s="573">
        <v>182</v>
      </c>
      <c r="F86" s="563">
        <v>16000</v>
      </c>
      <c r="G86" s="87">
        <f t="shared" si="2"/>
        <v>0</v>
      </c>
      <c r="H86" s="690"/>
      <c r="I86" s="693"/>
      <c r="J86" s="692"/>
      <c r="K86" s="692"/>
      <c r="L86" s="692"/>
      <c r="M86" s="692"/>
      <c r="N86" s="692"/>
      <c r="O86" s="692"/>
      <c r="P86" s="692"/>
      <c r="Q86" s="692"/>
    </row>
    <row r="87" spans="1:17" ht="15" customHeight="1" x14ac:dyDescent="0.25">
      <c r="A87" s="728">
        <f t="shared" si="3"/>
        <v>88.495575221238937</v>
      </c>
      <c r="B87" s="87" t="s">
        <v>2262</v>
      </c>
      <c r="C87" s="555" t="s">
        <v>2274</v>
      </c>
      <c r="D87" s="563">
        <v>10000</v>
      </c>
      <c r="E87" s="573">
        <v>113</v>
      </c>
      <c r="F87" s="563">
        <v>10000</v>
      </c>
      <c r="G87" s="87">
        <f t="shared" si="2"/>
        <v>0</v>
      </c>
      <c r="H87" s="690"/>
      <c r="I87" s="693"/>
      <c r="J87" s="692"/>
      <c r="K87" s="692"/>
      <c r="L87" s="692"/>
      <c r="M87" s="692"/>
      <c r="N87" s="692"/>
      <c r="O87" s="692"/>
      <c r="P87" s="692"/>
      <c r="Q87" s="692"/>
    </row>
    <row r="88" spans="1:17" ht="15" customHeight="1" x14ac:dyDescent="0.25">
      <c r="A88" s="728">
        <f t="shared" si="3"/>
        <v>88.235294117647058</v>
      </c>
      <c r="B88" s="87" t="s">
        <v>2262</v>
      </c>
      <c r="C88" s="555" t="s">
        <v>2275</v>
      </c>
      <c r="D88" s="563">
        <v>15000</v>
      </c>
      <c r="E88" s="573">
        <v>170</v>
      </c>
      <c r="F88" s="563">
        <v>15000</v>
      </c>
      <c r="G88" s="87">
        <f t="shared" si="2"/>
        <v>0</v>
      </c>
      <c r="H88" s="690"/>
      <c r="I88" s="693"/>
      <c r="J88" s="692"/>
      <c r="K88" s="692"/>
      <c r="L88" s="692"/>
      <c r="M88" s="692"/>
      <c r="N88" s="692"/>
      <c r="O88" s="692"/>
      <c r="P88" s="692"/>
      <c r="Q88" s="692"/>
    </row>
    <row r="89" spans="1:17" ht="15" customHeight="1" x14ac:dyDescent="0.25">
      <c r="A89" s="728">
        <f t="shared" si="3"/>
        <v>93.45794392523365</v>
      </c>
      <c r="B89" s="87" t="s">
        <v>2262</v>
      </c>
      <c r="C89" s="555" t="s">
        <v>2078</v>
      </c>
      <c r="D89" s="563">
        <v>20000</v>
      </c>
      <c r="E89" s="573">
        <v>214</v>
      </c>
      <c r="F89" s="563">
        <v>20000</v>
      </c>
      <c r="G89" s="87">
        <f t="shared" si="2"/>
        <v>0</v>
      </c>
      <c r="H89" s="690"/>
      <c r="I89" s="693"/>
      <c r="J89" s="692"/>
      <c r="K89" s="692"/>
      <c r="L89" s="692"/>
      <c r="M89" s="692"/>
      <c r="N89" s="692"/>
      <c r="O89" s="692"/>
      <c r="P89" s="692"/>
      <c r="Q89" s="692"/>
    </row>
    <row r="90" spans="1:17" ht="15" customHeight="1" x14ac:dyDescent="0.25">
      <c r="A90" s="728">
        <f t="shared" si="3"/>
        <v>88.105726872246692</v>
      </c>
      <c r="B90" s="87" t="s">
        <v>2262</v>
      </c>
      <c r="C90" s="555" t="s">
        <v>2276</v>
      </c>
      <c r="D90" s="563">
        <v>20000</v>
      </c>
      <c r="E90" s="573">
        <v>227</v>
      </c>
      <c r="F90" s="563">
        <v>20000</v>
      </c>
      <c r="G90" s="87">
        <f t="shared" si="2"/>
        <v>0</v>
      </c>
      <c r="H90" s="690"/>
      <c r="I90" s="693"/>
      <c r="J90" s="692"/>
      <c r="K90" s="692"/>
      <c r="L90" s="692"/>
      <c r="M90" s="692"/>
      <c r="N90" s="692"/>
      <c r="O90" s="692"/>
      <c r="P90" s="692"/>
      <c r="Q90" s="692"/>
    </row>
    <row r="91" spans="1:17" ht="15" customHeight="1" x14ac:dyDescent="0.25">
      <c r="A91" s="728">
        <f t="shared" si="3"/>
        <v>99.099099099099092</v>
      </c>
      <c r="B91" s="87" t="s">
        <v>2262</v>
      </c>
      <c r="C91" s="555" t="s">
        <v>2277</v>
      </c>
      <c r="D91" s="563">
        <v>22000</v>
      </c>
      <c r="E91" s="573">
        <v>222</v>
      </c>
      <c r="F91" s="563">
        <v>22000</v>
      </c>
      <c r="G91" s="87">
        <f t="shared" si="2"/>
        <v>0</v>
      </c>
      <c r="H91" s="690"/>
      <c r="I91" s="693"/>
      <c r="J91" s="692"/>
      <c r="K91" s="692"/>
      <c r="L91" s="692"/>
      <c r="M91" s="692"/>
      <c r="N91" s="692"/>
      <c r="O91" s="692"/>
      <c r="P91" s="692"/>
      <c r="Q91" s="692"/>
    </row>
    <row r="92" spans="1:17" ht="15" customHeight="1" x14ac:dyDescent="0.25">
      <c r="A92" s="728">
        <f t="shared" si="3"/>
        <v>100.96153846153845</v>
      </c>
      <c r="B92" s="87" t="s">
        <v>2262</v>
      </c>
      <c r="C92" s="555" t="s">
        <v>66</v>
      </c>
      <c r="D92" s="563">
        <v>210</v>
      </c>
      <c r="E92" s="573">
        <v>2.08</v>
      </c>
      <c r="F92" s="563">
        <v>210</v>
      </c>
      <c r="G92" s="87">
        <f t="shared" si="2"/>
        <v>0</v>
      </c>
      <c r="H92" s="690"/>
      <c r="I92" s="693"/>
      <c r="J92" s="692"/>
      <c r="K92" s="692"/>
      <c r="L92" s="692"/>
      <c r="M92" s="692"/>
      <c r="N92" s="692"/>
      <c r="O92" s="692"/>
      <c r="P92" s="692"/>
      <c r="Q92" s="692"/>
    </row>
    <row r="93" spans="1:17" ht="15" customHeight="1" x14ac:dyDescent="0.25">
      <c r="A93" s="728">
        <f t="shared" si="3"/>
        <v>88.105726872246692</v>
      </c>
      <c r="B93" s="87" t="s">
        <v>2262</v>
      </c>
      <c r="C93" s="555" t="s">
        <v>2278</v>
      </c>
      <c r="D93" s="563">
        <v>20000</v>
      </c>
      <c r="E93" s="573">
        <v>227</v>
      </c>
      <c r="F93" s="563">
        <v>20000</v>
      </c>
      <c r="G93" s="87">
        <f t="shared" si="2"/>
        <v>0</v>
      </c>
      <c r="H93" s="690"/>
      <c r="I93" s="693"/>
      <c r="J93" s="692"/>
      <c r="K93" s="692"/>
      <c r="L93" s="692"/>
      <c r="M93" s="692"/>
      <c r="N93" s="692"/>
      <c r="O93" s="692"/>
      <c r="P93" s="692"/>
      <c r="Q93" s="692"/>
    </row>
    <row r="94" spans="1:17" ht="15" customHeight="1" x14ac:dyDescent="0.25">
      <c r="A94" s="728">
        <f t="shared" si="3"/>
        <v>88.082901554404145</v>
      </c>
      <c r="B94" s="87" t="s">
        <v>2279</v>
      </c>
      <c r="C94" s="87" t="s">
        <v>2044</v>
      </c>
      <c r="D94" s="87">
        <v>17000</v>
      </c>
      <c r="E94" s="87">
        <v>193</v>
      </c>
      <c r="F94" s="87">
        <v>17000</v>
      </c>
      <c r="G94" s="87">
        <f t="shared" si="2"/>
        <v>0</v>
      </c>
      <c r="H94" s="690"/>
      <c r="I94" s="693"/>
      <c r="J94" s="692"/>
      <c r="K94" s="692"/>
      <c r="L94" s="692"/>
      <c r="M94" s="692"/>
      <c r="N94" s="692"/>
      <c r="O94" s="692"/>
      <c r="P94" s="692"/>
      <c r="Q94" s="692"/>
    </row>
    <row r="95" spans="1:17" ht="15" customHeight="1" x14ac:dyDescent="0.25">
      <c r="A95" s="728">
        <f t="shared" si="3"/>
        <v>87.804878048780495</v>
      </c>
      <c r="B95" s="87" t="s">
        <v>2279</v>
      </c>
      <c r="C95" s="87" t="s">
        <v>1925</v>
      </c>
      <c r="D95" s="87">
        <v>18000</v>
      </c>
      <c r="E95" s="87">
        <v>205</v>
      </c>
      <c r="F95" s="87">
        <v>18000</v>
      </c>
      <c r="G95" s="87">
        <f t="shared" si="2"/>
        <v>0</v>
      </c>
      <c r="H95" s="690"/>
      <c r="I95" s="693"/>
      <c r="J95" s="692"/>
      <c r="K95" s="692"/>
      <c r="L95" s="692"/>
      <c r="M95" s="692"/>
      <c r="N95" s="692"/>
      <c r="O95" s="692"/>
      <c r="P95" s="692"/>
      <c r="Q95" s="692"/>
    </row>
    <row r="96" spans="1:17" ht="15" customHeight="1" x14ac:dyDescent="0.25">
      <c r="A96" s="728">
        <f t="shared" si="3"/>
        <v>87.804878048780495</v>
      </c>
      <c r="B96" s="87" t="s">
        <v>2279</v>
      </c>
      <c r="C96" s="87" t="s">
        <v>1926</v>
      </c>
      <c r="D96" s="87">
        <v>18000</v>
      </c>
      <c r="E96" s="87">
        <v>205</v>
      </c>
      <c r="F96" s="87">
        <v>18000</v>
      </c>
      <c r="G96" s="87">
        <f t="shared" si="2"/>
        <v>0</v>
      </c>
      <c r="H96" s="690"/>
      <c r="I96" s="693"/>
      <c r="J96" s="692"/>
      <c r="K96" s="692"/>
      <c r="L96" s="692"/>
      <c r="M96" s="692"/>
      <c r="N96" s="692"/>
      <c r="O96" s="692"/>
      <c r="P96" s="692"/>
      <c r="Q96" s="692"/>
    </row>
    <row r="97" spans="1:17" ht="15" customHeight="1" x14ac:dyDescent="0.25">
      <c r="A97" s="728">
        <f t="shared" si="3"/>
        <v>87.837837837837839</v>
      </c>
      <c r="B97" s="87" t="s">
        <v>2279</v>
      </c>
      <c r="C97" s="87" t="s">
        <v>2281</v>
      </c>
      <c r="D97" s="87">
        <v>13000</v>
      </c>
      <c r="E97" s="87">
        <v>148</v>
      </c>
      <c r="F97" s="87">
        <v>13000</v>
      </c>
      <c r="G97" s="87">
        <f t="shared" si="2"/>
        <v>0</v>
      </c>
      <c r="H97" s="690"/>
      <c r="I97" s="693"/>
      <c r="J97" s="692"/>
      <c r="K97" s="692"/>
      <c r="L97" s="692"/>
      <c r="M97" s="692"/>
      <c r="N97" s="692"/>
      <c r="O97" s="692"/>
      <c r="P97" s="692"/>
      <c r="Q97" s="692"/>
    </row>
    <row r="98" spans="1:17" ht="15" customHeight="1" x14ac:dyDescent="0.25">
      <c r="A98" s="728">
        <f t="shared" si="3"/>
        <v>88.607594936708864</v>
      </c>
      <c r="B98" s="87" t="s">
        <v>2279</v>
      </c>
      <c r="C98" s="87" t="s">
        <v>2154</v>
      </c>
      <c r="D98" s="87">
        <v>7000</v>
      </c>
      <c r="E98" s="87">
        <v>79</v>
      </c>
      <c r="F98" s="87">
        <v>7000</v>
      </c>
      <c r="G98" s="87">
        <f t="shared" si="2"/>
        <v>0</v>
      </c>
      <c r="H98" s="690"/>
      <c r="I98" s="693"/>
      <c r="J98" s="692"/>
      <c r="K98" s="692"/>
      <c r="L98" s="692"/>
      <c r="M98" s="692"/>
      <c r="N98" s="692"/>
      <c r="O98" s="692"/>
      <c r="P98" s="692"/>
      <c r="Q98" s="692"/>
    </row>
    <row r="99" spans="1:17" ht="15" customHeight="1" x14ac:dyDescent="0.25">
      <c r="A99" s="728">
        <f t="shared" si="3"/>
        <v>90.909090909090907</v>
      </c>
      <c r="B99" s="87" t="s">
        <v>2279</v>
      </c>
      <c r="C99" s="87" t="s">
        <v>2282</v>
      </c>
      <c r="D99" s="87">
        <v>23000</v>
      </c>
      <c r="E99" s="87">
        <v>253</v>
      </c>
      <c r="F99" s="87">
        <v>23000</v>
      </c>
      <c r="G99" s="87">
        <f t="shared" si="2"/>
        <v>0</v>
      </c>
      <c r="H99" s="690"/>
      <c r="I99" s="693"/>
      <c r="J99" s="692"/>
      <c r="K99" s="692"/>
      <c r="L99" s="692"/>
      <c r="M99" s="692"/>
      <c r="N99" s="692"/>
      <c r="O99" s="692"/>
      <c r="P99" s="692"/>
      <c r="Q99" s="692"/>
    </row>
    <row r="100" spans="1:17" ht="15" customHeight="1" x14ac:dyDescent="0.25">
      <c r="A100" s="728">
        <f t="shared" si="3"/>
        <v>95.238095238095241</v>
      </c>
      <c r="B100" s="87" t="s">
        <v>2279</v>
      </c>
      <c r="C100" s="87" t="s">
        <v>2025</v>
      </c>
      <c r="D100" s="87">
        <v>16000</v>
      </c>
      <c r="E100" s="87">
        <v>168</v>
      </c>
      <c r="F100" s="87">
        <v>16000</v>
      </c>
      <c r="G100" s="87">
        <f t="shared" si="2"/>
        <v>0</v>
      </c>
      <c r="H100" s="690"/>
      <c r="I100" s="693"/>
      <c r="J100" s="692"/>
      <c r="K100" s="692"/>
      <c r="L100" s="692"/>
      <c r="M100" s="692"/>
      <c r="N100" s="692"/>
      <c r="O100" s="692"/>
      <c r="P100" s="692"/>
      <c r="Q100" s="692"/>
    </row>
    <row r="101" spans="1:17" ht="15" customHeight="1" x14ac:dyDescent="0.25">
      <c r="A101" s="728">
        <f t="shared" si="3"/>
        <v>94.117647058823536</v>
      </c>
      <c r="B101" s="87" t="s">
        <v>2279</v>
      </c>
      <c r="C101" s="87" t="s">
        <v>1848</v>
      </c>
      <c r="D101" s="87">
        <v>16000</v>
      </c>
      <c r="E101" s="87">
        <v>170</v>
      </c>
      <c r="F101" s="87">
        <v>16000</v>
      </c>
      <c r="G101" s="87">
        <f t="shared" si="2"/>
        <v>0</v>
      </c>
      <c r="H101" s="690"/>
      <c r="I101" s="693"/>
      <c r="J101" s="692"/>
      <c r="K101" s="692"/>
      <c r="L101" s="692"/>
      <c r="M101" s="692"/>
      <c r="N101" s="692"/>
      <c r="O101" s="692"/>
      <c r="P101" s="692"/>
      <c r="Q101" s="692"/>
    </row>
    <row r="102" spans="1:17" ht="15" customHeight="1" x14ac:dyDescent="0.25">
      <c r="A102" s="728">
        <f t="shared" si="3"/>
        <v>1600</v>
      </c>
      <c r="B102" s="87" t="s">
        <v>2279</v>
      </c>
      <c r="C102" s="87" t="s">
        <v>2230</v>
      </c>
      <c r="D102" s="87">
        <v>16000</v>
      </c>
      <c r="E102" s="87">
        <v>10</v>
      </c>
      <c r="F102" s="87">
        <v>16000</v>
      </c>
      <c r="G102" s="87">
        <f t="shared" si="2"/>
        <v>0</v>
      </c>
      <c r="H102" s="690"/>
      <c r="I102" s="693"/>
      <c r="J102" s="692"/>
      <c r="K102" s="692"/>
      <c r="L102" s="692"/>
      <c r="M102" s="692"/>
      <c r="N102" s="692"/>
      <c r="O102" s="692"/>
      <c r="P102" s="692"/>
      <c r="Q102" s="692"/>
    </row>
    <row r="103" spans="1:17" ht="15" customHeight="1" x14ac:dyDescent="0.25">
      <c r="A103" s="728">
        <f t="shared" si="3"/>
        <v>94.117647058823536</v>
      </c>
      <c r="B103" s="87" t="s">
        <v>2279</v>
      </c>
      <c r="C103" s="87" t="s">
        <v>2093</v>
      </c>
      <c r="D103" s="87">
        <v>16000</v>
      </c>
      <c r="E103" s="87">
        <v>170</v>
      </c>
      <c r="F103" s="87">
        <v>16000</v>
      </c>
      <c r="G103" s="87">
        <f t="shared" si="2"/>
        <v>0</v>
      </c>
      <c r="H103" s="690"/>
      <c r="I103" s="693"/>
      <c r="J103" s="692"/>
      <c r="K103" s="692"/>
      <c r="L103" s="692"/>
      <c r="M103" s="692"/>
      <c r="N103" s="692"/>
      <c r="O103" s="692"/>
      <c r="P103" s="692"/>
      <c r="Q103" s="692"/>
    </row>
    <row r="104" spans="1:17" ht="15" customHeight="1" x14ac:dyDescent="0.25">
      <c r="A104" s="728">
        <f t="shared" si="3"/>
        <v>92.05020920502092</v>
      </c>
      <c r="B104" s="87" t="s">
        <v>2279</v>
      </c>
      <c r="C104" s="87" t="s">
        <v>2081</v>
      </c>
      <c r="D104" s="87">
        <v>22000</v>
      </c>
      <c r="E104" s="87">
        <v>239</v>
      </c>
      <c r="F104" s="87">
        <v>22000</v>
      </c>
      <c r="G104" s="87">
        <f t="shared" si="2"/>
        <v>0</v>
      </c>
      <c r="H104" s="690"/>
      <c r="I104" s="693"/>
      <c r="J104" s="692"/>
      <c r="K104" s="692"/>
      <c r="L104" s="692"/>
      <c r="M104" s="692"/>
      <c r="N104" s="692"/>
      <c r="O104" s="692"/>
      <c r="P104" s="692"/>
      <c r="Q104" s="692"/>
    </row>
    <row r="105" spans="1:17" ht="15" customHeight="1" x14ac:dyDescent="0.25">
      <c r="A105" s="728">
        <f t="shared" si="3"/>
        <v>88</v>
      </c>
      <c r="B105" s="87" t="s">
        <v>2279</v>
      </c>
      <c r="C105" s="87" t="s">
        <v>2079</v>
      </c>
      <c r="D105" s="87">
        <v>22000</v>
      </c>
      <c r="E105" s="87">
        <v>250</v>
      </c>
      <c r="F105" s="87">
        <v>22000</v>
      </c>
      <c r="G105" s="87">
        <f t="shared" si="2"/>
        <v>0</v>
      </c>
      <c r="H105" s="690"/>
      <c r="I105" s="693"/>
      <c r="J105" s="692"/>
      <c r="K105" s="692"/>
      <c r="L105" s="692"/>
      <c r="M105" s="692"/>
      <c r="N105" s="692"/>
      <c r="O105" s="692"/>
      <c r="P105" s="692"/>
      <c r="Q105" s="692"/>
    </row>
    <row r="106" spans="1:17" ht="15" customHeight="1" x14ac:dyDescent="0.25">
      <c r="A106" s="728">
        <f t="shared" si="3"/>
        <v>87.912087912087912</v>
      </c>
      <c r="B106" s="87" t="s">
        <v>2279</v>
      </c>
      <c r="C106" s="87" t="s">
        <v>2142</v>
      </c>
      <c r="D106" s="87">
        <v>16000</v>
      </c>
      <c r="E106" s="87">
        <v>182</v>
      </c>
      <c r="F106" s="87">
        <v>16000</v>
      </c>
      <c r="G106" s="87">
        <f t="shared" si="2"/>
        <v>0</v>
      </c>
      <c r="H106" s="690"/>
      <c r="I106" s="693"/>
      <c r="J106" s="692"/>
      <c r="K106" s="692"/>
      <c r="L106" s="692"/>
      <c r="M106" s="692"/>
      <c r="N106" s="692"/>
      <c r="O106" s="692"/>
      <c r="P106" s="692"/>
      <c r="Q106" s="692"/>
    </row>
    <row r="107" spans="1:17" ht="15" customHeight="1" x14ac:dyDescent="0.25">
      <c r="A107" s="728">
        <f t="shared" si="3"/>
        <v>88.105726872246692</v>
      </c>
      <c r="B107" s="87" t="s">
        <v>2279</v>
      </c>
      <c r="C107" s="87" t="s">
        <v>2080</v>
      </c>
      <c r="D107" s="87">
        <v>20000</v>
      </c>
      <c r="E107" s="87">
        <v>227</v>
      </c>
      <c r="F107" s="87">
        <v>20000</v>
      </c>
      <c r="G107" s="87">
        <f t="shared" si="2"/>
        <v>0</v>
      </c>
      <c r="H107" s="690"/>
      <c r="I107" s="693"/>
      <c r="J107" s="692"/>
      <c r="K107" s="692"/>
      <c r="L107" s="692"/>
      <c r="M107" s="692"/>
      <c r="N107" s="692"/>
      <c r="O107" s="692"/>
      <c r="P107" s="692"/>
      <c r="Q107" s="692"/>
    </row>
    <row r="108" spans="1:17" ht="15" customHeight="1" x14ac:dyDescent="0.25">
      <c r="A108" s="728">
        <f t="shared" si="3"/>
        <v>88</v>
      </c>
      <c r="B108" s="87" t="s">
        <v>2279</v>
      </c>
      <c r="C108" s="87" t="s">
        <v>1725</v>
      </c>
      <c r="D108" s="87">
        <v>22000</v>
      </c>
      <c r="E108" s="87">
        <v>250</v>
      </c>
      <c r="F108" s="87">
        <v>22000</v>
      </c>
      <c r="G108" s="87">
        <f t="shared" si="2"/>
        <v>0</v>
      </c>
      <c r="H108" s="690"/>
      <c r="I108" s="693"/>
      <c r="J108" s="692"/>
      <c r="K108" s="692"/>
      <c r="L108" s="692"/>
      <c r="M108" s="692"/>
      <c r="N108" s="692"/>
      <c r="O108" s="692"/>
      <c r="P108" s="692"/>
      <c r="Q108" s="692"/>
    </row>
    <row r="109" spans="1:17" ht="15" customHeight="1" x14ac:dyDescent="0.25">
      <c r="A109" s="728">
        <f t="shared" si="3"/>
        <v>87.804878048780495</v>
      </c>
      <c r="B109" s="87" t="s">
        <v>2279</v>
      </c>
      <c r="C109" s="87" t="s">
        <v>1883</v>
      </c>
      <c r="D109" s="87">
        <v>18000</v>
      </c>
      <c r="E109" s="87">
        <v>205</v>
      </c>
      <c r="F109" s="87">
        <v>18000</v>
      </c>
      <c r="G109" s="87">
        <f t="shared" si="2"/>
        <v>0</v>
      </c>
      <c r="H109" s="690"/>
      <c r="I109" s="693"/>
      <c r="J109" s="692"/>
      <c r="K109" s="692"/>
      <c r="L109" s="692"/>
      <c r="M109" s="692"/>
      <c r="N109" s="692"/>
      <c r="O109" s="692"/>
      <c r="P109" s="692"/>
      <c r="Q109" s="692"/>
    </row>
    <row r="110" spans="1:17" ht="15" customHeight="1" x14ac:dyDescent="0.25">
      <c r="A110" s="728">
        <f t="shared" si="3"/>
        <v>94.801223241590208</v>
      </c>
      <c r="B110" s="87" t="s">
        <v>2279</v>
      </c>
      <c r="C110" s="87" t="s">
        <v>2150</v>
      </c>
      <c r="D110" s="87">
        <v>31000</v>
      </c>
      <c r="E110" s="87">
        <v>327</v>
      </c>
      <c r="F110" s="87">
        <v>31000</v>
      </c>
      <c r="G110" s="87">
        <f t="shared" si="2"/>
        <v>0</v>
      </c>
      <c r="H110" s="690"/>
      <c r="I110" s="693"/>
      <c r="J110" s="692"/>
      <c r="K110" s="692"/>
      <c r="L110" s="692"/>
      <c r="M110" s="692"/>
      <c r="N110" s="692"/>
      <c r="O110" s="692"/>
      <c r="P110" s="692"/>
      <c r="Q110" s="692"/>
    </row>
    <row r="111" spans="1:17" ht="15" customHeight="1" x14ac:dyDescent="0.25">
      <c r="A111" s="728">
        <f t="shared" si="3"/>
        <v>88</v>
      </c>
      <c r="B111" s="87" t="s">
        <v>2279</v>
      </c>
      <c r="C111" s="87" t="s">
        <v>2047</v>
      </c>
      <c r="D111" s="87">
        <v>22000</v>
      </c>
      <c r="E111" s="87">
        <v>250</v>
      </c>
      <c r="F111" s="87">
        <v>22000</v>
      </c>
      <c r="G111" s="87">
        <f t="shared" si="2"/>
        <v>0</v>
      </c>
      <c r="H111" s="690"/>
      <c r="I111" s="693"/>
      <c r="J111" s="692"/>
      <c r="K111" s="692"/>
      <c r="L111" s="692"/>
      <c r="M111" s="692"/>
      <c r="N111" s="692"/>
      <c r="O111" s="692"/>
      <c r="P111" s="692"/>
      <c r="Q111" s="692"/>
    </row>
    <row r="112" spans="1:17" ht="15" customHeight="1" x14ac:dyDescent="0.25">
      <c r="A112" s="728">
        <f t="shared" si="3"/>
        <v>87.947882736156359</v>
      </c>
      <c r="B112" s="87" t="s">
        <v>2279</v>
      </c>
      <c r="C112" s="87" t="s">
        <v>2283</v>
      </c>
      <c r="D112" s="87">
        <v>27000</v>
      </c>
      <c r="E112" s="87">
        <v>307</v>
      </c>
      <c r="F112" s="87">
        <v>27000</v>
      </c>
      <c r="G112" s="87">
        <f t="shared" si="2"/>
        <v>0</v>
      </c>
      <c r="H112" s="690"/>
      <c r="I112" s="693"/>
      <c r="J112" s="692"/>
      <c r="K112" s="692"/>
      <c r="L112" s="692"/>
      <c r="M112" s="692"/>
      <c r="N112" s="692"/>
      <c r="O112" s="692"/>
      <c r="P112" s="692"/>
      <c r="Q112" s="692"/>
    </row>
    <row r="113" spans="1:17" ht="15" customHeight="1" x14ac:dyDescent="0.25">
      <c r="A113" s="728">
        <f t="shared" si="3"/>
        <v>87.837837837837839</v>
      </c>
      <c r="B113" s="87" t="s">
        <v>2279</v>
      </c>
      <c r="C113" s="87" t="s">
        <v>2284</v>
      </c>
      <c r="D113" s="87">
        <v>26000</v>
      </c>
      <c r="E113" s="87">
        <v>296</v>
      </c>
      <c r="F113" s="87">
        <v>26000</v>
      </c>
      <c r="G113" s="87">
        <f t="shared" si="2"/>
        <v>0</v>
      </c>
      <c r="H113" s="690"/>
      <c r="I113" s="693"/>
      <c r="J113" s="692"/>
      <c r="K113" s="692"/>
      <c r="L113" s="692"/>
      <c r="M113" s="692"/>
      <c r="N113" s="692"/>
      <c r="O113" s="692"/>
      <c r="P113" s="692"/>
      <c r="Q113" s="692"/>
    </row>
    <row r="114" spans="1:17" ht="15" customHeight="1" x14ac:dyDescent="0.25">
      <c r="A114" s="728">
        <f t="shared" si="3"/>
        <v>87.912087912087912</v>
      </c>
      <c r="B114" s="87" t="s">
        <v>2279</v>
      </c>
      <c r="C114" s="87" t="s">
        <v>1891</v>
      </c>
      <c r="D114" s="87">
        <v>24000</v>
      </c>
      <c r="E114" s="87">
        <v>273</v>
      </c>
      <c r="F114" s="87">
        <v>24000</v>
      </c>
      <c r="G114" s="87">
        <f t="shared" si="2"/>
        <v>0</v>
      </c>
      <c r="H114" s="690"/>
      <c r="I114" s="693"/>
      <c r="J114" s="692"/>
      <c r="K114" s="692"/>
      <c r="L114" s="692"/>
      <c r="M114" s="692"/>
      <c r="N114" s="692"/>
      <c r="O114" s="692"/>
      <c r="P114" s="692"/>
      <c r="Q114" s="692"/>
    </row>
    <row r="115" spans="1:17" ht="15" customHeight="1" x14ac:dyDescent="0.25">
      <c r="A115" s="728">
        <f t="shared" si="3"/>
        <v>89.928057553956833</v>
      </c>
      <c r="B115" s="87" t="s">
        <v>2279</v>
      </c>
      <c r="C115" s="87" t="s">
        <v>1959</v>
      </c>
      <c r="D115" s="87">
        <v>25000</v>
      </c>
      <c r="E115" s="87">
        <v>278</v>
      </c>
      <c r="F115" s="87">
        <v>25000</v>
      </c>
      <c r="G115" s="87">
        <f t="shared" si="2"/>
        <v>0</v>
      </c>
      <c r="H115" s="690"/>
      <c r="I115" s="693"/>
      <c r="J115" s="692"/>
      <c r="K115" s="692"/>
      <c r="L115" s="692"/>
      <c r="M115" s="692"/>
      <c r="N115" s="692"/>
      <c r="O115" s="692"/>
      <c r="P115" s="692"/>
      <c r="Q115" s="692"/>
    </row>
    <row r="116" spans="1:17" ht="15" customHeight="1" x14ac:dyDescent="0.25">
      <c r="A116" s="728">
        <f t="shared" si="3"/>
        <v>81.818181818181813</v>
      </c>
      <c r="B116" s="87" t="s">
        <v>2279</v>
      </c>
      <c r="C116" s="87" t="s">
        <v>2285</v>
      </c>
      <c r="D116" s="87">
        <v>18000</v>
      </c>
      <c r="E116" s="87">
        <v>220</v>
      </c>
      <c r="F116" s="87">
        <v>18000</v>
      </c>
      <c r="G116" s="87">
        <f t="shared" si="2"/>
        <v>0</v>
      </c>
      <c r="H116" s="690"/>
      <c r="I116" s="693"/>
      <c r="J116" s="692"/>
      <c r="K116" s="692"/>
      <c r="L116" s="692"/>
      <c r="M116" s="692"/>
      <c r="N116" s="692"/>
      <c r="O116" s="692"/>
      <c r="P116" s="692"/>
      <c r="Q116" s="692"/>
    </row>
    <row r="117" spans="1:17" ht="15" customHeight="1" x14ac:dyDescent="0.25">
      <c r="A117" s="728">
        <f t="shared" si="3"/>
        <v>92.783505154639172</v>
      </c>
      <c r="B117" s="87" t="s">
        <v>2279</v>
      </c>
      <c r="C117" s="87" t="s">
        <v>2286</v>
      </c>
      <c r="D117" s="87">
        <v>18000</v>
      </c>
      <c r="E117" s="87">
        <v>194</v>
      </c>
      <c r="F117" s="87">
        <v>18000</v>
      </c>
      <c r="G117" s="87">
        <f t="shared" si="2"/>
        <v>0</v>
      </c>
      <c r="H117" s="690"/>
      <c r="I117" s="693"/>
      <c r="J117" s="692"/>
      <c r="K117" s="692"/>
      <c r="L117" s="692"/>
      <c r="M117" s="692"/>
      <c r="N117" s="692"/>
      <c r="O117" s="692"/>
      <c r="P117" s="692"/>
      <c r="Q117" s="692"/>
    </row>
    <row r="118" spans="1:17" ht="15" customHeight="1" x14ac:dyDescent="0.25">
      <c r="A118" s="728">
        <f t="shared" si="3"/>
        <v>87.786259541984734</v>
      </c>
      <c r="B118" s="87" t="s">
        <v>2279</v>
      </c>
      <c r="C118" s="87" t="s">
        <v>2048</v>
      </c>
      <c r="D118" s="87">
        <v>23000</v>
      </c>
      <c r="E118" s="87">
        <v>262</v>
      </c>
      <c r="F118" s="87">
        <v>23000</v>
      </c>
      <c r="G118" s="87">
        <f t="shared" si="2"/>
        <v>0</v>
      </c>
      <c r="H118" s="690"/>
      <c r="I118" s="693"/>
      <c r="J118" s="692"/>
      <c r="K118" s="692"/>
      <c r="L118" s="692"/>
      <c r="M118" s="692"/>
      <c r="N118" s="692"/>
      <c r="O118" s="692"/>
      <c r="P118" s="692"/>
      <c r="Q118" s="692"/>
    </row>
    <row r="119" spans="1:17" ht="15" customHeight="1" x14ac:dyDescent="0.25">
      <c r="A119" s="728">
        <f t="shared" si="3"/>
        <v>87.786259541984734</v>
      </c>
      <c r="B119" s="87" t="s">
        <v>2279</v>
      </c>
      <c r="C119" s="87" t="s">
        <v>2049</v>
      </c>
      <c r="D119" s="87">
        <v>23000</v>
      </c>
      <c r="E119" s="87">
        <v>262</v>
      </c>
      <c r="F119" s="87">
        <v>23000</v>
      </c>
      <c r="G119" s="87">
        <f t="shared" si="2"/>
        <v>0</v>
      </c>
      <c r="H119" s="690"/>
      <c r="I119" s="693"/>
      <c r="J119" s="692"/>
      <c r="K119" s="692"/>
      <c r="L119" s="692"/>
      <c r="M119" s="692"/>
      <c r="N119" s="692"/>
      <c r="O119" s="692"/>
      <c r="P119" s="692"/>
      <c r="Q119" s="692"/>
    </row>
    <row r="120" spans="1:17" ht="15" customHeight="1" x14ac:dyDescent="0.25">
      <c r="A120" s="728">
        <f t="shared" si="3"/>
        <v>96.916299559471369</v>
      </c>
      <c r="B120" s="87" t="s">
        <v>2279</v>
      </c>
      <c r="C120" s="87" t="s">
        <v>2287</v>
      </c>
      <c r="D120" s="87">
        <v>22000</v>
      </c>
      <c r="E120" s="87">
        <v>227</v>
      </c>
      <c r="F120" s="87">
        <v>22000</v>
      </c>
      <c r="G120" s="87">
        <f t="shared" si="2"/>
        <v>0</v>
      </c>
      <c r="H120" s="690"/>
      <c r="I120" s="693"/>
      <c r="J120" s="692"/>
      <c r="K120" s="692"/>
      <c r="L120" s="692"/>
      <c r="M120" s="692"/>
      <c r="N120" s="692"/>
      <c r="O120" s="692"/>
      <c r="P120" s="692"/>
      <c r="Q120" s="692"/>
    </row>
    <row r="121" spans="1:17" ht="15" customHeight="1" x14ac:dyDescent="0.25">
      <c r="A121" s="728">
        <f t="shared" si="3"/>
        <v>88.105726872246692</v>
      </c>
      <c r="B121" s="87" t="s">
        <v>2279</v>
      </c>
      <c r="C121" s="87" t="s">
        <v>2288</v>
      </c>
      <c r="D121" s="87">
        <v>20000</v>
      </c>
      <c r="E121" s="87">
        <v>227</v>
      </c>
      <c r="F121" s="87">
        <v>20000</v>
      </c>
      <c r="G121" s="87">
        <f t="shared" si="2"/>
        <v>0</v>
      </c>
      <c r="H121" s="690"/>
      <c r="I121" s="693"/>
      <c r="J121" s="692"/>
      <c r="K121" s="692"/>
      <c r="L121" s="692"/>
      <c r="M121" s="692"/>
      <c r="N121" s="692"/>
      <c r="O121" s="692"/>
      <c r="P121" s="692"/>
      <c r="Q121" s="692"/>
    </row>
    <row r="122" spans="1:17" ht="15" customHeight="1" x14ac:dyDescent="0.25">
      <c r="A122" s="728">
        <f t="shared" si="3"/>
        <v>88.495575221238937</v>
      </c>
      <c r="B122" s="87" t="s">
        <v>2279</v>
      </c>
      <c r="C122" s="87" t="s">
        <v>2289</v>
      </c>
      <c r="D122" s="87">
        <v>10000</v>
      </c>
      <c r="E122" s="87">
        <v>113</v>
      </c>
      <c r="F122" s="87">
        <v>10000</v>
      </c>
      <c r="G122" s="87">
        <f t="shared" si="2"/>
        <v>0</v>
      </c>
      <c r="H122" s="690"/>
      <c r="I122" s="693"/>
      <c r="J122" s="692"/>
      <c r="K122" s="692"/>
      <c r="L122" s="692"/>
      <c r="M122" s="692"/>
      <c r="N122" s="692"/>
      <c r="O122" s="692"/>
      <c r="P122" s="692"/>
      <c r="Q122" s="692"/>
    </row>
    <row r="123" spans="1:17" ht="15" customHeight="1" x14ac:dyDescent="0.25">
      <c r="A123" s="728">
        <f t="shared" si="3"/>
        <v>88.495575221238937</v>
      </c>
      <c r="B123" s="87" t="s">
        <v>2279</v>
      </c>
      <c r="C123" s="87" t="s">
        <v>2290</v>
      </c>
      <c r="D123" s="87">
        <v>10000</v>
      </c>
      <c r="E123" s="87">
        <v>113</v>
      </c>
      <c r="F123" s="87">
        <v>10000</v>
      </c>
      <c r="G123" s="87">
        <f t="shared" si="2"/>
        <v>0</v>
      </c>
      <c r="H123" s="690"/>
      <c r="I123" s="693"/>
      <c r="J123" s="692"/>
      <c r="K123" s="692"/>
      <c r="L123" s="692"/>
      <c r="M123" s="692"/>
      <c r="N123" s="692"/>
      <c r="O123" s="692"/>
      <c r="P123" s="692"/>
      <c r="Q123" s="692"/>
    </row>
    <row r="124" spans="1:17" ht="15" customHeight="1" x14ac:dyDescent="0.25">
      <c r="A124" s="728">
        <f t="shared" si="3"/>
        <v>95.541401273885356</v>
      </c>
      <c r="B124" s="87" t="s">
        <v>2279</v>
      </c>
      <c r="C124" s="87" t="s">
        <v>2291</v>
      </c>
      <c r="D124" s="87">
        <v>30000</v>
      </c>
      <c r="E124" s="87">
        <v>314</v>
      </c>
      <c r="F124" s="87">
        <v>30000</v>
      </c>
      <c r="G124" s="87">
        <f t="shared" si="2"/>
        <v>0</v>
      </c>
      <c r="H124" s="690"/>
      <c r="I124" s="693"/>
      <c r="J124" s="692"/>
      <c r="K124" s="692"/>
      <c r="L124" s="692"/>
      <c r="M124" s="692"/>
      <c r="N124" s="692"/>
      <c r="O124" s="692"/>
      <c r="P124" s="692"/>
      <c r="Q124" s="692"/>
    </row>
    <row r="125" spans="1:17" ht="15" customHeight="1" x14ac:dyDescent="0.25">
      <c r="A125" s="728">
        <f t="shared" si="3"/>
        <v>94.637223974763401</v>
      </c>
      <c r="B125" s="87" t="s">
        <v>2279</v>
      </c>
      <c r="C125" s="87" t="s">
        <v>2151</v>
      </c>
      <c r="D125" s="87">
        <v>30000</v>
      </c>
      <c r="E125" s="87">
        <v>317</v>
      </c>
      <c r="F125" s="87">
        <v>30000</v>
      </c>
      <c r="G125" s="87">
        <f t="shared" si="2"/>
        <v>0</v>
      </c>
      <c r="H125" s="690"/>
      <c r="I125" s="693"/>
      <c r="J125" s="692"/>
      <c r="K125" s="692"/>
      <c r="L125" s="692"/>
      <c r="M125" s="692"/>
      <c r="N125" s="692"/>
      <c r="O125" s="692"/>
      <c r="P125" s="692"/>
      <c r="Q125" s="692"/>
    </row>
    <row r="126" spans="1:17" ht="15" customHeight="1" x14ac:dyDescent="0.25">
      <c r="A126" s="728">
        <f t="shared" si="3"/>
        <v>88</v>
      </c>
      <c r="B126" s="87" t="s">
        <v>2292</v>
      </c>
      <c r="C126" s="87" t="s">
        <v>2293</v>
      </c>
      <c r="D126" s="87">
        <v>22000</v>
      </c>
      <c r="E126" s="573">
        <v>250</v>
      </c>
      <c r="F126" s="87">
        <v>22000</v>
      </c>
      <c r="G126" s="87">
        <f t="shared" si="2"/>
        <v>0</v>
      </c>
      <c r="H126" s="690"/>
      <c r="I126" s="693"/>
      <c r="J126" s="692"/>
      <c r="K126" s="692"/>
      <c r="L126" s="692"/>
      <c r="M126" s="692"/>
      <c r="N126" s="692"/>
      <c r="O126" s="692"/>
      <c r="P126" s="692"/>
      <c r="Q126" s="692"/>
    </row>
    <row r="127" spans="1:17" ht="15" customHeight="1" x14ac:dyDescent="0.25">
      <c r="A127" s="728">
        <f t="shared" si="3"/>
        <v>882.35294117647061</v>
      </c>
      <c r="B127" s="87" t="s">
        <v>2292</v>
      </c>
      <c r="C127" s="87" t="s">
        <v>17</v>
      </c>
      <c r="D127" s="87">
        <v>30000</v>
      </c>
      <c r="E127" s="573">
        <v>34</v>
      </c>
      <c r="F127" s="87">
        <v>30000</v>
      </c>
      <c r="G127" s="87">
        <f t="shared" si="2"/>
        <v>0</v>
      </c>
      <c r="H127" s="690"/>
      <c r="I127" s="693"/>
      <c r="J127" s="692"/>
      <c r="K127" s="692"/>
      <c r="L127" s="692"/>
      <c r="M127" s="692"/>
      <c r="N127" s="692"/>
      <c r="O127" s="692"/>
      <c r="P127" s="692"/>
      <c r="Q127" s="692"/>
    </row>
    <row r="128" spans="1:17" ht="15" customHeight="1" x14ac:dyDescent="0.25">
      <c r="A128" s="728">
        <f t="shared" si="3"/>
        <v>88.105726872246692</v>
      </c>
      <c r="B128" s="87" t="s">
        <v>2292</v>
      </c>
      <c r="C128" s="87" t="s">
        <v>2294</v>
      </c>
      <c r="D128" s="87">
        <v>20000</v>
      </c>
      <c r="E128" s="573">
        <v>227</v>
      </c>
      <c r="F128" s="87">
        <v>20000</v>
      </c>
      <c r="G128" s="87">
        <f t="shared" si="2"/>
        <v>0</v>
      </c>
      <c r="H128" s="690"/>
      <c r="I128" s="693"/>
      <c r="J128" s="692"/>
      <c r="K128" s="692"/>
      <c r="L128" s="692"/>
      <c r="M128" s="692"/>
      <c r="N128" s="692"/>
      <c r="O128" s="692"/>
      <c r="P128" s="692"/>
      <c r="Q128" s="692"/>
    </row>
    <row r="129" spans="1:17" ht="15" customHeight="1" x14ac:dyDescent="0.25">
      <c r="A129" s="728">
        <f t="shared" si="3"/>
        <v>88.495575221238937</v>
      </c>
      <c r="B129" s="87" t="s">
        <v>2292</v>
      </c>
      <c r="C129" s="87" t="s">
        <v>30</v>
      </c>
      <c r="D129" s="87">
        <v>10000</v>
      </c>
      <c r="E129" s="573">
        <v>113</v>
      </c>
      <c r="F129" s="87">
        <v>10000</v>
      </c>
      <c r="G129" s="87">
        <f t="shared" si="2"/>
        <v>0</v>
      </c>
      <c r="H129" s="690"/>
      <c r="I129" s="693"/>
      <c r="J129" s="692"/>
      <c r="K129" s="692"/>
      <c r="L129" s="692"/>
      <c r="M129" s="692"/>
      <c r="N129" s="692"/>
      <c r="O129" s="692"/>
      <c r="P129" s="692"/>
      <c r="Q129" s="692"/>
    </row>
    <row r="130" spans="1:17" ht="15" customHeight="1" x14ac:dyDescent="0.25">
      <c r="A130" s="728">
        <f t="shared" si="3"/>
        <v>87.768888888888895</v>
      </c>
      <c r="B130" s="87" t="s">
        <v>2292</v>
      </c>
      <c r="C130" s="87" t="s">
        <v>2295</v>
      </c>
      <c r="D130" s="87">
        <v>19748</v>
      </c>
      <c r="E130" s="573">
        <v>225</v>
      </c>
      <c r="F130" s="87">
        <v>19748</v>
      </c>
      <c r="G130" s="87">
        <f t="shared" si="2"/>
        <v>0</v>
      </c>
      <c r="H130" s="690"/>
      <c r="I130" s="693"/>
      <c r="J130" s="692"/>
      <c r="K130" s="692"/>
      <c r="L130" s="692"/>
      <c r="M130" s="692"/>
      <c r="N130" s="692"/>
      <c r="O130" s="692"/>
      <c r="P130" s="692"/>
      <c r="Q130" s="692"/>
    </row>
    <row r="131" spans="1:17" ht="15" customHeight="1" x14ac:dyDescent="0.25">
      <c r="A131" s="728">
        <f t="shared" si="3"/>
        <v>90.497737556561091</v>
      </c>
      <c r="B131" s="87" t="s">
        <v>2292</v>
      </c>
      <c r="C131" s="87" t="s">
        <v>2296</v>
      </c>
      <c r="D131" s="87">
        <v>20000</v>
      </c>
      <c r="E131" s="573">
        <v>221</v>
      </c>
      <c r="F131" s="87">
        <v>20000</v>
      </c>
      <c r="G131" s="87">
        <f t="shared" si="2"/>
        <v>0</v>
      </c>
      <c r="H131" s="690"/>
      <c r="I131" s="693"/>
      <c r="J131" s="692"/>
      <c r="K131" s="692"/>
      <c r="L131" s="692"/>
      <c r="M131" s="692"/>
      <c r="N131" s="692"/>
      <c r="O131" s="692"/>
      <c r="P131" s="692"/>
      <c r="Q131" s="692"/>
    </row>
    <row r="132" spans="1:17" ht="15" customHeight="1" x14ac:dyDescent="0.25">
      <c r="A132" s="728">
        <f t="shared" si="3"/>
        <v>100</v>
      </c>
      <c r="B132" s="87" t="s">
        <v>2292</v>
      </c>
      <c r="C132" s="87" t="s">
        <v>66</v>
      </c>
      <c r="D132" s="87">
        <v>150</v>
      </c>
      <c r="E132" s="573">
        <v>1.5</v>
      </c>
      <c r="F132" s="87">
        <v>150</v>
      </c>
      <c r="G132" s="87">
        <f t="shared" si="2"/>
        <v>0</v>
      </c>
      <c r="H132" s="690"/>
      <c r="I132" s="693"/>
      <c r="J132" s="692"/>
      <c r="K132" s="692"/>
      <c r="L132" s="692"/>
      <c r="M132" s="692"/>
      <c r="N132" s="692"/>
      <c r="O132" s="692"/>
      <c r="P132" s="692"/>
      <c r="Q132" s="692"/>
    </row>
    <row r="133" spans="1:17" ht="15" customHeight="1" x14ac:dyDescent="0.25">
      <c r="A133" s="728">
        <f t="shared" si="3"/>
        <v>87.912087912087912</v>
      </c>
      <c r="B133" s="87" t="s">
        <v>2292</v>
      </c>
      <c r="C133" s="87" t="s">
        <v>1923</v>
      </c>
      <c r="D133" s="87">
        <v>16000</v>
      </c>
      <c r="E133" s="573">
        <v>182</v>
      </c>
      <c r="F133" s="87">
        <v>16000</v>
      </c>
      <c r="G133" s="87">
        <f t="shared" si="2"/>
        <v>0</v>
      </c>
      <c r="H133" s="690"/>
      <c r="I133" s="693"/>
      <c r="J133" s="692"/>
      <c r="K133" s="692"/>
      <c r="L133" s="692"/>
      <c r="M133" s="692"/>
      <c r="N133" s="692"/>
      <c r="O133" s="692"/>
      <c r="P133" s="692"/>
      <c r="Q133" s="692"/>
    </row>
    <row r="134" spans="1:17" ht="15" customHeight="1" x14ac:dyDescent="0.25">
      <c r="A134" s="728">
        <f t="shared" si="3"/>
        <v>87.912087912087912</v>
      </c>
      <c r="B134" s="87" t="s">
        <v>2292</v>
      </c>
      <c r="C134" s="87" t="s">
        <v>1855</v>
      </c>
      <c r="D134" s="87">
        <v>16000</v>
      </c>
      <c r="E134" s="573">
        <v>182</v>
      </c>
      <c r="F134" s="87">
        <v>16000</v>
      </c>
      <c r="G134" s="87">
        <f t="shared" si="2"/>
        <v>0</v>
      </c>
      <c r="H134" s="690"/>
      <c r="I134" s="693"/>
      <c r="J134" s="692"/>
      <c r="K134" s="692"/>
      <c r="L134" s="692"/>
      <c r="M134" s="692"/>
      <c r="N134" s="692"/>
      <c r="O134" s="692"/>
      <c r="P134" s="692"/>
      <c r="Q134" s="692"/>
    </row>
    <row r="135" spans="1:17" ht="15" customHeight="1" x14ac:dyDescent="0.25">
      <c r="A135" s="728">
        <f t="shared" ref="A135:A198" si="4">D135/E135</f>
        <v>90.395480225988706</v>
      </c>
      <c r="B135" s="87" t="s">
        <v>2292</v>
      </c>
      <c r="C135" s="87" t="s">
        <v>1924</v>
      </c>
      <c r="D135" s="87">
        <v>16000</v>
      </c>
      <c r="E135" s="573">
        <v>177</v>
      </c>
      <c r="F135" s="87">
        <v>16000</v>
      </c>
      <c r="G135" s="87">
        <f t="shared" si="2"/>
        <v>0</v>
      </c>
      <c r="H135" s="690"/>
      <c r="I135" s="693"/>
      <c r="J135" s="692"/>
      <c r="K135" s="692"/>
      <c r="L135" s="692"/>
      <c r="M135" s="692"/>
      <c r="N135" s="692"/>
      <c r="O135" s="692"/>
      <c r="P135" s="692"/>
      <c r="Q135" s="692"/>
    </row>
    <row r="136" spans="1:17" ht="15" customHeight="1" x14ac:dyDescent="0.25">
      <c r="A136" s="728">
        <f t="shared" si="4"/>
        <v>87.844086021505376</v>
      </c>
      <c r="B136" s="87" t="s">
        <v>2292</v>
      </c>
      <c r="C136" s="87" t="s">
        <v>2297</v>
      </c>
      <c r="D136" s="87">
        <v>16339</v>
      </c>
      <c r="E136" s="573">
        <v>186</v>
      </c>
      <c r="F136" s="87">
        <v>16339</v>
      </c>
      <c r="G136" s="87">
        <f t="shared" ref="G136:G620" si="5">D136-F136</f>
        <v>0</v>
      </c>
      <c r="H136" s="690"/>
      <c r="I136" s="693"/>
      <c r="J136" s="692"/>
      <c r="K136" s="692"/>
      <c r="L136" s="692"/>
      <c r="M136" s="692"/>
      <c r="N136" s="692"/>
      <c r="O136" s="692"/>
      <c r="P136" s="692"/>
      <c r="Q136" s="692"/>
    </row>
    <row r="137" spans="1:17" ht="15" customHeight="1" x14ac:dyDescent="0.25">
      <c r="A137" s="728">
        <f t="shared" si="4"/>
        <v>94.117647058823536</v>
      </c>
      <c r="B137" s="87" t="s">
        <v>2292</v>
      </c>
      <c r="C137" s="87" t="s">
        <v>2038</v>
      </c>
      <c r="D137" s="87">
        <v>16000</v>
      </c>
      <c r="E137" s="573">
        <v>170</v>
      </c>
      <c r="F137" s="87">
        <v>16000</v>
      </c>
      <c r="G137" s="87">
        <f t="shared" si="5"/>
        <v>0</v>
      </c>
      <c r="H137" s="690"/>
      <c r="I137" s="693"/>
      <c r="J137" s="692"/>
      <c r="K137" s="692"/>
      <c r="L137" s="692"/>
      <c r="M137" s="692"/>
      <c r="N137" s="692"/>
      <c r="O137" s="692"/>
      <c r="P137" s="692"/>
      <c r="Q137" s="692"/>
    </row>
    <row r="138" spans="1:17" ht="15" customHeight="1" x14ac:dyDescent="0.25">
      <c r="A138" s="728">
        <f t="shared" si="4"/>
        <v>88.495575221238937</v>
      </c>
      <c r="B138" s="87" t="s">
        <v>2292</v>
      </c>
      <c r="C138" s="87" t="s">
        <v>2298</v>
      </c>
      <c r="D138" s="87">
        <v>10000</v>
      </c>
      <c r="E138" s="573">
        <v>113</v>
      </c>
      <c r="F138" s="87">
        <v>10000</v>
      </c>
      <c r="G138" s="87">
        <f t="shared" si="5"/>
        <v>0</v>
      </c>
      <c r="H138" s="690"/>
      <c r="I138" s="693"/>
      <c r="J138" s="692"/>
      <c r="K138" s="692"/>
      <c r="L138" s="692"/>
      <c r="M138" s="692"/>
      <c r="N138" s="692"/>
      <c r="O138" s="692"/>
      <c r="P138" s="692"/>
      <c r="Q138" s="692"/>
    </row>
    <row r="139" spans="1:17" ht="15" customHeight="1" x14ac:dyDescent="0.25">
      <c r="A139" s="728">
        <f t="shared" si="4"/>
        <v>87.786259541984734</v>
      </c>
      <c r="B139" s="87" t="s">
        <v>2292</v>
      </c>
      <c r="C139" s="87" t="s">
        <v>2299</v>
      </c>
      <c r="D139" s="87">
        <v>23000</v>
      </c>
      <c r="E139" s="573">
        <v>262</v>
      </c>
      <c r="F139" s="87">
        <v>23000</v>
      </c>
      <c r="G139" s="87">
        <f t="shared" si="5"/>
        <v>0</v>
      </c>
      <c r="H139" s="690"/>
      <c r="I139" s="693"/>
      <c r="J139" s="692"/>
      <c r="K139" s="692"/>
      <c r="L139" s="692"/>
      <c r="M139" s="692"/>
      <c r="N139" s="692"/>
      <c r="O139" s="692"/>
      <c r="P139" s="692"/>
      <c r="Q139" s="692"/>
    </row>
    <row r="140" spans="1:17" ht="15" customHeight="1" x14ac:dyDescent="0.25">
      <c r="A140" s="728">
        <f t="shared" si="4"/>
        <v>88</v>
      </c>
      <c r="B140" s="87" t="s">
        <v>2292</v>
      </c>
      <c r="C140" s="87" t="s">
        <v>2300</v>
      </c>
      <c r="D140" s="87">
        <v>33000</v>
      </c>
      <c r="E140" s="573">
        <v>375</v>
      </c>
      <c r="F140" s="87">
        <v>33000</v>
      </c>
      <c r="G140" s="87">
        <f t="shared" si="5"/>
        <v>0</v>
      </c>
      <c r="H140" s="690"/>
      <c r="I140" s="693"/>
      <c r="J140" s="692"/>
      <c r="K140" s="692"/>
      <c r="L140" s="692"/>
      <c r="M140" s="692"/>
      <c r="N140" s="692"/>
      <c r="O140" s="692"/>
      <c r="P140" s="692"/>
      <c r="Q140" s="692"/>
    </row>
    <row r="141" spans="1:17" ht="15" customHeight="1" x14ac:dyDescent="0.25">
      <c r="A141" s="728">
        <f t="shared" si="4"/>
        <v>87.86610878661088</v>
      </c>
      <c r="B141" s="87" t="s">
        <v>2292</v>
      </c>
      <c r="C141" s="87" t="s">
        <v>2301</v>
      </c>
      <c r="D141" s="87">
        <v>21000</v>
      </c>
      <c r="E141" s="573">
        <v>239</v>
      </c>
      <c r="F141" s="87">
        <v>21000</v>
      </c>
      <c r="G141" s="87">
        <f t="shared" si="5"/>
        <v>0</v>
      </c>
      <c r="H141" s="690"/>
      <c r="I141" s="693"/>
      <c r="J141" s="692"/>
      <c r="K141" s="692"/>
      <c r="L141" s="692"/>
      <c r="M141" s="692"/>
      <c r="N141" s="692"/>
      <c r="O141" s="692"/>
      <c r="P141" s="692"/>
      <c r="Q141" s="692"/>
    </row>
    <row r="142" spans="1:17" ht="15" customHeight="1" x14ac:dyDescent="0.25">
      <c r="A142" s="728">
        <f t="shared" si="4"/>
        <v>87.912087912087912</v>
      </c>
      <c r="B142" s="87" t="s">
        <v>2302</v>
      </c>
      <c r="C142" s="87" t="s">
        <v>2303</v>
      </c>
      <c r="D142" s="87">
        <v>16000</v>
      </c>
      <c r="E142" s="573">
        <v>182</v>
      </c>
      <c r="F142" s="87">
        <v>16000</v>
      </c>
      <c r="G142" s="87">
        <f t="shared" si="5"/>
        <v>0</v>
      </c>
      <c r="H142" s="690"/>
      <c r="I142" s="693"/>
      <c r="J142" s="692"/>
      <c r="K142" s="692"/>
      <c r="L142" s="692"/>
      <c r="M142" s="692"/>
      <c r="N142" s="692"/>
      <c r="O142" s="692"/>
      <c r="P142" s="692"/>
      <c r="Q142" s="692"/>
    </row>
    <row r="143" spans="1:17" ht="15" customHeight="1" x14ac:dyDescent="0.25">
      <c r="A143" s="728">
        <f t="shared" si="4"/>
        <v>88.235294117647058</v>
      </c>
      <c r="B143" s="87" t="s">
        <v>2302</v>
      </c>
      <c r="C143" s="87" t="s">
        <v>1744</v>
      </c>
      <c r="D143" s="87">
        <v>15000</v>
      </c>
      <c r="E143" s="573">
        <v>170</v>
      </c>
      <c r="F143" s="87">
        <v>15000</v>
      </c>
      <c r="G143" s="87">
        <f t="shared" si="5"/>
        <v>0</v>
      </c>
      <c r="H143" s="690"/>
      <c r="I143" s="693"/>
      <c r="J143" s="692"/>
      <c r="K143" s="692"/>
      <c r="L143" s="692"/>
      <c r="M143" s="692"/>
      <c r="N143" s="692"/>
      <c r="O143" s="692"/>
      <c r="P143" s="692"/>
      <c r="Q143" s="692"/>
    </row>
    <row r="144" spans="1:17" ht="15" customHeight="1" x14ac:dyDescent="0.25">
      <c r="A144" s="728">
        <f t="shared" si="4"/>
        <v>88.105726872246692</v>
      </c>
      <c r="B144" s="87" t="s">
        <v>2302</v>
      </c>
      <c r="C144" s="87" t="s">
        <v>1726</v>
      </c>
      <c r="D144" s="87">
        <v>20000</v>
      </c>
      <c r="E144" s="573">
        <v>227</v>
      </c>
      <c r="F144" s="87">
        <v>20000</v>
      </c>
      <c r="G144" s="87">
        <f t="shared" si="5"/>
        <v>0</v>
      </c>
      <c r="H144" s="690"/>
      <c r="I144" s="693"/>
      <c r="J144" s="692"/>
      <c r="K144" s="692"/>
      <c r="L144" s="692"/>
      <c r="M144" s="692"/>
      <c r="N144" s="692"/>
      <c r="O144" s="692"/>
      <c r="P144" s="692"/>
      <c r="Q144" s="692"/>
    </row>
    <row r="145" spans="1:17" ht="15" customHeight="1" x14ac:dyDescent="0.25">
      <c r="A145" s="728">
        <f t="shared" si="4"/>
        <v>100.96153846153845</v>
      </c>
      <c r="B145" s="87" t="s">
        <v>2302</v>
      </c>
      <c r="C145" s="87" t="s">
        <v>66</v>
      </c>
      <c r="D145" s="87">
        <v>210</v>
      </c>
      <c r="E145" s="573">
        <v>2.08</v>
      </c>
      <c r="F145" s="87">
        <v>210</v>
      </c>
      <c r="G145" s="87">
        <f t="shared" si="5"/>
        <v>0</v>
      </c>
      <c r="H145" s="690"/>
      <c r="I145" s="693"/>
      <c r="J145" s="692"/>
      <c r="K145" s="692"/>
      <c r="L145" s="692"/>
      <c r="M145" s="692"/>
      <c r="N145" s="692"/>
      <c r="O145" s="692"/>
      <c r="P145" s="692"/>
      <c r="Q145" s="692"/>
    </row>
    <row r="146" spans="1:17" ht="15" customHeight="1" x14ac:dyDescent="0.25">
      <c r="A146" s="728">
        <f t="shared" si="4"/>
        <v>87.837837837837839</v>
      </c>
      <c r="B146" s="87" t="s">
        <v>2302</v>
      </c>
      <c r="C146" s="87" t="s">
        <v>2304</v>
      </c>
      <c r="D146" s="87">
        <v>26000</v>
      </c>
      <c r="E146" s="573">
        <v>296</v>
      </c>
      <c r="F146" s="87">
        <v>26000</v>
      </c>
      <c r="G146" s="87">
        <f t="shared" si="5"/>
        <v>0</v>
      </c>
      <c r="H146" s="690"/>
      <c r="I146" s="693"/>
      <c r="J146" s="692"/>
      <c r="K146" s="692"/>
      <c r="L146" s="692"/>
      <c r="M146" s="692"/>
      <c r="N146" s="692"/>
      <c r="O146" s="692"/>
      <c r="P146" s="692"/>
      <c r="Q146" s="692"/>
    </row>
    <row r="147" spans="1:17" ht="15" customHeight="1" x14ac:dyDescent="0.25">
      <c r="A147" s="728">
        <f t="shared" si="4"/>
        <v>87.947882736156359</v>
      </c>
      <c r="B147" s="87" t="s">
        <v>2302</v>
      </c>
      <c r="C147" s="87" t="s">
        <v>2305</v>
      </c>
      <c r="D147" s="87">
        <v>27000</v>
      </c>
      <c r="E147" s="573">
        <v>307</v>
      </c>
      <c r="F147" s="87">
        <v>27000</v>
      </c>
      <c r="G147" s="87">
        <f t="shared" si="5"/>
        <v>0</v>
      </c>
      <c r="H147" s="690"/>
      <c r="I147" s="693"/>
      <c r="J147" s="692"/>
      <c r="K147" s="692"/>
      <c r="L147" s="692"/>
      <c r="M147" s="692"/>
      <c r="N147" s="692"/>
      <c r="O147" s="692"/>
      <c r="P147" s="692"/>
      <c r="Q147" s="692"/>
    </row>
    <row r="148" spans="1:17" ht="15" customHeight="1" x14ac:dyDescent="0.25">
      <c r="A148" s="728">
        <f t="shared" si="4"/>
        <v>87.774294670846402</v>
      </c>
      <c r="B148" s="87" t="s">
        <v>2302</v>
      </c>
      <c r="C148" s="87" t="s">
        <v>2306</v>
      </c>
      <c r="D148" s="87">
        <v>28000</v>
      </c>
      <c r="E148" s="573">
        <v>319</v>
      </c>
      <c r="F148" s="87">
        <v>28000</v>
      </c>
      <c r="G148" s="87">
        <f t="shared" si="5"/>
        <v>0</v>
      </c>
      <c r="H148" s="690"/>
      <c r="I148" s="693"/>
      <c r="J148" s="692"/>
      <c r="K148" s="692"/>
      <c r="L148" s="692"/>
      <c r="M148" s="692"/>
      <c r="N148" s="692"/>
      <c r="O148" s="692"/>
      <c r="P148" s="692"/>
      <c r="Q148" s="692"/>
    </row>
    <row r="149" spans="1:17" ht="15" customHeight="1" x14ac:dyDescent="0.25">
      <c r="A149" s="728">
        <f t="shared" si="4"/>
        <v>87.932989690721655</v>
      </c>
      <c r="B149" s="87" t="s">
        <v>2302</v>
      </c>
      <c r="C149" s="87" t="s">
        <v>2307</v>
      </c>
      <c r="D149" s="87">
        <v>17059</v>
      </c>
      <c r="E149" s="573">
        <v>194</v>
      </c>
      <c r="F149" s="87">
        <v>17059</v>
      </c>
      <c r="G149" s="87">
        <f t="shared" si="5"/>
        <v>0</v>
      </c>
      <c r="H149" s="690"/>
      <c r="I149" s="693"/>
      <c r="J149" s="692"/>
      <c r="K149" s="692"/>
      <c r="L149" s="692"/>
      <c r="M149" s="692"/>
      <c r="N149" s="692"/>
      <c r="O149" s="692"/>
      <c r="P149" s="692"/>
      <c r="Q149" s="692"/>
    </row>
    <row r="150" spans="1:17" ht="15" customHeight="1" x14ac:dyDescent="0.25">
      <c r="A150" s="728">
        <f t="shared" si="4"/>
        <v>88.028169014084511</v>
      </c>
      <c r="B150" s="87" t="s">
        <v>2302</v>
      </c>
      <c r="C150" s="87" t="s">
        <v>2308</v>
      </c>
      <c r="D150" s="87">
        <v>25000</v>
      </c>
      <c r="E150" s="573">
        <v>284</v>
      </c>
      <c r="F150" s="87">
        <v>25000</v>
      </c>
      <c r="G150" s="87">
        <f t="shared" si="5"/>
        <v>0</v>
      </c>
      <c r="H150" s="690"/>
      <c r="I150" s="693"/>
      <c r="J150" s="692"/>
      <c r="K150" s="692"/>
      <c r="L150" s="692"/>
      <c r="M150" s="692"/>
      <c r="N150" s="692"/>
      <c r="O150" s="692"/>
      <c r="P150" s="692"/>
      <c r="Q150" s="692"/>
    </row>
    <row r="151" spans="1:17" ht="15" customHeight="1" x14ac:dyDescent="0.25">
      <c r="A151" s="728">
        <f t="shared" si="4"/>
        <v>88.028169014084511</v>
      </c>
      <c r="B151" s="87" t="s">
        <v>2302</v>
      </c>
      <c r="C151" s="87" t="s">
        <v>2309</v>
      </c>
      <c r="D151" s="87">
        <v>25000</v>
      </c>
      <c r="E151" s="573">
        <v>284</v>
      </c>
      <c r="F151" s="87">
        <v>25000</v>
      </c>
      <c r="G151" s="87">
        <f t="shared" si="5"/>
        <v>0</v>
      </c>
      <c r="H151" s="690"/>
      <c r="I151" s="693"/>
      <c r="J151" s="692"/>
      <c r="K151" s="692"/>
      <c r="L151" s="692"/>
      <c r="M151" s="692"/>
      <c r="N151" s="692"/>
      <c r="O151" s="692"/>
      <c r="P151" s="692"/>
      <c r="Q151" s="692"/>
    </row>
    <row r="152" spans="1:17" ht="15" customHeight="1" x14ac:dyDescent="0.25">
      <c r="A152" s="728">
        <f t="shared" si="4"/>
        <v>87.947882736156359</v>
      </c>
      <c r="B152" s="87" t="s">
        <v>2302</v>
      </c>
      <c r="C152" s="87" t="s">
        <v>2310</v>
      </c>
      <c r="D152" s="87">
        <v>27000</v>
      </c>
      <c r="E152" s="573">
        <v>307</v>
      </c>
      <c r="F152" s="87">
        <v>27000</v>
      </c>
      <c r="G152" s="87">
        <f t="shared" si="5"/>
        <v>0</v>
      </c>
      <c r="H152" s="690"/>
      <c r="I152" s="693"/>
      <c r="J152" s="692"/>
      <c r="K152" s="692"/>
      <c r="L152" s="692"/>
      <c r="M152" s="692"/>
      <c r="N152" s="692"/>
      <c r="O152" s="692"/>
      <c r="P152" s="692"/>
      <c r="Q152" s="692"/>
    </row>
    <row r="153" spans="1:17" ht="15" customHeight="1" x14ac:dyDescent="0.25">
      <c r="A153" s="728">
        <f t="shared" si="4"/>
        <v>88.028169014084511</v>
      </c>
      <c r="B153" s="87" t="s">
        <v>2302</v>
      </c>
      <c r="C153" s="87" t="s">
        <v>2311</v>
      </c>
      <c r="D153" s="87">
        <v>25000</v>
      </c>
      <c r="E153" s="573">
        <v>284</v>
      </c>
      <c r="F153" s="87">
        <v>25000</v>
      </c>
      <c r="G153" s="87">
        <f t="shared" si="5"/>
        <v>0</v>
      </c>
      <c r="H153" s="690"/>
      <c r="I153" s="693"/>
      <c r="J153" s="692"/>
      <c r="K153" s="692"/>
      <c r="L153" s="692"/>
      <c r="M153" s="692"/>
      <c r="N153" s="692"/>
      <c r="O153" s="692"/>
      <c r="P153" s="692"/>
      <c r="Q153" s="692"/>
    </row>
    <row r="154" spans="1:17" ht="15" customHeight="1" x14ac:dyDescent="0.25">
      <c r="A154" s="728">
        <f t="shared" si="4"/>
        <v>88.235294117647058</v>
      </c>
      <c r="B154" s="87" t="s">
        <v>2302</v>
      </c>
      <c r="C154" s="87" t="s">
        <v>2312</v>
      </c>
      <c r="D154" s="87">
        <v>15000</v>
      </c>
      <c r="E154" s="573">
        <v>170</v>
      </c>
      <c r="F154" s="87">
        <v>15000</v>
      </c>
      <c r="G154" s="87">
        <f t="shared" si="5"/>
        <v>0</v>
      </c>
      <c r="H154" s="690"/>
      <c r="I154" s="693"/>
      <c r="J154" s="692"/>
      <c r="K154" s="692"/>
      <c r="L154" s="692"/>
      <c r="M154" s="692"/>
      <c r="N154" s="692"/>
      <c r="O154" s="692"/>
      <c r="P154" s="692"/>
      <c r="Q154" s="692"/>
    </row>
    <row r="155" spans="1:17" ht="15" customHeight="1" x14ac:dyDescent="0.25">
      <c r="A155" s="728">
        <f t="shared" si="4"/>
        <v>87.912087912087912</v>
      </c>
      <c r="B155" s="87" t="s">
        <v>2302</v>
      </c>
      <c r="C155" s="87" t="s">
        <v>2313</v>
      </c>
      <c r="D155" s="87">
        <v>8000</v>
      </c>
      <c r="E155" s="573">
        <v>91</v>
      </c>
      <c r="F155" s="87">
        <v>8000</v>
      </c>
      <c r="G155" s="87">
        <f t="shared" si="5"/>
        <v>0</v>
      </c>
      <c r="H155" s="690"/>
      <c r="I155" s="693"/>
      <c r="J155" s="692"/>
      <c r="K155" s="692"/>
      <c r="L155" s="692"/>
      <c r="M155" s="692"/>
      <c r="N155" s="692"/>
      <c r="O155" s="692"/>
      <c r="P155" s="692"/>
      <c r="Q155" s="692"/>
    </row>
    <row r="156" spans="1:17" ht="15" customHeight="1" x14ac:dyDescent="0.25">
      <c r="A156" s="728">
        <f t="shared" si="4"/>
        <v>87.912087912087912</v>
      </c>
      <c r="B156" s="87" t="s">
        <v>2302</v>
      </c>
      <c r="C156" s="87" t="s">
        <v>2314</v>
      </c>
      <c r="D156" s="87">
        <v>8000</v>
      </c>
      <c r="E156" s="573">
        <v>91</v>
      </c>
      <c r="F156" s="87">
        <v>8000</v>
      </c>
      <c r="G156" s="87">
        <f t="shared" si="5"/>
        <v>0</v>
      </c>
      <c r="H156" s="690"/>
      <c r="I156" s="693"/>
      <c r="J156" s="692"/>
      <c r="K156" s="692"/>
      <c r="L156" s="692"/>
      <c r="M156" s="692"/>
      <c r="N156" s="692"/>
      <c r="O156" s="692"/>
      <c r="P156" s="692"/>
      <c r="Q156" s="692"/>
    </row>
    <row r="157" spans="1:17" ht="15" customHeight="1" x14ac:dyDescent="0.25">
      <c r="A157" s="728">
        <f t="shared" si="4"/>
        <v>87.912087912087912</v>
      </c>
      <c r="B157" s="87" t="s">
        <v>2302</v>
      </c>
      <c r="C157" s="87" t="s">
        <v>1953</v>
      </c>
      <c r="D157" s="87">
        <v>8000</v>
      </c>
      <c r="E157" s="573">
        <v>91</v>
      </c>
      <c r="F157" s="87">
        <v>8000</v>
      </c>
      <c r="G157" s="87">
        <f t="shared" si="5"/>
        <v>0</v>
      </c>
      <c r="H157" s="690"/>
      <c r="I157" s="693"/>
      <c r="J157" s="692"/>
      <c r="K157" s="692"/>
      <c r="L157" s="692"/>
      <c r="M157" s="692"/>
      <c r="N157" s="692"/>
      <c r="O157" s="692"/>
      <c r="P157" s="692"/>
      <c r="Q157" s="692"/>
    </row>
    <row r="158" spans="1:17" ht="15" customHeight="1" x14ac:dyDescent="0.25">
      <c r="A158" s="728">
        <f t="shared" si="4"/>
        <v>88.082901554404145</v>
      </c>
      <c r="B158" s="87" t="s">
        <v>2302</v>
      </c>
      <c r="C158" s="87" t="s">
        <v>2190</v>
      </c>
      <c r="D158" s="87">
        <v>17000</v>
      </c>
      <c r="E158" s="573">
        <v>193</v>
      </c>
      <c r="F158" s="87">
        <v>17000</v>
      </c>
      <c r="G158" s="87">
        <f t="shared" si="5"/>
        <v>0</v>
      </c>
      <c r="H158" s="690"/>
      <c r="I158" s="693"/>
      <c r="J158" s="692"/>
      <c r="K158" s="692"/>
      <c r="L158" s="692"/>
      <c r="M158" s="692"/>
      <c r="N158" s="692"/>
      <c r="O158" s="692"/>
      <c r="P158" s="692"/>
      <c r="Q158" s="692"/>
    </row>
    <row r="159" spans="1:17" ht="15" customHeight="1" x14ac:dyDescent="0.25">
      <c r="A159" s="728">
        <f t="shared" si="4"/>
        <v>88.082901554404145</v>
      </c>
      <c r="B159" s="87" t="s">
        <v>2302</v>
      </c>
      <c r="C159" s="87" t="s">
        <v>2113</v>
      </c>
      <c r="D159" s="87">
        <v>17000</v>
      </c>
      <c r="E159" s="573">
        <v>193</v>
      </c>
      <c r="F159" s="87">
        <v>17000</v>
      </c>
      <c r="G159" s="87">
        <f t="shared" si="5"/>
        <v>0</v>
      </c>
      <c r="H159" s="690"/>
      <c r="I159" s="693"/>
      <c r="J159" s="692"/>
      <c r="K159" s="692"/>
      <c r="L159" s="692"/>
      <c r="M159" s="692"/>
      <c r="N159" s="692"/>
      <c r="O159" s="692"/>
      <c r="P159" s="692"/>
      <c r="Q159" s="692"/>
    </row>
    <row r="160" spans="1:17" ht="15" customHeight="1" x14ac:dyDescent="0.25">
      <c r="A160" s="728">
        <f t="shared" si="4"/>
        <v>88.607594936708864</v>
      </c>
      <c r="B160" s="87" t="s">
        <v>2302</v>
      </c>
      <c r="C160" s="87" t="s">
        <v>2315</v>
      </c>
      <c r="D160" s="87">
        <v>14000</v>
      </c>
      <c r="E160" s="573">
        <v>158</v>
      </c>
      <c r="F160" s="87">
        <v>14000</v>
      </c>
      <c r="G160" s="87">
        <f t="shared" si="5"/>
        <v>0</v>
      </c>
      <c r="H160" s="690"/>
      <c r="I160" s="693"/>
      <c r="J160" s="692"/>
      <c r="K160" s="692"/>
      <c r="L160" s="692"/>
      <c r="M160" s="692"/>
      <c r="N160" s="692"/>
      <c r="O160" s="692"/>
      <c r="P160" s="692"/>
      <c r="Q160" s="692"/>
    </row>
    <row r="161" spans="1:17" ht="15" customHeight="1" x14ac:dyDescent="0.25">
      <c r="A161" s="728">
        <f t="shared" si="4"/>
        <v>87.804878048780495</v>
      </c>
      <c r="B161" s="87" t="s">
        <v>2302</v>
      </c>
      <c r="C161" s="87" t="s">
        <v>2316</v>
      </c>
      <c r="D161" s="87">
        <v>18000</v>
      </c>
      <c r="E161" s="573">
        <v>205</v>
      </c>
      <c r="F161" s="87">
        <v>18000</v>
      </c>
      <c r="G161" s="87">
        <f t="shared" si="5"/>
        <v>0</v>
      </c>
      <c r="H161" s="690"/>
      <c r="I161" s="693"/>
      <c r="J161" s="692"/>
      <c r="K161" s="692"/>
      <c r="L161" s="692"/>
      <c r="M161" s="692"/>
      <c r="N161" s="692"/>
      <c r="O161" s="692"/>
      <c r="P161" s="692"/>
      <c r="Q161" s="692"/>
    </row>
    <row r="162" spans="1:17" ht="15" customHeight="1" x14ac:dyDescent="0.25">
      <c r="A162" s="728">
        <f t="shared" si="4"/>
        <v>87.912087912087912</v>
      </c>
      <c r="B162" s="87" t="s">
        <v>2302</v>
      </c>
      <c r="C162" s="87" t="s">
        <v>2029</v>
      </c>
      <c r="D162" s="87">
        <v>16000</v>
      </c>
      <c r="E162" s="573">
        <v>182</v>
      </c>
      <c r="F162" s="87">
        <v>16000</v>
      </c>
      <c r="G162" s="87">
        <f t="shared" si="5"/>
        <v>0</v>
      </c>
      <c r="H162" s="690"/>
      <c r="I162" s="693"/>
      <c r="J162" s="692"/>
      <c r="K162" s="692"/>
      <c r="L162" s="692"/>
      <c r="M162" s="692"/>
      <c r="N162" s="692"/>
      <c r="O162" s="692"/>
      <c r="P162" s="692"/>
      <c r="Q162" s="692"/>
    </row>
    <row r="163" spans="1:17" ht="15" customHeight="1" x14ac:dyDescent="0.25">
      <c r="A163" s="728">
        <f t="shared" si="4"/>
        <v>88.495575221238937</v>
      </c>
      <c r="B163" s="87" t="s">
        <v>2302</v>
      </c>
      <c r="C163" s="87" t="s">
        <v>2179</v>
      </c>
      <c r="D163" s="87">
        <v>10000</v>
      </c>
      <c r="E163" s="573">
        <v>113</v>
      </c>
      <c r="F163" s="87">
        <v>10000</v>
      </c>
      <c r="G163" s="87">
        <f t="shared" ref="G163" si="6">D163-F163</f>
        <v>0</v>
      </c>
      <c r="H163" s="690"/>
      <c r="I163" s="693"/>
      <c r="J163" s="692"/>
      <c r="K163" s="692"/>
      <c r="L163" s="692"/>
      <c r="M163" s="692"/>
      <c r="N163" s="692"/>
      <c r="O163" s="692"/>
      <c r="P163" s="692"/>
      <c r="Q163" s="692"/>
    </row>
    <row r="164" spans="1:17" ht="15" customHeight="1" x14ac:dyDescent="0.25">
      <c r="A164" s="728">
        <f t="shared" si="4"/>
        <v>88.495575221238937</v>
      </c>
      <c r="B164" s="87" t="s">
        <v>2302</v>
      </c>
      <c r="C164" s="87" t="s">
        <v>2247</v>
      </c>
      <c r="D164" s="87">
        <v>10000</v>
      </c>
      <c r="E164" s="573">
        <v>113</v>
      </c>
      <c r="F164" s="87">
        <v>10000</v>
      </c>
      <c r="G164" s="87">
        <f t="shared" si="5"/>
        <v>0</v>
      </c>
      <c r="H164" s="690"/>
      <c r="I164" s="693"/>
      <c r="J164" s="692"/>
      <c r="K164" s="692"/>
      <c r="L164" s="692"/>
      <c r="M164" s="692"/>
      <c r="N164" s="692"/>
      <c r="O164" s="692"/>
      <c r="P164" s="692"/>
      <c r="Q164" s="692"/>
    </row>
    <row r="165" spans="1:17" ht="15" customHeight="1" x14ac:dyDescent="0.25">
      <c r="A165" s="728">
        <f t="shared" si="4"/>
        <v>88.105726872246692</v>
      </c>
      <c r="B165" s="87" t="s">
        <v>2302</v>
      </c>
      <c r="C165" s="87" t="s">
        <v>2317</v>
      </c>
      <c r="D165" s="87">
        <v>20000</v>
      </c>
      <c r="E165" s="573">
        <v>227</v>
      </c>
      <c r="F165" s="87">
        <v>20000</v>
      </c>
      <c r="G165" s="87">
        <f t="shared" si="5"/>
        <v>0</v>
      </c>
      <c r="H165" s="690"/>
      <c r="I165" s="693"/>
      <c r="J165" s="692"/>
      <c r="K165" s="692"/>
      <c r="L165" s="692"/>
      <c r="M165" s="692"/>
      <c r="N165" s="692"/>
      <c r="O165" s="692"/>
      <c r="P165" s="692"/>
      <c r="Q165" s="692"/>
    </row>
    <row r="166" spans="1:17" ht="15" customHeight="1" x14ac:dyDescent="0.25">
      <c r="A166" s="728">
        <f t="shared" si="4"/>
        <v>88.028169014084511</v>
      </c>
      <c r="B166" s="87" t="s">
        <v>2302</v>
      </c>
      <c r="C166" s="87" t="s">
        <v>2318</v>
      </c>
      <c r="D166" s="87">
        <v>25000</v>
      </c>
      <c r="E166" s="573">
        <v>284</v>
      </c>
      <c r="F166" s="87">
        <v>25000</v>
      </c>
      <c r="G166" s="87">
        <f t="shared" si="5"/>
        <v>0</v>
      </c>
      <c r="H166" s="690"/>
      <c r="I166" s="693"/>
      <c r="J166" s="692"/>
      <c r="K166" s="692"/>
      <c r="L166" s="692"/>
      <c r="M166" s="692"/>
      <c r="N166" s="692"/>
      <c r="O166" s="692"/>
      <c r="P166" s="692"/>
      <c r="Q166" s="692"/>
    </row>
    <row r="167" spans="1:17" ht="15" customHeight="1" x14ac:dyDescent="0.25">
      <c r="A167" s="728">
        <f t="shared" si="4"/>
        <v>88.105726872246692</v>
      </c>
      <c r="B167" s="87" t="s">
        <v>2302</v>
      </c>
      <c r="C167" s="87" t="s">
        <v>2319</v>
      </c>
      <c r="D167" s="87">
        <v>20000</v>
      </c>
      <c r="E167" s="573">
        <v>227</v>
      </c>
      <c r="F167" s="87">
        <v>20000</v>
      </c>
      <c r="G167" s="87">
        <f t="shared" si="5"/>
        <v>0</v>
      </c>
      <c r="H167" s="690"/>
      <c r="I167" s="693"/>
      <c r="J167" s="692"/>
      <c r="K167" s="692"/>
      <c r="L167" s="692"/>
      <c r="M167" s="692"/>
      <c r="N167" s="692"/>
      <c r="O167" s="692"/>
      <c r="P167" s="692"/>
      <c r="Q167" s="692"/>
    </row>
    <row r="168" spans="1:17" ht="15" customHeight="1" x14ac:dyDescent="0.25">
      <c r="A168" s="728">
        <f t="shared" si="4"/>
        <v>88.495575221238937</v>
      </c>
      <c r="B168" s="87" t="s">
        <v>2302</v>
      </c>
      <c r="C168" s="87" t="s">
        <v>2320</v>
      </c>
      <c r="D168" s="87">
        <v>10000</v>
      </c>
      <c r="E168" s="573">
        <v>113</v>
      </c>
      <c r="F168" s="87">
        <v>10000</v>
      </c>
      <c r="G168" s="87">
        <f t="shared" si="5"/>
        <v>0</v>
      </c>
      <c r="H168" s="690"/>
      <c r="I168" s="693"/>
      <c r="J168" s="692"/>
      <c r="K168" s="692"/>
      <c r="L168" s="692"/>
      <c r="M168" s="692"/>
      <c r="N168" s="692"/>
      <c r="O168" s="692"/>
      <c r="P168" s="692"/>
      <c r="Q168" s="692"/>
    </row>
    <row r="169" spans="1:17" ht="15" customHeight="1" x14ac:dyDescent="0.25">
      <c r="A169" s="728">
        <f t="shared" si="4"/>
        <v>87.837837837837839</v>
      </c>
      <c r="B169" s="87" t="s">
        <v>2302</v>
      </c>
      <c r="C169" s="87" t="s">
        <v>2321</v>
      </c>
      <c r="D169" s="87">
        <v>13000</v>
      </c>
      <c r="E169" s="573">
        <v>148</v>
      </c>
      <c r="F169" s="87">
        <v>13000</v>
      </c>
      <c r="G169" s="87">
        <f t="shared" si="5"/>
        <v>0</v>
      </c>
      <c r="H169" s="690"/>
      <c r="I169" s="693"/>
      <c r="J169" s="692"/>
      <c r="K169" s="692"/>
      <c r="L169" s="692"/>
      <c r="M169" s="692"/>
      <c r="N169" s="692"/>
      <c r="O169" s="692"/>
      <c r="P169" s="692"/>
      <c r="Q169" s="692"/>
    </row>
    <row r="170" spans="1:17" ht="15" customHeight="1" x14ac:dyDescent="0.25">
      <c r="A170" s="728">
        <f t="shared" si="4"/>
        <v>87.884488448844891</v>
      </c>
      <c r="B170" s="87" t="s">
        <v>2302</v>
      </c>
      <c r="C170" s="87" t="s">
        <v>2322</v>
      </c>
      <c r="D170" s="87">
        <v>26629</v>
      </c>
      <c r="E170" s="573">
        <v>303</v>
      </c>
      <c r="F170" s="87">
        <v>26629</v>
      </c>
      <c r="G170" s="87">
        <f t="shared" si="5"/>
        <v>0</v>
      </c>
      <c r="H170" s="690"/>
      <c r="I170" s="693"/>
      <c r="J170" s="692"/>
      <c r="K170" s="692"/>
      <c r="L170" s="692"/>
      <c r="M170" s="692"/>
      <c r="N170" s="692"/>
      <c r="O170" s="692"/>
      <c r="P170" s="692"/>
      <c r="Q170" s="692"/>
    </row>
    <row r="171" spans="1:17" ht="15" customHeight="1" x14ac:dyDescent="0.25">
      <c r="A171" s="728">
        <f t="shared" si="4"/>
        <v>89.171974522292999</v>
      </c>
      <c r="B171" s="87" t="s">
        <v>2280</v>
      </c>
      <c r="C171" s="555" t="s">
        <v>2323</v>
      </c>
      <c r="D171" s="563">
        <v>28000</v>
      </c>
      <c r="E171" s="573">
        <v>314</v>
      </c>
      <c r="F171" s="563">
        <v>28000</v>
      </c>
      <c r="G171" s="87">
        <f t="shared" si="5"/>
        <v>0</v>
      </c>
      <c r="H171" s="690"/>
      <c r="I171" s="693"/>
      <c r="J171" s="692"/>
      <c r="K171" s="692"/>
      <c r="L171" s="692"/>
      <c r="M171" s="692"/>
      <c r="N171" s="692"/>
      <c r="O171" s="692"/>
      <c r="P171" s="692"/>
      <c r="Q171" s="692"/>
    </row>
    <row r="172" spans="1:17" ht="15" customHeight="1" x14ac:dyDescent="0.25">
      <c r="A172" s="728">
        <f t="shared" si="4"/>
        <v>88.028169014084511</v>
      </c>
      <c r="B172" s="87" t="s">
        <v>2280</v>
      </c>
      <c r="C172" s="555" t="s">
        <v>1724</v>
      </c>
      <c r="D172" s="563">
        <v>25000</v>
      </c>
      <c r="E172" s="573">
        <v>284</v>
      </c>
      <c r="F172" s="563">
        <v>25000</v>
      </c>
      <c r="G172" s="87">
        <f t="shared" si="5"/>
        <v>0</v>
      </c>
      <c r="H172" s="690"/>
      <c r="I172" s="693"/>
      <c r="J172" s="692"/>
      <c r="K172" s="692"/>
      <c r="L172" s="692"/>
      <c r="M172" s="692"/>
      <c r="N172" s="692"/>
      <c r="O172" s="692"/>
      <c r="P172" s="692"/>
      <c r="Q172" s="692"/>
    </row>
    <row r="173" spans="1:17" ht="15" customHeight="1" x14ac:dyDescent="0.25">
      <c r="A173" s="728">
        <f t="shared" si="4"/>
        <v>87.912087912087912</v>
      </c>
      <c r="B173" s="87" t="s">
        <v>2280</v>
      </c>
      <c r="C173" s="555" t="s">
        <v>2324</v>
      </c>
      <c r="D173" s="563">
        <v>16000</v>
      </c>
      <c r="E173" s="573">
        <v>182</v>
      </c>
      <c r="F173" s="563">
        <v>16000</v>
      </c>
      <c r="G173" s="87">
        <f t="shared" si="5"/>
        <v>0</v>
      </c>
      <c r="H173" s="690"/>
      <c r="I173" s="693"/>
      <c r="J173" s="692"/>
      <c r="K173" s="692"/>
      <c r="L173" s="692"/>
      <c r="M173" s="692"/>
      <c r="N173" s="692"/>
      <c r="O173" s="692"/>
      <c r="P173" s="692"/>
      <c r="Q173" s="692"/>
    </row>
    <row r="174" spans="1:17" ht="15" customHeight="1" x14ac:dyDescent="0.25">
      <c r="A174" s="728">
        <f t="shared" si="4"/>
        <v>87.774294670846402</v>
      </c>
      <c r="B174" s="87" t="s">
        <v>2280</v>
      </c>
      <c r="C174" s="555" t="s">
        <v>1745</v>
      </c>
      <c r="D174" s="563">
        <v>28000</v>
      </c>
      <c r="E174" s="573">
        <v>319</v>
      </c>
      <c r="F174" s="563">
        <v>28000</v>
      </c>
      <c r="G174" s="87">
        <f t="shared" si="5"/>
        <v>0</v>
      </c>
      <c r="H174" s="690"/>
      <c r="I174" s="693"/>
      <c r="J174" s="692"/>
      <c r="K174" s="692"/>
      <c r="L174" s="692"/>
      <c r="M174" s="692"/>
      <c r="N174" s="692"/>
      <c r="O174" s="692"/>
      <c r="P174" s="692"/>
      <c r="Q174" s="692"/>
    </row>
    <row r="175" spans="1:17" ht="15" customHeight="1" x14ac:dyDescent="0.25">
      <c r="A175" s="728">
        <f t="shared" si="4"/>
        <v>88.235294117647058</v>
      </c>
      <c r="B175" s="87" t="s">
        <v>2280</v>
      </c>
      <c r="C175" s="555" t="s">
        <v>17</v>
      </c>
      <c r="D175" s="563">
        <v>3000</v>
      </c>
      <c r="E175" s="573">
        <v>34</v>
      </c>
      <c r="F175" s="563">
        <v>3000</v>
      </c>
      <c r="G175" s="87">
        <f t="shared" si="5"/>
        <v>0</v>
      </c>
      <c r="H175" s="690"/>
      <c r="I175" s="693"/>
      <c r="J175" s="692"/>
      <c r="K175" s="692"/>
      <c r="L175" s="692"/>
      <c r="M175" s="692"/>
      <c r="N175" s="692"/>
      <c r="O175" s="692"/>
      <c r="P175" s="692"/>
      <c r="Q175" s="692"/>
    </row>
    <row r="176" spans="1:17" ht="15" customHeight="1" x14ac:dyDescent="0.25">
      <c r="A176" s="728">
        <f t="shared" si="4"/>
        <v>87.837837837837839</v>
      </c>
      <c r="B176" s="87" t="s">
        <v>2280</v>
      </c>
      <c r="C176" s="555" t="s">
        <v>2325</v>
      </c>
      <c r="D176" s="563">
        <v>13000</v>
      </c>
      <c r="E176" s="573">
        <v>148</v>
      </c>
      <c r="F176" s="563">
        <v>13000</v>
      </c>
      <c r="G176" s="87">
        <f t="shared" si="5"/>
        <v>0</v>
      </c>
      <c r="H176" s="690"/>
      <c r="I176" s="693"/>
      <c r="J176" s="692"/>
      <c r="K176" s="692"/>
      <c r="L176" s="692"/>
      <c r="M176" s="692"/>
      <c r="N176" s="692"/>
      <c r="O176" s="692"/>
      <c r="P176" s="692"/>
      <c r="Q176" s="692"/>
    </row>
    <row r="177" spans="1:17" ht="15" customHeight="1" x14ac:dyDescent="0.25">
      <c r="A177" s="728">
        <f t="shared" si="4"/>
        <v>87.962962962962962</v>
      </c>
      <c r="B177" s="87" t="s">
        <v>2280</v>
      </c>
      <c r="C177" s="555" t="s">
        <v>2188</v>
      </c>
      <c r="D177" s="563">
        <v>19000</v>
      </c>
      <c r="E177" s="573">
        <v>216</v>
      </c>
      <c r="F177" s="563">
        <v>19000</v>
      </c>
      <c r="G177" s="87">
        <f t="shared" si="5"/>
        <v>0</v>
      </c>
      <c r="H177" s="690"/>
      <c r="I177" s="693"/>
      <c r="J177" s="692"/>
      <c r="K177" s="692"/>
      <c r="L177" s="692"/>
      <c r="M177" s="692"/>
      <c r="N177" s="692"/>
      <c r="O177" s="692"/>
      <c r="P177" s="692"/>
      <c r="Q177" s="692"/>
    </row>
    <row r="178" spans="1:17" ht="15" customHeight="1" x14ac:dyDescent="0.25">
      <c r="A178" s="728">
        <f t="shared" si="4"/>
        <v>87.947882736156359</v>
      </c>
      <c r="B178" s="87" t="s">
        <v>2280</v>
      </c>
      <c r="C178" s="555" t="s">
        <v>2326</v>
      </c>
      <c r="D178" s="563">
        <v>27000</v>
      </c>
      <c r="E178" s="573">
        <v>307</v>
      </c>
      <c r="F178" s="563">
        <v>27000</v>
      </c>
      <c r="G178" s="87">
        <f t="shared" si="5"/>
        <v>0</v>
      </c>
      <c r="H178" s="690"/>
      <c r="I178" s="693"/>
      <c r="J178" s="692"/>
      <c r="K178" s="692"/>
      <c r="L178" s="692"/>
      <c r="M178" s="692"/>
      <c r="N178" s="692"/>
      <c r="O178" s="692"/>
      <c r="P178" s="692"/>
      <c r="Q178" s="692"/>
    </row>
    <row r="179" spans="1:17" ht="15" customHeight="1" x14ac:dyDescent="0.25">
      <c r="A179" s="728">
        <f t="shared" si="4"/>
        <v>95.238095238095241</v>
      </c>
      <c r="B179" s="87" t="s">
        <v>2280</v>
      </c>
      <c r="C179" s="555" t="s">
        <v>1178</v>
      </c>
      <c r="D179" s="563">
        <v>100</v>
      </c>
      <c r="E179" s="574">
        <v>1.05</v>
      </c>
      <c r="F179" s="563">
        <v>100</v>
      </c>
      <c r="G179" s="87">
        <f t="shared" si="5"/>
        <v>0</v>
      </c>
      <c r="H179" s="690"/>
      <c r="I179" s="693"/>
      <c r="J179" s="692"/>
      <c r="K179" s="692"/>
      <c r="L179" s="692"/>
      <c r="M179" s="692"/>
      <c r="N179" s="692"/>
      <c r="O179" s="692"/>
      <c r="P179" s="692"/>
      <c r="Q179" s="692"/>
    </row>
    <row r="180" spans="1:17" ht="15" customHeight="1" x14ac:dyDescent="0.25">
      <c r="A180" s="728">
        <f t="shared" si="4"/>
        <v>88.105726872246692</v>
      </c>
      <c r="B180" s="87" t="s">
        <v>2280</v>
      </c>
      <c r="C180" s="555" t="s">
        <v>2327</v>
      </c>
      <c r="D180" s="563">
        <v>20000</v>
      </c>
      <c r="E180" s="573">
        <v>227</v>
      </c>
      <c r="F180" s="563">
        <v>20000</v>
      </c>
      <c r="G180" s="87">
        <f t="shared" si="5"/>
        <v>0</v>
      </c>
      <c r="H180" s="690"/>
      <c r="I180" s="693"/>
      <c r="J180" s="692"/>
      <c r="K180" s="692"/>
      <c r="L180" s="692"/>
      <c r="M180" s="692"/>
      <c r="N180" s="692"/>
      <c r="O180" s="692"/>
      <c r="P180" s="692"/>
      <c r="Q180" s="692"/>
    </row>
    <row r="181" spans="1:17" ht="15" customHeight="1" x14ac:dyDescent="0.25">
      <c r="A181" s="728">
        <f t="shared" si="4"/>
        <v>87.774294670846402</v>
      </c>
      <c r="B181" s="87" t="s">
        <v>2280</v>
      </c>
      <c r="C181" s="555" t="s">
        <v>2328</v>
      </c>
      <c r="D181" s="563">
        <v>28000</v>
      </c>
      <c r="E181" s="573">
        <v>319</v>
      </c>
      <c r="F181" s="563">
        <v>28000</v>
      </c>
      <c r="G181" s="87">
        <f t="shared" si="5"/>
        <v>0</v>
      </c>
      <c r="H181" s="690"/>
      <c r="I181" s="693"/>
      <c r="J181" s="692"/>
      <c r="K181" s="692"/>
      <c r="L181" s="692"/>
      <c r="M181" s="692"/>
      <c r="N181" s="692"/>
      <c r="O181" s="692"/>
      <c r="P181" s="692"/>
      <c r="Q181" s="692"/>
    </row>
    <row r="182" spans="1:17" ht="15" customHeight="1" x14ac:dyDescent="0.25">
      <c r="A182" s="728">
        <f t="shared" si="4"/>
        <v>91.787439613526573</v>
      </c>
      <c r="B182" s="87" t="s">
        <v>2280</v>
      </c>
      <c r="C182" s="555" t="s">
        <v>2329</v>
      </c>
      <c r="D182" s="563">
        <v>19000</v>
      </c>
      <c r="E182" s="573">
        <v>207</v>
      </c>
      <c r="F182" s="563">
        <v>19000</v>
      </c>
      <c r="G182" s="87">
        <f t="shared" si="5"/>
        <v>0</v>
      </c>
      <c r="H182" s="690"/>
      <c r="I182" s="693"/>
      <c r="J182" s="692"/>
      <c r="K182" s="692"/>
      <c r="L182" s="692"/>
      <c r="M182" s="692"/>
      <c r="N182" s="692"/>
      <c r="O182" s="692"/>
      <c r="P182" s="692"/>
      <c r="Q182" s="692"/>
    </row>
    <row r="183" spans="1:17" ht="15" customHeight="1" x14ac:dyDescent="0.25">
      <c r="A183" s="728">
        <f t="shared" si="4"/>
        <v>87.962962962962962</v>
      </c>
      <c r="B183" s="87" t="s">
        <v>2280</v>
      </c>
      <c r="C183" s="555" t="s">
        <v>2330</v>
      </c>
      <c r="D183" s="563">
        <v>19000</v>
      </c>
      <c r="E183" s="573">
        <v>216</v>
      </c>
      <c r="F183" s="563">
        <v>19000</v>
      </c>
      <c r="G183" s="87">
        <f t="shared" si="5"/>
        <v>0</v>
      </c>
      <c r="H183" s="690"/>
      <c r="I183" s="693"/>
      <c r="J183" s="692"/>
      <c r="K183" s="692"/>
      <c r="L183" s="692"/>
      <c r="M183" s="692"/>
      <c r="N183" s="692"/>
      <c r="O183" s="692"/>
      <c r="P183" s="692"/>
      <c r="Q183" s="692"/>
    </row>
    <row r="184" spans="1:17" ht="15" customHeight="1" x14ac:dyDescent="0.25">
      <c r="A184" s="728">
        <f t="shared" si="4"/>
        <v>88.028169014084511</v>
      </c>
      <c r="B184" s="87" t="s">
        <v>2280</v>
      </c>
      <c r="C184" s="555" t="s">
        <v>2086</v>
      </c>
      <c r="D184" s="563">
        <v>25000</v>
      </c>
      <c r="E184" s="573">
        <v>284</v>
      </c>
      <c r="F184" s="563">
        <v>25000</v>
      </c>
      <c r="G184" s="87">
        <f t="shared" si="5"/>
        <v>0</v>
      </c>
      <c r="H184" s="690"/>
      <c r="I184" s="693"/>
      <c r="J184" s="692"/>
      <c r="K184" s="692"/>
      <c r="L184" s="692"/>
      <c r="M184" s="692"/>
      <c r="N184" s="692"/>
      <c r="O184" s="692"/>
      <c r="P184" s="692"/>
      <c r="Q184" s="692"/>
    </row>
    <row r="185" spans="1:17" ht="15" customHeight="1" x14ac:dyDescent="0.25">
      <c r="A185" s="728">
        <f t="shared" si="4"/>
        <v>88</v>
      </c>
      <c r="B185" s="87" t="s">
        <v>2280</v>
      </c>
      <c r="C185" s="555" t="s">
        <v>2331</v>
      </c>
      <c r="D185" s="563">
        <v>22000</v>
      </c>
      <c r="E185" s="573">
        <v>250</v>
      </c>
      <c r="F185" s="563">
        <v>22000</v>
      </c>
      <c r="G185" s="87">
        <f t="shared" si="5"/>
        <v>0</v>
      </c>
      <c r="H185" s="690"/>
      <c r="I185" s="693"/>
      <c r="J185" s="692"/>
      <c r="K185" s="692"/>
      <c r="L185" s="692"/>
      <c r="M185" s="692"/>
      <c r="N185" s="692"/>
      <c r="O185" s="692"/>
      <c r="P185" s="692"/>
      <c r="Q185" s="692"/>
    </row>
    <row r="186" spans="1:17" ht="15" customHeight="1" x14ac:dyDescent="0.25">
      <c r="A186" s="728">
        <f t="shared" si="4"/>
        <v>95.057034220532316</v>
      </c>
      <c r="B186" s="87" t="s">
        <v>2280</v>
      </c>
      <c r="C186" s="555" t="s">
        <v>2332</v>
      </c>
      <c r="D186" s="563">
        <v>25000</v>
      </c>
      <c r="E186" s="573">
        <v>263</v>
      </c>
      <c r="F186" s="563">
        <v>25000</v>
      </c>
      <c r="G186" s="87">
        <f t="shared" si="5"/>
        <v>0</v>
      </c>
      <c r="H186" s="690"/>
      <c r="I186" s="693"/>
      <c r="J186" s="692"/>
      <c r="K186" s="692"/>
      <c r="L186" s="692"/>
      <c r="M186" s="692"/>
      <c r="N186" s="692"/>
      <c r="O186" s="692"/>
      <c r="P186" s="692"/>
      <c r="Q186" s="692"/>
    </row>
    <row r="187" spans="1:17" ht="15" customHeight="1" x14ac:dyDescent="0.25">
      <c r="A187" s="728">
        <f t="shared" si="4"/>
        <v>88.105726872246692</v>
      </c>
      <c r="B187" s="87" t="s">
        <v>2280</v>
      </c>
      <c r="C187" s="555" t="s">
        <v>2333</v>
      </c>
      <c r="D187" s="563">
        <v>20000</v>
      </c>
      <c r="E187" s="573">
        <v>227</v>
      </c>
      <c r="F187" s="563">
        <v>20000</v>
      </c>
      <c r="G187" s="87">
        <f t="shared" si="5"/>
        <v>0</v>
      </c>
      <c r="H187" s="690"/>
      <c r="I187" s="693"/>
      <c r="J187" s="692"/>
      <c r="K187" s="692"/>
      <c r="L187" s="692"/>
      <c r="M187" s="692"/>
      <c r="N187" s="692"/>
      <c r="O187" s="692"/>
      <c r="P187" s="692"/>
      <c r="Q187" s="692"/>
    </row>
    <row r="188" spans="1:17" ht="15" customHeight="1" x14ac:dyDescent="0.25">
      <c r="A188" s="728">
        <f t="shared" si="4"/>
        <v>88.105726872246692</v>
      </c>
      <c r="B188" s="87" t="s">
        <v>2280</v>
      </c>
      <c r="C188" s="555" t="s">
        <v>2335</v>
      </c>
      <c r="D188" s="563">
        <v>20000</v>
      </c>
      <c r="E188" s="573">
        <v>227</v>
      </c>
      <c r="F188" s="563">
        <v>20000</v>
      </c>
      <c r="G188" s="87">
        <f t="shared" si="5"/>
        <v>0</v>
      </c>
      <c r="H188" s="690"/>
      <c r="I188" s="693"/>
      <c r="J188" s="692"/>
      <c r="K188" s="692"/>
      <c r="L188" s="692"/>
      <c r="M188" s="692"/>
      <c r="N188" s="692"/>
      <c r="O188" s="692"/>
      <c r="P188" s="692"/>
      <c r="Q188" s="692"/>
    </row>
    <row r="189" spans="1:17" ht="15" customHeight="1" x14ac:dyDescent="0.25">
      <c r="A189" s="728">
        <f t="shared" si="4"/>
        <v>88.028169014084511</v>
      </c>
      <c r="B189" s="87" t="s">
        <v>2280</v>
      </c>
      <c r="C189" s="555" t="s">
        <v>2224</v>
      </c>
      <c r="D189" s="563">
        <v>25000</v>
      </c>
      <c r="E189" s="573">
        <v>284</v>
      </c>
      <c r="F189" s="563">
        <v>25000</v>
      </c>
      <c r="G189" s="87">
        <f t="shared" si="5"/>
        <v>0</v>
      </c>
      <c r="H189" s="690"/>
      <c r="I189" s="693"/>
      <c r="J189" s="692"/>
      <c r="K189" s="692"/>
      <c r="L189" s="692"/>
      <c r="M189" s="692"/>
      <c r="N189" s="692"/>
      <c r="O189" s="692"/>
      <c r="P189" s="692"/>
      <c r="Q189" s="692"/>
    </row>
    <row r="190" spans="1:17" ht="15" customHeight="1" x14ac:dyDescent="0.25">
      <c r="A190" s="728">
        <f t="shared" si="4"/>
        <v>90.25270758122744</v>
      </c>
      <c r="B190" s="87" t="s">
        <v>2280</v>
      </c>
      <c r="C190" s="555" t="s">
        <v>2336</v>
      </c>
      <c r="D190" s="563">
        <v>25000</v>
      </c>
      <c r="E190" s="573">
        <v>277</v>
      </c>
      <c r="F190" s="563">
        <v>25000</v>
      </c>
      <c r="G190" s="87">
        <f t="shared" si="5"/>
        <v>0</v>
      </c>
      <c r="H190" s="690"/>
      <c r="I190" s="693"/>
      <c r="J190" s="692"/>
      <c r="K190" s="692"/>
      <c r="L190" s="692"/>
      <c r="M190" s="692"/>
      <c r="N190" s="692"/>
      <c r="O190" s="692"/>
      <c r="P190" s="692"/>
      <c r="Q190" s="692"/>
    </row>
    <row r="191" spans="1:17" ht="15" customHeight="1" x14ac:dyDescent="0.25">
      <c r="A191" s="728">
        <f t="shared" si="4"/>
        <v>87.804878048780495</v>
      </c>
      <c r="B191" s="87" t="s">
        <v>2280</v>
      </c>
      <c r="C191" s="555" t="s">
        <v>2337</v>
      </c>
      <c r="D191" s="563">
        <v>18000</v>
      </c>
      <c r="E191" s="573">
        <v>205</v>
      </c>
      <c r="F191" s="563">
        <v>18000</v>
      </c>
      <c r="G191" s="87">
        <f t="shared" si="5"/>
        <v>0</v>
      </c>
      <c r="H191" s="690"/>
      <c r="I191" s="693"/>
      <c r="J191" s="692"/>
      <c r="K191" s="692"/>
      <c r="L191" s="692"/>
      <c r="M191" s="692"/>
      <c r="N191" s="692"/>
      <c r="O191" s="692"/>
      <c r="P191" s="692"/>
      <c r="Q191" s="692"/>
    </row>
    <row r="192" spans="1:17" ht="15" customHeight="1" x14ac:dyDescent="0.25">
      <c r="A192" s="728">
        <f t="shared" si="4"/>
        <v>88.105726872246692</v>
      </c>
      <c r="B192" s="87" t="s">
        <v>2280</v>
      </c>
      <c r="C192" s="555" t="s">
        <v>2338</v>
      </c>
      <c r="D192" s="563">
        <v>20000</v>
      </c>
      <c r="E192" s="573">
        <v>227</v>
      </c>
      <c r="F192" s="563">
        <v>20000</v>
      </c>
      <c r="G192" s="87">
        <f t="shared" si="5"/>
        <v>0</v>
      </c>
      <c r="H192" s="690"/>
      <c r="I192" s="693"/>
      <c r="J192" s="692"/>
      <c r="K192" s="692"/>
      <c r="L192" s="692"/>
      <c r="M192" s="692"/>
      <c r="N192" s="692"/>
      <c r="O192" s="692"/>
      <c r="P192" s="692"/>
      <c r="Q192" s="692"/>
    </row>
    <row r="193" spans="1:17" ht="15" customHeight="1" x14ac:dyDescent="0.25">
      <c r="A193" s="728">
        <f t="shared" si="4"/>
        <v>88.495575221238937</v>
      </c>
      <c r="B193" s="87" t="s">
        <v>2280</v>
      </c>
      <c r="C193" s="555" t="s">
        <v>2067</v>
      </c>
      <c r="D193" s="563">
        <v>10000</v>
      </c>
      <c r="E193" s="573">
        <v>113</v>
      </c>
      <c r="F193" s="563">
        <v>10000</v>
      </c>
      <c r="G193" s="87">
        <f t="shared" si="5"/>
        <v>0</v>
      </c>
      <c r="H193" s="690"/>
      <c r="I193" s="693"/>
      <c r="J193" s="692"/>
      <c r="K193" s="692"/>
      <c r="L193" s="692"/>
      <c r="M193" s="692"/>
      <c r="N193" s="692"/>
      <c r="O193" s="692"/>
      <c r="P193" s="692"/>
      <c r="Q193" s="692"/>
    </row>
    <row r="194" spans="1:17" ht="15" customHeight="1" x14ac:dyDescent="0.25">
      <c r="A194" s="728">
        <f t="shared" si="4"/>
        <v>87.947882736156359</v>
      </c>
      <c r="B194" s="87" t="s">
        <v>2280</v>
      </c>
      <c r="C194" s="555" t="s">
        <v>2339</v>
      </c>
      <c r="D194" s="563">
        <v>27000</v>
      </c>
      <c r="E194" s="573">
        <v>307</v>
      </c>
      <c r="F194" s="563">
        <v>27000</v>
      </c>
      <c r="G194" s="87">
        <f t="shared" si="5"/>
        <v>0</v>
      </c>
      <c r="H194" s="690"/>
      <c r="I194" s="693"/>
      <c r="J194" s="692"/>
      <c r="K194" s="692"/>
      <c r="L194" s="692"/>
      <c r="M194" s="692"/>
      <c r="N194" s="692"/>
      <c r="O194" s="692"/>
      <c r="P194" s="692"/>
      <c r="Q194" s="692"/>
    </row>
    <row r="195" spans="1:17" ht="15" customHeight="1" x14ac:dyDescent="0.25">
      <c r="A195" s="728">
        <f t="shared" si="4"/>
        <v>88.495575221238937</v>
      </c>
      <c r="B195" s="87" t="s">
        <v>2334</v>
      </c>
      <c r="C195" s="555" t="s">
        <v>30</v>
      </c>
      <c r="D195" s="563">
        <v>10000</v>
      </c>
      <c r="E195" s="573">
        <v>113</v>
      </c>
      <c r="F195" s="563">
        <v>10000</v>
      </c>
      <c r="G195" s="87">
        <f t="shared" si="5"/>
        <v>0</v>
      </c>
      <c r="H195" s="690"/>
      <c r="I195" s="693"/>
      <c r="J195" s="692"/>
      <c r="K195" s="692"/>
      <c r="L195" s="692"/>
      <c r="M195" s="692"/>
      <c r="N195" s="692"/>
      <c r="O195" s="692"/>
      <c r="P195" s="692"/>
      <c r="Q195" s="692"/>
    </row>
    <row r="196" spans="1:17" ht="15" customHeight="1" x14ac:dyDescent="0.25">
      <c r="A196" s="728">
        <f t="shared" si="4"/>
        <v>87.912087912087912</v>
      </c>
      <c r="B196" s="87" t="s">
        <v>2334</v>
      </c>
      <c r="C196" s="555" t="s">
        <v>30</v>
      </c>
      <c r="D196" s="563">
        <v>8000</v>
      </c>
      <c r="E196" s="573">
        <v>91</v>
      </c>
      <c r="F196" s="563">
        <v>8000</v>
      </c>
      <c r="G196" s="87">
        <f t="shared" si="5"/>
        <v>0</v>
      </c>
      <c r="H196" s="690"/>
      <c r="I196" s="693"/>
      <c r="J196" s="692"/>
      <c r="K196" s="692"/>
      <c r="L196" s="692"/>
      <c r="M196" s="692"/>
      <c r="N196" s="692"/>
      <c r="O196" s="692"/>
      <c r="P196" s="692"/>
      <c r="Q196" s="692"/>
    </row>
    <row r="197" spans="1:17" ht="15" customHeight="1" x14ac:dyDescent="0.25">
      <c r="A197" s="728">
        <f t="shared" si="4"/>
        <v>100.96153846153845</v>
      </c>
      <c r="B197" s="87" t="s">
        <v>2334</v>
      </c>
      <c r="C197" s="555" t="s">
        <v>66</v>
      </c>
      <c r="D197" s="563">
        <v>210</v>
      </c>
      <c r="E197" s="573">
        <v>2.08</v>
      </c>
      <c r="F197" s="563">
        <v>210</v>
      </c>
      <c r="G197" s="87">
        <f t="shared" si="5"/>
        <v>0</v>
      </c>
      <c r="H197" s="690"/>
      <c r="I197" s="693"/>
      <c r="J197" s="692"/>
      <c r="K197" s="692"/>
      <c r="L197" s="692"/>
      <c r="M197" s="692"/>
      <c r="N197" s="692"/>
      <c r="O197" s="692"/>
      <c r="P197" s="692"/>
      <c r="Q197" s="692"/>
    </row>
    <row r="198" spans="1:17" ht="15" customHeight="1" x14ac:dyDescent="0.25">
      <c r="A198" s="728">
        <f t="shared" si="4"/>
        <v>91.787439613526573</v>
      </c>
      <c r="B198" s="87" t="s">
        <v>2334</v>
      </c>
      <c r="C198" s="555" t="s">
        <v>2340</v>
      </c>
      <c r="D198" s="563">
        <v>19000</v>
      </c>
      <c r="E198" s="573">
        <v>207</v>
      </c>
      <c r="F198" s="563">
        <v>19000</v>
      </c>
      <c r="G198" s="87">
        <f t="shared" si="5"/>
        <v>0</v>
      </c>
      <c r="H198" s="690"/>
      <c r="I198" s="693"/>
      <c r="J198" s="692"/>
      <c r="K198" s="692"/>
      <c r="L198" s="692"/>
      <c r="M198" s="692"/>
      <c r="N198" s="692"/>
      <c r="O198" s="692"/>
      <c r="P198" s="692"/>
      <c r="Q198" s="692"/>
    </row>
    <row r="199" spans="1:17" ht="15" customHeight="1" x14ac:dyDescent="0.25">
      <c r="A199" s="728">
        <f t="shared" ref="A199:A262" si="7">D199/E199</f>
        <v>93.406593406593402</v>
      </c>
      <c r="B199" s="87" t="s">
        <v>2334</v>
      </c>
      <c r="C199" s="555" t="s">
        <v>2093</v>
      </c>
      <c r="D199" s="563">
        <v>17000</v>
      </c>
      <c r="E199" s="573">
        <v>182</v>
      </c>
      <c r="F199" s="563">
        <v>17000</v>
      </c>
      <c r="G199" s="87">
        <f t="shared" si="5"/>
        <v>0</v>
      </c>
      <c r="H199" s="690"/>
      <c r="I199" s="693"/>
      <c r="J199" s="692"/>
      <c r="K199" s="692"/>
      <c r="L199" s="692"/>
      <c r="M199" s="692"/>
      <c r="N199" s="692"/>
      <c r="O199" s="692"/>
      <c r="P199" s="692"/>
      <c r="Q199" s="692"/>
    </row>
    <row r="200" spans="1:17" ht="15" customHeight="1" x14ac:dyDescent="0.25">
      <c r="A200" s="728">
        <f t="shared" si="7"/>
        <v>88.105726872246692</v>
      </c>
      <c r="B200" s="87" t="s">
        <v>2334</v>
      </c>
      <c r="C200" s="555" t="s">
        <v>2341</v>
      </c>
      <c r="D200" s="563">
        <v>20000</v>
      </c>
      <c r="E200" s="573">
        <v>227</v>
      </c>
      <c r="F200" s="563">
        <v>20000</v>
      </c>
      <c r="G200" s="87">
        <f t="shared" si="5"/>
        <v>0</v>
      </c>
      <c r="H200" s="690"/>
      <c r="I200" s="693"/>
      <c r="J200" s="692"/>
      <c r="K200" s="692"/>
      <c r="L200" s="692"/>
      <c r="M200" s="692"/>
      <c r="N200" s="692"/>
      <c r="O200" s="692"/>
      <c r="P200" s="692"/>
      <c r="Q200" s="692"/>
    </row>
    <row r="201" spans="1:17" ht="15" customHeight="1" x14ac:dyDescent="0.25">
      <c r="A201" s="728">
        <f t="shared" si="7"/>
        <v>87.804878048780495</v>
      </c>
      <c r="B201" s="87" t="s">
        <v>2334</v>
      </c>
      <c r="C201" s="555" t="s">
        <v>1760</v>
      </c>
      <c r="D201" s="563">
        <v>18000</v>
      </c>
      <c r="E201" s="573">
        <v>205</v>
      </c>
      <c r="F201" s="563">
        <v>18000</v>
      </c>
      <c r="G201" s="87">
        <f t="shared" si="5"/>
        <v>0</v>
      </c>
      <c r="H201" s="690"/>
      <c r="I201" s="693"/>
      <c r="J201" s="692"/>
      <c r="K201" s="692"/>
      <c r="L201" s="692"/>
      <c r="M201" s="692"/>
      <c r="N201" s="692"/>
      <c r="O201" s="692"/>
      <c r="P201" s="692"/>
      <c r="Q201" s="692"/>
    </row>
    <row r="202" spans="1:17" ht="15" customHeight="1" x14ac:dyDescent="0.25">
      <c r="A202" s="728">
        <f t="shared" si="7"/>
        <v>89.285714285714292</v>
      </c>
      <c r="B202" s="87" t="s">
        <v>2334</v>
      </c>
      <c r="C202" s="555" t="s">
        <v>2180</v>
      </c>
      <c r="D202" s="563">
        <v>5000</v>
      </c>
      <c r="E202" s="573">
        <v>56</v>
      </c>
      <c r="F202" s="563">
        <v>5000</v>
      </c>
      <c r="G202" s="87">
        <f t="shared" si="5"/>
        <v>0</v>
      </c>
      <c r="H202" s="690"/>
      <c r="I202" s="693"/>
      <c r="J202" s="692"/>
      <c r="K202" s="692"/>
      <c r="L202" s="692"/>
      <c r="M202" s="692"/>
      <c r="N202" s="692"/>
      <c r="O202" s="692"/>
      <c r="P202" s="692"/>
      <c r="Q202" s="692"/>
    </row>
    <row r="203" spans="1:17" ht="15" customHeight="1" x14ac:dyDescent="0.25">
      <c r="A203" s="728">
        <f t="shared" si="7"/>
        <v>88.235294117647058</v>
      </c>
      <c r="B203" s="87" t="s">
        <v>2334</v>
      </c>
      <c r="C203" s="555" t="s">
        <v>2342</v>
      </c>
      <c r="D203" s="563">
        <v>15000</v>
      </c>
      <c r="E203" s="573">
        <v>170</v>
      </c>
      <c r="F203" s="563">
        <v>15000</v>
      </c>
      <c r="G203" s="87">
        <f t="shared" si="5"/>
        <v>0</v>
      </c>
      <c r="H203" s="690"/>
      <c r="I203" s="693"/>
      <c r="J203" s="692"/>
      <c r="K203" s="692"/>
      <c r="L203" s="692"/>
      <c r="M203" s="692"/>
      <c r="N203" s="692"/>
      <c r="O203" s="692"/>
      <c r="P203" s="692"/>
      <c r="Q203" s="692"/>
    </row>
    <row r="204" spans="1:17" ht="15" customHeight="1" x14ac:dyDescent="0.25">
      <c r="A204" s="728">
        <f t="shared" si="7"/>
        <v>88.235294117647058</v>
      </c>
      <c r="B204" s="87" t="s">
        <v>2334</v>
      </c>
      <c r="C204" s="555" t="s">
        <v>2343</v>
      </c>
      <c r="D204" s="563">
        <v>15000</v>
      </c>
      <c r="E204" s="573">
        <v>170</v>
      </c>
      <c r="F204" s="563">
        <v>15000</v>
      </c>
      <c r="G204" s="87">
        <f t="shared" si="5"/>
        <v>0</v>
      </c>
      <c r="H204" s="690"/>
      <c r="I204" s="693"/>
      <c r="J204" s="692"/>
      <c r="K204" s="692"/>
      <c r="L204" s="692"/>
      <c r="M204" s="692"/>
      <c r="N204" s="692"/>
      <c r="O204" s="692"/>
      <c r="P204" s="692"/>
      <c r="Q204" s="692"/>
    </row>
    <row r="205" spans="1:17" ht="15" customHeight="1" x14ac:dyDescent="0.25">
      <c r="A205" s="728">
        <f t="shared" si="7"/>
        <v>88.235294117647058</v>
      </c>
      <c r="B205" s="87" t="s">
        <v>2334</v>
      </c>
      <c r="C205" s="555" t="s">
        <v>2344</v>
      </c>
      <c r="D205" s="563">
        <v>15000</v>
      </c>
      <c r="E205" s="573">
        <v>170</v>
      </c>
      <c r="F205" s="563">
        <v>15000</v>
      </c>
      <c r="G205" s="87">
        <f t="shared" si="5"/>
        <v>0</v>
      </c>
      <c r="H205" s="690"/>
      <c r="I205" s="693"/>
      <c r="J205" s="692"/>
      <c r="K205" s="692"/>
      <c r="L205" s="692"/>
      <c r="M205" s="692"/>
      <c r="N205" s="692"/>
      <c r="O205" s="692"/>
      <c r="P205" s="692"/>
      <c r="Q205" s="692"/>
    </row>
    <row r="206" spans="1:17" ht="15" customHeight="1" x14ac:dyDescent="0.25">
      <c r="A206" s="728">
        <f t="shared" si="7"/>
        <v>88.235294117647058</v>
      </c>
      <c r="B206" s="87" t="s">
        <v>2334</v>
      </c>
      <c r="C206" s="555" t="s">
        <v>2345</v>
      </c>
      <c r="D206" s="563">
        <v>15000</v>
      </c>
      <c r="E206" s="573">
        <v>170</v>
      </c>
      <c r="F206" s="563">
        <v>15000</v>
      </c>
      <c r="G206" s="87">
        <f t="shared" si="5"/>
        <v>0</v>
      </c>
      <c r="H206" s="690"/>
      <c r="I206" s="693"/>
      <c r="J206" s="692"/>
      <c r="K206" s="692"/>
      <c r="L206" s="692"/>
      <c r="M206" s="692"/>
      <c r="N206" s="692"/>
      <c r="O206" s="692"/>
      <c r="P206" s="692"/>
      <c r="Q206" s="692"/>
    </row>
    <row r="207" spans="1:17" ht="15" customHeight="1" x14ac:dyDescent="0.25">
      <c r="A207" s="728">
        <f t="shared" si="7"/>
        <v>95.04132231404958</v>
      </c>
      <c r="B207" s="87" t="s">
        <v>2334</v>
      </c>
      <c r="C207" s="555" t="s">
        <v>2346</v>
      </c>
      <c r="D207" s="563">
        <v>23000</v>
      </c>
      <c r="E207" s="573">
        <v>242</v>
      </c>
      <c r="F207" s="563">
        <v>23000</v>
      </c>
      <c r="G207" s="87">
        <f t="shared" si="5"/>
        <v>0</v>
      </c>
      <c r="H207" s="690"/>
      <c r="I207" s="693"/>
      <c r="J207" s="692"/>
      <c r="K207" s="692"/>
      <c r="L207" s="692"/>
      <c r="M207" s="692"/>
      <c r="N207" s="692"/>
      <c r="O207" s="692"/>
      <c r="P207" s="692"/>
      <c r="Q207" s="692"/>
    </row>
    <row r="208" spans="1:17" ht="15" customHeight="1" x14ac:dyDescent="0.25">
      <c r="A208" s="728">
        <f t="shared" si="7"/>
        <v>87.837837837837839</v>
      </c>
      <c r="B208" s="87" t="s">
        <v>2334</v>
      </c>
      <c r="C208" s="555" t="s">
        <v>2347</v>
      </c>
      <c r="D208" s="563">
        <v>26000</v>
      </c>
      <c r="E208" s="573">
        <v>296</v>
      </c>
      <c r="F208" s="563">
        <v>26000</v>
      </c>
      <c r="G208" s="87">
        <f t="shared" si="5"/>
        <v>0</v>
      </c>
      <c r="H208" s="690"/>
      <c r="I208" s="693"/>
      <c r="J208" s="692"/>
      <c r="K208" s="692"/>
      <c r="L208" s="692"/>
      <c r="M208" s="692"/>
      <c r="N208" s="692"/>
      <c r="O208" s="692"/>
      <c r="P208" s="692"/>
      <c r="Q208" s="692"/>
    </row>
    <row r="209" spans="1:17" ht="15" customHeight="1" x14ac:dyDescent="0.25">
      <c r="A209" s="728">
        <f t="shared" si="7"/>
        <v>89.635854341736689</v>
      </c>
      <c r="B209" s="87" t="s">
        <v>2334</v>
      </c>
      <c r="C209" s="555" t="s">
        <v>2348</v>
      </c>
      <c r="D209" s="563">
        <v>32000</v>
      </c>
      <c r="E209" s="573">
        <v>357</v>
      </c>
      <c r="F209" s="563">
        <v>32000</v>
      </c>
      <c r="G209" s="87">
        <f t="shared" si="5"/>
        <v>0</v>
      </c>
      <c r="H209" s="690"/>
      <c r="I209" s="693"/>
      <c r="J209" s="692"/>
      <c r="K209" s="692"/>
      <c r="L209" s="692"/>
      <c r="M209" s="692"/>
      <c r="N209" s="692"/>
      <c r="O209" s="692"/>
      <c r="P209" s="692"/>
      <c r="Q209" s="692"/>
    </row>
    <row r="210" spans="1:17" ht="15" customHeight="1" x14ac:dyDescent="0.25">
      <c r="A210" s="728">
        <f t="shared" si="7"/>
        <v>88.235294117647058</v>
      </c>
      <c r="B210" s="87" t="s">
        <v>2334</v>
      </c>
      <c r="C210" s="555" t="s">
        <v>17</v>
      </c>
      <c r="D210" s="563">
        <v>3000</v>
      </c>
      <c r="E210" s="573">
        <v>34</v>
      </c>
      <c r="F210" s="563">
        <v>3000</v>
      </c>
      <c r="G210" s="87">
        <f t="shared" si="5"/>
        <v>0</v>
      </c>
      <c r="H210" s="690"/>
      <c r="I210" s="693"/>
      <c r="J210" s="692"/>
      <c r="K210" s="692"/>
      <c r="L210" s="692"/>
      <c r="M210" s="692"/>
      <c r="N210" s="692"/>
      <c r="O210" s="692"/>
      <c r="P210" s="692"/>
      <c r="Q210" s="692"/>
    </row>
    <row r="211" spans="1:17" ht="15" customHeight="1" x14ac:dyDescent="0.25">
      <c r="A211" s="728">
        <f t="shared" si="7"/>
        <v>88.52459016393442</v>
      </c>
      <c r="B211" s="87" t="s">
        <v>2334</v>
      </c>
      <c r="C211" s="555" t="s">
        <v>2349</v>
      </c>
      <c r="D211" s="563">
        <v>27000</v>
      </c>
      <c r="E211" s="573">
        <v>305</v>
      </c>
      <c r="F211" s="563">
        <v>27000</v>
      </c>
      <c r="G211" s="87">
        <f t="shared" si="5"/>
        <v>0</v>
      </c>
      <c r="H211" s="690"/>
      <c r="I211" s="693"/>
      <c r="J211" s="692"/>
      <c r="K211" s="692"/>
      <c r="L211" s="692"/>
      <c r="M211" s="692"/>
      <c r="N211" s="692"/>
      <c r="O211" s="692"/>
      <c r="P211" s="692"/>
      <c r="Q211" s="692"/>
    </row>
    <row r="212" spans="1:17" ht="15" customHeight="1" x14ac:dyDescent="0.25">
      <c r="A212" s="728">
        <f t="shared" si="7"/>
        <v>92.150170648464169</v>
      </c>
      <c r="B212" s="87" t="s">
        <v>2334</v>
      </c>
      <c r="C212" s="555" t="s">
        <v>2350</v>
      </c>
      <c r="D212" s="563">
        <v>27000</v>
      </c>
      <c r="E212" s="573">
        <v>293</v>
      </c>
      <c r="F212" s="563">
        <v>27000</v>
      </c>
      <c r="G212" s="87">
        <f t="shared" si="5"/>
        <v>0</v>
      </c>
      <c r="H212" s="690"/>
      <c r="I212" s="693"/>
      <c r="J212" s="692"/>
      <c r="K212" s="692"/>
      <c r="L212" s="692"/>
      <c r="M212" s="692"/>
      <c r="N212" s="692"/>
      <c r="O212" s="692"/>
      <c r="P212" s="692"/>
      <c r="Q212" s="692"/>
    </row>
    <row r="213" spans="1:17" ht="15" customHeight="1" x14ac:dyDescent="0.25">
      <c r="A213" s="728">
        <f t="shared" si="7"/>
        <v>87.837837837837839</v>
      </c>
      <c r="B213" s="87" t="s">
        <v>2334</v>
      </c>
      <c r="C213" s="555" t="s">
        <v>2351</v>
      </c>
      <c r="D213" s="563">
        <v>26000</v>
      </c>
      <c r="E213" s="573">
        <v>296</v>
      </c>
      <c r="F213" s="563">
        <v>26000</v>
      </c>
      <c r="G213" s="87">
        <f t="shared" si="5"/>
        <v>0</v>
      </c>
      <c r="H213" s="690"/>
      <c r="I213" s="693"/>
      <c r="J213" s="692"/>
      <c r="K213" s="692"/>
      <c r="L213" s="692"/>
      <c r="M213" s="692"/>
      <c r="N213" s="692"/>
      <c r="O213" s="692"/>
      <c r="P213" s="692"/>
      <c r="Q213" s="692"/>
    </row>
    <row r="214" spans="1:17" ht="15" customHeight="1" x14ac:dyDescent="0.25">
      <c r="A214" s="728">
        <f t="shared" si="7"/>
        <v>88.105726872246692</v>
      </c>
      <c r="B214" s="87" t="s">
        <v>2334</v>
      </c>
      <c r="C214" s="555" t="s">
        <v>2352</v>
      </c>
      <c r="D214" s="563">
        <v>20000</v>
      </c>
      <c r="E214" s="573">
        <v>227</v>
      </c>
      <c r="F214" s="563">
        <v>20000</v>
      </c>
      <c r="G214" s="87">
        <f t="shared" si="5"/>
        <v>0</v>
      </c>
      <c r="H214" s="690"/>
      <c r="I214" s="693"/>
      <c r="J214" s="692"/>
      <c r="K214" s="692"/>
      <c r="L214" s="692"/>
      <c r="M214" s="692"/>
      <c r="N214" s="692"/>
      <c r="O214" s="692"/>
      <c r="P214" s="692"/>
      <c r="Q214" s="692"/>
    </row>
    <row r="215" spans="1:17" ht="15" customHeight="1" x14ac:dyDescent="0.25">
      <c r="A215" s="728">
        <f t="shared" si="7"/>
        <v>93.16770186335404</v>
      </c>
      <c r="B215" s="87" t="s">
        <v>2334</v>
      </c>
      <c r="C215" s="555" t="s">
        <v>2353</v>
      </c>
      <c r="D215" s="563">
        <v>30000</v>
      </c>
      <c r="E215" s="573">
        <v>322</v>
      </c>
      <c r="F215" s="563">
        <v>30000</v>
      </c>
      <c r="G215" s="87">
        <f t="shared" si="5"/>
        <v>0</v>
      </c>
      <c r="H215" s="690"/>
      <c r="I215" s="693"/>
      <c r="J215" s="692"/>
      <c r="K215" s="692"/>
      <c r="L215" s="692"/>
      <c r="M215" s="692"/>
      <c r="N215" s="692"/>
      <c r="O215" s="692"/>
      <c r="P215" s="692"/>
      <c r="Q215" s="692"/>
    </row>
    <row r="216" spans="1:17" ht="15" customHeight="1" x14ac:dyDescent="0.25">
      <c r="A216" s="728">
        <f t="shared" si="7"/>
        <v>94.117647058823536</v>
      </c>
      <c r="B216" s="87" t="s">
        <v>2334</v>
      </c>
      <c r="C216" s="555" t="s">
        <v>2230</v>
      </c>
      <c r="D216" s="563">
        <v>16000</v>
      </c>
      <c r="E216" s="573">
        <v>170</v>
      </c>
      <c r="F216" s="563">
        <v>16000</v>
      </c>
      <c r="G216" s="87">
        <f t="shared" si="5"/>
        <v>0</v>
      </c>
      <c r="H216" s="690"/>
      <c r="I216" s="693"/>
      <c r="J216" s="692"/>
      <c r="K216" s="692"/>
      <c r="L216" s="692"/>
      <c r="M216" s="692"/>
      <c r="N216" s="692"/>
      <c r="O216" s="692"/>
      <c r="P216" s="692"/>
      <c r="Q216" s="692"/>
    </row>
    <row r="217" spans="1:17" ht="15" customHeight="1" x14ac:dyDescent="0.25">
      <c r="A217" s="728">
        <f t="shared" si="7"/>
        <v>99.337748344370866</v>
      </c>
      <c r="B217" s="87" t="s">
        <v>2334</v>
      </c>
      <c r="C217" s="555" t="s">
        <v>2080</v>
      </c>
      <c r="D217" s="563">
        <v>15000</v>
      </c>
      <c r="E217" s="573">
        <v>151</v>
      </c>
      <c r="F217" s="563">
        <v>15000</v>
      </c>
      <c r="G217" s="87">
        <f t="shared" si="5"/>
        <v>0</v>
      </c>
      <c r="H217" s="690"/>
      <c r="I217" s="693"/>
      <c r="J217" s="692"/>
      <c r="K217" s="692"/>
      <c r="L217" s="692"/>
      <c r="M217" s="692"/>
      <c r="N217" s="692"/>
      <c r="O217" s="692"/>
      <c r="P217" s="692"/>
      <c r="Q217" s="692"/>
    </row>
    <row r="218" spans="1:17" ht="15" customHeight="1" x14ac:dyDescent="0.25">
      <c r="A218" s="728">
        <f t="shared" si="7"/>
        <v>88.050314465408803</v>
      </c>
      <c r="B218" s="87" t="s">
        <v>2334</v>
      </c>
      <c r="C218" s="555" t="s">
        <v>2202</v>
      </c>
      <c r="D218" s="563">
        <v>14000</v>
      </c>
      <c r="E218" s="573">
        <v>159</v>
      </c>
      <c r="F218" s="563">
        <v>14000</v>
      </c>
      <c r="G218" s="87">
        <f t="shared" si="5"/>
        <v>0</v>
      </c>
      <c r="H218" s="690"/>
      <c r="I218" s="693"/>
      <c r="J218" s="692"/>
      <c r="K218" s="692"/>
      <c r="L218" s="692"/>
      <c r="M218" s="692"/>
      <c r="N218" s="692"/>
      <c r="O218" s="692"/>
      <c r="P218" s="692"/>
      <c r="Q218" s="692"/>
    </row>
    <row r="219" spans="1:17" ht="15" customHeight="1" x14ac:dyDescent="0.25">
      <c r="A219" s="728">
        <f t="shared" si="7"/>
        <v>88</v>
      </c>
      <c r="B219" s="87" t="s">
        <v>2334</v>
      </c>
      <c r="C219" s="555" t="s">
        <v>1725</v>
      </c>
      <c r="D219" s="563">
        <v>22000</v>
      </c>
      <c r="E219" s="573">
        <v>250</v>
      </c>
      <c r="F219" s="563">
        <v>22000</v>
      </c>
      <c r="G219" s="87">
        <f t="shared" si="5"/>
        <v>0</v>
      </c>
      <c r="H219" s="690"/>
      <c r="I219" s="693"/>
      <c r="J219" s="692"/>
      <c r="K219" s="692"/>
      <c r="L219" s="692"/>
      <c r="M219" s="692"/>
      <c r="N219" s="692"/>
      <c r="O219" s="692"/>
      <c r="P219" s="692"/>
      <c r="Q219" s="692"/>
    </row>
    <row r="220" spans="1:17" ht="15" customHeight="1" x14ac:dyDescent="0.25">
      <c r="A220" s="728">
        <f t="shared" si="7"/>
        <v>88.028169014084511</v>
      </c>
      <c r="B220" s="87" t="s">
        <v>2334</v>
      </c>
      <c r="C220" s="555" t="s">
        <v>1959</v>
      </c>
      <c r="D220" s="563">
        <v>25000</v>
      </c>
      <c r="E220" s="573">
        <v>284</v>
      </c>
      <c r="F220" s="563">
        <v>25000</v>
      </c>
      <c r="G220" s="87">
        <f t="shared" si="5"/>
        <v>0</v>
      </c>
      <c r="H220" s="690"/>
      <c r="I220" s="693"/>
      <c r="J220" s="692"/>
      <c r="K220" s="692"/>
      <c r="L220" s="692"/>
      <c r="M220" s="692"/>
      <c r="N220" s="692"/>
      <c r="O220" s="692"/>
      <c r="P220" s="692"/>
      <c r="Q220" s="692"/>
    </row>
    <row r="221" spans="1:17" ht="15" customHeight="1" x14ac:dyDescent="0.25">
      <c r="A221" s="728">
        <f t="shared" si="7"/>
        <v>87.774294670846402</v>
      </c>
      <c r="B221" s="87" t="s">
        <v>2354</v>
      </c>
      <c r="C221" s="555" t="s">
        <v>2356</v>
      </c>
      <c r="D221" s="563">
        <v>28000</v>
      </c>
      <c r="E221" s="573">
        <v>319</v>
      </c>
      <c r="F221" s="563">
        <v>28000</v>
      </c>
      <c r="G221" s="87">
        <f t="shared" si="5"/>
        <v>0</v>
      </c>
      <c r="H221" s="690"/>
      <c r="I221" s="693"/>
      <c r="J221" s="692"/>
      <c r="K221" s="692"/>
      <c r="L221" s="692"/>
      <c r="M221" s="692"/>
      <c r="N221" s="692"/>
      <c r="O221" s="692"/>
      <c r="P221" s="692"/>
      <c r="Q221" s="692"/>
    </row>
    <row r="222" spans="1:17" ht="15" customHeight="1" x14ac:dyDescent="0.25">
      <c r="A222" s="728">
        <f t="shared" si="7"/>
        <v>110.13215859030836</v>
      </c>
      <c r="B222" s="87" t="s">
        <v>2354</v>
      </c>
      <c r="C222" s="555" t="s">
        <v>2357</v>
      </c>
      <c r="D222" s="563">
        <v>25000</v>
      </c>
      <c r="E222" s="573">
        <v>227</v>
      </c>
      <c r="F222" s="563">
        <v>25000</v>
      </c>
      <c r="G222" s="87">
        <f t="shared" si="5"/>
        <v>0</v>
      </c>
      <c r="H222" s="690"/>
      <c r="I222" s="693"/>
      <c r="J222" s="692"/>
      <c r="K222" s="692"/>
      <c r="L222" s="692"/>
      <c r="M222" s="692"/>
      <c r="N222" s="692"/>
      <c r="O222" s="692"/>
      <c r="P222" s="692"/>
      <c r="Q222" s="692"/>
    </row>
    <row r="223" spans="1:17" ht="15" customHeight="1" x14ac:dyDescent="0.25">
      <c r="A223" s="728">
        <f t="shared" si="7"/>
        <v>61.946902654867259</v>
      </c>
      <c r="B223" s="87" t="s">
        <v>2354</v>
      </c>
      <c r="C223" s="555" t="s">
        <v>2294</v>
      </c>
      <c r="D223" s="563">
        <v>21000</v>
      </c>
      <c r="E223" s="573">
        <v>339</v>
      </c>
      <c r="F223" s="563">
        <v>21000</v>
      </c>
      <c r="G223" s="87">
        <f t="shared" si="5"/>
        <v>0</v>
      </c>
      <c r="H223" s="690"/>
      <c r="I223" s="693"/>
      <c r="J223" s="692"/>
      <c r="K223" s="692"/>
      <c r="L223" s="692"/>
      <c r="M223" s="692"/>
      <c r="N223" s="692"/>
      <c r="O223" s="692"/>
      <c r="P223" s="692"/>
      <c r="Q223" s="692"/>
    </row>
    <row r="224" spans="1:17" ht="15" customHeight="1" x14ac:dyDescent="0.25">
      <c r="A224" s="728">
        <f t="shared" si="7"/>
        <v>87.774294670846402</v>
      </c>
      <c r="B224" s="87" t="s">
        <v>2354</v>
      </c>
      <c r="C224" s="555" t="s">
        <v>2358</v>
      </c>
      <c r="D224" s="563">
        <v>28000</v>
      </c>
      <c r="E224" s="573">
        <v>319</v>
      </c>
      <c r="F224" s="563">
        <v>28000</v>
      </c>
      <c r="G224" s="87">
        <f t="shared" si="5"/>
        <v>0</v>
      </c>
      <c r="H224" s="690"/>
      <c r="I224" s="693"/>
      <c r="J224" s="692"/>
      <c r="K224" s="692"/>
      <c r="L224" s="692"/>
      <c r="M224" s="692"/>
      <c r="N224" s="692"/>
      <c r="O224" s="692"/>
      <c r="P224" s="692"/>
      <c r="Q224" s="692"/>
    </row>
    <row r="225" spans="1:17" ht="15" customHeight="1" x14ac:dyDescent="0.25">
      <c r="A225" s="728">
        <f t="shared" si="7"/>
        <v>87.912087912087912</v>
      </c>
      <c r="B225" s="87" t="s">
        <v>2354</v>
      </c>
      <c r="C225" s="555" t="s">
        <v>2359</v>
      </c>
      <c r="D225" s="563">
        <v>16000</v>
      </c>
      <c r="E225" s="573">
        <v>182</v>
      </c>
      <c r="F225" s="563">
        <v>16000</v>
      </c>
      <c r="G225" s="87">
        <f t="shared" si="5"/>
        <v>0</v>
      </c>
      <c r="H225" s="690"/>
      <c r="I225" s="693"/>
      <c r="J225" s="692"/>
      <c r="K225" s="692"/>
      <c r="L225" s="692"/>
      <c r="M225" s="692"/>
      <c r="N225" s="692"/>
      <c r="O225" s="692"/>
      <c r="P225" s="692"/>
      <c r="Q225" s="692"/>
    </row>
    <row r="226" spans="1:17" ht="15" customHeight="1" x14ac:dyDescent="0.25">
      <c r="A226" s="728">
        <f t="shared" si="7"/>
        <v>91.34615384615384</v>
      </c>
      <c r="B226" s="87" t="s">
        <v>2354</v>
      </c>
      <c r="C226" s="555" t="s">
        <v>2360</v>
      </c>
      <c r="D226" s="563">
        <v>19000</v>
      </c>
      <c r="E226" s="573">
        <v>208</v>
      </c>
      <c r="F226" s="563">
        <v>19000</v>
      </c>
      <c r="G226" s="87">
        <f t="shared" si="5"/>
        <v>0</v>
      </c>
      <c r="H226" s="690"/>
      <c r="I226" s="693"/>
      <c r="J226" s="692"/>
      <c r="K226" s="692"/>
      <c r="L226" s="692"/>
      <c r="M226" s="692"/>
      <c r="N226" s="692"/>
      <c r="O226" s="692"/>
      <c r="P226" s="692"/>
      <c r="Q226" s="692"/>
    </row>
    <row r="227" spans="1:17" ht="15" customHeight="1" x14ac:dyDescent="0.25">
      <c r="A227" s="728">
        <f t="shared" si="7"/>
        <v>88.028169014084511</v>
      </c>
      <c r="B227" s="87" t="s">
        <v>2354</v>
      </c>
      <c r="C227" s="555" t="s">
        <v>2361</v>
      </c>
      <c r="D227" s="563">
        <v>25000</v>
      </c>
      <c r="E227" s="573">
        <v>284</v>
      </c>
      <c r="F227" s="563">
        <v>25000</v>
      </c>
      <c r="G227" s="87">
        <f t="shared" si="5"/>
        <v>0</v>
      </c>
      <c r="H227" s="690"/>
      <c r="I227" s="693"/>
      <c r="J227" s="692"/>
      <c r="K227" s="692"/>
      <c r="L227" s="692"/>
      <c r="M227" s="692"/>
      <c r="N227" s="692"/>
      <c r="O227" s="692"/>
      <c r="P227" s="692"/>
      <c r="Q227" s="692"/>
    </row>
    <row r="228" spans="1:17" ht="15" customHeight="1" x14ac:dyDescent="0.25">
      <c r="A228" s="728">
        <f t="shared" si="7"/>
        <v>88.028169014084511</v>
      </c>
      <c r="B228" s="87" t="s">
        <v>2354</v>
      </c>
      <c r="C228" s="555" t="s">
        <v>2362</v>
      </c>
      <c r="D228" s="563">
        <v>25000</v>
      </c>
      <c r="E228" s="573">
        <v>284</v>
      </c>
      <c r="F228" s="563">
        <v>25000</v>
      </c>
      <c r="G228" s="87">
        <f t="shared" si="5"/>
        <v>0</v>
      </c>
      <c r="H228" s="690"/>
      <c r="I228" s="693"/>
      <c r="J228" s="692"/>
      <c r="K228" s="692"/>
      <c r="L228" s="692"/>
      <c r="M228" s="692"/>
      <c r="N228" s="692"/>
      <c r="O228" s="692"/>
      <c r="P228" s="692"/>
      <c r="Q228" s="692"/>
    </row>
    <row r="229" spans="1:17" ht="15" customHeight="1" x14ac:dyDescent="0.25">
      <c r="A229" s="728">
        <f t="shared" si="7"/>
        <v>87.818696883852695</v>
      </c>
      <c r="B229" s="87" t="s">
        <v>2354</v>
      </c>
      <c r="C229" s="555" t="s">
        <v>2363</v>
      </c>
      <c r="D229" s="563">
        <v>31000</v>
      </c>
      <c r="E229" s="573">
        <v>353</v>
      </c>
      <c r="F229" s="563">
        <v>31000</v>
      </c>
      <c r="G229" s="87">
        <f t="shared" si="5"/>
        <v>0</v>
      </c>
      <c r="H229" s="690"/>
      <c r="I229" s="693"/>
      <c r="J229" s="692"/>
      <c r="K229" s="692"/>
      <c r="L229" s="692"/>
      <c r="M229" s="692"/>
      <c r="N229" s="692"/>
      <c r="O229" s="692"/>
      <c r="P229" s="692"/>
      <c r="Q229" s="692"/>
    </row>
    <row r="230" spans="1:17" ht="15" customHeight="1" x14ac:dyDescent="0.25">
      <c r="A230" s="728">
        <f t="shared" si="7"/>
        <v>87.804878048780495</v>
      </c>
      <c r="B230" s="87" t="s">
        <v>2354</v>
      </c>
      <c r="C230" s="555" t="s">
        <v>2364</v>
      </c>
      <c r="D230" s="563">
        <v>18000</v>
      </c>
      <c r="E230" s="573">
        <v>205</v>
      </c>
      <c r="F230" s="563">
        <v>18000</v>
      </c>
      <c r="G230" s="87">
        <f t="shared" si="5"/>
        <v>0</v>
      </c>
      <c r="H230" s="690"/>
      <c r="I230" s="693"/>
      <c r="J230" s="692"/>
      <c r="K230" s="692"/>
      <c r="L230" s="692"/>
      <c r="M230" s="692"/>
      <c r="N230" s="692"/>
      <c r="O230" s="692"/>
      <c r="P230" s="692"/>
      <c r="Q230" s="692"/>
    </row>
    <row r="231" spans="1:17" ht="15" customHeight="1" x14ac:dyDescent="0.25">
      <c r="A231" s="728">
        <f t="shared" si="7"/>
        <v>88.39779005524862</v>
      </c>
      <c r="B231" s="87" t="s">
        <v>2354</v>
      </c>
      <c r="C231" s="555" t="s">
        <v>2365</v>
      </c>
      <c r="D231" s="563">
        <v>32000</v>
      </c>
      <c r="E231" s="573">
        <v>362</v>
      </c>
      <c r="F231" s="563">
        <v>32000</v>
      </c>
      <c r="G231" s="87">
        <f t="shared" si="5"/>
        <v>0</v>
      </c>
      <c r="H231" s="690"/>
      <c r="I231" s="693"/>
      <c r="J231" s="692"/>
      <c r="K231" s="692"/>
      <c r="L231" s="692"/>
      <c r="M231" s="692"/>
      <c r="N231" s="692"/>
      <c r="O231" s="692"/>
      <c r="P231" s="692"/>
      <c r="Q231" s="692"/>
    </row>
    <row r="232" spans="1:17" ht="15" customHeight="1" x14ac:dyDescent="0.25">
      <c r="A232" s="728">
        <f t="shared" si="7"/>
        <v>88.235294117647058</v>
      </c>
      <c r="B232" s="87" t="s">
        <v>2354</v>
      </c>
      <c r="C232" s="555" t="s">
        <v>2366</v>
      </c>
      <c r="D232" s="563">
        <v>15000</v>
      </c>
      <c r="E232" s="573">
        <v>170</v>
      </c>
      <c r="F232" s="563">
        <v>15000</v>
      </c>
      <c r="G232" s="87">
        <f t="shared" si="5"/>
        <v>0</v>
      </c>
      <c r="H232" s="690"/>
      <c r="I232" s="693"/>
      <c r="J232" s="692"/>
      <c r="K232" s="692"/>
      <c r="L232" s="692"/>
      <c r="M232" s="692"/>
      <c r="N232" s="692"/>
      <c r="O232" s="692"/>
      <c r="P232" s="692"/>
      <c r="Q232" s="692"/>
    </row>
    <row r="233" spans="1:17" ht="15" customHeight="1" x14ac:dyDescent="0.25">
      <c r="A233" s="728">
        <f t="shared" si="7"/>
        <v>105.82010582010582</v>
      </c>
      <c r="B233" s="87" t="s">
        <v>2354</v>
      </c>
      <c r="C233" s="555" t="s">
        <v>2367</v>
      </c>
      <c r="D233" s="563">
        <v>20000</v>
      </c>
      <c r="E233" s="573">
        <v>189</v>
      </c>
      <c r="F233" s="563">
        <v>20000</v>
      </c>
      <c r="G233" s="87">
        <f t="shared" si="5"/>
        <v>0</v>
      </c>
      <c r="H233" s="690"/>
      <c r="I233" s="693"/>
      <c r="J233" s="692"/>
      <c r="K233" s="692"/>
      <c r="L233" s="692"/>
      <c r="M233" s="692"/>
      <c r="N233" s="692"/>
      <c r="O233" s="692"/>
      <c r="P233" s="692"/>
      <c r="Q233" s="692"/>
    </row>
    <row r="234" spans="1:17" ht="15" customHeight="1" x14ac:dyDescent="0.25">
      <c r="A234" s="728">
        <f t="shared" si="7"/>
        <v>88.607594936708864</v>
      </c>
      <c r="B234" s="87" t="s">
        <v>2354</v>
      </c>
      <c r="C234" s="555" t="s">
        <v>30</v>
      </c>
      <c r="D234" s="563">
        <v>7000</v>
      </c>
      <c r="E234" s="573">
        <v>79</v>
      </c>
      <c r="F234" s="563">
        <v>7000</v>
      </c>
      <c r="G234" s="87">
        <f t="shared" si="5"/>
        <v>0</v>
      </c>
      <c r="H234" s="690"/>
      <c r="I234" s="693"/>
      <c r="J234" s="692"/>
      <c r="K234" s="692"/>
      <c r="L234" s="692"/>
      <c r="M234" s="692"/>
      <c r="N234" s="692"/>
      <c r="O234" s="692"/>
      <c r="P234" s="692"/>
      <c r="Q234" s="692"/>
    </row>
    <row r="235" spans="1:17" ht="15" customHeight="1" x14ac:dyDescent="0.25">
      <c r="A235" s="728">
        <f t="shared" si="7"/>
        <v>88.495575221238937</v>
      </c>
      <c r="B235" s="87" t="s">
        <v>2354</v>
      </c>
      <c r="C235" s="555" t="s">
        <v>2201</v>
      </c>
      <c r="D235" s="563">
        <v>10000</v>
      </c>
      <c r="E235" s="573">
        <v>113</v>
      </c>
      <c r="F235" s="563">
        <v>10000</v>
      </c>
      <c r="G235" s="87">
        <f t="shared" si="5"/>
        <v>0</v>
      </c>
      <c r="H235" s="690"/>
      <c r="I235" s="693"/>
      <c r="J235" s="692"/>
      <c r="K235" s="692"/>
      <c r="L235" s="692"/>
      <c r="M235" s="692"/>
      <c r="N235" s="692"/>
      <c r="O235" s="692"/>
      <c r="P235" s="692"/>
      <c r="Q235" s="692"/>
    </row>
    <row r="236" spans="1:17" ht="15" customHeight="1" x14ac:dyDescent="0.25">
      <c r="A236" s="728">
        <f t="shared" si="7"/>
        <v>87.976539589442808</v>
      </c>
      <c r="B236" s="87" t="s">
        <v>2354</v>
      </c>
      <c r="C236" s="555" t="s">
        <v>2368</v>
      </c>
      <c r="D236" s="563">
        <v>30000</v>
      </c>
      <c r="E236" s="573">
        <v>341</v>
      </c>
      <c r="F236" s="563">
        <v>30000</v>
      </c>
      <c r="G236" s="87">
        <f t="shared" si="5"/>
        <v>0</v>
      </c>
      <c r="H236" s="690"/>
      <c r="I236" s="693"/>
      <c r="J236" s="692"/>
      <c r="K236" s="692"/>
      <c r="L236" s="692"/>
      <c r="M236" s="692"/>
      <c r="N236" s="692"/>
      <c r="O236" s="692"/>
      <c r="P236" s="692"/>
      <c r="Q236" s="692"/>
    </row>
    <row r="237" spans="1:17" ht="15" customHeight="1" x14ac:dyDescent="0.25">
      <c r="A237" s="728">
        <f t="shared" si="7"/>
        <v>111.11111111111111</v>
      </c>
      <c r="B237" s="87" t="s">
        <v>2354</v>
      </c>
      <c r="C237" s="555" t="s">
        <v>2369</v>
      </c>
      <c r="D237" s="563">
        <v>25000</v>
      </c>
      <c r="E237" s="573">
        <v>225</v>
      </c>
      <c r="F237" s="563">
        <v>25000</v>
      </c>
      <c r="G237" s="87">
        <f t="shared" si="5"/>
        <v>0</v>
      </c>
      <c r="H237" s="690"/>
      <c r="I237" s="693"/>
      <c r="J237" s="692"/>
      <c r="K237" s="692"/>
      <c r="L237" s="692"/>
      <c r="M237" s="692"/>
      <c r="N237" s="692"/>
      <c r="O237" s="692"/>
      <c r="P237" s="692"/>
      <c r="Q237" s="692"/>
    </row>
    <row r="238" spans="1:17" ht="15" customHeight="1" x14ac:dyDescent="0.25">
      <c r="A238" s="728">
        <f t="shared" si="7"/>
        <v>69.696969696969703</v>
      </c>
      <c r="B238" s="87" t="s">
        <v>2354</v>
      </c>
      <c r="C238" s="555" t="s">
        <v>2370</v>
      </c>
      <c r="D238" s="563">
        <v>23000</v>
      </c>
      <c r="E238" s="573">
        <v>330</v>
      </c>
      <c r="F238" s="563">
        <v>23000</v>
      </c>
      <c r="G238" s="87">
        <f t="shared" si="5"/>
        <v>0</v>
      </c>
      <c r="H238" s="690"/>
      <c r="I238" s="693"/>
      <c r="J238" s="692"/>
      <c r="K238" s="692"/>
      <c r="L238" s="692"/>
      <c r="M238" s="692"/>
      <c r="N238" s="692"/>
      <c r="O238" s="692"/>
      <c r="P238" s="692"/>
      <c r="Q238" s="692"/>
    </row>
    <row r="239" spans="1:17" ht="15" customHeight="1" x14ac:dyDescent="0.25">
      <c r="A239" s="728">
        <f t="shared" si="7"/>
        <v>98.901098901098905</v>
      </c>
      <c r="B239" s="87" t="s">
        <v>2354</v>
      </c>
      <c r="C239" s="555" t="s">
        <v>2371</v>
      </c>
      <c r="D239" s="563">
        <v>18000</v>
      </c>
      <c r="E239" s="573">
        <v>182</v>
      </c>
      <c r="F239" s="563">
        <v>18000</v>
      </c>
      <c r="G239" s="87">
        <f t="shared" si="5"/>
        <v>0</v>
      </c>
      <c r="H239" s="690"/>
      <c r="I239" s="693"/>
      <c r="J239" s="692"/>
      <c r="K239" s="692"/>
      <c r="L239" s="692"/>
      <c r="M239" s="692"/>
      <c r="N239" s="692"/>
      <c r="O239" s="692"/>
      <c r="P239" s="692"/>
      <c r="Q239" s="692"/>
    </row>
    <row r="240" spans="1:17" ht="15" customHeight="1" x14ac:dyDescent="0.25">
      <c r="A240" s="728">
        <f t="shared" si="7"/>
        <v>87.65</v>
      </c>
      <c r="B240" s="87" t="s">
        <v>2354</v>
      </c>
      <c r="C240" s="555" t="s">
        <v>2211</v>
      </c>
      <c r="D240" s="563">
        <v>21036</v>
      </c>
      <c r="E240" s="573">
        <v>240</v>
      </c>
      <c r="F240" s="563">
        <v>21036</v>
      </c>
      <c r="G240" s="87">
        <f t="shared" si="5"/>
        <v>0</v>
      </c>
      <c r="H240" s="690"/>
      <c r="I240" s="693"/>
      <c r="J240" s="692"/>
      <c r="K240" s="692"/>
      <c r="L240" s="692"/>
      <c r="M240" s="692"/>
      <c r="N240" s="692"/>
      <c r="O240" s="692"/>
      <c r="P240" s="692"/>
      <c r="Q240" s="692"/>
    </row>
    <row r="241" spans="1:17" ht="15" customHeight="1" x14ac:dyDescent="0.25">
      <c r="A241" s="728">
        <f t="shared" si="7"/>
        <v>64.356435643564353</v>
      </c>
      <c r="B241" s="87" t="s">
        <v>2354</v>
      </c>
      <c r="C241" s="555" t="s">
        <v>2372</v>
      </c>
      <c r="D241" s="563">
        <v>13000</v>
      </c>
      <c r="E241" s="573">
        <v>202</v>
      </c>
      <c r="F241" s="563">
        <v>13000</v>
      </c>
      <c r="G241" s="87">
        <f t="shared" si="5"/>
        <v>0</v>
      </c>
      <c r="H241" s="690"/>
      <c r="I241" s="693"/>
      <c r="J241" s="692"/>
      <c r="K241" s="692"/>
      <c r="L241" s="692"/>
      <c r="M241" s="692"/>
      <c r="N241" s="692"/>
      <c r="O241" s="692"/>
      <c r="P241" s="692"/>
      <c r="Q241" s="692"/>
    </row>
    <row r="242" spans="1:17" ht="15" customHeight="1" x14ac:dyDescent="0.25">
      <c r="A242" s="728">
        <f t="shared" si="7"/>
        <v>88.105726872246692</v>
      </c>
      <c r="B242" s="87" t="s">
        <v>2354</v>
      </c>
      <c r="C242" s="555" t="s">
        <v>1913</v>
      </c>
      <c r="D242" s="563">
        <v>20000</v>
      </c>
      <c r="E242" s="573">
        <v>227</v>
      </c>
      <c r="F242" s="563">
        <v>20000</v>
      </c>
      <c r="G242" s="87">
        <f t="shared" si="5"/>
        <v>0</v>
      </c>
      <c r="H242" s="690"/>
      <c r="I242" s="693"/>
      <c r="J242" s="692"/>
      <c r="K242" s="692"/>
      <c r="L242" s="692"/>
      <c r="M242" s="692"/>
      <c r="N242" s="692"/>
      <c r="O242" s="692"/>
      <c r="P242" s="692"/>
      <c r="Q242" s="692"/>
    </row>
    <row r="243" spans="1:17" ht="15" customHeight="1" x14ac:dyDescent="0.25">
      <c r="A243" s="728">
        <f t="shared" si="7"/>
        <v>88.235294117647058</v>
      </c>
      <c r="B243" s="87" t="s">
        <v>2355</v>
      </c>
      <c r="C243" s="87" t="s">
        <v>1972</v>
      </c>
      <c r="D243" s="87">
        <v>15000</v>
      </c>
      <c r="E243" s="87">
        <v>170</v>
      </c>
      <c r="F243" s="87">
        <v>15000</v>
      </c>
      <c r="G243" s="87">
        <f t="shared" si="5"/>
        <v>0</v>
      </c>
      <c r="H243" s="690"/>
      <c r="I243" s="693"/>
      <c r="J243" s="692"/>
      <c r="K243" s="692"/>
      <c r="L243" s="692"/>
      <c r="M243" s="692"/>
      <c r="N243" s="692"/>
      <c r="O243" s="692"/>
      <c r="P243" s="692"/>
      <c r="Q243" s="692"/>
    </row>
    <row r="244" spans="1:17" ht="15" customHeight="1" x14ac:dyDescent="0.25">
      <c r="A244" s="728">
        <f t="shared" si="7"/>
        <v>88.235294117647058</v>
      </c>
      <c r="B244" s="87" t="s">
        <v>2355</v>
      </c>
      <c r="C244" s="87" t="s">
        <v>2074</v>
      </c>
      <c r="D244" s="87">
        <v>15000</v>
      </c>
      <c r="E244" s="87">
        <v>170</v>
      </c>
      <c r="F244" s="87">
        <v>15000</v>
      </c>
      <c r="G244" s="87">
        <f t="shared" si="5"/>
        <v>0</v>
      </c>
      <c r="H244" s="690"/>
      <c r="I244" s="693"/>
      <c r="J244" s="692"/>
      <c r="K244" s="692"/>
      <c r="L244" s="692"/>
      <c r="M244" s="692"/>
      <c r="N244" s="692"/>
      <c r="O244" s="692"/>
      <c r="P244" s="692"/>
      <c r="Q244" s="692"/>
    </row>
    <row r="245" spans="1:17" ht="15" customHeight="1" x14ac:dyDescent="0.25">
      <c r="A245" s="728">
        <f t="shared" si="7"/>
        <v>88.028169014084511</v>
      </c>
      <c r="B245" s="87" t="s">
        <v>2355</v>
      </c>
      <c r="C245" s="87" t="s">
        <v>1769</v>
      </c>
      <c r="D245" s="87">
        <v>25000</v>
      </c>
      <c r="E245" s="87">
        <v>284</v>
      </c>
      <c r="F245" s="87">
        <v>25000</v>
      </c>
      <c r="G245" s="87">
        <f t="shared" si="5"/>
        <v>0</v>
      </c>
      <c r="H245" s="690"/>
      <c r="I245" s="693"/>
      <c r="J245" s="692"/>
      <c r="K245" s="692"/>
      <c r="L245" s="692"/>
      <c r="M245" s="692"/>
      <c r="N245" s="692"/>
      <c r="O245" s="692"/>
      <c r="P245" s="692"/>
      <c r="Q245" s="692"/>
    </row>
    <row r="246" spans="1:17" ht="15" customHeight="1" x14ac:dyDescent="0.25">
      <c r="A246" s="728">
        <f t="shared" si="7"/>
        <v>87.86610878661088</v>
      </c>
      <c r="B246" s="87" t="s">
        <v>2355</v>
      </c>
      <c r="C246" s="87" t="s">
        <v>2373</v>
      </c>
      <c r="D246" s="87">
        <v>21000</v>
      </c>
      <c r="E246" s="87">
        <v>239</v>
      </c>
      <c r="F246" s="87">
        <v>21000</v>
      </c>
      <c r="G246" s="87">
        <f t="shared" si="5"/>
        <v>0</v>
      </c>
      <c r="H246" s="690"/>
      <c r="I246" s="693"/>
      <c r="J246" s="692"/>
      <c r="K246" s="692"/>
      <c r="L246" s="692"/>
      <c r="M246" s="692"/>
      <c r="N246" s="692"/>
      <c r="O246" s="692"/>
      <c r="P246" s="692"/>
      <c r="Q246" s="692"/>
    </row>
    <row r="247" spans="1:17" ht="15" customHeight="1" x14ac:dyDescent="0.25">
      <c r="A247" s="728">
        <f t="shared" si="7"/>
        <v>87.786259541984734</v>
      </c>
      <c r="B247" s="87" t="s">
        <v>2355</v>
      </c>
      <c r="C247" s="87" t="s">
        <v>2195</v>
      </c>
      <c r="D247" s="87">
        <v>23000</v>
      </c>
      <c r="E247" s="87">
        <v>262</v>
      </c>
      <c r="F247" s="87">
        <v>23000</v>
      </c>
      <c r="G247" s="87">
        <f t="shared" si="5"/>
        <v>0</v>
      </c>
      <c r="H247" s="690"/>
      <c r="I247" s="693"/>
      <c r="J247" s="692"/>
      <c r="K247" s="692"/>
      <c r="L247" s="692"/>
      <c r="M247" s="692"/>
      <c r="N247" s="692"/>
      <c r="O247" s="692"/>
      <c r="P247" s="692"/>
      <c r="Q247" s="692"/>
    </row>
    <row r="248" spans="1:17" ht="15" customHeight="1" x14ac:dyDescent="0.25">
      <c r="A248" s="728">
        <f t="shared" si="7"/>
        <v>90.163934426229503</v>
      </c>
      <c r="B248" s="87" t="s">
        <v>2355</v>
      </c>
      <c r="C248" s="87" t="s">
        <v>1883</v>
      </c>
      <c r="D248" s="87">
        <v>22000</v>
      </c>
      <c r="E248" s="87">
        <v>244</v>
      </c>
      <c r="F248" s="87">
        <v>22000</v>
      </c>
      <c r="G248" s="87">
        <f t="shared" si="5"/>
        <v>0</v>
      </c>
      <c r="H248" s="690"/>
      <c r="I248" s="693"/>
      <c r="J248" s="692"/>
      <c r="K248" s="692"/>
      <c r="L248" s="692"/>
      <c r="M248" s="692"/>
      <c r="N248" s="692"/>
      <c r="O248" s="692"/>
      <c r="P248" s="692"/>
      <c r="Q248" s="692"/>
    </row>
    <row r="249" spans="1:17" ht="15" customHeight="1" x14ac:dyDescent="0.25">
      <c r="A249" s="728">
        <f t="shared" si="7"/>
        <v>87.976539589442808</v>
      </c>
      <c r="B249" s="87" t="s">
        <v>2355</v>
      </c>
      <c r="C249" s="87" t="s">
        <v>2374</v>
      </c>
      <c r="D249" s="87">
        <v>30000</v>
      </c>
      <c r="E249" s="87">
        <v>341</v>
      </c>
      <c r="F249" s="87">
        <v>30000</v>
      </c>
      <c r="G249" s="87">
        <f t="shared" si="5"/>
        <v>0</v>
      </c>
      <c r="H249" s="690"/>
      <c r="I249" s="693"/>
      <c r="J249" s="692"/>
      <c r="K249" s="692"/>
      <c r="L249" s="692"/>
      <c r="M249" s="692"/>
      <c r="N249" s="692"/>
      <c r="O249" s="692"/>
      <c r="P249" s="692"/>
      <c r="Q249" s="692"/>
    </row>
    <row r="250" spans="1:17" ht="15" customHeight="1" x14ac:dyDescent="0.25">
      <c r="A250" s="728">
        <f t="shared" si="7"/>
        <v>87.976539589442808</v>
      </c>
      <c r="B250" s="87" t="s">
        <v>2355</v>
      </c>
      <c r="C250" s="87" t="s">
        <v>2375</v>
      </c>
      <c r="D250" s="87">
        <v>30000</v>
      </c>
      <c r="E250" s="87">
        <v>341</v>
      </c>
      <c r="F250" s="87">
        <v>30000</v>
      </c>
      <c r="G250" s="87">
        <f t="shared" si="5"/>
        <v>0</v>
      </c>
      <c r="H250" s="690"/>
      <c r="I250" s="693"/>
      <c r="J250" s="692"/>
      <c r="K250" s="692"/>
      <c r="L250" s="692"/>
      <c r="M250" s="692"/>
      <c r="N250" s="692"/>
      <c r="O250" s="692"/>
      <c r="P250" s="692"/>
      <c r="Q250" s="692"/>
    </row>
    <row r="251" spans="1:17" ht="15" customHeight="1" x14ac:dyDescent="0.25">
      <c r="A251" s="728">
        <f t="shared" si="7"/>
        <v>87.804878048780495</v>
      </c>
      <c r="B251" s="87" t="s">
        <v>2355</v>
      </c>
      <c r="C251" s="87" t="s">
        <v>2376</v>
      </c>
      <c r="D251" s="87">
        <v>18000</v>
      </c>
      <c r="E251" s="87">
        <v>205</v>
      </c>
      <c r="F251" s="87">
        <v>18000</v>
      </c>
      <c r="G251" s="87">
        <f t="shared" si="5"/>
        <v>0</v>
      </c>
      <c r="H251" s="690"/>
      <c r="I251" s="693"/>
      <c r="J251" s="692"/>
      <c r="K251" s="692"/>
      <c r="L251" s="692"/>
      <c r="M251" s="692"/>
      <c r="N251" s="692"/>
      <c r="O251" s="692"/>
      <c r="P251" s="692"/>
      <c r="Q251" s="692"/>
    </row>
    <row r="252" spans="1:17" ht="15" customHeight="1" x14ac:dyDescent="0.25">
      <c r="A252" s="728">
        <f t="shared" si="7"/>
        <v>48.076923076923073</v>
      </c>
      <c r="B252" s="87" t="s">
        <v>2355</v>
      </c>
      <c r="C252" s="87" t="s">
        <v>66</v>
      </c>
      <c r="D252" s="87">
        <v>100</v>
      </c>
      <c r="E252" s="87">
        <v>2.08</v>
      </c>
      <c r="F252" s="87">
        <v>100</v>
      </c>
      <c r="G252" s="87">
        <f t="shared" si="5"/>
        <v>0</v>
      </c>
      <c r="H252" s="690"/>
      <c r="I252" s="693"/>
      <c r="J252" s="692"/>
      <c r="K252" s="692"/>
      <c r="L252" s="692"/>
      <c r="M252" s="692"/>
      <c r="N252" s="692"/>
      <c r="O252" s="692"/>
      <c r="P252" s="692"/>
      <c r="Q252" s="692"/>
    </row>
    <row r="253" spans="1:17" ht="15" customHeight="1" x14ac:dyDescent="0.25">
      <c r="A253" s="728">
        <f t="shared" si="7"/>
        <v>88.028169014084511</v>
      </c>
      <c r="B253" s="87" t="s">
        <v>2355</v>
      </c>
      <c r="C253" s="87" t="s">
        <v>2028</v>
      </c>
      <c r="D253" s="87">
        <v>25000</v>
      </c>
      <c r="E253" s="87">
        <v>284</v>
      </c>
      <c r="F253" s="87">
        <v>25000</v>
      </c>
      <c r="G253" s="87">
        <f t="shared" si="5"/>
        <v>0</v>
      </c>
      <c r="H253" s="690"/>
      <c r="I253" s="693"/>
      <c r="J253" s="692"/>
      <c r="K253" s="692"/>
      <c r="L253" s="692"/>
      <c r="M253" s="692"/>
      <c r="N253" s="692"/>
      <c r="O253" s="692"/>
      <c r="P253" s="692"/>
      <c r="Q253" s="692"/>
    </row>
    <row r="254" spans="1:17" ht="15" customHeight="1" x14ac:dyDescent="0.25">
      <c r="A254" s="728">
        <f t="shared" si="7"/>
        <v>88.235294117647058</v>
      </c>
      <c r="B254" s="87" t="s">
        <v>2355</v>
      </c>
      <c r="C254" s="87" t="s">
        <v>2078</v>
      </c>
      <c r="D254" s="87">
        <v>15000</v>
      </c>
      <c r="E254" s="87">
        <v>170</v>
      </c>
      <c r="F254" s="87">
        <v>15000</v>
      </c>
      <c r="G254" s="87">
        <f t="shared" si="5"/>
        <v>0</v>
      </c>
      <c r="H254" s="690"/>
      <c r="I254" s="693"/>
      <c r="J254" s="692"/>
      <c r="K254" s="692"/>
      <c r="L254" s="692"/>
      <c r="M254" s="692"/>
      <c r="N254" s="692"/>
      <c r="O254" s="692"/>
      <c r="P254" s="692"/>
      <c r="Q254" s="692"/>
    </row>
    <row r="255" spans="1:17" ht="15" customHeight="1" x14ac:dyDescent="0.25">
      <c r="A255" s="728">
        <f t="shared" si="7"/>
        <v>88.050314465408803</v>
      </c>
      <c r="B255" s="87" t="s">
        <v>2355</v>
      </c>
      <c r="C255" s="87" t="s">
        <v>2080</v>
      </c>
      <c r="D255" s="87">
        <v>14000</v>
      </c>
      <c r="E255" s="87">
        <v>159</v>
      </c>
      <c r="F255" s="87">
        <v>14000</v>
      </c>
      <c r="G255" s="87">
        <f t="shared" si="5"/>
        <v>0</v>
      </c>
      <c r="H255" s="690"/>
      <c r="I255" s="693"/>
      <c r="J255" s="692"/>
      <c r="K255" s="692"/>
      <c r="L255" s="692"/>
      <c r="M255" s="692"/>
      <c r="N255" s="692"/>
      <c r="O255" s="692"/>
      <c r="P255" s="692"/>
      <c r="Q255" s="692"/>
    </row>
    <row r="256" spans="1:17" ht="15" customHeight="1" x14ac:dyDescent="0.25">
      <c r="A256" s="728">
        <f t="shared" si="7"/>
        <v>89.005235602094245</v>
      </c>
      <c r="B256" s="87" t="s">
        <v>2355</v>
      </c>
      <c r="C256" s="87" t="s">
        <v>2044</v>
      </c>
      <c r="D256" s="87">
        <v>17000</v>
      </c>
      <c r="E256" s="87">
        <v>191</v>
      </c>
      <c r="F256" s="87">
        <v>17000</v>
      </c>
      <c r="G256" s="87">
        <f t="shared" si="5"/>
        <v>0</v>
      </c>
      <c r="H256" s="690"/>
      <c r="I256" s="693"/>
      <c r="J256" s="692"/>
      <c r="K256" s="692"/>
      <c r="L256" s="692"/>
      <c r="M256" s="692"/>
      <c r="N256" s="692"/>
      <c r="O256" s="692"/>
      <c r="P256" s="692"/>
      <c r="Q256" s="692"/>
    </row>
    <row r="257" spans="1:17" ht="15" customHeight="1" x14ac:dyDescent="0.25">
      <c r="A257" s="728">
        <f t="shared" si="7"/>
        <v>89.820359281437121</v>
      </c>
      <c r="B257" s="87" t="s">
        <v>2355</v>
      </c>
      <c r="C257" s="87" t="s">
        <v>1855</v>
      </c>
      <c r="D257" s="87">
        <v>15000</v>
      </c>
      <c r="E257" s="87">
        <v>167</v>
      </c>
      <c r="F257" s="87">
        <v>15000</v>
      </c>
      <c r="G257" s="87">
        <f t="shared" si="5"/>
        <v>0</v>
      </c>
      <c r="H257" s="690"/>
      <c r="I257" s="693"/>
      <c r="J257" s="692"/>
      <c r="K257" s="692"/>
      <c r="L257" s="692"/>
      <c r="M257" s="692"/>
      <c r="N257" s="692"/>
      <c r="O257" s="692"/>
      <c r="P257" s="692"/>
      <c r="Q257" s="692"/>
    </row>
    <row r="258" spans="1:17" ht="15" customHeight="1" x14ac:dyDescent="0.25">
      <c r="A258" s="728">
        <f t="shared" si="7"/>
        <v>87.774294670846402</v>
      </c>
      <c r="B258" s="87" t="s">
        <v>2355</v>
      </c>
      <c r="C258" s="87" t="s">
        <v>2377</v>
      </c>
      <c r="D258" s="87">
        <v>28000</v>
      </c>
      <c r="E258" s="87">
        <v>319</v>
      </c>
      <c r="F258" s="87">
        <v>28000</v>
      </c>
      <c r="G258" s="87">
        <f t="shared" si="5"/>
        <v>0</v>
      </c>
      <c r="H258" s="690"/>
      <c r="I258" s="693"/>
      <c r="J258" s="692"/>
      <c r="K258" s="692"/>
      <c r="L258" s="692"/>
      <c r="M258" s="692"/>
      <c r="N258" s="692"/>
      <c r="O258" s="692"/>
      <c r="P258" s="692"/>
      <c r="Q258" s="692"/>
    </row>
    <row r="259" spans="1:17" ht="15" customHeight="1" x14ac:dyDescent="0.25">
      <c r="A259" s="728">
        <f t="shared" si="7"/>
        <v>87.947882736156359</v>
      </c>
      <c r="B259" s="87" t="s">
        <v>2355</v>
      </c>
      <c r="C259" s="87" t="s">
        <v>2147</v>
      </c>
      <c r="D259" s="87">
        <v>27000</v>
      </c>
      <c r="E259" s="87">
        <v>307</v>
      </c>
      <c r="F259" s="87">
        <v>27000</v>
      </c>
      <c r="G259" s="87">
        <f t="shared" si="5"/>
        <v>0</v>
      </c>
      <c r="H259" s="690"/>
      <c r="I259" s="693"/>
      <c r="J259" s="692"/>
      <c r="K259" s="692"/>
      <c r="L259" s="692"/>
      <c r="M259" s="692"/>
      <c r="N259" s="692"/>
      <c r="O259" s="692"/>
      <c r="P259" s="692"/>
      <c r="Q259" s="692"/>
    </row>
    <row r="260" spans="1:17" ht="15" customHeight="1" x14ac:dyDescent="0.25">
      <c r="A260" s="728">
        <f t="shared" si="7"/>
        <v>107.3170731707317</v>
      </c>
      <c r="B260" s="87" t="s">
        <v>2355</v>
      </c>
      <c r="C260" s="87" t="s">
        <v>2378</v>
      </c>
      <c r="D260" s="87">
        <v>22000</v>
      </c>
      <c r="E260" s="87">
        <v>205</v>
      </c>
      <c r="F260" s="87">
        <v>22000</v>
      </c>
      <c r="G260" s="87">
        <f t="shared" si="5"/>
        <v>0</v>
      </c>
      <c r="H260" s="690"/>
      <c r="I260" s="693"/>
      <c r="J260" s="692"/>
      <c r="K260" s="692"/>
      <c r="L260" s="692"/>
      <c r="M260" s="692"/>
      <c r="N260" s="692"/>
      <c r="O260" s="692"/>
      <c r="P260" s="692"/>
      <c r="Q260" s="692"/>
    </row>
    <row r="261" spans="1:17" ht="15" customHeight="1" x14ac:dyDescent="0.25">
      <c r="A261" s="728">
        <f t="shared" si="7"/>
        <v>87.947882736156359</v>
      </c>
      <c r="B261" s="87" t="s">
        <v>2355</v>
      </c>
      <c r="C261" s="87" t="s">
        <v>2379</v>
      </c>
      <c r="D261" s="87">
        <v>27000</v>
      </c>
      <c r="E261" s="87">
        <v>307</v>
      </c>
      <c r="F261" s="87">
        <v>27000</v>
      </c>
      <c r="G261" s="87">
        <f t="shared" si="5"/>
        <v>0</v>
      </c>
      <c r="H261" s="690"/>
      <c r="I261" s="693"/>
      <c r="J261" s="692"/>
      <c r="K261" s="692"/>
      <c r="L261" s="692"/>
      <c r="M261" s="692"/>
      <c r="N261" s="692"/>
      <c r="O261" s="692"/>
      <c r="P261" s="692"/>
      <c r="Q261" s="692"/>
    </row>
    <row r="262" spans="1:17" ht="15" customHeight="1" x14ac:dyDescent="0.25">
      <c r="A262" s="728">
        <f t="shared" si="7"/>
        <v>100.96153846153845</v>
      </c>
      <c r="B262" s="87" t="s">
        <v>2380</v>
      </c>
      <c r="C262" s="87" t="s">
        <v>66</v>
      </c>
      <c r="D262" s="87">
        <v>210</v>
      </c>
      <c r="E262" s="87">
        <v>2.08</v>
      </c>
      <c r="F262" s="87">
        <v>210</v>
      </c>
      <c r="G262" s="87">
        <f t="shared" si="5"/>
        <v>0</v>
      </c>
      <c r="H262" s="690"/>
      <c r="I262" s="693"/>
      <c r="J262" s="692"/>
      <c r="K262" s="692"/>
      <c r="L262" s="692"/>
      <c r="M262" s="692"/>
      <c r="N262" s="692"/>
      <c r="O262" s="692"/>
      <c r="P262" s="692"/>
      <c r="Q262" s="692"/>
    </row>
    <row r="263" spans="1:17" ht="15" customHeight="1" x14ac:dyDescent="0.25">
      <c r="A263" s="728">
        <f t="shared" ref="A263:A326" si="8">D263/E263</f>
        <v>87.86610878661088</v>
      </c>
      <c r="B263" s="87" t="s">
        <v>2380</v>
      </c>
      <c r="C263" s="87" t="s">
        <v>2145</v>
      </c>
      <c r="D263" s="87">
        <v>21000</v>
      </c>
      <c r="E263" s="87">
        <v>239</v>
      </c>
      <c r="F263" s="87">
        <v>21000</v>
      </c>
      <c r="G263" s="87">
        <f t="shared" si="5"/>
        <v>0</v>
      </c>
      <c r="H263" s="690"/>
      <c r="I263" s="693"/>
      <c r="J263" s="692"/>
      <c r="K263" s="692"/>
      <c r="L263" s="692"/>
      <c r="M263" s="692"/>
      <c r="N263" s="692"/>
      <c r="O263" s="692"/>
      <c r="P263" s="692"/>
      <c r="Q263" s="692"/>
    </row>
    <row r="264" spans="1:17" ht="15" customHeight="1" x14ac:dyDescent="0.25">
      <c r="A264" s="728">
        <f t="shared" si="8"/>
        <v>87.837837837837839</v>
      </c>
      <c r="B264" s="87" t="s">
        <v>2380</v>
      </c>
      <c r="C264" s="87" t="s">
        <v>1919</v>
      </c>
      <c r="D264" s="87">
        <v>26000</v>
      </c>
      <c r="E264" s="87">
        <v>296</v>
      </c>
      <c r="F264" s="87">
        <v>26000</v>
      </c>
      <c r="G264" s="87">
        <f t="shared" si="5"/>
        <v>0</v>
      </c>
      <c r="H264" s="690"/>
      <c r="I264" s="693"/>
      <c r="J264" s="692"/>
      <c r="K264" s="692"/>
      <c r="L264" s="692"/>
      <c r="M264" s="692"/>
      <c r="N264" s="692"/>
      <c r="O264" s="692"/>
      <c r="P264" s="692"/>
      <c r="Q264" s="692"/>
    </row>
    <row r="265" spans="1:17" ht="15" customHeight="1" x14ac:dyDescent="0.25">
      <c r="A265" s="728">
        <f t="shared" si="8"/>
        <v>88.235294117647058</v>
      </c>
      <c r="B265" s="87" t="s">
        <v>2380</v>
      </c>
      <c r="C265" s="87" t="s">
        <v>1991</v>
      </c>
      <c r="D265" s="87">
        <v>15000</v>
      </c>
      <c r="E265" s="87">
        <v>170</v>
      </c>
      <c r="F265" s="87">
        <v>15000</v>
      </c>
      <c r="G265" s="87">
        <f t="shared" si="5"/>
        <v>0</v>
      </c>
      <c r="H265" s="690"/>
      <c r="I265" s="693"/>
      <c r="J265" s="692"/>
      <c r="K265" s="692"/>
      <c r="L265" s="692"/>
      <c r="M265" s="692"/>
      <c r="N265" s="692"/>
      <c r="O265" s="692"/>
      <c r="P265" s="692"/>
      <c r="Q265" s="692"/>
    </row>
    <row r="266" spans="1:17" ht="15" customHeight="1" x14ac:dyDescent="0.25">
      <c r="A266" s="728">
        <f t="shared" si="8"/>
        <v>94.339622641509436</v>
      </c>
      <c r="B266" s="87" t="s">
        <v>2380</v>
      </c>
      <c r="C266" s="87" t="s">
        <v>1982</v>
      </c>
      <c r="D266" s="87">
        <v>15000</v>
      </c>
      <c r="E266" s="87">
        <v>159</v>
      </c>
      <c r="F266" s="87">
        <v>15000</v>
      </c>
      <c r="G266" s="87">
        <f t="shared" si="5"/>
        <v>0</v>
      </c>
      <c r="H266" s="690"/>
      <c r="I266" s="693"/>
      <c r="J266" s="692"/>
      <c r="K266" s="692"/>
      <c r="L266" s="692"/>
      <c r="M266" s="692"/>
      <c r="N266" s="692"/>
      <c r="O266" s="692"/>
      <c r="P266" s="692"/>
      <c r="Q266" s="692"/>
    </row>
    <row r="267" spans="1:17" ht="15" customHeight="1" x14ac:dyDescent="0.25">
      <c r="A267" s="728">
        <f t="shared" si="8"/>
        <v>87.75</v>
      </c>
      <c r="B267" s="87" t="s">
        <v>2380</v>
      </c>
      <c r="C267" s="87" t="s">
        <v>30</v>
      </c>
      <c r="D267" s="87">
        <v>8775</v>
      </c>
      <c r="E267" s="87">
        <v>100</v>
      </c>
      <c r="F267" s="87">
        <v>8775</v>
      </c>
      <c r="G267" s="87">
        <f t="shared" si="5"/>
        <v>0</v>
      </c>
      <c r="H267" s="690"/>
      <c r="I267" s="693"/>
      <c r="J267" s="692"/>
      <c r="K267" s="692"/>
      <c r="L267" s="692"/>
      <c r="M267" s="692"/>
      <c r="N267" s="692"/>
      <c r="O267" s="692"/>
      <c r="P267" s="692"/>
      <c r="Q267" s="692"/>
    </row>
    <row r="268" spans="1:17" ht="15" customHeight="1" x14ac:dyDescent="0.25">
      <c r="A268" s="728">
        <f t="shared" si="8"/>
        <v>88.028169014084511</v>
      </c>
      <c r="B268" s="87" t="s">
        <v>2380</v>
      </c>
      <c r="C268" s="87" t="s">
        <v>2381</v>
      </c>
      <c r="D268" s="87">
        <v>25000</v>
      </c>
      <c r="E268" s="87">
        <v>284</v>
      </c>
      <c r="F268" s="87">
        <v>25000</v>
      </c>
      <c r="G268" s="87">
        <f t="shared" si="5"/>
        <v>0</v>
      </c>
      <c r="H268" s="690"/>
      <c r="I268" s="693"/>
      <c r="J268" s="692"/>
      <c r="K268" s="692"/>
      <c r="L268" s="692"/>
      <c r="M268" s="692"/>
      <c r="N268" s="692"/>
      <c r="O268" s="692"/>
      <c r="P268" s="692"/>
      <c r="Q268" s="692"/>
    </row>
    <row r="269" spans="1:17" ht="15" customHeight="1" x14ac:dyDescent="0.25">
      <c r="A269" s="728">
        <f t="shared" si="8"/>
        <v>88.235294117647058</v>
      </c>
      <c r="B269" s="87" t="s">
        <v>2380</v>
      </c>
      <c r="C269" s="87" t="s">
        <v>2382</v>
      </c>
      <c r="D269" s="87">
        <v>15000</v>
      </c>
      <c r="E269" s="87">
        <v>170</v>
      </c>
      <c r="F269" s="87">
        <v>15000</v>
      </c>
      <c r="G269" s="87">
        <f t="shared" si="5"/>
        <v>0</v>
      </c>
      <c r="H269" s="690"/>
      <c r="I269" s="693"/>
      <c r="J269" s="692"/>
      <c r="K269" s="692"/>
      <c r="L269" s="692"/>
      <c r="M269" s="692"/>
      <c r="N269" s="692"/>
      <c r="O269" s="692"/>
      <c r="P269" s="692"/>
      <c r="Q269" s="692"/>
    </row>
    <row r="270" spans="1:17" ht="15" customHeight="1" x14ac:dyDescent="0.25">
      <c r="A270" s="728">
        <f t="shared" si="8"/>
        <v>87.947882736156359</v>
      </c>
      <c r="B270" s="87" t="s">
        <v>2380</v>
      </c>
      <c r="C270" s="87" t="s">
        <v>2383</v>
      </c>
      <c r="D270" s="87">
        <v>27000</v>
      </c>
      <c r="E270" s="87">
        <v>307</v>
      </c>
      <c r="F270" s="87">
        <v>27000</v>
      </c>
      <c r="G270" s="87">
        <f t="shared" si="5"/>
        <v>0</v>
      </c>
      <c r="H270" s="690"/>
      <c r="I270" s="693"/>
      <c r="J270" s="692"/>
      <c r="K270" s="692"/>
      <c r="L270" s="692"/>
      <c r="M270" s="692"/>
      <c r="N270" s="692"/>
      <c r="O270" s="692"/>
      <c r="P270" s="692"/>
      <c r="Q270" s="692"/>
    </row>
    <row r="271" spans="1:17" ht="15" customHeight="1" x14ac:dyDescent="0.25">
      <c r="A271" s="728">
        <f t="shared" si="8"/>
        <v>87.947882736156359</v>
      </c>
      <c r="B271" s="87" t="s">
        <v>2380</v>
      </c>
      <c r="C271" s="87" t="s">
        <v>2384</v>
      </c>
      <c r="D271" s="87">
        <v>27000</v>
      </c>
      <c r="E271" s="87">
        <v>307</v>
      </c>
      <c r="F271" s="87">
        <v>27000</v>
      </c>
      <c r="G271" s="87">
        <f t="shared" si="5"/>
        <v>0</v>
      </c>
      <c r="H271" s="690"/>
      <c r="I271" s="693"/>
      <c r="J271" s="692"/>
      <c r="K271" s="692"/>
      <c r="L271" s="692"/>
      <c r="M271" s="692"/>
      <c r="N271" s="692"/>
      <c r="O271" s="692"/>
      <c r="P271" s="692"/>
      <c r="Q271" s="692"/>
    </row>
    <row r="272" spans="1:17" ht="15" customHeight="1" x14ac:dyDescent="0.25">
      <c r="A272" s="728">
        <f t="shared" si="8"/>
        <v>94.117647058823536</v>
      </c>
      <c r="B272" s="87" t="s">
        <v>2380</v>
      </c>
      <c r="C272" s="87" t="s">
        <v>2385</v>
      </c>
      <c r="D272" s="87">
        <v>16000</v>
      </c>
      <c r="E272" s="87">
        <v>170</v>
      </c>
      <c r="F272" s="87">
        <v>16000</v>
      </c>
      <c r="G272" s="87">
        <f t="shared" si="5"/>
        <v>0</v>
      </c>
      <c r="H272" s="690"/>
      <c r="I272" s="693"/>
      <c r="J272" s="692"/>
      <c r="K272" s="692"/>
      <c r="L272" s="692"/>
      <c r="M272" s="692"/>
      <c r="N272" s="692"/>
      <c r="O272" s="692"/>
      <c r="P272" s="692"/>
      <c r="Q272" s="692"/>
    </row>
    <row r="273" spans="1:17" ht="15" customHeight="1" x14ac:dyDescent="0.25">
      <c r="A273" s="728">
        <f t="shared" si="8"/>
        <v>94.117647058823536</v>
      </c>
      <c r="B273" s="87" t="s">
        <v>2380</v>
      </c>
      <c r="C273" s="87" t="s">
        <v>2230</v>
      </c>
      <c r="D273" s="87">
        <v>16000</v>
      </c>
      <c r="E273" s="87">
        <v>170</v>
      </c>
      <c r="F273" s="87">
        <v>16000</v>
      </c>
      <c r="G273" s="87">
        <f t="shared" si="5"/>
        <v>0</v>
      </c>
      <c r="H273" s="690"/>
      <c r="I273" s="693"/>
      <c r="J273" s="692"/>
      <c r="K273" s="692"/>
      <c r="L273" s="692"/>
      <c r="M273" s="692"/>
      <c r="N273" s="692"/>
      <c r="O273" s="692"/>
      <c r="P273" s="692"/>
      <c r="Q273" s="692"/>
    </row>
    <row r="274" spans="1:17" ht="15" customHeight="1" x14ac:dyDescent="0.25">
      <c r="A274" s="728">
        <f t="shared" si="8"/>
        <v>87.912087912087912</v>
      </c>
      <c r="B274" s="87" t="s">
        <v>2380</v>
      </c>
      <c r="C274" s="87" t="s">
        <v>2386</v>
      </c>
      <c r="D274" s="87">
        <v>32000</v>
      </c>
      <c r="E274" s="87">
        <v>364</v>
      </c>
      <c r="F274" s="87">
        <v>32000</v>
      </c>
      <c r="G274" s="87">
        <f t="shared" si="5"/>
        <v>0</v>
      </c>
      <c r="H274" s="690"/>
      <c r="I274" s="693"/>
      <c r="J274" s="692"/>
      <c r="K274" s="692"/>
      <c r="L274" s="692"/>
      <c r="M274" s="692"/>
      <c r="N274" s="692"/>
      <c r="O274" s="692"/>
      <c r="P274" s="692"/>
      <c r="Q274" s="692"/>
    </row>
    <row r="275" spans="1:17" ht="15" customHeight="1" x14ac:dyDescent="0.25">
      <c r="A275" s="728">
        <f t="shared" si="8"/>
        <v>89.171974522292999</v>
      </c>
      <c r="B275" s="87" t="s">
        <v>2380</v>
      </c>
      <c r="C275" s="87" t="s">
        <v>2387</v>
      </c>
      <c r="D275" s="87">
        <v>28000</v>
      </c>
      <c r="E275" s="87">
        <v>314</v>
      </c>
      <c r="F275" s="87">
        <v>28000</v>
      </c>
      <c r="G275" s="87">
        <f t="shared" si="5"/>
        <v>0</v>
      </c>
      <c r="H275" s="690"/>
      <c r="I275" s="693"/>
      <c r="J275" s="692"/>
      <c r="K275" s="692"/>
      <c r="L275" s="692"/>
      <c r="M275" s="692"/>
      <c r="N275" s="692"/>
      <c r="O275" s="692"/>
      <c r="P275" s="692"/>
      <c r="Q275" s="692"/>
    </row>
    <row r="276" spans="1:17" ht="15" customHeight="1" x14ac:dyDescent="0.25">
      <c r="A276" s="728">
        <f t="shared" si="8"/>
        <v>97.744360902255636</v>
      </c>
      <c r="B276" s="87" t="s">
        <v>2380</v>
      </c>
      <c r="C276" s="87" t="s">
        <v>2388</v>
      </c>
      <c r="D276" s="87">
        <v>26000</v>
      </c>
      <c r="E276" s="87">
        <v>266</v>
      </c>
      <c r="F276" s="87">
        <v>26000</v>
      </c>
      <c r="G276" s="87">
        <f t="shared" si="5"/>
        <v>0</v>
      </c>
      <c r="H276" s="690"/>
      <c r="I276" s="693"/>
      <c r="J276" s="692"/>
      <c r="K276" s="692"/>
      <c r="L276" s="692"/>
      <c r="M276" s="692"/>
      <c r="N276" s="692"/>
      <c r="O276" s="692"/>
      <c r="P276" s="692"/>
      <c r="Q276" s="692"/>
    </row>
    <row r="277" spans="1:17" ht="15" customHeight="1" x14ac:dyDescent="0.25">
      <c r="A277" s="728">
        <f t="shared" si="8"/>
        <v>92</v>
      </c>
      <c r="B277" s="87" t="s">
        <v>2380</v>
      </c>
      <c r="C277" s="87" t="s">
        <v>2282</v>
      </c>
      <c r="D277" s="87">
        <v>23000</v>
      </c>
      <c r="E277" s="87">
        <v>250</v>
      </c>
      <c r="F277" s="87">
        <v>23000</v>
      </c>
      <c r="G277" s="87">
        <f t="shared" si="5"/>
        <v>0</v>
      </c>
      <c r="H277" s="690"/>
      <c r="I277" s="693"/>
      <c r="J277" s="692"/>
      <c r="K277" s="692"/>
      <c r="L277" s="692"/>
      <c r="M277" s="692"/>
      <c r="N277" s="692"/>
      <c r="O277" s="692"/>
      <c r="P277" s="692"/>
      <c r="Q277" s="692"/>
    </row>
    <row r="278" spans="1:17" ht="15" customHeight="1" x14ac:dyDescent="0.25">
      <c r="A278" s="728">
        <f t="shared" si="8"/>
        <v>87.774294670846402</v>
      </c>
      <c r="B278" s="87" t="s">
        <v>2380</v>
      </c>
      <c r="C278" s="87" t="s">
        <v>2389</v>
      </c>
      <c r="D278" s="87">
        <v>28000</v>
      </c>
      <c r="E278" s="87">
        <v>319</v>
      </c>
      <c r="F278" s="87">
        <v>28000</v>
      </c>
      <c r="G278" s="87">
        <f t="shared" si="5"/>
        <v>0</v>
      </c>
      <c r="H278" s="690"/>
      <c r="I278" s="693"/>
      <c r="J278" s="692"/>
      <c r="K278" s="692"/>
      <c r="L278" s="692"/>
      <c r="M278" s="692"/>
      <c r="N278" s="692"/>
      <c r="O278" s="692"/>
      <c r="P278" s="692"/>
      <c r="Q278" s="692"/>
    </row>
    <row r="279" spans="1:17" ht="15" customHeight="1" x14ac:dyDescent="0.25">
      <c r="A279" s="728">
        <f t="shared" si="8"/>
        <v>88</v>
      </c>
      <c r="B279" s="87" t="s">
        <v>2380</v>
      </c>
      <c r="C279" s="87" t="s">
        <v>2192</v>
      </c>
      <c r="D279" s="87">
        <v>22000</v>
      </c>
      <c r="E279" s="87">
        <v>250</v>
      </c>
      <c r="F279" s="87">
        <v>22000</v>
      </c>
      <c r="G279" s="87">
        <f t="shared" si="5"/>
        <v>0</v>
      </c>
      <c r="H279" s="690"/>
      <c r="I279" s="693"/>
      <c r="J279" s="692"/>
      <c r="K279" s="692"/>
      <c r="L279" s="692"/>
      <c r="M279" s="692"/>
      <c r="N279" s="692"/>
      <c r="O279" s="692"/>
      <c r="P279" s="692"/>
      <c r="Q279" s="692"/>
    </row>
    <row r="280" spans="1:17" ht="15" customHeight="1" x14ac:dyDescent="0.25">
      <c r="A280" s="728">
        <f t="shared" si="8"/>
        <v>88.235294117647058</v>
      </c>
      <c r="B280" s="87" t="s">
        <v>2380</v>
      </c>
      <c r="C280" s="87" t="s">
        <v>2081</v>
      </c>
      <c r="D280" s="87">
        <v>15000</v>
      </c>
      <c r="E280" s="87">
        <v>170</v>
      </c>
      <c r="F280" s="87">
        <v>15000</v>
      </c>
      <c r="G280" s="87">
        <f t="shared" si="5"/>
        <v>0</v>
      </c>
      <c r="H280" s="690"/>
      <c r="I280" s="693"/>
      <c r="J280" s="692"/>
      <c r="K280" s="692"/>
      <c r="L280" s="692"/>
      <c r="M280" s="692"/>
      <c r="N280" s="692"/>
      <c r="O280" s="692"/>
      <c r="P280" s="692"/>
      <c r="Q280" s="692"/>
    </row>
    <row r="281" spans="1:17" ht="15" customHeight="1" x14ac:dyDescent="0.25">
      <c r="A281" s="728">
        <f t="shared" si="8"/>
        <v>88.235294117647058</v>
      </c>
      <c r="B281" s="87" t="s">
        <v>2380</v>
      </c>
      <c r="C281" s="87" t="s">
        <v>2079</v>
      </c>
      <c r="D281" s="87">
        <v>15000</v>
      </c>
      <c r="E281" s="87">
        <v>170</v>
      </c>
      <c r="F281" s="87">
        <v>15000</v>
      </c>
      <c r="G281" s="87">
        <f t="shared" si="5"/>
        <v>0</v>
      </c>
      <c r="H281" s="690"/>
      <c r="I281" s="693"/>
      <c r="J281" s="692"/>
      <c r="K281" s="692"/>
      <c r="L281" s="692"/>
      <c r="M281" s="692"/>
      <c r="N281" s="692"/>
      <c r="O281" s="692"/>
      <c r="P281" s="692"/>
      <c r="Q281" s="692"/>
    </row>
    <row r="282" spans="1:17" ht="15" customHeight="1" x14ac:dyDescent="0.25">
      <c r="A282" s="728">
        <f t="shared" si="8"/>
        <v>89.94708994708995</v>
      </c>
      <c r="B282" s="87" t="s">
        <v>2380</v>
      </c>
      <c r="C282" s="87" t="s">
        <v>1926</v>
      </c>
      <c r="D282" s="87">
        <v>17000</v>
      </c>
      <c r="E282" s="87">
        <v>189</v>
      </c>
      <c r="F282" s="87">
        <v>17000</v>
      </c>
      <c r="G282" s="87">
        <f t="shared" si="5"/>
        <v>0</v>
      </c>
      <c r="H282" s="690"/>
      <c r="I282" s="693"/>
      <c r="J282" s="692"/>
      <c r="K282" s="692"/>
      <c r="L282" s="692"/>
      <c r="M282" s="692"/>
      <c r="N282" s="692"/>
      <c r="O282" s="692"/>
      <c r="P282" s="692"/>
      <c r="Q282" s="692"/>
    </row>
    <row r="283" spans="1:17" ht="15" customHeight="1" x14ac:dyDescent="0.25">
      <c r="A283" s="728">
        <f t="shared" si="8"/>
        <v>91.370558375634516</v>
      </c>
      <c r="B283" s="87" t="s">
        <v>2380</v>
      </c>
      <c r="C283" s="87" t="s">
        <v>1925</v>
      </c>
      <c r="D283" s="87">
        <v>18000</v>
      </c>
      <c r="E283" s="87">
        <v>197</v>
      </c>
      <c r="F283" s="87">
        <v>18000</v>
      </c>
      <c r="G283" s="87">
        <f t="shared" si="5"/>
        <v>0</v>
      </c>
      <c r="H283" s="690"/>
      <c r="I283" s="693"/>
      <c r="J283" s="692"/>
      <c r="K283" s="692"/>
      <c r="L283" s="692"/>
      <c r="M283" s="692"/>
      <c r="N283" s="692"/>
      <c r="O283" s="692"/>
      <c r="P283" s="692"/>
      <c r="Q283" s="692"/>
    </row>
    <row r="284" spans="1:17" ht="15" customHeight="1" x14ac:dyDescent="0.25">
      <c r="A284" s="728">
        <f t="shared" si="8"/>
        <v>88.235294117647058</v>
      </c>
      <c r="B284" s="87" t="s">
        <v>2380</v>
      </c>
      <c r="C284" s="87" t="s">
        <v>2390</v>
      </c>
      <c r="D284" s="87">
        <v>15000</v>
      </c>
      <c r="E284" s="87">
        <v>170</v>
      </c>
      <c r="F284" s="87">
        <v>15000</v>
      </c>
      <c r="G284" s="87">
        <f t="shared" si="5"/>
        <v>0</v>
      </c>
      <c r="H284" s="690"/>
      <c r="I284" s="693"/>
      <c r="J284" s="692"/>
      <c r="K284" s="692"/>
      <c r="L284" s="692"/>
      <c r="M284" s="692"/>
      <c r="N284" s="692"/>
      <c r="O284" s="692"/>
      <c r="P284" s="692"/>
      <c r="Q284" s="692"/>
    </row>
    <row r="285" spans="1:17" ht="15" customHeight="1" x14ac:dyDescent="0.25">
      <c r="A285" s="728">
        <f t="shared" si="8"/>
        <v>88.050314465408803</v>
      </c>
      <c r="B285" s="87" t="s">
        <v>2380</v>
      </c>
      <c r="C285" s="87" t="s">
        <v>1853</v>
      </c>
      <c r="D285" s="87">
        <v>14000</v>
      </c>
      <c r="E285" s="87">
        <v>159</v>
      </c>
      <c r="F285" s="87">
        <v>14000</v>
      </c>
      <c r="G285" s="87">
        <f t="shared" si="5"/>
        <v>0</v>
      </c>
      <c r="H285" s="690"/>
      <c r="I285" s="693"/>
      <c r="J285" s="692"/>
      <c r="K285" s="692"/>
      <c r="L285" s="692"/>
      <c r="M285" s="692"/>
      <c r="N285" s="692"/>
      <c r="O285" s="692"/>
      <c r="P285" s="692"/>
      <c r="Q285" s="692"/>
    </row>
    <row r="286" spans="1:17" ht="15" customHeight="1" x14ac:dyDescent="0.25">
      <c r="A286" s="728">
        <f t="shared" si="8"/>
        <v>87.912087912087912</v>
      </c>
      <c r="B286" s="87" t="s">
        <v>2380</v>
      </c>
      <c r="C286" s="87" t="s">
        <v>1727</v>
      </c>
      <c r="D286" s="87">
        <v>24000</v>
      </c>
      <c r="E286" s="87">
        <v>273</v>
      </c>
      <c r="F286" s="87">
        <v>24000</v>
      </c>
      <c r="G286" s="87">
        <f t="shared" si="5"/>
        <v>0</v>
      </c>
      <c r="H286" s="690"/>
      <c r="I286" s="693"/>
      <c r="J286" s="692"/>
      <c r="K286" s="692"/>
      <c r="L286" s="692"/>
      <c r="M286" s="692"/>
      <c r="N286" s="692"/>
      <c r="O286" s="692"/>
      <c r="P286" s="692"/>
      <c r="Q286" s="692"/>
    </row>
    <row r="287" spans="1:17" ht="15" customHeight="1" x14ac:dyDescent="0.25">
      <c r="A287" s="728">
        <f t="shared" si="8"/>
        <v>88</v>
      </c>
      <c r="B287" s="87" t="s">
        <v>2380</v>
      </c>
      <c r="C287" s="87" t="s">
        <v>2391</v>
      </c>
      <c r="D287" s="87">
        <v>22000</v>
      </c>
      <c r="E287" s="87">
        <v>250</v>
      </c>
      <c r="F287" s="87">
        <v>22000</v>
      </c>
      <c r="G287" s="87">
        <f t="shared" si="5"/>
        <v>0</v>
      </c>
      <c r="H287" s="690"/>
      <c r="I287" s="693"/>
      <c r="J287" s="692"/>
      <c r="K287" s="692"/>
      <c r="L287" s="692"/>
      <c r="M287" s="692"/>
      <c r="N287" s="692"/>
      <c r="O287" s="692"/>
      <c r="P287" s="692"/>
      <c r="Q287" s="692"/>
    </row>
    <row r="288" spans="1:17" ht="15" customHeight="1" x14ac:dyDescent="0.25">
      <c r="A288" s="728">
        <f t="shared" si="8"/>
        <v>88.028169014084511</v>
      </c>
      <c r="B288" s="87" t="s">
        <v>2392</v>
      </c>
      <c r="C288" s="87" t="s">
        <v>2393</v>
      </c>
      <c r="D288" s="87">
        <v>25000</v>
      </c>
      <c r="E288" s="87">
        <v>284</v>
      </c>
      <c r="F288" s="87">
        <v>25000</v>
      </c>
      <c r="G288" s="87">
        <f t="shared" si="5"/>
        <v>0</v>
      </c>
      <c r="H288" s="690"/>
      <c r="I288" s="693"/>
      <c r="J288" s="692"/>
      <c r="K288" s="692"/>
      <c r="L288" s="692"/>
      <c r="M288" s="692"/>
      <c r="N288" s="692"/>
      <c r="O288" s="692"/>
      <c r="P288" s="692"/>
      <c r="Q288" s="692"/>
    </row>
    <row r="289" spans="1:17" ht="15" customHeight="1" x14ac:dyDescent="0.25">
      <c r="A289" s="728">
        <f t="shared" si="8"/>
        <v>87.947882736156359</v>
      </c>
      <c r="B289" s="87" t="s">
        <v>2380</v>
      </c>
      <c r="C289" s="87" t="s">
        <v>2394</v>
      </c>
      <c r="D289" s="87">
        <v>27000</v>
      </c>
      <c r="E289" s="87">
        <v>307</v>
      </c>
      <c r="F289" s="87">
        <v>27000</v>
      </c>
      <c r="G289" s="87">
        <f t="shared" si="5"/>
        <v>0</v>
      </c>
      <c r="H289" s="690"/>
      <c r="I289" s="693"/>
      <c r="J289" s="692"/>
      <c r="K289" s="692"/>
      <c r="L289" s="692"/>
      <c r="M289" s="692"/>
      <c r="N289" s="692"/>
      <c r="O289" s="692"/>
      <c r="P289" s="692"/>
      <c r="Q289" s="692"/>
    </row>
    <row r="290" spans="1:17" ht="15" customHeight="1" x14ac:dyDescent="0.25">
      <c r="A290" s="728">
        <f t="shared" si="8"/>
        <v>88.235294117647058</v>
      </c>
      <c r="B290" s="87" t="s">
        <v>2380</v>
      </c>
      <c r="C290" s="87" t="s">
        <v>2395</v>
      </c>
      <c r="D290" s="87">
        <v>12000</v>
      </c>
      <c r="E290" s="87">
        <v>136</v>
      </c>
      <c r="F290" s="87">
        <v>12000</v>
      </c>
      <c r="G290" s="87">
        <f t="shared" si="5"/>
        <v>0</v>
      </c>
      <c r="H290" s="690"/>
      <c r="I290" s="693"/>
      <c r="J290" s="692"/>
      <c r="K290" s="692"/>
      <c r="L290" s="692"/>
      <c r="M290" s="692"/>
      <c r="N290" s="692"/>
      <c r="O290" s="692"/>
      <c r="P290" s="692"/>
      <c r="Q290" s="692"/>
    </row>
    <row r="291" spans="1:17" ht="15" customHeight="1" x14ac:dyDescent="0.25">
      <c r="A291" s="728">
        <f t="shared" si="8"/>
        <v>88.028169014084511</v>
      </c>
      <c r="B291" s="87" t="s">
        <v>2380</v>
      </c>
      <c r="C291" s="87" t="s">
        <v>1071</v>
      </c>
      <c r="D291" s="87">
        <v>25000</v>
      </c>
      <c r="E291" s="87">
        <v>284</v>
      </c>
      <c r="F291" s="87">
        <v>25000</v>
      </c>
      <c r="G291" s="87">
        <f t="shared" si="5"/>
        <v>0</v>
      </c>
      <c r="H291" s="690"/>
      <c r="I291" s="693"/>
      <c r="J291" s="692"/>
      <c r="K291" s="692"/>
      <c r="L291" s="692"/>
      <c r="M291" s="692"/>
      <c r="N291" s="692"/>
      <c r="O291" s="692"/>
      <c r="P291" s="692"/>
      <c r="Q291" s="692"/>
    </row>
    <row r="292" spans="1:17" ht="15" customHeight="1" x14ac:dyDescent="0.25">
      <c r="A292" s="728">
        <f t="shared" si="8"/>
        <v>87.947882736156359</v>
      </c>
      <c r="B292" s="87" t="s">
        <v>2380</v>
      </c>
      <c r="C292" s="87" t="s">
        <v>2396</v>
      </c>
      <c r="D292" s="87">
        <v>27000</v>
      </c>
      <c r="E292" s="87">
        <v>307</v>
      </c>
      <c r="F292" s="87">
        <v>27000</v>
      </c>
      <c r="G292" s="87">
        <f t="shared" si="5"/>
        <v>0</v>
      </c>
      <c r="H292" s="690"/>
      <c r="I292" s="693"/>
      <c r="J292" s="692"/>
      <c r="K292" s="692"/>
      <c r="L292" s="692"/>
      <c r="M292" s="692"/>
      <c r="N292" s="692"/>
      <c r="O292" s="692"/>
      <c r="P292" s="692"/>
      <c r="Q292" s="692"/>
    </row>
    <row r="293" spans="1:17" ht="15" customHeight="1" x14ac:dyDescent="0.25">
      <c r="A293" s="728">
        <f t="shared" si="8"/>
        <v>88</v>
      </c>
      <c r="B293" s="87" t="s">
        <v>2380</v>
      </c>
      <c r="C293" s="87" t="s">
        <v>2068</v>
      </c>
      <c r="D293" s="87">
        <v>22000</v>
      </c>
      <c r="E293" s="87">
        <v>250</v>
      </c>
      <c r="F293" s="87">
        <v>22000</v>
      </c>
      <c r="G293" s="87">
        <f t="shared" si="5"/>
        <v>0</v>
      </c>
      <c r="H293" s="690"/>
      <c r="I293" s="693"/>
      <c r="J293" s="692"/>
      <c r="K293" s="692"/>
      <c r="L293" s="692"/>
      <c r="M293" s="692"/>
      <c r="N293" s="692"/>
      <c r="O293" s="692"/>
      <c r="P293" s="692"/>
      <c r="Q293" s="692"/>
    </row>
    <row r="294" spans="1:17" ht="15" customHeight="1" x14ac:dyDescent="0.25">
      <c r="A294" s="728">
        <f t="shared" si="8"/>
        <v>87.976539589442808</v>
      </c>
      <c r="B294" s="87" t="s">
        <v>2380</v>
      </c>
      <c r="C294" s="87" t="s">
        <v>2397</v>
      </c>
      <c r="D294" s="87">
        <v>30000</v>
      </c>
      <c r="E294" s="87">
        <v>341</v>
      </c>
      <c r="F294" s="87">
        <v>30000</v>
      </c>
      <c r="G294" s="87">
        <f t="shared" si="5"/>
        <v>0</v>
      </c>
      <c r="H294" s="690"/>
      <c r="I294" s="693"/>
      <c r="J294" s="692"/>
      <c r="K294" s="692"/>
      <c r="L294" s="692"/>
      <c r="M294" s="692"/>
      <c r="N294" s="692"/>
      <c r="O294" s="692"/>
      <c r="P294" s="692"/>
      <c r="Q294" s="692"/>
    </row>
    <row r="295" spans="1:17" ht="15" customHeight="1" x14ac:dyDescent="0.25">
      <c r="A295" s="728">
        <f t="shared" si="8"/>
        <v>87.962962962962962</v>
      </c>
      <c r="B295" s="87" t="s">
        <v>2380</v>
      </c>
      <c r="C295" s="87" t="s">
        <v>2398</v>
      </c>
      <c r="D295" s="87">
        <v>19000</v>
      </c>
      <c r="E295" s="87">
        <v>216</v>
      </c>
      <c r="F295" s="87">
        <v>19000</v>
      </c>
      <c r="G295" s="87">
        <f t="shared" si="5"/>
        <v>0</v>
      </c>
      <c r="H295" s="690"/>
      <c r="I295" s="693"/>
      <c r="J295" s="692"/>
      <c r="K295" s="692"/>
      <c r="L295" s="692"/>
      <c r="M295" s="692"/>
      <c r="N295" s="692"/>
      <c r="O295" s="692"/>
      <c r="P295" s="692"/>
      <c r="Q295" s="692"/>
    </row>
    <row r="296" spans="1:17" ht="15" customHeight="1" x14ac:dyDescent="0.25">
      <c r="A296" s="728">
        <f t="shared" si="8"/>
        <v>87.912087912087912</v>
      </c>
      <c r="B296" s="87" t="s">
        <v>2380</v>
      </c>
      <c r="C296" s="87" t="s">
        <v>2399</v>
      </c>
      <c r="D296" s="87">
        <v>32000</v>
      </c>
      <c r="E296" s="87">
        <v>364</v>
      </c>
      <c r="F296" s="87">
        <v>32000</v>
      </c>
      <c r="G296" s="87">
        <f t="shared" si="5"/>
        <v>0</v>
      </c>
      <c r="H296" s="690"/>
      <c r="I296" s="693"/>
      <c r="J296" s="692"/>
      <c r="K296" s="692"/>
      <c r="L296" s="692"/>
      <c r="M296" s="692"/>
      <c r="N296" s="692"/>
      <c r="O296" s="692"/>
      <c r="P296" s="692"/>
      <c r="Q296" s="692"/>
    </row>
    <row r="297" spans="1:17" ht="15" customHeight="1" x14ac:dyDescent="0.25">
      <c r="A297" s="728">
        <f t="shared" si="8"/>
        <v>92.05020920502092</v>
      </c>
      <c r="B297" s="87" t="s">
        <v>2400</v>
      </c>
      <c r="C297" s="87" t="s">
        <v>2401</v>
      </c>
      <c r="D297" s="87">
        <v>22000</v>
      </c>
      <c r="E297" s="87">
        <v>239</v>
      </c>
      <c r="F297" s="87">
        <v>22000</v>
      </c>
      <c r="G297" s="87">
        <f t="shared" si="5"/>
        <v>0</v>
      </c>
      <c r="H297" s="690"/>
      <c r="I297" s="693"/>
      <c r="J297" s="692"/>
      <c r="K297" s="692"/>
      <c r="L297" s="692"/>
      <c r="M297" s="692"/>
      <c r="N297" s="692"/>
      <c r="O297" s="692"/>
      <c r="P297" s="692"/>
      <c r="Q297" s="692"/>
    </row>
    <row r="298" spans="1:17" ht="15" customHeight="1" x14ac:dyDescent="0.25">
      <c r="A298" s="728">
        <f t="shared" si="8"/>
        <v>88.105726872246692</v>
      </c>
      <c r="B298" s="87" t="s">
        <v>2400</v>
      </c>
      <c r="C298" s="87" t="s">
        <v>1967</v>
      </c>
      <c r="D298" s="87">
        <v>20000</v>
      </c>
      <c r="E298" s="87">
        <v>227</v>
      </c>
      <c r="F298" s="87">
        <v>20000</v>
      </c>
      <c r="G298" s="87">
        <f t="shared" si="5"/>
        <v>0</v>
      </c>
      <c r="H298" s="690"/>
      <c r="I298" s="693"/>
      <c r="J298" s="692"/>
      <c r="K298" s="692"/>
      <c r="L298" s="692"/>
      <c r="M298" s="692"/>
      <c r="N298" s="692"/>
      <c r="O298" s="692"/>
      <c r="P298" s="692"/>
      <c r="Q298" s="692"/>
    </row>
    <row r="299" spans="1:17" ht="15" customHeight="1" x14ac:dyDescent="0.25">
      <c r="A299" s="728">
        <f t="shared" si="8"/>
        <v>88.235294117647058</v>
      </c>
      <c r="B299" s="87" t="s">
        <v>2400</v>
      </c>
      <c r="C299" s="87" t="s">
        <v>30</v>
      </c>
      <c r="D299" s="87">
        <v>6000</v>
      </c>
      <c r="E299" s="87">
        <v>68</v>
      </c>
      <c r="F299" s="87">
        <v>6000</v>
      </c>
      <c r="G299" s="87">
        <f t="shared" si="5"/>
        <v>0</v>
      </c>
      <c r="H299" s="690"/>
      <c r="I299" s="693"/>
      <c r="J299" s="692"/>
      <c r="K299" s="692"/>
      <c r="L299" s="692"/>
      <c r="M299" s="692"/>
      <c r="N299" s="692"/>
      <c r="O299" s="692"/>
      <c r="P299" s="692"/>
      <c r="Q299" s="692"/>
    </row>
    <row r="300" spans="1:17" ht="15" customHeight="1" x14ac:dyDescent="0.25">
      <c r="A300" s="728">
        <f t="shared" si="8"/>
        <v>87.86610878661088</v>
      </c>
      <c r="B300" s="87" t="s">
        <v>2400</v>
      </c>
      <c r="C300" s="87" t="s">
        <v>2130</v>
      </c>
      <c r="D300" s="87">
        <v>21000</v>
      </c>
      <c r="E300" s="87">
        <v>239</v>
      </c>
      <c r="F300" s="87">
        <v>21000</v>
      </c>
      <c r="G300" s="87">
        <f t="shared" si="5"/>
        <v>0</v>
      </c>
      <c r="H300" s="690"/>
      <c r="I300" s="693"/>
      <c r="J300" s="692"/>
      <c r="K300" s="692"/>
      <c r="L300" s="692"/>
      <c r="M300" s="692"/>
      <c r="N300" s="692"/>
      <c r="O300" s="692"/>
      <c r="P300" s="692"/>
      <c r="Q300" s="692"/>
    </row>
    <row r="301" spans="1:17" ht="15" customHeight="1" x14ac:dyDescent="0.25">
      <c r="A301" s="728">
        <f t="shared" si="8"/>
        <v>93.103448275862064</v>
      </c>
      <c r="B301" s="87" t="s">
        <v>2400</v>
      </c>
      <c r="C301" s="87" t="s">
        <v>2073</v>
      </c>
      <c r="D301" s="87">
        <v>27000</v>
      </c>
      <c r="E301" s="87">
        <v>290</v>
      </c>
      <c r="F301" s="87">
        <v>27000</v>
      </c>
      <c r="G301" s="87">
        <f t="shared" si="5"/>
        <v>0</v>
      </c>
      <c r="H301" s="690"/>
      <c r="I301" s="693"/>
      <c r="J301" s="692"/>
      <c r="K301" s="692"/>
      <c r="L301" s="692"/>
      <c r="M301" s="692"/>
      <c r="N301" s="692"/>
      <c r="O301" s="692"/>
      <c r="P301" s="692"/>
      <c r="Q301" s="692"/>
    </row>
    <row r="302" spans="1:17" ht="15" customHeight="1" x14ac:dyDescent="0.25">
      <c r="A302" s="728">
        <f t="shared" si="8"/>
        <v>95.238095238095241</v>
      </c>
      <c r="B302" s="87" t="s">
        <v>2400</v>
      </c>
      <c r="C302" s="87" t="s">
        <v>2316</v>
      </c>
      <c r="D302" s="87">
        <v>16000</v>
      </c>
      <c r="E302" s="87">
        <v>168</v>
      </c>
      <c r="F302" s="87">
        <v>16000</v>
      </c>
      <c r="G302" s="87">
        <f t="shared" si="5"/>
        <v>0</v>
      </c>
      <c r="H302" s="690"/>
      <c r="I302" s="693"/>
      <c r="J302" s="692"/>
      <c r="K302" s="692"/>
      <c r="L302" s="692"/>
      <c r="M302" s="692"/>
      <c r="N302" s="692"/>
      <c r="O302" s="692"/>
      <c r="P302" s="692"/>
      <c r="Q302" s="692"/>
    </row>
    <row r="303" spans="1:17" ht="15" customHeight="1" x14ac:dyDescent="0.25">
      <c r="A303" s="728">
        <f t="shared" si="8"/>
        <v>95.238095238095241</v>
      </c>
      <c r="B303" s="87" t="s">
        <v>2400</v>
      </c>
      <c r="C303" s="87" t="s">
        <v>2092</v>
      </c>
      <c r="D303" s="87">
        <v>16000</v>
      </c>
      <c r="E303" s="87">
        <v>168</v>
      </c>
      <c r="F303" s="87">
        <v>16000</v>
      </c>
      <c r="G303" s="87">
        <f t="shared" si="5"/>
        <v>0</v>
      </c>
      <c r="H303" s="690"/>
      <c r="I303" s="693"/>
      <c r="J303" s="692"/>
      <c r="K303" s="692"/>
      <c r="L303" s="692"/>
      <c r="M303" s="692"/>
      <c r="N303" s="692"/>
      <c r="O303" s="692"/>
      <c r="P303" s="692"/>
      <c r="Q303" s="692"/>
    </row>
    <row r="304" spans="1:17" ht="15" customHeight="1" x14ac:dyDescent="0.25">
      <c r="A304" s="728">
        <f t="shared" si="8"/>
        <v>95.238095238095241</v>
      </c>
      <c r="B304" s="87" t="s">
        <v>2400</v>
      </c>
      <c r="C304" s="87" t="s">
        <v>66</v>
      </c>
      <c r="D304" s="87">
        <v>100</v>
      </c>
      <c r="E304" s="87">
        <v>1.05</v>
      </c>
      <c r="F304" s="87">
        <v>100</v>
      </c>
      <c r="G304" s="87">
        <f t="shared" si="5"/>
        <v>0</v>
      </c>
      <c r="H304" s="690"/>
      <c r="I304" s="693"/>
      <c r="J304" s="692"/>
      <c r="K304" s="692"/>
      <c r="L304" s="692"/>
      <c r="M304" s="692"/>
      <c r="N304" s="692"/>
      <c r="O304" s="692"/>
      <c r="P304" s="692"/>
      <c r="Q304" s="692"/>
    </row>
    <row r="305" spans="1:17" ht="15" customHeight="1" x14ac:dyDescent="0.25">
      <c r="A305" s="728">
        <f t="shared" si="8"/>
        <v>88.105726872246692</v>
      </c>
      <c r="B305" s="87" t="s">
        <v>2400</v>
      </c>
      <c r="C305" s="87" t="s">
        <v>2297</v>
      </c>
      <c r="D305" s="87">
        <v>20000</v>
      </c>
      <c r="E305" s="87">
        <v>227</v>
      </c>
      <c r="F305" s="87">
        <v>20000</v>
      </c>
      <c r="G305" s="87">
        <f t="shared" si="5"/>
        <v>0</v>
      </c>
      <c r="H305" s="690"/>
      <c r="I305" s="693"/>
      <c r="J305" s="692"/>
      <c r="K305" s="692"/>
      <c r="L305" s="692"/>
      <c r="M305" s="692"/>
      <c r="N305" s="692"/>
      <c r="O305" s="692"/>
      <c r="P305" s="692"/>
      <c r="Q305" s="692"/>
    </row>
    <row r="306" spans="1:17" ht="15" customHeight="1" x14ac:dyDescent="0.25">
      <c r="A306" s="728">
        <f t="shared" si="8"/>
        <v>87.837837837837839</v>
      </c>
      <c r="B306" s="87" t="s">
        <v>2400</v>
      </c>
      <c r="C306" s="87" t="s">
        <v>2402</v>
      </c>
      <c r="D306" s="87">
        <v>13000</v>
      </c>
      <c r="E306" s="87">
        <v>148</v>
      </c>
      <c r="F306" s="87">
        <v>13000</v>
      </c>
      <c r="G306" s="87">
        <f t="shared" si="5"/>
        <v>0</v>
      </c>
      <c r="H306" s="690"/>
      <c r="I306" s="693"/>
      <c r="J306" s="692"/>
      <c r="K306" s="692"/>
      <c r="L306" s="692"/>
      <c r="M306" s="692"/>
      <c r="N306" s="692"/>
      <c r="O306" s="692"/>
      <c r="P306" s="692"/>
      <c r="Q306" s="692"/>
    </row>
    <row r="307" spans="1:17" ht="15" customHeight="1" x14ac:dyDescent="0.25">
      <c r="A307" s="728">
        <f t="shared" si="8"/>
        <v>87.976539589442808</v>
      </c>
      <c r="B307" s="87" t="s">
        <v>2400</v>
      </c>
      <c r="C307" s="87" t="s">
        <v>2403</v>
      </c>
      <c r="D307" s="87">
        <v>30000</v>
      </c>
      <c r="E307" s="87">
        <v>341</v>
      </c>
      <c r="F307" s="87">
        <v>30000</v>
      </c>
      <c r="G307" s="87">
        <f t="shared" si="5"/>
        <v>0</v>
      </c>
      <c r="H307" s="690"/>
      <c r="I307" s="693"/>
      <c r="J307" s="692"/>
      <c r="K307" s="692"/>
      <c r="L307" s="692"/>
      <c r="M307" s="692"/>
      <c r="N307" s="692"/>
      <c r="O307" s="692"/>
      <c r="P307" s="692"/>
      <c r="Q307" s="692"/>
    </row>
    <row r="308" spans="1:17" ht="15" customHeight="1" x14ac:dyDescent="0.25">
      <c r="A308" s="728">
        <f t="shared" si="8"/>
        <v>88.235294117647058</v>
      </c>
      <c r="B308" s="87" t="s">
        <v>2400</v>
      </c>
      <c r="C308" s="87" t="s">
        <v>2404</v>
      </c>
      <c r="D308" s="87">
        <v>15000</v>
      </c>
      <c r="E308" s="87">
        <v>170</v>
      </c>
      <c r="F308" s="87">
        <v>15000</v>
      </c>
      <c r="G308" s="87">
        <f t="shared" si="5"/>
        <v>0</v>
      </c>
      <c r="H308" s="690"/>
      <c r="I308" s="693"/>
      <c r="J308" s="692"/>
      <c r="K308" s="692"/>
      <c r="L308" s="692"/>
      <c r="M308" s="692"/>
      <c r="N308" s="692"/>
      <c r="O308" s="692"/>
      <c r="P308" s="692"/>
      <c r="Q308" s="692"/>
    </row>
    <row r="309" spans="1:17" s="700" customFormat="1" ht="15" customHeight="1" x14ac:dyDescent="0.25">
      <c r="A309" s="728">
        <f t="shared" si="8"/>
        <v>88.028169014084511</v>
      </c>
      <c r="B309" s="87" t="s">
        <v>2428</v>
      </c>
      <c r="C309" s="87" t="s">
        <v>1864</v>
      </c>
      <c r="D309" s="87">
        <v>25000</v>
      </c>
      <c r="E309" s="87">
        <v>284</v>
      </c>
      <c r="F309" s="87">
        <v>25000</v>
      </c>
      <c r="G309" s="87">
        <f t="shared" ref="G309:G526" si="9">D309-F309</f>
        <v>0</v>
      </c>
      <c r="H309" s="690"/>
      <c r="I309" s="693"/>
      <c r="J309" s="692"/>
      <c r="K309" s="692"/>
      <c r="L309" s="692"/>
      <c r="M309" s="692"/>
      <c r="N309" s="692"/>
      <c r="O309" s="692"/>
      <c r="P309" s="692"/>
      <c r="Q309" s="692"/>
    </row>
    <row r="310" spans="1:17" s="700" customFormat="1" ht="15" customHeight="1" x14ac:dyDescent="0.25">
      <c r="A310" s="728">
        <f t="shared" si="8"/>
        <v>90.047393364928908</v>
      </c>
      <c r="B310" s="87" t="s">
        <v>2428</v>
      </c>
      <c r="C310" s="87" t="s">
        <v>2429</v>
      </c>
      <c r="D310" s="87">
        <v>19000</v>
      </c>
      <c r="E310" s="87">
        <v>211</v>
      </c>
      <c r="F310" s="87">
        <v>19000</v>
      </c>
      <c r="G310" s="87">
        <f t="shared" si="9"/>
        <v>0</v>
      </c>
      <c r="H310" s="690"/>
      <c r="I310" s="693"/>
      <c r="J310" s="692"/>
      <c r="K310" s="692"/>
      <c r="L310" s="692"/>
      <c r="M310" s="692"/>
      <c r="N310" s="692"/>
      <c r="O310" s="692"/>
      <c r="P310" s="692"/>
      <c r="Q310" s="692"/>
    </row>
    <row r="311" spans="1:17" s="700" customFormat="1" ht="15" customHeight="1" x14ac:dyDescent="0.25">
      <c r="A311" s="728">
        <f t="shared" si="8"/>
        <v>88.050314465408803</v>
      </c>
      <c r="B311" s="87" t="s">
        <v>2428</v>
      </c>
      <c r="C311" s="87" t="s">
        <v>1833</v>
      </c>
      <c r="D311" s="87">
        <v>14000</v>
      </c>
      <c r="E311" s="87">
        <v>159</v>
      </c>
      <c r="F311" s="87">
        <v>14000</v>
      </c>
      <c r="G311" s="87">
        <f t="shared" si="9"/>
        <v>0</v>
      </c>
      <c r="H311" s="690"/>
      <c r="I311" s="693"/>
      <c r="J311" s="692"/>
      <c r="K311" s="692"/>
      <c r="L311" s="692"/>
      <c r="M311" s="692"/>
      <c r="N311" s="692"/>
      <c r="O311" s="692"/>
      <c r="P311" s="692"/>
      <c r="Q311" s="692"/>
    </row>
    <row r="312" spans="1:17" s="700" customFormat="1" ht="15" customHeight="1" x14ac:dyDescent="0.25">
      <c r="A312" s="728">
        <f t="shared" si="8"/>
        <v>89.743589743589737</v>
      </c>
      <c r="B312" s="87" t="s">
        <v>2428</v>
      </c>
      <c r="C312" s="87" t="s">
        <v>17</v>
      </c>
      <c r="D312" s="87">
        <v>3500</v>
      </c>
      <c r="E312" s="87">
        <v>39</v>
      </c>
      <c r="F312" s="87">
        <v>3500</v>
      </c>
      <c r="G312" s="87">
        <f t="shared" si="9"/>
        <v>0</v>
      </c>
      <c r="H312" s="690"/>
      <c r="I312" s="693"/>
      <c r="J312" s="692"/>
      <c r="K312" s="692"/>
      <c r="L312" s="692"/>
      <c r="M312" s="692"/>
      <c r="N312" s="692"/>
      <c r="O312" s="692"/>
      <c r="P312" s="692"/>
      <c r="Q312" s="692"/>
    </row>
    <row r="313" spans="1:17" s="700" customFormat="1" ht="15" customHeight="1" x14ac:dyDescent="0.25">
      <c r="A313" s="728">
        <f t="shared" si="8"/>
        <v>90.604026845637577</v>
      </c>
      <c r="B313" s="87" t="s">
        <v>2428</v>
      </c>
      <c r="C313" s="87" t="s">
        <v>2430</v>
      </c>
      <c r="D313" s="87">
        <v>27000</v>
      </c>
      <c r="E313" s="87">
        <v>298</v>
      </c>
      <c r="F313" s="87">
        <v>27000</v>
      </c>
      <c r="G313" s="87">
        <f t="shared" si="9"/>
        <v>0</v>
      </c>
      <c r="H313" s="690"/>
      <c r="I313" s="693"/>
      <c r="J313" s="692"/>
      <c r="K313" s="692"/>
      <c r="L313" s="692"/>
      <c r="M313" s="692"/>
      <c r="N313" s="692"/>
      <c r="O313" s="692"/>
      <c r="P313" s="692"/>
      <c r="Q313" s="692"/>
    </row>
    <row r="314" spans="1:17" s="700" customFormat="1" ht="15" customHeight="1" x14ac:dyDescent="0.25">
      <c r="A314" s="728">
        <f t="shared" si="8"/>
        <v>88.105726872246692</v>
      </c>
      <c r="B314" s="87" t="s">
        <v>2428</v>
      </c>
      <c r="C314" s="87" t="s">
        <v>2431</v>
      </c>
      <c r="D314" s="87">
        <v>20000</v>
      </c>
      <c r="E314" s="87">
        <v>227</v>
      </c>
      <c r="F314" s="87">
        <v>20000</v>
      </c>
      <c r="G314" s="87">
        <f t="shared" si="9"/>
        <v>0</v>
      </c>
      <c r="H314" s="690"/>
      <c r="I314" s="693"/>
      <c r="J314" s="692"/>
      <c r="K314" s="692"/>
      <c r="L314" s="692"/>
      <c r="M314" s="692"/>
      <c r="N314" s="692"/>
      <c r="O314" s="692"/>
      <c r="P314" s="692"/>
      <c r="Q314" s="692"/>
    </row>
    <row r="315" spans="1:17" s="700" customFormat="1" ht="15" customHeight="1" x14ac:dyDescent="0.25">
      <c r="A315" s="728">
        <f t="shared" si="8"/>
        <v>88.105726872246692</v>
      </c>
      <c r="B315" s="87" t="s">
        <v>2428</v>
      </c>
      <c r="C315" s="87" t="s">
        <v>2432</v>
      </c>
      <c r="D315" s="87">
        <v>20000</v>
      </c>
      <c r="E315" s="87">
        <v>227</v>
      </c>
      <c r="F315" s="87">
        <v>20000</v>
      </c>
      <c r="G315" s="87">
        <f t="shared" si="9"/>
        <v>0</v>
      </c>
      <c r="H315" s="690"/>
      <c r="I315" s="693"/>
      <c r="J315" s="692"/>
      <c r="K315" s="692"/>
      <c r="L315" s="692"/>
      <c r="M315" s="692"/>
      <c r="N315" s="692"/>
      <c r="O315" s="692"/>
      <c r="P315" s="692"/>
      <c r="Q315" s="692"/>
    </row>
    <row r="316" spans="1:17" s="700" customFormat="1" ht="15" customHeight="1" x14ac:dyDescent="0.25">
      <c r="A316" s="728">
        <f t="shared" si="8"/>
        <v>87.804878048780495</v>
      </c>
      <c r="B316" s="87" t="s">
        <v>2428</v>
      </c>
      <c r="C316" s="87" t="s">
        <v>2433</v>
      </c>
      <c r="D316" s="87">
        <v>18000</v>
      </c>
      <c r="E316" s="87">
        <v>205</v>
      </c>
      <c r="F316" s="87">
        <v>18000</v>
      </c>
      <c r="G316" s="87">
        <f t="shared" si="9"/>
        <v>0</v>
      </c>
      <c r="H316" s="690"/>
      <c r="I316" s="693"/>
      <c r="J316" s="692"/>
      <c r="K316" s="692"/>
      <c r="L316" s="692"/>
      <c r="M316" s="692"/>
      <c r="N316" s="692"/>
      <c r="O316" s="692"/>
      <c r="P316" s="692"/>
      <c r="Q316" s="692"/>
    </row>
    <row r="317" spans="1:17" s="700" customFormat="1" ht="15" customHeight="1" x14ac:dyDescent="0.25">
      <c r="A317" s="728">
        <f t="shared" si="8"/>
        <v>88.235294117647058</v>
      </c>
      <c r="B317" s="87" t="s">
        <v>2428</v>
      </c>
      <c r="C317" s="87" t="s">
        <v>2434</v>
      </c>
      <c r="D317" s="87">
        <v>12000</v>
      </c>
      <c r="E317" s="87">
        <v>136</v>
      </c>
      <c r="F317" s="87">
        <v>12000</v>
      </c>
      <c r="G317" s="87">
        <f t="shared" si="9"/>
        <v>0</v>
      </c>
      <c r="H317" s="690"/>
      <c r="I317" s="693"/>
      <c r="J317" s="692"/>
      <c r="K317" s="692"/>
      <c r="L317" s="692"/>
      <c r="M317" s="692"/>
      <c r="N317" s="692"/>
      <c r="O317" s="692"/>
      <c r="P317" s="692"/>
      <c r="Q317" s="692"/>
    </row>
    <row r="318" spans="1:17" s="700" customFormat="1" ht="15" customHeight="1" x14ac:dyDescent="0.25">
      <c r="A318" s="728">
        <f t="shared" si="8"/>
        <v>87.912087912087912</v>
      </c>
      <c r="B318" s="87" t="s">
        <v>2428</v>
      </c>
      <c r="C318" s="87" t="s">
        <v>1923</v>
      </c>
      <c r="D318" s="87">
        <v>16000</v>
      </c>
      <c r="E318" s="87">
        <v>182</v>
      </c>
      <c r="F318" s="87">
        <v>16000</v>
      </c>
      <c r="G318" s="87">
        <f t="shared" si="9"/>
        <v>0</v>
      </c>
      <c r="H318" s="690"/>
      <c r="I318" s="693"/>
      <c r="J318" s="692"/>
      <c r="K318" s="692"/>
      <c r="L318" s="692"/>
      <c r="M318" s="692"/>
      <c r="N318" s="692"/>
      <c r="O318" s="692"/>
      <c r="P318" s="692"/>
      <c r="Q318" s="692"/>
    </row>
    <row r="319" spans="1:17" s="700" customFormat="1" ht="15" customHeight="1" x14ac:dyDescent="0.25">
      <c r="A319" s="728">
        <f t="shared" si="8"/>
        <v>90.395480225988706</v>
      </c>
      <c r="B319" s="87" t="s">
        <v>2428</v>
      </c>
      <c r="C319" s="87" t="s">
        <v>1924</v>
      </c>
      <c r="D319" s="87">
        <v>16000</v>
      </c>
      <c r="E319" s="87">
        <v>177</v>
      </c>
      <c r="F319" s="87">
        <v>16000</v>
      </c>
      <c r="G319" s="87">
        <f t="shared" si="9"/>
        <v>0</v>
      </c>
      <c r="H319" s="690"/>
      <c r="I319" s="693"/>
      <c r="J319" s="692"/>
      <c r="K319" s="692"/>
      <c r="L319" s="692"/>
      <c r="M319" s="692"/>
      <c r="N319" s="692"/>
      <c r="O319" s="692"/>
      <c r="P319" s="692"/>
      <c r="Q319" s="692"/>
    </row>
    <row r="320" spans="1:17" s="700" customFormat="1" ht="15" customHeight="1" x14ac:dyDescent="0.25">
      <c r="A320" s="728">
        <f t="shared" si="8"/>
        <v>92.592592592592581</v>
      </c>
      <c r="B320" s="87" t="s">
        <v>2428</v>
      </c>
      <c r="C320" s="87" t="s">
        <v>66</v>
      </c>
      <c r="D320" s="87">
        <v>100</v>
      </c>
      <c r="E320" s="87">
        <v>1.08</v>
      </c>
      <c r="F320" s="87">
        <v>100</v>
      </c>
      <c r="G320" s="87">
        <f t="shared" si="9"/>
        <v>0</v>
      </c>
      <c r="H320" s="690"/>
      <c r="I320" s="693"/>
      <c r="J320" s="692"/>
      <c r="K320" s="692"/>
      <c r="L320" s="692"/>
      <c r="M320" s="692"/>
      <c r="N320" s="692"/>
      <c r="O320" s="692"/>
      <c r="P320" s="692"/>
      <c r="Q320" s="692"/>
    </row>
    <row r="321" spans="1:17" s="700" customFormat="1" ht="15" customHeight="1" x14ac:dyDescent="0.25">
      <c r="A321" s="728">
        <f t="shared" si="8"/>
        <v>97.674418604651166</v>
      </c>
      <c r="B321" s="87" t="s">
        <v>2428</v>
      </c>
      <c r="C321" s="87" t="s">
        <v>66</v>
      </c>
      <c r="D321" s="87">
        <v>210</v>
      </c>
      <c r="E321" s="87">
        <v>2.15</v>
      </c>
      <c r="F321" s="87">
        <v>210</v>
      </c>
      <c r="G321" s="87">
        <f t="shared" si="9"/>
        <v>0</v>
      </c>
      <c r="H321" s="690"/>
      <c r="I321" s="693"/>
      <c r="J321" s="692"/>
      <c r="K321" s="692"/>
      <c r="L321" s="692"/>
      <c r="M321" s="692"/>
      <c r="N321" s="692"/>
      <c r="O321" s="692"/>
      <c r="P321" s="692"/>
      <c r="Q321" s="692"/>
    </row>
    <row r="322" spans="1:17" s="700" customFormat="1" ht="15" customHeight="1" x14ac:dyDescent="0.25">
      <c r="A322" s="728">
        <f t="shared" si="8"/>
        <v>87.976539589442808</v>
      </c>
      <c r="B322" s="87" t="s">
        <v>2428</v>
      </c>
      <c r="C322" s="87">
        <v>2819</v>
      </c>
      <c r="D322" s="87">
        <v>30000</v>
      </c>
      <c r="E322" s="87">
        <v>341</v>
      </c>
      <c r="F322" s="87">
        <v>30000</v>
      </c>
      <c r="G322" s="87">
        <f t="shared" si="9"/>
        <v>0</v>
      </c>
      <c r="H322" s="690"/>
      <c r="I322" s="693"/>
      <c r="J322" s="692"/>
      <c r="K322" s="692"/>
      <c r="L322" s="692"/>
      <c r="M322" s="692"/>
      <c r="N322" s="692"/>
      <c r="O322" s="692"/>
      <c r="P322" s="692"/>
      <c r="Q322" s="692"/>
    </row>
    <row r="323" spans="1:17" s="700" customFormat="1" ht="15" customHeight="1" x14ac:dyDescent="0.25">
      <c r="A323" s="728">
        <f t="shared" si="8"/>
        <v>87.947882736156359</v>
      </c>
      <c r="B323" s="87" t="s">
        <v>2428</v>
      </c>
      <c r="C323" s="87">
        <v>2239</v>
      </c>
      <c r="D323" s="87">
        <v>27000</v>
      </c>
      <c r="E323" s="87">
        <v>307</v>
      </c>
      <c r="F323" s="87">
        <v>27000</v>
      </c>
      <c r="G323" s="87">
        <f t="shared" si="9"/>
        <v>0</v>
      </c>
      <c r="H323" s="690"/>
      <c r="I323" s="693"/>
      <c r="J323" s="692"/>
      <c r="K323" s="692"/>
      <c r="L323" s="692"/>
      <c r="M323" s="692"/>
      <c r="N323" s="692"/>
      <c r="O323" s="692"/>
      <c r="P323" s="692"/>
      <c r="Q323" s="692"/>
    </row>
    <row r="324" spans="1:17" s="700" customFormat="1" ht="15" customHeight="1" x14ac:dyDescent="0.25">
      <c r="A324" s="728">
        <f t="shared" si="8"/>
        <v>87.912087912087912</v>
      </c>
      <c r="B324" s="87" t="s">
        <v>2428</v>
      </c>
      <c r="C324" s="87">
        <v>5820</v>
      </c>
      <c r="D324" s="87">
        <v>16000</v>
      </c>
      <c r="E324" s="87">
        <v>182</v>
      </c>
      <c r="F324" s="87">
        <v>16000</v>
      </c>
      <c r="G324" s="87">
        <f t="shared" si="9"/>
        <v>0</v>
      </c>
      <c r="H324" s="690"/>
      <c r="I324" s="693"/>
      <c r="J324" s="692"/>
      <c r="K324" s="692"/>
      <c r="L324" s="692"/>
      <c r="M324" s="692"/>
      <c r="N324" s="692"/>
      <c r="O324" s="692"/>
      <c r="P324" s="692"/>
      <c r="Q324" s="692"/>
    </row>
    <row r="325" spans="1:17" s="700" customFormat="1" ht="15" customHeight="1" x14ac:dyDescent="0.25">
      <c r="A325" s="728">
        <f t="shared" si="8"/>
        <v>88.082901554404145</v>
      </c>
      <c r="B325" s="87" t="s">
        <v>2428</v>
      </c>
      <c r="C325" s="87">
        <v>1451</v>
      </c>
      <c r="D325" s="87">
        <v>17000</v>
      </c>
      <c r="E325" s="87">
        <v>193</v>
      </c>
      <c r="F325" s="87">
        <v>17000</v>
      </c>
      <c r="G325" s="87">
        <f t="shared" si="9"/>
        <v>0</v>
      </c>
      <c r="H325" s="690"/>
      <c r="I325" s="693"/>
      <c r="J325" s="692"/>
      <c r="K325" s="692"/>
      <c r="L325" s="692"/>
      <c r="M325" s="692"/>
      <c r="N325" s="692"/>
      <c r="O325" s="692"/>
      <c r="P325" s="692"/>
      <c r="Q325" s="692"/>
    </row>
    <row r="326" spans="1:17" s="700" customFormat="1" ht="15" customHeight="1" x14ac:dyDescent="0.25">
      <c r="A326" s="728">
        <f t="shared" si="8"/>
        <v>88.105726872246692</v>
      </c>
      <c r="B326" s="87" t="s">
        <v>2428</v>
      </c>
      <c r="C326" s="87">
        <v>3127</v>
      </c>
      <c r="D326" s="87">
        <v>20000</v>
      </c>
      <c r="E326" s="87">
        <v>227</v>
      </c>
      <c r="F326" s="87">
        <v>20000</v>
      </c>
      <c r="G326" s="87">
        <f t="shared" si="9"/>
        <v>0</v>
      </c>
      <c r="H326" s="690"/>
      <c r="I326" s="693"/>
      <c r="J326" s="692"/>
      <c r="K326" s="692"/>
      <c r="L326" s="692"/>
      <c r="M326" s="692"/>
      <c r="N326" s="692"/>
      <c r="O326" s="692"/>
      <c r="P326" s="692"/>
      <c r="Q326" s="692"/>
    </row>
    <row r="327" spans="1:17" s="700" customFormat="1" ht="15" customHeight="1" x14ac:dyDescent="0.25">
      <c r="A327" s="728">
        <f t="shared" ref="A327:A390" si="10">D327/E327</f>
        <v>101.01010101010101</v>
      </c>
      <c r="B327" s="87" t="s">
        <v>2409</v>
      </c>
      <c r="C327" s="87" t="s">
        <v>2410</v>
      </c>
      <c r="D327" s="87">
        <v>30000</v>
      </c>
      <c r="E327" s="87">
        <v>297</v>
      </c>
      <c r="F327" s="87">
        <v>30000</v>
      </c>
      <c r="G327" s="87">
        <f t="shared" si="9"/>
        <v>0</v>
      </c>
      <c r="H327" s="690"/>
      <c r="I327" s="693"/>
      <c r="J327" s="692"/>
      <c r="K327" s="692"/>
      <c r="L327" s="692"/>
      <c r="M327" s="692"/>
      <c r="N327" s="692"/>
      <c r="O327" s="692"/>
      <c r="P327" s="692"/>
      <c r="Q327" s="692"/>
    </row>
    <row r="328" spans="1:17" s="700" customFormat="1" ht="15" customHeight="1" x14ac:dyDescent="0.25">
      <c r="A328" s="728">
        <f t="shared" si="10"/>
        <v>96.525096525096529</v>
      </c>
      <c r="B328" s="87" t="s">
        <v>2409</v>
      </c>
      <c r="C328" s="87" t="s">
        <v>2411</v>
      </c>
      <c r="D328" s="87">
        <v>25000</v>
      </c>
      <c r="E328" s="87">
        <v>259</v>
      </c>
      <c r="F328" s="87">
        <v>25000</v>
      </c>
      <c r="G328" s="87">
        <f t="shared" si="9"/>
        <v>0</v>
      </c>
      <c r="H328" s="690"/>
      <c r="I328" s="693"/>
      <c r="J328" s="692"/>
      <c r="K328" s="692"/>
      <c r="L328" s="692"/>
      <c r="M328" s="692"/>
      <c r="N328" s="692"/>
      <c r="O328" s="692"/>
      <c r="P328" s="692"/>
      <c r="Q328" s="692"/>
    </row>
    <row r="329" spans="1:17" s="700" customFormat="1" ht="15" customHeight="1" x14ac:dyDescent="0.25">
      <c r="A329" s="728">
        <f t="shared" si="10"/>
        <v>88.495575221238937</v>
      </c>
      <c r="B329" s="87" t="s">
        <v>2409</v>
      </c>
      <c r="C329" s="87" t="s">
        <v>2412</v>
      </c>
      <c r="D329" s="87">
        <v>10000</v>
      </c>
      <c r="E329" s="87">
        <v>113</v>
      </c>
      <c r="F329" s="87">
        <v>10000</v>
      </c>
      <c r="G329" s="87">
        <f t="shared" si="9"/>
        <v>0</v>
      </c>
      <c r="H329" s="690"/>
      <c r="I329" s="693"/>
      <c r="J329" s="692"/>
      <c r="K329" s="692"/>
      <c r="L329" s="692"/>
      <c r="M329" s="692"/>
      <c r="N329" s="692"/>
      <c r="O329" s="692"/>
      <c r="P329" s="692"/>
      <c r="Q329" s="692"/>
    </row>
    <row r="330" spans="1:17" s="700" customFormat="1" ht="15" customHeight="1" x14ac:dyDescent="0.25">
      <c r="A330" s="728">
        <f t="shared" si="10"/>
        <v>87.912087912087912</v>
      </c>
      <c r="B330" s="87" t="s">
        <v>2409</v>
      </c>
      <c r="C330" s="87" t="s">
        <v>2230</v>
      </c>
      <c r="D330" s="87">
        <v>16000</v>
      </c>
      <c r="E330" s="87">
        <v>182</v>
      </c>
      <c r="F330" s="87">
        <v>16000</v>
      </c>
      <c r="G330" s="87">
        <f t="shared" si="9"/>
        <v>0</v>
      </c>
      <c r="H330" s="690"/>
      <c r="I330" s="693"/>
      <c r="J330" s="692"/>
      <c r="K330" s="692"/>
      <c r="L330" s="692"/>
      <c r="M330" s="692"/>
      <c r="N330" s="692"/>
      <c r="O330" s="692"/>
      <c r="P330" s="692"/>
      <c r="Q330" s="692"/>
    </row>
    <row r="331" spans="1:17" s="700" customFormat="1" ht="15" customHeight="1" x14ac:dyDescent="0.25">
      <c r="A331" s="728">
        <f t="shared" si="10"/>
        <v>87.912087912087912</v>
      </c>
      <c r="B331" s="87" t="s">
        <v>2409</v>
      </c>
      <c r="C331" s="87" t="s">
        <v>2029</v>
      </c>
      <c r="D331" s="87">
        <v>16000</v>
      </c>
      <c r="E331" s="87">
        <v>182</v>
      </c>
      <c r="F331" s="87">
        <v>16000</v>
      </c>
      <c r="G331" s="87">
        <f t="shared" si="9"/>
        <v>0</v>
      </c>
      <c r="H331" s="690"/>
      <c r="I331" s="693"/>
      <c r="J331" s="692"/>
      <c r="K331" s="692"/>
      <c r="L331" s="692"/>
      <c r="M331" s="692"/>
      <c r="N331" s="692"/>
      <c r="O331" s="692"/>
      <c r="P331" s="692"/>
      <c r="Q331" s="692"/>
    </row>
    <row r="332" spans="1:17" s="700" customFormat="1" ht="15" customHeight="1" x14ac:dyDescent="0.25">
      <c r="A332" s="728">
        <f t="shared" si="10"/>
        <v>87.912087912087912</v>
      </c>
      <c r="B332" s="87" t="s">
        <v>2409</v>
      </c>
      <c r="C332" s="87" t="s">
        <v>2413</v>
      </c>
      <c r="D332" s="87">
        <v>16000</v>
      </c>
      <c r="E332" s="87">
        <v>182</v>
      </c>
      <c r="F332" s="87">
        <v>16000</v>
      </c>
      <c r="G332" s="87">
        <f t="shared" si="9"/>
        <v>0</v>
      </c>
      <c r="H332" s="690"/>
      <c r="I332" s="693"/>
      <c r="J332" s="692"/>
      <c r="K332" s="692"/>
      <c r="L332" s="692"/>
      <c r="M332" s="692"/>
      <c r="N332" s="692"/>
      <c r="O332" s="692"/>
      <c r="P332" s="692"/>
      <c r="Q332" s="692"/>
    </row>
    <row r="333" spans="1:17" s="700" customFormat="1" ht="15" customHeight="1" x14ac:dyDescent="0.25">
      <c r="A333" s="728">
        <f t="shared" si="10"/>
        <v>94.117647058823536</v>
      </c>
      <c r="B333" s="87" t="s">
        <v>2409</v>
      </c>
      <c r="C333" s="87" t="s">
        <v>2038</v>
      </c>
      <c r="D333" s="87">
        <v>16000</v>
      </c>
      <c r="E333" s="87">
        <v>170</v>
      </c>
      <c r="F333" s="87">
        <v>16000</v>
      </c>
      <c r="G333" s="87">
        <f t="shared" si="9"/>
        <v>0</v>
      </c>
      <c r="H333" s="690"/>
      <c r="I333" s="693"/>
      <c r="J333" s="692"/>
      <c r="K333" s="692"/>
      <c r="L333" s="692"/>
      <c r="M333" s="692"/>
      <c r="N333" s="692"/>
      <c r="O333" s="692"/>
      <c r="P333" s="692"/>
      <c r="Q333" s="692"/>
    </row>
    <row r="334" spans="1:17" s="700" customFormat="1" ht="15" customHeight="1" x14ac:dyDescent="0.25">
      <c r="A334" s="728">
        <f t="shared" si="10"/>
        <v>88.235294117647058</v>
      </c>
      <c r="B334" s="87" t="s">
        <v>2409</v>
      </c>
      <c r="C334" s="87" t="s">
        <v>2414</v>
      </c>
      <c r="D334" s="87">
        <v>15000</v>
      </c>
      <c r="E334" s="87">
        <v>170</v>
      </c>
      <c r="F334" s="87">
        <v>15000</v>
      </c>
      <c r="G334" s="87">
        <f t="shared" si="9"/>
        <v>0</v>
      </c>
      <c r="H334" s="690"/>
      <c r="I334" s="693"/>
      <c r="J334" s="692"/>
      <c r="K334" s="692"/>
      <c r="L334" s="692"/>
      <c r="M334" s="692"/>
      <c r="N334" s="692"/>
      <c r="O334" s="692"/>
      <c r="P334" s="692"/>
      <c r="Q334" s="692"/>
    </row>
    <row r="335" spans="1:17" s="700" customFormat="1" ht="15" customHeight="1" x14ac:dyDescent="0.25">
      <c r="A335" s="728">
        <f t="shared" si="10"/>
        <v>88.235294117647058</v>
      </c>
      <c r="B335" s="87" t="s">
        <v>2409</v>
      </c>
      <c r="C335" s="87" t="s">
        <v>2081</v>
      </c>
      <c r="D335" s="87">
        <v>15000</v>
      </c>
      <c r="E335" s="87">
        <v>170</v>
      </c>
      <c r="F335" s="87">
        <v>15000</v>
      </c>
      <c r="G335" s="87">
        <f t="shared" si="9"/>
        <v>0</v>
      </c>
      <c r="H335" s="690"/>
      <c r="I335" s="693"/>
      <c r="J335" s="692"/>
      <c r="K335" s="692"/>
      <c r="L335" s="692"/>
      <c r="M335" s="692"/>
      <c r="N335" s="692"/>
      <c r="O335" s="692"/>
      <c r="P335" s="692"/>
      <c r="Q335" s="692"/>
    </row>
    <row r="336" spans="1:17" s="700" customFormat="1" ht="15" customHeight="1" x14ac:dyDescent="0.25">
      <c r="A336" s="728">
        <f t="shared" si="10"/>
        <v>88.235294117647058</v>
      </c>
      <c r="B336" s="87" t="s">
        <v>2409</v>
      </c>
      <c r="C336" s="87" t="s">
        <v>2415</v>
      </c>
      <c r="D336" s="87">
        <v>15000</v>
      </c>
      <c r="E336" s="87">
        <v>170</v>
      </c>
      <c r="F336" s="87">
        <v>15000</v>
      </c>
      <c r="G336" s="87">
        <f t="shared" si="9"/>
        <v>0</v>
      </c>
      <c r="H336" s="690"/>
      <c r="I336" s="693"/>
      <c r="J336" s="692"/>
      <c r="K336" s="692"/>
      <c r="L336" s="692"/>
      <c r="M336" s="692"/>
      <c r="N336" s="692"/>
      <c r="O336" s="692"/>
      <c r="P336" s="692"/>
      <c r="Q336" s="692"/>
    </row>
    <row r="337" spans="1:17" s="700" customFormat="1" ht="15" customHeight="1" x14ac:dyDescent="0.25">
      <c r="A337" s="728">
        <f t="shared" si="10"/>
        <v>94.936708860759495</v>
      </c>
      <c r="B337" s="87" t="s">
        <v>2409</v>
      </c>
      <c r="C337" s="87" t="s">
        <v>2078</v>
      </c>
      <c r="D337" s="87">
        <v>15000</v>
      </c>
      <c r="E337" s="87">
        <v>158</v>
      </c>
      <c r="F337" s="87">
        <v>15000</v>
      </c>
      <c r="G337" s="87">
        <f t="shared" si="9"/>
        <v>0</v>
      </c>
      <c r="H337" s="690"/>
      <c r="I337" s="693"/>
      <c r="J337" s="692"/>
      <c r="K337" s="692"/>
      <c r="L337" s="692"/>
      <c r="M337" s="692"/>
      <c r="N337" s="692"/>
      <c r="O337" s="692"/>
      <c r="P337" s="692"/>
      <c r="Q337" s="692"/>
    </row>
    <row r="338" spans="1:17" s="700" customFormat="1" ht="15" customHeight="1" x14ac:dyDescent="0.25">
      <c r="A338" s="728">
        <f t="shared" si="10"/>
        <v>94.936708860759495</v>
      </c>
      <c r="B338" s="87" t="s">
        <v>2409</v>
      </c>
      <c r="C338" s="87" t="s">
        <v>2080</v>
      </c>
      <c r="D338" s="87">
        <v>15000</v>
      </c>
      <c r="E338" s="87">
        <v>158</v>
      </c>
      <c r="F338" s="87">
        <v>15000</v>
      </c>
      <c r="G338" s="87">
        <f t="shared" si="9"/>
        <v>0</v>
      </c>
      <c r="H338" s="690"/>
      <c r="I338" s="693"/>
      <c r="J338" s="692"/>
      <c r="K338" s="692"/>
      <c r="L338" s="692"/>
      <c r="M338" s="692"/>
      <c r="N338" s="692"/>
      <c r="O338" s="692"/>
      <c r="P338" s="692"/>
      <c r="Q338" s="692"/>
    </row>
    <row r="339" spans="1:17" s="700" customFormat="1" ht="15" customHeight="1" x14ac:dyDescent="0.25">
      <c r="A339" s="728">
        <f t="shared" si="10"/>
        <v>87.912087912087912</v>
      </c>
      <c r="B339" s="87" t="s">
        <v>2409</v>
      </c>
      <c r="C339" s="87" t="s">
        <v>30</v>
      </c>
      <c r="D339" s="87">
        <v>8000</v>
      </c>
      <c r="E339" s="87">
        <v>91</v>
      </c>
      <c r="F339" s="87">
        <v>8000</v>
      </c>
      <c r="G339" s="87">
        <f t="shared" si="9"/>
        <v>0</v>
      </c>
      <c r="H339" s="690"/>
      <c r="I339" s="693"/>
      <c r="J339" s="692"/>
      <c r="K339" s="692"/>
      <c r="L339" s="692"/>
      <c r="M339" s="692"/>
      <c r="N339" s="692"/>
      <c r="O339" s="692"/>
      <c r="P339" s="692"/>
      <c r="Q339" s="692"/>
    </row>
    <row r="340" spans="1:17" s="700" customFormat="1" ht="15" customHeight="1" x14ac:dyDescent="0.25">
      <c r="A340" s="728">
        <f t="shared" si="10"/>
        <v>87.979797979797979</v>
      </c>
      <c r="B340" s="87" t="s">
        <v>2409</v>
      </c>
      <c r="C340" s="87" t="s">
        <v>2165</v>
      </c>
      <c r="D340" s="87">
        <v>26130</v>
      </c>
      <c r="E340" s="87">
        <v>297</v>
      </c>
      <c r="F340" s="87">
        <v>26130</v>
      </c>
      <c r="G340" s="87">
        <f t="shared" si="9"/>
        <v>0</v>
      </c>
      <c r="H340" s="690"/>
      <c r="I340" s="693"/>
      <c r="J340" s="692"/>
      <c r="K340" s="692"/>
      <c r="L340" s="692"/>
      <c r="M340" s="692"/>
      <c r="N340" s="692"/>
      <c r="O340" s="692"/>
      <c r="P340" s="692"/>
      <c r="Q340" s="692"/>
    </row>
    <row r="341" spans="1:17" s="700" customFormat="1" ht="15" customHeight="1" x14ac:dyDescent="0.25">
      <c r="A341" s="728">
        <f t="shared" si="10"/>
        <v>87.769784172661872</v>
      </c>
      <c r="B341" s="87" t="s">
        <v>2409</v>
      </c>
      <c r="C341" s="87" t="s">
        <v>2416</v>
      </c>
      <c r="D341" s="87">
        <v>24400</v>
      </c>
      <c r="E341" s="87">
        <v>278</v>
      </c>
      <c r="F341" s="87">
        <v>24400</v>
      </c>
      <c r="G341" s="87">
        <f t="shared" si="9"/>
        <v>0</v>
      </c>
      <c r="H341" s="690"/>
      <c r="I341" s="693"/>
      <c r="J341" s="692"/>
      <c r="K341" s="692"/>
      <c r="L341" s="692"/>
      <c r="M341" s="692"/>
      <c r="N341" s="692"/>
      <c r="O341" s="692"/>
      <c r="P341" s="692"/>
      <c r="Q341" s="692"/>
    </row>
    <row r="342" spans="1:17" s="700" customFormat="1" ht="15" customHeight="1" x14ac:dyDescent="0.25">
      <c r="A342" s="728">
        <f t="shared" si="10"/>
        <v>89.171974522292999</v>
      </c>
      <c r="B342" s="87" t="s">
        <v>2409</v>
      </c>
      <c r="C342" s="87" t="s">
        <v>2417</v>
      </c>
      <c r="D342" s="87">
        <v>28000</v>
      </c>
      <c r="E342" s="87">
        <v>314</v>
      </c>
      <c r="F342" s="87">
        <v>28000</v>
      </c>
      <c r="G342" s="87">
        <f t="shared" si="9"/>
        <v>0</v>
      </c>
      <c r="H342" s="690"/>
      <c r="I342" s="693"/>
      <c r="J342" s="692"/>
      <c r="K342" s="692"/>
      <c r="L342" s="692"/>
      <c r="M342" s="692"/>
      <c r="N342" s="692"/>
      <c r="O342" s="692"/>
      <c r="P342" s="692"/>
      <c r="Q342" s="692"/>
    </row>
    <row r="343" spans="1:17" s="700" customFormat="1" ht="15" customHeight="1" x14ac:dyDescent="0.25">
      <c r="A343" s="728">
        <f t="shared" si="10"/>
        <v>93.406593406593402</v>
      </c>
      <c r="B343" s="87" t="s">
        <v>2409</v>
      </c>
      <c r="C343" s="87" t="s">
        <v>1848</v>
      </c>
      <c r="D343" s="87">
        <v>17000</v>
      </c>
      <c r="E343" s="87">
        <v>182</v>
      </c>
      <c r="F343" s="87">
        <v>17000</v>
      </c>
      <c r="G343" s="87">
        <f t="shared" si="9"/>
        <v>0</v>
      </c>
      <c r="H343" s="690"/>
      <c r="I343" s="693"/>
      <c r="J343" s="692"/>
      <c r="K343" s="692"/>
      <c r="L343" s="692"/>
      <c r="M343" s="692"/>
      <c r="N343" s="692"/>
      <c r="O343" s="692"/>
      <c r="P343" s="692"/>
      <c r="Q343" s="692"/>
    </row>
    <row r="344" spans="1:17" s="700" customFormat="1" ht="15" customHeight="1" x14ac:dyDescent="0.25">
      <c r="A344" s="728">
        <f t="shared" si="10"/>
        <v>88.235294117647058</v>
      </c>
      <c r="B344" s="87" t="s">
        <v>2409</v>
      </c>
      <c r="C344" s="87" t="s">
        <v>2418</v>
      </c>
      <c r="D344" s="87">
        <v>6000</v>
      </c>
      <c r="E344" s="87">
        <v>68</v>
      </c>
      <c r="F344" s="87">
        <v>6000</v>
      </c>
      <c r="G344" s="87">
        <f t="shared" si="9"/>
        <v>0</v>
      </c>
      <c r="H344" s="690"/>
      <c r="I344" s="693"/>
      <c r="J344" s="692"/>
      <c r="K344" s="692"/>
      <c r="L344" s="692"/>
      <c r="M344" s="692"/>
      <c r="N344" s="692"/>
      <c r="O344" s="692"/>
      <c r="P344" s="692"/>
      <c r="Q344" s="692"/>
    </row>
    <row r="345" spans="1:17" s="700" customFormat="1" ht="15" customHeight="1" x14ac:dyDescent="0.25">
      <c r="A345" s="728">
        <f t="shared" si="10"/>
        <v>88.235294117647058</v>
      </c>
      <c r="B345" s="87" t="s">
        <v>2409</v>
      </c>
      <c r="C345" s="87" t="s">
        <v>2419</v>
      </c>
      <c r="D345" s="87">
        <v>12000</v>
      </c>
      <c r="E345" s="87">
        <v>136</v>
      </c>
      <c r="F345" s="87">
        <v>12000</v>
      </c>
      <c r="G345" s="87">
        <f t="shared" si="9"/>
        <v>0</v>
      </c>
      <c r="H345" s="690"/>
      <c r="I345" s="693"/>
      <c r="J345" s="692"/>
      <c r="K345" s="692"/>
      <c r="L345" s="692"/>
      <c r="M345" s="692"/>
      <c r="N345" s="692"/>
      <c r="O345" s="692"/>
      <c r="P345" s="692"/>
      <c r="Q345" s="692"/>
    </row>
    <row r="346" spans="1:17" s="700" customFormat="1" ht="15" customHeight="1" x14ac:dyDescent="0.25">
      <c r="A346" s="728">
        <f t="shared" si="10"/>
        <v>87.912087912087912</v>
      </c>
      <c r="B346" s="87" t="s">
        <v>2409</v>
      </c>
      <c r="C346" s="87" t="s">
        <v>2092</v>
      </c>
      <c r="D346" s="87">
        <v>16000</v>
      </c>
      <c r="E346" s="87">
        <v>182</v>
      </c>
      <c r="F346" s="87">
        <v>16000</v>
      </c>
      <c r="G346" s="87">
        <f t="shared" si="9"/>
        <v>0</v>
      </c>
      <c r="H346" s="690"/>
      <c r="I346" s="693"/>
      <c r="J346" s="692"/>
      <c r="K346" s="692"/>
      <c r="L346" s="692"/>
      <c r="M346" s="692"/>
      <c r="N346" s="692"/>
      <c r="O346" s="692"/>
      <c r="P346" s="692"/>
      <c r="Q346" s="692"/>
    </row>
    <row r="347" spans="1:17" s="700" customFormat="1" ht="15" customHeight="1" x14ac:dyDescent="0.25">
      <c r="A347" s="728">
        <f t="shared" si="10"/>
        <v>94.339622641509436</v>
      </c>
      <c r="B347" s="87" t="s">
        <v>2409</v>
      </c>
      <c r="C347" s="87" t="s">
        <v>2079</v>
      </c>
      <c r="D347" s="87">
        <v>15000</v>
      </c>
      <c r="E347" s="87">
        <v>159</v>
      </c>
      <c r="F347" s="87">
        <v>15000</v>
      </c>
      <c r="G347" s="87">
        <f t="shared" si="9"/>
        <v>0</v>
      </c>
      <c r="H347" s="690"/>
      <c r="I347" s="693"/>
      <c r="J347" s="692"/>
      <c r="K347" s="692"/>
      <c r="L347" s="692"/>
      <c r="M347" s="692"/>
      <c r="N347" s="692"/>
      <c r="O347" s="692"/>
      <c r="P347" s="692"/>
      <c r="Q347" s="692"/>
    </row>
    <row r="348" spans="1:17" s="700" customFormat="1" ht="15" customHeight="1" x14ac:dyDescent="0.25">
      <c r="A348" s="728">
        <f t="shared" si="10"/>
        <v>88.082901554404145</v>
      </c>
      <c r="B348" s="87" t="s">
        <v>2409</v>
      </c>
      <c r="C348" s="87" t="s">
        <v>2093</v>
      </c>
      <c r="D348" s="87">
        <v>17000</v>
      </c>
      <c r="E348" s="87">
        <v>193</v>
      </c>
      <c r="F348" s="87">
        <v>17000</v>
      </c>
      <c r="G348" s="87">
        <f t="shared" si="9"/>
        <v>0</v>
      </c>
      <c r="H348" s="690"/>
      <c r="I348" s="693"/>
      <c r="J348" s="692"/>
      <c r="K348" s="692"/>
      <c r="L348" s="692"/>
      <c r="M348" s="692"/>
      <c r="N348" s="692"/>
      <c r="O348" s="692"/>
      <c r="P348" s="692"/>
      <c r="Q348" s="692"/>
    </row>
    <row r="349" spans="1:17" s="700" customFormat="1" ht="15" customHeight="1" x14ac:dyDescent="0.25">
      <c r="A349" s="728">
        <f t="shared" si="10"/>
        <v>87.912087912087912</v>
      </c>
      <c r="B349" s="87" t="s">
        <v>2409</v>
      </c>
      <c r="C349" s="87" t="s">
        <v>2364</v>
      </c>
      <c r="D349" s="87">
        <v>16000</v>
      </c>
      <c r="E349" s="87">
        <v>182</v>
      </c>
      <c r="F349" s="87">
        <v>16000</v>
      </c>
      <c r="G349" s="87">
        <f t="shared" si="9"/>
        <v>0</v>
      </c>
      <c r="H349" s="690"/>
      <c r="I349" s="693"/>
      <c r="J349" s="692"/>
      <c r="K349" s="692"/>
      <c r="L349" s="692"/>
      <c r="M349" s="692"/>
      <c r="N349" s="692"/>
      <c r="O349" s="692"/>
      <c r="P349" s="692"/>
      <c r="Q349" s="692"/>
    </row>
    <row r="350" spans="1:17" s="700" customFormat="1" ht="15" customHeight="1" x14ac:dyDescent="0.25">
      <c r="A350" s="728">
        <f t="shared" si="10"/>
        <v>94.915254237288138</v>
      </c>
      <c r="B350" s="87" t="s">
        <v>2409</v>
      </c>
      <c r="C350" s="87" t="s">
        <v>2420</v>
      </c>
      <c r="D350" s="87">
        <v>28000</v>
      </c>
      <c r="E350" s="87">
        <v>295</v>
      </c>
      <c r="F350" s="87">
        <v>28000</v>
      </c>
      <c r="G350" s="87">
        <f t="shared" si="9"/>
        <v>0</v>
      </c>
      <c r="H350" s="690"/>
      <c r="I350" s="693"/>
      <c r="J350" s="692"/>
      <c r="K350" s="692"/>
      <c r="L350" s="692"/>
      <c r="M350" s="692"/>
      <c r="N350" s="692"/>
      <c r="O350" s="692"/>
      <c r="P350" s="692"/>
      <c r="Q350" s="692"/>
    </row>
    <row r="351" spans="1:17" s="700" customFormat="1" ht="15" customHeight="1" x14ac:dyDescent="0.25">
      <c r="A351" s="728">
        <f t="shared" si="10"/>
        <v>81.081081081081081</v>
      </c>
      <c r="B351" s="87" t="s">
        <v>2409</v>
      </c>
      <c r="C351" s="87" t="s">
        <v>2421</v>
      </c>
      <c r="D351" s="87">
        <v>12000</v>
      </c>
      <c r="E351" s="87">
        <v>148</v>
      </c>
      <c r="F351" s="87">
        <v>12000</v>
      </c>
      <c r="G351" s="87">
        <f t="shared" si="9"/>
        <v>0</v>
      </c>
      <c r="H351" s="690"/>
      <c r="I351" s="693"/>
      <c r="J351" s="692"/>
      <c r="K351" s="692"/>
      <c r="L351" s="692"/>
      <c r="M351" s="692"/>
      <c r="N351" s="692"/>
      <c r="O351" s="692"/>
      <c r="P351" s="692"/>
      <c r="Q351" s="692"/>
    </row>
    <row r="352" spans="1:17" s="700" customFormat="1" ht="15" customHeight="1" x14ac:dyDescent="0.25">
      <c r="A352" s="728">
        <f t="shared" si="10"/>
        <v>87.837837837837839</v>
      </c>
      <c r="B352" s="87" t="s">
        <v>2409</v>
      </c>
      <c r="C352" s="87" t="s">
        <v>2422</v>
      </c>
      <c r="D352" s="87">
        <v>26000</v>
      </c>
      <c r="E352" s="87">
        <v>296</v>
      </c>
      <c r="F352" s="87">
        <v>26000</v>
      </c>
      <c r="G352" s="87">
        <f t="shared" si="9"/>
        <v>0</v>
      </c>
      <c r="H352" s="690"/>
      <c r="I352" s="693"/>
      <c r="J352" s="692"/>
      <c r="K352" s="692"/>
      <c r="L352" s="692"/>
      <c r="M352" s="692"/>
      <c r="N352" s="692"/>
      <c r="O352" s="692"/>
      <c r="P352" s="692"/>
      <c r="Q352" s="692"/>
    </row>
    <row r="353" spans="1:17" s="700" customFormat="1" ht="15" customHeight="1" x14ac:dyDescent="0.25">
      <c r="A353" s="728">
        <f t="shared" si="10"/>
        <v>87.976539589442808</v>
      </c>
      <c r="B353" s="87" t="s">
        <v>2409</v>
      </c>
      <c r="C353" s="87" t="s">
        <v>2423</v>
      </c>
      <c r="D353" s="87">
        <v>30000</v>
      </c>
      <c r="E353" s="87">
        <v>341</v>
      </c>
      <c r="F353" s="87">
        <v>30000</v>
      </c>
      <c r="G353" s="87">
        <f t="shared" si="9"/>
        <v>0</v>
      </c>
      <c r="H353" s="690"/>
      <c r="I353" s="693"/>
      <c r="J353" s="692"/>
      <c r="K353" s="692"/>
      <c r="L353" s="692"/>
      <c r="M353" s="692"/>
      <c r="N353" s="692"/>
      <c r="O353" s="692"/>
      <c r="P353" s="692"/>
      <c r="Q353" s="692"/>
    </row>
    <row r="354" spans="1:17" s="700" customFormat="1" ht="15" customHeight="1" x14ac:dyDescent="0.25">
      <c r="A354" s="728">
        <f t="shared" si="10"/>
        <v>87.61329305135952</v>
      </c>
      <c r="B354" s="87" t="s">
        <v>2409</v>
      </c>
      <c r="C354" s="87" t="s">
        <v>2424</v>
      </c>
      <c r="D354" s="87">
        <v>29000</v>
      </c>
      <c r="E354" s="87">
        <v>331</v>
      </c>
      <c r="F354" s="87">
        <v>29000</v>
      </c>
      <c r="G354" s="87">
        <f t="shared" si="9"/>
        <v>0</v>
      </c>
      <c r="H354" s="690"/>
      <c r="I354" s="693"/>
      <c r="J354" s="692"/>
      <c r="K354" s="692"/>
      <c r="L354" s="692"/>
      <c r="M354" s="692"/>
      <c r="N354" s="692"/>
      <c r="O354" s="692"/>
      <c r="P354" s="692"/>
      <c r="Q354" s="692"/>
    </row>
    <row r="355" spans="1:17" s="700" customFormat="1" ht="15" customHeight="1" x14ac:dyDescent="0.25">
      <c r="A355" s="728">
        <f t="shared" si="10"/>
        <v>72.202166064981952</v>
      </c>
      <c r="B355" s="87" t="s">
        <v>2409</v>
      </c>
      <c r="C355" s="87" t="s">
        <v>2425</v>
      </c>
      <c r="D355" s="87">
        <v>20000</v>
      </c>
      <c r="E355" s="87">
        <v>277</v>
      </c>
      <c r="F355" s="87">
        <v>20000</v>
      </c>
      <c r="G355" s="87">
        <f t="shared" si="9"/>
        <v>0</v>
      </c>
      <c r="H355" s="690"/>
      <c r="I355" s="693"/>
      <c r="J355" s="692"/>
      <c r="K355" s="692"/>
      <c r="L355" s="692"/>
      <c r="M355" s="692"/>
      <c r="N355" s="692"/>
      <c r="O355" s="692"/>
      <c r="P355" s="692"/>
      <c r="Q355" s="692"/>
    </row>
    <row r="356" spans="1:17" s="700" customFormat="1" ht="15" customHeight="1" x14ac:dyDescent="0.25">
      <c r="A356" s="728">
        <f t="shared" si="10"/>
        <v>87.976539589442808</v>
      </c>
      <c r="B356" s="87" t="s">
        <v>2409</v>
      </c>
      <c r="C356" s="87" t="s">
        <v>2242</v>
      </c>
      <c r="D356" s="87">
        <v>30000</v>
      </c>
      <c r="E356" s="87">
        <v>341</v>
      </c>
      <c r="F356" s="87">
        <v>30000</v>
      </c>
      <c r="G356" s="87">
        <f t="shared" si="9"/>
        <v>0</v>
      </c>
      <c r="H356" s="690"/>
      <c r="I356" s="693"/>
      <c r="J356" s="692"/>
      <c r="K356" s="692"/>
      <c r="L356" s="692"/>
      <c r="M356" s="692"/>
      <c r="N356" s="692"/>
      <c r="O356" s="692"/>
      <c r="P356" s="692"/>
      <c r="Q356" s="692"/>
    </row>
    <row r="357" spans="1:17" s="700" customFormat="1" ht="15" customHeight="1" x14ac:dyDescent="0.25">
      <c r="A357" s="728">
        <f t="shared" si="10"/>
        <v>87.86610878661088</v>
      </c>
      <c r="B357" s="87" t="s">
        <v>2409</v>
      </c>
      <c r="C357" s="87" t="s">
        <v>2426</v>
      </c>
      <c r="D357" s="87">
        <v>21000</v>
      </c>
      <c r="E357" s="87">
        <v>239</v>
      </c>
      <c r="F357" s="87">
        <v>21000</v>
      </c>
      <c r="G357" s="87">
        <f t="shared" si="9"/>
        <v>0</v>
      </c>
      <c r="H357" s="690"/>
      <c r="I357" s="693"/>
      <c r="J357" s="692"/>
      <c r="K357" s="692"/>
      <c r="L357" s="692"/>
      <c r="M357" s="692"/>
      <c r="N357" s="692"/>
      <c r="O357" s="692"/>
      <c r="P357" s="692"/>
      <c r="Q357" s="692"/>
    </row>
    <row r="358" spans="1:17" s="700" customFormat="1" ht="15" customHeight="1" x14ac:dyDescent="0.25">
      <c r="A358" s="728">
        <f t="shared" si="10"/>
        <v>87.947882736156359</v>
      </c>
      <c r="B358" s="87" t="s">
        <v>2409</v>
      </c>
      <c r="C358" s="87" t="s">
        <v>2427</v>
      </c>
      <c r="D358" s="87">
        <v>27000</v>
      </c>
      <c r="E358" s="87">
        <v>307</v>
      </c>
      <c r="F358" s="87">
        <v>27000</v>
      </c>
      <c r="G358" s="87">
        <f t="shared" si="9"/>
        <v>0</v>
      </c>
      <c r="H358" s="690"/>
      <c r="I358" s="693"/>
      <c r="J358" s="692"/>
      <c r="K358" s="692"/>
      <c r="L358" s="692"/>
      <c r="M358" s="692"/>
      <c r="N358" s="692"/>
      <c r="O358" s="692"/>
      <c r="P358" s="692"/>
      <c r="Q358" s="692"/>
    </row>
    <row r="359" spans="1:17" s="701" customFormat="1" ht="15" customHeight="1" x14ac:dyDescent="0.25">
      <c r="A359" s="728">
        <f t="shared" si="10"/>
        <v>93.45794392523365</v>
      </c>
      <c r="B359" s="87" t="s">
        <v>2496</v>
      </c>
      <c r="C359" s="87" t="s">
        <v>2497</v>
      </c>
      <c r="D359" s="87">
        <v>20000</v>
      </c>
      <c r="E359" s="87">
        <v>214</v>
      </c>
      <c r="F359" s="87">
        <v>20000</v>
      </c>
      <c r="G359" s="87">
        <f t="shared" si="9"/>
        <v>0</v>
      </c>
      <c r="H359" s="690"/>
      <c r="I359" s="693"/>
      <c r="J359" s="692"/>
      <c r="K359" s="692"/>
      <c r="L359" s="692"/>
      <c r="M359" s="692"/>
      <c r="N359" s="692"/>
      <c r="O359" s="692"/>
      <c r="P359" s="692"/>
      <c r="Q359" s="692"/>
    </row>
    <row r="360" spans="1:17" s="701" customFormat="1" ht="15" customHeight="1" x14ac:dyDescent="0.25">
      <c r="A360" s="728">
        <f t="shared" si="10"/>
        <v>88.105726872246692</v>
      </c>
      <c r="B360" s="87" t="s">
        <v>2496</v>
      </c>
      <c r="C360" s="87" t="s">
        <v>2498</v>
      </c>
      <c r="D360" s="87">
        <v>20000</v>
      </c>
      <c r="E360" s="87">
        <v>227</v>
      </c>
      <c r="F360" s="87">
        <v>20000</v>
      </c>
      <c r="G360" s="87">
        <f t="shared" si="9"/>
        <v>0</v>
      </c>
      <c r="H360" s="690"/>
      <c r="I360" s="693"/>
      <c r="J360" s="692"/>
      <c r="K360" s="692"/>
      <c r="L360" s="692"/>
      <c r="M360" s="692"/>
      <c r="N360" s="692"/>
      <c r="O360" s="692"/>
      <c r="P360" s="692"/>
      <c r="Q360" s="692"/>
    </row>
    <row r="361" spans="1:17" s="701" customFormat="1" ht="15" customHeight="1" x14ac:dyDescent="0.25">
      <c r="A361" s="728">
        <f t="shared" si="10"/>
        <v>88.235294117647058</v>
      </c>
      <c r="B361" s="87" t="s">
        <v>2496</v>
      </c>
      <c r="C361" s="476" t="s">
        <v>1790</v>
      </c>
      <c r="D361" s="87">
        <v>15000</v>
      </c>
      <c r="E361" s="87">
        <v>170</v>
      </c>
      <c r="F361" s="87">
        <v>15000</v>
      </c>
      <c r="G361" s="87">
        <f t="shared" si="9"/>
        <v>0</v>
      </c>
      <c r="H361" s="690"/>
      <c r="I361" s="693"/>
      <c r="J361" s="692"/>
      <c r="K361" s="692"/>
      <c r="L361" s="692"/>
      <c r="M361" s="692"/>
      <c r="N361" s="692"/>
      <c r="O361" s="692"/>
      <c r="P361" s="692"/>
      <c r="Q361" s="692"/>
    </row>
    <row r="362" spans="1:17" s="701" customFormat="1" ht="15" customHeight="1" x14ac:dyDescent="0.25">
      <c r="A362" s="728">
        <f t="shared" si="10"/>
        <v>87.912087912087912</v>
      </c>
      <c r="B362" s="87" t="s">
        <v>2496</v>
      </c>
      <c r="C362" s="87" t="s">
        <v>30</v>
      </c>
      <c r="D362" s="87">
        <v>8000</v>
      </c>
      <c r="E362" s="87">
        <v>91</v>
      </c>
      <c r="F362" s="87">
        <v>8000</v>
      </c>
      <c r="G362" s="87">
        <f t="shared" si="9"/>
        <v>0</v>
      </c>
      <c r="H362" s="690"/>
      <c r="I362" s="693"/>
      <c r="J362" s="692"/>
      <c r="K362" s="692"/>
      <c r="L362" s="692"/>
      <c r="M362" s="692"/>
      <c r="N362" s="692"/>
      <c r="O362" s="692"/>
      <c r="P362" s="692"/>
      <c r="Q362" s="692"/>
    </row>
    <row r="363" spans="1:17" s="701" customFormat="1" ht="15" customHeight="1" x14ac:dyDescent="0.25">
      <c r="A363" s="728">
        <f t="shared" si="10"/>
        <v>88.105726872246692</v>
      </c>
      <c r="B363" s="87" t="s">
        <v>2496</v>
      </c>
      <c r="C363" s="87" t="s">
        <v>2499</v>
      </c>
      <c r="D363" s="87">
        <v>20000</v>
      </c>
      <c r="E363" s="87">
        <v>227</v>
      </c>
      <c r="F363" s="87">
        <v>20000</v>
      </c>
      <c r="G363" s="87">
        <f t="shared" si="9"/>
        <v>0</v>
      </c>
      <c r="H363" s="690"/>
      <c r="I363" s="693"/>
      <c r="J363" s="692"/>
      <c r="K363" s="692"/>
      <c r="L363" s="692"/>
      <c r="M363" s="692"/>
      <c r="N363" s="692"/>
      <c r="O363" s="692"/>
      <c r="P363" s="692"/>
      <c r="Q363" s="692"/>
    </row>
    <row r="364" spans="1:17" s="701" customFormat="1" ht="15" customHeight="1" x14ac:dyDescent="0.25">
      <c r="A364" s="728">
        <f t="shared" si="10"/>
        <v>48.309178743961354</v>
      </c>
      <c r="B364" s="87" t="s">
        <v>2496</v>
      </c>
      <c r="C364" s="87" t="s">
        <v>66</v>
      </c>
      <c r="D364" s="87">
        <v>100</v>
      </c>
      <c r="E364" s="87">
        <v>2.0699999999999998</v>
      </c>
      <c r="F364" s="87">
        <v>100</v>
      </c>
      <c r="G364" s="87">
        <f t="shared" si="9"/>
        <v>0</v>
      </c>
      <c r="H364" s="690"/>
      <c r="I364" s="693"/>
      <c r="J364" s="692"/>
      <c r="K364" s="692"/>
      <c r="L364" s="692"/>
      <c r="M364" s="692"/>
      <c r="N364" s="692"/>
      <c r="O364" s="692"/>
      <c r="P364" s="692"/>
      <c r="Q364" s="692"/>
    </row>
    <row r="365" spans="1:17" s="701" customFormat="1" ht="15" customHeight="1" x14ac:dyDescent="0.25">
      <c r="A365" s="728">
        <f t="shared" si="10"/>
        <v>92.920353982300881</v>
      </c>
      <c r="B365" s="87" t="s">
        <v>2496</v>
      </c>
      <c r="C365" s="87" t="s">
        <v>2500</v>
      </c>
      <c r="D365" s="87">
        <v>21000</v>
      </c>
      <c r="E365" s="87">
        <v>226</v>
      </c>
      <c r="F365" s="87">
        <v>21000</v>
      </c>
      <c r="G365" s="87">
        <f t="shared" si="9"/>
        <v>0</v>
      </c>
      <c r="H365" s="690"/>
      <c r="I365" s="693"/>
      <c r="J365" s="692"/>
      <c r="K365" s="692"/>
      <c r="L365" s="692"/>
      <c r="M365" s="692"/>
      <c r="N365" s="692"/>
      <c r="O365" s="692"/>
      <c r="P365" s="692"/>
      <c r="Q365" s="692"/>
    </row>
    <row r="366" spans="1:17" s="701" customFormat="1" ht="15" customHeight="1" x14ac:dyDescent="0.25">
      <c r="A366" s="728">
        <f t="shared" si="10"/>
        <v>88.495575221238937</v>
      </c>
      <c r="B366" s="87" t="s">
        <v>2496</v>
      </c>
      <c r="C366" s="87" t="s">
        <v>2501</v>
      </c>
      <c r="D366" s="87">
        <v>10000</v>
      </c>
      <c r="E366" s="87">
        <v>113</v>
      </c>
      <c r="F366" s="87">
        <v>10000</v>
      </c>
      <c r="G366" s="87">
        <f t="shared" si="9"/>
        <v>0</v>
      </c>
      <c r="H366" s="690"/>
      <c r="I366" s="693"/>
      <c r="J366" s="692"/>
      <c r="K366" s="692"/>
      <c r="L366" s="692"/>
      <c r="M366" s="692"/>
      <c r="N366" s="692"/>
      <c r="O366" s="692"/>
      <c r="P366" s="692"/>
      <c r="Q366" s="692"/>
    </row>
    <row r="367" spans="1:17" s="701" customFormat="1" ht="15" customHeight="1" x14ac:dyDescent="0.25">
      <c r="A367" s="728">
        <f t="shared" si="10"/>
        <v>9.2307692307692299</v>
      </c>
      <c r="B367" s="87" t="s">
        <v>2496</v>
      </c>
      <c r="C367" s="87" t="s">
        <v>2502</v>
      </c>
      <c r="D367" s="87">
        <v>2400</v>
      </c>
      <c r="E367" s="87">
        <v>260</v>
      </c>
      <c r="F367" s="87">
        <v>2400</v>
      </c>
      <c r="G367" s="87">
        <f t="shared" si="9"/>
        <v>0</v>
      </c>
      <c r="H367" s="690"/>
      <c r="I367" s="693"/>
      <c r="J367" s="692"/>
      <c r="K367" s="692"/>
      <c r="L367" s="692"/>
      <c r="M367" s="692"/>
      <c r="N367" s="692"/>
      <c r="O367" s="692"/>
      <c r="P367" s="692"/>
      <c r="Q367" s="692"/>
    </row>
    <row r="368" spans="1:17" s="701" customFormat="1" ht="15" customHeight="1" x14ac:dyDescent="0.25">
      <c r="A368" s="728">
        <f t="shared" si="10"/>
        <v>101.44927536231884</v>
      </c>
      <c r="B368" s="87" t="s">
        <v>2496</v>
      </c>
      <c r="C368" s="87" t="s">
        <v>66</v>
      </c>
      <c r="D368" s="87">
        <v>210</v>
      </c>
      <c r="E368" s="87">
        <v>2.0699999999999998</v>
      </c>
      <c r="F368" s="87">
        <v>210</v>
      </c>
      <c r="G368" s="87">
        <f t="shared" si="9"/>
        <v>0</v>
      </c>
      <c r="H368" s="690"/>
      <c r="I368" s="693"/>
      <c r="J368" s="692"/>
      <c r="K368" s="692"/>
      <c r="L368" s="692"/>
      <c r="M368" s="692"/>
      <c r="N368" s="692"/>
      <c r="O368" s="692"/>
      <c r="P368" s="692"/>
      <c r="Q368" s="692"/>
    </row>
    <row r="369" spans="1:17" s="701" customFormat="1" ht="15" customHeight="1" x14ac:dyDescent="0.25">
      <c r="A369" s="728">
        <f t="shared" si="10"/>
        <v>94.827586206896555</v>
      </c>
      <c r="B369" s="87" t="s">
        <v>2496</v>
      </c>
      <c r="C369" s="87" t="s">
        <v>1883</v>
      </c>
      <c r="D369" s="87">
        <v>22000</v>
      </c>
      <c r="E369" s="87">
        <v>232</v>
      </c>
      <c r="F369" s="87">
        <v>22000</v>
      </c>
      <c r="G369" s="87">
        <f t="shared" si="9"/>
        <v>0</v>
      </c>
      <c r="H369" s="690"/>
      <c r="I369" s="693"/>
      <c r="J369" s="692"/>
      <c r="K369" s="692"/>
      <c r="L369" s="692"/>
      <c r="M369" s="692"/>
      <c r="N369" s="692"/>
      <c r="O369" s="692"/>
      <c r="P369" s="692"/>
      <c r="Q369" s="692"/>
    </row>
    <row r="370" spans="1:17" s="701" customFormat="1" ht="15" customHeight="1" x14ac:dyDescent="0.25">
      <c r="A370" s="728">
        <f t="shared" si="10"/>
        <v>87.837837837837839</v>
      </c>
      <c r="B370" s="87" t="s">
        <v>2496</v>
      </c>
      <c r="C370" s="87" t="s">
        <v>2503</v>
      </c>
      <c r="D370" s="87">
        <v>13000</v>
      </c>
      <c r="E370" s="87">
        <v>148</v>
      </c>
      <c r="F370" s="87">
        <v>13000</v>
      </c>
      <c r="G370" s="87">
        <f t="shared" si="9"/>
        <v>0</v>
      </c>
      <c r="H370" s="690"/>
      <c r="I370" s="693"/>
      <c r="J370" s="692"/>
      <c r="K370" s="692"/>
      <c r="L370" s="692"/>
      <c r="M370" s="692"/>
      <c r="N370" s="692"/>
      <c r="O370" s="692"/>
      <c r="P370" s="692"/>
      <c r="Q370" s="692"/>
    </row>
    <row r="371" spans="1:17" s="701" customFormat="1" ht="15" customHeight="1" x14ac:dyDescent="0.25">
      <c r="A371" s="728">
        <f t="shared" si="10"/>
        <v>89.020771513353111</v>
      </c>
      <c r="B371" s="87" t="s">
        <v>2496</v>
      </c>
      <c r="C371" s="87" t="s">
        <v>2504</v>
      </c>
      <c r="D371" s="87">
        <v>30000</v>
      </c>
      <c r="E371" s="87">
        <v>337</v>
      </c>
      <c r="F371" s="87">
        <v>30000</v>
      </c>
      <c r="G371" s="87">
        <f t="shared" si="9"/>
        <v>0</v>
      </c>
      <c r="H371" s="690"/>
      <c r="I371" s="693"/>
      <c r="J371" s="692"/>
      <c r="K371" s="692"/>
      <c r="L371" s="692"/>
      <c r="M371" s="692"/>
      <c r="N371" s="692"/>
      <c r="O371" s="692"/>
      <c r="P371" s="692"/>
      <c r="Q371" s="692"/>
    </row>
    <row r="372" spans="1:17" s="701" customFormat="1" ht="15" customHeight="1" x14ac:dyDescent="0.25">
      <c r="A372" s="728">
        <f t="shared" si="10"/>
        <v>97.046413502109701</v>
      </c>
      <c r="B372" s="87" t="s">
        <v>2496</v>
      </c>
      <c r="C372" s="87" t="s">
        <v>2505</v>
      </c>
      <c r="D372" s="87">
        <v>23000</v>
      </c>
      <c r="E372" s="87">
        <v>237</v>
      </c>
      <c r="F372" s="87">
        <v>23000</v>
      </c>
      <c r="G372" s="87">
        <f t="shared" si="9"/>
        <v>0</v>
      </c>
      <c r="H372" s="690"/>
      <c r="I372" s="693"/>
      <c r="J372" s="692"/>
      <c r="K372" s="692"/>
      <c r="L372" s="692"/>
      <c r="M372" s="692"/>
      <c r="N372" s="692"/>
      <c r="O372" s="692"/>
      <c r="P372" s="692"/>
      <c r="Q372" s="692"/>
    </row>
    <row r="373" spans="1:17" s="701" customFormat="1" ht="15" customHeight="1" x14ac:dyDescent="0.25">
      <c r="A373" s="728">
        <f t="shared" si="10"/>
        <v>87.774294670846402</v>
      </c>
      <c r="B373" s="87" t="s">
        <v>2496</v>
      </c>
      <c r="C373" s="87" t="s">
        <v>2506</v>
      </c>
      <c r="D373" s="87">
        <v>28000</v>
      </c>
      <c r="E373" s="87">
        <v>319</v>
      </c>
      <c r="F373" s="87">
        <v>28000</v>
      </c>
      <c r="G373" s="87">
        <f t="shared" si="9"/>
        <v>0</v>
      </c>
      <c r="H373" s="690"/>
      <c r="I373" s="693"/>
      <c r="J373" s="692"/>
      <c r="K373" s="692"/>
      <c r="L373" s="692"/>
      <c r="M373" s="692"/>
      <c r="N373" s="692"/>
      <c r="O373" s="692"/>
      <c r="P373" s="692"/>
      <c r="Q373" s="692"/>
    </row>
    <row r="374" spans="1:17" s="701" customFormat="1" ht="15" customHeight="1" x14ac:dyDescent="0.25">
      <c r="A374" s="728">
        <f t="shared" si="10"/>
        <v>94.488188976377955</v>
      </c>
      <c r="B374" s="87" t="s">
        <v>2496</v>
      </c>
      <c r="C374" s="87" t="s">
        <v>2211</v>
      </c>
      <c r="D374" s="87">
        <v>24000</v>
      </c>
      <c r="E374" s="87">
        <v>254</v>
      </c>
      <c r="F374" s="87">
        <v>24000</v>
      </c>
      <c r="G374" s="87">
        <f t="shared" si="9"/>
        <v>0</v>
      </c>
      <c r="H374" s="690"/>
      <c r="I374" s="693"/>
      <c r="J374" s="692"/>
      <c r="K374" s="692"/>
      <c r="L374" s="692"/>
      <c r="M374" s="692"/>
      <c r="N374" s="692"/>
      <c r="O374" s="692"/>
      <c r="P374" s="692"/>
      <c r="Q374" s="692"/>
    </row>
    <row r="375" spans="1:17" s="701" customFormat="1" ht="15" customHeight="1" x14ac:dyDescent="0.25">
      <c r="A375" s="728">
        <f t="shared" si="10"/>
        <v>88</v>
      </c>
      <c r="B375" s="87" t="s">
        <v>2496</v>
      </c>
      <c r="C375" s="87" t="s">
        <v>2507</v>
      </c>
      <c r="D375" s="87">
        <v>33000</v>
      </c>
      <c r="E375" s="87">
        <v>375</v>
      </c>
      <c r="F375" s="87">
        <v>33000</v>
      </c>
      <c r="G375" s="87">
        <f t="shared" si="9"/>
        <v>0</v>
      </c>
      <c r="H375" s="690"/>
      <c r="I375" s="693"/>
      <c r="J375" s="692"/>
      <c r="K375" s="692"/>
      <c r="L375" s="692"/>
      <c r="M375" s="692"/>
      <c r="N375" s="692"/>
      <c r="O375" s="692"/>
      <c r="P375" s="692"/>
      <c r="Q375" s="692"/>
    </row>
    <row r="376" spans="1:17" s="701" customFormat="1" ht="15" customHeight="1" x14ac:dyDescent="0.25">
      <c r="A376" s="728">
        <f t="shared" si="10"/>
        <v>87.947882736156359</v>
      </c>
      <c r="B376" s="87" t="s">
        <v>2496</v>
      </c>
      <c r="C376" s="87" t="s">
        <v>2508</v>
      </c>
      <c r="D376" s="87">
        <v>27000</v>
      </c>
      <c r="E376" s="87">
        <v>307</v>
      </c>
      <c r="F376" s="87">
        <v>27000</v>
      </c>
      <c r="G376" s="87">
        <f t="shared" si="9"/>
        <v>0</v>
      </c>
      <c r="H376" s="690"/>
      <c r="I376" s="693"/>
      <c r="J376" s="692"/>
      <c r="K376" s="692"/>
      <c r="L376" s="692"/>
      <c r="M376" s="692"/>
      <c r="N376" s="692"/>
      <c r="O376" s="692"/>
      <c r="P376" s="692"/>
      <c r="Q376" s="692"/>
    </row>
    <row r="377" spans="1:17" s="701" customFormat="1" ht="15" customHeight="1" x14ac:dyDescent="0.25">
      <c r="A377" s="728">
        <f t="shared" si="10"/>
        <v>87.912087912087912</v>
      </c>
      <c r="B377" s="87" t="s">
        <v>2496</v>
      </c>
      <c r="C377" s="87" t="s">
        <v>2509</v>
      </c>
      <c r="D377" s="87">
        <v>24000</v>
      </c>
      <c r="E377" s="87">
        <v>273</v>
      </c>
      <c r="F377" s="87">
        <v>24000</v>
      </c>
      <c r="G377" s="87">
        <f t="shared" si="9"/>
        <v>0</v>
      </c>
      <c r="H377" s="690"/>
      <c r="I377" s="693"/>
      <c r="J377" s="692"/>
      <c r="K377" s="692"/>
      <c r="L377" s="692"/>
      <c r="M377" s="692"/>
      <c r="N377" s="692"/>
      <c r="O377" s="692"/>
      <c r="P377" s="692"/>
      <c r="Q377" s="692"/>
    </row>
    <row r="378" spans="1:17" s="701" customFormat="1" ht="15" customHeight="1" x14ac:dyDescent="0.25">
      <c r="A378" s="728">
        <f t="shared" si="10"/>
        <v>88.028169014084511</v>
      </c>
      <c r="B378" s="87" t="s">
        <v>2496</v>
      </c>
      <c r="C378" s="87" t="s">
        <v>2495</v>
      </c>
      <c r="D378" s="87">
        <v>25000</v>
      </c>
      <c r="E378" s="87">
        <v>284</v>
      </c>
      <c r="F378" s="87">
        <v>25000</v>
      </c>
      <c r="G378" s="87">
        <f t="shared" si="9"/>
        <v>0</v>
      </c>
      <c r="H378" s="690"/>
      <c r="I378" s="693"/>
      <c r="J378" s="692"/>
      <c r="K378" s="692"/>
      <c r="L378" s="692"/>
      <c r="M378" s="692"/>
      <c r="N378" s="692"/>
      <c r="O378" s="692"/>
      <c r="P378" s="692"/>
      <c r="Q378" s="692"/>
    </row>
    <row r="379" spans="1:17" s="701" customFormat="1" ht="15" customHeight="1" x14ac:dyDescent="0.25">
      <c r="A379" s="728">
        <f t="shared" si="10"/>
        <v>87.947882736156359</v>
      </c>
      <c r="B379" s="87" t="s">
        <v>2496</v>
      </c>
      <c r="C379" s="87" t="s">
        <v>2510</v>
      </c>
      <c r="D379" s="87">
        <v>27000</v>
      </c>
      <c r="E379" s="87">
        <v>307</v>
      </c>
      <c r="F379" s="87">
        <v>27000</v>
      </c>
      <c r="G379" s="87">
        <f t="shared" si="9"/>
        <v>0</v>
      </c>
      <c r="H379" s="690"/>
      <c r="I379" s="693"/>
      <c r="J379" s="692"/>
      <c r="K379" s="692"/>
      <c r="L379" s="692"/>
      <c r="M379" s="692"/>
      <c r="N379" s="692"/>
      <c r="O379" s="692"/>
      <c r="P379" s="692"/>
      <c r="Q379" s="692"/>
    </row>
    <row r="380" spans="1:17" s="701" customFormat="1" ht="15" customHeight="1" x14ac:dyDescent="0.25">
      <c r="A380" s="728">
        <f t="shared" si="10"/>
        <v>88.235294117647058</v>
      </c>
      <c r="B380" s="87" t="s">
        <v>2496</v>
      </c>
      <c r="C380" s="87" t="s">
        <v>1731</v>
      </c>
      <c r="D380" s="87">
        <v>15000</v>
      </c>
      <c r="E380" s="87">
        <v>170</v>
      </c>
      <c r="F380" s="87">
        <v>15000</v>
      </c>
      <c r="G380" s="87">
        <f t="shared" si="9"/>
        <v>0</v>
      </c>
      <c r="H380" s="690"/>
      <c r="I380" s="693"/>
      <c r="J380" s="692"/>
      <c r="K380" s="692"/>
      <c r="L380" s="692"/>
      <c r="M380" s="692"/>
      <c r="N380" s="692"/>
      <c r="O380" s="692"/>
      <c r="P380" s="692"/>
      <c r="Q380" s="692"/>
    </row>
    <row r="381" spans="1:17" s="701" customFormat="1" ht="15" customHeight="1" x14ac:dyDescent="0.25">
      <c r="A381" s="728">
        <f t="shared" si="10"/>
        <v>87.86610878661088</v>
      </c>
      <c r="B381" s="87" t="s">
        <v>2511</v>
      </c>
      <c r="C381" s="87" t="s">
        <v>2512</v>
      </c>
      <c r="D381" s="87">
        <v>21000</v>
      </c>
      <c r="E381" s="87">
        <v>239</v>
      </c>
      <c r="F381" s="87">
        <v>21000</v>
      </c>
      <c r="G381" s="87">
        <f t="shared" si="9"/>
        <v>0</v>
      </c>
      <c r="H381" s="690"/>
      <c r="I381" s="693"/>
      <c r="J381" s="692"/>
      <c r="K381" s="692"/>
      <c r="L381" s="692"/>
      <c r="M381" s="692"/>
      <c r="N381" s="692"/>
      <c r="O381" s="692"/>
      <c r="P381" s="692"/>
      <c r="Q381" s="692"/>
    </row>
    <row r="382" spans="1:17" s="701" customFormat="1" ht="15" customHeight="1" x14ac:dyDescent="0.25">
      <c r="A382" s="728">
        <f t="shared" si="10"/>
        <v>88.495575221238937</v>
      </c>
      <c r="B382" s="87" t="s">
        <v>2511</v>
      </c>
      <c r="C382" s="87" t="s">
        <v>2513</v>
      </c>
      <c r="D382" s="87">
        <v>10000</v>
      </c>
      <c r="E382" s="87">
        <v>113</v>
      </c>
      <c r="F382" s="87">
        <v>10000</v>
      </c>
      <c r="G382" s="87">
        <f t="shared" si="9"/>
        <v>0</v>
      </c>
      <c r="H382" s="690"/>
      <c r="I382" s="693"/>
      <c r="J382" s="692"/>
      <c r="K382" s="692"/>
      <c r="L382" s="692"/>
      <c r="M382" s="692"/>
      <c r="N382" s="692"/>
      <c r="O382" s="692"/>
      <c r="P382" s="692"/>
      <c r="Q382" s="692"/>
    </row>
    <row r="383" spans="1:17" s="701" customFormat="1" ht="15" customHeight="1" x14ac:dyDescent="0.25">
      <c r="A383" s="728">
        <f t="shared" si="10"/>
        <v>87.774294670846402</v>
      </c>
      <c r="B383" s="87" t="s">
        <v>2511</v>
      </c>
      <c r="C383" s="87" t="s">
        <v>1947</v>
      </c>
      <c r="D383" s="87">
        <v>28000</v>
      </c>
      <c r="E383" s="87">
        <v>319</v>
      </c>
      <c r="F383" s="87">
        <v>28000</v>
      </c>
      <c r="G383" s="87">
        <f t="shared" si="9"/>
        <v>0</v>
      </c>
      <c r="H383" s="690"/>
      <c r="I383" s="693"/>
      <c r="J383" s="692"/>
      <c r="K383" s="692"/>
      <c r="L383" s="692"/>
      <c r="M383" s="692"/>
      <c r="N383" s="692"/>
      <c r="O383" s="692"/>
      <c r="P383" s="692"/>
      <c r="Q383" s="692"/>
    </row>
    <row r="384" spans="1:17" s="701" customFormat="1" ht="15" customHeight="1" x14ac:dyDescent="0.25">
      <c r="A384" s="728">
        <f t="shared" si="10"/>
        <v>87.301587301587304</v>
      </c>
      <c r="B384" s="87" t="s">
        <v>2511</v>
      </c>
      <c r="C384" s="87" t="s">
        <v>2514</v>
      </c>
      <c r="D384" s="87">
        <v>22000</v>
      </c>
      <c r="E384" s="87">
        <v>252</v>
      </c>
      <c r="F384" s="87">
        <v>22000</v>
      </c>
      <c r="G384" s="87">
        <f t="shared" si="9"/>
        <v>0</v>
      </c>
      <c r="H384" s="690"/>
      <c r="I384" s="693"/>
      <c r="J384" s="692"/>
      <c r="K384" s="692"/>
      <c r="L384" s="692"/>
      <c r="M384" s="692"/>
      <c r="N384" s="692"/>
      <c r="O384" s="692"/>
      <c r="P384" s="692"/>
      <c r="Q384" s="692"/>
    </row>
    <row r="385" spans="1:17" s="701" customFormat="1" ht="15" customHeight="1" x14ac:dyDescent="0.25">
      <c r="A385" s="728">
        <f t="shared" si="10"/>
        <v>87.912087912087912</v>
      </c>
      <c r="B385" s="87" t="s">
        <v>2511</v>
      </c>
      <c r="C385" s="87" t="s">
        <v>2515</v>
      </c>
      <c r="D385" s="87">
        <v>16000</v>
      </c>
      <c r="E385" s="87">
        <v>182</v>
      </c>
      <c r="F385" s="87">
        <v>16000</v>
      </c>
      <c r="G385" s="87">
        <f t="shared" si="9"/>
        <v>0</v>
      </c>
      <c r="H385" s="690"/>
      <c r="I385" s="693"/>
      <c r="J385" s="692"/>
      <c r="K385" s="692"/>
      <c r="L385" s="692"/>
      <c r="M385" s="692"/>
      <c r="N385" s="692"/>
      <c r="O385" s="692"/>
      <c r="P385" s="692"/>
      <c r="Q385" s="692"/>
    </row>
    <row r="386" spans="1:17" s="701" customFormat="1" ht="15" customHeight="1" x14ac:dyDescent="0.25">
      <c r="A386" s="728">
        <f t="shared" si="10"/>
        <v>87.912087912087912</v>
      </c>
      <c r="B386" s="87" t="s">
        <v>2511</v>
      </c>
      <c r="C386" s="87" t="s">
        <v>2198</v>
      </c>
      <c r="D386" s="87">
        <v>16000</v>
      </c>
      <c r="E386" s="87">
        <v>182</v>
      </c>
      <c r="F386" s="87">
        <v>16000</v>
      </c>
      <c r="G386" s="87">
        <f t="shared" si="9"/>
        <v>0</v>
      </c>
      <c r="H386" s="690"/>
      <c r="I386" s="693"/>
      <c r="J386" s="692"/>
      <c r="K386" s="692"/>
      <c r="L386" s="692"/>
      <c r="M386" s="692"/>
      <c r="N386" s="692"/>
      <c r="O386" s="692"/>
      <c r="P386" s="692"/>
      <c r="Q386" s="692"/>
    </row>
    <row r="387" spans="1:17" s="701" customFormat="1" ht="15" customHeight="1" x14ac:dyDescent="0.25">
      <c r="A387" s="728">
        <f t="shared" si="10"/>
        <v>87.804878048780495</v>
      </c>
      <c r="B387" s="87" t="s">
        <v>2511</v>
      </c>
      <c r="C387" s="87" t="s">
        <v>1723</v>
      </c>
      <c r="D387" s="87">
        <v>18000</v>
      </c>
      <c r="E387" s="87">
        <v>205</v>
      </c>
      <c r="F387" s="87">
        <v>18000</v>
      </c>
      <c r="G387" s="87">
        <f t="shared" si="9"/>
        <v>0</v>
      </c>
      <c r="H387" s="690"/>
      <c r="I387" s="693"/>
      <c r="J387" s="692"/>
      <c r="K387" s="692"/>
      <c r="L387" s="692"/>
      <c r="M387" s="692"/>
      <c r="N387" s="692"/>
      <c r="O387" s="692"/>
      <c r="P387" s="692"/>
      <c r="Q387" s="692"/>
    </row>
    <row r="388" spans="1:17" s="701" customFormat="1" ht="15" customHeight="1" x14ac:dyDescent="0.25">
      <c r="A388" s="728">
        <f t="shared" si="10"/>
        <v>87.804878048780495</v>
      </c>
      <c r="B388" s="87" t="s">
        <v>2511</v>
      </c>
      <c r="C388" s="87" t="s">
        <v>2516</v>
      </c>
      <c r="D388" s="87">
        <v>18000</v>
      </c>
      <c r="E388" s="87">
        <v>205</v>
      </c>
      <c r="F388" s="87">
        <v>18000</v>
      </c>
      <c r="G388" s="87">
        <f t="shared" si="9"/>
        <v>0</v>
      </c>
      <c r="H388" s="690"/>
      <c r="I388" s="693"/>
      <c r="J388" s="692"/>
      <c r="K388" s="692"/>
      <c r="L388" s="692"/>
      <c r="M388" s="692"/>
      <c r="N388" s="692"/>
      <c r="O388" s="692"/>
      <c r="P388" s="692"/>
      <c r="Q388" s="692"/>
    </row>
    <row r="389" spans="1:17" s="701" customFormat="1" ht="15" customHeight="1" x14ac:dyDescent="0.25">
      <c r="A389" s="728">
        <f t="shared" si="10"/>
        <v>89.10891089108911</v>
      </c>
      <c r="B389" s="87" t="s">
        <v>2511</v>
      </c>
      <c r="C389" s="87" t="s">
        <v>2517</v>
      </c>
      <c r="D389" s="87">
        <v>18000</v>
      </c>
      <c r="E389" s="87">
        <v>202</v>
      </c>
      <c r="F389" s="87">
        <v>18000</v>
      </c>
      <c r="G389" s="87">
        <f t="shared" si="9"/>
        <v>0</v>
      </c>
      <c r="H389" s="690"/>
      <c r="I389" s="693"/>
      <c r="J389" s="692"/>
      <c r="K389" s="692"/>
      <c r="L389" s="692"/>
      <c r="M389" s="692"/>
      <c r="N389" s="692"/>
      <c r="O389" s="692"/>
      <c r="P389" s="692"/>
      <c r="Q389" s="692"/>
    </row>
    <row r="390" spans="1:17" s="701" customFormat="1" ht="15" customHeight="1" x14ac:dyDescent="0.25">
      <c r="A390" s="728">
        <f t="shared" si="10"/>
        <v>95.890410958904113</v>
      </c>
      <c r="B390" s="87" t="s">
        <v>2511</v>
      </c>
      <c r="C390" s="87" t="s">
        <v>2035</v>
      </c>
      <c r="D390" s="87">
        <v>21000</v>
      </c>
      <c r="E390" s="87">
        <v>219</v>
      </c>
      <c r="F390" s="87">
        <v>21000</v>
      </c>
      <c r="G390" s="87">
        <f t="shared" si="9"/>
        <v>0</v>
      </c>
      <c r="H390" s="690"/>
      <c r="I390" s="693"/>
      <c r="J390" s="692"/>
      <c r="K390" s="692"/>
      <c r="L390" s="692"/>
      <c r="M390" s="692"/>
      <c r="N390" s="692"/>
      <c r="O390" s="692"/>
      <c r="P390" s="692"/>
      <c r="Q390" s="692"/>
    </row>
    <row r="391" spans="1:17" s="701" customFormat="1" ht="15" customHeight="1" x14ac:dyDescent="0.25">
      <c r="A391" s="728">
        <f t="shared" ref="A391:A454" si="11">D391/E391</f>
        <v>88.515789473684208</v>
      </c>
      <c r="B391" s="87" t="s">
        <v>2511</v>
      </c>
      <c r="C391" s="87" t="s">
        <v>30</v>
      </c>
      <c r="D391" s="87">
        <v>8409</v>
      </c>
      <c r="E391" s="87">
        <v>95</v>
      </c>
      <c r="F391" s="87">
        <v>8409</v>
      </c>
      <c r="G391" s="87">
        <f t="shared" si="9"/>
        <v>0</v>
      </c>
      <c r="H391" s="690"/>
      <c r="I391" s="693"/>
      <c r="J391" s="692"/>
      <c r="K391" s="692"/>
      <c r="L391" s="692"/>
      <c r="M391" s="692"/>
      <c r="N391" s="692"/>
      <c r="O391" s="692"/>
      <c r="P391" s="692"/>
      <c r="Q391" s="692"/>
    </row>
    <row r="392" spans="1:17" s="701" customFormat="1" ht="15" customHeight="1" x14ac:dyDescent="0.25">
      <c r="A392" s="728">
        <f t="shared" si="11"/>
        <v>87.976539589442808</v>
      </c>
      <c r="B392" s="87" t="s">
        <v>2511</v>
      </c>
      <c r="C392" s="87" t="s">
        <v>2518</v>
      </c>
      <c r="D392" s="87">
        <v>30000</v>
      </c>
      <c r="E392" s="87">
        <v>341</v>
      </c>
      <c r="F392" s="87">
        <v>30000</v>
      </c>
      <c r="G392" s="87">
        <f t="shared" si="9"/>
        <v>0</v>
      </c>
      <c r="H392" s="690"/>
      <c r="I392" s="693"/>
      <c r="J392" s="692"/>
      <c r="K392" s="692"/>
      <c r="L392" s="692"/>
      <c r="M392" s="692"/>
      <c r="N392" s="692"/>
      <c r="O392" s="692"/>
      <c r="P392" s="692"/>
      <c r="Q392" s="692"/>
    </row>
    <row r="393" spans="1:17" s="701" customFormat="1" ht="15" customHeight="1" x14ac:dyDescent="0.25">
      <c r="A393" s="728">
        <f t="shared" si="11"/>
        <v>88.082901554404145</v>
      </c>
      <c r="B393" s="87" t="s">
        <v>2511</v>
      </c>
      <c r="C393" s="87" t="s">
        <v>1926</v>
      </c>
      <c r="D393" s="87">
        <v>17000</v>
      </c>
      <c r="E393" s="87">
        <v>193</v>
      </c>
      <c r="F393" s="87">
        <v>17000</v>
      </c>
      <c r="G393" s="87">
        <f t="shared" si="9"/>
        <v>0</v>
      </c>
      <c r="H393" s="690"/>
      <c r="I393" s="693"/>
      <c r="J393" s="692"/>
      <c r="K393" s="692"/>
      <c r="L393" s="692"/>
      <c r="M393" s="692"/>
      <c r="N393" s="692"/>
      <c r="O393" s="692"/>
      <c r="P393" s="692"/>
      <c r="Q393" s="692"/>
    </row>
    <row r="394" spans="1:17" s="701" customFormat="1" ht="15" customHeight="1" x14ac:dyDescent="0.25">
      <c r="A394" s="728">
        <f t="shared" si="11"/>
        <v>88.082901554404145</v>
      </c>
      <c r="B394" s="87" t="s">
        <v>2511</v>
      </c>
      <c r="C394" s="87" t="s">
        <v>1925</v>
      </c>
      <c r="D394" s="87">
        <v>17000</v>
      </c>
      <c r="E394" s="87">
        <v>193</v>
      </c>
      <c r="F394" s="87">
        <v>17000</v>
      </c>
      <c r="G394" s="87">
        <f t="shared" si="9"/>
        <v>0</v>
      </c>
      <c r="H394" s="690"/>
      <c r="I394" s="693"/>
      <c r="J394" s="692"/>
      <c r="K394" s="692"/>
      <c r="L394" s="692"/>
      <c r="M394" s="692"/>
      <c r="N394" s="692"/>
      <c r="O394" s="692"/>
      <c r="P394" s="692"/>
      <c r="Q394" s="692"/>
    </row>
    <row r="395" spans="1:17" s="701" customFormat="1" ht="15" customHeight="1" x14ac:dyDescent="0.25">
      <c r="A395" s="728">
        <f t="shared" si="11"/>
        <v>88.082901554404145</v>
      </c>
      <c r="B395" s="87" t="s">
        <v>2511</v>
      </c>
      <c r="C395" s="87" t="s">
        <v>2044</v>
      </c>
      <c r="D395" s="87">
        <v>17000</v>
      </c>
      <c r="E395" s="87">
        <v>193</v>
      </c>
      <c r="F395" s="87">
        <v>17000</v>
      </c>
      <c r="G395" s="87">
        <f t="shared" si="9"/>
        <v>0</v>
      </c>
      <c r="H395" s="690"/>
      <c r="I395" s="693"/>
      <c r="J395" s="692"/>
      <c r="K395" s="692"/>
      <c r="L395" s="692"/>
      <c r="M395" s="692"/>
      <c r="N395" s="692"/>
      <c r="O395" s="692"/>
      <c r="P395" s="692"/>
      <c r="Q395" s="692"/>
    </row>
    <row r="396" spans="1:17" s="701" customFormat="1" ht="15" customHeight="1" x14ac:dyDescent="0.25">
      <c r="A396" s="728">
        <f t="shared" si="11"/>
        <v>87.912087912087912</v>
      </c>
      <c r="B396" s="87" t="s">
        <v>2511</v>
      </c>
      <c r="C396" s="87" t="s">
        <v>1855</v>
      </c>
      <c r="D396" s="87">
        <v>16000</v>
      </c>
      <c r="E396" s="87">
        <v>182</v>
      </c>
      <c r="F396" s="87">
        <v>16000</v>
      </c>
      <c r="G396" s="87">
        <f t="shared" si="9"/>
        <v>0</v>
      </c>
      <c r="H396" s="690"/>
      <c r="I396" s="693"/>
      <c r="J396" s="692"/>
      <c r="K396" s="692"/>
      <c r="L396" s="692"/>
      <c r="M396" s="692"/>
      <c r="N396" s="692"/>
      <c r="O396" s="692"/>
      <c r="P396" s="692"/>
      <c r="Q396" s="692"/>
    </row>
    <row r="397" spans="1:17" s="701" customFormat="1" ht="15" customHeight="1" x14ac:dyDescent="0.25">
      <c r="A397" s="728">
        <f t="shared" si="11"/>
        <v>87.947882736156359</v>
      </c>
      <c r="B397" s="87" t="s">
        <v>2511</v>
      </c>
      <c r="C397" s="87" t="s">
        <v>2519</v>
      </c>
      <c r="D397" s="87">
        <v>27000</v>
      </c>
      <c r="E397" s="87">
        <v>307</v>
      </c>
      <c r="F397" s="87">
        <v>27000</v>
      </c>
      <c r="G397" s="87">
        <f t="shared" si="9"/>
        <v>0</v>
      </c>
      <c r="H397" s="690"/>
      <c r="I397" s="693"/>
      <c r="J397" s="692"/>
      <c r="K397" s="692"/>
      <c r="L397" s="692"/>
      <c r="M397" s="692"/>
      <c r="N397" s="692"/>
      <c r="O397" s="692"/>
      <c r="P397" s="692"/>
      <c r="Q397" s="692"/>
    </row>
    <row r="398" spans="1:17" s="701" customFormat="1" ht="15" customHeight="1" x14ac:dyDescent="0.25">
      <c r="A398" s="728">
        <f t="shared" si="11"/>
        <v>88.082901554404145</v>
      </c>
      <c r="B398" s="87" t="s">
        <v>2511</v>
      </c>
      <c r="C398" s="87" t="s">
        <v>2520</v>
      </c>
      <c r="D398" s="87">
        <v>17000</v>
      </c>
      <c r="E398" s="87">
        <v>193</v>
      </c>
      <c r="F398" s="87">
        <v>17000</v>
      </c>
      <c r="G398" s="87">
        <f t="shared" si="9"/>
        <v>0</v>
      </c>
      <c r="H398" s="690"/>
      <c r="I398" s="693"/>
      <c r="J398" s="692"/>
      <c r="K398" s="692"/>
      <c r="L398" s="692"/>
      <c r="M398" s="692"/>
      <c r="N398" s="692"/>
      <c r="O398" s="692"/>
      <c r="P398" s="692"/>
      <c r="Q398" s="692"/>
    </row>
    <row r="399" spans="1:17" s="701" customFormat="1" ht="15" customHeight="1" x14ac:dyDescent="0.25">
      <c r="A399" s="728">
        <f t="shared" si="11"/>
        <v>89.136490250696383</v>
      </c>
      <c r="B399" s="87" t="s">
        <v>2511</v>
      </c>
      <c r="C399" s="87" t="s">
        <v>2521</v>
      </c>
      <c r="D399" s="87">
        <v>32000</v>
      </c>
      <c r="E399" s="87">
        <v>359</v>
      </c>
      <c r="F399" s="87">
        <v>32000</v>
      </c>
      <c r="G399" s="87">
        <f t="shared" si="9"/>
        <v>0</v>
      </c>
      <c r="H399" s="690"/>
      <c r="I399" s="693"/>
      <c r="J399" s="692"/>
      <c r="K399" s="692"/>
      <c r="L399" s="692"/>
      <c r="M399" s="692"/>
      <c r="N399" s="692"/>
      <c r="O399" s="692"/>
      <c r="P399" s="692"/>
      <c r="Q399" s="692"/>
    </row>
    <row r="400" spans="1:17" s="701" customFormat="1" ht="15" customHeight="1" x14ac:dyDescent="0.25">
      <c r="A400" s="728">
        <f t="shared" si="11"/>
        <v>88.028169014084511</v>
      </c>
      <c r="B400" s="87" t="s">
        <v>2511</v>
      </c>
      <c r="C400" s="87" t="s">
        <v>2338</v>
      </c>
      <c r="D400" s="87">
        <v>25000</v>
      </c>
      <c r="E400" s="87">
        <v>284</v>
      </c>
      <c r="F400" s="87">
        <v>25000</v>
      </c>
      <c r="G400" s="87">
        <f t="shared" si="9"/>
        <v>0</v>
      </c>
      <c r="H400" s="690"/>
      <c r="I400" s="693"/>
      <c r="J400" s="692"/>
      <c r="K400" s="692"/>
      <c r="L400" s="692"/>
      <c r="M400" s="692"/>
      <c r="N400" s="692"/>
      <c r="O400" s="692"/>
      <c r="P400" s="692"/>
      <c r="Q400" s="692"/>
    </row>
    <row r="401" spans="1:17" s="701" customFormat="1" ht="15" customHeight="1" x14ac:dyDescent="0.25">
      <c r="A401" s="728">
        <f t="shared" si="11"/>
        <v>88.105726872246692</v>
      </c>
      <c r="B401" s="87" t="s">
        <v>2511</v>
      </c>
      <c r="C401" s="87" t="s">
        <v>2485</v>
      </c>
      <c r="D401" s="87">
        <v>20000</v>
      </c>
      <c r="E401" s="87">
        <v>227</v>
      </c>
      <c r="F401" s="87">
        <v>20000</v>
      </c>
      <c r="G401" s="87">
        <f t="shared" si="9"/>
        <v>0</v>
      </c>
      <c r="H401" s="690"/>
      <c r="I401" s="693"/>
      <c r="J401" s="692"/>
      <c r="K401" s="692"/>
      <c r="L401" s="692"/>
      <c r="M401" s="692"/>
      <c r="N401" s="692"/>
      <c r="O401" s="692"/>
      <c r="P401" s="692"/>
      <c r="Q401" s="692"/>
    </row>
    <row r="402" spans="1:17" s="701" customFormat="1" ht="15" customHeight="1" x14ac:dyDescent="0.25">
      <c r="A402" s="728">
        <f t="shared" si="11"/>
        <v>88.105726872246692</v>
      </c>
      <c r="B402" s="87" t="s">
        <v>2511</v>
      </c>
      <c r="C402" s="87" t="s">
        <v>2522</v>
      </c>
      <c r="D402" s="87">
        <v>20000</v>
      </c>
      <c r="E402" s="87">
        <v>227</v>
      </c>
      <c r="F402" s="87">
        <v>20000</v>
      </c>
      <c r="G402" s="87">
        <f t="shared" si="9"/>
        <v>0</v>
      </c>
      <c r="H402" s="690"/>
      <c r="I402" s="693"/>
      <c r="J402" s="692"/>
      <c r="K402" s="692"/>
      <c r="L402" s="692"/>
      <c r="M402" s="692"/>
      <c r="N402" s="692"/>
      <c r="O402" s="692"/>
      <c r="P402" s="692"/>
      <c r="Q402" s="692"/>
    </row>
    <row r="403" spans="1:17" s="701" customFormat="1" ht="15" customHeight="1" x14ac:dyDescent="0.25">
      <c r="A403" s="728">
        <f t="shared" si="11"/>
        <v>88.235294117647058</v>
      </c>
      <c r="B403" s="87" t="s">
        <v>2511</v>
      </c>
      <c r="C403" s="476" t="s">
        <v>2523</v>
      </c>
      <c r="D403" s="87">
        <v>15000</v>
      </c>
      <c r="E403" s="87">
        <v>170</v>
      </c>
      <c r="F403" s="87">
        <v>15000</v>
      </c>
      <c r="G403" s="87">
        <f t="shared" si="9"/>
        <v>0</v>
      </c>
      <c r="H403" s="690"/>
      <c r="I403" s="693"/>
      <c r="J403" s="692"/>
      <c r="K403" s="692"/>
      <c r="L403" s="692"/>
      <c r="M403" s="692"/>
      <c r="N403" s="692"/>
      <c r="O403" s="692"/>
      <c r="P403" s="692"/>
      <c r="Q403" s="692"/>
    </row>
    <row r="404" spans="1:17" s="701" customFormat="1" ht="15" customHeight="1" x14ac:dyDescent="0.25">
      <c r="A404" s="728">
        <f t="shared" si="11"/>
        <v>87.804878048780495</v>
      </c>
      <c r="B404" s="87" t="s">
        <v>2405</v>
      </c>
      <c r="C404" s="87" t="s">
        <v>2406</v>
      </c>
      <c r="D404" s="87">
        <v>18000</v>
      </c>
      <c r="E404" s="87">
        <v>205</v>
      </c>
      <c r="F404" s="87">
        <v>18000</v>
      </c>
      <c r="G404" s="87">
        <f t="shared" si="9"/>
        <v>0</v>
      </c>
      <c r="H404" s="690"/>
      <c r="I404" s="693"/>
      <c r="J404" s="692"/>
      <c r="K404" s="692"/>
      <c r="L404" s="692"/>
      <c r="M404" s="692"/>
      <c r="N404" s="692"/>
      <c r="O404" s="692"/>
      <c r="P404" s="692"/>
      <c r="Q404" s="692"/>
    </row>
    <row r="405" spans="1:17" s="701" customFormat="1" ht="15" customHeight="1" x14ac:dyDescent="0.25">
      <c r="A405" s="728">
        <f t="shared" si="11"/>
        <v>88.235294117647058</v>
      </c>
      <c r="B405" s="87" t="s">
        <v>2407</v>
      </c>
      <c r="C405" s="87">
        <v>6555</v>
      </c>
      <c r="D405" s="87">
        <v>15000</v>
      </c>
      <c r="E405" s="87">
        <v>170</v>
      </c>
      <c r="F405" s="87">
        <v>15000</v>
      </c>
      <c r="G405" s="87">
        <f t="shared" si="9"/>
        <v>0</v>
      </c>
      <c r="H405" s="690"/>
      <c r="I405" s="693"/>
      <c r="J405" s="692"/>
      <c r="K405" s="692"/>
      <c r="L405" s="692"/>
      <c r="M405" s="692"/>
      <c r="N405" s="692"/>
      <c r="O405" s="692"/>
      <c r="P405" s="692"/>
      <c r="Q405" s="692"/>
    </row>
    <row r="406" spans="1:17" s="701" customFormat="1" ht="15" customHeight="1" x14ac:dyDescent="0.25">
      <c r="A406" s="728">
        <f t="shared" si="11"/>
        <v>87.837837837837839</v>
      </c>
      <c r="B406" s="87" t="s">
        <v>2407</v>
      </c>
      <c r="C406" s="87" t="s">
        <v>1731</v>
      </c>
      <c r="D406" s="87">
        <v>26000</v>
      </c>
      <c r="E406" s="87">
        <v>296</v>
      </c>
      <c r="F406" s="87">
        <v>26000</v>
      </c>
      <c r="G406" s="87">
        <f t="shared" si="9"/>
        <v>0</v>
      </c>
      <c r="H406" s="690"/>
      <c r="I406" s="693"/>
      <c r="J406" s="692"/>
      <c r="K406" s="692"/>
      <c r="L406" s="692"/>
      <c r="M406" s="692"/>
      <c r="N406" s="692"/>
      <c r="O406" s="692"/>
      <c r="P406" s="692"/>
      <c r="Q406" s="692"/>
    </row>
    <row r="407" spans="1:17" s="701" customFormat="1" ht="15" customHeight="1" x14ac:dyDescent="0.25">
      <c r="A407" s="728">
        <f t="shared" si="11"/>
        <v>88.028169014084511</v>
      </c>
      <c r="B407" s="87" t="s">
        <v>2407</v>
      </c>
      <c r="C407" s="87" t="s">
        <v>2408</v>
      </c>
      <c r="D407" s="87">
        <v>25000</v>
      </c>
      <c r="E407" s="87">
        <v>284</v>
      </c>
      <c r="F407" s="87">
        <v>25000</v>
      </c>
      <c r="G407" s="87">
        <f t="shared" si="9"/>
        <v>0</v>
      </c>
      <c r="H407" s="690"/>
      <c r="I407" s="693"/>
      <c r="J407" s="692"/>
      <c r="K407" s="692"/>
      <c r="L407" s="692"/>
      <c r="M407" s="692"/>
      <c r="N407" s="692"/>
      <c r="O407" s="692"/>
      <c r="P407" s="692"/>
      <c r="Q407" s="692"/>
    </row>
    <row r="408" spans="1:17" s="701" customFormat="1" ht="15" customHeight="1" x14ac:dyDescent="0.25">
      <c r="A408" s="728">
        <f t="shared" si="11"/>
        <v>88.105726872246692</v>
      </c>
      <c r="B408" s="87" t="s">
        <v>2407</v>
      </c>
      <c r="C408" s="87" t="s">
        <v>2524</v>
      </c>
      <c r="D408" s="87">
        <v>20000</v>
      </c>
      <c r="E408" s="87">
        <v>227</v>
      </c>
      <c r="F408" s="87">
        <v>20000</v>
      </c>
      <c r="G408" s="87">
        <f t="shared" si="9"/>
        <v>0</v>
      </c>
      <c r="H408" s="690"/>
      <c r="I408" s="693"/>
      <c r="J408" s="692"/>
      <c r="K408" s="692"/>
      <c r="L408" s="692"/>
      <c r="M408" s="692"/>
      <c r="N408" s="692"/>
      <c r="O408" s="692"/>
      <c r="P408" s="692"/>
      <c r="Q408" s="692"/>
    </row>
    <row r="409" spans="1:17" s="701" customFormat="1" ht="15" customHeight="1" x14ac:dyDescent="0.25">
      <c r="A409" s="728">
        <f t="shared" si="11"/>
        <v>87.912087912087912</v>
      </c>
      <c r="B409" s="87" t="s">
        <v>2407</v>
      </c>
      <c r="C409" s="87" t="s">
        <v>30</v>
      </c>
      <c r="D409" s="87">
        <v>8000</v>
      </c>
      <c r="E409" s="87">
        <v>91</v>
      </c>
      <c r="F409" s="87">
        <v>8000</v>
      </c>
      <c r="G409" s="87">
        <f t="shared" si="9"/>
        <v>0</v>
      </c>
      <c r="H409" s="690"/>
      <c r="I409" s="693"/>
      <c r="J409" s="692"/>
      <c r="K409" s="692"/>
      <c r="L409" s="692"/>
      <c r="M409" s="692"/>
      <c r="N409" s="692"/>
      <c r="O409" s="692"/>
      <c r="P409" s="692"/>
      <c r="Q409" s="692"/>
    </row>
    <row r="410" spans="1:17" s="701" customFormat="1" ht="15" customHeight="1" x14ac:dyDescent="0.25">
      <c r="A410" s="728">
        <f t="shared" si="11"/>
        <v>88.105726872246692</v>
      </c>
      <c r="B410" s="87" t="s">
        <v>2407</v>
      </c>
      <c r="C410" s="87" t="s">
        <v>2346</v>
      </c>
      <c r="D410" s="87">
        <v>20000</v>
      </c>
      <c r="E410" s="87">
        <v>227</v>
      </c>
      <c r="F410" s="87">
        <v>20000</v>
      </c>
      <c r="G410" s="87">
        <f t="shared" si="9"/>
        <v>0</v>
      </c>
      <c r="H410" s="690"/>
      <c r="I410" s="693"/>
      <c r="J410" s="692"/>
      <c r="K410" s="692"/>
      <c r="L410" s="692"/>
      <c r="M410" s="692"/>
      <c r="N410" s="692"/>
      <c r="O410" s="692"/>
      <c r="P410" s="692"/>
      <c r="Q410" s="692"/>
    </row>
    <row r="411" spans="1:17" s="701" customFormat="1" ht="15" customHeight="1" x14ac:dyDescent="0.25">
      <c r="A411" s="728">
        <f t="shared" si="11"/>
        <v>87.962962962962962</v>
      </c>
      <c r="B411" s="87" t="s">
        <v>2407</v>
      </c>
      <c r="C411" s="87" t="s">
        <v>2525</v>
      </c>
      <c r="D411" s="87">
        <v>19000</v>
      </c>
      <c r="E411" s="87">
        <v>216</v>
      </c>
      <c r="F411" s="87">
        <v>19000</v>
      </c>
      <c r="G411" s="87">
        <f t="shared" si="9"/>
        <v>0</v>
      </c>
      <c r="H411" s="690"/>
      <c r="I411" s="693"/>
      <c r="J411" s="692"/>
      <c r="K411" s="692"/>
      <c r="L411" s="692"/>
      <c r="M411" s="692"/>
      <c r="N411" s="692"/>
      <c r="O411" s="692"/>
      <c r="P411" s="692"/>
      <c r="Q411" s="692"/>
    </row>
    <row r="412" spans="1:17" s="701" customFormat="1" ht="15" customHeight="1" x14ac:dyDescent="0.25">
      <c r="A412" s="728">
        <f t="shared" si="11"/>
        <v>87.818696883852695</v>
      </c>
      <c r="B412" s="87" t="s">
        <v>2407</v>
      </c>
      <c r="C412" s="87" t="s">
        <v>2526</v>
      </c>
      <c r="D412" s="87">
        <v>31000</v>
      </c>
      <c r="E412" s="87">
        <v>353</v>
      </c>
      <c r="F412" s="87">
        <v>31000</v>
      </c>
      <c r="G412" s="87">
        <f t="shared" si="9"/>
        <v>0</v>
      </c>
      <c r="H412" s="690"/>
      <c r="I412" s="693"/>
      <c r="J412" s="692"/>
      <c r="K412" s="692"/>
      <c r="L412" s="692"/>
      <c r="M412" s="692"/>
      <c r="N412" s="692"/>
      <c r="O412" s="692"/>
      <c r="P412" s="692"/>
      <c r="Q412" s="692"/>
    </row>
    <row r="413" spans="1:17" s="701" customFormat="1" ht="15" customHeight="1" x14ac:dyDescent="0.25">
      <c r="A413" s="728">
        <f t="shared" si="11"/>
        <v>88.028169014084511</v>
      </c>
      <c r="B413" s="87" t="s">
        <v>2407</v>
      </c>
      <c r="C413" s="87" t="s">
        <v>2527</v>
      </c>
      <c r="D413" s="87">
        <v>25000</v>
      </c>
      <c r="E413" s="87">
        <v>284</v>
      </c>
      <c r="F413" s="87">
        <v>25000</v>
      </c>
      <c r="G413" s="87">
        <f t="shared" si="9"/>
        <v>0</v>
      </c>
      <c r="H413" s="690"/>
      <c r="I413" s="693"/>
      <c r="J413" s="692"/>
      <c r="K413" s="692"/>
      <c r="L413" s="692"/>
      <c r="M413" s="692"/>
      <c r="N413" s="692"/>
      <c r="O413" s="692"/>
      <c r="P413" s="692"/>
      <c r="Q413" s="692"/>
    </row>
    <row r="414" spans="1:17" s="701" customFormat="1" ht="15" customHeight="1" x14ac:dyDescent="0.25">
      <c r="A414" s="728">
        <f t="shared" si="11"/>
        <v>87.86610878661088</v>
      </c>
      <c r="B414" s="87" t="s">
        <v>2407</v>
      </c>
      <c r="C414" s="87" t="s">
        <v>2134</v>
      </c>
      <c r="D414" s="87">
        <v>21000</v>
      </c>
      <c r="E414" s="87">
        <v>239</v>
      </c>
      <c r="F414" s="87">
        <v>21000</v>
      </c>
      <c r="G414" s="87">
        <f t="shared" si="9"/>
        <v>0</v>
      </c>
      <c r="H414" s="690"/>
      <c r="I414" s="693"/>
      <c r="J414" s="692"/>
      <c r="K414" s="692"/>
      <c r="L414" s="692"/>
      <c r="M414" s="692"/>
      <c r="N414" s="692"/>
      <c r="O414" s="692"/>
      <c r="P414" s="692"/>
      <c r="Q414" s="692"/>
    </row>
    <row r="415" spans="1:17" s="701" customFormat="1" ht="15" customHeight="1" x14ac:dyDescent="0.25">
      <c r="A415" s="728">
        <f t="shared" si="11"/>
        <v>88.105726872246692</v>
      </c>
      <c r="B415" s="87" t="s">
        <v>2407</v>
      </c>
      <c r="C415" s="87" t="s">
        <v>2528</v>
      </c>
      <c r="D415" s="87">
        <v>20000</v>
      </c>
      <c r="E415" s="87">
        <v>227</v>
      </c>
      <c r="F415" s="87">
        <v>20000</v>
      </c>
      <c r="G415" s="87">
        <f t="shared" si="9"/>
        <v>0</v>
      </c>
      <c r="H415" s="690"/>
      <c r="I415" s="693"/>
      <c r="J415" s="692"/>
      <c r="K415" s="692"/>
      <c r="L415" s="692"/>
      <c r="M415" s="692"/>
      <c r="N415" s="692"/>
      <c r="O415" s="692"/>
      <c r="P415" s="692"/>
      <c r="Q415" s="692"/>
    </row>
    <row r="416" spans="1:17" s="701" customFormat="1" ht="15" customHeight="1" x14ac:dyDescent="0.25">
      <c r="A416" s="728">
        <f t="shared" si="11"/>
        <v>88.028169014084511</v>
      </c>
      <c r="B416" s="87" t="s">
        <v>2407</v>
      </c>
      <c r="C416" s="87" t="s">
        <v>2529</v>
      </c>
      <c r="D416" s="87">
        <v>25000</v>
      </c>
      <c r="E416" s="87">
        <v>284</v>
      </c>
      <c r="F416" s="87">
        <v>25000</v>
      </c>
      <c r="G416" s="87">
        <f t="shared" si="9"/>
        <v>0</v>
      </c>
      <c r="H416" s="690"/>
      <c r="I416" s="693"/>
      <c r="J416" s="692"/>
      <c r="K416" s="692"/>
      <c r="L416" s="692"/>
      <c r="M416" s="692"/>
      <c r="N416" s="692"/>
      <c r="O416" s="692"/>
      <c r="P416" s="692"/>
      <c r="Q416" s="692"/>
    </row>
    <row r="417" spans="1:17" s="701" customFormat="1" ht="15" customHeight="1" x14ac:dyDescent="0.25">
      <c r="A417" s="728">
        <f t="shared" si="11"/>
        <v>87.912087912087912</v>
      </c>
      <c r="B417" s="87" t="s">
        <v>2530</v>
      </c>
      <c r="C417" s="87" t="s">
        <v>2531</v>
      </c>
      <c r="D417" s="87">
        <v>16000</v>
      </c>
      <c r="E417" s="87">
        <v>182</v>
      </c>
      <c r="F417" s="87">
        <v>16000</v>
      </c>
      <c r="G417" s="87">
        <f t="shared" si="9"/>
        <v>0</v>
      </c>
      <c r="H417" s="690"/>
      <c r="I417" s="693"/>
      <c r="J417" s="692"/>
      <c r="K417" s="692"/>
      <c r="L417" s="692"/>
      <c r="M417" s="692"/>
      <c r="N417" s="692"/>
      <c r="O417" s="692"/>
      <c r="P417" s="692"/>
      <c r="Q417" s="692"/>
    </row>
    <row r="418" spans="1:17" s="701" customFormat="1" ht="15" customHeight="1" x14ac:dyDescent="0.25">
      <c r="A418" s="728">
        <f t="shared" si="11"/>
        <v>88.235294117647058</v>
      </c>
      <c r="B418" s="87" t="s">
        <v>2530</v>
      </c>
      <c r="C418" s="87" t="s">
        <v>2532</v>
      </c>
      <c r="D418" s="87">
        <v>15000</v>
      </c>
      <c r="E418" s="87">
        <v>170</v>
      </c>
      <c r="F418" s="87">
        <v>15000</v>
      </c>
      <c r="G418" s="87">
        <f t="shared" si="9"/>
        <v>0</v>
      </c>
      <c r="H418" s="690"/>
      <c r="I418" s="693"/>
      <c r="J418" s="692"/>
      <c r="K418" s="692"/>
      <c r="L418" s="692"/>
      <c r="M418" s="692"/>
      <c r="N418" s="692"/>
      <c r="O418" s="692"/>
      <c r="P418" s="692"/>
      <c r="Q418" s="692"/>
    </row>
    <row r="419" spans="1:17" s="701" customFormat="1" ht="15" customHeight="1" x14ac:dyDescent="0.25">
      <c r="A419" s="728">
        <f t="shared" si="11"/>
        <v>88.235294117647058</v>
      </c>
      <c r="B419" s="87" t="s">
        <v>2530</v>
      </c>
      <c r="C419" s="87" t="s">
        <v>2081</v>
      </c>
      <c r="D419" s="87">
        <v>15000</v>
      </c>
      <c r="E419" s="87">
        <v>170</v>
      </c>
      <c r="F419" s="87">
        <v>15000</v>
      </c>
      <c r="G419" s="87">
        <f t="shared" si="9"/>
        <v>0</v>
      </c>
      <c r="H419" s="690"/>
      <c r="I419" s="693"/>
      <c r="J419" s="692"/>
      <c r="K419" s="692"/>
      <c r="L419" s="692"/>
      <c r="M419" s="692"/>
      <c r="N419" s="692"/>
      <c r="O419" s="692"/>
      <c r="P419" s="692"/>
      <c r="Q419" s="692"/>
    </row>
    <row r="420" spans="1:17" s="701" customFormat="1" ht="15" customHeight="1" x14ac:dyDescent="0.25">
      <c r="A420" s="728">
        <f t="shared" si="11"/>
        <v>88.105726872246692</v>
      </c>
      <c r="B420" s="87" t="s">
        <v>2530</v>
      </c>
      <c r="C420" s="87" t="s">
        <v>2533</v>
      </c>
      <c r="D420" s="87">
        <v>20000</v>
      </c>
      <c r="E420" s="87">
        <v>227</v>
      </c>
      <c r="F420" s="87">
        <v>20000</v>
      </c>
      <c r="G420" s="87">
        <f t="shared" si="9"/>
        <v>0</v>
      </c>
      <c r="H420" s="690"/>
      <c r="I420" s="693"/>
      <c r="J420" s="692"/>
      <c r="K420" s="692"/>
      <c r="L420" s="692"/>
      <c r="M420" s="692"/>
      <c r="N420" s="692"/>
      <c r="O420" s="692"/>
      <c r="P420" s="692"/>
      <c r="Q420" s="692"/>
    </row>
    <row r="421" spans="1:17" s="701" customFormat="1" ht="15" customHeight="1" x14ac:dyDescent="0.25">
      <c r="A421" s="728">
        <f t="shared" si="11"/>
        <v>87.912087912087912</v>
      </c>
      <c r="B421" s="87" t="s">
        <v>2530</v>
      </c>
      <c r="C421" s="87" t="s">
        <v>2534</v>
      </c>
      <c r="D421" s="87">
        <v>16000</v>
      </c>
      <c r="E421" s="87">
        <v>182</v>
      </c>
      <c r="F421" s="87">
        <v>16000</v>
      </c>
      <c r="G421" s="87">
        <f t="shared" si="9"/>
        <v>0</v>
      </c>
      <c r="H421" s="690"/>
      <c r="I421" s="693"/>
      <c r="J421" s="692"/>
      <c r="K421" s="692"/>
      <c r="L421" s="692"/>
      <c r="M421" s="692"/>
      <c r="N421" s="692"/>
      <c r="O421" s="692"/>
      <c r="P421" s="692"/>
      <c r="Q421" s="692"/>
    </row>
    <row r="422" spans="1:17" s="701" customFormat="1" ht="15" customHeight="1" x14ac:dyDescent="0.25">
      <c r="A422" s="728">
        <f t="shared" si="11"/>
        <v>87.976539589442808</v>
      </c>
      <c r="B422" s="87" t="s">
        <v>2530</v>
      </c>
      <c r="C422" s="87" t="s">
        <v>2535</v>
      </c>
      <c r="D422" s="87">
        <v>30000</v>
      </c>
      <c r="E422" s="87">
        <v>341</v>
      </c>
      <c r="F422" s="87">
        <v>30000</v>
      </c>
      <c r="G422" s="87">
        <f t="shared" si="9"/>
        <v>0</v>
      </c>
      <c r="H422" s="690"/>
      <c r="I422" s="693"/>
      <c r="J422" s="692"/>
      <c r="K422" s="692"/>
      <c r="L422" s="692"/>
      <c r="M422" s="692"/>
      <c r="N422" s="692"/>
      <c r="O422" s="692"/>
      <c r="P422" s="692"/>
      <c r="Q422" s="692"/>
    </row>
    <row r="423" spans="1:17" s="701" customFormat="1" ht="15" customHeight="1" x14ac:dyDescent="0.25">
      <c r="A423" s="728">
        <f t="shared" si="11"/>
        <v>103.77358490566037</v>
      </c>
      <c r="B423" s="87" t="s">
        <v>2530</v>
      </c>
      <c r="C423" s="87" t="s">
        <v>66</v>
      </c>
      <c r="D423" s="87">
        <v>110</v>
      </c>
      <c r="E423" s="702">
        <v>1.06</v>
      </c>
      <c r="F423" s="87">
        <v>110</v>
      </c>
      <c r="G423" s="87">
        <f t="shared" si="9"/>
        <v>0</v>
      </c>
      <c r="H423" s="690"/>
      <c r="I423" s="693"/>
      <c r="J423" s="692"/>
      <c r="K423" s="692"/>
      <c r="L423" s="692"/>
      <c r="M423" s="692"/>
      <c r="N423" s="692"/>
      <c r="O423" s="692"/>
      <c r="P423" s="692"/>
      <c r="Q423" s="692"/>
    </row>
    <row r="424" spans="1:17" s="701" customFormat="1" ht="15" customHeight="1" x14ac:dyDescent="0.25">
      <c r="A424" s="728">
        <f t="shared" si="11"/>
        <v>100.96153846153845</v>
      </c>
      <c r="B424" s="87" t="s">
        <v>2530</v>
      </c>
      <c r="C424" s="87" t="s">
        <v>66</v>
      </c>
      <c r="D424" s="87">
        <v>210</v>
      </c>
      <c r="E424" s="87">
        <v>2.08</v>
      </c>
      <c r="F424" s="87">
        <v>210</v>
      </c>
      <c r="G424" s="87">
        <f t="shared" si="9"/>
        <v>0</v>
      </c>
      <c r="H424" s="690"/>
      <c r="I424" s="693"/>
      <c r="J424" s="692"/>
      <c r="K424" s="692"/>
      <c r="L424" s="692"/>
      <c r="M424" s="692"/>
      <c r="N424" s="692"/>
      <c r="O424" s="692"/>
      <c r="P424" s="692"/>
      <c r="Q424" s="692"/>
    </row>
    <row r="425" spans="1:17" s="701" customFormat="1" ht="15" customHeight="1" x14ac:dyDescent="0.25">
      <c r="A425" s="728">
        <f t="shared" si="11"/>
        <v>87.912087912087912</v>
      </c>
      <c r="B425" s="87" t="s">
        <v>2530</v>
      </c>
      <c r="C425" s="87" t="s">
        <v>2080</v>
      </c>
      <c r="D425" s="87">
        <v>8000</v>
      </c>
      <c r="E425" s="87">
        <v>91</v>
      </c>
      <c r="F425" s="87">
        <v>8000</v>
      </c>
      <c r="G425" s="87">
        <f t="shared" si="9"/>
        <v>0</v>
      </c>
      <c r="H425" s="690"/>
      <c r="I425" s="693"/>
      <c r="J425" s="692"/>
      <c r="K425" s="692"/>
      <c r="L425" s="692"/>
      <c r="M425" s="692"/>
      <c r="N425" s="692"/>
      <c r="O425" s="692"/>
      <c r="P425" s="692"/>
      <c r="Q425" s="692"/>
    </row>
    <row r="426" spans="1:17" s="701" customFormat="1" ht="15" customHeight="1" x14ac:dyDescent="0.25">
      <c r="A426" s="728">
        <f t="shared" si="11"/>
        <v>93.45794392523365</v>
      </c>
      <c r="B426" s="87" t="s">
        <v>2530</v>
      </c>
      <c r="C426" s="87" t="s">
        <v>2078</v>
      </c>
      <c r="D426" s="87">
        <v>20000</v>
      </c>
      <c r="E426" s="87">
        <v>214</v>
      </c>
      <c r="F426" s="87">
        <v>20000</v>
      </c>
      <c r="G426" s="87">
        <f t="shared" si="9"/>
        <v>0</v>
      </c>
      <c r="H426" s="690"/>
      <c r="I426" s="693"/>
      <c r="J426" s="692"/>
      <c r="K426" s="692"/>
      <c r="L426" s="692"/>
      <c r="M426" s="692"/>
      <c r="N426" s="692"/>
      <c r="O426" s="692"/>
      <c r="P426" s="692"/>
      <c r="Q426" s="692"/>
    </row>
    <row r="427" spans="1:17" s="701" customFormat="1" ht="15" customHeight="1" x14ac:dyDescent="0.25">
      <c r="A427" s="728">
        <f t="shared" si="11"/>
        <v>93.425605536332185</v>
      </c>
      <c r="B427" s="87" t="s">
        <v>2530</v>
      </c>
      <c r="C427" s="87" t="s">
        <v>1813</v>
      </c>
      <c r="D427" s="87">
        <v>27000</v>
      </c>
      <c r="E427" s="87">
        <v>289</v>
      </c>
      <c r="F427" s="87">
        <v>27000</v>
      </c>
      <c r="G427" s="87">
        <f t="shared" si="9"/>
        <v>0</v>
      </c>
      <c r="H427" s="690"/>
      <c r="I427" s="693"/>
      <c r="J427" s="692"/>
      <c r="K427" s="692"/>
      <c r="L427" s="692"/>
      <c r="M427" s="692"/>
      <c r="N427" s="692"/>
      <c r="O427" s="692"/>
      <c r="P427" s="692"/>
      <c r="Q427" s="692"/>
    </row>
    <row r="428" spans="1:17" s="701" customFormat="1" ht="15" customHeight="1" x14ac:dyDescent="0.25">
      <c r="A428" s="728">
        <f t="shared" si="11"/>
        <v>95.435684647302907</v>
      </c>
      <c r="B428" s="87" t="s">
        <v>2530</v>
      </c>
      <c r="C428" s="87" t="s">
        <v>2397</v>
      </c>
      <c r="D428" s="87">
        <v>23000</v>
      </c>
      <c r="E428" s="87">
        <v>241</v>
      </c>
      <c r="F428" s="87">
        <v>23000</v>
      </c>
      <c r="G428" s="87">
        <f t="shared" si="9"/>
        <v>0</v>
      </c>
      <c r="H428" s="690"/>
      <c r="I428" s="693"/>
      <c r="J428" s="692"/>
      <c r="K428" s="692"/>
      <c r="L428" s="692"/>
      <c r="M428" s="692"/>
      <c r="N428" s="692"/>
      <c r="O428" s="692"/>
      <c r="P428" s="692"/>
      <c r="Q428" s="692"/>
    </row>
    <row r="429" spans="1:17" s="701" customFormat="1" ht="15" customHeight="1" x14ac:dyDescent="0.25">
      <c r="A429" s="728">
        <f t="shared" si="11"/>
        <v>87.976539589442808</v>
      </c>
      <c r="B429" s="87" t="s">
        <v>2530</v>
      </c>
      <c r="C429" s="87" t="s">
        <v>2370</v>
      </c>
      <c r="D429" s="87">
        <v>30000</v>
      </c>
      <c r="E429" s="87">
        <v>341</v>
      </c>
      <c r="F429" s="87">
        <v>30000</v>
      </c>
      <c r="G429" s="87">
        <f t="shared" si="9"/>
        <v>0</v>
      </c>
      <c r="H429" s="690"/>
      <c r="I429" s="693"/>
      <c r="J429" s="692"/>
      <c r="K429" s="692"/>
      <c r="L429" s="692"/>
      <c r="M429" s="692"/>
      <c r="N429" s="692"/>
      <c r="O429" s="692"/>
      <c r="P429" s="692"/>
      <c r="Q429" s="692"/>
    </row>
    <row r="430" spans="1:17" s="701" customFormat="1" ht="15" customHeight="1" x14ac:dyDescent="0.25">
      <c r="A430" s="728">
        <f t="shared" si="11"/>
        <v>87.837837837837839</v>
      </c>
      <c r="B430" s="87" t="s">
        <v>2530</v>
      </c>
      <c r="C430" s="87" t="s">
        <v>2136</v>
      </c>
      <c r="D430" s="87">
        <v>26000</v>
      </c>
      <c r="E430" s="87">
        <v>296</v>
      </c>
      <c r="F430" s="87">
        <v>26000</v>
      </c>
      <c r="G430" s="87">
        <f t="shared" si="9"/>
        <v>0</v>
      </c>
      <c r="H430" s="690"/>
      <c r="I430" s="693"/>
      <c r="J430" s="692"/>
      <c r="K430" s="692"/>
      <c r="L430" s="692"/>
      <c r="M430" s="692"/>
      <c r="N430" s="692"/>
      <c r="O430" s="692"/>
      <c r="P430" s="692"/>
      <c r="Q430" s="692"/>
    </row>
    <row r="431" spans="1:17" s="701" customFormat="1" ht="15" customHeight="1" x14ac:dyDescent="0.25">
      <c r="A431" s="728">
        <f t="shared" si="11"/>
        <v>87.774294670846402</v>
      </c>
      <c r="B431" s="87" t="s">
        <v>2530</v>
      </c>
      <c r="C431" s="87" t="s">
        <v>2536</v>
      </c>
      <c r="D431" s="87">
        <v>28000</v>
      </c>
      <c r="E431" s="87">
        <v>319</v>
      </c>
      <c r="F431" s="87">
        <v>28000</v>
      </c>
      <c r="G431" s="87">
        <f t="shared" si="9"/>
        <v>0</v>
      </c>
      <c r="H431" s="690"/>
      <c r="I431" s="693"/>
      <c r="J431" s="692"/>
      <c r="K431" s="692"/>
      <c r="L431" s="692"/>
      <c r="M431" s="692"/>
      <c r="N431" s="692"/>
      <c r="O431" s="692"/>
      <c r="P431" s="692"/>
      <c r="Q431" s="692"/>
    </row>
    <row r="432" spans="1:17" s="701" customFormat="1" ht="15" customHeight="1" x14ac:dyDescent="0.25">
      <c r="A432" s="728">
        <f t="shared" si="11"/>
        <v>91.575091575091577</v>
      </c>
      <c r="B432" s="87" t="s">
        <v>2530</v>
      </c>
      <c r="C432" s="87" t="s">
        <v>2537</v>
      </c>
      <c r="D432" s="87">
        <v>25000</v>
      </c>
      <c r="E432" s="87">
        <v>273</v>
      </c>
      <c r="F432" s="87">
        <v>25000</v>
      </c>
      <c r="G432" s="87">
        <f t="shared" si="9"/>
        <v>0</v>
      </c>
      <c r="H432" s="690"/>
      <c r="I432" s="693"/>
      <c r="J432" s="692"/>
      <c r="K432" s="692"/>
      <c r="L432" s="692"/>
      <c r="M432" s="692"/>
      <c r="N432" s="692"/>
      <c r="O432" s="692"/>
      <c r="P432" s="692"/>
      <c r="Q432" s="692"/>
    </row>
    <row r="433" spans="1:17" s="701" customFormat="1" ht="15" customHeight="1" x14ac:dyDescent="0.25">
      <c r="A433" s="728">
        <f t="shared" si="11"/>
        <v>96.23430962343096</v>
      </c>
      <c r="B433" s="87" t="s">
        <v>2530</v>
      </c>
      <c r="C433" s="87" t="s">
        <v>2538</v>
      </c>
      <c r="D433" s="87">
        <v>23000</v>
      </c>
      <c r="E433" s="87">
        <v>239</v>
      </c>
      <c r="F433" s="87">
        <v>23000</v>
      </c>
      <c r="G433" s="87">
        <f t="shared" si="9"/>
        <v>0</v>
      </c>
      <c r="H433" s="690"/>
      <c r="I433" s="693"/>
      <c r="J433" s="692"/>
      <c r="K433" s="692"/>
      <c r="L433" s="692"/>
      <c r="M433" s="692"/>
      <c r="N433" s="692"/>
      <c r="O433" s="692"/>
      <c r="P433" s="692"/>
      <c r="Q433" s="692"/>
    </row>
    <row r="434" spans="1:17" s="701" customFormat="1" ht="15" customHeight="1" x14ac:dyDescent="0.25">
      <c r="A434" s="728">
        <f t="shared" si="11"/>
        <v>88.028169014084511</v>
      </c>
      <c r="B434" s="87" t="s">
        <v>2530</v>
      </c>
      <c r="C434" s="87" t="s">
        <v>2539</v>
      </c>
      <c r="D434" s="87">
        <v>25000</v>
      </c>
      <c r="E434" s="87">
        <v>284</v>
      </c>
      <c r="F434" s="87">
        <v>25000</v>
      </c>
      <c r="G434" s="87">
        <f t="shared" si="9"/>
        <v>0</v>
      </c>
      <c r="H434" s="690"/>
      <c r="I434" s="693"/>
      <c r="J434" s="692"/>
      <c r="K434" s="692"/>
      <c r="L434" s="692"/>
      <c r="M434" s="692"/>
      <c r="N434" s="692"/>
      <c r="O434" s="692"/>
      <c r="P434" s="692"/>
      <c r="Q434" s="692"/>
    </row>
    <row r="435" spans="1:17" s="701" customFormat="1" ht="15" customHeight="1" x14ac:dyDescent="0.25">
      <c r="A435" s="728">
        <f t="shared" si="11"/>
        <v>88.105726872246692</v>
      </c>
      <c r="B435" s="87" t="s">
        <v>2530</v>
      </c>
      <c r="C435" s="87" t="s">
        <v>2404</v>
      </c>
      <c r="D435" s="87">
        <v>20000</v>
      </c>
      <c r="E435" s="87">
        <v>227</v>
      </c>
      <c r="F435" s="87">
        <v>20000</v>
      </c>
      <c r="G435" s="87">
        <f t="shared" si="9"/>
        <v>0</v>
      </c>
      <c r="H435" s="690"/>
      <c r="I435" s="693"/>
      <c r="J435" s="692"/>
      <c r="K435" s="692"/>
      <c r="L435" s="692"/>
      <c r="M435" s="692"/>
      <c r="N435" s="692"/>
      <c r="O435" s="692"/>
      <c r="P435" s="692"/>
      <c r="Q435" s="692"/>
    </row>
    <row r="436" spans="1:17" s="701" customFormat="1" ht="15" customHeight="1" x14ac:dyDescent="0.25">
      <c r="A436" s="728">
        <f t="shared" si="11"/>
        <v>106.48148148148148</v>
      </c>
      <c r="B436" s="87" t="s">
        <v>2435</v>
      </c>
      <c r="C436" s="87" t="s">
        <v>2540</v>
      </c>
      <c r="D436" s="87">
        <v>23000</v>
      </c>
      <c r="E436" s="87">
        <v>216</v>
      </c>
      <c r="F436" s="87">
        <v>23000</v>
      </c>
      <c r="G436" s="87">
        <f t="shared" si="9"/>
        <v>0</v>
      </c>
      <c r="H436" s="690"/>
      <c r="I436" s="693"/>
      <c r="J436" s="692"/>
      <c r="K436" s="692"/>
      <c r="L436" s="692"/>
      <c r="M436" s="692"/>
      <c r="N436" s="692"/>
      <c r="O436" s="692"/>
      <c r="P436" s="692"/>
      <c r="Q436" s="692"/>
    </row>
    <row r="437" spans="1:17" s="701" customFormat="1" ht="15" customHeight="1" x14ac:dyDescent="0.25">
      <c r="A437" s="728">
        <f t="shared" si="11"/>
        <v>87.962962962962962</v>
      </c>
      <c r="B437" s="87" t="s">
        <v>2435</v>
      </c>
      <c r="C437" s="87" t="s">
        <v>2541</v>
      </c>
      <c r="D437" s="87">
        <v>19000</v>
      </c>
      <c r="E437" s="87">
        <v>216</v>
      </c>
      <c r="F437" s="87">
        <v>19000</v>
      </c>
      <c r="G437" s="87">
        <f t="shared" si="9"/>
        <v>0</v>
      </c>
      <c r="H437" s="690"/>
      <c r="I437" s="693"/>
      <c r="J437" s="692"/>
      <c r="K437" s="692"/>
      <c r="L437" s="692"/>
      <c r="M437" s="692"/>
      <c r="N437" s="692"/>
      <c r="O437" s="692"/>
      <c r="P437" s="692"/>
      <c r="Q437" s="692"/>
    </row>
    <row r="438" spans="1:17" s="701" customFormat="1" ht="15" customHeight="1" x14ac:dyDescent="0.25">
      <c r="A438" s="728">
        <f t="shared" si="11"/>
        <v>88.235294117647058</v>
      </c>
      <c r="B438" s="87" t="s">
        <v>2435</v>
      </c>
      <c r="C438" s="87" t="s">
        <v>17</v>
      </c>
      <c r="D438" s="87">
        <v>3000</v>
      </c>
      <c r="E438" s="87">
        <v>34</v>
      </c>
      <c r="F438" s="87">
        <v>3000</v>
      </c>
      <c r="G438" s="87">
        <f t="shared" si="9"/>
        <v>0</v>
      </c>
      <c r="H438" s="690"/>
      <c r="I438" s="693"/>
      <c r="J438" s="692"/>
      <c r="K438" s="692"/>
      <c r="L438" s="692"/>
      <c r="M438" s="692"/>
      <c r="N438" s="692"/>
      <c r="O438" s="692"/>
      <c r="P438" s="692"/>
      <c r="Q438" s="692"/>
    </row>
    <row r="439" spans="1:17" s="701" customFormat="1" ht="15" customHeight="1" x14ac:dyDescent="0.25">
      <c r="A439" s="728">
        <f t="shared" si="11"/>
        <v>87.912087912087912</v>
      </c>
      <c r="B439" s="87" t="s">
        <v>2435</v>
      </c>
      <c r="C439" s="87" t="s">
        <v>2542</v>
      </c>
      <c r="D439" s="87">
        <v>16000</v>
      </c>
      <c r="E439" s="87">
        <v>182</v>
      </c>
      <c r="F439" s="87">
        <v>16000</v>
      </c>
      <c r="G439" s="87">
        <f t="shared" si="9"/>
        <v>0</v>
      </c>
      <c r="H439" s="690"/>
      <c r="I439" s="693"/>
      <c r="J439" s="692"/>
      <c r="K439" s="692"/>
      <c r="L439" s="692"/>
      <c r="M439" s="692"/>
      <c r="N439" s="692"/>
      <c r="O439" s="692"/>
      <c r="P439" s="692"/>
      <c r="Q439" s="692"/>
    </row>
    <row r="440" spans="1:17" s="701" customFormat="1" ht="15" customHeight="1" x14ac:dyDescent="0.25">
      <c r="A440" s="728">
        <f t="shared" si="11"/>
        <v>88</v>
      </c>
      <c r="B440" s="87" t="s">
        <v>2435</v>
      </c>
      <c r="C440" s="476" t="s">
        <v>2543</v>
      </c>
      <c r="D440" s="87">
        <v>22000</v>
      </c>
      <c r="E440" s="87">
        <v>250</v>
      </c>
      <c r="F440" s="87">
        <v>22000</v>
      </c>
      <c r="G440" s="87">
        <f t="shared" si="9"/>
        <v>0</v>
      </c>
      <c r="H440" s="690"/>
      <c r="I440" s="693"/>
      <c r="J440" s="692"/>
      <c r="K440" s="692"/>
      <c r="L440" s="692"/>
      <c r="M440" s="692"/>
      <c r="N440" s="692"/>
      <c r="O440" s="692"/>
      <c r="P440" s="692"/>
      <c r="Q440" s="692"/>
    </row>
    <row r="441" spans="1:17" s="701" customFormat="1" ht="15" customHeight="1" x14ac:dyDescent="0.25">
      <c r="A441" s="728">
        <f t="shared" si="11"/>
        <v>88.082901554404145</v>
      </c>
      <c r="B441" s="87" t="s">
        <v>2435</v>
      </c>
      <c r="C441" s="87" t="s">
        <v>2113</v>
      </c>
      <c r="D441" s="87">
        <v>17000</v>
      </c>
      <c r="E441" s="87">
        <v>193</v>
      </c>
      <c r="F441" s="87">
        <v>17000</v>
      </c>
      <c r="G441" s="87">
        <f t="shared" si="9"/>
        <v>0</v>
      </c>
      <c r="H441" s="690"/>
      <c r="I441" s="693"/>
      <c r="J441" s="692"/>
      <c r="K441" s="692"/>
      <c r="L441" s="692"/>
      <c r="M441" s="692"/>
      <c r="N441" s="692"/>
      <c r="O441" s="692"/>
      <c r="P441" s="692"/>
      <c r="Q441" s="692"/>
    </row>
    <row r="442" spans="1:17" s="701" customFormat="1" ht="15" customHeight="1" x14ac:dyDescent="0.25">
      <c r="A442" s="728">
        <f t="shared" si="11"/>
        <v>87.912087912087912</v>
      </c>
      <c r="B442" s="87" t="s">
        <v>2435</v>
      </c>
      <c r="C442" s="87" t="s">
        <v>2544</v>
      </c>
      <c r="D442" s="87">
        <v>16000</v>
      </c>
      <c r="E442" s="87">
        <v>182</v>
      </c>
      <c r="F442" s="87">
        <v>16000</v>
      </c>
      <c r="G442" s="87">
        <f t="shared" si="9"/>
        <v>0</v>
      </c>
      <c r="H442" s="690"/>
      <c r="I442" s="693"/>
      <c r="J442" s="692"/>
      <c r="K442" s="692"/>
      <c r="L442" s="692"/>
      <c r="M442" s="692"/>
      <c r="N442" s="692"/>
      <c r="O442" s="692"/>
      <c r="P442" s="692"/>
      <c r="Q442" s="692"/>
    </row>
    <row r="443" spans="1:17" s="701" customFormat="1" ht="15" customHeight="1" x14ac:dyDescent="0.25">
      <c r="A443" s="728">
        <f t="shared" si="11"/>
        <v>88.082901554404145</v>
      </c>
      <c r="B443" s="87" t="s">
        <v>2435</v>
      </c>
      <c r="C443" s="87" t="s">
        <v>2190</v>
      </c>
      <c r="D443" s="87">
        <v>17000</v>
      </c>
      <c r="E443" s="476">
        <v>193</v>
      </c>
      <c r="F443" s="87">
        <v>17000</v>
      </c>
      <c r="G443" s="87">
        <f t="shared" si="9"/>
        <v>0</v>
      </c>
      <c r="H443" s="690"/>
      <c r="I443" s="693"/>
      <c r="J443" s="692"/>
      <c r="K443" s="692"/>
      <c r="L443" s="692"/>
      <c r="M443" s="692"/>
      <c r="N443" s="692"/>
      <c r="O443" s="692"/>
      <c r="P443" s="692"/>
      <c r="Q443" s="692"/>
    </row>
    <row r="444" spans="1:17" s="701" customFormat="1" ht="15" customHeight="1" x14ac:dyDescent="0.25">
      <c r="A444" s="728">
        <f t="shared" si="11"/>
        <v>88.050314465408803</v>
      </c>
      <c r="B444" s="87" t="s">
        <v>2435</v>
      </c>
      <c r="C444" s="87" t="s">
        <v>2057</v>
      </c>
      <c r="D444" s="87">
        <v>14000</v>
      </c>
      <c r="E444" s="87">
        <v>159</v>
      </c>
      <c r="F444" s="87">
        <v>14000</v>
      </c>
      <c r="G444" s="87">
        <f t="shared" si="9"/>
        <v>0</v>
      </c>
      <c r="H444" s="690"/>
      <c r="I444" s="693"/>
      <c r="J444" s="692"/>
      <c r="K444" s="692"/>
      <c r="L444" s="692"/>
      <c r="M444" s="692"/>
      <c r="N444" s="692"/>
      <c r="O444" s="692"/>
      <c r="P444" s="692"/>
      <c r="Q444" s="692"/>
    </row>
    <row r="445" spans="1:17" s="701" customFormat="1" ht="15" customHeight="1" x14ac:dyDescent="0.25">
      <c r="A445" s="728">
        <f t="shared" si="11"/>
        <v>88.495575221238937</v>
      </c>
      <c r="B445" s="87" t="s">
        <v>2435</v>
      </c>
      <c r="C445" s="87" t="s">
        <v>2545</v>
      </c>
      <c r="D445" s="87">
        <v>10000</v>
      </c>
      <c r="E445" s="87">
        <v>113</v>
      </c>
      <c r="F445" s="87">
        <v>10000</v>
      </c>
      <c r="G445" s="87">
        <f t="shared" si="9"/>
        <v>0</v>
      </c>
      <c r="H445" s="690"/>
      <c r="I445" s="693"/>
      <c r="J445" s="692"/>
      <c r="K445" s="692"/>
      <c r="L445" s="692"/>
      <c r="M445" s="692"/>
      <c r="N445" s="692"/>
      <c r="O445" s="692"/>
      <c r="P445" s="692"/>
      <c r="Q445" s="692"/>
    </row>
    <row r="446" spans="1:17" s="701" customFormat="1" ht="15" customHeight="1" x14ac:dyDescent="0.25">
      <c r="A446" s="728">
        <f t="shared" si="11"/>
        <v>88.495575221238937</v>
      </c>
      <c r="B446" s="87" t="s">
        <v>2435</v>
      </c>
      <c r="C446" s="87" t="s">
        <v>2546</v>
      </c>
      <c r="D446" s="87">
        <v>10000</v>
      </c>
      <c r="E446" s="87">
        <v>113</v>
      </c>
      <c r="F446" s="87">
        <v>10000</v>
      </c>
      <c r="G446" s="87">
        <f t="shared" si="9"/>
        <v>0</v>
      </c>
      <c r="H446" s="690"/>
      <c r="I446" s="693"/>
      <c r="J446" s="692"/>
      <c r="K446" s="692"/>
      <c r="L446" s="692"/>
      <c r="M446" s="692"/>
      <c r="N446" s="692"/>
      <c r="O446" s="692"/>
      <c r="P446" s="692"/>
      <c r="Q446" s="692"/>
    </row>
    <row r="447" spans="1:17" s="701" customFormat="1" ht="15" customHeight="1" x14ac:dyDescent="0.25">
      <c r="A447" s="728">
        <f t="shared" si="11"/>
        <v>88.495575221238937</v>
      </c>
      <c r="B447" s="87" t="s">
        <v>2435</v>
      </c>
      <c r="C447" s="87" t="s">
        <v>2547</v>
      </c>
      <c r="D447" s="87">
        <v>10000</v>
      </c>
      <c r="E447" s="87">
        <v>113</v>
      </c>
      <c r="F447" s="87">
        <v>10000</v>
      </c>
      <c r="G447" s="87">
        <f t="shared" si="9"/>
        <v>0</v>
      </c>
      <c r="H447" s="690"/>
      <c r="I447" s="693"/>
      <c r="J447" s="692"/>
      <c r="K447" s="692"/>
      <c r="L447" s="692"/>
      <c r="M447" s="692"/>
      <c r="N447" s="692"/>
      <c r="O447" s="692"/>
      <c r="P447" s="692"/>
      <c r="Q447" s="692"/>
    </row>
    <row r="448" spans="1:17" s="701" customFormat="1" ht="15" customHeight="1" x14ac:dyDescent="0.25">
      <c r="A448" s="728">
        <f t="shared" si="11"/>
        <v>88.105726872246692</v>
      </c>
      <c r="B448" s="87" t="s">
        <v>2435</v>
      </c>
      <c r="C448" s="87" t="s">
        <v>1070</v>
      </c>
      <c r="D448" s="87">
        <v>20000</v>
      </c>
      <c r="E448" s="87">
        <v>227</v>
      </c>
      <c r="F448" s="87">
        <v>20000</v>
      </c>
      <c r="G448" s="87">
        <f t="shared" si="9"/>
        <v>0</v>
      </c>
      <c r="H448" s="690"/>
      <c r="I448" s="693"/>
      <c r="J448" s="692"/>
      <c r="K448" s="692"/>
      <c r="L448" s="692"/>
      <c r="M448" s="692"/>
      <c r="N448" s="692"/>
      <c r="O448" s="692"/>
      <c r="P448" s="692"/>
      <c r="Q448" s="692"/>
    </row>
    <row r="449" spans="1:17" s="701" customFormat="1" ht="15" customHeight="1" x14ac:dyDescent="0.25">
      <c r="A449" s="728">
        <f t="shared" si="11"/>
        <v>75.88075880758808</v>
      </c>
      <c r="B449" s="87" t="s">
        <v>2435</v>
      </c>
      <c r="C449" s="476" t="s">
        <v>2478</v>
      </c>
      <c r="D449" s="87">
        <v>28000</v>
      </c>
      <c r="E449" s="87">
        <v>369</v>
      </c>
      <c r="F449" s="87">
        <v>28000</v>
      </c>
      <c r="G449" s="87">
        <f t="shared" si="9"/>
        <v>0</v>
      </c>
      <c r="H449" s="690"/>
      <c r="I449" s="693"/>
      <c r="J449" s="692"/>
      <c r="K449" s="692"/>
      <c r="L449" s="692"/>
      <c r="M449" s="692"/>
      <c r="N449" s="692"/>
      <c r="O449" s="692"/>
      <c r="P449" s="692"/>
      <c r="Q449" s="692"/>
    </row>
    <row r="450" spans="1:17" s="701" customFormat="1" ht="15" customHeight="1" x14ac:dyDescent="0.25">
      <c r="A450" s="728">
        <f t="shared" si="11"/>
        <v>87.912087912087912</v>
      </c>
      <c r="B450" s="87" t="s">
        <v>2435</v>
      </c>
      <c r="C450" s="87" t="s">
        <v>1924</v>
      </c>
      <c r="D450" s="87">
        <v>16000</v>
      </c>
      <c r="E450" s="87">
        <v>182</v>
      </c>
      <c r="F450" s="87">
        <v>16000</v>
      </c>
      <c r="G450" s="87">
        <f t="shared" si="9"/>
        <v>0</v>
      </c>
      <c r="H450" s="690"/>
      <c r="I450" s="693"/>
      <c r="J450" s="692"/>
      <c r="K450" s="692"/>
      <c r="L450" s="692"/>
      <c r="M450" s="692"/>
      <c r="N450" s="692"/>
      <c r="O450" s="692"/>
      <c r="P450" s="692"/>
      <c r="Q450" s="692"/>
    </row>
    <row r="451" spans="1:17" s="701" customFormat="1" ht="15" customHeight="1" x14ac:dyDescent="0.25">
      <c r="A451" s="728">
        <f t="shared" si="11"/>
        <v>87.912087912087912</v>
      </c>
      <c r="B451" s="87" t="s">
        <v>2435</v>
      </c>
      <c r="C451" s="87" t="s">
        <v>1923</v>
      </c>
      <c r="D451" s="87">
        <v>16000</v>
      </c>
      <c r="E451" s="87">
        <v>182</v>
      </c>
      <c r="F451" s="87">
        <v>16000</v>
      </c>
      <c r="G451" s="87">
        <f t="shared" si="9"/>
        <v>0</v>
      </c>
      <c r="H451" s="690"/>
      <c r="I451" s="693"/>
      <c r="J451" s="692"/>
      <c r="K451" s="692"/>
      <c r="L451" s="692"/>
      <c r="M451" s="692"/>
      <c r="N451" s="692"/>
      <c r="O451" s="692"/>
      <c r="P451" s="692"/>
      <c r="Q451" s="692"/>
    </row>
    <row r="452" spans="1:17" s="701" customFormat="1" ht="15" customHeight="1" x14ac:dyDescent="0.25">
      <c r="A452" s="728">
        <f t="shared" si="11"/>
        <v>87.912087912087912</v>
      </c>
      <c r="B452" s="87" t="s">
        <v>2435</v>
      </c>
      <c r="C452" s="87" t="s">
        <v>2548</v>
      </c>
      <c r="D452" s="87">
        <v>16000</v>
      </c>
      <c r="E452" s="87">
        <v>182</v>
      </c>
      <c r="F452" s="87">
        <v>16000</v>
      </c>
      <c r="G452" s="87">
        <f t="shared" si="9"/>
        <v>0</v>
      </c>
      <c r="H452" s="690"/>
      <c r="I452" s="693"/>
      <c r="J452" s="692"/>
      <c r="K452" s="692"/>
      <c r="L452" s="692"/>
      <c r="M452" s="692"/>
      <c r="N452" s="692"/>
      <c r="O452" s="692"/>
      <c r="P452" s="692"/>
      <c r="Q452" s="692"/>
    </row>
    <row r="453" spans="1:17" s="701" customFormat="1" ht="15" customHeight="1" x14ac:dyDescent="0.25">
      <c r="A453" s="728">
        <f t="shared" si="11"/>
        <v>87.912087912087912</v>
      </c>
      <c r="B453" s="87" t="s">
        <v>2435</v>
      </c>
      <c r="C453" s="476" t="s">
        <v>2549</v>
      </c>
      <c r="D453" s="87">
        <v>24000</v>
      </c>
      <c r="E453" s="87">
        <v>273</v>
      </c>
      <c r="F453" s="87">
        <v>24000</v>
      </c>
      <c r="G453" s="87">
        <f t="shared" si="9"/>
        <v>0</v>
      </c>
      <c r="H453" s="690"/>
      <c r="I453" s="693"/>
      <c r="J453" s="692"/>
      <c r="K453" s="692"/>
      <c r="L453" s="692"/>
      <c r="M453" s="692"/>
      <c r="N453" s="692"/>
      <c r="O453" s="692"/>
      <c r="P453" s="692"/>
      <c r="Q453" s="692"/>
    </row>
    <row r="454" spans="1:17" s="701" customFormat="1" ht="15" customHeight="1" x14ac:dyDescent="0.25">
      <c r="A454" s="728">
        <f t="shared" si="11"/>
        <v>88.235294117647058</v>
      </c>
      <c r="B454" s="87" t="s">
        <v>2435</v>
      </c>
      <c r="C454" s="87" t="s">
        <v>2550</v>
      </c>
      <c r="D454" s="87">
        <v>15000</v>
      </c>
      <c r="E454" s="87">
        <v>170</v>
      </c>
      <c r="F454" s="87">
        <v>15000</v>
      </c>
      <c r="G454" s="87">
        <f t="shared" si="9"/>
        <v>0</v>
      </c>
      <c r="H454" s="690"/>
      <c r="I454" s="693"/>
      <c r="J454" s="692"/>
      <c r="K454" s="692"/>
      <c r="L454" s="692"/>
      <c r="M454" s="692"/>
      <c r="N454" s="692"/>
      <c r="O454" s="692"/>
      <c r="P454" s="692"/>
      <c r="Q454" s="692"/>
    </row>
    <row r="455" spans="1:17" s="701" customFormat="1" ht="15" customHeight="1" x14ac:dyDescent="0.25">
      <c r="A455" s="728">
        <f t="shared" ref="A455:A518" si="12">D455/E455</f>
        <v>87.837837837837839</v>
      </c>
      <c r="B455" s="87" t="s">
        <v>2435</v>
      </c>
      <c r="C455" s="87" t="s">
        <v>2551</v>
      </c>
      <c r="D455" s="87">
        <v>13000</v>
      </c>
      <c r="E455" s="87">
        <v>148</v>
      </c>
      <c r="F455" s="87">
        <v>13000</v>
      </c>
      <c r="G455" s="87">
        <f t="shared" si="9"/>
        <v>0</v>
      </c>
      <c r="H455" s="690"/>
      <c r="I455" s="693"/>
      <c r="J455" s="692"/>
      <c r="K455" s="692"/>
      <c r="L455" s="692"/>
      <c r="M455" s="692"/>
      <c r="N455" s="692"/>
      <c r="O455" s="692"/>
      <c r="P455" s="692"/>
      <c r="Q455" s="692"/>
    </row>
    <row r="456" spans="1:17" s="701" customFormat="1" ht="15" customHeight="1" x14ac:dyDescent="0.25">
      <c r="A456" s="728">
        <f t="shared" si="12"/>
        <v>88.495575221238937</v>
      </c>
      <c r="B456" s="87" t="s">
        <v>2435</v>
      </c>
      <c r="C456" s="87" t="s">
        <v>2552</v>
      </c>
      <c r="D456" s="87">
        <v>10000</v>
      </c>
      <c r="E456" s="87">
        <v>113</v>
      </c>
      <c r="F456" s="87">
        <v>10000</v>
      </c>
      <c r="G456" s="87">
        <f t="shared" si="9"/>
        <v>0</v>
      </c>
      <c r="H456" s="690"/>
      <c r="I456" s="693"/>
      <c r="J456" s="692"/>
      <c r="K456" s="692"/>
      <c r="L456" s="692"/>
      <c r="M456" s="692"/>
      <c r="N456" s="692"/>
      <c r="O456" s="692"/>
      <c r="P456" s="692"/>
      <c r="Q456" s="692"/>
    </row>
    <row r="457" spans="1:17" s="701" customFormat="1" ht="15" customHeight="1" x14ac:dyDescent="0.25">
      <c r="A457" s="728">
        <f t="shared" si="12"/>
        <v>87.947882736156359</v>
      </c>
      <c r="B457" s="87" t="s">
        <v>2435</v>
      </c>
      <c r="C457" s="87" t="s">
        <v>2553</v>
      </c>
      <c r="D457" s="87">
        <v>27000</v>
      </c>
      <c r="E457" s="87">
        <v>307</v>
      </c>
      <c r="F457" s="87">
        <v>27000</v>
      </c>
      <c r="G457" s="87">
        <f t="shared" si="9"/>
        <v>0</v>
      </c>
      <c r="H457" s="690"/>
      <c r="I457" s="693"/>
      <c r="J457" s="692"/>
      <c r="K457" s="692"/>
      <c r="L457" s="692"/>
      <c r="M457" s="692"/>
      <c r="N457" s="692"/>
      <c r="O457" s="692"/>
      <c r="P457" s="692"/>
      <c r="Q457" s="692"/>
    </row>
    <row r="458" spans="1:17" s="701" customFormat="1" ht="15" customHeight="1" x14ac:dyDescent="0.25">
      <c r="A458" s="728">
        <f t="shared" si="12"/>
        <v>88.028169014084511</v>
      </c>
      <c r="B458" s="87" t="s">
        <v>2435</v>
      </c>
      <c r="C458" s="87" t="s">
        <v>2554</v>
      </c>
      <c r="D458" s="87">
        <v>25000</v>
      </c>
      <c r="E458" s="87">
        <v>284</v>
      </c>
      <c r="F458" s="87">
        <v>25000</v>
      </c>
      <c r="G458" s="87">
        <f t="shared" si="9"/>
        <v>0</v>
      </c>
      <c r="H458" s="690"/>
      <c r="I458" s="693"/>
      <c r="J458" s="692"/>
      <c r="K458" s="692"/>
      <c r="L458" s="692"/>
      <c r="M458" s="692"/>
      <c r="N458" s="692"/>
      <c r="O458" s="692"/>
      <c r="P458" s="692"/>
      <c r="Q458" s="692"/>
    </row>
    <row r="459" spans="1:17" s="701" customFormat="1" ht="15" customHeight="1" x14ac:dyDescent="0.25">
      <c r="A459" s="728">
        <f t="shared" si="12"/>
        <v>88.028169014084511</v>
      </c>
      <c r="B459" s="87" t="s">
        <v>2435</v>
      </c>
      <c r="C459" s="87" t="s">
        <v>2073</v>
      </c>
      <c r="D459" s="87">
        <v>25000</v>
      </c>
      <c r="E459" s="87">
        <v>284</v>
      </c>
      <c r="F459" s="87">
        <v>25000</v>
      </c>
      <c r="G459" s="87">
        <f t="shared" si="9"/>
        <v>0</v>
      </c>
      <c r="H459" s="690"/>
      <c r="I459" s="693"/>
      <c r="J459" s="692"/>
      <c r="K459" s="692"/>
      <c r="L459" s="692"/>
      <c r="M459" s="692"/>
      <c r="N459" s="692"/>
      <c r="O459" s="692"/>
      <c r="P459" s="692"/>
      <c r="Q459" s="692"/>
    </row>
    <row r="460" spans="1:17" s="701" customFormat="1" ht="15" customHeight="1" x14ac:dyDescent="0.25">
      <c r="A460" s="728">
        <f t="shared" si="12"/>
        <v>88.495575221238937</v>
      </c>
      <c r="B460" s="87" t="s">
        <v>2435</v>
      </c>
      <c r="C460" s="476" t="s">
        <v>2555</v>
      </c>
      <c r="D460" s="87">
        <v>10000</v>
      </c>
      <c r="E460" s="87">
        <v>113</v>
      </c>
      <c r="F460" s="87">
        <v>10000</v>
      </c>
      <c r="G460" s="87">
        <f t="shared" si="9"/>
        <v>0</v>
      </c>
      <c r="H460" s="690"/>
      <c r="I460" s="693"/>
      <c r="J460" s="692"/>
      <c r="K460" s="692"/>
      <c r="L460" s="692"/>
      <c r="M460" s="692"/>
      <c r="N460" s="692"/>
      <c r="O460" s="692"/>
      <c r="P460" s="692"/>
      <c r="Q460" s="692"/>
    </row>
    <row r="461" spans="1:17" s="701" customFormat="1" ht="15" customHeight="1" x14ac:dyDescent="0.25">
      <c r="A461" s="728">
        <f t="shared" si="12"/>
        <v>88.028169014084511</v>
      </c>
      <c r="B461" s="87" t="s">
        <v>2435</v>
      </c>
      <c r="C461" s="87" t="s">
        <v>2556</v>
      </c>
      <c r="D461" s="87">
        <v>25000</v>
      </c>
      <c r="E461" s="87">
        <v>284</v>
      </c>
      <c r="F461" s="87">
        <v>25000</v>
      </c>
      <c r="G461" s="87">
        <f t="shared" si="9"/>
        <v>0</v>
      </c>
      <c r="H461" s="690"/>
      <c r="I461" s="693"/>
      <c r="J461" s="692"/>
      <c r="K461" s="692"/>
      <c r="L461" s="692"/>
      <c r="M461" s="692"/>
      <c r="N461" s="692"/>
      <c r="O461" s="692"/>
      <c r="P461" s="692"/>
      <c r="Q461" s="692"/>
    </row>
    <row r="462" spans="1:17" s="701" customFormat="1" ht="15" customHeight="1" x14ac:dyDescent="0.25">
      <c r="A462" s="728">
        <f t="shared" si="12"/>
        <v>87.774294670846402</v>
      </c>
      <c r="B462" s="87" t="s">
        <v>2435</v>
      </c>
      <c r="C462" s="87" t="s">
        <v>2557</v>
      </c>
      <c r="D462" s="87">
        <v>28000</v>
      </c>
      <c r="E462" s="87">
        <v>319</v>
      </c>
      <c r="F462" s="87">
        <v>28000</v>
      </c>
      <c r="G462" s="87">
        <f t="shared" si="9"/>
        <v>0</v>
      </c>
      <c r="H462" s="690"/>
      <c r="I462" s="693"/>
      <c r="J462" s="692"/>
      <c r="K462" s="692"/>
      <c r="L462" s="692"/>
      <c r="M462" s="692"/>
      <c r="N462" s="692"/>
      <c r="O462" s="692"/>
      <c r="P462" s="692"/>
      <c r="Q462" s="692"/>
    </row>
    <row r="463" spans="1:17" s="701" customFormat="1" ht="15" customHeight="1" x14ac:dyDescent="0.25">
      <c r="A463" s="728">
        <f t="shared" si="12"/>
        <v>87.774294670846402</v>
      </c>
      <c r="B463" s="87" t="s">
        <v>2435</v>
      </c>
      <c r="C463" s="87" t="s">
        <v>2558</v>
      </c>
      <c r="D463" s="87">
        <v>28000</v>
      </c>
      <c r="E463" s="87">
        <v>319</v>
      </c>
      <c r="F463" s="87">
        <v>28000</v>
      </c>
      <c r="G463" s="87">
        <f t="shared" si="9"/>
        <v>0</v>
      </c>
      <c r="H463" s="690"/>
      <c r="I463" s="693"/>
      <c r="J463" s="692"/>
      <c r="K463" s="692"/>
      <c r="L463" s="692"/>
      <c r="M463" s="692"/>
      <c r="N463" s="692"/>
      <c r="O463" s="692"/>
      <c r="P463" s="692"/>
      <c r="Q463" s="692"/>
    </row>
    <row r="464" spans="1:17" s="701" customFormat="1" ht="15" customHeight="1" x14ac:dyDescent="0.25">
      <c r="A464" s="728">
        <f t="shared" si="12"/>
        <v>87.774294670846402</v>
      </c>
      <c r="B464" s="87" t="s">
        <v>2435</v>
      </c>
      <c r="C464" s="87" t="s">
        <v>2559</v>
      </c>
      <c r="D464" s="87">
        <v>28000</v>
      </c>
      <c r="E464" s="87">
        <v>319</v>
      </c>
      <c r="F464" s="87">
        <v>28000</v>
      </c>
      <c r="G464" s="87">
        <f t="shared" si="9"/>
        <v>0</v>
      </c>
      <c r="H464" s="690"/>
      <c r="I464" s="693"/>
      <c r="J464" s="692"/>
      <c r="K464" s="692"/>
      <c r="L464" s="692"/>
      <c r="M464" s="692"/>
      <c r="N464" s="692"/>
      <c r="O464" s="692"/>
      <c r="P464" s="692"/>
      <c r="Q464" s="692"/>
    </row>
    <row r="465" spans="1:17" s="701" customFormat="1" ht="15" customHeight="1" x14ac:dyDescent="0.25">
      <c r="A465" s="728">
        <f t="shared" si="12"/>
        <v>90.909090909090907</v>
      </c>
      <c r="B465" s="87" t="s">
        <v>2435</v>
      </c>
      <c r="C465" s="87" t="s">
        <v>30</v>
      </c>
      <c r="D465" s="87">
        <v>7000</v>
      </c>
      <c r="E465" s="87">
        <v>77</v>
      </c>
      <c r="F465" s="87">
        <v>7000</v>
      </c>
      <c r="G465" s="87">
        <f t="shared" si="9"/>
        <v>0</v>
      </c>
      <c r="H465" s="690"/>
      <c r="I465" s="693"/>
      <c r="J465" s="692"/>
      <c r="K465" s="692"/>
      <c r="L465" s="692"/>
      <c r="M465" s="692"/>
      <c r="N465" s="692"/>
      <c r="O465" s="692"/>
      <c r="P465" s="692"/>
      <c r="Q465" s="692"/>
    </row>
    <row r="466" spans="1:17" s="701" customFormat="1" ht="15" customHeight="1" x14ac:dyDescent="0.25">
      <c r="A466" s="728">
        <f t="shared" si="12"/>
        <v>104.76190476190476</v>
      </c>
      <c r="B466" s="87" t="s">
        <v>2560</v>
      </c>
      <c r="C466" s="87" t="s">
        <v>66</v>
      </c>
      <c r="D466" s="87">
        <v>110</v>
      </c>
      <c r="E466" s="87">
        <v>1.05</v>
      </c>
      <c r="F466" s="87">
        <v>110</v>
      </c>
      <c r="G466" s="87">
        <f t="shared" si="9"/>
        <v>0</v>
      </c>
      <c r="H466" s="690"/>
      <c r="I466" s="693"/>
      <c r="J466" s="692"/>
      <c r="K466" s="692"/>
      <c r="L466" s="692"/>
      <c r="M466" s="692"/>
      <c r="N466" s="692"/>
      <c r="O466" s="692"/>
      <c r="P466" s="692"/>
      <c r="Q466" s="692"/>
    </row>
    <row r="467" spans="1:17" s="701" customFormat="1" ht="15" customHeight="1" x14ac:dyDescent="0.25">
      <c r="A467" s="728">
        <f t="shared" si="12"/>
        <v>87.976539589442808</v>
      </c>
      <c r="B467" s="87" t="s">
        <v>2561</v>
      </c>
      <c r="C467" s="87" t="s">
        <v>2085</v>
      </c>
      <c r="D467" s="87">
        <v>30000</v>
      </c>
      <c r="E467" s="87">
        <v>341</v>
      </c>
      <c r="F467" s="87">
        <v>30000</v>
      </c>
      <c r="G467" s="87">
        <f t="shared" si="9"/>
        <v>0</v>
      </c>
      <c r="H467" s="690"/>
      <c r="I467" s="693"/>
      <c r="J467" s="692"/>
      <c r="K467" s="692"/>
      <c r="L467" s="692"/>
      <c r="M467" s="692"/>
      <c r="N467" s="692"/>
      <c r="O467" s="692"/>
      <c r="P467" s="692"/>
      <c r="Q467" s="692"/>
    </row>
    <row r="468" spans="1:17" s="701" customFormat="1" ht="15" customHeight="1" x14ac:dyDescent="0.25">
      <c r="A468" s="728">
        <f t="shared" si="12"/>
        <v>87.976539589442808</v>
      </c>
      <c r="B468" s="87" t="s">
        <v>2561</v>
      </c>
      <c r="C468" s="87" t="s">
        <v>2562</v>
      </c>
      <c r="D468" s="87">
        <v>30000</v>
      </c>
      <c r="E468" s="87">
        <v>341</v>
      </c>
      <c r="F468" s="87">
        <v>30000</v>
      </c>
      <c r="G468" s="87">
        <f t="shared" si="9"/>
        <v>0</v>
      </c>
      <c r="H468" s="690"/>
      <c r="I468" s="693"/>
      <c r="J468" s="692"/>
      <c r="K468" s="692"/>
      <c r="L468" s="692"/>
      <c r="M468" s="692"/>
      <c r="N468" s="692"/>
      <c r="O468" s="692"/>
      <c r="P468" s="692"/>
      <c r="Q468" s="692"/>
    </row>
    <row r="469" spans="1:17" s="701" customFormat="1" ht="15" customHeight="1" x14ac:dyDescent="0.25">
      <c r="A469" s="728">
        <f t="shared" si="12"/>
        <v>87.912087912087912</v>
      </c>
      <c r="B469" s="87" t="s">
        <v>2561</v>
      </c>
      <c r="C469" s="87" t="s">
        <v>2363</v>
      </c>
      <c r="D469" s="87">
        <v>32000</v>
      </c>
      <c r="E469" s="87">
        <v>364</v>
      </c>
      <c r="F469" s="87">
        <v>32000</v>
      </c>
      <c r="G469" s="87">
        <f t="shared" si="9"/>
        <v>0</v>
      </c>
      <c r="H469" s="690"/>
      <c r="I469" s="693"/>
      <c r="J469" s="692"/>
      <c r="K469" s="692"/>
      <c r="L469" s="692"/>
      <c r="M469" s="692"/>
      <c r="N469" s="692"/>
      <c r="O469" s="692"/>
      <c r="P469" s="692"/>
      <c r="Q469" s="692"/>
    </row>
    <row r="470" spans="1:17" s="701" customFormat="1" ht="15" customHeight="1" x14ac:dyDescent="0.25">
      <c r="A470" s="728">
        <f t="shared" si="12"/>
        <v>88.028169014084511</v>
      </c>
      <c r="B470" s="87" t="s">
        <v>2561</v>
      </c>
      <c r="C470" s="87" t="s">
        <v>2563</v>
      </c>
      <c r="D470" s="87">
        <v>25000</v>
      </c>
      <c r="E470" s="87">
        <v>284</v>
      </c>
      <c r="F470" s="87">
        <v>25000</v>
      </c>
      <c r="G470" s="87">
        <f t="shared" si="9"/>
        <v>0</v>
      </c>
      <c r="H470" s="690"/>
      <c r="I470" s="693"/>
      <c r="J470" s="692"/>
      <c r="K470" s="692"/>
      <c r="L470" s="692"/>
      <c r="M470" s="692"/>
      <c r="N470" s="692"/>
      <c r="O470" s="692"/>
      <c r="P470" s="692"/>
      <c r="Q470" s="692"/>
    </row>
    <row r="471" spans="1:17" s="701" customFormat="1" ht="15" customHeight="1" x14ac:dyDescent="0.25">
      <c r="A471" s="728">
        <f t="shared" si="12"/>
        <v>88.114754098360649</v>
      </c>
      <c r="B471" s="87" t="s">
        <v>2561</v>
      </c>
      <c r="C471" s="87" t="s">
        <v>2564</v>
      </c>
      <c r="D471" s="87">
        <v>21500</v>
      </c>
      <c r="E471" s="87">
        <v>244</v>
      </c>
      <c r="F471" s="87">
        <v>21500</v>
      </c>
      <c r="G471" s="87">
        <f t="shared" si="9"/>
        <v>0</v>
      </c>
      <c r="H471" s="690"/>
      <c r="I471" s="693"/>
      <c r="J471" s="692"/>
      <c r="K471" s="692"/>
      <c r="L471" s="692"/>
      <c r="M471" s="692"/>
      <c r="N471" s="692"/>
      <c r="O471" s="692"/>
      <c r="P471" s="692"/>
      <c r="Q471" s="692"/>
    </row>
    <row r="472" spans="1:17" s="701" customFormat="1" ht="15" customHeight="1" x14ac:dyDescent="0.25">
      <c r="A472" s="728">
        <f t="shared" si="12"/>
        <v>87.925696594427251</v>
      </c>
      <c r="B472" s="87" t="s">
        <v>2561</v>
      </c>
      <c r="C472" s="87" t="s">
        <v>2565</v>
      </c>
      <c r="D472" s="87">
        <v>28400</v>
      </c>
      <c r="E472" s="87">
        <v>323</v>
      </c>
      <c r="F472" s="87">
        <v>28400</v>
      </c>
      <c r="G472" s="87">
        <f t="shared" si="9"/>
        <v>0</v>
      </c>
      <c r="H472" s="690"/>
      <c r="I472" s="693"/>
      <c r="J472" s="692"/>
      <c r="K472" s="692"/>
      <c r="L472" s="692"/>
      <c r="M472" s="692"/>
      <c r="N472" s="692"/>
      <c r="O472" s="692"/>
      <c r="P472" s="692"/>
      <c r="Q472" s="692"/>
    </row>
    <row r="473" spans="1:17" s="701" customFormat="1" ht="15" customHeight="1" x14ac:dyDescent="0.25">
      <c r="A473" s="728">
        <f t="shared" si="12"/>
        <v>88.105726872246692</v>
      </c>
      <c r="B473" s="87" t="s">
        <v>2561</v>
      </c>
      <c r="C473" s="87" t="s">
        <v>2566</v>
      </c>
      <c r="D473" s="87">
        <v>20000</v>
      </c>
      <c r="E473" s="87">
        <v>227</v>
      </c>
      <c r="F473" s="87">
        <v>20000</v>
      </c>
      <c r="G473" s="87">
        <f t="shared" si="9"/>
        <v>0</v>
      </c>
      <c r="H473" s="690"/>
      <c r="I473" s="693"/>
      <c r="J473" s="692"/>
      <c r="K473" s="692"/>
      <c r="L473" s="692"/>
      <c r="M473" s="692"/>
      <c r="N473" s="692"/>
      <c r="O473" s="692"/>
      <c r="P473" s="692"/>
      <c r="Q473" s="692"/>
    </row>
    <row r="474" spans="1:17" s="701" customFormat="1" ht="15" customHeight="1" x14ac:dyDescent="0.25">
      <c r="A474" s="728">
        <f t="shared" si="12"/>
        <v>87.976539589442808</v>
      </c>
      <c r="B474" s="87" t="s">
        <v>2561</v>
      </c>
      <c r="C474" s="87" t="s">
        <v>2567</v>
      </c>
      <c r="D474" s="87">
        <v>30000</v>
      </c>
      <c r="E474" s="87">
        <v>341</v>
      </c>
      <c r="F474" s="87">
        <v>30000</v>
      </c>
      <c r="G474" s="87">
        <f t="shared" si="9"/>
        <v>0</v>
      </c>
      <c r="H474" s="690"/>
      <c r="I474" s="693"/>
      <c r="J474" s="692"/>
      <c r="K474" s="692"/>
      <c r="L474" s="692"/>
      <c r="M474" s="692"/>
      <c r="N474" s="692"/>
      <c r="O474" s="692"/>
      <c r="P474" s="692"/>
      <c r="Q474" s="692"/>
    </row>
    <row r="475" spans="1:17" s="701" customFormat="1" ht="15" customHeight="1" x14ac:dyDescent="0.25">
      <c r="A475" s="728">
        <f t="shared" si="12"/>
        <v>88.235294117647058</v>
      </c>
      <c r="B475" s="87" t="s">
        <v>2561</v>
      </c>
      <c r="C475" s="87" t="s">
        <v>2568</v>
      </c>
      <c r="D475" s="87">
        <v>15000</v>
      </c>
      <c r="E475" s="87">
        <v>170</v>
      </c>
      <c r="F475" s="87">
        <v>15000</v>
      </c>
      <c r="G475" s="87">
        <f t="shared" si="9"/>
        <v>0</v>
      </c>
      <c r="H475" s="690"/>
      <c r="I475" s="693"/>
      <c r="J475" s="692"/>
      <c r="K475" s="692"/>
      <c r="L475" s="692"/>
      <c r="M475" s="692"/>
      <c r="N475" s="692"/>
      <c r="O475" s="692"/>
      <c r="P475" s="692"/>
      <c r="Q475" s="692"/>
    </row>
    <row r="476" spans="1:17" s="701" customFormat="1" ht="15" customHeight="1" x14ac:dyDescent="0.25">
      <c r="A476" s="728">
        <f t="shared" si="12"/>
        <v>87.976539589442808</v>
      </c>
      <c r="B476" s="87" t="s">
        <v>2561</v>
      </c>
      <c r="C476" s="87" t="s">
        <v>2569</v>
      </c>
      <c r="D476" s="87">
        <v>30000</v>
      </c>
      <c r="E476" s="87">
        <v>341</v>
      </c>
      <c r="F476" s="87">
        <v>30000</v>
      </c>
      <c r="G476" s="87">
        <f t="shared" si="9"/>
        <v>0</v>
      </c>
      <c r="H476" s="690"/>
      <c r="I476" s="693"/>
      <c r="J476" s="692"/>
      <c r="K476" s="692"/>
      <c r="L476" s="692"/>
      <c r="M476" s="692"/>
      <c r="N476" s="692"/>
      <c r="O476" s="692"/>
      <c r="P476" s="692"/>
      <c r="Q476" s="692"/>
    </row>
    <row r="477" spans="1:17" s="701" customFormat="1" ht="15" customHeight="1" x14ac:dyDescent="0.25">
      <c r="A477" s="728">
        <f t="shared" si="12"/>
        <v>90.909090909090907</v>
      </c>
      <c r="B477" s="87" t="s">
        <v>2561</v>
      </c>
      <c r="C477" s="87" t="s">
        <v>2570</v>
      </c>
      <c r="D477" s="87">
        <v>7000</v>
      </c>
      <c r="E477" s="87">
        <v>77</v>
      </c>
      <c r="F477" s="87">
        <v>7000</v>
      </c>
      <c r="G477" s="87">
        <f t="shared" si="9"/>
        <v>0</v>
      </c>
      <c r="H477" s="690"/>
      <c r="I477" s="693"/>
      <c r="J477" s="692"/>
      <c r="K477" s="692"/>
      <c r="L477" s="692"/>
      <c r="M477" s="692"/>
      <c r="N477" s="692"/>
      <c r="O477" s="692"/>
      <c r="P477" s="692"/>
      <c r="Q477" s="692"/>
    </row>
    <row r="478" spans="1:17" s="701" customFormat="1" ht="15" customHeight="1" x14ac:dyDescent="0.25">
      <c r="A478" s="728">
        <f t="shared" si="12"/>
        <v>88.105726872246692</v>
      </c>
      <c r="B478" s="87" t="s">
        <v>2561</v>
      </c>
      <c r="C478" s="87" t="s">
        <v>2571</v>
      </c>
      <c r="D478" s="87">
        <v>20000</v>
      </c>
      <c r="E478" s="87">
        <v>227</v>
      </c>
      <c r="F478" s="87">
        <v>20000</v>
      </c>
      <c r="G478" s="87">
        <f t="shared" si="9"/>
        <v>0</v>
      </c>
      <c r="H478" s="690"/>
      <c r="I478" s="693"/>
      <c r="J478" s="692"/>
      <c r="K478" s="692"/>
      <c r="L478" s="692"/>
      <c r="M478" s="692"/>
      <c r="N478" s="692"/>
      <c r="O478" s="692"/>
      <c r="P478" s="692"/>
      <c r="Q478" s="692"/>
    </row>
    <row r="479" spans="1:17" s="701" customFormat="1" ht="15" customHeight="1" x14ac:dyDescent="0.25">
      <c r="A479" s="728">
        <f t="shared" si="12"/>
        <v>87.818696883852695</v>
      </c>
      <c r="B479" s="87" t="s">
        <v>2561</v>
      </c>
      <c r="C479" s="87" t="s">
        <v>2572</v>
      </c>
      <c r="D479" s="87">
        <v>31000</v>
      </c>
      <c r="E479" s="87">
        <v>353</v>
      </c>
      <c r="F479" s="87">
        <v>31000</v>
      </c>
      <c r="G479" s="87">
        <f t="shared" si="9"/>
        <v>0</v>
      </c>
      <c r="H479" s="690"/>
      <c r="I479" s="693"/>
      <c r="J479" s="692"/>
      <c r="K479" s="692"/>
      <c r="L479" s="692"/>
      <c r="M479" s="692"/>
      <c r="N479" s="692"/>
      <c r="O479" s="692"/>
      <c r="P479" s="692"/>
      <c r="Q479" s="692"/>
    </row>
    <row r="480" spans="1:17" s="701" customFormat="1" ht="15" customHeight="1" x14ac:dyDescent="0.25">
      <c r="A480" s="728">
        <f t="shared" si="12"/>
        <v>91.872791519434628</v>
      </c>
      <c r="B480" s="87" t="s">
        <v>2561</v>
      </c>
      <c r="C480" s="87" t="s">
        <v>2573</v>
      </c>
      <c r="D480" s="87">
        <v>26000</v>
      </c>
      <c r="E480" s="87">
        <v>283</v>
      </c>
      <c r="F480" s="87">
        <v>26000</v>
      </c>
      <c r="G480" s="87">
        <f t="shared" si="9"/>
        <v>0</v>
      </c>
      <c r="H480" s="690"/>
      <c r="I480" s="693"/>
      <c r="J480" s="692"/>
      <c r="K480" s="692"/>
      <c r="L480" s="692"/>
      <c r="M480" s="692"/>
      <c r="N480" s="692"/>
      <c r="O480" s="692"/>
      <c r="P480" s="692"/>
      <c r="Q480" s="692"/>
    </row>
    <row r="481" spans="1:17" s="701" customFormat="1" ht="15" customHeight="1" x14ac:dyDescent="0.25">
      <c r="A481" s="728">
        <f t="shared" si="12"/>
        <v>87.912087912087912</v>
      </c>
      <c r="B481" s="87" t="s">
        <v>2561</v>
      </c>
      <c r="C481" s="87" t="s">
        <v>30</v>
      </c>
      <c r="D481" s="87">
        <v>8000</v>
      </c>
      <c r="E481" s="87">
        <v>91</v>
      </c>
      <c r="F481" s="87">
        <v>8000</v>
      </c>
      <c r="G481" s="87">
        <f t="shared" si="9"/>
        <v>0</v>
      </c>
      <c r="H481" s="690"/>
      <c r="I481" s="693"/>
      <c r="J481" s="692"/>
      <c r="K481" s="692"/>
      <c r="L481" s="692"/>
      <c r="M481" s="692"/>
      <c r="N481" s="692"/>
      <c r="O481" s="692"/>
      <c r="P481" s="692"/>
      <c r="Q481" s="692"/>
    </row>
    <row r="482" spans="1:17" s="701" customFormat="1" ht="15" customHeight="1" x14ac:dyDescent="0.25">
      <c r="A482" s="728">
        <f t="shared" si="12"/>
        <v>92.592592592592595</v>
      </c>
      <c r="B482" s="87" t="s">
        <v>2561</v>
      </c>
      <c r="C482" s="87" t="s">
        <v>2574</v>
      </c>
      <c r="D482" s="87">
        <v>40000</v>
      </c>
      <c r="E482" s="87">
        <v>432</v>
      </c>
      <c r="F482" s="87">
        <v>40000</v>
      </c>
      <c r="G482" s="87">
        <f t="shared" si="9"/>
        <v>0</v>
      </c>
      <c r="H482" s="690"/>
      <c r="I482" s="693"/>
      <c r="J482" s="692"/>
      <c r="K482" s="692"/>
      <c r="L482" s="692"/>
      <c r="M482" s="692"/>
      <c r="N482" s="692"/>
      <c r="O482" s="692"/>
      <c r="P482" s="692"/>
      <c r="Q482" s="692"/>
    </row>
    <row r="483" spans="1:17" s="701" customFormat="1" ht="15" customHeight="1" x14ac:dyDescent="0.25">
      <c r="A483" s="728">
        <f t="shared" si="12"/>
        <v>87.774294670846402</v>
      </c>
      <c r="B483" s="87" t="s">
        <v>2561</v>
      </c>
      <c r="C483" s="87" t="s">
        <v>2575</v>
      </c>
      <c r="D483" s="87">
        <v>28000</v>
      </c>
      <c r="E483" s="87">
        <v>319</v>
      </c>
      <c r="F483" s="87">
        <v>28000</v>
      </c>
      <c r="G483" s="87">
        <f t="shared" si="9"/>
        <v>0</v>
      </c>
      <c r="H483" s="690"/>
      <c r="I483" s="693"/>
      <c r="J483" s="692"/>
      <c r="K483" s="692"/>
      <c r="L483" s="692"/>
      <c r="M483" s="692"/>
      <c r="N483" s="692"/>
      <c r="O483" s="692"/>
      <c r="P483" s="692"/>
      <c r="Q483" s="692"/>
    </row>
    <row r="484" spans="1:17" s="701" customFormat="1" ht="15" customHeight="1" x14ac:dyDescent="0.25">
      <c r="A484" s="728">
        <f t="shared" si="12"/>
        <v>91.370558375634516</v>
      </c>
      <c r="B484" s="87" t="s">
        <v>2576</v>
      </c>
      <c r="C484" s="87">
        <v>9777</v>
      </c>
      <c r="D484" s="87">
        <v>18000</v>
      </c>
      <c r="E484" s="87">
        <v>197</v>
      </c>
      <c r="F484" s="87">
        <v>18000</v>
      </c>
      <c r="G484" s="87">
        <f t="shared" si="9"/>
        <v>0</v>
      </c>
      <c r="H484" s="690"/>
      <c r="I484" s="693"/>
      <c r="J484" s="692"/>
      <c r="K484" s="692"/>
      <c r="L484" s="692"/>
      <c r="M484" s="692"/>
      <c r="N484" s="692"/>
      <c r="O484" s="692"/>
      <c r="P484" s="692"/>
      <c r="Q484" s="692"/>
    </row>
    <row r="485" spans="1:17" s="701" customFormat="1" ht="15" customHeight="1" x14ac:dyDescent="0.25">
      <c r="A485" s="728">
        <f t="shared" si="12"/>
        <v>88.082901554404145</v>
      </c>
      <c r="B485" s="87" t="s">
        <v>2576</v>
      </c>
      <c r="C485" s="87">
        <v>9876</v>
      </c>
      <c r="D485" s="87">
        <v>17000</v>
      </c>
      <c r="E485" s="87">
        <v>193</v>
      </c>
      <c r="F485" s="87">
        <v>17000</v>
      </c>
      <c r="G485" s="87">
        <f t="shared" si="9"/>
        <v>0</v>
      </c>
      <c r="H485" s="690"/>
      <c r="I485" s="693"/>
      <c r="J485" s="692"/>
      <c r="K485" s="692"/>
      <c r="L485" s="692"/>
      <c r="M485" s="692"/>
      <c r="N485" s="692"/>
      <c r="O485" s="692"/>
      <c r="P485" s="692"/>
      <c r="Q485" s="692"/>
    </row>
    <row r="486" spans="1:17" s="701" customFormat="1" ht="15" customHeight="1" x14ac:dyDescent="0.25">
      <c r="A486" s="728">
        <f t="shared" si="12"/>
        <v>95.541401273885356</v>
      </c>
      <c r="B486" s="87" t="s">
        <v>2576</v>
      </c>
      <c r="C486" s="87" t="s">
        <v>2074</v>
      </c>
      <c r="D486" s="87">
        <v>15000</v>
      </c>
      <c r="E486" s="87">
        <v>157</v>
      </c>
      <c r="F486" s="87">
        <v>15000</v>
      </c>
      <c r="G486" s="87">
        <f t="shared" si="9"/>
        <v>0</v>
      </c>
      <c r="H486" s="690"/>
      <c r="I486" s="693"/>
      <c r="J486" s="692"/>
      <c r="K486" s="692"/>
      <c r="L486" s="692"/>
      <c r="M486" s="692"/>
      <c r="N486" s="692"/>
      <c r="O486" s="692"/>
      <c r="P486" s="692"/>
      <c r="Q486" s="692"/>
    </row>
    <row r="487" spans="1:17" s="701" customFormat="1" ht="15" customHeight="1" x14ac:dyDescent="0.25">
      <c r="A487" s="728">
        <f t="shared" si="12"/>
        <v>90.395480225988706</v>
      </c>
      <c r="B487" s="87" t="s">
        <v>2576</v>
      </c>
      <c r="C487" s="87" t="s">
        <v>2577</v>
      </c>
      <c r="D487" s="87">
        <v>16000</v>
      </c>
      <c r="E487" s="87">
        <v>177</v>
      </c>
      <c r="F487" s="87">
        <v>16000</v>
      </c>
      <c r="G487" s="87">
        <f t="shared" si="9"/>
        <v>0</v>
      </c>
      <c r="H487" s="690"/>
      <c r="I487" s="693"/>
      <c r="J487" s="692"/>
      <c r="K487" s="692"/>
      <c r="L487" s="692"/>
      <c r="M487" s="692"/>
      <c r="N487" s="692"/>
      <c r="O487" s="692"/>
      <c r="P487" s="692"/>
      <c r="Q487" s="692"/>
    </row>
    <row r="488" spans="1:17" s="701" customFormat="1" ht="15" customHeight="1" x14ac:dyDescent="0.25">
      <c r="A488" s="728">
        <f t="shared" si="12"/>
        <v>88.028169014084511</v>
      </c>
      <c r="B488" s="87" t="s">
        <v>2576</v>
      </c>
      <c r="C488" s="87" t="s">
        <v>2578</v>
      </c>
      <c r="D488" s="87">
        <v>25000</v>
      </c>
      <c r="E488" s="87">
        <v>284</v>
      </c>
      <c r="F488" s="87">
        <v>25000</v>
      </c>
      <c r="G488" s="87">
        <f t="shared" si="9"/>
        <v>0</v>
      </c>
      <c r="H488" s="690"/>
      <c r="I488" s="693"/>
      <c r="J488" s="692"/>
      <c r="K488" s="692"/>
      <c r="L488" s="692"/>
      <c r="M488" s="692"/>
      <c r="N488" s="692"/>
      <c r="O488" s="692"/>
      <c r="P488" s="692"/>
      <c r="Q488" s="692"/>
    </row>
    <row r="489" spans="1:17" s="701" customFormat="1" ht="15" customHeight="1" x14ac:dyDescent="0.25">
      <c r="A489" s="728">
        <f t="shared" si="12"/>
        <v>88</v>
      </c>
      <c r="B489" s="87" t="s">
        <v>2576</v>
      </c>
      <c r="C489" s="87" t="s">
        <v>2579</v>
      </c>
      <c r="D489" s="87">
        <v>22000</v>
      </c>
      <c r="E489" s="87">
        <v>250</v>
      </c>
      <c r="F489" s="87">
        <v>22000</v>
      </c>
      <c r="G489" s="87">
        <f t="shared" si="9"/>
        <v>0</v>
      </c>
      <c r="H489" s="690"/>
      <c r="I489" s="693"/>
      <c r="J489" s="692"/>
      <c r="K489" s="692"/>
      <c r="L489" s="692"/>
      <c r="M489" s="692"/>
      <c r="N489" s="692"/>
      <c r="O489" s="692"/>
      <c r="P489" s="692"/>
      <c r="Q489" s="692"/>
    </row>
    <row r="490" spans="1:17" s="701" customFormat="1" ht="15" customHeight="1" x14ac:dyDescent="0.25">
      <c r="A490" s="728">
        <f t="shared" si="12"/>
        <v>88.495575221238937</v>
      </c>
      <c r="B490" s="87" t="s">
        <v>2576</v>
      </c>
      <c r="C490" s="87" t="s">
        <v>2580</v>
      </c>
      <c r="D490" s="87">
        <v>10000</v>
      </c>
      <c r="E490" s="87">
        <v>113</v>
      </c>
      <c r="F490" s="87">
        <v>10000</v>
      </c>
      <c r="G490" s="87">
        <f t="shared" si="9"/>
        <v>0</v>
      </c>
      <c r="H490" s="690"/>
      <c r="I490" s="693"/>
      <c r="J490" s="692"/>
      <c r="K490" s="692"/>
      <c r="L490" s="692"/>
      <c r="M490" s="692"/>
      <c r="N490" s="692"/>
      <c r="O490" s="692"/>
      <c r="P490" s="692"/>
      <c r="Q490" s="692"/>
    </row>
    <row r="491" spans="1:17" s="701" customFormat="1" ht="15" customHeight="1" x14ac:dyDescent="0.25">
      <c r="A491" s="728">
        <f t="shared" si="12"/>
        <v>88.495575221238937</v>
      </c>
      <c r="B491" s="87" t="s">
        <v>2576</v>
      </c>
      <c r="C491" s="87" t="s">
        <v>2581</v>
      </c>
      <c r="D491" s="87">
        <v>10000</v>
      </c>
      <c r="E491" s="87">
        <v>113</v>
      </c>
      <c r="F491" s="87">
        <v>10000</v>
      </c>
      <c r="G491" s="87">
        <f t="shared" si="9"/>
        <v>0</v>
      </c>
      <c r="H491" s="690"/>
      <c r="I491" s="693"/>
      <c r="J491" s="692"/>
      <c r="K491" s="692"/>
      <c r="L491" s="692"/>
      <c r="M491" s="692"/>
      <c r="N491" s="692"/>
      <c r="O491" s="692"/>
      <c r="P491" s="692"/>
      <c r="Q491" s="692"/>
    </row>
    <row r="492" spans="1:17" s="701" customFormat="1" ht="15" customHeight="1" x14ac:dyDescent="0.25">
      <c r="A492" s="728">
        <f t="shared" si="12"/>
        <v>89.285714285714292</v>
      </c>
      <c r="B492" s="87" t="s">
        <v>2576</v>
      </c>
      <c r="C492" s="87" t="s">
        <v>30</v>
      </c>
      <c r="D492" s="87">
        <v>5000</v>
      </c>
      <c r="E492" s="87">
        <v>56</v>
      </c>
      <c r="F492" s="87">
        <v>5000</v>
      </c>
      <c r="G492" s="87">
        <f t="shared" si="9"/>
        <v>0</v>
      </c>
      <c r="H492" s="690"/>
      <c r="I492" s="693"/>
      <c r="J492" s="692"/>
      <c r="K492" s="692"/>
      <c r="L492" s="692"/>
      <c r="M492" s="692"/>
      <c r="N492" s="692"/>
      <c r="O492" s="692"/>
      <c r="P492" s="692"/>
      <c r="Q492" s="692"/>
    </row>
    <row r="493" spans="1:17" s="701" customFormat="1" ht="15" customHeight="1" x14ac:dyDescent="0.25">
      <c r="A493" s="728">
        <f t="shared" si="12"/>
        <v>93.023255813953483</v>
      </c>
      <c r="B493" s="87" t="s">
        <v>2576</v>
      </c>
      <c r="C493" s="87" t="s">
        <v>2582</v>
      </c>
      <c r="D493" s="87">
        <v>28000</v>
      </c>
      <c r="E493" s="87">
        <v>301</v>
      </c>
      <c r="F493" s="87">
        <v>28000</v>
      </c>
      <c r="G493" s="87">
        <f t="shared" si="9"/>
        <v>0</v>
      </c>
      <c r="H493" s="690"/>
      <c r="I493" s="693"/>
      <c r="J493" s="692"/>
      <c r="K493" s="692"/>
      <c r="L493" s="692"/>
      <c r="M493" s="692"/>
      <c r="N493" s="692"/>
      <c r="O493" s="692"/>
      <c r="P493" s="692"/>
      <c r="Q493" s="692"/>
    </row>
    <row r="494" spans="1:17" s="701" customFormat="1" ht="15" customHeight="1" x14ac:dyDescent="0.25">
      <c r="A494" s="728">
        <f t="shared" si="12"/>
        <v>87.86610878661088</v>
      </c>
      <c r="B494" s="87" t="s">
        <v>2576</v>
      </c>
      <c r="C494" s="87" t="s">
        <v>2583</v>
      </c>
      <c r="D494" s="87">
        <v>21000</v>
      </c>
      <c r="E494" s="87">
        <v>239</v>
      </c>
      <c r="F494" s="87">
        <v>21000</v>
      </c>
      <c r="G494" s="87">
        <f t="shared" si="9"/>
        <v>0</v>
      </c>
      <c r="H494" s="690"/>
      <c r="I494" s="693"/>
      <c r="J494" s="692"/>
      <c r="K494" s="692"/>
      <c r="L494" s="692"/>
      <c r="M494" s="692"/>
      <c r="N494" s="692"/>
      <c r="O494" s="692"/>
      <c r="P494" s="692"/>
      <c r="Q494" s="692"/>
    </row>
    <row r="495" spans="1:17" s="701" customFormat="1" ht="15" customHeight="1" x14ac:dyDescent="0.25">
      <c r="A495" s="728">
        <f t="shared" si="12"/>
        <v>101.85185185185185</v>
      </c>
      <c r="B495" s="87" t="s">
        <v>2576</v>
      </c>
      <c r="C495" s="87" t="s">
        <v>66</v>
      </c>
      <c r="D495" s="87">
        <v>110</v>
      </c>
      <c r="E495" s="87">
        <v>1.08</v>
      </c>
      <c r="F495" s="87">
        <v>110</v>
      </c>
      <c r="G495" s="87">
        <f t="shared" si="9"/>
        <v>0</v>
      </c>
      <c r="H495" s="690"/>
      <c r="I495" s="693"/>
      <c r="J495" s="692"/>
      <c r="K495" s="692"/>
      <c r="L495" s="692"/>
      <c r="M495" s="692"/>
      <c r="N495" s="692"/>
      <c r="O495" s="692"/>
      <c r="P495" s="692"/>
      <c r="Q495" s="692"/>
    </row>
    <row r="496" spans="1:17" s="701" customFormat="1" ht="15" customHeight="1" x14ac:dyDescent="0.25">
      <c r="A496" s="728">
        <f t="shared" si="12"/>
        <v>85.714285714285708</v>
      </c>
      <c r="B496" s="87" t="s">
        <v>2576</v>
      </c>
      <c r="C496" s="87" t="s">
        <v>66</v>
      </c>
      <c r="D496" s="87">
        <v>210</v>
      </c>
      <c r="E496" s="87">
        <v>2.4500000000000002</v>
      </c>
      <c r="F496" s="87">
        <v>210</v>
      </c>
      <c r="G496" s="87">
        <f t="shared" si="9"/>
        <v>0</v>
      </c>
      <c r="H496" s="690"/>
      <c r="I496" s="693"/>
      <c r="J496" s="692"/>
      <c r="K496" s="692"/>
      <c r="L496" s="692"/>
      <c r="M496" s="692"/>
      <c r="N496" s="692"/>
      <c r="O496" s="692"/>
      <c r="P496" s="692"/>
      <c r="Q496" s="692"/>
    </row>
    <row r="497" spans="1:17" s="701" customFormat="1" ht="15" customHeight="1" x14ac:dyDescent="0.25">
      <c r="A497" s="728">
        <f t="shared" si="12"/>
        <v>88.028169014084511</v>
      </c>
      <c r="B497" s="87" t="s">
        <v>2576</v>
      </c>
      <c r="C497" s="476" t="s">
        <v>2584</v>
      </c>
      <c r="D497" s="87">
        <v>25000</v>
      </c>
      <c r="E497" s="87">
        <v>284</v>
      </c>
      <c r="F497" s="87">
        <v>25000</v>
      </c>
      <c r="G497" s="87">
        <f t="shared" si="9"/>
        <v>0</v>
      </c>
      <c r="H497" s="690"/>
      <c r="I497" s="693"/>
      <c r="J497" s="692"/>
      <c r="K497" s="692"/>
      <c r="L497" s="692"/>
      <c r="M497" s="692"/>
      <c r="N497" s="692"/>
      <c r="O497" s="692"/>
      <c r="P497" s="692"/>
      <c r="Q497" s="692"/>
    </row>
    <row r="498" spans="1:17" s="701" customFormat="1" ht="15" customHeight="1" x14ac:dyDescent="0.25">
      <c r="A498" s="728">
        <f t="shared" si="12"/>
        <v>88.082901554404145</v>
      </c>
      <c r="B498" s="87" t="s">
        <v>2576</v>
      </c>
      <c r="C498" s="87" t="s">
        <v>2133</v>
      </c>
      <c r="D498" s="87">
        <v>17000</v>
      </c>
      <c r="E498" s="87">
        <v>193</v>
      </c>
      <c r="F498" s="87">
        <v>17000</v>
      </c>
      <c r="G498" s="87">
        <f t="shared" si="9"/>
        <v>0</v>
      </c>
      <c r="H498" s="690"/>
      <c r="I498" s="693"/>
      <c r="J498" s="692"/>
      <c r="K498" s="692"/>
      <c r="L498" s="692"/>
      <c r="M498" s="692"/>
      <c r="N498" s="692"/>
      <c r="O498" s="692"/>
      <c r="P498" s="692"/>
      <c r="Q498" s="692"/>
    </row>
    <row r="499" spans="1:17" s="701" customFormat="1" ht="15" customHeight="1" x14ac:dyDescent="0.25">
      <c r="A499" s="728">
        <f t="shared" si="12"/>
        <v>88.082901554404145</v>
      </c>
      <c r="B499" s="87" t="s">
        <v>2576</v>
      </c>
      <c r="C499" s="87" t="s">
        <v>1871</v>
      </c>
      <c r="D499" s="87">
        <v>17000</v>
      </c>
      <c r="E499" s="87">
        <v>193</v>
      </c>
      <c r="F499" s="87">
        <v>17000</v>
      </c>
      <c r="G499" s="87">
        <f t="shared" si="9"/>
        <v>0</v>
      </c>
      <c r="H499" s="690"/>
      <c r="I499" s="693"/>
      <c r="J499" s="692"/>
      <c r="K499" s="692"/>
      <c r="L499" s="692"/>
      <c r="M499" s="692"/>
      <c r="N499" s="692"/>
      <c r="O499" s="692"/>
      <c r="P499" s="692"/>
      <c r="Q499" s="692"/>
    </row>
    <row r="500" spans="1:17" s="701" customFormat="1" ht="15" customHeight="1" x14ac:dyDescent="0.25">
      <c r="A500" s="728">
        <f t="shared" si="12"/>
        <v>88.082901554404145</v>
      </c>
      <c r="B500" s="87" t="s">
        <v>2576</v>
      </c>
      <c r="C500" s="87" t="s">
        <v>2081</v>
      </c>
      <c r="D500" s="87">
        <v>17000</v>
      </c>
      <c r="E500" s="87">
        <v>193</v>
      </c>
      <c r="F500" s="87">
        <v>17000</v>
      </c>
      <c r="G500" s="87">
        <f t="shared" si="9"/>
        <v>0</v>
      </c>
      <c r="H500" s="690"/>
      <c r="I500" s="693"/>
      <c r="J500" s="692"/>
      <c r="K500" s="692"/>
      <c r="L500" s="692"/>
      <c r="M500" s="692"/>
      <c r="N500" s="692"/>
      <c r="O500" s="692"/>
      <c r="P500" s="692"/>
      <c r="Q500" s="692"/>
    </row>
    <row r="501" spans="1:17" s="701" customFormat="1" ht="15" customHeight="1" x14ac:dyDescent="0.25">
      <c r="A501" s="728">
        <f t="shared" si="12"/>
        <v>88.082901554404145</v>
      </c>
      <c r="B501" s="87" t="s">
        <v>2576</v>
      </c>
      <c r="C501" s="87" t="s">
        <v>2079</v>
      </c>
      <c r="D501" s="87">
        <v>17000</v>
      </c>
      <c r="E501" s="87">
        <v>193</v>
      </c>
      <c r="F501" s="87">
        <v>17000</v>
      </c>
      <c r="G501" s="87">
        <f t="shared" si="9"/>
        <v>0</v>
      </c>
      <c r="H501" s="690"/>
      <c r="I501" s="693"/>
      <c r="J501" s="692"/>
      <c r="K501" s="692"/>
      <c r="L501" s="692"/>
      <c r="M501" s="692"/>
      <c r="N501" s="692"/>
      <c r="O501" s="692"/>
      <c r="P501" s="692"/>
      <c r="Q501" s="692"/>
    </row>
    <row r="502" spans="1:17" s="701" customFormat="1" ht="15" customHeight="1" x14ac:dyDescent="0.25">
      <c r="A502" s="728">
        <f t="shared" si="12"/>
        <v>87.912087912087912</v>
      </c>
      <c r="B502" s="87" t="s">
        <v>2576</v>
      </c>
      <c r="C502" s="87" t="s">
        <v>2303</v>
      </c>
      <c r="D502" s="87">
        <v>16000</v>
      </c>
      <c r="E502" s="87">
        <v>182</v>
      </c>
      <c r="F502" s="87">
        <v>16000</v>
      </c>
      <c r="G502" s="87">
        <f t="shared" si="9"/>
        <v>0</v>
      </c>
      <c r="H502" s="690"/>
      <c r="I502" s="693"/>
      <c r="J502" s="692"/>
      <c r="K502" s="692"/>
      <c r="L502" s="692"/>
      <c r="M502" s="692"/>
      <c r="N502" s="692"/>
      <c r="O502" s="692"/>
      <c r="P502" s="692"/>
      <c r="Q502" s="692"/>
    </row>
    <row r="503" spans="1:17" s="701" customFormat="1" ht="15" customHeight="1" x14ac:dyDescent="0.25">
      <c r="A503" s="728">
        <f t="shared" si="12"/>
        <v>88.028169014084511</v>
      </c>
      <c r="B503" s="87" t="s">
        <v>2576</v>
      </c>
      <c r="C503" s="87" t="s">
        <v>2033</v>
      </c>
      <c r="D503" s="87">
        <v>25000</v>
      </c>
      <c r="E503" s="87">
        <v>284</v>
      </c>
      <c r="F503" s="87">
        <v>25000</v>
      </c>
      <c r="G503" s="87">
        <f t="shared" si="9"/>
        <v>0</v>
      </c>
      <c r="H503" s="690"/>
      <c r="I503" s="693"/>
      <c r="J503" s="692"/>
      <c r="K503" s="692"/>
      <c r="L503" s="692"/>
      <c r="M503" s="692"/>
      <c r="N503" s="692"/>
      <c r="O503" s="692"/>
      <c r="P503" s="692"/>
      <c r="Q503" s="692"/>
    </row>
    <row r="504" spans="1:17" s="701" customFormat="1" ht="15" customHeight="1" x14ac:dyDescent="0.25">
      <c r="A504" s="728">
        <f t="shared" si="12"/>
        <v>87.912087912087912</v>
      </c>
      <c r="B504" s="87" t="s">
        <v>2576</v>
      </c>
      <c r="C504" s="87" t="s">
        <v>2038</v>
      </c>
      <c r="D504" s="87">
        <v>16000</v>
      </c>
      <c r="E504" s="87">
        <v>182</v>
      </c>
      <c r="F504" s="87">
        <v>16000</v>
      </c>
      <c r="G504" s="87">
        <f t="shared" si="9"/>
        <v>0</v>
      </c>
      <c r="H504" s="690"/>
      <c r="I504" s="693"/>
      <c r="J504" s="692"/>
      <c r="K504" s="692"/>
      <c r="L504" s="692"/>
      <c r="M504" s="692"/>
      <c r="N504" s="692"/>
      <c r="O504" s="692"/>
      <c r="P504" s="692"/>
      <c r="Q504" s="692"/>
    </row>
    <row r="505" spans="1:17" s="701" customFormat="1" ht="15" customHeight="1" x14ac:dyDescent="0.25">
      <c r="A505" s="728">
        <f t="shared" si="12"/>
        <v>87.976539589442808</v>
      </c>
      <c r="B505" s="87" t="s">
        <v>2576</v>
      </c>
      <c r="C505" s="87" t="s">
        <v>2585</v>
      </c>
      <c r="D505" s="87">
        <v>30000</v>
      </c>
      <c r="E505" s="87">
        <v>341</v>
      </c>
      <c r="F505" s="87">
        <v>30000</v>
      </c>
      <c r="G505" s="87">
        <f t="shared" si="9"/>
        <v>0</v>
      </c>
      <c r="H505" s="690"/>
      <c r="I505" s="693"/>
      <c r="J505" s="692"/>
      <c r="K505" s="692"/>
      <c r="L505" s="692"/>
      <c r="M505" s="692"/>
      <c r="N505" s="692"/>
      <c r="O505" s="692"/>
      <c r="P505" s="692"/>
      <c r="Q505" s="692"/>
    </row>
    <row r="506" spans="1:17" s="701" customFormat="1" ht="15" customHeight="1" x14ac:dyDescent="0.25">
      <c r="A506" s="728">
        <f t="shared" si="12"/>
        <v>88.495575221238937</v>
      </c>
      <c r="B506" s="87" t="s">
        <v>2576</v>
      </c>
      <c r="C506" s="87" t="s">
        <v>2586</v>
      </c>
      <c r="D506" s="87">
        <v>10000</v>
      </c>
      <c r="E506" s="87">
        <v>113</v>
      </c>
      <c r="F506" s="87">
        <v>10000</v>
      </c>
      <c r="G506" s="87">
        <f t="shared" si="9"/>
        <v>0</v>
      </c>
      <c r="H506" s="690"/>
      <c r="I506" s="693"/>
      <c r="J506" s="692"/>
      <c r="K506" s="692"/>
      <c r="L506" s="692"/>
      <c r="M506" s="692"/>
      <c r="N506" s="692"/>
      <c r="O506" s="692"/>
      <c r="P506" s="692"/>
      <c r="Q506" s="692"/>
    </row>
    <row r="507" spans="1:17" s="701" customFormat="1" ht="15" customHeight="1" x14ac:dyDescent="0.25">
      <c r="A507" s="728">
        <f t="shared" si="12"/>
        <v>89.743589743589737</v>
      </c>
      <c r="B507" s="87" t="s">
        <v>2587</v>
      </c>
      <c r="C507" s="87" t="s">
        <v>1868</v>
      </c>
      <c r="D507" s="87">
        <v>21000</v>
      </c>
      <c r="E507" s="87">
        <v>234</v>
      </c>
      <c r="F507" s="87">
        <v>21000</v>
      </c>
      <c r="G507" s="87">
        <f t="shared" si="9"/>
        <v>0</v>
      </c>
      <c r="H507" s="690"/>
      <c r="I507" s="693"/>
      <c r="J507" s="692"/>
      <c r="K507" s="692"/>
      <c r="L507" s="692"/>
      <c r="M507" s="692"/>
      <c r="N507" s="692"/>
      <c r="O507" s="692"/>
      <c r="P507" s="692"/>
      <c r="Q507" s="692"/>
    </row>
    <row r="508" spans="1:17" s="701" customFormat="1" ht="15" customHeight="1" x14ac:dyDescent="0.25">
      <c r="A508" s="728">
        <f t="shared" si="12"/>
        <v>87.86610878661088</v>
      </c>
      <c r="B508" s="87" t="s">
        <v>2587</v>
      </c>
      <c r="C508" s="87" t="s">
        <v>2145</v>
      </c>
      <c r="D508" s="87">
        <v>21000</v>
      </c>
      <c r="E508" s="87">
        <v>239</v>
      </c>
      <c r="F508" s="87">
        <v>21000</v>
      </c>
      <c r="G508" s="87">
        <f t="shared" si="9"/>
        <v>0</v>
      </c>
      <c r="H508" s="690"/>
      <c r="I508" s="693"/>
      <c r="J508" s="692"/>
      <c r="K508" s="692"/>
      <c r="L508" s="692"/>
      <c r="M508" s="692"/>
      <c r="N508" s="692"/>
      <c r="O508" s="692"/>
      <c r="P508" s="692"/>
      <c r="Q508" s="692"/>
    </row>
    <row r="509" spans="1:17" s="701" customFormat="1" ht="15" customHeight="1" x14ac:dyDescent="0.25">
      <c r="A509" s="728">
        <f t="shared" si="12"/>
        <v>88.105726872246692</v>
      </c>
      <c r="B509" s="87" t="s">
        <v>2587</v>
      </c>
      <c r="C509" s="87" t="s">
        <v>2588</v>
      </c>
      <c r="D509" s="87">
        <v>20000</v>
      </c>
      <c r="E509" s="87">
        <v>227</v>
      </c>
      <c r="F509" s="87">
        <v>20000</v>
      </c>
      <c r="G509" s="87">
        <f t="shared" si="9"/>
        <v>0</v>
      </c>
      <c r="H509" s="690"/>
      <c r="I509" s="693"/>
      <c r="J509" s="692"/>
      <c r="K509" s="692"/>
      <c r="L509" s="692"/>
      <c r="M509" s="692"/>
      <c r="N509" s="692"/>
      <c r="O509" s="692"/>
      <c r="P509" s="692"/>
      <c r="Q509" s="692"/>
    </row>
    <row r="510" spans="1:17" s="701" customFormat="1" ht="15" customHeight="1" x14ac:dyDescent="0.25">
      <c r="A510" s="728">
        <f t="shared" si="12"/>
        <v>87.867796610169492</v>
      </c>
      <c r="B510" s="87" t="s">
        <v>2587</v>
      </c>
      <c r="C510" s="87" t="s">
        <v>2589</v>
      </c>
      <c r="D510" s="87">
        <v>25921</v>
      </c>
      <c r="E510" s="87">
        <v>295</v>
      </c>
      <c r="F510" s="87">
        <v>25921</v>
      </c>
      <c r="G510" s="87">
        <f t="shared" si="9"/>
        <v>0</v>
      </c>
      <c r="H510" s="690"/>
      <c r="I510" s="693"/>
      <c r="J510" s="692"/>
      <c r="K510" s="692"/>
      <c r="L510" s="692"/>
      <c r="M510" s="692"/>
      <c r="N510" s="692"/>
      <c r="O510" s="692"/>
      <c r="P510" s="692"/>
      <c r="Q510" s="692"/>
    </row>
    <row r="511" spans="1:17" s="701" customFormat="1" ht="15" customHeight="1" x14ac:dyDescent="0.25">
      <c r="A511" s="728">
        <f t="shared" si="12"/>
        <v>87.912087912087912</v>
      </c>
      <c r="B511" s="87" t="s">
        <v>2587</v>
      </c>
      <c r="C511" s="87" t="s">
        <v>1855</v>
      </c>
      <c r="D511" s="87">
        <v>16000</v>
      </c>
      <c r="E511" s="87">
        <v>182</v>
      </c>
      <c r="F511" s="87">
        <v>16000</v>
      </c>
      <c r="G511" s="87">
        <f t="shared" si="9"/>
        <v>0</v>
      </c>
      <c r="H511" s="690"/>
      <c r="I511" s="693"/>
      <c r="J511" s="692"/>
      <c r="K511" s="692"/>
      <c r="L511" s="692"/>
      <c r="M511" s="692"/>
      <c r="N511" s="692"/>
      <c r="O511" s="692"/>
      <c r="P511" s="692"/>
      <c r="Q511" s="692"/>
    </row>
    <row r="512" spans="1:17" s="701" customFormat="1" ht="15" customHeight="1" x14ac:dyDescent="0.25">
      <c r="A512" s="728">
        <f t="shared" si="12"/>
        <v>88.082901554404145</v>
      </c>
      <c r="B512" s="87" t="s">
        <v>2587</v>
      </c>
      <c r="C512" s="87" t="s">
        <v>2044</v>
      </c>
      <c r="D512" s="87">
        <v>17000</v>
      </c>
      <c r="E512" s="87">
        <v>193</v>
      </c>
      <c r="F512" s="87">
        <v>17000</v>
      </c>
      <c r="G512" s="87">
        <f t="shared" si="9"/>
        <v>0</v>
      </c>
      <c r="H512" s="690"/>
      <c r="I512" s="693"/>
      <c r="J512" s="692"/>
      <c r="K512" s="692"/>
      <c r="L512" s="692"/>
      <c r="M512" s="692"/>
      <c r="N512" s="692"/>
      <c r="O512" s="692"/>
      <c r="P512" s="692"/>
      <c r="Q512" s="692"/>
    </row>
    <row r="513" spans="1:17" s="701" customFormat="1" ht="15" customHeight="1" x14ac:dyDescent="0.25">
      <c r="A513" s="728">
        <f t="shared" si="12"/>
        <v>87.804878048780495</v>
      </c>
      <c r="B513" s="87" t="s">
        <v>2587</v>
      </c>
      <c r="C513" s="87" t="s">
        <v>2590</v>
      </c>
      <c r="D513" s="87">
        <v>18000</v>
      </c>
      <c r="E513" s="87">
        <v>205</v>
      </c>
      <c r="F513" s="87">
        <v>18000</v>
      </c>
      <c r="G513" s="87">
        <f t="shared" si="9"/>
        <v>0</v>
      </c>
      <c r="H513" s="690"/>
      <c r="I513" s="693"/>
      <c r="J513" s="692"/>
      <c r="K513" s="692"/>
      <c r="L513" s="692"/>
      <c r="M513" s="692"/>
      <c r="N513" s="692"/>
      <c r="O513" s="692"/>
      <c r="P513" s="692"/>
      <c r="Q513" s="692"/>
    </row>
    <row r="514" spans="1:17" s="701" customFormat="1" ht="15" customHeight="1" x14ac:dyDescent="0.25">
      <c r="A514" s="728">
        <f t="shared" si="12"/>
        <v>88.105726872246692</v>
      </c>
      <c r="B514" s="87" t="s">
        <v>2587</v>
      </c>
      <c r="C514" s="87" t="s">
        <v>2591</v>
      </c>
      <c r="D514" s="87">
        <v>20000</v>
      </c>
      <c r="E514" s="87">
        <v>227</v>
      </c>
      <c r="F514" s="87">
        <v>20000</v>
      </c>
      <c r="G514" s="87">
        <f t="shared" si="9"/>
        <v>0</v>
      </c>
      <c r="H514" s="690"/>
      <c r="I514" s="693"/>
      <c r="J514" s="692"/>
      <c r="K514" s="692"/>
      <c r="L514" s="692"/>
      <c r="M514" s="692"/>
      <c r="N514" s="692"/>
      <c r="O514" s="692"/>
      <c r="P514" s="692"/>
      <c r="Q514" s="692"/>
    </row>
    <row r="515" spans="1:17" s="701" customFormat="1" ht="15" customHeight="1" x14ac:dyDescent="0.25">
      <c r="A515" s="728">
        <f t="shared" si="12"/>
        <v>88.495575221238937</v>
      </c>
      <c r="B515" s="87" t="s">
        <v>2587</v>
      </c>
      <c r="C515" s="87" t="s">
        <v>2592</v>
      </c>
      <c r="D515" s="87">
        <v>10000</v>
      </c>
      <c r="E515" s="87">
        <v>113</v>
      </c>
      <c r="F515" s="87">
        <v>10000</v>
      </c>
      <c r="G515" s="87">
        <f t="shared" si="9"/>
        <v>0</v>
      </c>
      <c r="H515" s="690"/>
      <c r="I515" s="693"/>
      <c r="J515" s="692"/>
      <c r="K515" s="692"/>
      <c r="L515" s="692"/>
      <c r="M515" s="692"/>
      <c r="N515" s="692"/>
      <c r="O515" s="692"/>
      <c r="P515" s="692"/>
      <c r="Q515" s="692"/>
    </row>
    <row r="516" spans="1:17" s="701" customFormat="1" ht="15" customHeight="1" x14ac:dyDescent="0.25">
      <c r="A516" s="728">
        <f t="shared" si="12"/>
        <v>87.804878048780495</v>
      </c>
      <c r="B516" s="87" t="s">
        <v>2587</v>
      </c>
      <c r="C516" s="87" t="s">
        <v>2593</v>
      </c>
      <c r="D516" s="87">
        <v>18000</v>
      </c>
      <c r="E516" s="87">
        <v>205</v>
      </c>
      <c r="F516" s="87">
        <v>18000</v>
      </c>
      <c r="G516" s="87">
        <f t="shared" si="9"/>
        <v>0</v>
      </c>
      <c r="H516" s="690"/>
      <c r="I516" s="693"/>
      <c r="J516" s="692"/>
      <c r="K516" s="692"/>
      <c r="L516" s="692"/>
      <c r="M516" s="692"/>
      <c r="N516" s="692"/>
      <c r="O516" s="692"/>
      <c r="P516" s="692"/>
      <c r="Q516" s="692"/>
    </row>
    <row r="517" spans="1:17" s="701" customFormat="1" ht="15" customHeight="1" x14ac:dyDescent="0.25">
      <c r="A517" s="728">
        <f t="shared" si="12"/>
        <v>88.105726872246692</v>
      </c>
      <c r="B517" s="87" t="s">
        <v>2587</v>
      </c>
      <c r="C517" s="87" t="s">
        <v>2594</v>
      </c>
      <c r="D517" s="87">
        <v>20000</v>
      </c>
      <c r="E517" s="87">
        <v>227</v>
      </c>
      <c r="F517" s="87">
        <v>20000</v>
      </c>
      <c r="G517" s="87">
        <f t="shared" si="9"/>
        <v>0</v>
      </c>
      <c r="H517" s="690"/>
      <c r="I517" s="693"/>
      <c r="J517" s="692"/>
      <c r="K517" s="692"/>
      <c r="L517" s="692"/>
      <c r="M517" s="692"/>
      <c r="N517" s="692"/>
      <c r="O517" s="692"/>
      <c r="P517" s="692"/>
      <c r="Q517" s="692"/>
    </row>
    <row r="518" spans="1:17" s="701" customFormat="1" ht="15" customHeight="1" x14ac:dyDescent="0.25">
      <c r="A518" s="728">
        <f t="shared" si="12"/>
        <v>87.976539589442808</v>
      </c>
      <c r="B518" s="87" t="s">
        <v>2587</v>
      </c>
      <c r="C518" s="87" t="s">
        <v>2595</v>
      </c>
      <c r="D518" s="87">
        <v>30000</v>
      </c>
      <c r="E518" s="87">
        <v>341</v>
      </c>
      <c r="F518" s="87">
        <v>30000</v>
      </c>
      <c r="G518" s="87">
        <f t="shared" si="9"/>
        <v>0</v>
      </c>
      <c r="H518" s="690"/>
      <c r="I518" s="693"/>
      <c r="J518" s="692"/>
      <c r="K518" s="692"/>
      <c r="L518" s="692"/>
      <c r="M518" s="692"/>
      <c r="N518" s="692"/>
      <c r="O518" s="692"/>
      <c r="P518" s="692"/>
      <c r="Q518" s="692"/>
    </row>
    <row r="519" spans="1:17" s="701" customFormat="1" ht="15" customHeight="1" x14ac:dyDescent="0.25">
      <c r="A519" s="728">
        <f t="shared" ref="A519:A582" si="13">D519/E519</f>
        <v>87.976539589442808</v>
      </c>
      <c r="B519" s="87" t="s">
        <v>2587</v>
      </c>
      <c r="C519" s="87" t="s">
        <v>2596</v>
      </c>
      <c r="D519" s="87">
        <v>30000</v>
      </c>
      <c r="E519" s="87">
        <v>341</v>
      </c>
      <c r="F519" s="87">
        <v>30000</v>
      </c>
      <c r="G519" s="87">
        <f t="shared" si="9"/>
        <v>0</v>
      </c>
      <c r="H519" s="690"/>
      <c r="I519" s="693"/>
      <c r="J519" s="692"/>
      <c r="K519" s="692"/>
      <c r="L519" s="692"/>
      <c r="M519" s="692"/>
      <c r="N519" s="692"/>
      <c r="O519" s="692"/>
      <c r="P519" s="692"/>
      <c r="Q519" s="692"/>
    </row>
    <row r="520" spans="1:17" s="701" customFormat="1" ht="15" customHeight="1" x14ac:dyDescent="0.25">
      <c r="A520" s="728">
        <f t="shared" si="13"/>
        <v>87.976539589442808</v>
      </c>
      <c r="B520" s="87" t="s">
        <v>2587</v>
      </c>
      <c r="C520" s="87" t="s">
        <v>2597</v>
      </c>
      <c r="D520" s="87">
        <v>30000</v>
      </c>
      <c r="E520" s="87">
        <v>341</v>
      </c>
      <c r="F520" s="87">
        <v>30000</v>
      </c>
      <c r="G520" s="87">
        <f t="shared" si="9"/>
        <v>0</v>
      </c>
      <c r="H520" s="690"/>
      <c r="I520" s="693"/>
      <c r="J520" s="692"/>
      <c r="K520" s="692"/>
      <c r="L520" s="692"/>
      <c r="M520" s="692"/>
      <c r="N520" s="692"/>
      <c r="O520" s="692"/>
      <c r="P520" s="692"/>
      <c r="Q520" s="692"/>
    </row>
    <row r="521" spans="1:17" s="701" customFormat="1" ht="15" customHeight="1" x14ac:dyDescent="0.25">
      <c r="A521" s="728">
        <f t="shared" si="13"/>
        <v>88.105726872246692</v>
      </c>
      <c r="B521" s="87" t="s">
        <v>2587</v>
      </c>
      <c r="C521" s="87" t="s">
        <v>2598</v>
      </c>
      <c r="D521" s="87">
        <v>20000</v>
      </c>
      <c r="E521" s="87">
        <v>227</v>
      </c>
      <c r="F521" s="87">
        <v>20000</v>
      </c>
      <c r="G521" s="87">
        <f t="shared" si="9"/>
        <v>0</v>
      </c>
      <c r="H521" s="690"/>
      <c r="I521" s="693"/>
      <c r="J521" s="692"/>
      <c r="K521" s="692"/>
      <c r="L521" s="692"/>
      <c r="M521" s="692"/>
      <c r="N521" s="692"/>
      <c r="O521" s="692"/>
      <c r="P521" s="692"/>
      <c r="Q521" s="692"/>
    </row>
    <row r="522" spans="1:17" s="701" customFormat="1" ht="15" customHeight="1" x14ac:dyDescent="0.25">
      <c r="A522" s="728">
        <f t="shared" si="13"/>
        <v>88.105726872246692</v>
      </c>
      <c r="B522" s="87" t="s">
        <v>2587</v>
      </c>
      <c r="C522" s="87" t="s">
        <v>2599</v>
      </c>
      <c r="D522" s="87">
        <v>20000</v>
      </c>
      <c r="E522" s="87">
        <v>227</v>
      </c>
      <c r="F522" s="87">
        <v>20000</v>
      </c>
      <c r="G522" s="87">
        <f t="shared" si="9"/>
        <v>0</v>
      </c>
      <c r="H522" s="690"/>
      <c r="I522" s="693"/>
      <c r="J522" s="692"/>
      <c r="K522" s="692"/>
      <c r="L522" s="692"/>
      <c r="M522" s="692"/>
      <c r="N522" s="692"/>
      <c r="O522" s="692"/>
      <c r="P522" s="692"/>
      <c r="Q522" s="692"/>
    </row>
    <row r="523" spans="1:17" s="701" customFormat="1" ht="15" customHeight="1" x14ac:dyDescent="0.25">
      <c r="A523" s="728">
        <f t="shared" si="13"/>
        <v>88.495575221238937</v>
      </c>
      <c r="B523" s="87" t="s">
        <v>2587</v>
      </c>
      <c r="C523" s="87" t="s">
        <v>2600</v>
      </c>
      <c r="D523" s="87">
        <v>10000</v>
      </c>
      <c r="E523" s="87">
        <v>113</v>
      </c>
      <c r="F523" s="87">
        <v>10000</v>
      </c>
      <c r="G523" s="87">
        <f t="shared" si="9"/>
        <v>0</v>
      </c>
      <c r="H523" s="690"/>
      <c r="I523" s="693"/>
      <c r="J523" s="692"/>
      <c r="K523" s="692"/>
      <c r="L523" s="692"/>
      <c r="M523" s="692"/>
      <c r="N523" s="692"/>
      <c r="O523" s="692"/>
      <c r="P523" s="692"/>
      <c r="Q523" s="692"/>
    </row>
    <row r="524" spans="1:17" s="700" customFormat="1" ht="15" customHeight="1" x14ac:dyDescent="0.25">
      <c r="A524" s="728">
        <f t="shared" si="13"/>
        <v>88.105726872246692</v>
      </c>
      <c r="B524" s="87" t="s">
        <v>2489</v>
      </c>
      <c r="C524" s="87" t="s">
        <v>2490</v>
      </c>
      <c r="D524" s="87">
        <v>20000</v>
      </c>
      <c r="E524" s="87">
        <v>227</v>
      </c>
      <c r="F524" s="87">
        <v>20000</v>
      </c>
      <c r="G524" s="87">
        <f t="shared" si="9"/>
        <v>0</v>
      </c>
      <c r="H524" s="690"/>
      <c r="I524" s="693"/>
      <c r="J524" s="692"/>
      <c r="K524" s="692"/>
      <c r="L524" s="692"/>
      <c r="M524" s="692"/>
      <c r="N524" s="692"/>
      <c r="O524" s="692"/>
      <c r="P524" s="692"/>
      <c r="Q524" s="692"/>
    </row>
    <row r="525" spans="1:17" s="700" customFormat="1" ht="15" customHeight="1" x14ac:dyDescent="0.25">
      <c r="A525" s="728">
        <f t="shared" si="13"/>
        <v>88.082901554404145</v>
      </c>
      <c r="B525" s="87" t="s">
        <v>2489</v>
      </c>
      <c r="C525" s="87" t="s">
        <v>1992</v>
      </c>
      <c r="D525" s="87">
        <v>17000</v>
      </c>
      <c r="E525" s="87">
        <v>193</v>
      </c>
      <c r="F525" s="87">
        <v>17000</v>
      </c>
      <c r="G525" s="87">
        <f t="shared" si="9"/>
        <v>0</v>
      </c>
      <c r="H525" s="690"/>
      <c r="I525" s="693"/>
      <c r="J525" s="692"/>
      <c r="K525" s="692"/>
      <c r="L525" s="692"/>
      <c r="M525" s="692"/>
      <c r="N525" s="692"/>
      <c r="O525" s="692"/>
      <c r="P525" s="692"/>
      <c r="Q525" s="692"/>
    </row>
    <row r="526" spans="1:17" s="700" customFormat="1" ht="15" customHeight="1" x14ac:dyDescent="0.25">
      <c r="A526" s="728">
        <f t="shared" si="13"/>
        <v>88.105726872246692</v>
      </c>
      <c r="B526" s="87" t="s">
        <v>2489</v>
      </c>
      <c r="C526" s="87" t="s">
        <v>2220</v>
      </c>
      <c r="D526" s="87">
        <v>20000</v>
      </c>
      <c r="E526" s="87">
        <v>227</v>
      </c>
      <c r="F526" s="87">
        <v>20000</v>
      </c>
      <c r="G526" s="87">
        <f t="shared" si="9"/>
        <v>0</v>
      </c>
      <c r="H526" s="690"/>
      <c r="I526" s="693"/>
      <c r="J526" s="692"/>
      <c r="K526" s="692"/>
      <c r="L526" s="692"/>
      <c r="M526" s="692"/>
      <c r="N526" s="692"/>
      <c r="O526" s="692"/>
      <c r="P526" s="692"/>
      <c r="Q526" s="692"/>
    </row>
    <row r="527" spans="1:17" s="700" customFormat="1" ht="15" customHeight="1" x14ac:dyDescent="0.25">
      <c r="A527" s="728">
        <f t="shared" si="13"/>
        <v>88.235294117647058</v>
      </c>
      <c r="B527" s="87" t="s">
        <v>2489</v>
      </c>
      <c r="C527" s="87" t="s">
        <v>1750</v>
      </c>
      <c r="D527" s="87">
        <v>15000</v>
      </c>
      <c r="E527" s="87">
        <v>170</v>
      </c>
      <c r="F527" s="87">
        <v>15000</v>
      </c>
      <c r="G527" s="87">
        <f t="shared" ref="G527:G543" si="14">D527-F527</f>
        <v>0</v>
      </c>
      <c r="H527" s="690"/>
      <c r="I527" s="693"/>
      <c r="J527" s="692"/>
      <c r="K527" s="692"/>
      <c r="L527" s="692"/>
      <c r="M527" s="692"/>
      <c r="N527" s="692"/>
      <c r="O527" s="692"/>
      <c r="P527" s="692"/>
      <c r="Q527" s="692"/>
    </row>
    <row r="528" spans="1:17" s="700" customFormat="1" ht="15" customHeight="1" x14ac:dyDescent="0.25">
      <c r="A528" s="728">
        <f t="shared" si="13"/>
        <v>101.85185185185185</v>
      </c>
      <c r="B528" s="87" t="s">
        <v>2489</v>
      </c>
      <c r="C528" s="87" t="s">
        <v>66</v>
      </c>
      <c r="D528" s="87">
        <v>110</v>
      </c>
      <c r="E528" s="87">
        <v>1.08</v>
      </c>
      <c r="F528" s="87">
        <v>110</v>
      </c>
      <c r="G528" s="87">
        <f t="shared" si="14"/>
        <v>0</v>
      </c>
      <c r="H528" s="690"/>
      <c r="I528" s="693"/>
      <c r="J528" s="692"/>
      <c r="K528" s="692"/>
      <c r="L528" s="692"/>
      <c r="M528" s="692"/>
      <c r="N528" s="692"/>
      <c r="O528" s="692"/>
      <c r="P528" s="692"/>
      <c r="Q528" s="692"/>
    </row>
    <row r="529" spans="1:17" s="700" customFormat="1" ht="15" customHeight="1" x14ac:dyDescent="0.25">
      <c r="A529" s="728">
        <f t="shared" si="13"/>
        <v>96.330275229357795</v>
      </c>
      <c r="B529" s="87" t="s">
        <v>2489</v>
      </c>
      <c r="C529" s="87" t="s">
        <v>66</v>
      </c>
      <c r="D529" s="87">
        <v>210</v>
      </c>
      <c r="E529" s="87">
        <v>2.1800000000000002</v>
      </c>
      <c r="F529" s="87">
        <v>210</v>
      </c>
      <c r="G529" s="87">
        <f t="shared" si="14"/>
        <v>0</v>
      </c>
      <c r="H529" s="690"/>
      <c r="I529" s="693"/>
      <c r="J529" s="692"/>
      <c r="K529" s="692"/>
      <c r="L529" s="692"/>
      <c r="M529" s="692"/>
      <c r="N529" s="692"/>
      <c r="O529" s="692"/>
      <c r="P529" s="692"/>
      <c r="Q529" s="692"/>
    </row>
    <row r="530" spans="1:17" s="700" customFormat="1" ht="15" customHeight="1" x14ac:dyDescent="0.25">
      <c r="A530" s="728">
        <f t="shared" si="13"/>
        <v>87.976539589442808</v>
      </c>
      <c r="B530" s="87" t="s">
        <v>2489</v>
      </c>
      <c r="C530" s="87" t="s">
        <v>2491</v>
      </c>
      <c r="D530" s="87">
        <v>30000</v>
      </c>
      <c r="E530" s="87">
        <v>341</v>
      </c>
      <c r="F530" s="87">
        <v>30000</v>
      </c>
      <c r="G530" s="87">
        <f t="shared" si="14"/>
        <v>0</v>
      </c>
      <c r="H530" s="690"/>
      <c r="I530" s="693"/>
      <c r="J530" s="692"/>
      <c r="K530" s="692"/>
      <c r="L530" s="692"/>
      <c r="M530" s="692"/>
      <c r="N530" s="692"/>
      <c r="O530" s="692"/>
      <c r="P530" s="692"/>
      <c r="Q530" s="692"/>
    </row>
    <row r="531" spans="1:17" s="700" customFormat="1" ht="15" customHeight="1" x14ac:dyDescent="0.25">
      <c r="A531" s="728">
        <f t="shared" si="13"/>
        <v>90.909090909090907</v>
      </c>
      <c r="B531" s="87" t="s">
        <v>2489</v>
      </c>
      <c r="C531" s="87" t="s">
        <v>17</v>
      </c>
      <c r="D531" s="87">
        <v>3000</v>
      </c>
      <c r="E531" s="87">
        <v>33</v>
      </c>
      <c r="F531" s="87">
        <v>3000</v>
      </c>
      <c r="G531" s="87">
        <f t="shared" si="14"/>
        <v>0</v>
      </c>
      <c r="H531" s="690"/>
      <c r="I531" s="693"/>
      <c r="J531" s="692"/>
      <c r="K531" s="692"/>
      <c r="L531" s="692"/>
      <c r="M531" s="692"/>
      <c r="N531" s="692"/>
      <c r="O531" s="692"/>
      <c r="P531" s="692"/>
      <c r="Q531" s="692"/>
    </row>
    <row r="532" spans="1:17" s="700" customFormat="1" ht="15" customHeight="1" x14ac:dyDescent="0.25">
      <c r="A532" s="728">
        <f t="shared" si="13"/>
        <v>88.105726872246692</v>
      </c>
      <c r="B532" s="87" t="s">
        <v>2489</v>
      </c>
      <c r="C532" s="87" t="s">
        <v>2492</v>
      </c>
      <c r="D532" s="87">
        <v>20000</v>
      </c>
      <c r="E532" s="87">
        <v>227</v>
      </c>
      <c r="F532" s="87">
        <v>20000</v>
      </c>
      <c r="G532" s="87">
        <f t="shared" si="14"/>
        <v>0</v>
      </c>
      <c r="H532" s="690"/>
      <c r="I532" s="693"/>
      <c r="J532" s="692"/>
      <c r="K532" s="692"/>
      <c r="L532" s="692"/>
      <c r="M532" s="692"/>
      <c r="N532" s="692"/>
      <c r="O532" s="692"/>
      <c r="P532" s="692"/>
      <c r="Q532" s="692"/>
    </row>
    <row r="533" spans="1:17" s="700" customFormat="1" ht="15" customHeight="1" x14ac:dyDescent="0.25">
      <c r="A533" s="728">
        <f t="shared" si="13"/>
        <v>88.105726872246692</v>
      </c>
      <c r="B533" s="87" t="s">
        <v>2489</v>
      </c>
      <c r="C533" s="87" t="s">
        <v>2493</v>
      </c>
      <c r="D533" s="87">
        <v>20000</v>
      </c>
      <c r="E533" s="87">
        <v>227</v>
      </c>
      <c r="F533" s="87">
        <v>20000</v>
      </c>
      <c r="G533" s="87">
        <f t="shared" si="14"/>
        <v>0</v>
      </c>
      <c r="H533" s="690"/>
      <c r="I533" s="693"/>
      <c r="J533" s="692"/>
      <c r="K533" s="692"/>
      <c r="L533" s="692"/>
      <c r="M533" s="692"/>
      <c r="N533" s="692"/>
      <c r="O533" s="692"/>
      <c r="P533" s="692"/>
      <c r="Q533" s="692"/>
    </row>
    <row r="534" spans="1:17" s="700" customFormat="1" ht="15" customHeight="1" x14ac:dyDescent="0.25">
      <c r="A534" s="728">
        <f t="shared" si="13"/>
        <v>88.105726872246692</v>
      </c>
      <c r="B534" s="87" t="s">
        <v>2489</v>
      </c>
      <c r="C534" s="87" t="s">
        <v>2494</v>
      </c>
      <c r="D534" s="87">
        <v>20000</v>
      </c>
      <c r="E534" s="87">
        <v>227</v>
      </c>
      <c r="F534" s="87">
        <v>20000</v>
      </c>
      <c r="G534" s="87">
        <f t="shared" si="14"/>
        <v>0</v>
      </c>
      <c r="H534" s="690"/>
      <c r="I534" s="693"/>
      <c r="J534" s="692"/>
      <c r="K534" s="692"/>
      <c r="L534" s="692"/>
      <c r="M534" s="692"/>
      <c r="N534" s="692"/>
      <c r="O534" s="692"/>
      <c r="P534" s="692"/>
      <c r="Q534" s="692"/>
    </row>
    <row r="535" spans="1:17" s="700" customFormat="1" ht="15" customHeight="1" x14ac:dyDescent="0.25">
      <c r="A535" s="728">
        <f t="shared" si="13"/>
        <v>88</v>
      </c>
      <c r="B535" s="87" t="s">
        <v>2489</v>
      </c>
      <c r="C535" s="87" t="s">
        <v>2287</v>
      </c>
      <c r="D535" s="87">
        <v>22000</v>
      </c>
      <c r="E535" s="87">
        <v>250</v>
      </c>
      <c r="F535" s="87">
        <v>22000</v>
      </c>
      <c r="G535" s="87">
        <f t="shared" si="14"/>
        <v>0</v>
      </c>
      <c r="H535" s="690"/>
      <c r="I535" s="693"/>
      <c r="J535" s="692"/>
      <c r="K535" s="692"/>
      <c r="L535" s="692"/>
      <c r="M535" s="692"/>
      <c r="N535" s="692"/>
      <c r="O535" s="692"/>
      <c r="P535" s="692"/>
      <c r="Q535" s="692"/>
    </row>
    <row r="536" spans="1:17" s="700" customFormat="1" ht="15" customHeight="1" x14ac:dyDescent="0.25">
      <c r="A536" s="728">
        <f t="shared" si="13"/>
        <v>87.786259541984734</v>
      </c>
      <c r="B536" s="87" t="s">
        <v>2489</v>
      </c>
      <c r="C536" s="87" t="s">
        <v>2495</v>
      </c>
      <c r="D536" s="87">
        <v>23000</v>
      </c>
      <c r="E536" s="87">
        <v>262</v>
      </c>
      <c r="F536" s="87">
        <v>23000</v>
      </c>
      <c r="G536" s="87">
        <f t="shared" si="14"/>
        <v>0</v>
      </c>
      <c r="H536" s="690"/>
      <c r="I536" s="693"/>
      <c r="J536" s="692"/>
      <c r="K536" s="692"/>
      <c r="L536" s="692"/>
      <c r="M536" s="692"/>
      <c r="N536" s="692"/>
      <c r="O536" s="692"/>
      <c r="P536" s="692"/>
      <c r="Q536" s="692"/>
    </row>
    <row r="537" spans="1:17" ht="15" customHeight="1" x14ac:dyDescent="0.25">
      <c r="A537" s="728">
        <f t="shared" si="13"/>
        <v>89.887640449438209</v>
      </c>
      <c r="B537" s="87" t="s">
        <v>2489</v>
      </c>
      <c r="C537" s="696" t="s">
        <v>30</v>
      </c>
      <c r="D537" s="696">
        <v>8000</v>
      </c>
      <c r="E537" s="573">
        <v>89</v>
      </c>
      <c r="F537" s="696">
        <v>8000</v>
      </c>
      <c r="G537" s="87">
        <f t="shared" si="14"/>
        <v>0</v>
      </c>
      <c r="H537" s="690"/>
      <c r="I537" s="693"/>
      <c r="J537" s="692"/>
      <c r="K537" s="692"/>
      <c r="L537" s="692"/>
      <c r="M537" s="692"/>
      <c r="N537" s="692"/>
      <c r="O537" s="692"/>
      <c r="P537" s="692"/>
      <c r="Q537" s="692"/>
    </row>
    <row r="538" spans="1:17" ht="15" customHeight="1" x14ac:dyDescent="0.25">
      <c r="A538" s="728">
        <f t="shared" si="13"/>
        <v>89.285714285714292</v>
      </c>
      <c r="B538" s="87" t="s">
        <v>2489</v>
      </c>
      <c r="C538" s="696" t="s">
        <v>30</v>
      </c>
      <c r="D538" s="696">
        <v>5000</v>
      </c>
      <c r="E538" s="573">
        <v>56</v>
      </c>
      <c r="F538" s="696">
        <v>5000</v>
      </c>
      <c r="G538" s="87">
        <f t="shared" si="14"/>
        <v>0</v>
      </c>
      <c r="H538" s="690"/>
      <c r="I538" s="693"/>
      <c r="J538" s="692"/>
      <c r="K538" s="692"/>
      <c r="L538" s="692"/>
      <c r="M538" s="692"/>
      <c r="N538" s="692"/>
      <c r="O538" s="692"/>
      <c r="P538" s="692"/>
      <c r="Q538" s="692"/>
    </row>
    <row r="539" spans="1:17" ht="15" customHeight="1" x14ac:dyDescent="0.25">
      <c r="A539" s="728">
        <f t="shared" si="13"/>
        <v>88.050314465408803</v>
      </c>
      <c r="B539" s="87" t="s">
        <v>2436</v>
      </c>
      <c r="C539" s="696" t="s">
        <v>1833</v>
      </c>
      <c r="D539" s="696">
        <v>14000</v>
      </c>
      <c r="E539" s="573">
        <v>159</v>
      </c>
      <c r="F539" s="696">
        <v>14000</v>
      </c>
      <c r="G539" s="87">
        <f t="shared" si="14"/>
        <v>0</v>
      </c>
      <c r="H539" s="690"/>
      <c r="I539" s="693"/>
      <c r="J539" s="692"/>
      <c r="K539" s="692"/>
      <c r="L539" s="692"/>
      <c r="M539" s="692"/>
      <c r="N539" s="692"/>
      <c r="O539" s="692"/>
      <c r="P539" s="692"/>
      <c r="Q539" s="692"/>
    </row>
    <row r="540" spans="1:17" ht="15" customHeight="1" x14ac:dyDescent="0.25">
      <c r="A540" s="728">
        <f t="shared" si="13"/>
        <v>88.050314465408803</v>
      </c>
      <c r="B540" s="87" t="s">
        <v>2436</v>
      </c>
      <c r="C540" s="696" t="s">
        <v>1853</v>
      </c>
      <c r="D540" s="696">
        <v>14000</v>
      </c>
      <c r="E540" s="573">
        <v>159</v>
      </c>
      <c r="F540" s="696">
        <v>14000</v>
      </c>
      <c r="G540" s="87">
        <f t="shared" si="14"/>
        <v>0</v>
      </c>
      <c r="H540" s="690"/>
      <c r="I540" s="693"/>
      <c r="J540" s="692"/>
      <c r="K540" s="692"/>
      <c r="L540" s="692"/>
      <c r="M540" s="692"/>
      <c r="N540" s="692"/>
      <c r="O540" s="692"/>
      <c r="P540" s="692"/>
      <c r="Q540" s="692"/>
    </row>
    <row r="541" spans="1:17" ht="15" customHeight="1" x14ac:dyDescent="0.25">
      <c r="A541" s="728">
        <f t="shared" si="13"/>
        <v>87.774294670846402</v>
      </c>
      <c r="B541" s="87" t="s">
        <v>2436</v>
      </c>
      <c r="C541" s="696" t="s">
        <v>2106</v>
      </c>
      <c r="D541" s="696">
        <v>28000</v>
      </c>
      <c r="E541" s="573">
        <v>319</v>
      </c>
      <c r="F541" s="696">
        <v>28000</v>
      </c>
      <c r="G541" s="87">
        <f t="shared" si="14"/>
        <v>0</v>
      </c>
      <c r="H541" s="690"/>
      <c r="I541" s="693"/>
      <c r="J541" s="692"/>
      <c r="K541" s="692"/>
      <c r="L541" s="692"/>
      <c r="M541" s="692"/>
      <c r="N541" s="692"/>
      <c r="O541" s="692"/>
      <c r="P541" s="692"/>
      <c r="Q541" s="692"/>
    </row>
    <row r="542" spans="1:17" ht="15" customHeight="1" x14ac:dyDescent="0.25">
      <c r="A542" s="728">
        <f t="shared" si="13"/>
        <v>88.737201365187715</v>
      </c>
      <c r="B542" s="87" t="s">
        <v>2436</v>
      </c>
      <c r="C542" s="696" t="s">
        <v>2172</v>
      </c>
      <c r="D542" s="696">
        <v>26000</v>
      </c>
      <c r="E542" s="573">
        <v>293</v>
      </c>
      <c r="F542" s="696">
        <v>26000</v>
      </c>
      <c r="G542" s="87">
        <f t="shared" si="14"/>
        <v>0</v>
      </c>
      <c r="H542" s="690"/>
      <c r="I542" s="693"/>
      <c r="J542" s="692"/>
      <c r="K542" s="692"/>
      <c r="L542" s="692"/>
      <c r="M542" s="692"/>
      <c r="N542" s="692"/>
      <c r="O542" s="692"/>
      <c r="P542" s="692"/>
      <c r="Q542" s="692"/>
    </row>
    <row r="543" spans="1:17" ht="15" customHeight="1" x14ac:dyDescent="0.25">
      <c r="A543" s="728">
        <f t="shared" si="13"/>
        <v>88.495575221238937</v>
      </c>
      <c r="B543" s="87" t="s">
        <v>2436</v>
      </c>
      <c r="C543" s="696" t="s">
        <v>2437</v>
      </c>
      <c r="D543" s="696">
        <v>10000</v>
      </c>
      <c r="E543" s="573">
        <v>113</v>
      </c>
      <c r="F543" s="696">
        <v>10000</v>
      </c>
      <c r="G543" s="87">
        <f t="shared" si="14"/>
        <v>0</v>
      </c>
      <c r="H543" s="690"/>
      <c r="I543" s="693"/>
      <c r="J543" s="692"/>
      <c r="K543" s="692"/>
      <c r="L543" s="692"/>
      <c r="M543" s="692"/>
      <c r="N543" s="692"/>
      <c r="O543" s="692"/>
      <c r="P543" s="692"/>
      <c r="Q543" s="692"/>
    </row>
    <row r="544" spans="1:17" ht="15" customHeight="1" x14ac:dyDescent="0.25">
      <c r="A544" s="728">
        <f t="shared" si="13"/>
        <v>88.235294117647058</v>
      </c>
      <c r="B544" s="87" t="s">
        <v>2436</v>
      </c>
      <c r="C544" s="696" t="s">
        <v>2438</v>
      </c>
      <c r="D544" s="696">
        <v>12000</v>
      </c>
      <c r="E544" s="573">
        <v>136</v>
      </c>
      <c r="F544" s="696">
        <v>12000</v>
      </c>
      <c r="G544" s="87">
        <f t="shared" si="5"/>
        <v>0</v>
      </c>
      <c r="H544" s="690"/>
      <c r="I544" s="693"/>
      <c r="J544" s="692"/>
      <c r="K544" s="692"/>
      <c r="L544" s="692"/>
      <c r="M544" s="692"/>
      <c r="N544" s="692"/>
      <c r="O544" s="692"/>
      <c r="P544" s="692"/>
      <c r="Q544" s="692"/>
    </row>
    <row r="545" spans="1:17" ht="15" customHeight="1" x14ac:dyDescent="0.25">
      <c r="A545" s="728">
        <f t="shared" si="13"/>
        <v>88.235294117647058</v>
      </c>
      <c r="B545" s="87" t="s">
        <v>2436</v>
      </c>
      <c r="C545" s="696" t="s">
        <v>2439</v>
      </c>
      <c r="D545" s="696">
        <v>15000</v>
      </c>
      <c r="E545" s="573">
        <v>170</v>
      </c>
      <c r="F545" s="696">
        <v>15000</v>
      </c>
      <c r="G545" s="87">
        <f t="shared" si="5"/>
        <v>0</v>
      </c>
      <c r="H545" s="690"/>
      <c r="I545" s="693"/>
      <c r="J545" s="692"/>
      <c r="K545" s="692"/>
      <c r="L545" s="692"/>
      <c r="M545" s="692"/>
      <c r="N545" s="692"/>
      <c r="O545" s="692"/>
      <c r="P545" s="692"/>
      <c r="Q545" s="692"/>
    </row>
    <row r="546" spans="1:17" ht="15" customHeight="1" x14ac:dyDescent="0.25">
      <c r="A546" s="728">
        <f t="shared" si="13"/>
        <v>88.495575221238937</v>
      </c>
      <c r="B546" s="87" t="s">
        <v>2436</v>
      </c>
      <c r="C546" s="696" t="s">
        <v>2440</v>
      </c>
      <c r="D546" s="696">
        <v>10000</v>
      </c>
      <c r="E546" s="573">
        <v>113</v>
      </c>
      <c r="F546" s="696">
        <v>10000</v>
      </c>
      <c r="G546" s="87">
        <f t="shared" si="5"/>
        <v>0</v>
      </c>
      <c r="H546" s="690"/>
      <c r="I546" s="693"/>
      <c r="J546" s="692"/>
      <c r="K546" s="692"/>
      <c r="L546" s="692"/>
      <c r="M546" s="692"/>
      <c r="N546" s="692"/>
      <c r="O546" s="692"/>
      <c r="P546" s="692"/>
      <c r="Q546" s="692"/>
    </row>
    <row r="547" spans="1:17" ht="15" customHeight="1" x14ac:dyDescent="0.25">
      <c r="A547" s="728">
        <f t="shared" si="13"/>
        <v>88.495575221238937</v>
      </c>
      <c r="B547" s="87" t="s">
        <v>2436</v>
      </c>
      <c r="C547" s="696" t="s">
        <v>2441</v>
      </c>
      <c r="D547" s="696">
        <v>10000</v>
      </c>
      <c r="E547" s="573">
        <v>113</v>
      </c>
      <c r="F547" s="696">
        <v>10000</v>
      </c>
      <c r="G547" s="87">
        <f t="shared" si="5"/>
        <v>0</v>
      </c>
      <c r="H547" s="690"/>
      <c r="I547" s="693"/>
      <c r="J547" s="692"/>
      <c r="K547" s="692"/>
      <c r="L547" s="692"/>
      <c r="M547" s="692"/>
      <c r="N547" s="692"/>
      <c r="O547" s="692"/>
      <c r="P547" s="692"/>
      <c r="Q547" s="692"/>
    </row>
    <row r="548" spans="1:17" ht="15" customHeight="1" x14ac:dyDescent="0.25">
      <c r="A548" s="728">
        <f t="shared" si="13"/>
        <v>88.235294117647058</v>
      </c>
      <c r="B548" s="87" t="s">
        <v>2436</v>
      </c>
      <c r="C548" s="696" t="s">
        <v>2442</v>
      </c>
      <c r="D548" s="696">
        <v>15000</v>
      </c>
      <c r="E548" s="573">
        <v>170</v>
      </c>
      <c r="F548" s="696">
        <v>15000</v>
      </c>
      <c r="G548" s="87">
        <f t="shared" si="5"/>
        <v>0</v>
      </c>
      <c r="H548" s="690"/>
      <c r="I548" s="693"/>
      <c r="J548" s="692"/>
      <c r="K548" s="692"/>
      <c r="L548" s="692"/>
      <c r="M548" s="692"/>
      <c r="N548" s="692"/>
      <c r="O548" s="692"/>
      <c r="P548" s="692"/>
      <c r="Q548" s="692"/>
    </row>
    <row r="549" spans="1:17" ht="15" customHeight="1" x14ac:dyDescent="0.25">
      <c r="A549" s="728">
        <f t="shared" si="13"/>
        <v>160.71428571428572</v>
      </c>
      <c r="B549" s="87" t="s">
        <v>2436</v>
      </c>
      <c r="C549" s="696" t="s">
        <v>2443</v>
      </c>
      <c r="D549" s="696">
        <v>18000</v>
      </c>
      <c r="E549" s="573">
        <v>112</v>
      </c>
      <c r="F549" s="696">
        <v>18000</v>
      </c>
      <c r="G549" s="87">
        <f t="shared" si="5"/>
        <v>0</v>
      </c>
      <c r="H549" s="690"/>
      <c r="I549" s="693"/>
      <c r="J549" s="692"/>
      <c r="K549" s="692"/>
      <c r="L549" s="692"/>
      <c r="M549" s="692"/>
      <c r="N549" s="692"/>
      <c r="O549" s="692"/>
      <c r="P549" s="692"/>
      <c r="Q549" s="692"/>
    </row>
    <row r="550" spans="1:17" ht="15" customHeight="1" x14ac:dyDescent="0.25">
      <c r="A550" s="728">
        <f t="shared" si="13"/>
        <v>88.235294117647058</v>
      </c>
      <c r="B550" s="87" t="s">
        <v>2436</v>
      </c>
      <c r="C550" s="696" t="s">
        <v>2444</v>
      </c>
      <c r="D550" s="696">
        <v>12000</v>
      </c>
      <c r="E550" s="573">
        <v>136</v>
      </c>
      <c r="F550" s="696">
        <v>12000</v>
      </c>
      <c r="G550" s="87">
        <f t="shared" si="5"/>
        <v>0</v>
      </c>
      <c r="H550" s="690"/>
      <c r="I550" s="693"/>
      <c r="J550" s="692"/>
      <c r="K550" s="692"/>
      <c r="L550" s="692"/>
      <c r="M550" s="692"/>
      <c r="N550" s="692"/>
      <c r="O550" s="692"/>
      <c r="P550" s="692"/>
      <c r="Q550" s="692"/>
    </row>
    <row r="551" spans="1:17" ht="15" customHeight="1" x14ac:dyDescent="0.25">
      <c r="A551" s="728">
        <f t="shared" si="13"/>
        <v>92.592592592592581</v>
      </c>
      <c r="B551" s="87" t="s">
        <v>2436</v>
      </c>
      <c r="C551" s="696" t="s">
        <v>66</v>
      </c>
      <c r="D551" s="696">
        <v>100</v>
      </c>
      <c r="E551" s="573">
        <v>1.08</v>
      </c>
      <c r="F551" s="696">
        <v>100</v>
      </c>
      <c r="G551" s="87">
        <f t="shared" si="5"/>
        <v>0</v>
      </c>
      <c r="H551" s="690"/>
      <c r="I551" s="693"/>
      <c r="J551" s="692"/>
      <c r="K551" s="692"/>
      <c r="L551" s="692"/>
      <c r="M551" s="692"/>
      <c r="N551" s="692"/>
      <c r="O551" s="692"/>
      <c r="P551" s="692"/>
      <c r="Q551" s="692"/>
    </row>
    <row r="552" spans="1:17" ht="15" customHeight="1" x14ac:dyDescent="0.25">
      <c r="A552" s="728">
        <f t="shared" si="13"/>
        <v>96.085409252669038</v>
      </c>
      <c r="B552" s="87" t="s">
        <v>2436</v>
      </c>
      <c r="C552" s="696" t="s">
        <v>2445</v>
      </c>
      <c r="D552" s="696">
        <v>27000</v>
      </c>
      <c r="E552" s="573">
        <v>281</v>
      </c>
      <c r="F552" s="696">
        <v>27000</v>
      </c>
      <c r="G552" s="87">
        <f t="shared" si="5"/>
        <v>0</v>
      </c>
      <c r="H552" s="690"/>
      <c r="I552" s="693"/>
      <c r="J552" s="692"/>
      <c r="K552" s="692"/>
      <c r="L552" s="692"/>
      <c r="M552" s="692"/>
      <c r="N552" s="692"/>
      <c r="O552" s="692"/>
      <c r="P552" s="692"/>
      <c r="Q552" s="692"/>
    </row>
    <row r="553" spans="1:17" ht="15" customHeight="1" x14ac:dyDescent="0.25">
      <c r="A553" s="728">
        <f t="shared" si="13"/>
        <v>92.592592592592581</v>
      </c>
      <c r="B553" s="87" t="s">
        <v>2436</v>
      </c>
      <c r="C553" s="696" t="s">
        <v>66</v>
      </c>
      <c r="D553" s="696">
        <v>100</v>
      </c>
      <c r="E553" s="573">
        <v>1.08</v>
      </c>
      <c r="F553" s="696">
        <v>100</v>
      </c>
      <c r="G553" s="87">
        <f t="shared" si="5"/>
        <v>0</v>
      </c>
      <c r="H553" s="690"/>
      <c r="I553" s="693"/>
      <c r="J553" s="692"/>
      <c r="K553" s="692"/>
      <c r="L553" s="692"/>
      <c r="M553" s="692"/>
      <c r="N553" s="692"/>
      <c r="O553" s="692"/>
      <c r="P553" s="692"/>
      <c r="Q553" s="692"/>
    </row>
    <row r="554" spans="1:17" ht="15" customHeight="1" x14ac:dyDescent="0.25">
      <c r="A554" s="728">
        <f t="shared" si="13"/>
        <v>87.774294670846402</v>
      </c>
      <c r="B554" s="87" t="s">
        <v>2436</v>
      </c>
      <c r="C554" s="696" t="s">
        <v>2446</v>
      </c>
      <c r="D554" s="696">
        <v>28000</v>
      </c>
      <c r="E554" s="573">
        <v>319</v>
      </c>
      <c r="F554" s="696">
        <v>28000</v>
      </c>
      <c r="G554" s="87">
        <f t="shared" si="5"/>
        <v>0</v>
      </c>
      <c r="H554" s="690"/>
      <c r="I554" s="693"/>
      <c r="J554" s="692"/>
      <c r="K554" s="692"/>
      <c r="L554" s="692"/>
      <c r="M554" s="692"/>
      <c r="N554" s="692"/>
      <c r="O554" s="692"/>
      <c r="P554" s="692"/>
      <c r="Q554" s="692"/>
    </row>
    <row r="555" spans="1:17" ht="15" customHeight="1" x14ac:dyDescent="0.25">
      <c r="A555" s="728">
        <f t="shared" si="13"/>
        <v>88.028169014084511</v>
      </c>
      <c r="B555" s="87" t="s">
        <v>2436</v>
      </c>
      <c r="C555" s="696" t="s">
        <v>2447</v>
      </c>
      <c r="D555" s="696">
        <v>25000</v>
      </c>
      <c r="E555" s="573">
        <v>284</v>
      </c>
      <c r="F555" s="696">
        <v>25000</v>
      </c>
      <c r="G555" s="87">
        <f t="shared" si="5"/>
        <v>0</v>
      </c>
      <c r="H555" s="690"/>
      <c r="I555" s="693"/>
      <c r="J555" s="692"/>
      <c r="K555" s="692"/>
      <c r="L555" s="692"/>
      <c r="M555" s="692"/>
      <c r="N555" s="692"/>
      <c r="O555" s="692"/>
      <c r="P555" s="692"/>
      <c r="Q555" s="692"/>
    </row>
    <row r="556" spans="1:17" ht="15" customHeight="1" x14ac:dyDescent="0.25">
      <c r="A556" s="728">
        <f t="shared" si="13"/>
        <v>88.105726872246692</v>
      </c>
      <c r="B556" s="87" t="s">
        <v>2436</v>
      </c>
      <c r="C556" s="696" t="s">
        <v>2448</v>
      </c>
      <c r="D556" s="696">
        <v>20000</v>
      </c>
      <c r="E556" s="573">
        <v>227</v>
      </c>
      <c r="F556" s="696">
        <v>20000</v>
      </c>
      <c r="G556" s="87">
        <f t="shared" si="5"/>
        <v>0</v>
      </c>
      <c r="H556" s="690"/>
      <c r="I556" s="693"/>
      <c r="J556" s="692"/>
      <c r="K556" s="692"/>
      <c r="L556" s="692"/>
      <c r="M556" s="692"/>
      <c r="N556" s="692"/>
      <c r="O556" s="692"/>
      <c r="P556" s="692"/>
      <c r="Q556" s="692"/>
    </row>
    <row r="557" spans="1:17" ht="15" customHeight="1" x14ac:dyDescent="0.25">
      <c r="A557" s="728">
        <f t="shared" si="13"/>
        <v>88.105726872246692</v>
      </c>
      <c r="B557" s="87" t="s">
        <v>2436</v>
      </c>
      <c r="C557" s="696" t="s">
        <v>2449</v>
      </c>
      <c r="D557" s="696">
        <v>20000</v>
      </c>
      <c r="E557" s="573">
        <v>227</v>
      </c>
      <c r="F557" s="696">
        <v>20000</v>
      </c>
      <c r="G557" s="87">
        <f t="shared" si="5"/>
        <v>0</v>
      </c>
      <c r="H557" s="690"/>
      <c r="I557" s="693"/>
      <c r="J557" s="692"/>
      <c r="K557" s="692"/>
      <c r="L557" s="692"/>
      <c r="M557" s="692"/>
      <c r="N557" s="692"/>
      <c r="O557" s="692"/>
      <c r="P557" s="692"/>
      <c r="Q557" s="692"/>
    </row>
    <row r="558" spans="1:17" ht="15" customHeight="1" x14ac:dyDescent="0.25">
      <c r="A558" s="728">
        <f t="shared" si="13"/>
        <v>87.837837837837839</v>
      </c>
      <c r="B558" s="87" t="s">
        <v>2436</v>
      </c>
      <c r="C558" s="696" t="s">
        <v>2028</v>
      </c>
      <c r="D558" s="696">
        <v>26000</v>
      </c>
      <c r="E558" s="573">
        <v>296</v>
      </c>
      <c r="F558" s="696">
        <v>26000</v>
      </c>
      <c r="G558" s="87">
        <f t="shared" si="5"/>
        <v>0</v>
      </c>
      <c r="H558" s="690"/>
      <c r="I558" s="693"/>
      <c r="J558" s="692"/>
      <c r="K558" s="692"/>
      <c r="L558" s="692"/>
      <c r="M558" s="692"/>
      <c r="N558" s="692"/>
      <c r="O558" s="692"/>
      <c r="P558" s="692"/>
      <c r="Q558" s="692"/>
    </row>
    <row r="559" spans="1:17" ht="15" customHeight="1" x14ac:dyDescent="0.25">
      <c r="A559" s="728">
        <f t="shared" si="13"/>
        <v>88.028169014084511</v>
      </c>
      <c r="B559" s="87" t="s">
        <v>2436</v>
      </c>
      <c r="C559" s="696" t="s">
        <v>2450</v>
      </c>
      <c r="D559" s="696">
        <v>25000</v>
      </c>
      <c r="E559" s="573">
        <v>284</v>
      </c>
      <c r="F559" s="696">
        <v>25000</v>
      </c>
      <c r="G559" s="87">
        <f t="shared" si="5"/>
        <v>0</v>
      </c>
      <c r="H559" s="690"/>
      <c r="I559" s="693"/>
      <c r="J559" s="692"/>
      <c r="K559" s="692"/>
      <c r="L559" s="692"/>
      <c r="M559" s="692"/>
      <c r="N559" s="692"/>
      <c r="O559" s="692"/>
      <c r="P559" s="692"/>
      <c r="Q559" s="692"/>
    </row>
    <row r="560" spans="1:17" ht="15" customHeight="1" x14ac:dyDescent="0.25">
      <c r="A560" s="728">
        <f t="shared" si="13"/>
        <v>87.774294670846402</v>
      </c>
      <c r="B560" s="87" t="s">
        <v>2436</v>
      </c>
      <c r="C560" s="696" t="s">
        <v>1922</v>
      </c>
      <c r="D560" s="696">
        <v>28000</v>
      </c>
      <c r="E560" s="573">
        <v>319</v>
      </c>
      <c r="F560" s="696">
        <v>28000</v>
      </c>
      <c r="G560" s="87">
        <f t="shared" si="5"/>
        <v>0</v>
      </c>
      <c r="H560" s="690"/>
      <c r="I560" s="693"/>
      <c r="J560" s="692"/>
      <c r="K560" s="692"/>
      <c r="L560" s="692"/>
      <c r="M560" s="692"/>
      <c r="N560" s="692"/>
      <c r="O560" s="692"/>
      <c r="P560" s="692"/>
      <c r="Q560" s="692"/>
    </row>
    <row r="561" spans="1:17" ht="15" customHeight="1" x14ac:dyDescent="0.25">
      <c r="A561" s="728">
        <f t="shared" si="13"/>
        <v>110.16949152542372</v>
      </c>
      <c r="B561" s="87" t="s">
        <v>2436</v>
      </c>
      <c r="C561" s="696" t="s">
        <v>2451</v>
      </c>
      <c r="D561" s="696">
        <v>26000</v>
      </c>
      <c r="E561" s="573">
        <v>236</v>
      </c>
      <c r="F561" s="696">
        <v>26000</v>
      </c>
      <c r="G561" s="87">
        <f t="shared" si="5"/>
        <v>0</v>
      </c>
      <c r="H561" s="690"/>
      <c r="I561" s="693"/>
      <c r="J561" s="692"/>
      <c r="K561" s="692"/>
      <c r="L561" s="692"/>
      <c r="M561" s="692"/>
      <c r="N561" s="692"/>
      <c r="O561" s="692"/>
      <c r="P561" s="692"/>
      <c r="Q561" s="692"/>
    </row>
    <row r="562" spans="1:17" ht="15" customHeight="1" x14ac:dyDescent="0.25">
      <c r="A562" s="728">
        <f t="shared" si="13"/>
        <v>88.028169014084511</v>
      </c>
      <c r="B562" s="87" t="s">
        <v>2436</v>
      </c>
      <c r="C562" s="696" t="s">
        <v>2452</v>
      </c>
      <c r="D562" s="696">
        <v>25000</v>
      </c>
      <c r="E562" s="573">
        <v>284</v>
      </c>
      <c r="F562" s="696">
        <v>25000</v>
      </c>
      <c r="G562" s="87">
        <f t="shared" si="5"/>
        <v>0</v>
      </c>
      <c r="H562" s="690"/>
      <c r="I562" s="693"/>
      <c r="J562" s="692"/>
      <c r="K562" s="692"/>
      <c r="L562" s="692"/>
      <c r="M562" s="692"/>
      <c r="N562" s="692"/>
      <c r="O562" s="692"/>
      <c r="P562" s="692"/>
      <c r="Q562" s="692"/>
    </row>
    <row r="563" spans="1:17" ht="15" customHeight="1" x14ac:dyDescent="0.25">
      <c r="A563" s="728">
        <f t="shared" si="13"/>
        <v>87.878787878787875</v>
      </c>
      <c r="B563" s="87" t="s">
        <v>2436</v>
      </c>
      <c r="C563" s="696" t="s">
        <v>2310</v>
      </c>
      <c r="D563" s="696">
        <v>29000</v>
      </c>
      <c r="E563" s="573">
        <v>330</v>
      </c>
      <c r="F563" s="696">
        <v>29000</v>
      </c>
      <c r="G563" s="87">
        <f t="shared" si="5"/>
        <v>0</v>
      </c>
      <c r="H563" s="690"/>
      <c r="I563" s="693"/>
      <c r="J563" s="692"/>
      <c r="K563" s="692"/>
      <c r="L563" s="692"/>
      <c r="M563" s="692"/>
      <c r="N563" s="692"/>
      <c r="O563" s="692"/>
      <c r="P563" s="692"/>
      <c r="Q563" s="692"/>
    </row>
    <row r="564" spans="1:17" ht="15" customHeight="1" x14ac:dyDescent="0.25">
      <c r="A564" s="728">
        <f t="shared" si="13"/>
        <v>88.235294117647058</v>
      </c>
      <c r="B564" s="87" t="s">
        <v>2453</v>
      </c>
      <c r="C564" s="696" t="s">
        <v>2415</v>
      </c>
      <c r="D564" s="696">
        <v>15000</v>
      </c>
      <c r="E564" s="573">
        <v>170</v>
      </c>
      <c r="F564" s="696">
        <v>15000</v>
      </c>
      <c r="G564" s="87">
        <f t="shared" si="5"/>
        <v>0</v>
      </c>
      <c r="H564" s="690"/>
      <c r="I564" s="693"/>
      <c r="J564" s="692"/>
      <c r="K564" s="692"/>
      <c r="L564" s="692"/>
      <c r="M564" s="692"/>
      <c r="N564" s="692"/>
      <c r="O564" s="692"/>
      <c r="P564" s="692"/>
      <c r="Q564" s="692"/>
    </row>
    <row r="565" spans="1:17" ht="15" customHeight="1" x14ac:dyDescent="0.25">
      <c r="A565" s="728">
        <f t="shared" si="13"/>
        <v>87.804878048780495</v>
      </c>
      <c r="B565" s="87" t="s">
        <v>2453</v>
      </c>
      <c r="C565" s="696" t="s">
        <v>1723</v>
      </c>
      <c r="D565" s="696">
        <v>18000</v>
      </c>
      <c r="E565" s="573">
        <v>205</v>
      </c>
      <c r="F565" s="696">
        <v>18000</v>
      </c>
      <c r="G565" s="87">
        <f t="shared" si="5"/>
        <v>0</v>
      </c>
      <c r="H565" s="690"/>
      <c r="I565" s="693"/>
      <c r="J565" s="692"/>
      <c r="K565" s="692"/>
      <c r="L565" s="692"/>
      <c r="M565" s="692"/>
      <c r="N565" s="692"/>
      <c r="O565" s="692"/>
      <c r="P565" s="692"/>
      <c r="Q565" s="692"/>
    </row>
    <row r="566" spans="1:17" ht="15" customHeight="1" x14ac:dyDescent="0.25">
      <c r="A566" s="728">
        <f t="shared" si="13"/>
        <v>90.909090909090907</v>
      </c>
      <c r="B566" s="87" t="s">
        <v>2453</v>
      </c>
      <c r="C566" s="696" t="s">
        <v>17</v>
      </c>
      <c r="D566" s="696">
        <v>3000</v>
      </c>
      <c r="E566" s="573">
        <v>33</v>
      </c>
      <c r="F566" s="696">
        <v>3000</v>
      </c>
      <c r="G566" s="87">
        <f t="shared" si="5"/>
        <v>0</v>
      </c>
      <c r="H566" s="690"/>
      <c r="I566" s="693"/>
      <c r="J566" s="692"/>
      <c r="K566" s="692"/>
      <c r="L566" s="692"/>
      <c r="M566" s="692"/>
      <c r="N566" s="692"/>
      <c r="O566" s="692"/>
      <c r="P566" s="692"/>
      <c r="Q566" s="692"/>
    </row>
    <row r="567" spans="1:17" ht="15" customHeight="1" x14ac:dyDescent="0.25">
      <c r="A567" s="728">
        <f t="shared" si="13"/>
        <v>86.956521739130437</v>
      </c>
      <c r="B567" s="87" t="s">
        <v>2453</v>
      </c>
      <c r="C567" s="696" t="s">
        <v>2274</v>
      </c>
      <c r="D567" s="696">
        <v>12000</v>
      </c>
      <c r="E567" s="573">
        <v>138</v>
      </c>
      <c r="F567" s="696">
        <v>12000</v>
      </c>
      <c r="G567" s="87">
        <f t="shared" si="5"/>
        <v>0</v>
      </c>
      <c r="H567" s="690"/>
      <c r="I567" s="693"/>
      <c r="J567" s="692"/>
      <c r="K567" s="692"/>
      <c r="L567" s="692"/>
      <c r="M567" s="692"/>
      <c r="N567" s="692"/>
      <c r="O567" s="692"/>
      <c r="P567" s="692"/>
      <c r="Q567" s="692"/>
    </row>
    <row r="568" spans="1:17" ht="15" customHeight="1" x14ac:dyDescent="0.25">
      <c r="A568" s="728">
        <f t="shared" si="13"/>
        <v>86.956521739130437</v>
      </c>
      <c r="B568" s="87" t="s">
        <v>2453</v>
      </c>
      <c r="C568" s="696" t="s">
        <v>2454</v>
      </c>
      <c r="D568" s="696">
        <v>12000</v>
      </c>
      <c r="E568" s="573">
        <v>138</v>
      </c>
      <c r="F568" s="696">
        <v>12000</v>
      </c>
      <c r="G568" s="87">
        <f t="shared" si="5"/>
        <v>0</v>
      </c>
      <c r="H568" s="690"/>
      <c r="I568" s="693"/>
      <c r="J568" s="692"/>
      <c r="K568" s="692"/>
      <c r="L568" s="692"/>
      <c r="M568" s="692"/>
      <c r="N568" s="692"/>
      <c r="O568" s="692"/>
      <c r="P568" s="692"/>
      <c r="Q568" s="692"/>
    </row>
    <row r="569" spans="1:17" ht="15" customHeight="1" x14ac:dyDescent="0.25">
      <c r="A569" s="728">
        <f t="shared" si="13"/>
        <v>88.235294117647058</v>
      </c>
      <c r="B569" s="87" t="s">
        <v>2453</v>
      </c>
      <c r="C569" s="696" t="s">
        <v>2455</v>
      </c>
      <c r="D569" s="696">
        <v>15000</v>
      </c>
      <c r="E569" s="573">
        <v>170</v>
      </c>
      <c r="F569" s="696">
        <v>15000</v>
      </c>
      <c r="G569" s="87">
        <f t="shared" si="5"/>
        <v>0</v>
      </c>
      <c r="H569" s="690"/>
      <c r="I569" s="693"/>
      <c r="J569" s="692"/>
      <c r="K569" s="692"/>
      <c r="L569" s="692"/>
      <c r="M569" s="692"/>
      <c r="N569" s="692"/>
      <c r="O569" s="692"/>
      <c r="P569" s="692"/>
      <c r="Q569" s="692"/>
    </row>
    <row r="570" spans="1:17" ht="15" customHeight="1" x14ac:dyDescent="0.25">
      <c r="A570" s="728">
        <f t="shared" si="13"/>
        <v>88.235294117647058</v>
      </c>
      <c r="B570" s="87" t="s">
        <v>2453</v>
      </c>
      <c r="C570" s="696" t="s">
        <v>1790</v>
      </c>
      <c r="D570" s="696">
        <v>15000</v>
      </c>
      <c r="E570" s="573">
        <v>170</v>
      </c>
      <c r="F570" s="696">
        <v>15000</v>
      </c>
      <c r="G570" s="87">
        <f t="shared" si="5"/>
        <v>0</v>
      </c>
      <c r="H570" s="690"/>
      <c r="I570" s="693"/>
      <c r="J570" s="692"/>
      <c r="K570" s="692"/>
      <c r="L570" s="692"/>
      <c r="M570" s="692"/>
      <c r="N570" s="692"/>
      <c r="O570" s="692"/>
      <c r="P570" s="692"/>
      <c r="Q570" s="692"/>
    </row>
    <row r="571" spans="1:17" ht="15" customHeight="1" x14ac:dyDescent="0.25">
      <c r="A571" s="728">
        <f t="shared" si="13"/>
        <v>88.235294117647058</v>
      </c>
      <c r="B571" s="87" t="s">
        <v>2453</v>
      </c>
      <c r="C571" s="696" t="s">
        <v>2456</v>
      </c>
      <c r="D571" s="696">
        <v>15000</v>
      </c>
      <c r="E571" s="573">
        <v>170</v>
      </c>
      <c r="F571" s="696">
        <v>15000</v>
      </c>
      <c r="G571" s="87">
        <f t="shared" si="5"/>
        <v>0</v>
      </c>
      <c r="H571" s="690"/>
      <c r="I571" s="693"/>
      <c r="J571" s="692"/>
      <c r="K571" s="692"/>
      <c r="L571" s="692"/>
      <c r="M571" s="692"/>
      <c r="N571" s="692"/>
      <c r="O571" s="692"/>
      <c r="P571" s="692"/>
      <c r="Q571" s="692"/>
    </row>
    <row r="572" spans="1:17" ht="15" customHeight="1" x14ac:dyDescent="0.25">
      <c r="A572" s="728">
        <f t="shared" si="13"/>
        <v>88.495575221238937</v>
      </c>
      <c r="B572" s="87" t="s">
        <v>2453</v>
      </c>
      <c r="C572" s="696" t="s">
        <v>2457</v>
      </c>
      <c r="D572" s="696">
        <v>10000</v>
      </c>
      <c r="E572" s="573">
        <v>113</v>
      </c>
      <c r="F572" s="696">
        <v>10000</v>
      </c>
      <c r="G572" s="87">
        <f t="shared" si="5"/>
        <v>0</v>
      </c>
      <c r="H572" s="690"/>
      <c r="I572" s="693"/>
      <c r="J572" s="692"/>
      <c r="K572" s="692"/>
      <c r="L572" s="692"/>
      <c r="M572" s="692"/>
      <c r="N572" s="692"/>
      <c r="O572" s="692"/>
      <c r="P572" s="692"/>
      <c r="Q572" s="692"/>
    </row>
    <row r="573" spans="1:17" ht="15" customHeight="1" x14ac:dyDescent="0.25">
      <c r="A573" s="728">
        <f t="shared" si="13"/>
        <v>88.607594936708864</v>
      </c>
      <c r="B573" s="87" t="s">
        <v>2453</v>
      </c>
      <c r="C573" s="696" t="s">
        <v>30</v>
      </c>
      <c r="D573" s="696">
        <v>7000</v>
      </c>
      <c r="E573" s="573">
        <v>79</v>
      </c>
      <c r="F573" s="696">
        <v>7000</v>
      </c>
      <c r="G573" s="87">
        <f t="shared" si="5"/>
        <v>0</v>
      </c>
      <c r="H573" s="690"/>
      <c r="I573" s="693"/>
      <c r="J573" s="692"/>
      <c r="K573" s="692"/>
      <c r="L573" s="692"/>
      <c r="M573" s="692"/>
      <c r="N573" s="692"/>
      <c r="O573" s="692"/>
      <c r="P573" s="692"/>
      <c r="Q573" s="692"/>
    </row>
    <row r="574" spans="1:17" ht="15" customHeight="1" x14ac:dyDescent="0.25">
      <c r="A574" s="728">
        <f t="shared" si="13"/>
        <v>87.89473684210526</v>
      </c>
      <c r="B574" s="87" t="s">
        <v>2453</v>
      </c>
      <c r="C574" s="696" t="s">
        <v>2458</v>
      </c>
      <c r="D574" s="696">
        <v>26720</v>
      </c>
      <c r="E574" s="573">
        <v>304</v>
      </c>
      <c r="F574" s="696">
        <v>26720</v>
      </c>
      <c r="G574" s="87">
        <f t="shared" si="5"/>
        <v>0</v>
      </c>
      <c r="H574" s="690"/>
      <c r="I574" s="693"/>
      <c r="J574" s="692"/>
      <c r="K574" s="692"/>
      <c r="L574" s="692"/>
      <c r="M574" s="692"/>
      <c r="N574" s="692"/>
      <c r="O574" s="692"/>
      <c r="P574" s="692"/>
      <c r="Q574" s="692"/>
    </row>
    <row r="575" spans="1:17" ht="15" customHeight="1" x14ac:dyDescent="0.25">
      <c r="A575" s="728">
        <f t="shared" si="13"/>
        <v>92.592592592592581</v>
      </c>
      <c r="B575" s="87" t="s">
        <v>2453</v>
      </c>
      <c r="C575" s="696" t="s">
        <v>66</v>
      </c>
      <c r="D575" s="696">
        <v>100</v>
      </c>
      <c r="E575" s="573">
        <v>1.08</v>
      </c>
      <c r="F575" s="696">
        <v>100</v>
      </c>
      <c r="G575" s="87">
        <f t="shared" si="5"/>
        <v>0</v>
      </c>
      <c r="H575" s="690"/>
      <c r="I575" s="693"/>
      <c r="J575" s="692"/>
      <c r="K575" s="692"/>
      <c r="L575" s="692"/>
      <c r="M575" s="692"/>
      <c r="N575" s="692"/>
      <c r="O575" s="692"/>
      <c r="P575" s="692"/>
      <c r="Q575" s="692"/>
    </row>
    <row r="576" spans="1:17" ht="15" customHeight="1" x14ac:dyDescent="0.25">
      <c r="A576" s="728">
        <f t="shared" si="13"/>
        <v>88.235294117647058</v>
      </c>
      <c r="B576" s="87" t="s">
        <v>2453</v>
      </c>
      <c r="C576" s="696" t="s">
        <v>1787</v>
      </c>
      <c r="D576" s="696">
        <v>15000</v>
      </c>
      <c r="E576" s="573">
        <v>170</v>
      </c>
      <c r="F576" s="696">
        <v>15000</v>
      </c>
      <c r="G576" s="87">
        <f t="shared" si="5"/>
        <v>0</v>
      </c>
      <c r="H576" s="690"/>
      <c r="I576" s="693"/>
      <c r="J576" s="692"/>
      <c r="K576" s="692"/>
      <c r="L576" s="692"/>
      <c r="M576" s="692"/>
      <c r="N576" s="692"/>
      <c r="O576" s="692"/>
      <c r="P576" s="692"/>
      <c r="Q576" s="692"/>
    </row>
    <row r="577" spans="1:17" ht="15" customHeight="1" x14ac:dyDescent="0.25">
      <c r="A577" s="728">
        <f t="shared" si="13"/>
        <v>87.818696883852695</v>
      </c>
      <c r="B577" s="87" t="s">
        <v>2453</v>
      </c>
      <c r="C577" s="696" t="s">
        <v>2147</v>
      </c>
      <c r="D577" s="696">
        <v>31000</v>
      </c>
      <c r="E577" s="573">
        <v>353</v>
      </c>
      <c r="F577" s="696">
        <v>31000</v>
      </c>
      <c r="G577" s="87">
        <f t="shared" si="5"/>
        <v>0</v>
      </c>
      <c r="H577" s="690"/>
      <c r="I577" s="693"/>
      <c r="J577" s="692"/>
      <c r="K577" s="692"/>
      <c r="L577" s="692"/>
      <c r="M577" s="692"/>
      <c r="N577" s="692"/>
      <c r="O577" s="692"/>
      <c r="P577" s="692"/>
      <c r="Q577" s="692"/>
    </row>
    <row r="578" spans="1:17" ht="15" customHeight="1" x14ac:dyDescent="0.25">
      <c r="A578" s="728">
        <f t="shared" si="13"/>
        <v>87.912087912087912</v>
      </c>
      <c r="B578" s="87" t="s">
        <v>2453</v>
      </c>
      <c r="C578" s="696" t="s">
        <v>2459</v>
      </c>
      <c r="D578" s="696">
        <v>32000</v>
      </c>
      <c r="E578" s="573">
        <v>364</v>
      </c>
      <c r="F578" s="696">
        <v>32000</v>
      </c>
      <c r="G578" s="87">
        <f t="shared" si="5"/>
        <v>0</v>
      </c>
      <c r="H578" s="690"/>
      <c r="I578" s="693"/>
      <c r="J578" s="692"/>
      <c r="K578" s="692"/>
      <c r="L578" s="692"/>
      <c r="M578" s="692"/>
      <c r="N578" s="692"/>
      <c r="O578" s="692"/>
      <c r="P578" s="692"/>
      <c r="Q578" s="692"/>
    </row>
    <row r="579" spans="1:17" ht="15" customHeight="1" x14ac:dyDescent="0.25">
      <c r="A579" s="728">
        <f t="shared" si="13"/>
        <v>87.818696883852695</v>
      </c>
      <c r="B579" s="87" t="s">
        <v>2453</v>
      </c>
      <c r="C579" s="696" t="s">
        <v>2460</v>
      </c>
      <c r="D579" s="696">
        <v>31000</v>
      </c>
      <c r="E579" s="573">
        <v>353</v>
      </c>
      <c r="F579" s="696">
        <v>31000</v>
      </c>
      <c r="G579" s="87">
        <f t="shared" si="5"/>
        <v>0</v>
      </c>
      <c r="H579" s="690"/>
      <c r="I579" s="693"/>
      <c r="J579" s="692"/>
      <c r="K579" s="692"/>
      <c r="L579" s="692"/>
      <c r="M579" s="692"/>
      <c r="N579" s="692"/>
      <c r="O579" s="692"/>
      <c r="P579" s="692"/>
      <c r="Q579" s="692"/>
    </row>
    <row r="580" spans="1:17" ht="15" customHeight="1" x14ac:dyDescent="0.25">
      <c r="A580" s="728">
        <f t="shared" si="13"/>
        <v>87.786259541984734</v>
      </c>
      <c r="B580" s="87" t="s">
        <v>2453</v>
      </c>
      <c r="C580" s="696" t="s">
        <v>2461</v>
      </c>
      <c r="D580" s="696">
        <v>23000</v>
      </c>
      <c r="E580" s="573">
        <v>262</v>
      </c>
      <c r="F580" s="696">
        <v>23000</v>
      </c>
      <c r="G580" s="87">
        <f t="shared" si="5"/>
        <v>0</v>
      </c>
      <c r="H580" s="690"/>
      <c r="I580" s="693"/>
      <c r="J580" s="692"/>
      <c r="K580" s="692"/>
      <c r="L580" s="692"/>
      <c r="M580" s="692"/>
      <c r="N580" s="692"/>
      <c r="O580" s="692"/>
      <c r="P580" s="692"/>
      <c r="Q580" s="692"/>
    </row>
    <row r="581" spans="1:17" ht="15" customHeight="1" x14ac:dyDescent="0.25">
      <c r="A581" s="728">
        <f t="shared" si="13"/>
        <v>87.976539589442808</v>
      </c>
      <c r="B581" s="87" t="s">
        <v>2453</v>
      </c>
      <c r="C581" s="696" t="s">
        <v>2462</v>
      </c>
      <c r="D581" s="696">
        <v>30000</v>
      </c>
      <c r="E581" s="573">
        <v>341</v>
      </c>
      <c r="F581" s="696">
        <v>30000</v>
      </c>
      <c r="G581" s="87">
        <f t="shared" si="5"/>
        <v>0</v>
      </c>
      <c r="H581" s="690"/>
      <c r="I581" s="693"/>
      <c r="J581" s="692"/>
      <c r="K581" s="692"/>
      <c r="L581" s="692"/>
      <c r="M581" s="692"/>
      <c r="N581" s="692"/>
      <c r="O581" s="692"/>
      <c r="P581" s="692"/>
      <c r="Q581" s="692"/>
    </row>
    <row r="582" spans="1:17" ht="15" customHeight="1" x14ac:dyDescent="0.25">
      <c r="A582" s="728">
        <f t="shared" si="13"/>
        <v>87.976539589442808</v>
      </c>
      <c r="B582" s="87" t="s">
        <v>2453</v>
      </c>
      <c r="C582" s="696" t="s">
        <v>2463</v>
      </c>
      <c r="D582" s="696">
        <v>30000</v>
      </c>
      <c r="E582" s="573">
        <v>341</v>
      </c>
      <c r="F582" s="696">
        <v>30000</v>
      </c>
      <c r="G582" s="87">
        <f t="shared" si="5"/>
        <v>0</v>
      </c>
      <c r="H582" s="690"/>
      <c r="I582" s="693"/>
      <c r="J582" s="692"/>
      <c r="K582" s="692"/>
      <c r="L582" s="692"/>
      <c r="M582" s="692"/>
      <c r="N582" s="692"/>
      <c r="O582" s="692"/>
      <c r="P582" s="692"/>
      <c r="Q582" s="692"/>
    </row>
    <row r="583" spans="1:17" ht="15" customHeight="1" x14ac:dyDescent="0.25">
      <c r="A583" s="728">
        <f t="shared" ref="A583:A644" si="15">D583/E583</f>
        <v>88.105726872246692</v>
      </c>
      <c r="B583" s="87" t="s">
        <v>2453</v>
      </c>
      <c r="C583" s="696" t="s">
        <v>2464</v>
      </c>
      <c r="D583" s="696">
        <v>20000</v>
      </c>
      <c r="E583" s="573">
        <v>227</v>
      </c>
      <c r="F583" s="696">
        <v>20000</v>
      </c>
      <c r="G583" s="87">
        <f t="shared" si="5"/>
        <v>0</v>
      </c>
      <c r="H583" s="690"/>
      <c r="I583" s="693"/>
      <c r="J583" s="692"/>
      <c r="K583" s="692"/>
      <c r="L583" s="692"/>
      <c r="M583" s="692"/>
      <c r="N583" s="692"/>
      <c r="O583" s="692"/>
      <c r="P583" s="692"/>
      <c r="Q583" s="692"/>
    </row>
    <row r="584" spans="1:17" s="701" customFormat="1" ht="15" customHeight="1" x14ac:dyDescent="0.25">
      <c r="A584" s="728">
        <f t="shared" si="15"/>
        <v>92.592592592592581</v>
      </c>
      <c r="B584" s="87" t="s">
        <v>2465</v>
      </c>
      <c r="C584" s="696" t="s">
        <v>66</v>
      </c>
      <c r="D584" s="696">
        <v>100</v>
      </c>
      <c r="E584" s="573">
        <v>1.08</v>
      </c>
      <c r="F584" s="696">
        <v>100</v>
      </c>
      <c r="G584" s="87">
        <f t="shared" si="5"/>
        <v>0</v>
      </c>
      <c r="H584" s="690"/>
      <c r="I584" s="693"/>
      <c r="J584" s="692"/>
      <c r="K584" s="692"/>
      <c r="L584" s="692"/>
      <c r="M584" s="692"/>
      <c r="N584" s="692"/>
      <c r="O584" s="692"/>
      <c r="P584" s="692"/>
      <c r="Q584" s="692"/>
    </row>
    <row r="585" spans="1:17" ht="15" customHeight="1" x14ac:dyDescent="0.25">
      <c r="A585" s="728">
        <f t="shared" si="15"/>
        <v>109.58904109589041</v>
      </c>
      <c r="B585" s="87" t="s">
        <v>2465</v>
      </c>
      <c r="C585" s="696" t="s">
        <v>1924</v>
      </c>
      <c r="D585" s="696">
        <v>16000</v>
      </c>
      <c r="E585" s="573">
        <v>146</v>
      </c>
      <c r="F585" s="696">
        <v>16000</v>
      </c>
      <c r="G585" s="87">
        <f t="shared" si="5"/>
        <v>0</v>
      </c>
      <c r="H585" s="690"/>
      <c r="I585" s="693"/>
      <c r="J585" s="692"/>
      <c r="K585" s="692"/>
      <c r="L585" s="692"/>
      <c r="M585" s="692"/>
      <c r="N585" s="692"/>
      <c r="O585" s="692"/>
      <c r="P585" s="692"/>
      <c r="Q585" s="692"/>
    </row>
    <row r="586" spans="1:17" ht="15" customHeight="1" x14ac:dyDescent="0.25">
      <c r="A586" s="728">
        <f t="shared" si="15"/>
        <v>87.912087912087912</v>
      </c>
      <c r="B586" s="87" t="s">
        <v>2465</v>
      </c>
      <c r="C586" s="696" t="s">
        <v>1923</v>
      </c>
      <c r="D586" s="696">
        <v>16000</v>
      </c>
      <c r="E586" s="573">
        <v>182</v>
      </c>
      <c r="F586" s="696">
        <v>16000</v>
      </c>
      <c r="G586" s="87">
        <f t="shared" si="5"/>
        <v>0</v>
      </c>
      <c r="H586" s="690"/>
      <c r="I586" s="693"/>
      <c r="J586" s="692"/>
      <c r="K586" s="692"/>
      <c r="L586" s="692"/>
      <c r="M586" s="692"/>
      <c r="N586" s="692"/>
      <c r="O586" s="692"/>
      <c r="P586" s="692"/>
      <c r="Q586" s="692"/>
    </row>
    <row r="587" spans="1:17" ht="15" customHeight="1" x14ac:dyDescent="0.25">
      <c r="A587" s="728">
        <f t="shared" si="15"/>
        <v>88.028169014084511</v>
      </c>
      <c r="B587" s="87" t="s">
        <v>2465</v>
      </c>
      <c r="C587" s="696" t="s">
        <v>2466</v>
      </c>
      <c r="D587" s="696">
        <v>25000</v>
      </c>
      <c r="E587" s="573">
        <v>284</v>
      </c>
      <c r="F587" s="696">
        <v>25000</v>
      </c>
      <c r="G587" s="87">
        <f t="shared" si="5"/>
        <v>0</v>
      </c>
      <c r="H587" s="690"/>
      <c r="I587" s="693"/>
      <c r="J587" s="692"/>
      <c r="K587" s="692"/>
      <c r="L587" s="692"/>
      <c r="M587" s="692"/>
      <c r="N587" s="692"/>
      <c r="O587" s="692"/>
      <c r="P587" s="692"/>
      <c r="Q587" s="692"/>
    </row>
    <row r="588" spans="1:17" ht="15" customHeight="1" x14ac:dyDescent="0.25">
      <c r="A588" s="728">
        <f t="shared" si="15"/>
        <v>88.028169014084511</v>
      </c>
      <c r="B588" s="87" t="s">
        <v>2465</v>
      </c>
      <c r="C588" s="696" t="s">
        <v>2467</v>
      </c>
      <c r="D588" s="696">
        <v>25000</v>
      </c>
      <c r="E588" s="573">
        <v>284</v>
      </c>
      <c r="F588" s="696">
        <v>25000</v>
      </c>
      <c r="G588" s="87">
        <f t="shared" si="5"/>
        <v>0</v>
      </c>
      <c r="H588" s="690"/>
      <c r="I588" s="693"/>
      <c r="J588" s="692"/>
      <c r="K588" s="692"/>
      <c r="L588" s="692"/>
      <c r="M588" s="692"/>
      <c r="N588" s="692"/>
      <c r="O588" s="692"/>
      <c r="P588" s="692"/>
      <c r="Q588" s="692"/>
    </row>
    <row r="589" spans="1:17" ht="15" customHeight="1" x14ac:dyDescent="0.25">
      <c r="A589" s="728">
        <f t="shared" si="15"/>
        <v>88.235294117647058</v>
      </c>
      <c r="B589" s="87" t="s">
        <v>2465</v>
      </c>
      <c r="C589" s="696" t="s">
        <v>2325</v>
      </c>
      <c r="D589" s="696">
        <v>15000</v>
      </c>
      <c r="E589" s="573">
        <v>170</v>
      </c>
      <c r="F589" s="696">
        <v>15000</v>
      </c>
      <c r="G589" s="87">
        <f t="shared" si="5"/>
        <v>0</v>
      </c>
      <c r="H589" s="690"/>
      <c r="I589" s="693"/>
      <c r="J589" s="692"/>
      <c r="K589" s="692"/>
      <c r="L589" s="692"/>
      <c r="M589" s="692"/>
      <c r="N589" s="692"/>
      <c r="O589" s="692"/>
      <c r="P589" s="692"/>
      <c r="Q589" s="692"/>
    </row>
    <row r="590" spans="1:17" ht="15" customHeight="1" x14ac:dyDescent="0.25">
      <c r="A590" s="728">
        <f t="shared" si="15"/>
        <v>87.912087912087912</v>
      </c>
      <c r="B590" s="87" t="s">
        <v>2465</v>
      </c>
      <c r="C590" s="696" t="s">
        <v>2270</v>
      </c>
      <c r="D590" s="696">
        <v>32000</v>
      </c>
      <c r="E590" s="573">
        <v>364</v>
      </c>
      <c r="F590" s="696">
        <v>32000</v>
      </c>
      <c r="G590" s="87">
        <f t="shared" si="5"/>
        <v>0</v>
      </c>
      <c r="H590" s="690"/>
      <c r="I590" s="693"/>
      <c r="J590" s="692"/>
      <c r="K590" s="692"/>
      <c r="L590" s="692"/>
      <c r="M590" s="692"/>
      <c r="N590" s="692"/>
      <c r="O590" s="692"/>
      <c r="P590" s="692"/>
      <c r="Q590" s="692"/>
    </row>
    <row r="591" spans="1:17" ht="15" customHeight="1" x14ac:dyDescent="0.25">
      <c r="A591" s="728">
        <f t="shared" si="15"/>
        <v>87.912087912087912</v>
      </c>
      <c r="B591" s="87" t="s">
        <v>2465</v>
      </c>
      <c r="C591" s="696" t="s">
        <v>2468</v>
      </c>
      <c r="D591" s="696">
        <v>32000</v>
      </c>
      <c r="E591" s="573">
        <v>364</v>
      </c>
      <c r="F591" s="696">
        <v>32000</v>
      </c>
      <c r="G591" s="87">
        <f t="shared" si="5"/>
        <v>0</v>
      </c>
      <c r="H591" s="690"/>
      <c r="I591" s="693"/>
      <c r="J591" s="692"/>
      <c r="K591" s="692"/>
      <c r="L591" s="692"/>
      <c r="M591" s="692"/>
      <c r="N591" s="692"/>
      <c r="O591" s="692"/>
      <c r="P591" s="692"/>
      <c r="Q591" s="692"/>
    </row>
    <row r="592" spans="1:17" ht="15" customHeight="1" x14ac:dyDescent="0.25">
      <c r="A592" s="728">
        <f t="shared" si="15"/>
        <v>88.028169014084511</v>
      </c>
      <c r="B592" s="87" t="s">
        <v>2465</v>
      </c>
      <c r="C592" s="696" t="s">
        <v>1840</v>
      </c>
      <c r="D592" s="696">
        <v>25000</v>
      </c>
      <c r="E592" s="573">
        <v>284</v>
      </c>
      <c r="F592" s="696">
        <v>25000</v>
      </c>
      <c r="G592" s="87">
        <f t="shared" si="5"/>
        <v>0</v>
      </c>
      <c r="H592" s="690"/>
      <c r="I592" s="693"/>
      <c r="J592" s="692"/>
      <c r="K592" s="692"/>
      <c r="L592" s="692"/>
      <c r="M592" s="692"/>
      <c r="N592" s="692"/>
      <c r="O592" s="692"/>
      <c r="P592" s="692"/>
      <c r="Q592" s="692"/>
    </row>
    <row r="593" spans="1:17" ht="15" customHeight="1" x14ac:dyDescent="0.25">
      <c r="A593" s="728">
        <f t="shared" si="15"/>
        <v>87.912087912087912</v>
      </c>
      <c r="B593" s="87" t="s">
        <v>2465</v>
      </c>
      <c r="C593" s="696" t="s">
        <v>2469</v>
      </c>
      <c r="D593" s="696">
        <v>32000</v>
      </c>
      <c r="E593" s="573">
        <v>364</v>
      </c>
      <c r="F593" s="696">
        <v>32000</v>
      </c>
      <c r="G593" s="87">
        <f t="shared" si="5"/>
        <v>0</v>
      </c>
      <c r="H593" s="690"/>
      <c r="I593" s="693"/>
      <c r="J593" s="692"/>
      <c r="K593" s="692"/>
      <c r="L593" s="692"/>
      <c r="M593" s="692"/>
      <c r="N593" s="692"/>
      <c r="O593" s="692"/>
      <c r="P593" s="692"/>
      <c r="Q593" s="692"/>
    </row>
    <row r="594" spans="1:17" ht="15" customHeight="1" x14ac:dyDescent="0.25">
      <c r="A594" s="728">
        <f t="shared" si="15"/>
        <v>88</v>
      </c>
      <c r="B594" s="87" t="s">
        <v>2465</v>
      </c>
      <c r="C594" s="696" t="s">
        <v>2470</v>
      </c>
      <c r="D594" s="696">
        <v>22000</v>
      </c>
      <c r="E594" s="573">
        <v>250</v>
      </c>
      <c r="F594" s="696">
        <v>22000</v>
      </c>
      <c r="G594" s="87">
        <f t="shared" si="5"/>
        <v>0</v>
      </c>
      <c r="H594" s="690"/>
      <c r="I594" s="693"/>
      <c r="J594" s="692"/>
      <c r="K594" s="692"/>
      <c r="L594" s="692"/>
      <c r="M594" s="692"/>
      <c r="N594" s="692"/>
      <c r="O594" s="692"/>
      <c r="P594" s="692"/>
      <c r="Q594" s="692"/>
    </row>
    <row r="595" spans="1:17" ht="15" customHeight="1" x14ac:dyDescent="0.25">
      <c r="A595" s="728">
        <f t="shared" si="15"/>
        <v>88.235294117647058</v>
      </c>
      <c r="B595" s="87" t="s">
        <v>2465</v>
      </c>
      <c r="C595" s="696" t="s">
        <v>2471</v>
      </c>
      <c r="D595" s="696">
        <v>15000</v>
      </c>
      <c r="E595" s="573">
        <v>170</v>
      </c>
      <c r="F595" s="696">
        <v>15000</v>
      </c>
      <c r="G595" s="87">
        <f t="shared" si="5"/>
        <v>0</v>
      </c>
      <c r="H595" s="690"/>
      <c r="I595" s="693"/>
      <c r="J595" s="692"/>
      <c r="K595" s="692"/>
      <c r="L595" s="692"/>
      <c r="M595" s="692"/>
      <c r="N595" s="692"/>
      <c r="O595" s="692"/>
      <c r="P595" s="692"/>
      <c r="Q595" s="692"/>
    </row>
    <row r="596" spans="1:17" ht="15" customHeight="1" x14ac:dyDescent="0.25">
      <c r="A596" s="728">
        <f t="shared" si="15"/>
        <v>88.235294117647058</v>
      </c>
      <c r="B596" s="87" t="s">
        <v>2465</v>
      </c>
      <c r="C596" s="696" t="s">
        <v>2472</v>
      </c>
      <c r="D596" s="696">
        <v>15000</v>
      </c>
      <c r="E596" s="573">
        <v>170</v>
      </c>
      <c r="F596" s="696">
        <v>15000</v>
      </c>
      <c r="G596" s="87">
        <f t="shared" si="5"/>
        <v>0</v>
      </c>
      <c r="H596" s="690"/>
      <c r="I596" s="693"/>
      <c r="J596" s="692"/>
      <c r="K596" s="692"/>
      <c r="L596" s="692"/>
      <c r="M596" s="692"/>
      <c r="N596" s="692"/>
      <c r="O596" s="692"/>
      <c r="P596" s="692"/>
      <c r="Q596" s="692"/>
    </row>
    <row r="597" spans="1:17" ht="15" customHeight="1" x14ac:dyDescent="0.25">
      <c r="A597" s="728">
        <f t="shared" si="15"/>
        <v>88</v>
      </c>
      <c r="B597" s="87" t="s">
        <v>2465</v>
      </c>
      <c r="C597" s="696" t="s">
        <v>2473</v>
      </c>
      <c r="D597" s="696">
        <v>22000</v>
      </c>
      <c r="E597" s="573">
        <v>250</v>
      </c>
      <c r="F597" s="696">
        <v>22000</v>
      </c>
      <c r="G597" s="87">
        <f t="shared" si="5"/>
        <v>0</v>
      </c>
      <c r="H597" s="690"/>
      <c r="I597" s="693"/>
      <c r="J597" s="692"/>
      <c r="K597" s="692"/>
      <c r="L597" s="692"/>
      <c r="M597" s="692"/>
      <c r="N597" s="692"/>
      <c r="O597" s="692"/>
      <c r="P597" s="692"/>
      <c r="Q597" s="692"/>
    </row>
    <row r="598" spans="1:17" ht="15" customHeight="1" x14ac:dyDescent="0.25">
      <c r="A598" s="728">
        <f t="shared" si="15"/>
        <v>87.912087912087912</v>
      </c>
      <c r="B598" s="87" t="s">
        <v>2465</v>
      </c>
      <c r="C598" s="696" t="s">
        <v>1817</v>
      </c>
      <c r="D598" s="696">
        <v>32000</v>
      </c>
      <c r="E598" s="573">
        <v>364</v>
      </c>
      <c r="F598" s="696">
        <v>32000</v>
      </c>
      <c r="G598" s="87">
        <f t="shared" si="5"/>
        <v>0</v>
      </c>
      <c r="H598" s="690"/>
      <c r="I598" s="693"/>
      <c r="J598" s="692"/>
      <c r="K598" s="692"/>
      <c r="L598" s="692"/>
      <c r="M598" s="692"/>
      <c r="N598" s="692"/>
      <c r="O598" s="692"/>
      <c r="P598" s="692"/>
      <c r="Q598" s="692"/>
    </row>
    <row r="599" spans="1:17" ht="15" customHeight="1" x14ac:dyDescent="0.25">
      <c r="A599" s="728">
        <f t="shared" si="15"/>
        <v>87.804878048780495</v>
      </c>
      <c r="B599" s="87" t="s">
        <v>2465</v>
      </c>
      <c r="C599" s="696" t="s">
        <v>2297</v>
      </c>
      <c r="D599" s="696">
        <v>18000</v>
      </c>
      <c r="E599" s="573">
        <v>205</v>
      </c>
      <c r="F599" s="696">
        <v>18000</v>
      </c>
      <c r="G599" s="87">
        <f t="shared" si="5"/>
        <v>0</v>
      </c>
      <c r="H599" s="690"/>
      <c r="I599" s="693"/>
      <c r="J599" s="692"/>
      <c r="K599" s="692"/>
      <c r="L599" s="692"/>
      <c r="M599" s="692"/>
      <c r="N599" s="692"/>
      <c r="O599" s="692"/>
      <c r="P599" s="692"/>
      <c r="Q599" s="692"/>
    </row>
    <row r="600" spans="1:17" ht="15" customHeight="1" x14ac:dyDescent="0.25">
      <c r="A600" s="728">
        <f t="shared" si="15"/>
        <v>99.056603773584897</v>
      </c>
      <c r="B600" s="87" t="s">
        <v>2465</v>
      </c>
      <c r="C600" s="696" t="s">
        <v>66</v>
      </c>
      <c r="D600" s="696">
        <v>210</v>
      </c>
      <c r="E600" s="573">
        <v>2.12</v>
      </c>
      <c r="F600" s="696">
        <v>210</v>
      </c>
      <c r="G600" s="87">
        <f t="shared" si="5"/>
        <v>0</v>
      </c>
      <c r="H600" s="690"/>
      <c r="I600" s="693"/>
      <c r="J600" s="692"/>
      <c r="K600" s="692"/>
      <c r="L600" s="692"/>
      <c r="M600" s="692"/>
      <c r="N600" s="692"/>
      <c r="O600" s="692"/>
      <c r="P600" s="692"/>
      <c r="Q600" s="692"/>
    </row>
    <row r="601" spans="1:17" ht="15" customHeight="1" x14ac:dyDescent="0.25">
      <c r="A601" s="728">
        <f t="shared" si="15"/>
        <v>105.26315789473684</v>
      </c>
      <c r="B601" s="87" t="s">
        <v>2465</v>
      </c>
      <c r="C601" s="696" t="s">
        <v>2474</v>
      </c>
      <c r="D601" s="696">
        <v>4000</v>
      </c>
      <c r="E601" s="573">
        <v>38</v>
      </c>
      <c r="F601" s="696">
        <v>4000</v>
      </c>
      <c r="G601" s="87">
        <f t="shared" si="5"/>
        <v>0</v>
      </c>
      <c r="H601" s="690"/>
      <c r="I601" s="693"/>
      <c r="J601" s="692"/>
      <c r="K601" s="692"/>
      <c r="L601" s="692"/>
      <c r="M601" s="692"/>
      <c r="N601" s="692"/>
      <c r="O601" s="692"/>
      <c r="P601" s="692"/>
      <c r="Q601" s="692"/>
    </row>
    <row r="602" spans="1:17" ht="15" customHeight="1" x14ac:dyDescent="0.25">
      <c r="A602" s="728">
        <f t="shared" si="15"/>
        <v>88.888888888888886</v>
      </c>
      <c r="B602" s="87" t="s">
        <v>2465</v>
      </c>
      <c r="C602" s="696" t="s">
        <v>2475</v>
      </c>
      <c r="D602" s="696">
        <v>4000</v>
      </c>
      <c r="E602" s="573">
        <v>45</v>
      </c>
      <c r="F602" s="696">
        <v>4000</v>
      </c>
      <c r="G602" s="87">
        <f t="shared" si="5"/>
        <v>0</v>
      </c>
      <c r="H602" s="690"/>
      <c r="I602" s="693"/>
      <c r="J602" s="692"/>
      <c r="K602" s="692"/>
      <c r="L602" s="692"/>
      <c r="M602" s="692"/>
      <c r="N602" s="692"/>
      <c r="O602" s="692"/>
      <c r="P602" s="692"/>
      <c r="Q602" s="692"/>
    </row>
    <row r="603" spans="1:17" ht="15" customHeight="1" x14ac:dyDescent="0.25">
      <c r="A603" s="728">
        <f t="shared" si="15"/>
        <v>88.105726872246692</v>
      </c>
      <c r="B603" s="87" t="s">
        <v>2465</v>
      </c>
      <c r="C603" s="696" t="s">
        <v>2476</v>
      </c>
      <c r="D603" s="696">
        <v>20000</v>
      </c>
      <c r="E603" s="573">
        <v>227</v>
      </c>
      <c r="F603" s="696">
        <v>20000</v>
      </c>
      <c r="G603" s="87">
        <f t="shared" si="5"/>
        <v>0</v>
      </c>
      <c r="H603" s="690"/>
      <c r="I603" s="693"/>
      <c r="J603" s="692"/>
      <c r="K603" s="692"/>
      <c r="L603" s="692"/>
      <c r="M603" s="692"/>
      <c r="N603" s="692"/>
      <c r="O603" s="692"/>
      <c r="P603" s="692"/>
      <c r="Q603" s="692"/>
    </row>
    <row r="604" spans="1:17" ht="15" customHeight="1" x14ac:dyDescent="0.25">
      <c r="A604" s="728">
        <f t="shared" si="15"/>
        <v>88.105726872246692</v>
      </c>
      <c r="B604" s="87" t="s">
        <v>2465</v>
      </c>
      <c r="C604" s="696" t="s">
        <v>2477</v>
      </c>
      <c r="D604" s="696">
        <v>20000</v>
      </c>
      <c r="E604" s="573">
        <v>227</v>
      </c>
      <c r="F604" s="696">
        <v>20000</v>
      </c>
      <c r="G604" s="87">
        <f t="shared" si="5"/>
        <v>0</v>
      </c>
      <c r="H604" s="690"/>
      <c r="I604" s="693"/>
      <c r="J604" s="692"/>
      <c r="K604" s="692"/>
      <c r="L604" s="692"/>
      <c r="M604" s="692"/>
      <c r="N604" s="692"/>
      <c r="O604" s="692"/>
      <c r="P604" s="692"/>
      <c r="Q604" s="692"/>
    </row>
    <row r="605" spans="1:17" ht="15" customHeight="1" x14ac:dyDescent="0.25">
      <c r="A605" s="728">
        <f t="shared" si="15"/>
        <v>87.947882736156359</v>
      </c>
      <c r="B605" s="87" t="s">
        <v>2465</v>
      </c>
      <c r="C605" s="696" t="s">
        <v>2478</v>
      </c>
      <c r="D605" s="696">
        <v>27000</v>
      </c>
      <c r="E605" s="573">
        <v>307</v>
      </c>
      <c r="F605" s="696">
        <v>27000</v>
      </c>
      <c r="G605" s="87">
        <f t="shared" si="5"/>
        <v>0</v>
      </c>
      <c r="H605" s="690"/>
      <c r="I605" s="693"/>
      <c r="J605" s="692"/>
      <c r="K605" s="692"/>
      <c r="L605" s="692"/>
      <c r="M605" s="692"/>
      <c r="N605" s="692"/>
      <c r="O605" s="692"/>
      <c r="P605" s="692"/>
      <c r="Q605" s="692"/>
    </row>
    <row r="606" spans="1:17" ht="15" customHeight="1" x14ac:dyDescent="0.25">
      <c r="A606" s="728">
        <f t="shared" si="15"/>
        <v>69.696969696969703</v>
      </c>
      <c r="B606" s="87" t="s">
        <v>2465</v>
      </c>
      <c r="C606" s="696" t="s">
        <v>2308</v>
      </c>
      <c r="D606" s="696">
        <v>23000</v>
      </c>
      <c r="E606" s="573">
        <v>330</v>
      </c>
      <c r="F606" s="696">
        <v>23000</v>
      </c>
      <c r="G606" s="87">
        <f t="shared" si="5"/>
        <v>0</v>
      </c>
      <c r="H606" s="690"/>
      <c r="I606" s="693"/>
      <c r="J606" s="692"/>
      <c r="K606" s="692"/>
      <c r="L606" s="692"/>
      <c r="M606" s="692"/>
      <c r="N606" s="692"/>
      <c r="O606" s="692"/>
      <c r="P606" s="692"/>
      <c r="Q606" s="692"/>
    </row>
    <row r="607" spans="1:17" ht="15" customHeight="1" x14ac:dyDescent="0.25">
      <c r="A607" s="728">
        <f t="shared" si="15"/>
        <v>87.774294670846402</v>
      </c>
      <c r="B607" s="87" t="s">
        <v>2479</v>
      </c>
      <c r="C607" s="696" t="s">
        <v>2480</v>
      </c>
      <c r="D607" s="696">
        <v>28000</v>
      </c>
      <c r="E607" s="573">
        <v>319</v>
      </c>
      <c r="F607" s="696">
        <v>28000</v>
      </c>
      <c r="G607" s="87">
        <f t="shared" si="5"/>
        <v>0</v>
      </c>
      <c r="H607" s="690"/>
      <c r="I607" s="693"/>
      <c r="J607" s="692"/>
      <c r="K607" s="692"/>
      <c r="L607" s="692"/>
      <c r="M607" s="692"/>
      <c r="N607" s="692"/>
      <c r="O607" s="692"/>
      <c r="P607" s="692"/>
      <c r="Q607" s="692"/>
    </row>
    <row r="608" spans="1:17" ht="15" customHeight="1" x14ac:dyDescent="0.25">
      <c r="A608" s="728">
        <f t="shared" si="15"/>
        <v>88.028169014084511</v>
      </c>
      <c r="B608" s="87" t="s">
        <v>2479</v>
      </c>
      <c r="C608" s="696" t="s">
        <v>1769</v>
      </c>
      <c r="D608" s="696">
        <v>25000</v>
      </c>
      <c r="E608" s="573">
        <v>284</v>
      </c>
      <c r="F608" s="696">
        <v>25000</v>
      </c>
      <c r="G608" s="87">
        <f t="shared" si="5"/>
        <v>0</v>
      </c>
      <c r="H608" s="690"/>
      <c r="I608" s="693"/>
      <c r="J608" s="692"/>
      <c r="K608" s="692"/>
      <c r="L608" s="692"/>
      <c r="M608" s="692"/>
      <c r="N608" s="692"/>
      <c r="O608" s="692"/>
      <c r="P608" s="692"/>
      <c r="Q608" s="692"/>
    </row>
    <row r="609" spans="1:17" ht="15" customHeight="1" x14ac:dyDescent="0.25">
      <c r="A609" s="728">
        <f t="shared" si="15"/>
        <v>88.235294117647058</v>
      </c>
      <c r="B609" s="87" t="s">
        <v>2479</v>
      </c>
      <c r="C609" s="696" t="s">
        <v>1788</v>
      </c>
      <c r="D609" s="696">
        <v>15000</v>
      </c>
      <c r="E609" s="573">
        <v>170</v>
      </c>
      <c r="F609" s="696">
        <v>15000</v>
      </c>
      <c r="G609" s="87">
        <f t="shared" si="5"/>
        <v>0</v>
      </c>
      <c r="H609" s="690"/>
      <c r="I609" s="693"/>
      <c r="J609" s="692"/>
      <c r="K609" s="692"/>
      <c r="L609" s="692"/>
      <c r="M609" s="692"/>
      <c r="N609" s="692"/>
      <c r="O609" s="692"/>
      <c r="P609" s="692"/>
      <c r="Q609" s="692"/>
    </row>
    <row r="610" spans="1:17" ht="15" customHeight="1" x14ac:dyDescent="0.25">
      <c r="A610" s="728">
        <f t="shared" si="15"/>
        <v>88.105726872246692</v>
      </c>
      <c r="B610" s="87" t="s">
        <v>2479</v>
      </c>
      <c r="C610" s="696" t="s">
        <v>2481</v>
      </c>
      <c r="D610" s="696">
        <v>20000</v>
      </c>
      <c r="E610" s="573">
        <v>227</v>
      </c>
      <c r="F610" s="696">
        <v>20000</v>
      </c>
      <c r="G610" s="87">
        <f t="shared" si="5"/>
        <v>0</v>
      </c>
      <c r="H610" s="690"/>
      <c r="I610" s="693"/>
      <c r="J610" s="692"/>
      <c r="K610" s="692"/>
      <c r="L610" s="692"/>
      <c r="M610" s="692"/>
      <c r="N610" s="692"/>
      <c r="O610" s="692"/>
      <c r="P610" s="692"/>
      <c r="Q610" s="692"/>
    </row>
    <row r="611" spans="1:17" ht="15" customHeight="1" x14ac:dyDescent="0.25">
      <c r="A611" s="728">
        <f t="shared" si="15"/>
        <v>92.741935483870961</v>
      </c>
      <c r="B611" s="87" t="s">
        <v>2479</v>
      </c>
      <c r="C611" s="696" t="s">
        <v>2482</v>
      </c>
      <c r="D611" s="696">
        <v>23000</v>
      </c>
      <c r="E611" s="573">
        <v>248</v>
      </c>
      <c r="F611" s="696">
        <v>23000</v>
      </c>
      <c r="G611" s="87">
        <f t="shared" si="5"/>
        <v>0</v>
      </c>
      <c r="H611" s="690"/>
      <c r="I611" s="693"/>
      <c r="J611" s="692"/>
      <c r="K611" s="692"/>
      <c r="L611" s="692"/>
      <c r="M611" s="692"/>
      <c r="N611" s="692"/>
      <c r="O611" s="692"/>
      <c r="P611" s="692"/>
      <c r="Q611" s="692"/>
    </row>
    <row r="612" spans="1:17" ht="15" customHeight="1" x14ac:dyDescent="0.25">
      <c r="A612" s="728">
        <f t="shared" si="15"/>
        <v>92.024539877300612</v>
      </c>
      <c r="B612" s="87" t="s">
        <v>2479</v>
      </c>
      <c r="C612" s="696" t="s">
        <v>1990</v>
      </c>
      <c r="D612" s="696">
        <v>15000</v>
      </c>
      <c r="E612" s="573">
        <v>163</v>
      </c>
      <c r="F612" s="696">
        <v>15000</v>
      </c>
      <c r="G612" s="87">
        <f t="shared" si="5"/>
        <v>0</v>
      </c>
      <c r="H612" s="690"/>
      <c r="I612" s="693"/>
      <c r="J612" s="692"/>
      <c r="K612" s="692"/>
      <c r="L612" s="692"/>
      <c r="M612" s="692"/>
      <c r="N612" s="692"/>
      <c r="O612" s="692"/>
      <c r="P612" s="692"/>
      <c r="Q612" s="692"/>
    </row>
    <row r="613" spans="1:17" ht="15" customHeight="1" x14ac:dyDescent="0.25">
      <c r="A613" s="728">
        <f t="shared" si="15"/>
        <v>89.10891089108911</v>
      </c>
      <c r="B613" s="87" t="s">
        <v>2479</v>
      </c>
      <c r="C613" s="696" t="s">
        <v>2173</v>
      </c>
      <c r="D613" s="696">
        <v>27000</v>
      </c>
      <c r="E613" s="573">
        <v>303</v>
      </c>
      <c r="F613" s="696">
        <v>27000</v>
      </c>
      <c r="G613" s="87">
        <f t="shared" si="5"/>
        <v>0</v>
      </c>
      <c r="H613" s="690"/>
      <c r="I613" s="693"/>
      <c r="J613" s="692"/>
      <c r="K613" s="692"/>
      <c r="L613" s="692"/>
      <c r="M613" s="692"/>
      <c r="N613" s="692"/>
      <c r="O613" s="692"/>
      <c r="P613" s="692"/>
      <c r="Q613" s="692"/>
    </row>
    <row r="614" spans="1:17" ht="15" customHeight="1" x14ac:dyDescent="0.25">
      <c r="A614" s="728">
        <f t="shared" si="15"/>
        <v>92.024539877300612</v>
      </c>
      <c r="B614" s="87" t="s">
        <v>2479</v>
      </c>
      <c r="C614" s="696" t="s">
        <v>2158</v>
      </c>
      <c r="D614" s="696">
        <v>15000</v>
      </c>
      <c r="E614" s="573">
        <v>163</v>
      </c>
      <c r="F614" s="696">
        <v>15000</v>
      </c>
      <c r="G614" s="87">
        <f t="shared" si="5"/>
        <v>0</v>
      </c>
      <c r="H614" s="690"/>
      <c r="I614" s="693"/>
      <c r="J614" s="692"/>
      <c r="K614" s="692"/>
      <c r="L614" s="692"/>
      <c r="M614" s="692"/>
      <c r="N614" s="692"/>
      <c r="O614" s="692"/>
      <c r="P614" s="692"/>
      <c r="Q614" s="692"/>
    </row>
    <row r="615" spans="1:17" ht="15" customHeight="1" x14ac:dyDescent="0.25">
      <c r="A615" s="728">
        <f t="shared" si="15"/>
        <v>88.888888888888886</v>
      </c>
      <c r="B615" s="87" t="s">
        <v>2479</v>
      </c>
      <c r="C615" s="696" t="s">
        <v>30</v>
      </c>
      <c r="D615" s="696">
        <v>8000</v>
      </c>
      <c r="E615" s="573">
        <v>90</v>
      </c>
      <c r="F615" s="696">
        <v>8000</v>
      </c>
      <c r="G615" s="87">
        <f t="shared" si="5"/>
        <v>0</v>
      </c>
      <c r="H615" s="690"/>
      <c r="I615" s="693"/>
      <c r="J615" s="692"/>
      <c r="K615" s="692"/>
      <c r="L615" s="692"/>
      <c r="M615" s="692"/>
      <c r="N615" s="692"/>
      <c r="O615" s="692"/>
      <c r="P615" s="692"/>
      <c r="Q615" s="692"/>
    </row>
    <row r="616" spans="1:17" ht="15" customHeight="1" x14ac:dyDescent="0.25">
      <c r="A616" s="728">
        <f t="shared" si="15"/>
        <v>87.740916271721957</v>
      </c>
      <c r="B616" s="87" t="s">
        <v>2479</v>
      </c>
      <c r="C616" s="696" t="s">
        <v>17</v>
      </c>
      <c r="D616" s="696">
        <v>2777</v>
      </c>
      <c r="E616" s="573">
        <v>31.65</v>
      </c>
      <c r="F616" s="696">
        <v>2777</v>
      </c>
      <c r="G616" s="87">
        <f t="shared" si="5"/>
        <v>0</v>
      </c>
      <c r="H616" s="690"/>
      <c r="I616" s="693"/>
      <c r="J616" s="692"/>
      <c r="K616" s="692"/>
      <c r="L616" s="692"/>
      <c r="M616" s="692"/>
      <c r="N616" s="692"/>
      <c r="O616" s="692"/>
      <c r="P616" s="692"/>
      <c r="Q616" s="692"/>
    </row>
    <row r="617" spans="1:17" ht="15" customHeight="1" x14ac:dyDescent="0.25">
      <c r="A617" s="728">
        <f t="shared" si="15"/>
        <v>88.122605363984675</v>
      </c>
      <c r="B617" s="87" t="s">
        <v>2479</v>
      </c>
      <c r="C617" s="696" t="s">
        <v>2483</v>
      </c>
      <c r="D617" s="696">
        <v>23000</v>
      </c>
      <c r="E617" s="573">
        <v>261</v>
      </c>
      <c r="F617" s="696">
        <v>23000</v>
      </c>
      <c r="G617" s="87">
        <f t="shared" si="5"/>
        <v>0</v>
      </c>
      <c r="H617" s="690"/>
      <c r="I617" s="693"/>
      <c r="J617" s="692"/>
      <c r="K617" s="692"/>
      <c r="L617" s="692"/>
      <c r="M617" s="692"/>
      <c r="N617" s="692"/>
      <c r="O617" s="692"/>
      <c r="P617" s="692"/>
      <c r="Q617" s="692"/>
    </row>
    <row r="618" spans="1:17" ht="15" customHeight="1" x14ac:dyDescent="0.25">
      <c r="A618" s="728">
        <f t="shared" si="15"/>
        <v>88.105726872246692</v>
      </c>
      <c r="B618" s="87" t="s">
        <v>2479</v>
      </c>
      <c r="C618" s="696" t="s">
        <v>2484</v>
      </c>
      <c r="D618" s="696">
        <v>20000</v>
      </c>
      <c r="E618" s="573">
        <v>227</v>
      </c>
      <c r="F618" s="696">
        <v>20000</v>
      </c>
      <c r="G618" s="87">
        <f t="shared" si="5"/>
        <v>0</v>
      </c>
      <c r="H618" s="690"/>
      <c r="I618" s="693"/>
      <c r="J618" s="692"/>
      <c r="K618" s="692"/>
      <c r="L618" s="692"/>
      <c r="M618" s="692"/>
      <c r="N618" s="692"/>
      <c r="O618" s="692"/>
      <c r="P618" s="692"/>
      <c r="Q618" s="692"/>
    </row>
    <row r="619" spans="1:17" ht="15" customHeight="1" x14ac:dyDescent="0.25">
      <c r="A619" s="728">
        <f t="shared" si="15"/>
        <v>88.105726872246692</v>
      </c>
      <c r="B619" s="87" t="s">
        <v>2479</v>
      </c>
      <c r="C619" s="696" t="s">
        <v>2485</v>
      </c>
      <c r="D619" s="696">
        <v>20000</v>
      </c>
      <c r="E619" s="573">
        <v>227</v>
      </c>
      <c r="F619" s="696">
        <v>20000</v>
      </c>
      <c r="G619" s="87">
        <f t="shared" si="5"/>
        <v>0</v>
      </c>
      <c r="H619" s="690"/>
      <c r="I619" s="693"/>
      <c r="J619" s="692"/>
      <c r="K619" s="692"/>
      <c r="L619" s="692"/>
      <c r="M619" s="692"/>
      <c r="N619" s="692"/>
      <c r="O619" s="692"/>
      <c r="P619" s="692"/>
      <c r="Q619" s="692"/>
    </row>
    <row r="620" spans="1:17" ht="15" customHeight="1" x14ac:dyDescent="0.25">
      <c r="A620" s="728">
        <f t="shared" si="15"/>
        <v>88.028169014084511</v>
      </c>
      <c r="B620" s="87" t="s">
        <v>2479</v>
      </c>
      <c r="C620" s="696" t="s">
        <v>2486</v>
      </c>
      <c r="D620" s="696">
        <v>25000</v>
      </c>
      <c r="E620" s="573">
        <v>284</v>
      </c>
      <c r="F620" s="696">
        <v>25000</v>
      </c>
      <c r="G620" s="87">
        <f t="shared" si="5"/>
        <v>0</v>
      </c>
      <c r="H620" s="690"/>
      <c r="I620" s="693"/>
      <c r="J620" s="692"/>
      <c r="K620" s="692"/>
      <c r="L620" s="692"/>
      <c r="M620" s="692"/>
      <c r="N620" s="692"/>
      <c r="O620" s="692"/>
      <c r="P620" s="692"/>
      <c r="Q620" s="692"/>
    </row>
    <row r="621" spans="1:17" ht="15" customHeight="1" x14ac:dyDescent="0.25">
      <c r="A621" s="728">
        <f t="shared" si="15"/>
        <v>88</v>
      </c>
      <c r="B621" s="87" t="s">
        <v>2479</v>
      </c>
      <c r="C621" s="696" t="s">
        <v>2487</v>
      </c>
      <c r="D621" s="696">
        <v>22000</v>
      </c>
      <c r="E621" s="573">
        <v>250</v>
      </c>
      <c r="F621" s="696">
        <v>22000</v>
      </c>
      <c r="G621" s="87">
        <f t="shared" ref="G621:G644" si="16">D621-F621</f>
        <v>0</v>
      </c>
      <c r="H621" s="690"/>
      <c r="I621" s="693"/>
      <c r="J621" s="692"/>
      <c r="K621" s="692"/>
      <c r="L621" s="692"/>
      <c r="M621" s="692"/>
      <c r="N621" s="692"/>
      <c r="O621" s="692"/>
      <c r="P621" s="692"/>
      <c r="Q621" s="692"/>
    </row>
    <row r="622" spans="1:17" ht="15" customHeight="1" x14ac:dyDescent="0.25">
      <c r="A622" s="728">
        <f t="shared" si="15"/>
        <v>88.105726872246692</v>
      </c>
      <c r="B622" s="87" t="s">
        <v>2479</v>
      </c>
      <c r="C622" s="696" t="s">
        <v>2488</v>
      </c>
      <c r="D622" s="696">
        <v>20000</v>
      </c>
      <c r="E622" s="573">
        <v>227</v>
      </c>
      <c r="F622" s="696">
        <v>20000</v>
      </c>
      <c r="G622" s="87">
        <f t="shared" si="16"/>
        <v>0</v>
      </c>
      <c r="H622" s="690"/>
      <c r="I622" s="693"/>
      <c r="J622" s="692"/>
      <c r="K622" s="692"/>
      <c r="L622" s="692"/>
      <c r="M622" s="692"/>
      <c r="N622" s="692"/>
      <c r="O622" s="692"/>
      <c r="P622" s="692"/>
      <c r="Q622" s="692"/>
    </row>
    <row r="623" spans="1:17" s="703" customFormat="1" ht="15" customHeight="1" x14ac:dyDescent="0.25">
      <c r="A623" s="728">
        <f t="shared" si="15"/>
        <v>88</v>
      </c>
      <c r="B623" s="87" t="s">
        <v>2601</v>
      </c>
      <c r="C623" s="696" t="s">
        <v>2602</v>
      </c>
      <c r="D623" s="696">
        <v>22000</v>
      </c>
      <c r="E623" s="573">
        <v>250</v>
      </c>
      <c r="F623" s="696">
        <v>22000</v>
      </c>
      <c r="G623" s="87">
        <f t="shared" si="16"/>
        <v>0</v>
      </c>
      <c r="H623" s="690"/>
      <c r="I623" s="693"/>
      <c r="J623" s="692"/>
      <c r="K623" s="692"/>
      <c r="L623" s="692"/>
      <c r="M623" s="692"/>
      <c r="N623" s="692"/>
      <c r="O623" s="692"/>
      <c r="P623" s="692"/>
      <c r="Q623" s="692"/>
    </row>
    <row r="624" spans="1:17" s="703" customFormat="1" ht="15" customHeight="1" x14ac:dyDescent="0.25">
      <c r="A624" s="728">
        <f t="shared" si="15"/>
        <v>96.916299559471369</v>
      </c>
      <c r="B624" s="87" t="s">
        <v>2601</v>
      </c>
      <c r="C624" s="696" t="s">
        <v>2603</v>
      </c>
      <c r="D624" s="696">
        <v>22000</v>
      </c>
      <c r="E624" s="573">
        <v>227</v>
      </c>
      <c r="F624" s="696">
        <v>22000</v>
      </c>
      <c r="G624" s="87">
        <f t="shared" si="16"/>
        <v>0</v>
      </c>
      <c r="H624" s="690"/>
      <c r="I624" s="693"/>
      <c r="J624" s="692"/>
      <c r="K624" s="692"/>
      <c r="L624" s="692"/>
      <c r="M624" s="692"/>
      <c r="N624" s="692"/>
      <c r="O624" s="692"/>
      <c r="P624" s="692"/>
      <c r="Q624" s="692"/>
    </row>
    <row r="625" spans="1:17" s="703" customFormat="1" ht="15" customHeight="1" x14ac:dyDescent="0.25">
      <c r="A625" s="728">
        <f t="shared" si="15"/>
        <v>91.603053435114504</v>
      </c>
      <c r="B625" s="87" t="s">
        <v>2601</v>
      </c>
      <c r="C625" s="696" t="s">
        <v>2502</v>
      </c>
      <c r="D625" s="696">
        <v>24000</v>
      </c>
      <c r="E625" s="573">
        <v>262</v>
      </c>
      <c r="F625" s="696">
        <v>24000</v>
      </c>
      <c r="G625" s="87">
        <f t="shared" si="16"/>
        <v>0</v>
      </c>
      <c r="H625" s="690"/>
      <c r="I625" s="693"/>
      <c r="J625" s="692"/>
      <c r="K625" s="692"/>
      <c r="L625" s="692"/>
      <c r="M625" s="692"/>
      <c r="N625" s="692"/>
      <c r="O625" s="692"/>
      <c r="P625" s="692"/>
      <c r="Q625" s="692"/>
    </row>
    <row r="626" spans="1:17" s="703" customFormat="1" ht="15" customHeight="1" x14ac:dyDescent="0.25">
      <c r="A626" s="728">
        <f t="shared" si="15"/>
        <v>90.909090909090907</v>
      </c>
      <c r="B626" s="87" t="s">
        <v>2601</v>
      </c>
      <c r="C626" s="696" t="s">
        <v>1855</v>
      </c>
      <c r="D626" s="696">
        <v>16000</v>
      </c>
      <c r="E626" s="573">
        <v>176</v>
      </c>
      <c r="F626" s="696">
        <v>16000</v>
      </c>
      <c r="G626" s="87">
        <f t="shared" si="16"/>
        <v>0</v>
      </c>
      <c r="H626" s="690"/>
      <c r="I626" s="693"/>
      <c r="J626" s="692"/>
      <c r="K626" s="692"/>
      <c r="L626" s="692"/>
      <c r="M626" s="692"/>
      <c r="N626" s="692"/>
      <c r="O626" s="692"/>
      <c r="P626" s="692"/>
      <c r="Q626" s="692"/>
    </row>
    <row r="627" spans="1:17" s="703" customFormat="1" ht="15" customHeight="1" x14ac:dyDescent="0.25">
      <c r="A627" s="728">
        <f t="shared" si="15"/>
        <v>87.912087912087912</v>
      </c>
      <c r="B627" s="87" t="s">
        <v>2601</v>
      </c>
      <c r="C627" s="696" t="s">
        <v>2044</v>
      </c>
      <c r="D627" s="696">
        <v>16000</v>
      </c>
      <c r="E627" s="573">
        <v>182</v>
      </c>
      <c r="F627" s="696">
        <v>16000</v>
      </c>
      <c r="G627" s="87">
        <f t="shared" si="16"/>
        <v>0</v>
      </c>
      <c r="H627" s="690"/>
      <c r="I627" s="693"/>
      <c r="J627" s="692"/>
      <c r="K627" s="692"/>
      <c r="L627" s="692"/>
      <c r="M627" s="692"/>
      <c r="N627" s="692"/>
      <c r="O627" s="692"/>
      <c r="P627" s="692"/>
      <c r="Q627" s="692"/>
    </row>
    <row r="628" spans="1:17" s="703" customFormat="1" ht="15" customHeight="1" x14ac:dyDescent="0.25">
      <c r="A628" s="728">
        <f t="shared" si="15"/>
        <v>62.200956937799042</v>
      </c>
      <c r="B628" s="87" t="s">
        <v>2601</v>
      </c>
      <c r="C628" s="696">
        <v>9876</v>
      </c>
      <c r="D628" s="696">
        <v>13000</v>
      </c>
      <c r="E628" s="573">
        <v>209</v>
      </c>
      <c r="F628" s="696">
        <v>13000</v>
      </c>
      <c r="G628" s="87">
        <f t="shared" si="16"/>
        <v>0</v>
      </c>
      <c r="H628" s="690"/>
      <c r="I628" s="693"/>
      <c r="J628" s="692"/>
      <c r="K628" s="692"/>
      <c r="L628" s="692"/>
      <c r="M628" s="692"/>
      <c r="N628" s="692"/>
      <c r="O628" s="692"/>
      <c r="P628" s="692"/>
      <c r="Q628" s="692"/>
    </row>
    <row r="629" spans="1:17" s="703" customFormat="1" ht="15" customHeight="1" x14ac:dyDescent="0.25">
      <c r="A629" s="728">
        <f t="shared" si="15"/>
        <v>90.128755364806864</v>
      </c>
      <c r="B629" s="87" t="s">
        <v>2601</v>
      </c>
      <c r="C629" s="696">
        <v>9777</v>
      </c>
      <c r="D629" s="696">
        <v>21000</v>
      </c>
      <c r="E629" s="573">
        <v>233</v>
      </c>
      <c r="F629" s="696">
        <v>21000</v>
      </c>
      <c r="G629" s="87">
        <f t="shared" si="16"/>
        <v>0</v>
      </c>
      <c r="H629" s="690"/>
      <c r="I629" s="693"/>
      <c r="J629" s="692"/>
      <c r="K629" s="692"/>
      <c r="L629" s="692"/>
      <c r="M629" s="692"/>
      <c r="N629" s="692"/>
      <c r="O629" s="692"/>
      <c r="P629" s="692"/>
      <c r="Q629" s="692"/>
    </row>
    <row r="630" spans="1:17" s="703" customFormat="1" ht="15" customHeight="1" x14ac:dyDescent="0.25">
      <c r="A630" s="728">
        <f t="shared" si="15"/>
        <v>87.976539589442808</v>
      </c>
      <c r="B630" s="87" t="s">
        <v>2601</v>
      </c>
      <c r="C630" s="696" t="s">
        <v>2604</v>
      </c>
      <c r="D630" s="696">
        <v>30000</v>
      </c>
      <c r="E630" s="573">
        <v>341</v>
      </c>
      <c r="F630" s="696">
        <v>30000</v>
      </c>
      <c r="G630" s="87">
        <f t="shared" si="16"/>
        <v>0</v>
      </c>
      <c r="H630" s="690"/>
      <c r="I630" s="693"/>
      <c r="J630" s="692"/>
      <c r="K630" s="692"/>
      <c r="L630" s="692"/>
      <c r="M630" s="692"/>
      <c r="N630" s="692"/>
      <c r="O630" s="692"/>
      <c r="P630" s="692"/>
      <c r="Q630" s="692"/>
    </row>
    <row r="631" spans="1:17" s="703" customFormat="1" ht="15" customHeight="1" x14ac:dyDescent="0.25">
      <c r="A631" s="728">
        <f t="shared" si="15"/>
        <v>87.976539589442808</v>
      </c>
      <c r="B631" s="87" t="s">
        <v>2601</v>
      </c>
      <c r="C631" s="696" t="s">
        <v>2605</v>
      </c>
      <c r="D631" s="696">
        <v>30000</v>
      </c>
      <c r="E631" s="573">
        <v>341</v>
      </c>
      <c r="F631" s="696">
        <v>30000</v>
      </c>
      <c r="G631" s="87">
        <f t="shared" si="16"/>
        <v>0</v>
      </c>
      <c r="H631" s="690"/>
      <c r="I631" s="693"/>
      <c r="J631" s="692"/>
      <c r="K631" s="692"/>
      <c r="L631" s="692"/>
      <c r="M631" s="692"/>
      <c r="N631" s="692"/>
      <c r="O631" s="692"/>
      <c r="P631" s="692"/>
      <c r="Q631" s="692"/>
    </row>
    <row r="632" spans="1:17" s="703" customFormat="1" ht="15" customHeight="1" x14ac:dyDescent="0.25">
      <c r="A632" s="728">
        <f t="shared" si="15"/>
        <v>87.774294670846402</v>
      </c>
      <c r="B632" s="87" t="s">
        <v>2601</v>
      </c>
      <c r="C632" s="696" t="s">
        <v>2558</v>
      </c>
      <c r="D632" s="696">
        <v>28000</v>
      </c>
      <c r="E632" s="573">
        <v>319</v>
      </c>
      <c r="F632" s="696">
        <v>28000</v>
      </c>
      <c r="G632" s="87">
        <f t="shared" si="16"/>
        <v>0</v>
      </c>
      <c r="H632" s="690"/>
      <c r="I632" s="693"/>
      <c r="J632" s="692"/>
      <c r="K632" s="692"/>
      <c r="L632" s="692"/>
      <c r="M632" s="692"/>
      <c r="N632" s="692"/>
      <c r="O632" s="692"/>
      <c r="P632" s="692"/>
      <c r="Q632" s="692"/>
    </row>
    <row r="633" spans="1:17" s="703" customFormat="1" ht="15" customHeight="1" x14ac:dyDescent="0.25">
      <c r="A633" s="728">
        <f t="shared" si="15"/>
        <v>88.028169014084511</v>
      </c>
      <c r="B633" s="87" t="s">
        <v>2601</v>
      </c>
      <c r="C633" s="696" t="s">
        <v>2606</v>
      </c>
      <c r="D633" s="696">
        <v>25000</v>
      </c>
      <c r="E633" s="573">
        <v>284</v>
      </c>
      <c r="F633" s="696">
        <v>25000</v>
      </c>
      <c r="G633" s="87">
        <f t="shared" si="16"/>
        <v>0</v>
      </c>
      <c r="H633" s="690"/>
      <c r="I633" s="693"/>
      <c r="J633" s="692"/>
      <c r="K633" s="692"/>
      <c r="L633" s="692"/>
      <c r="M633" s="692"/>
      <c r="N633" s="692"/>
      <c r="O633" s="692"/>
      <c r="P633" s="692"/>
      <c r="Q633" s="692"/>
    </row>
    <row r="634" spans="1:17" s="703" customFormat="1" ht="15" customHeight="1" x14ac:dyDescent="0.25">
      <c r="A634" s="728">
        <f t="shared" si="15"/>
        <v>93.333333333333329</v>
      </c>
      <c r="B634" s="87" t="s">
        <v>2601</v>
      </c>
      <c r="C634" s="696" t="s">
        <v>66</v>
      </c>
      <c r="D634" s="696">
        <v>210</v>
      </c>
      <c r="E634" s="573">
        <v>2.25</v>
      </c>
      <c r="F634" s="696">
        <v>210</v>
      </c>
      <c r="G634" s="87">
        <f t="shared" si="16"/>
        <v>0</v>
      </c>
      <c r="H634" s="690"/>
      <c r="I634" s="693"/>
      <c r="J634" s="692"/>
      <c r="K634" s="692"/>
      <c r="L634" s="692"/>
      <c r="M634" s="692"/>
      <c r="N634" s="692"/>
      <c r="O634" s="692"/>
      <c r="P634" s="692"/>
      <c r="Q634" s="692"/>
    </row>
    <row r="635" spans="1:17" s="703" customFormat="1" ht="15" customHeight="1" x14ac:dyDescent="0.25">
      <c r="A635" s="728">
        <f t="shared" si="15"/>
        <v>87.912087912087912</v>
      </c>
      <c r="B635" s="87" t="s">
        <v>2607</v>
      </c>
      <c r="C635" s="696" t="s">
        <v>30</v>
      </c>
      <c r="D635" s="696">
        <v>8000</v>
      </c>
      <c r="E635" s="573">
        <v>91</v>
      </c>
      <c r="F635" s="696">
        <v>8000</v>
      </c>
      <c r="G635" s="87">
        <f t="shared" si="16"/>
        <v>0</v>
      </c>
      <c r="H635" s="690"/>
      <c r="I635" s="693"/>
      <c r="J635" s="692"/>
      <c r="K635" s="692"/>
      <c r="L635" s="692"/>
      <c r="M635" s="692"/>
      <c r="N635" s="692"/>
      <c r="O635" s="692"/>
      <c r="P635" s="692"/>
      <c r="Q635" s="692"/>
    </row>
    <row r="636" spans="1:17" s="703" customFormat="1" ht="15" customHeight="1" x14ac:dyDescent="0.25">
      <c r="A636" s="728">
        <f t="shared" si="15"/>
        <v>86.330935251798564</v>
      </c>
      <c r="B636" s="87" t="s">
        <v>2607</v>
      </c>
      <c r="C636" s="696" t="s">
        <v>2608</v>
      </c>
      <c r="D636" s="696">
        <v>12000</v>
      </c>
      <c r="E636" s="573">
        <v>139</v>
      </c>
      <c r="F636" s="696">
        <v>12000</v>
      </c>
      <c r="G636" s="87">
        <f t="shared" si="16"/>
        <v>0</v>
      </c>
      <c r="H636" s="690"/>
      <c r="I636" s="693"/>
      <c r="J636" s="692"/>
      <c r="K636" s="692"/>
      <c r="L636" s="692"/>
      <c r="M636" s="692"/>
      <c r="N636" s="692"/>
      <c r="O636" s="692"/>
      <c r="P636" s="692"/>
      <c r="Q636" s="692"/>
    </row>
    <row r="637" spans="1:17" s="703" customFormat="1" ht="15" customHeight="1" x14ac:dyDescent="0.25">
      <c r="A637" s="728">
        <f t="shared" si="15"/>
        <v>87.976539589442808</v>
      </c>
      <c r="B637" s="87" t="s">
        <v>2607</v>
      </c>
      <c r="C637" s="696" t="s">
        <v>2609</v>
      </c>
      <c r="D637" s="696">
        <v>30000</v>
      </c>
      <c r="E637" s="573">
        <v>341</v>
      </c>
      <c r="F637" s="696">
        <v>30000</v>
      </c>
      <c r="G637" s="87">
        <f t="shared" si="16"/>
        <v>0</v>
      </c>
      <c r="H637" s="690"/>
      <c r="I637" s="693"/>
      <c r="J637" s="692"/>
      <c r="K637" s="692"/>
      <c r="L637" s="692"/>
      <c r="M637" s="692"/>
      <c r="N637" s="692"/>
      <c r="O637" s="692"/>
      <c r="P637" s="692"/>
      <c r="Q637" s="692"/>
    </row>
    <row r="638" spans="1:17" s="703" customFormat="1" ht="15" customHeight="1" x14ac:dyDescent="0.25">
      <c r="A638" s="728">
        <f t="shared" si="15"/>
        <v>88.495575221238937</v>
      </c>
      <c r="B638" s="87" t="s">
        <v>2607</v>
      </c>
      <c r="C638" s="696" t="s">
        <v>2610</v>
      </c>
      <c r="D638" s="696">
        <v>10000</v>
      </c>
      <c r="E638" s="573">
        <v>113</v>
      </c>
      <c r="F638" s="696">
        <v>10000</v>
      </c>
      <c r="G638" s="87">
        <f t="shared" si="16"/>
        <v>0</v>
      </c>
      <c r="H638" s="690"/>
      <c r="I638" s="693"/>
      <c r="J638" s="692"/>
      <c r="K638" s="692"/>
      <c r="L638" s="692"/>
      <c r="M638" s="692"/>
      <c r="N638" s="692"/>
      <c r="O638" s="692"/>
      <c r="P638" s="692"/>
      <c r="Q638" s="692"/>
    </row>
    <row r="639" spans="1:17" s="703" customFormat="1" ht="15" customHeight="1" x14ac:dyDescent="0.25">
      <c r="A639" s="728">
        <f t="shared" si="15"/>
        <v>88.016129032258064</v>
      </c>
      <c r="B639" s="87" t="s">
        <v>2607</v>
      </c>
      <c r="C639" s="696" t="s">
        <v>2611</v>
      </c>
      <c r="D639" s="696">
        <v>21828</v>
      </c>
      <c r="E639" s="573">
        <v>248</v>
      </c>
      <c r="F639" s="696">
        <v>21828</v>
      </c>
      <c r="G639" s="87">
        <f t="shared" si="16"/>
        <v>0</v>
      </c>
      <c r="H639" s="690"/>
      <c r="I639" s="693"/>
      <c r="J639" s="692"/>
      <c r="K639" s="692"/>
      <c r="L639" s="692"/>
      <c r="M639" s="692"/>
      <c r="N639" s="692"/>
      <c r="O639" s="692"/>
      <c r="P639" s="692"/>
      <c r="Q639" s="692"/>
    </row>
    <row r="640" spans="1:17" s="703" customFormat="1" ht="15" customHeight="1" x14ac:dyDescent="0.25">
      <c r="A640" s="728">
        <f t="shared" si="15"/>
        <v>87.973684210526315</v>
      </c>
      <c r="B640" s="87" t="s">
        <v>2607</v>
      </c>
      <c r="C640" s="696" t="s">
        <v>2612</v>
      </c>
      <c r="D640" s="696">
        <v>23401</v>
      </c>
      <c r="E640" s="573">
        <v>266</v>
      </c>
      <c r="F640" s="696">
        <v>23401</v>
      </c>
      <c r="G640" s="87">
        <f t="shared" si="16"/>
        <v>0</v>
      </c>
      <c r="H640" s="690"/>
      <c r="I640" s="693"/>
      <c r="J640" s="692"/>
      <c r="K640" s="692"/>
      <c r="L640" s="692"/>
      <c r="M640" s="692"/>
      <c r="N640" s="692"/>
      <c r="O640" s="692"/>
      <c r="P640" s="692"/>
      <c r="Q640" s="692"/>
    </row>
    <row r="641" spans="1:17" s="703" customFormat="1" ht="15" customHeight="1" x14ac:dyDescent="0.25">
      <c r="A641" s="728">
        <f t="shared" si="15"/>
        <v>88</v>
      </c>
      <c r="B641" s="87" t="s">
        <v>2607</v>
      </c>
      <c r="C641" s="696" t="s">
        <v>2134</v>
      </c>
      <c r="D641" s="696">
        <v>22000</v>
      </c>
      <c r="E641" s="573">
        <v>250</v>
      </c>
      <c r="F641" s="696">
        <v>22000</v>
      </c>
      <c r="G641" s="87">
        <f t="shared" si="16"/>
        <v>0</v>
      </c>
      <c r="H641" s="690"/>
      <c r="I641" s="693"/>
      <c r="J641" s="692"/>
      <c r="K641" s="692"/>
      <c r="L641" s="692"/>
      <c r="M641" s="692"/>
      <c r="N641" s="692"/>
      <c r="O641" s="692"/>
      <c r="P641" s="692"/>
      <c r="Q641" s="692"/>
    </row>
    <row r="642" spans="1:17" s="703" customFormat="1" ht="15" customHeight="1" x14ac:dyDescent="0.25">
      <c r="A642" s="728">
        <f t="shared" si="15"/>
        <v>87.818696883852695</v>
      </c>
      <c r="B642" s="87" t="s">
        <v>2607</v>
      </c>
      <c r="C642" s="696" t="s">
        <v>2242</v>
      </c>
      <c r="D642" s="696">
        <v>31000</v>
      </c>
      <c r="E642" s="573">
        <v>353</v>
      </c>
      <c r="F642" s="696">
        <v>31000</v>
      </c>
      <c r="G642" s="87">
        <f t="shared" si="16"/>
        <v>0</v>
      </c>
      <c r="H642" s="690"/>
      <c r="I642" s="693"/>
      <c r="J642" s="692"/>
      <c r="K642" s="692"/>
      <c r="L642" s="692"/>
      <c r="M642" s="692"/>
      <c r="N642" s="692"/>
      <c r="O642" s="692"/>
      <c r="P642" s="692"/>
      <c r="Q642" s="692"/>
    </row>
    <row r="643" spans="1:17" s="703" customFormat="1" ht="15" customHeight="1" x14ac:dyDescent="0.25">
      <c r="A643" s="728">
        <f t="shared" si="15"/>
        <v>88.028169014084511</v>
      </c>
      <c r="B643" s="87" t="s">
        <v>2607</v>
      </c>
      <c r="C643" s="696" t="s">
        <v>2613</v>
      </c>
      <c r="D643" s="696">
        <v>25000</v>
      </c>
      <c r="E643" s="573">
        <v>284</v>
      </c>
      <c r="F643" s="696">
        <v>25000</v>
      </c>
      <c r="G643" s="87">
        <f t="shared" si="16"/>
        <v>0</v>
      </c>
      <c r="H643" s="690"/>
      <c r="I643" s="693"/>
      <c r="J643" s="692"/>
      <c r="K643" s="692"/>
      <c r="L643" s="692"/>
      <c r="M643" s="692"/>
      <c r="N643" s="692"/>
      <c r="O643" s="692"/>
      <c r="P643" s="692"/>
      <c r="Q643" s="692"/>
    </row>
    <row r="644" spans="1:17" s="703" customFormat="1" ht="15" customHeight="1" x14ac:dyDescent="0.25">
      <c r="A644" s="728">
        <f t="shared" si="15"/>
        <v>88.028169014084511</v>
      </c>
      <c r="B644" s="87" t="s">
        <v>2607</v>
      </c>
      <c r="C644" s="696" t="s">
        <v>2614</v>
      </c>
      <c r="D644" s="696">
        <v>25000</v>
      </c>
      <c r="E644" s="573">
        <v>284</v>
      </c>
      <c r="F644" s="696">
        <v>25000</v>
      </c>
      <c r="G644" s="87">
        <f t="shared" si="16"/>
        <v>0</v>
      </c>
      <c r="H644" s="690"/>
      <c r="I644" s="693"/>
      <c r="J644" s="692"/>
      <c r="K644" s="692"/>
      <c r="L644" s="692"/>
      <c r="M644" s="692"/>
      <c r="N644" s="692"/>
      <c r="O644" s="692"/>
      <c r="P644" s="692"/>
      <c r="Q644" s="692"/>
    </row>
    <row r="645" spans="1:17" ht="15" customHeight="1" x14ac:dyDescent="0.25">
      <c r="B645" s="42"/>
      <c r="C645" s="20" t="s">
        <v>9</v>
      </c>
      <c r="D645" s="21">
        <f>SUM(D5:D644)</f>
        <v>14661281</v>
      </c>
      <c r="E645" s="23">
        <f>SUM(E6:E644)</f>
        <v>135961.55000000002</v>
      </c>
      <c r="F645" s="21">
        <f>SUM(F5:F644)</f>
        <v>14661281</v>
      </c>
      <c r="G645" s="494"/>
      <c r="H645" s="691">
        <f>SUM(H2:H54)</f>
        <v>12300000</v>
      </c>
      <c r="I645" s="693"/>
      <c r="J645" s="692"/>
      <c r="K645" s="692"/>
      <c r="L645" s="692"/>
      <c r="M645" s="692"/>
      <c r="N645" s="692"/>
      <c r="O645" s="692"/>
      <c r="P645" s="692"/>
      <c r="Q645" s="692"/>
    </row>
    <row r="646" spans="1:17" ht="15" x14ac:dyDescent="0.25">
      <c r="B646" s="42"/>
      <c r="C646" s="20" t="s">
        <v>10</v>
      </c>
      <c r="D646" s="25">
        <f>SUM(D645-H645)</f>
        <v>2361281</v>
      </c>
      <c r="E646" s="494"/>
      <c r="F646" s="26" t="s">
        <v>10</v>
      </c>
      <c r="G646" s="25">
        <f>SUM(F645-H645)</f>
        <v>2361281</v>
      </c>
      <c r="H646" s="25"/>
      <c r="I646" s="692"/>
      <c r="J646" s="692"/>
      <c r="K646" s="692"/>
      <c r="L646" s="692"/>
      <c r="M646" s="692"/>
      <c r="N646" s="692"/>
      <c r="O646" s="692"/>
      <c r="P646" s="692"/>
      <c r="Q646" s="692"/>
    </row>
    <row r="647" spans="1:17" ht="15" thickBot="1" x14ac:dyDescent="0.25">
      <c r="I647" s="692"/>
      <c r="J647" s="692"/>
      <c r="K647" s="692"/>
      <c r="L647" s="692"/>
      <c r="M647" s="692"/>
      <c r="N647" s="692"/>
      <c r="O647" s="692"/>
      <c r="P647" s="692"/>
      <c r="Q647" s="692"/>
    </row>
    <row r="648" spans="1:17" ht="15.75" thickBot="1" x14ac:dyDescent="0.3">
      <c r="C648" s="164" t="s">
        <v>3175</v>
      </c>
      <c r="D648" s="99">
        <v>12380</v>
      </c>
      <c r="I648" s="692"/>
      <c r="J648" s="692"/>
      <c r="K648" s="692"/>
      <c r="L648" s="692"/>
      <c r="M648" s="692"/>
      <c r="N648" s="692"/>
      <c r="O648" s="692"/>
      <c r="P648" s="692"/>
      <c r="Q648" s="692"/>
    </row>
    <row r="649" spans="1:17" x14ac:dyDescent="0.2">
      <c r="I649" s="692"/>
      <c r="J649" s="692"/>
      <c r="K649" s="692"/>
      <c r="L649" s="692"/>
      <c r="M649" s="692"/>
      <c r="N649" s="692"/>
      <c r="O649" s="692"/>
      <c r="P649" s="692"/>
      <c r="Q649" s="692"/>
    </row>
    <row r="650" spans="1:17" x14ac:dyDescent="0.2">
      <c r="I650" s="692"/>
      <c r="J650" s="692"/>
      <c r="K650" s="692"/>
      <c r="L650" s="692"/>
      <c r="M650" s="692"/>
      <c r="N650" s="692"/>
      <c r="O650" s="692"/>
      <c r="P650" s="692"/>
      <c r="Q650" s="692"/>
    </row>
    <row r="651" spans="1:17" x14ac:dyDescent="0.2">
      <c r="I651" s="692"/>
      <c r="J651" s="692"/>
      <c r="K651" s="692"/>
      <c r="L651" s="692"/>
      <c r="M651" s="692"/>
      <c r="N651" s="692"/>
      <c r="O651" s="692"/>
      <c r="P651" s="692"/>
      <c r="Q651" s="692"/>
    </row>
    <row r="652" spans="1:17" x14ac:dyDescent="0.2">
      <c r="I652" s="692"/>
      <c r="J652" s="692"/>
      <c r="K652" s="692"/>
      <c r="L652" s="692"/>
      <c r="M652" s="692"/>
      <c r="N652" s="692"/>
      <c r="O652" s="692"/>
      <c r="P652" s="692"/>
      <c r="Q652" s="692"/>
    </row>
    <row r="653" spans="1:17" x14ac:dyDescent="0.2">
      <c r="I653" s="692"/>
      <c r="J653" s="692"/>
      <c r="K653" s="692"/>
      <c r="L653" s="692"/>
      <c r="M653" s="692"/>
      <c r="N653" s="692"/>
      <c r="O653" s="692"/>
      <c r="P653" s="692"/>
      <c r="Q653" s="692"/>
    </row>
    <row r="654" spans="1:17" x14ac:dyDescent="0.2">
      <c r="I654" s="692"/>
      <c r="J654" s="692"/>
      <c r="K654" s="692"/>
      <c r="L654" s="692"/>
      <c r="M654" s="692"/>
      <c r="N654" s="692"/>
      <c r="O654" s="692"/>
      <c r="P654" s="692"/>
      <c r="Q654" s="692"/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35"/>
  <sheetViews>
    <sheetView workbookViewId="0">
      <selection activeCell="E4" sqref="E4"/>
    </sheetView>
  </sheetViews>
  <sheetFormatPr defaultColWidth="16.5" defaultRowHeight="14.25" x14ac:dyDescent="0.2"/>
  <cols>
    <col min="1" max="1" width="6.375" style="728" bestFit="1" customWidth="1"/>
    <col min="2" max="16384" width="16.5" style="704"/>
  </cols>
  <sheetData>
    <row r="2" spans="1:17" ht="21" x14ac:dyDescent="0.35">
      <c r="B2" s="510"/>
      <c r="C2" s="510"/>
      <c r="D2" s="419" t="s">
        <v>772</v>
      </c>
      <c r="E2" s="419"/>
      <c r="F2" s="419"/>
      <c r="G2" s="510"/>
      <c r="H2" s="510"/>
    </row>
    <row r="3" spans="1:17" ht="15" x14ac:dyDescent="0.25">
      <c r="B3" s="510"/>
      <c r="C3" s="510"/>
      <c r="D3" s="511"/>
      <c r="E3" s="682">
        <v>45444</v>
      </c>
      <c r="F3" s="512"/>
      <c r="G3" s="510"/>
      <c r="H3" s="510"/>
    </row>
    <row r="4" spans="1:17" ht="15.75" x14ac:dyDescent="0.25">
      <c r="A4" s="729" t="s">
        <v>2958</v>
      </c>
      <c r="B4" s="30" t="s">
        <v>2</v>
      </c>
      <c r="C4" s="30" t="s">
        <v>97</v>
      </c>
      <c r="D4" s="30" t="s">
        <v>4</v>
      </c>
      <c r="E4" s="30" t="s">
        <v>5</v>
      </c>
      <c r="F4" s="30" t="s">
        <v>4</v>
      </c>
      <c r="G4" s="30" t="s">
        <v>98</v>
      </c>
      <c r="H4" s="417" t="s">
        <v>8</v>
      </c>
    </row>
    <row r="5" spans="1:17" ht="15.75" x14ac:dyDescent="0.25">
      <c r="B5" s="108" t="s">
        <v>2607</v>
      </c>
      <c r="C5" s="162" t="s">
        <v>374</v>
      </c>
      <c r="D5" s="210">
        <f>'MAY-24'!D646</f>
        <v>2361281</v>
      </c>
      <c r="E5" s="162"/>
      <c r="F5" s="210">
        <f>D5</f>
        <v>2361281</v>
      </c>
      <c r="G5" s="30"/>
      <c r="H5" s="688"/>
      <c r="I5" s="693"/>
      <c r="J5" s="692"/>
      <c r="K5" s="692"/>
      <c r="L5" s="692"/>
      <c r="M5" s="692"/>
      <c r="N5" s="692"/>
      <c r="O5" s="692"/>
      <c r="P5" s="692"/>
      <c r="Q5" s="692"/>
    </row>
    <row r="6" spans="1:17" ht="15.75" x14ac:dyDescent="0.25">
      <c r="A6" s="728">
        <f>D6/E6</f>
        <v>96.061479346781937</v>
      </c>
      <c r="B6" s="87" t="s">
        <v>2615</v>
      </c>
      <c r="C6" s="553" t="s">
        <v>66</v>
      </c>
      <c r="D6" s="563">
        <v>1000</v>
      </c>
      <c r="E6" s="573">
        <v>10.41</v>
      </c>
      <c r="F6" s="563">
        <f>D6</f>
        <v>1000</v>
      </c>
      <c r="G6" s="87">
        <f t="shared" ref="G6:G69" si="0">D6-F6</f>
        <v>0</v>
      </c>
      <c r="H6" s="509">
        <v>400000</v>
      </c>
      <c r="I6" s="525" t="s">
        <v>2824</v>
      </c>
      <c r="J6" s="692"/>
      <c r="K6" s="692"/>
      <c r="L6" s="692"/>
      <c r="M6" s="692"/>
      <c r="N6" s="692"/>
      <c r="O6" s="692"/>
      <c r="P6" s="692"/>
      <c r="Q6" s="692"/>
    </row>
    <row r="7" spans="1:17" ht="15.75" x14ac:dyDescent="0.25">
      <c r="A7" s="728">
        <f t="shared" ref="A7:A70" si="1">D7/E7</f>
        <v>88.105726872246692</v>
      </c>
      <c r="B7" s="87" t="s">
        <v>2615</v>
      </c>
      <c r="C7" s="553" t="s">
        <v>2616</v>
      </c>
      <c r="D7" s="563">
        <v>20000</v>
      </c>
      <c r="E7" s="573">
        <v>227</v>
      </c>
      <c r="F7" s="563">
        <f t="shared" ref="F7:F70" si="2">D7</f>
        <v>20000</v>
      </c>
      <c r="G7" s="87">
        <f>D7-F7</f>
        <v>0</v>
      </c>
      <c r="H7" s="509">
        <v>300000</v>
      </c>
      <c r="I7" s="525" t="s">
        <v>2825</v>
      </c>
      <c r="J7" s="692"/>
      <c r="K7" s="692"/>
      <c r="L7" s="692"/>
      <c r="M7" s="692"/>
      <c r="N7" s="692"/>
      <c r="O7" s="692"/>
      <c r="P7" s="692"/>
      <c r="Q7" s="692"/>
    </row>
    <row r="8" spans="1:17" ht="15.75" x14ac:dyDescent="0.25">
      <c r="A8" s="728">
        <f t="shared" si="1"/>
        <v>87.837837837837839</v>
      </c>
      <c r="B8" s="87" t="s">
        <v>2615</v>
      </c>
      <c r="C8" s="554" t="s">
        <v>2617</v>
      </c>
      <c r="D8" s="563">
        <v>13000</v>
      </c>
      <c r="E8" s="573">
        <v>148</v>
      </c>
      <c r="F8" s="563">
        <f t="shared" si="2"/>
        <v>13000</v>
      </c>
      <c r="G8" s="87">
        <f t="shared" si="0"/>
        <v>0</v>
      </c>
      <c r="H8" s="509">
        <v>300000</v>
      </c>
      <c r="I8" s="525" t="s">
        <v>2826</v>
      </c>
      <c r="J8" s="692"/>
      <c r="K8" s="692"/>
      <c r="L8" s="692"/>
      <c r="M8" s="692"/>
      <c r="N8" s="692"/>
      <c r="O8" s="692"/>
      <c r="P8" s="692"/>
      <c r="Q8" s="692"/>
    </row>
    <row r="9" spans="1:17" ht="15.75" x14ac:dyDescent="0.25">
      <c r="A9" s="728">
        <f t="shared" si="1"/>
        <v>87.804878048780495</v>
      </c>
      <c r="B9" s="87" t="s">
        <v>2615</v>
      </c>
      <c r="C9" s="553" t="s">
        <v>2618</v>
      </c>
      <c r="D9" s="563">
        <v>18000</v>
      </c>
      <c r="E9" s="573">
        <v>205</v>
      </c>
      <c r="F9" s="563">
        <f t="shared" si="2"/>
        <v>18000</v>
      </c>
      <c r="G9" s="87">
        <f t="shared" si="0"/>
        <v>0</v>
      </c>
      <c r="H9" s="509">
        <v>100000</v>
      </c>
      <c r="I9" s="525" t="s">
        <v>2827</v>
      </c>
      <c r="J9" s="692"/>
      <c r="K9" s="692"/>
      <c r="L9" s="692"/>
      <c r="M9" s="692"/>
      <c r="N9" s="692"/>
      <c r="O9" s="692"/>
      <c r="P9" s="692"/>
      <c r="Q9" s="692"/>
    </row>
    <row r="10" spans="1:17" ht="15.75" x14ac:dyDescent="0.25">
      <c r="A10" s="728">
        <f t="shared" si="1"/>
        <v>88.235294117647058</v>
      </c>
      <c r="B10" s="87" t="s">
        <v>2615</v>
      </c>
      <c r="C10" s="554" t="s">
        <v>2619</v>
      </c>
      <c r="D10" s="563">
        <v>12000</v>
      </c>
      <c r="E10" s="573">
        <v>136</v>
      </c>
      <c r="F10" s="563">
        <f t="shared" si="2"/>
        <v>12000</v>
      </c>
      <c r="G10" s="87">
        <f t="shared" si="0"/>
        <v>0</v>
      </c>
      <c r="H10" s="509">
        <v>200000</v>
      </c>
      <c r="I10" s="525" t="s">
        <v>2828</v>
      </c>
      <c r="J10" s="692"/>
      <c r="K10" s="692"/>
      <c r="L10" s="692"/>
      <c r="M10" s="692"/>
      <c r="N10" s="692"/>
      <c r="O10" s="692"/>
      <c r="P10" s="692"/>
      <c r="Q10" s="692"/>
    </row>
    <row r="11" spans="1:17" ht="15.75" x14ac:dyDescent="0.25">
      <c r="A11" s="728">
        <f t="shared" si="1"/>
        <v>87.786259541984734</v>
      </c>
      <c r="B11" s="87" t="s">
        <v>2615</v>
      </c>
      <c r="C11" s="553" t="s">
        <v>2620</v>
      </c>
      <c r="D11" s="563">
        <v>23000</v>
      </c>
      <c r="E11" s="573">
        <v>262</v>
      </c>
      <c r="F11" s="563">
        <f t="shared" si="2"/>
        <v>23000</v>
      </c>
      <c r="G11" s="87">
        <f t="shared" si="0"/>
        <v>0</v>
      </c>
      <c r="H11" s="509">
        <v>100000</v>
      </c>
      <c r="I11" s="525" t="s">
        <v>2829</v>
      </c>
      <c r="J11" s="692"/>
      <c r="K11" s="692"/>
      <c r="L11" s="692"/>
      <c r="M11" s="692"/>
      <c r="N11" s="692"/>
      <c r="O11" s="692"/>
      <c r="P11" s="692"/>
      <c r="Q11" s="692"/>
    </row>
    <row r="12" spans="1:17" ht="15.75" x14ac:dyDescent="0.25">
      <c r="A12" s="728">
        <f t="shared" si="1"/>
        <v>87.976539589442808</v>
      </c>
      <c r="B12" s="87" t="s">
        <v>2615</v>
      </c>
      <c r="C12" s="553" t="s">
        <v>2621</v>
      </c>
      <c r="D12" s="563">
        <v>30000</v>
      </c>
      <c r="E12" s="573">
        <v>341</v>
      </c>
      <c r="F12" s="563">
        <f t="shared" si="2"/>
        <v>30000</v>
      </c>
      <c r="G12" s="87">
        <f t="shared" si="0"/>
        <v>0</v>
      </c>
      <c r="H12" s="509">
        <v>200000</v>
      </c>
      <c r="I12" s="525" t="s">
        <v>2830</v>
      </c>
      <c r="J12" s="692"/>
      <c r="K12" s="692"/>
      <c r="L12" s="692"/>
      <c r="M12" s="692"/>
      <c r="N12" s="692"/>
      <c r="O12" s="692"/>
      <c r="P12" s="692"/>
      <c r="Q12" s="692"/>
    </row>
    <row r="13" spans="1:17" ht="15.75" x14ac:dyDescent="0.25">
      <c r="A13" s="728">
        <f t="shared" si="1"/>
        <v>87.976539589442808</v>
      </c>
      <c r="B13" s="87" t="s">
        <v>2615</v>
      </c>
      <c r="C13" s="553" t="s">
        <v>2622</v>
      </c>
      <c r="D13" s="563">
        <v>30000</v>
      </c>
      <c r="E13" s="573">
        <v>341</v>
      </c>
      <c r="F13" s="563">
        <f t="shared" si="2"/>
        <v>30000</v>
      </c>
      <c r="G13" s="87">
        <f t="shared" si="0"/>
        <v>0</v>
      </c>
      <c r="H13" s="509">
        <v>100000</v>
      </c>
      <c r="I13" s="525" t="s">
        <v>2831</v>
      </c>
      <c r="J13" s="692"/>
      <c r="K13" s="692"/>
      <c r="L13" s="692"/>
      <c r="M13" s="692"/>
      <c r="N13" s="692"/>
      <c r="O13" s="692"/>
      <c r="P13" s="692"/>
      <c r="Q13" s="692"/>
    </row>
    <row r="14" spans="1:17" ht="15.75" x14ac:dyDescent="0.25">
      <c r="A14" s="728">
        <f t="shared" si="1"/>
        <v>87.855297157622743</v>
      </c>
      <c r="B14" s="87" t="s">
        <v>2615</v>
      </c>
      <c r="C14" s="553" t="s">
        <v>2623</v>
      </c>
      <c r="D14" s="563">
        <v>34000</v>
      </c>
      <c r="E14" s="573">
        <v>387</v>
      </c>
      <c r="F14" s="563">
        <f t="shared" si="2"/>
        <v>34000</v>
      </c>
      <c r="G14" s="87">
        <f t="shared" si="0"/>
        <v>0</v>
      </c>
      <c r="H14" s="509">
        <v>200000</v>
      </c>
      <c r="I14" s="525" t="s">
        <v>2832</v>
      </c>
      <c r="J14" s="692"/>
      <c r="K14" s="692"/>
      <c r="L14" s="692"/>
      <c r="M14" s="692"/>
      <c r="N14" s="692"/>
      <c r="O14" s="692"/>
      <c r="P14" s="692"/>
      <c r="Q14" s="692"/>
    </row>
    <row r="15" spans="1:17" ht="15.75" x14ac:dyDescent="0.25">
      <c r="A15" s="728">
        <f t="shared" si="1"/>
        <v>88.028169014084511</v>
      </c>
      <c r="B15" s="87" t="s">
        <v>2615</v>
      </c>
      <c r="C15" s="555" t="s">
        <v>2624</v>
      </c>
      <c r="D15" s="563">
        <v>25000</v>
      </c>
      <c r="E15" s="573">
        <v>284</v>
      </c>
      <c r="F15" s="563">
        <f t="shared" si="2"/>
        <v>25000</v>
      </c>
      <c r="G15" s="87">
        <f t="shared" si="0"/>
        <v>0</v>
      </c>
      <c r="H15" s="509">
        <v>200000</v>
      </c>
      <c r="I15" s="525" t="s">
        <v>2833</v>
      </c>
      <c r="J15" s="692"/>
      <c r="K15" s="692"/>
      <c r="L15" s="692"/>
      <c r="M15" s="692"/>
      <c r="N15" s="692"/>
      <c r="O15" s="692"/>
      <c r="P15" s="692"/>
      <c r="Q15" s="692"/>
    </row>
    <row r="16" spans="1:17" ht="15.75" x14ac:dyDescent="0.25">
      <c r="A16" s="728">
        <f t="shared" si="1"/>
        <v>90.032154340836016</v>
      </c>
      <c r="B16" s="87" t="s">
        <v>2615</v>
      </c>
      <c r="C16" s="555" t="s">
        <v>2625</v>
      </c>
      <c r="D16" s="563">
        <v>28000</v>
      </c>
      <c r="E16" s="573">
        <v>311</v>
      </c>
      <c r="F16" s="563">
        <f t="shared" si="2"/>
        <v>28000</v>
      </c>
      <c r="G16" s="87">
        <f t="shared" si="0"/>
        <v>0</v>
      </c>
      <c r="H16" s="509">
        <v>300000</v>
      </c>
      <c r="I16" s="525" t="s">
        <v>2834</v>
      </c>
      <c r="J16" s="692"/>
      <c r="K16" s="692"/>
      <c r="L16" s="692"/>
      <c r="M16" s="692"/>
      <c r="N16" s="692"/>
      <c r="O16" s="692"/>
      <c r="P16" s="692"/>
      <c r="Q16" s="692"/>
    </row>
    <row r="17" spans="1:17" ht="15.75" x14ac:dyDescent="0.25">
      <c r="A17" s="728">
        <f t="shared" si="1"/>
        <v>88.105726872246692</v>
      </c>
      <c r="B17" s="87" t="s">
        <v>2615</v>
      </c>
      <c r="C17" s="555" t="s">
        <v>2626</v>
      </c>
      <c r="D17" s="563">
        <v>20000</v>
      </c>
      <c r="E17" s="573">
        <v>227</v>
      </c>
      <c r="F17" s="563">
        <f t="shared" si="2"/>
        <v>20000</v>
      </c>
      <c r="G17" s="87">
        <f t="shared" si="0"/>
        <v>0</v>
      </c>
      <c r="H17" s="509">
        <v>200000</v>
      </c>
      <c r="I17" s="525" t="s">
        <v>2835</v>
      </c>
      <c r="J17" s="692"/>
      <c r="K17" s="692"/>
      <c r="L17" s="692"/>
      <c r="M17" s="692"/>
      <c r="N17" s="692"/>
      <c r="O17" s="692"/>
      <c r="P17" s="692"/>
      <c r="Q17" s="692"/>
    </row>
    <row r="18" spans="1:17" ht="15.75" x14ac:dyDescent="0.25">
      <c r="A18" s="728">
        <f t="shared" si="1"/>
        <v>87.912087912087912</v>
      </c>
      <c r="B18" s="87" t="s">
        <v>2615</v>
      </c>
      <c r="C18" s="555" t="s">
        <v>30</v>
      </c>
      <c r="D18" s="563">
        <v>8000</v>
      </c>
      <c r="E18" s="573">
        <v>91</v>
      </c>
      <c r="F18" s="563">
        <f t="shared" si="2"/>
        <v>8000</v>
      </c>
      <c r="G18" s="87">
        <f t="shared" si="0"/>
        <v>0</v>
      </c>
      <c r="H18" s="509">
        <v>300000</v>
      </c>
      <c r="I18" s="525" t="s">
        <v>2836</v>
      </c>
      <c r="J18" s="692"/>
      <c r="K18" s="692"/>
      <c r="L18" s="692"/>
      <c r="M18" s="692"/>
      <c r="N18" s="692"/>
      <c r="O18" s="692"/>
      <c r="P18" s="692"/>
      <c r="Q18" s="692"/>
    </row>
    <row r="19" spans="1:17" ht="15.75" x14ac:dyDescent="0.25">
      <c r="A19" s="728">
        <f t="shared" si="1"/>
        <v>90.909090909090907</v>
      </c>
      <c r="B19" s="87" t="s">
        <v>2615</v>
      </c>
      <c r="C19" s="555" t="s">
        <v>30</v>
      </c>
      <c r="D19" s="563">
        <v>3000</v>
      </c>
      <c r="E19" s="573">
        <v>33</v>
      </c>
      <c r="F19" s="563">
        <f t="shared" si="2"/>
        <v>3000</v>
      </c>
      <c r="G19" s="87">
        <f t="shared" si="0"/>
        <v>0</v>
      </c>
      <c r="H19" s="509">
        <v>100000</v>
      </c>
      <c r="I19" s="525" t="s">
        <v>2837</v>
      </c>
      <c r="J19" s="692"/>
      <c r="K19" s="692"/>
      <c r="L19" s="692"/>
      <c r="M19" s="692"/>
      <c r="N19" s="692"/>
      <c r="O19" s="692"/>
      <c r="P19" s="692"/>
      <c r="Q19" s="692"/>
    </row>
    <row r="20" spans="1:17" ht="15.75" x14ac:dyDescent="0.25">
      <c r="A20" s="728">
        <f t="shared" si="1"/>
        <v>87.912087912087912</v>
      </c>
      <c r="B20" s="87" t="s">
        <v>2615</v>
      </c>
      <c r="C20" s="705" t="s">
        <v>861</v>
      </c>
      <c r="D20" s="563">
        <v>16000</v>
      </c>
      <c r="E20" s="573">
        <v>182</v>
      </c>
      <c r="F20" s="563">
        <f t="shared" si="2"/>
        <v>16000</v>
      </c>
      <c r="G20" s="87">
        <f t="shared" si="0"/>
        <v>0</v>
      </c>
      <c r="H20" s="509">
        <v>200000</v>
      </c>
      <c r="I20" s="525" t="s">
        <v>2838</v>
      </c>
      <c r="J20" s="692"/>
      <c r="K20" s="692"/>
      <c r="L20" s="692"/>
      <c r="M20" s="692"/>
      <c r="N20" s="692"/>
      <c r="O20" s="692"/>
      <c r="P20" s="692"/>
      <c r="Q20" s="692"/>
    </row>
    <row r="21" spans="1:17" ht="15.75" x14ac:dyDescent="0.25">
      <c r="A21" s="728">
        <f t="shared" si="1"/>
        <v>87.912087912087912</v>
      </c>
      <c r="B21" s="87" t="s">
        <v>2627</v>
      </c>
      <c r="C21" s="555" t="s">
        <v>2628</v>
      </c>
      <c r="D21" s="563">
        <v>24000</v>
      </c>
      <c r="E21" s="573">
        <v>273</v>
      </c>
      <c r="F21" s="563">
        <f t="shared" si="2"/>
        <v>24000</v>
      </c>
      <c r="G21" s="87">
        <f t="shared" si="0"/>
        <v>0</v>
      </c>
      <c r="H21" s="509">
        <v>300000</v>
      </c>
      <c r="I21" s="525" t="s">
        <v>2839</v>
      </c>
      <c r="J21" s="692"/>
      <c r="K21" s="692"/>
      <c r="L21" s="692"/>
      <c r="M21" s="692"/>
      <c r="N21" s="692"/>
      <c r="O21" s="692"/>
      <c r="P21" s="692"/>
      <c r="Q21" s="692"/>
    </row>
    <row r="22" spans="1:17" ht="15.75" x14ac:dyDescent="0.25">
      <c r="A22" s="728">
        <f t="shared" si="1"/>
        <v>87.804878048780495</v>
      </c>
      <c r="B22" s="87" t="s">
        <v>2627</v>
      </c>
      <c r="C22" s="555" t="s">
        <v>2360</v>
      </c>
      <c r="D22" s="563">
        <v>18000</v>
      </c>
      <c r="E22" s="573">
        <v>205</v>
      </c>
      <c r="F22" s="563">
        <f t="shared" si="2"/>
        <v>18000</v>
      </c>
      <c r="G22" s="87">
        <f t="shared" si="0"/>
        <v>0</v>
      </c>
      <c r="H22" s="509">
        <v>200000</v>
      </c>
      <c r="I22" s="525" t="s">
        <v>2840</v>
      </c>
      <c r="J22" s="692"/>
      <c r="K22" s="692"/>
      <c r="L22" s="692"/>
      <c r="M22" s="692"/>
      <c r="N22" s="692"/>
      <c r="O22" s="692"/>
      <c r="P22" s="692"/>
      <c r="Q22" s="692"/>
    </row>
    <row r="23" spans="1:17" ht="15.75" x14ac:dyDescent="0.25">
      <c r="A23" s="728">
        <f t="shared" si="1"/>
        <v>88.235294117647058</v>
      </c>
      <c r="B23" s="87" t="s">
        <v>2627</v>
      </c>
      <c r="C23" s="555" t="s">
        <v>2629</v>
      </c>
      <c r="D23" s="563">
        <v>15000</v>
      </c>
      <c r="E23" s="573">
        <v>170</v>
      </c>
      <c r="F23" s="563">
        <f t="shared" si="2"/>
        <v>15000</v>
      </c>
      <c r="G23" s="87">
        <f t="shared" si="0"/>
        <v>0</v>
      </c>
      <c r="H23" s="509">
        <v>300000</v>
      </c>
      <c r="I23" s="525" t="s">
        <v>2841</v>
      </c>
      <c r="J23" s="692"/>
      <c r="K23" s="692"/>
      <c r="L23" s="692"/>
      <c r="M23" s="692"/>
      <c r="N23" s="692"/>
      <c r="O23" s="692"/>
      <c r="P23" s="692"/>
      <c r="Q23" s="692"/>
    </row>
    <row r="24" spans="1:17" ht="15.75" x14ac:dyDescent="0.25">
      <c r="A24" s="728">
        <f t="shared" si="1"/>
        <v>88</v>
      </c>
      <c r="B24" s="87" t="s">
        <v>2627</v>
      </c>
      <c r="C24" s="555" t="s">
        <v>2630</v>
      </c>
      <c r="D24" s="563">
        <v>22000</v>
      </c>
      <c r="E24" s="573">
        <v>250</v>
      </c>
      <c r="F24" s="563">
        <f t="shared" si="2"/>
        <v>22000</v>
      </c>
      <c r="G24" s="87">
        <f t="shared" si="0"/>
        <v>0</v>
      </c>
      <c r="H24" s="509">
        <v>500000</v>
      </c>
      <c r="I24" s="525" t="s">
        <v>2842</v>
      </c>
      <c r="J24" s="692"/>
      <c r="K24" s="692"/>
      <c r="L24" s="692"/>
      <c r="M24" s="692"/>
      <c r="N24" s="692"/>
      <c r="O24" s="692"/>
      <c r="P24" s="692"/>
      <c r="Q24" s="692"/>
    </row>
    <row r="25" spans="1:17" ht="15.75" x14ac:dyDescent="0.25">
      <c r="A25" s="728">
        <f t="shared" si="1"/>
        <v>87.947882736156359</v>
      </c>
      <c r="B25" s="87" t="s">
        <v>2627</v>
      </c>
      <c r="C25" s="555" t="s">
        <v>2631</v>
      </c>
      <c r="D25" s="563">
        <v>27000</v>
      </c>
      <c r="E25" s="573">
        <v>307</v>
      </c>
      <c r="F25" s="563">
        <f t="shared" si="2"/>
        <v>27000</v>
      </c>
      <c r="G25" s="87">
        <f t="shared" si="0"/>
        <v>0</v>
      </c>
      <c r="H25" s="509">
        <v>600000</v>
      </c>
      <c r="I25" s="525" t="s">
        <v>2843</v>
      </c>
      <c r="J25" s="692"/>
      <c r="K25" s="692"/>
      <c r="L25" s="692"/>
      <c r="M25" s="692"/>
      <c r="N25" s="692"/>
      <c r="O25" s="692"/>
      <c r="P25" s="692"/>
      <c r="Q25" s="692"/>
    </row>
    <row r="26" spans="1:17" ht="15.75" x14ac:dyDescent="0.25">
      <c r="A26" s="728">
        <f t="shared" si="1"/>
        <v>87.947882736156359</v>
      </c>
      <c r="B26" s="87" t="s">
        <v>2627</v>
      </c>
      <c r="C26" s="555" t="s">
        <v>2632</v>
      </c>
      <c r="D26" s="563">
        <v>27000</v>
      </c>
      <c r="E26" s="573">
        <v>307</v>
      </c>
      <c r="F26" s="563">
        <f t="shared" si="2"/>
        <v>27000</v>
      </c>
      <c r="G26" s="87">
        <f t="shared" si="0"/>
        <v>0</v>
      </c>
      <c r="H26" s="509">
        <v>200000</v>
      </c>
      <c r="I26" s="525" t="s">
        <v>2844</v>
      </c>
      <c r="J26" s="692"/>
      <c r="K26" s="692"/>
      <c r="L26" s="692"/>
      <c r="M26" s="692"/>
      <c r="N26" s="692"/>
      <c r="O26" s="692"/>
      <c r="P26" s="692"/>
      <c r="Q26" s="692"/>
    </row>
    <row r="27" spans="1:17" ht="15.75" x14ac:dyDescent="0.25">
      <c r="A27" s="728">
        <f t="shared" si="1"/>
        <v>87.774294670846402</v>
      </c>
      <c r="B27" s="87" t="s">
        <v>2627</v>
      </c>
      <c r="C27" s="555" t="s">
        <v>2633</v>
      </c>
      <c r="D27" s="563">
        <v>28000</v>
      </c>
      <c r="E27" s="573">
        <v>319</v>
      </c>
      <c r="F27" s="563">
        <f t="shared" si="2"/>
        <v>28000</v>
      </c>
      <c r="G27" s="87">
        <f t="shared" si="0"/>
        <v>0</v>
      </c>
      <c r="H27" s="509">
        <v>150000</v>
      </c>
      <c r="I27" s="525" t="s">
        <v>2804</v>
      </c>
      <c r="J27" s="692"/>
      <c r="K27" s="692"/>
      <c r="L27" s="692"/>
      <c r="M27" s="692"/>
      <c r="N27" s="692"/>
      <c r="O27" s="692"/>
      <c r="P27" s="692"/>
      <c r="Q27" s="692"/>
    </row>
    <row r="28" spans="1:17" ht="15.75" x14ac:dyDescent="0.25">
      <c r="A28" s="728">
        <f t="shared" si="1"/>
        <v>87.774294670846402</v>
      </c>
      <c r="B28" s="87" t="s">
        <v>2627</v>
      </c>
      <c r="C28" s="555" t="s">
        <v>2594</v>
      </c>
      <c r="D28" s="563">
        <v>28000</v>
      </c>
      <c r="E28" s="573">
        <v>319</v>
      </c>
      <c r="F28" s="563">
        <f t="shared" si="2"/>
        <v>28000</v>
      </c>
      <c r="G28" s="87">
        <f t="shared" si="0"/>
        <v>0</v>
      </c>
      <c r="H28" s="718">
        <v>50000</v>
      </c>
      <c r="I28" s="719" t="s">
        <v>2804</v>
      </c>
      <c r="J28" s="720" t="s">
        <v>2845</v>
      </c>
      <c r="K28" s="720"/>
      <c r="L28" s="692"/>
      <c r="M28" s="692"/>
      <c r="N28" s="692"/>
      <c r="O28" s="692"/>
      <c r="P28" s="692"/>
      <c r="Q28" s="692"/>
    </row>
    <row r="29" spans="1:17" ht="15.75" x14ac:dyDescent="0.25">
      <c r="A29" s="728">
        <f t="shared" si="1"/>
        <v>87.774294670846402</v>
      </c>
      <c r="B29" s="87" t="s">
        <v>2627</v>
      </c>
      <c r="C29" s="555" t="s">
        <v>2634</v>
      </c>
      <c r="D29" s="563">
        <v>28000</v>
      </c>
      <c r="E29" s="573">
        <v>319</v>
      </c>
      <c r="F29" s="563">
        <f t="shared" si="2"/>
        <v>28000</v>
      </c>
      <c r="G29" s="87">
        <f t="shared" si="0"/>
        <v>0</v>
      </c>
      <c r="H29" s="509">
        <v>500000</v>
      </c>
      <c r="I29" s="525" t="s">
        <v>2878</v>
      </c>
      <c r="J29" s="692"/>
      <c r="K29" s="692"/>
      <c r="L29" s="692"/>
      <c r="M29" s="692"/>
      <c r="N29" s="692"/>
      <c r="O29" s="692"/>
      <c r="P29" s="692"/>
      <c r="Q29" s="692"/>
    </row>
    <row r="30" spans="1:17" ht="15.75" x14ac:dyDescent="0.25">
      <c r="A30" s="728">
        <f t="shared" si="1"/>
        <v>87.774294670846402</v>
      </c>
      <c r="B30" s="87" t="s">
        <v>2627</v>
      </c>
      <c r="C30" s="555" t="s">
        <v>2635</v>
      </c>
      <c r="D30" s="563">
        <v>28000</v>
      </c>
      <c r="E30" s="573">
        <v>319</v>
      </c>
      <c r="F30" s="563">
        <f t="shared" si="2"/>
        <v>28000</v>
      </c>
      <c r="G30" s="87">
        <f t="shared" si="0"/>
        <v>0</v>
      </c>
      <c r="H30" s="509"/>
      <c r="I30" s="525"/>
      <c r="J30" s="692"/>
      <c r="K30" s="692"/>
      <c r="L30" s="692"/>
      <c r="M30" s="692"/>
      <c r="N30" s="692"/>
      <c r="O30" s="692"/>
      <c r="P30" s="692"/>
      <c r="Q30" s="692"/>
    </row>
    <row r="31" spans="1:17" ht="15.75" x14ac:dyDescent="0.25">
      <c r="A31" s="728">
        <f t="shared" si="1"/>
        <v>87.774294670846402</v>
      </c>
      <c r="B31" s="87" t="s">
        <v>2627</v>
      </c>
      <c r="C31" s="555" t="s">
        <v>2636</v>
      </c>
      <c r="D31" s="563">
        <v>28000</v>
      </c>
      <c r="E31" s="573">
        <v>319</v>
      </c>
      <c r="F31" s="563">
        <f t="shared" si="2"/>
        <v>28000</v>
      </c>
      <c r="G31" s="87">
        <f t="shared" si="0"/>
        <v>0</v>
      </c>
      <c r="H31" s="509"/>
      <c r="I31" s="525"/>
      <c r="J31" s="692"/>
      <c r="K31" s="692"/>
      <c r="L31" s="692"/>
      <c r="M31" s="692"/>
      <c r="N31" s="692"/>
      <c r="O31" s="692"/>
      <c r="P31" s="692"/>
      <c r="Q31" s="692"/>
    </row>
    <row r="32" spans="1:17" ht="15.75" x14ac:dyDescent="0.25">
      <c r="A32" s="728">
        <f t="shared" si="1"/>
        <v>92.592592592592581</v>
      </c>
      <c r="B32" s="87" t="s">
        <v>2637</v>
      </c>
      <c r="C32" s="555" t="s">
        <v>66</v>
      </c>
      <c r="D32" s="563">
        <v>100</v>
      </c>
      <c r="E32" s="573">
        <v>1.08</v>
      </c>
      <c r="F32" s="563">
        <f t="shared" si="2"/>
        <v>100</v>
      </c>
      <c r="G32" s="87">
        <f t="shared" si="0"/>
        <v>0</v>
      </c>
      <c r="H32" s="509"/>
      <c r="I32" s="525"/>
      <c r="J32" s="692"/>
      <c r="K32" s="692"/>
      <c r="L32" s="692"/>
      <c r="M32" s="692"/>
      <c r="N32" s="692"/>
      <c r="O32" s="692"/>
      <c r="P32" s="692"/>
      <c r="Q32" s="692"/>
    </row>
    <row r="33" spans="1:17" ht="15.75" x14ac:dyDescent="0.25">
      <c r="A33" s="728">
        <f t="shared" si="1"/>
        <v>87.777777777777771</v>
      </c>
      <c r="B33" s="87" t="s">
        <v>2637</v>
      </c>
      <c r="C33" s="555" t="s">
        <v>17</v>
      </c>
      <c r="D33" s="563">
        <v>2528</v>
      </c>
      <c r="E33" s="573">
        <v>28.8</v>
      </c>
      <c r="F33" s="563">
        <f t="shared" si="2"/>
        <v>2528</v>
      </c>
      <c r="G33" s="87">
        <f t="shared" si="0"/>
        <v>0</v>
      </c>
      <c r="H33" s="689"/>
      <c r="I33" s="693"/>
      <c r="J33" s="692"/>
      <c r="K33" s="692"/>
      <c r="L33" s="692"/>
      <c r="M33" s="692"/>
      <c r="N33" s="692"/>
      <c r="O33" s="692"/>
      <c r="P33" s="692"/>
      <c r="Q33" s="692"/>
    </row>
    <row r="34" spans="1:17" ht="15.75" x14ac:dyDescent="0.25">
      <c r="A34" s="728">
        <f t="shared" si="1"/>
        <v>88.495575221238937</v>
      </c>
      <c r="B34" s="87" t="s">
        <v>2637</v>
      </c>
      <c r="C34" s="555" t="s">
        <v>2490</v>
      </c>
      <c r="D34" s="563">
        <v>20000</v>
      </c>
      <c r="E34" s="573">
        <v>226</v>
      </c>
      <c r="F34" s="563">
        <f t="shared" si="2"/>
        <v>20000</v>
      </c>
      <c r="G34" s="87">
        <f t="shared" si="0"/>
        <v>0</v>
      </c>
      <c r="H34" s="689"/>
      <c r="I34" s="693"/>
      <c r="J34" s="692"/>
      <c r="K34" s="692"/>
      <c r="L34" s="692"/>
      <c r="M34" s="692"/>
      <c r="N34" s="692"/>
      <c r="O34" s="692"/>
      <c r="P34" s="692"/>
      <c r="Q34" s="692"/>
    </row>
    <row r="35" spans="1:17" ht="15.75" x14ac:dyDescent="0.25">
      <c r="A35" s="728">
        <f t="shared" si="1"/>
        <v>87.912087912087912</v>
      </c>
      <c r="B35" s="87" t="s">
        <v>2637</v>
      </c>
      <c r="C35" s="555" t="s">
        <v>30</v>
      </c>
      <c r="D35" s="563">
        <v>8000</v>
      </c>
      <c r="E35" s="573">
        <v>91</v>
      </c>
      <c r="F35" s="563">
        <f t="shared" si="2"/>
        <v>8000</v>
      </c>
      <c r="G35" s="87">
        <f t="shared" si="0"/>
        <v>0</v>
      </c>
      <c r="H35" s="689"/>
      <c r="I35" s="716" t="s">
        <v>475</v>
      </c>
      <c r="J35" s="706">
        <f>SUM(H6:H32)</f>
        <v>6000000</v>
      </c>
      <c r="K35" s="706" t="s">
        <v>475</v>
      </c>
      <c r="L35" s="706">
        <f>SUM(L2:L34)</f>
        <v>0</v>
      </c>
      <c r="M35" s="692"/>
      <c r="N35" s="692"/>
      <c r="O35" s="692"/>
      <c r="P35" s="692"/>
      <c r="Q35" s="692"/>
    </row>
    <row r="36" spans="1:17" ht="15.75" x14ac:dyDescent="0.25">
      <c r="A36" s="728">
        <f t="shared" si="1"/>
        <v>87.912087912087912</v>
      </c>
      <c r="B36" s="87" t="s">
        <v>2637</v>
      </c>
      <c r="C36" s="555" t="s">
        <v>30</v>
      </c>
      <c r="D36" s="563">
        <v>8000</v>
      </c>
      <c r="E36" s="573">
        <v>91</v>
      </c>
      <c r="F36" s="563">
        <f t="shared" si="2"/>
        <v>8000</v>
      </c>
      <c r="G36" s="87">
        <f t="shared" si="0"/>
        <v>0</v>
      </c>
      <c r="H36" s="689"/>
      <c r="I36" s="693"/>
      <c r="J36" s="692"/>
      <c r="K36" s="692"/>
      <c r="L36" s="692"/>
      <c r="M36" s="692"/>
      <c r="N36" s="692"/>
      <c r="O36" s="692"/>
      <c r="P36" s="692"/>
      <c r="Q36" s="692"/>
    </row>
    <row r="37" spans="1:17" ht="15.75" x14ac:dyDescent="0.25">
      <c r="A37" s="728">
        <f t="shared" si="1"/>
        <v>87.837837837837839</v>
      </c>
      <c r="B37" s="87" t="s">
        <v>2637</v>
      </c>
      <c r="C37" s="555" t="s">
        <v>2284</v>
      </c>
      <c r="D37" s="563">
        <v>26000</v>
      </c>
      <c r="E37" s="573">
        <v>296</v>
      </c>
      <c r="F37" s="563">
        <f t="shared" si="2"/>
        <v>26000</v>
      </c>
      <c r="G37" s="87">
        <f t="shared" si="0"/>
        <v>0</v>
      </c>
      <c r="H37" s="689"/>
      <c r="I37" s="693"/>
      <c r="J37" s="692"/>
      <c r="K37" s="692"/>
      <c r="L37" s="692"/>
      <c r="M37" s="692"/>
      <c r="N37" s="692"/>
      <c r="O37" s="692"/>
      <c r="P37" s="692"/>
      <c r="Q37" s="692"/>
    </row>
    <row r="38" spans="1:17" ht="15.75" x14ac:dyDescent="0.25">
      <c r="A38" s="728">
        <f t="shared" si="1"/>
        <v>87.976539589442808</v>
      </c>
      <c r="B38" s="87" t="s">
        <v>2637</v>
      </c>
      <c r="C38" s="555" t="s">
        <v>2638</v>
      </c>
      <c r="D38" s="563">
        <v>30000</v>
      </c>
      <c r="E38" s="573">
        <v>341</v>
      </c>
      <c r="F38" s="563">
        <f t="shared" si="2"/>
        <v>30000</v>
      </c>
      <c r="G38" s="87">
        <f t="shared" si="0"/>
        <v>0</v>
      </c>
      <c r="H38" s="689"/>
      <c r="I38" s="693"/>
      <c r="J38" s="706" t="s">
        <v>360</v>
      </c>
      <c r="K38" s="706">
        <f>L35-J35</f>
        <v>-6000000</v>
      </c>
      <c r="L38" s="692"/>
      <c r="M38" s="692"/>
      <c r="N38" s="692"/>
      <c r="O38" s="692"/>
      <c r="P38" s="692"/>
      <c r="Q38" s="692"/>
    </row>
    <row r="39" spans="1:17" ht="15.75" x14ac:dyDescent="0.25">
      <c r="A39" s="728">
        <f t="shared" si="1"/>
        <v>89.84375</v>
      </c>
      <c r="B39" s="87" t="s">
        <v>2637</v>
      </c>
      <c r="C39" s="555" t="s">
        <v>2639</v>
      </c>
      <c r="D39" s="563">
        <v>23000</v>
      </c>
      <c r="E39" s="573">
        <v>256</v>
      </c>
      <c r="F39" s="563">
        <f t="shared" si="2"/>
        <v>23000</v>
      </c>
      <c r="G39" s="87">
        <f t="shared" si="0"/>
        <v>0</v>
      </c>
      <c r="H39" s="689"/>
      <c r="I39" s="693"/>
      <c r="J39" s="692"/>
      <c r="K39" s="692"/>
      <c r="L39" s="692"/>
      <c r="M39" s="692"/>
      <c r="N39" s="692"/>
      <c r="O39" s="692"/>
      <c r="P39" s="692"/>
      <c r="Q39" s="692"/>
    </row>
    <row r="40" spans="1:17" ht="15.75" x14ac:dyDescent="0.25">
      <c r="A40" s="728">
        <f t="shared" si="1"/>
        <v>91.228070175438603</v>
      </c>
      <c r="B40" s="87" t="s">
        <v>2637</v>
      </c>
      <c r="C40" s="555" t="s">
        <v>2640</v>
      </c>
      <c r="D40" s="563">
        <v>26000</v>
      </c>
      <c r="E40" s="573">
        <v>285</v>
      </c>
      <c r="F40" s="563">
        <f t="shared" si="2"/>
        <v>26000</v>
      </c>
      <c r="G40" s="87">
        <f t="shared" si="0"/>
        <v>0</v>
      </c>
      <c r="H40" s="689"/>
      <c r="I40" s="693"/>
      <c r="J40" s="692"/>
      <c r="K40" s="692"/>
      <c r="L40" s="692"/>
      <c r="M40" s="692"/>
      <c r="N40" s="692"/>
      <c r="O40" s="692"/>
      <c r="P40" s="692"/>
      <c r="Q40" s="692"/>
    </row>
    <row r="41" spans="1:17" ht="15.75" x14ac:dyDescent="0.25">
      <c r="A41" s="728">
        <f t="shared" si="1"/>
        <v>80.629333333333335</v>
      </c>
      <c r="B41" s="87" t="s">
        <v>2641</v>
      </c>
      <c r="C41" s="555" t="s">
        <v>2642</v>
      </c>
      <c r="D41" s="563">
        <v>30236</v>
      </c>
      <c r="E41" s="573">
        <v>375</v>
      </c>
      <c r="F41" s="563">
        <f t="shared" si="2"/>
        <v>30236</v>
      </c>
      <c r="G41" s="87">
        <f t="shared" si="0"/>
        <v>0</v>
      </c>
      <c r="H41" s="689"/>
      <c r="I41" s="693"/>
      <c r="J41" s="692"/>
      <c r="K41" s="692"/>
      <c r="L41" s="692"/>
      <c r="M41" s="692"/>
      <c r="N41" s="692"/>
      <c r="O41" s="692"/>
      <c r="P41" s="692"/>
      <c r="Q41" s="692"/>
    </row>
    <row r="42" spans="1:17" ht="15.75" x14ac:dyDescent="0.25">
      <c r="A42" s="728">
        <f t="shared" si="1"/>
        <v>88.105726872246692</v>
      </c>
      <c r="B42" s="87" t="s">
        <v>2641</v>
      </c>
      <c r="C42" s="555" t="s">
        <v>2220</v>
      </c>
      <c r="D42" s="563">
        <v>20000</v>
      </c>
      <c r="E42" s="573">
        <v>227</v>
      </c>
      <c r="F42" s="563">
        <f t="shared" si="2"/>
        <v>20000</v>
      </c>
      <c r="G42" s="87">
        <f t="shared" si="0"/>
        <v>0</v>
      </c>
      <c r="H42" s="689"/>
      <c r="I42" s="693"/>
      <c r="J42" s="692"/>
      <c r="K42" s="692"/>
      <c r="L42" s="692"/>
      <c r="M42" s="692"/>
      <c r="N42" s="692"/>
      <c r="O42" s="692"/>
      <c r="P42" s="692"/>
      <c r="Q42" s="692"/>
    </row>
    <row r="43" spans="1:17" ht="15.75" x14ac:dyDescent="0.25">
      <c r="A43" s="728">
        <f t="shared" si="1"/>
        <v>97.222222222222214</v>
      </c>
      <c r="B43" s="87" t="s">
        <v>2641</v>
      </c>
      <c r="C43" s="555" t="s">
        <v>66</v>
      </c>
      <c r="D43" s="563">
        <v>210</v>
      </c>
      <c r="E43" s="573">
        <v>2.16</v>
      </c>
      <c r="F43" s="563">
        <f t="shared" si="2"/>
        <v>210</v>
      </c>
      <c r="G43" s="87">
        <f t="shared" si="0"/>
        <v>0</v>
      </c>
      <c r="H43" s="689"/>
      <c r="I43" s="693"/>
      <c r="J43" s="692"/>
      <c r="K43" s="692"/>
      <c r="L43" s="692"/>
      <c r="M43" s="692"/>
      <c r="N43" s="692"/>
      <c r="O43" s="692"/>
      <c r="P43" s="692"/>
      <c r="Q43" s="692"/>
    </row>
    <row r="44" spans="1:17" ht="15.75" x14ac:dyDescent="0.25">
      <c r="A44" s="728">
        <f t="shared" si="1"/>
        <v>88.028169014084511</v>
      </c>
      <c r="B44" s="87" t="s">
        <v>2641</v>
      </c>
      <c r="C44" s="555" t="s">
        <v>2424</v>
      </c>
      <c r="D44" s="563">
        <v>25000</v>
      </c>
      <c r="E44" s="573">
        <v>284</v>
      </c>
      <c r="F44" s="563">
        <f t="shared" si="2"/>
        <v>25000</v>
      </c>
      <c r="G44" s="87">
        <f t="shared" si="0"/>
        <v>0</v>
      </c>
      <c r="H44" s="689"/>
      <c r="I44" s="693"/>
      <c r="J44" s="692"/>
      <c r="K44" s="692"/>
      <c r="L44" s="692"/>
      <c r="M44" s="692"/>
      <c r="N44" s="692"/>
      <c r="O44" s="692"/>
      <c r="P44" s="692"/>
      <c r="Q44" s="692"/>
    </row>
    <row r="45" spans="1:17" ht="15.75" x14ac:dyDescent="0.25">
      <c r="A45" s="728">
        <f t="shared" si="1"/>
        <v>87.976539589442808</v>
      </c>
      <c r="B45" s="87" t="s">
        <v>2641</v>
      </c>
      <c r="C45" s="555" t="s">
        <v>2643</v>
      </c>
      <c r="D45" s="563">
        <v>30000</v>
      </c>
      <c r="E45" s="573">
        <v>341</v>
      </c>
      <c r="F45" s="563">
        <f t="shared" si="2"/>
        <v>30000</v>
      </c>
      <c r="G45" s="87">
        <f t="shared" si="0"/>
        <v>0</v>
      </c>
      <c r="H45" s="689"/>
      <c r="I45" s="693"/>
      <c r="J45" s="692"/>
      <c r="K45" s="692"/>
      <c r="L45" s="692"/>
      <c r="M45" s="692"/>
      <c r="N45" s="692"/>
      <c r="O45" s="692"/>
      <c r="P45" s="692"/>
      <c r="Q45" s="692"/>
    </row>
    <row r="46" spans="1:17" ht="15.75" x14ac:dyDescent="0.25">
      <c r="A46" s="728">
        <f t="shared" si="1"/>
        <v>88.028169014084511</v>
      </c>
      <c r="B46" s="87" t="s">
        <v>2641</v>
      </c>
      <c r="C46" s="555" t="s">
        <v>1070</v>
      </c>
      <c r="D46" s="563">
        <v>25000</v>
      </c>
      <c r="E46" s="573">
        <v>284</v>
      </c>
      <c r="F46" s="563">
        <f t="shared" si="2"/>
        <v>25000</v>
      </c>
      <c r="G46" s="87">
        <f t="shared" si="0"/>
        <v>0</v>
      </c>
      <c r="H46" s="689"/>
      <c r="I46" s="693"/>
      <c r="J46" s="692"/>
      <c r="K46" s="692"/>
      <c r="L46" s="692"/>
      <c r="M46" s="692"/>
      <c r="N46" s="692"/>
      <c r="O46" s="692"/>
      <c r="P46" s="692"/>
      <c r="Q46" s="692"/>
    </row>
    <row r="47" spans="1:17" ht="15.75" x14ac:dyDescent="0.25">
      <c r="A47" s="728">
        <f t="shared" si="1"/>
        <v>92.592592592592581</v>
      </c>
      <c r="B47" s="87" t="s">
        <v>2641</v>
      </c>
      <c r="C47" s="555" t="s">
        <v>66</v>
      </c>
      <c r="D47" s="563">
        <v>100</v>
      </c>
      <c r="E47" s="573">
        <v>1.08</v>
      </c>
      <c r="F47" s="563">
        <f t="shared" si="2"/>
        <v>100</v>
      </c>
      <c r="G47" s="87">
        <f t="shared" si="0"/>
        <v>0</v>
      </c>
      <c r="H47" s="689"/>
      <c r="I47" s="693"/>
      <c r="J47" s="692"/>
      <c r="K47" s="692"/>
      <c r="L47" s="692"/>
      <c r="M47" s="692"/>
      <c r="N47" s="692"/>
      <c r="O47" s="692"/>
      <c r="P47" s="692"/>
      <c r="Q47" s="692"/>
    </row>
    <row r="48" spans="1:17" ht="15.75" x14ac:dyDescent="0.25">
      <c r="A48" s="728">
        <f t="shared" si="1"/>
        <v>87.912087912087912</v>
      </c>
      <c r="B48" s="87" t="s">
        <v>2644</v>
      </c>
      <c r="C48" s="555">
        <v>5151</v>
      </c>
      <c r="D48" s="563">
        <v>16000</v>
      </c>
      <c r="E48" s="573">
        <v>182</v>
      </c>
      <c r="F48" s="563">
        <f t="shared" si="2"/>
        <v>16000</v>
      </c>
      <c r="G48" s="87">
        <f t="shared" si="0"/>
        <v>0</v>
      </c>
      <c r="H48" s="689"/>
      <c r="I48" s="693"/>
      <c r="J48" s="692"/>
      <c r="K48" s="692"/>
      <c r="L48" s="692"/>
      <c r="M48" s="692"/>
      <c r="N48" s="692"/>
      <c r="O48" s="692"/>
      <c r="P48" s="692"/>
      <c r="Q48" s="692"/>
    </row>
    <row r="49" spans="1:17" ht="15.75" x14ac:dyDescent="0.25">
      <c r="A49" s="728">
        <f t="shared" si="1"/>
        <v>88.105726872246692</v>
      </c>
      <c r="B49" s="87" t="s">
        <v>2644</v>
      </c>
      <c r="C49" s="555">
        <v>4141</v>
      </c>
      <c r="D49" s="563">
        <v>20000</v>
      </c>
      <c r="E49" s="573">
        <v>227</v>
      </c>
      <c r="F49" s="563">
        <f t="shared" si="2"/>
        <v>20000</v>
      </c>
      <c r="G49" s="87">
        <f t="shared" si="0"/>
        <v>0</v>
      </c>
      <c r="H49" s="689"/>
      <c r="I49" s="693"/>
      <c r="J49" s="692"/>
      <c r="K49" s="692"/>
      <c r="L49" s="692"/>
      <c r="M49" s="692"/>
      <c r="N49" s="692"/>
      <c r="O49" s="692"/>
      <c r="P49" s="692"/>
      <c r="Q49" s="692"/>
    </row>
    <row r="50" spans="1:17" ht="15.75" x14ac:dyDescent="0.25">
      <c r="A50" s="728">
        <f t="shared" si="1"/>
        <v>93.220338983050851</v>
      </c>
      <c r="B50" s="87" t="s">
        <v>2644</v>
      </c>
      <c r="C50" s="555" t="s">
        <v>66</v>
      </c>
      <c r="D50" s="563">
        <v>110</v>
      </c>
      <c r="E50" s="573">
        <v>1.18</v>
      </c>
      <c r="F50" s="563">
        <f t="shared" si="2"/>
        <v>110</v>
      </c>
      <c r="G50" s="87">
        <f t="shared" si="0"/>
        <v>0</v>
      </c>
      <c r="H50" s="689"/>
      <c r="I50" s="693"/>
      <c r="J50" s="692"/>
      <c r="K50" s="692"/>
      <c r="L50" s="692"/>
      <c r="M50" s="692"/>
      <c r="N50" s="692"/>
      <c r="O50" s="692"/>
      <c r="P50" s="692"/>
      <c r="Q50" s="692"/>
    </row>
    <row r="51" spans="1:17" ht="15.75" x14ac:dyDescent="0.25">
      <c r="A51" s="728">
        <f t="shared" si="1"/>
        <v>88.028169014084511</v>
      </c>
      <c r="B51" s="87" t="s">
        <v>2644</v>
      </c>
      <c r="C51" s="555" t="s">
        <v>2645</v>
      </c>
      <c r="D51" s="563">
        <v>25000</v>
      </c>
      <c r="E51" s="573">
        <v>284</v>
      </c>
      <c r="F51" s="563">
        <f t="shared" si="2"/>
        <v>25000</v>
      </c>
      <c r="G51" s="87">
        <f t="shared" si="0"/>
        <v>0</v>
      </c>
      <c r="H51" s="689"/>
      <c r="I51" s="693"/>
      <c r="J51" s="692"/>
      <c r="K51" s="692"/>
      <c r="L51" s="692"/>
      <c r="M51" s="692"/>
      <c r="N51" s="692"/>
      <c r="O51" s="692"/>
      <c r="P51" s="692"/>
      <c r="Q51" s="692"/>
    </row>
    <row r="52" spans="1:17" ht="15.75" x14ac:dyDescent="0.25">
      <c r="A52" s="728">
        <f t="shared" si="1"/>
        <v>87.912087912087912</v>
      </c>
      <c r="B52" s="87" t="s">
        <v>2644</v>
      </c>
      <c r="C52" s="555" t="s">
        <v>2044</v>
      </c>
      <c r="D52" s="563">
        <v>16000</v>
      </c>
      <c r="E52" s="573">
        <v>182</v>
      </c>
      <c r="F52" s="563">
        <f t="shared" si="2"/>
        <v>16000</v>
      </c>
      <c r="G52" s="87">
        <f t="shared" si="0"/>
        <v>0</v>
      </c>
      <c r="H52" s="689"/>
      <c r="I52" s="693"/>
      <c r="J52" s="692"/>
      <c r="K52" s="692"/>
      <c r="L52" s="692"/>
      <c r="M52" s="692"/>
      <c r="N52" s="692"/>
      <c r="O52" s="692"/>
      <c r="P52" s="692"/>
      <c r="Q52" s="692"/>
    </row>
    <row r="53" spans="1:17" ht="15.75" x14ac:dyDescent="0.25">
      <c r="A53" s="728">
        <f t="shared" si="1"/>
        <v>92.592592592592581</v>
      </c>
      <c r="B53" s="87" t="s">
        <v>2646</v>
      </c>
      <c r="C53" s="555" t="s">
        <v>66</v>
      </c>
      <c r="D53" s="563">
        <v>100</v>
      </c>
      <c r="E53" s="573">
        <v>1.08</v>
      </c>
      <c r="F53" s="563">
        <f t="shared" si="2"/>
        <v>100</v>
      </c>
      <c r="G53" s="87">
        <f t="shared" si="0"/>
        <v>0</v>
      </c>
      <c r="H53" s="689"/>
      <c r="I53" s="693"/>
      <c r="J53" s="692"/>
      <c r="K53" s="692"/>
      <c r="L53" s="692"/>
      <c r="M53" s="692"/>
      <c r="N53" s="692"/>
      <c r="O53" s="692"/>
      <c r="P53" s="692"/>
      <c r="Q53" s="692"/>
    </row>
    <row r="54" spans="1:17" ht="15.75" x14ac:dyDescent="0.25">
      <c r="A54" s="728">
        <f t="shared" si="1"/>
        <v>97.222222222222214</v>
      </c>
      <c r="B54" s="87" t="s">
        <v>2646</v>
      </c>
      <c r="C54" s="555" t="s">
        <v>66</v>
      </c>
      <c r="D54" s="563">
        <v>210</v>
      </c>
      <c r="E54" s="573">
        <v>2.16</v>
      </c>
      <c r="F54" s="563">
        <f t="shared" si="2"/>
        <v>210</v>
      </c>
      <c r="G54" s="87">
        <f t="shared" si="0"/>
        <v>0</v>
      </c>
      <c r="H54" s="689"/>
      <c r="I54" s="693"/>
      <c r="J54" s="692"/>
      <c r="K54" s="692"/>
      <c r="L54" s="692"/>
      <c r="M54" s="692"/>
      <c r="N54" s="692"/>
      <c r="O54" s="692"/>
      <c r="P54" s="692"/>
      <c r="Q54" s="692"/>
    </row>
    <row r="55" spans="1:17" ht="15.75" x14ac:dyDescent="0.25">
      <c r="A55" s="728">
        <f t="shared" si="1"/>
        <v>96.153846153846146</v>
      </c>
      <c r="B55" s="87" t="s">
        <v>2646</v>
      </c>
      <c r="C55" s="555" t="s">
        <v>66</v>
      </c>
      <c r="D55" s="563">
        <v>150</v>
      </c>
      <c r="E55" s="573">
        <v>1.56</v>
      </c>
      <c r="F55" s="563">
        <f t="shared" si="2"/>
        <v>150</v>
      </c>
      <c r="G55" s="87">
        <f t="shared" si="0"/>
        <v>0</v>
      </c>
      <c r="H55" s="689"/>
      <c r="I55" s="693"/>
      <c r="J55" s="692"/>
      <c r="K55" s="692"/>
      <c r="L55" s="692"/>
      <c r="M55" s="692"/>
      <c r="N55" s="692"/>
      <c r="O55" s="692"/>
      <c r="P55" s="692"/>
      <c r="Q55" s="692"/>
    </row>
    <row r="56" spans="1:17" ht="15.75" x14ac:dyDescent="0.25">
      <c r="A56" s="728">
        <f t="shared" si="1"/>
        <v>88.235294117647058</v>
      </c>
      <c r="B56" s="87" t="s">
        <v>2646</v>
      </c>
      <c r="C56" s="555" t="s">
        <v>2647</v>
      </c>
      <c r="D56" s="563">
        <v>15000</v>
      </c>
      <c r="E56" s="573">
        <v>170</v>
      </c>
      <c r="F56" s="563">
        <f t="shared" si="2"/>
        <v>15000</v>
      </c>
      <c r="G56" s="87">
        <f t="shared" si="0"/>
        <v>0</v>
      </c>
      <c r="H56" s="689"/>
      <c r="I56" s="693"/>
      <c r="J56" s="692"/>
      <c r="K56" s="692"/>
      <c r="L56" s="692"/>
      <c r="M56" s="692"/>
      <c r="N56" s="692"/>
      <c r="O56" s="692"/>
      <c r="P56" s="692"/>
      <c r="Q56" s="692"/>
    </row>
    <row r="57" spans="1:17" ht="15.75" x14ac:dyDescent="0.25">
      <c r="A57" s="728">
        <f t="shared" si="1"/>
        <v>88.105726872246692</v>
      </c>
      <c r="B57" s="87" t="s">
        <v>2646</v>
      </c>
      <c r="C57" s="555" t="s">
        <v>2648</v>
      </c>
      <c r="D57" s="563">
        <v>20000</v>
      </c>
      <c r="E57" s="573">
        <v>227</v>
      </c>
      <c r="F57" s="563">
        <f t="shared" si="2"/>
        <v>20000</v>
      </c>
      <c r="G57" s="87">
        <f t="shared" si="0"/>
        <v>0</v>
      </c>
      <c r="H57" s="689"/>
      <c r="I57" s="693"/>
      <c r="J57" s="692"/>
      <c r="K57" s="692"/>
      <c r="L57" s="692"/>
      <c r="M57" s="692"/>
      <c r="N57" s="692"/>
      <c r="O57" s="692"/>
      <c r="P57" s="692"/>
      <c r="Q57" s="692"/>
    </row>
    <row r="58" spans="1:17" ht="15.75" x14ac:dyDescent="0.25">
      <c r="A58" s="728">
        <f t="shared" si="1"/>
        <v>87.912087912087912</v>
      </c>
      <c r="B58" s="87" t="s">
        <v>2649</v>
      </c>
      <c r="C58" s="555" t="s">
        <v>30</v>
      </c>
      <c r="D58" s="563">
        <v>8000</v>
      </c>
      <c r="E58" s="573">
        <v>91</v>
      </c>
      <c r="F58" s="563">
        <f t="shared" si="2"/>
        <v>8000</v>
      </c>
      <c r="G58" s="87">
        <f t="shared" si="0"/>
        <v>0</v>
      </c>
      <c r="H58" s="689"/>
      <c r="I58" s="693"/>
      <c r="J58" s="692"/>
      <c r="K58" s="692"/>
      <c r="L58" s="692"/>
      <c r="M58" s="692"/>
      <c r="N58" s="692"/>
      <c r="O58" s="692"/>
      <c r="P58" s="692"/>
      <c r="Q58" s="692"/>
    </row>
    <row r="59" spans="1:17" ht="15" customHeight="1" x14ac:dyDescent="0.25">
      <c r="A59" s="728">
        <f t="shared" si="1"/>
        <v>88.235294117647058</v>
      </c>
      <c r="B59" s="87" t="s">
        <v>2649</v>
      </c>
      <c r="C59" s="555" t="s">
        <v>2650</v>
      </c>
      <c r="D59" s="563">
        <v>16500</v>
      </c>
      <c r="E59" s="573">
        <v>187</v>
      </c>
      <c r="F59" s="563">
        <f t="shared" si="2"/>
        <v>16500</v>
      </c>
      <c r="G59" s="87">
        <f t="shared" si="0"/>
        <v>0</v>
      </c>
      <c r="H59" s="690"/>
      <c r="I59" s="693"/>
      <c r="J59" s="692"/>
      <c r="K59" s="692"/>
      <c r="L59" s="692"/>
      <c r="M59" s="692"/>
      <c r="N59" s="692"/>
      <c r="O59" s="692"/>
      <c r="P59" s="692"/>
      <c r="Q59" s="692"/>
    </row>
    <row r="60" spans="1:17" ht="15" customHeight="1" x14ac:dyDescent="0.25">
      <c r="A60" s="728">
        <f t="shared" si="1"/>
        <v>87.912087912087912</v>
      </c>
      <c r="B60" s="87" t="s">
        <v>2649</v>
      </c>
      <c r="C60" s="555" t="s">
        <v>1924</v>
      </c>
      <c r="D60" s="563">
        <v>16000</v>
      </c>
      <c r="E60" s="573">
        <v>182</v>
      </c>
      <c r="F60" s="563">
        <f t="shared" si="2"/>
        <v>16000</v>
      </c>
      <c r="G60" s="87">
        <f t="shared" si="0"/>
        <v>0</v>
      </c>
      <c r="H60" s="690"/>
      <c r="I60" s="693"/>
      <c r="J60" s="692"/>
      <c r="K60" s="692"/>
      <c r="L60" s="692"/>
      <c r="M60" s="692"/>
      <c r="N60" s="692"/>
      <c r="O60" s="692"/>
      <c r="P60" s="692"/>
      <c r="Q60" s="692"/>
    </row>
    <row r="61" spans="1:17" ht="15" customHeight="1" x14ac:dyDescent="0.25">
      <c r="A61" s="728">
        <f t="shared" si="1"/>
        <v>88.082901554404145</v>
      </c>
      <c r="B61" s="87" t="s">
        <v>2649</v>
      </c>
      <c r="C61" s="555" t="s">
        <v>1926</v>
      </c>
      <c r="D61" s="563">
        <v>17000</v>
      </c>
      <c r="E61" s="573">
        <v>193</v>
      </c>
      <c r="F61" s="563">
        <f t="shared" si="2"/>
        <v>17000</v>
      </c>
      <c r="G61" s="87">
        <f t="shared" si="0"/>
        <v>0</v>
      </c>
      <c r="H61" s="690"/>
      <c r="I61" s="693"/>
      <c r="J61" s="692"/>
      <c r="K61" s="692"/>
      <c r="L61" s="692"/>
      <c r="M61" s="692"/>
      <c r="N61" s="692"/>
      <c r="O61" s="692"/>
      <c r="P61" s="692"/>
      <c r="Q61" s="692"/>
    </row>
    <row r="62" spans="1:17" ht="15" customHeight="1" x14ac:dyDescent="0.25">
      <c r="A62" s="728">
        <f t="shared" si="1"/>
        <v>88.235294117647058</v>
      </c>
      <c r="B62" s="87" t="s">
        <v>2649</v>
      </c>
      <c r="C62" s="555" t="s">
        <v>2651</v>
      </c>
      <c r="D62" s="563">
        <v>15000</v>
      </c>
      <c r="E62" s="573">
        <v>170</v>
      </c>
      <c r="F62" s="563">
        <f t="shared" si="2"/>
        <v>15000</v>
      </c>
      <c r="G62" s="87">
        <f t="shared" si="0"/>
        <v>0</v>
      </c>
      <c r="H62" s="690"/>
      <c r="I62" s="693"/>
      <c r="J62" s="692"/>
      <c r="K62" s="692"/>
      <c r="L62" s="692"/>
      <c r="M62" s="692"/>
      <c r="N62" s="692"/>
      <c r="O62" s="692"/>
      <c r="P62" s="692"/>
      <c r="Q62" s="692"/>
    </row>
    <row r="63" spans="1:17" ht="15" customHeight="1" x14ac:dyDescent="0.25">
      <c r="A63" s="728">
        <f t="shared" si="1"/>
        <v>87.939698492462313</v>
      </c>
      <c r="B63" s="87" t="s">
        <v>2649</v>
      </c>
      <c r="C63" s="555" t="s">
        <v>2652</v>
      </c>
      <c r="D63" s="563">
        <v>35000</v>
      </c>
      <c r="E63" s="573">
        <v>398</v>
      </c>
      <c r="F63" s="563">
        <f t="shared" si="2"/>
        <v>35000</v>
      </c>
      <c r="G63" s="87">
        <f t="shared" si="0"/>
        <v>0</v>
      </c>
      <c r="H63" s="690"/>
      <c r="I63" s="693"/>
      <c r="J63" s="692"/>
      <c r="K63" s="692"/>
      <c r="L63" s="692"/>
      <c r="M63" s="692"/>
      <c r="N63" s="692"/>
      <c r="O63" s="692"/>
      <c r="P63" s="692"/>
      <c r="Q63" s="692"/>
    </row>
    <row r="64" spans="1:17" ht="15" customHeight="1" x14ac:dyDescent="0.25">
      <c r="A64" s="728">
        <f t="shared" si="1"/>
        <v>88.028169014084511</v>
      </c>
      <c r="B64" s="87" t="s">
        <v>2649</v>
      </c>
      <c r="C64" s="555" t="s">
        <v>2653</v>
      </c>
      <c r="D64" s="563">
        <v>25000</v>
      </c>
      <c r="E64" s="573">
        <v>284</v>
      </c>
      <c r="F64" s="563">
        <f t="shared" si="2"/>
        <v>25000</v>
      </c>
      <c r="G64" s="87">
        <f t="shared" si="0"/>
        <v>0</v>
      </c>
      <c r="H64" s="690"/>
      <c r="I64" s="693"/>
      <c r="J64" s="692"/>
      <c r="K64" s="692"/>
      <c r="L64" s="692"/>
      <c r="M64" s="692"/>
      <c r="N64" s="692"/>
      <c r="O64" s="692"/>
      <c r="P64" s="692"/>
      <c r="Q64" s="692"/>
    </row>
    <row r="65" spans="1:17" ht="15" customHeight="1" x14ac:dyDescent="0.25">
      <c r="A65" s="728">
        <f t="shared" si="1"/>
        <v>97.222222222222214</v>
      </c>
      <c r="B65" s="87" t="s">
        <v>2654</v>
      </c>
      <c r="C65" s="555" t="s">
        <v>66</v>
      </c>
      <c r="D65" s="563">
        <v>210</v>
      </c>
      <c r="E65" s="573">
        <v>2.16</v>
      </c>
      <c r="F65" s="563">
        <f t="shared" si="2"/>
        <v>210</v>
      </c>
      <c r="G65" s="87">
        <f t="shared" si="0"/>
        <v>0</v>
      </c>
      <c r="H65" s="690"/>
      <c r="I65" s="693"/>
      <c r="J65" s="692"/>
      <c r="K65" s="692"/>
      <c r="L65" s="692"/>
      <c r="M65" s="692"/>
      <c r="N65" s="692"/>
      <c r="O65" s="692"/>
      <c r="P65" s="692"/>
      <c r="Q65" s="692"/>
    </row>
    <row r="66" spans="1:17" ht="15" customHeight="1" x14ac:dyDescent="0.25">
      <c r="A66" s="728">
        <f t="shared" si="1"/>
        <v>87.912087912087912</v>
      </c>
      <c r="B66" s="87" t="s">
        <v>2654</v>
      </c>
      <c r="C66" s="555" t="s">
        <v>1923</v>
      </c>
      <c r="D66" s="563">
        <v>16000</v>
      </c>
      <c r="E66" s="573">
        <v>182</v>
      </c>
      <c r="F66" s="563">
        <f t="shared" si="2"/>
        <v>16000</v>
      </c>
      <c r="G66" s="87">
        <f t="shared" si="0"/>
        <v>0</v>
      </c>
      <c r="H66" s="690"/>
      <c r="I66" s="693"/>
      <c r="J66" s="692"/>
      <c r="K66" s="692"/>
      <c r="L66" s="692"/>
      <c r="M66" s="692"/>
      <c r="N66" s="692"/>
      <c r="O66" s="692"/>
      <c r="P66" s="692"/>
      <c r="Q66" s="692"/>
    </row>
    <row r="67" spans="1:17" ht="15" customHeight="1" x14ac:dyDescent="0.25">
      <c r="A67" s="728">
        <f t="shared" si="1"/>
        <v>88.082901554404145</v>
      </c>
      <c r="B67" s="87" t="s">
        <v>2654</v>
      </c>
      <c r="C67" s="555" t="s">
        <v>2655</v>
      </c>
      <c r="D67" s="563">
        <v>17000</v>
      </c>
      <c r="E67" s="573">
        <v>193</v>
      </c>
      <c r="F67" s="563">
        <f t="shared" si="2"/>
        <v>17000</v>
      </c>
      <c r="G67" s="87">
        <f t="shared" si="0"/>
        <v>0</v>
      </c>
      <c r="H67" s="690"/>
      <c r="I67" s="693"/>
      <c r="J67" s="692"/>
      <c r="K67" s="692"/>
      <c r="L67" s="692"/>
      <c r="M67" s="692"/>
      <c r="N67" s="692"/>
      <c r="O67" s="692"/>
      <c r="P67" s="692"/>
      <c r="Q67" s="692"/>
    </row>
    <row r="68" spans="1:17" ht="15" customHeight="1" x14ac:dyDescent="0.25">
      <c r="A68" s="728">
        <f t="shared" si="1"/>
        <v>88.028169014084511</v>
      </c>
      <c r="B68" s="87" t="s">
        <v>2654</v>
      </c>
      <c r="C68" s="555" t="s">
        <v>2656</v>
      </c>
      <c r="D68" s="563">
        <v>25000</v>
      </c>
      <c r="E68" s="573">
        <v>284</v>
      </c>
      <c r="F68" s="563">
        <f t="shared" si="2"/>
        <v>25000</v>
      </c>
      <c r="G68" s="87">
        <f t="shared" si="0"/>
        <v>0</v>
      </c>
      <c r="H68" s="690"/>
      <c r="I68" s="693"/>
      <c r="J68" s="692"/>
      <c r="K68" s="692"/>
      <c r="L68" s="692"/>
      <c r="M68" s="692"/>
      <c r="N68" s="692"/>
      <c r="O68" s="692"/>
      <c r="P68" s="692"/>
      <c r="Q68" s="692"/>
    </row>
    <row r="69" spans="1:17" ht="15" customHeight="1" x14ac:dyDescent="0.25">
      <c r="A69" s="728">
        <f t="shared" si="1"/>
        <v>88.085106382978722</v>
      </c>
      <c r="B69" s="87" t="s">
        <v>2654</v>
      </c>
      <c r="C69" s="555" t="s">
        <v>2657</v>
      </c>
      <c r="D69" s="563">
        <v>20700</v>
      </c>
      <c r="E69" s="573">
        <v>235</v>
      </c>
      <c r="F69" s="563">
        <f t="shared" si="2"/>
        <v>20700</v>
      </c>
      <c r="G69" s="87">
        <f t="shared" si="0"/>
        <v>0</v>
      </c>
      <c r="H69" s="690"/>
      <c r="I69" s="693"/>
      <c r="J69" s="692"/>
      <c r="K69" s="692"/>
      <c r="L69" s="692"/>
      <c r="M69" s="692"/>
      <c r="N69" s="692"/>
      <c r="O69" s="692"/>
      <c r="P69" s="692"/>
      <c r="Q69" s="692"/>
    </row>
    <row r="70" spans="1:17" ht="15" customHeight="1" x14ac:dyDescent="0.25">
      <c r="A70" s="728">
        <f t="shared" si="1"/>
        <v>88.235294117647058</v>
      </c>
      <c r="B70" s="87" t="s">
        <v>2658</v>
      </c>
      <c r="C70" s="555">
        <v>3451</v>
      </c>
      <c r="D70" s="563">
        <v>15000</v>
      </c>
      <c r="E70" s="573">
        <v>170</v>
      </c>
      <c r="F70" s="563">
        <f t="shared" si="2"/>
        <v>15000</v>
      </c>
      <c r="G70" s="87">
        <f t="shared" ref="G70:G135" si="3">D70-F70</f>
        <v>0</v>
      </c>
      <c r="H70" s="690"/>
      <c r="I70" s="693"/>
      <c r="J70" s="692"/>
      <c r="K70" s="692"/>
      <c r="L70" s="692"/>
      <c r="M70" s="692"/>
      <c r="N70" s="692"/>
      <c r="O70" s="692"/>
      <c r="P70" s="692"/>
      <c r="Q70" s="692"/>
    </row>
    <row r="71" spans="1:17" ht="15" customHeight="1" x14ac:dyDescent="0.25">
      <c r="A71" s="728">
        <f t="shared" ref="A71:A134" si="4">D71/E71</f>
        <v>88.105726872246692</v>
      </c>
      <c r="B71" s="87" t="s">
        <v>2658</v>
      </c>
      <c r="C71" s="555">
        <v>9777</v>
      </c>
      <c r="D71" s="563">
        <v>20000</v>
      </c>
      <c r="E71" s="573">
        <v>227</v>
      </c>
      <c r="F71" s="563">
        <f t="shared" ref="F71:F134" si="5">D71</f>
        <v>20000</v>
      </c>
      <c r="G71" s="87">
        <f t="shared" si="3"/>
        <v>0</v>
      </c>
      <c r="H71" s="690"/>
      <c r="I71" s="693"/>
      <c r="J71" s="692"/>
      <c r="K71" s="692"/>
      <c r="L71" s="692"/>
      <c r="M71" s="692"/>
      <c r="N71" s="692"/>
      <c r="O71" s="692"/>
      <c r="P71" s="692"/>
      <c r="Q71" s="692"/>
    </row>
    <row r="72" spans="1:17" ht="15" customHeight="1" x14ac:dyDescent="0.25">
      <c r="A72" s="728">
        <f t="shared" si="4"/>
        <v>92.592592592592581</v>
      </c>
      <c r="B72" s="87" t="s">
        <v>2658</v>
      </c>
      <c r="C72" s="555" t="s">
        <v>66</v>
      </c>
      <c r="D72" s="563">
        <v>100</v>
      </c>
      <c r="E72" s="573">
        <v>1.08</v>
      </c>
      <c r="F72" s="563">
        <f t="shared" si="5"/>
        <v>100</v>
      </c>
      <c r="G72" s="87">
        <f t="shared" si="3"/>
        <v>0</v>
      </c>
      <c r="H72" s="690"/>
      <c r="I72" s="693"/>
      <c r="J72" s="692"/>
      <c r="K72" s="692"/>
      <c r="L72" s="692"/>
      <c r="M72" s="692"/>
      <c r="N72" s="692"/>
      <c r="O72" s="692"/>
      <c r="P72" s="692"/>
      <c r="Q72" s="692"/>
    </row>
    <row r="73" spans="1:17" ht="15" customHeight="1" x14ac:dyDescent="0.25">
      <c r="A73" s="728">
        <f t="shared" si="4"/>
        <v>88.028169014084511</v>
      </c>
      <c r="B73" s="87" t="s">
        <v>2658</v>
      </c>
      <c r="C73" s="555">
        <v>2540</v>
      </c>
      <c r="D73" s="563">
        <v>25000</v>
      </c>
      <c r="E73" s="573">
        <v>284</v>
      </c>
      <c r="F73" s="563">
        <f t="shared" si="5"/>
        <v>25000</v>
      </c>
      <c r="G73" s="87">
        <f t="shared" si="3"/>
        <v>0</v>
      </c>
      <c r="H73" s="690"/>
      <c r="I73" s="693"/>
      <c r="J73" s="692"/>
      <c r="K73" s="692"/>
      <c r="L73" s="692"/>
      <c r="M73" s="692"/>
      <c r="N73" s="692"/>
      <c r="O73" s="692"/>
      <c r="P73" s="692"/>
      <c r="Q73" s="692"/>
    </row>
    <row r="74" spans="1:17" ht="15" customHeight="1" x14ac:dyDescent="0.25">
      <c r="A74" s="728">
        <f t="shared" si="4"/>
        <v>87.878787878787875</v>
      </c>
      <c r="B74" s="87" t="s">
        <v>2658</v>
      </c>
      <c r="C74" s="555" t="s">
        <v>1822</v>
      </c>
      <c r="D74" s="563">
        <v>29000</v>
      </c>
      <c r="E74" s="573">
        <v>330</v>
      </c>
      <c r="F74" s="563">
        <f t="shared" si="5"/>
        <v>29000</v>
      </c>
      <c r="G74" s="87">
        <f t="shared" si="3"/>
        <v>0</v>
      </c>
      <c r="H74" s="690"/>
      <c r="I74" s="693"/>
      <c r="J74" s="692"/>
      <c r="K74" s="692"/>
      <c r="L74" s="692"/>
      <c r="M74" s="692"/>
      <c r="N74" s="692"/>
      <c r="O74" s="692"/>
      <c r="P74" s="692"/>
      <c r="Q74" s="692"/>
    </row>
    <row r="75" spans="1:17" ht="15" customHeight="1" x14ac:dyDescent="0.25">
      <c r="A75" s="728">
        <f t="shared" si="4"/>
        <v>98.591549295774641</v>
      </c>
      <c r="B75" s="87" t="s">
        <v>2659</v>
      </c>
      <c r="C75" s="555" t="s">
        <v>2660</v>
      </c>
      <c r="D75" s="563">
        <v>21000</v>
      </c>
      <c r="E75" s="573">
        <v>213</v>
      </c>
      <c r="F75" s="563">
        <f t="shared" si="5"/>
        <v>21000</v>
      </c>
      <c r="G75" s="87">
        <f t="shared" si="3"/>
        <v>0</v>
      </c>
      <c r="H75" s="690"/>
      <c r="I75" s="693"/>
      <c r="J75" s="692"/>
      <c r="K75" s="692"/>
      <c r="L75" s="692"/>
      <c r="M75" s="692"/>
      <c r="N75" s="692"/>
      <c r="O75" s="692"/>
      <c r="P75" s="692"/>
      <c r="Q75" s="692"/>
    </row>
    <row r="76" spans="1:17" ht="15" customHeight="1" x14ac:dyDescent="0.25">
      <c r="A76" s="728">
        <f t="shared" si="4"/>
        <v>92.511013215859037</v>
      </c>
      <c r="B76" s="87" t="s">
        <v>2659</v>
      </c>
      <c r="C76" s="555" t="s">
        <v>2431</v>
      </c>
      <c r="D76" s="563">
        <v>21000</v>
      </c>
      <c r="E76" s="573">
        <v>227</v>
      </c>
      <c r="F76" s="563">
        <f t="shared" si="5"/>
        <v>21000</v>
      </c>
      <c r="G76" s="87">
        <f t="shared" si="3"/>
        <v>0</v>
      </c>
      <c r="H76" s="690"/>
      <c r="I76" s="693"/>
      <c r="J76" s="692"/>
      <c r="K76" s="692"/>
      <c r="L76" s="692"/>
      <c r="M76" s="692"/>
      <c r="N76" s="692"/>
      <c r="O76" s="692"/>
      <c r="P76" s="692"/>
      <c r="Q76" s="692"/>
    </row>
    <row r="77" spans="1:17" ht="15" customHeight="1" x14ac:dyDescent="0.25">
      <c r="A77" s="728">
        <f t="shared" si="4"/>
        <v>87.912087912087912</v>
      </c>
      <c r="B77" s="87" t="s">
        <v>2659</v>
      </c>
      <c r="C77" s="555" t="s">
        <v>30</v>
      </c>
      <c r="D77" s="563">
        <v>8000</v>
      </c>
      <c r="E77" s="573">
        <v>91</v>
      </c>
      <c r="F77" s="563">
        <f t="shared" si="5"/>
        <v>8000</v>
      </c>
      <c r="G77" s="87">
        <f t="shared" si="3"/>
        <v>0</v>
      </c>
      <c r="H77" s="690"/>
      <c r="I77" s="693"/>
      <c r="J77" s="692"/>
      <c r="K77" s="692"/>
      <c r="L77" s="692"/>
      <c r="M77" s="692"/>
      <c r="N77" s="692"/>
      <c r="O77" s="692"/>
      <c r="P77" s="692"/>
      <c r="Q77" s="692"/>
    </row>
    <row r="78" spans="1:17" ht="15" customHeight="1" x14ac:dyDescent="0.25">
      <c r="A78" s="728">
        <f t="shared" si="4"/>
        <v>97.222222222222214</v>
      </c>
      <c r="B78" s="87" t="s">
        <v>2659</v>
      </c>
      <c r="C78" s="555" t="s">
        <v>66</v>
      </c>
      <c r="D78" s="563">
        <v>210</v>
      </c>
      <c r="E78" s="573">
        <v>2.16</v>
      </c>
      <c r="F78" s="563">
        <f t="shared" si="5"/>
        <v>210</v>
      </c>
      <c r="G78" s="87">
        <f t="shared" si="3"/>
        <v>0</v>
      </c>
      <c r="H78" s="690"/>
      <c r="I78" s="693"/>
      <c r="J78" s="692"/>
      <c r="K78" s="692"/>
      <c r="L78" s="692"/>
      <c r="M78" s="692"/>
      <c r="N78" s="692"/>
      <c r="O78" s="692"/>
      <c r="P78" s="692"/>
      <c r="Q78" s="692"/>
    </row>
    <row r="79" spans="1:17" ht="15" customHeight="1" x14ac:dyDescent="0.25">
      <c r="A79" s="728">
        <f t="shared" si="4"/>
        <v>87.818696883852695</v>
      </c>
      <c r="B79" s="87" t="s">
        <v>2659</v>
      </c>
      <c r="C79" s="555" t="s">
        <v>2556</v>
      </c>
      <c r="D79" s="563">
        <v>31000</v>
      </c>
      <c r="E79" s="573">
        <v>353</v>
      </c>
      <c r="F79" s="563">
        <f t="shared" si="5"/>
        <v>31000</v>
      </c>
      <c r="G79" s="87">
        <f t="shared" si="3"/>
        <v>0</v>
      </c>
      <c r="H79" s="690"/>
      <c r="I79" s="693"/>
      <c r="J79" s="692"/>
      <c r="K79" s="692"/>
      <c r="L79" s="692"/>
      <c r="M79" s="692"/>
      <c r="N79" s="692"/>
      <c r="O79" s="692"/>
      <c r="P79" s="692"/>
      <c r="Q79" s="692"/>
    </row>
    <row r="80" spans="1:17" ht="15" customHeight="1" x14ac:dyDescent="0.25">
      <c r="A80" s="728">
        <f t="shared" si="4"/>
        <v>87.818696883852695</v>
      </c>
      <c r="B80" s="87" t="s">
        <v>2659</v>
      </c>
      <c r="C80" s="555" t="s">
        <v>2661</v>
      </c>
      <c r="D80" s="563">
        <v>31000</v>
      </c>
      <c r="E80" s="573">
        <v>353</v>
      </c>
      <c r="F80" s="563">
        <f t="shared" si="5"/>
        <v>31000</v>
      </c>
      <c r="G80" s="87">
        <f t="shared" si="3"/>
        <v>0</v>
      </c>
      <c r="H80" s="690"/>
      <c r="I80" s="693"/>
      <c r="J80" s="692"/>
      <c r="K80" s="692"/>
      <c r="L80" s="692"/>
      <c r="M80" s="692"/>
      <c r="N80" s="692"/>
      <c r="O80" s="692"/>
      <c r="P80" s="692"/>
      <c r="Q80" s="692"/>
    </row>
    <row r="81" spans="1:17" ht="15" customHeight="1" x14ac:dyDescent="0.25">
      <c r="A81" s="728">
        <f t="shared" si="4"/>
        <v>87.818696883852695</v>
      </c>
      <c r="B81" s="87" t="s">
        <v>2659</v>
      </c>
      <c r="C81" s="555" t="s">
        <v>2662</v>
      </c>
      <c r="D81" s="563">
        <v>31000</v>
      </c>
      <c r="E81" s="573">
        <v>353</v>
      </c>
      <c r="F81" s="563">
        <f t="shared" si="5"/>
        <v>31000</v>
      </c>
      <c r="G81" s="87">
        <f t="shared" si="3"/>
        <v>0</v>
      </c>
      <c r="H81" s="690"/>
      <c r="I81" s="693"/>
      <c r="J81" s="692"/>
      <c r="K81" s="692"/>
      <c r="L81" s="692"/>
      <c r="M81" s="692"/>
      <c r="N81" s="692"/>
      <c r="O81" s="692"/>
      <c r="P81" s="692"/>
      <c r="Q81" s="692"/>
    </row>
    <row r="82" spans="1:17" ht="15" customHeight="1" x14ac:dyDescent="0.25">
      <c r="A82" s="728">
        <f t="shared" si="4"/>
        <v>87.786259541984734</v>
      </c>
      <c r="B82" s="87" t="s">
        <v>2659</v>
      </c>
      <c r="C82" s="555" t="s">
        <v>2663</v>
      </c>
      <c r="D82" s="563">
        <v>23000</v>
      </c>
      <c r="E82" s="573">
        <v>262</v>
      </c>
      <c r="F82" s="563">
        <f t="shared" si="5"/>
        <v>23000</v>
      </c>
      <c r="G82" s="87">
        <f t="shared" si="3"/>
        <v>0</v>
      </c>
      <c r="H82" s="690"/>
      <c r="I82" s="693"/>
      <c r="J82" s="692"/>
      <c r="K82" s="692"/>
      <c r="L82" s="692"/>
      <c r="M82" s="692"/>
      <c r="N82" s="692"/>
      <c r="O82" s="692"/>
      <c r="P82" s="692"/>
      <c r="Q82" s="692"/>
    </row>
    <row r="83" spans="1:17" ht="15" customHeight="1" x14ac:dyDescent="0.25">
      <c r="A83" s="728">
        <f t="shared" si="4"/>
        <v>88</v>
      </c>
      <c r="B83" s="87" t="s">
        <v>2664</v>
      </c>
      <c r="C83" s="706" t="s">
        <v>2665</v>
      </c>
      <c r="D83" s="563">
        <v>22000</v>
      </c>
      <c r="E83" s="573">
        <v>250</v>
      </c>
      <c r="F83" s="563">
        <f t="shared" si="5"/>
        <v>22000</v>
      </c>
      <c r="G83" s="87">
        <f t="shared" si="3"/>
        <v>0</v>
      </c>
      <c r="H83" s="690"/>
      <c r="I83" s="693"/>
      <c r="J83" s="692"/>
      <c r="K83" s="692"/>
      <c r="L83" s="692"/>
      <c r="M83" s="692"/>
      <c r="N83" s="692"/>
      <c r="O83" s="692"/>
      <c r="P83" s="692"/>
      <c r="Q83" s="692"/>
    </row>
    <row r="84" spans="1:17" ht="15" customHeight="1" x14ac:dyDescent="0.25">
      <c r="A84" s="728">
        <f t="shared" si="4"/>
        <v>89.730769230769226</v>
      </c>
      <c r="B84" s="87" t="s">
        <v>2664</v>
      </c>
      <c r="C84" s="555" t="s">
        <v>17</v>
      </c>
      <c r="D84" s="563">
        <v>2333</v>
      </c>
      <c r="E84" s="573">
        <v>26</v>
      </c>
      <c r="F84" s="563">
        <f t="shared" si="5"/>
        <v>2333</v>
      </c>
      <c r="G84" s="87">
        <f t="shared" si="3"/>
        <v>0</v>
      </c>
      <c r="H84" s="690"/>
      <c r="I84" s="693"/>
      <c r="J84" s="692"/>
      <c r="K84" s="692"/>
      <c r="L84" s="692"/>
      <c r="M84" s="692"/>
      <c r="N84" s="692"/>
      <c r="O84" s="692"/>
      <c r="P84" s="692"/>
      <c r="Q84" s="692"/>
    </row>
    <row r="85" spans="1:17" ht="15" customHeight="1" x14ac:dyDescent="0.25">
      <c r="A85" s="728">
        <f t="shared" si="4"/>
        <v>87.774294670846402</v>
      </c>
      <c r="B85" s="87" t="s">
        <v>2664</v>
      </c>
      <c r="C85" s="555" t="s">
        <v>2539</v>
      </c>
      <c r="D85" s="563">
        <v>28000</v>
      </c>
      <c r="E85" s="573">
        <v>319</v>
      </c>
      <c r="F85" s="563">
        <f t="shared" si="5"/>
        <v>28000</v>
      </c>
      <c r="G85" s="87">
        <f t="shared" si="3"/>
        <v>0</v>
      </c>
      <c r="H85" s="690"/>
      <c r="I85" s="693"/>
      <c r="J85" s="692"/>
      <c r="K85" s="692"/>
      <c r="L85" s="692"/>
      <c r="M85" s="692"/>
      <c r="N85" s="692"/>
      <c r="O85" s="692"/>
      <c r="P85" s="692"/>
      <c r="Q85" s="692"/>
    </row>
    <row r="86" spans="1:17" ht="15" customHeight="1" x14ac:dyDescent="0.25">
      <c r="A86" s="728">
        <f t="shared" si="4"/>
        <v>88.105726872246692</v>
      </c>
      <c r="B86" s="87" t="s">
        <v>2664</v>
      </c>
      <c r="C86" s="555" t="s">
        <v>2666</v>
      </c>
      <c r="D86" s="563">
        <v>20000</v>
      </c>
      <c r="E86" s="573">
        <v>227</v>
      </c>
      <c r="F86" s="563">
        <f t="shared" si="5"/>
        <v>20000</v>
      </c>
      <c r="G86" s="87">
        <f t="shared" si="3"/>
        <v>0</v>
      </c>
      <c r="H86" s="690"/>
      <c r="I86" s="693"/>
      <c r="J86" s="692"/>
      <c r="K86" s="692"/>
      <c r="L86" s="692"/>
      <c r="M86" s="692"/>
      <c r="N86" s="692"/>
      <c r="O86" s="692"/>
      <c r="P86" s="692"/>
      <c r="Q86" s="692"/>
    </row>
    <row r="87" spans="1:17" ht="15" customHeight="1" x14ac:dyDescent="0.25">
      <c r="A87" s="728">
        <f t="shared" si="4"/>
        <v>87.837837837837839</v>
      </c>
      <c r="B87" s="87" t="s">
        <v>2664</v>
      </c>
      <c r="C87" s="555" t="s">
        <v>2667</v>
      </c>
      <c r="D87" s="563">
        <v>26000</v>
      </c>
      <c r="E87" s="573">
        <v>296</v>
      </c>
      <c r="F87" s="563">
        <f t="shared" si="5"/>
        <v>26000</v>
      </c>
      <c r="G87" s="87">
        <f t="shared" si="3"/>
        <v>0</v>
      </c>
      <c r="H87" s="690"/>
      <c r="I87" s="693"/>
      <c r="J87" s="692"/>
      <c r="K87" s="692"/>
      <c r="L87" s="692"/>
      <c r="M87" s="692"/>
      <c r="N87" s="692"/>
      <c r="O87" s="692"/>
      <c r="P87" s="692"/>
      <c r="Q87" s="692"/>
    </row>
    <row r="88" spans="1:17" ht="15" customHeight="1" x14ac:dyDescent="0.25">
      <c r="A88" s="728">
        <f t="shared" si="4"/>
        <v>87.912087912087912</v>
      </c>
      <c r="B88" s="87" t="s">
        <v>2664</v>
      </c>
      <c r="C88" s="555" t="s">
        <v>2668</v>
      </c>
      <c r="D88" s="563">
        <v>32000</v>
      </c>
      <c r="E88" s="573">
        <v>364</v>
      </c>
      <c r="F88" s="563">
        <f t="shared" si="5"/>
        <v>32000</v>
      </c>
      <c r="G88" s="87">
        <f t="shared" si="3"/>
        <v>0</v>
      </c>
      <c r="H88" s="690"/>
      <c r="I88" s="693"/>
      <c r="J88" s="692"/>
      <c r="K88" s="692"/>
      <c r="L88" s="692"/>
      <c r="M88" s="692"/>
      <c r="N88" s="692"/>
      <c r="O88" s="692"/>
      <c r="P88" s="692"/>
      <c r="Q88" s="692"/>
    </row>
    <row r="89" spans="1:17" ht="15" customHeight="1" x14ac:dyDescent="0.25">
      <c r="A89" s="728">
        <f t="shared" si="4"/>
        <v>88.105726872246692</v>
      </c>
      <c r="B89" s="87" t="s">
        <v>2664</v>
      </c>
      <c r="C89" s="555" t="s">
        <v>2669</v>
      </c>
      <c r="D89" s="563">
        <v>20000</v>
      </c>
      <c r="E89" s="573">
        <v>227</v>
      </c>
      <c r="F89" s="563">
        <f t="shared" si="5"/>
        <v>20000</v>
      </c>
      <c r="G89" s="87">
        <f t="shared" si="3"/>
        <v>0</v>
      </c>
      <c r="H89" s="690"/>
      <c r="I89" s="693"/>
      <c r="J89" s="692"/>
      <c r="K89" s="692"/>
      <c r="L89" s="692"/>
      <c r="M89" s="692"/>
      <c r="N89" s="692"/>
      <c r="O89" s="692"/>
      <c r="P89" s="692"/>
      <c r="Q89" s="692"/>
    </row>
    <row r="90" spans="1:17" ht="15" customHeight="1" x14ac:dyDescent="0.25">
      <c r="A90" s="728">
        <f t="shared" si="4"/>
        <v>88.105726872246692</v>
      </c>
      <c r="B90" s="87" t="s">
        <v>2664</v>
      </c>
      <c r="C90" s="555" t="s">
        <v>2670</v>
      </c>
      <c r="D90" s="563">
        <v>20000</v>
      </c>
      <c r="E90" s="573">
        <v>227</v>
      </c>
      <c r="F90" s="563">
        <f t="shared" si="5"/>
        <v>20000</v>
      </c>
      <c r="G90" s="87">
        <f t="shared" si="3"/>
        <v>0</v>
      </c>
      <c r="H90" s="690"/>
      <c r="I90" s="693"/>
      <c r="J90" s="692"/>
      <c r="K90" s="692"/>
      <c r="L90" s="692"/>
      <c r="M90" s="692"/>
      <c r="N90" s="692"/>
      <c r="O90" s="692"/>
      <c r="P90" s="692"/>
      <c r="Q90" s="692"/>
    </row>
    <row r="91" spans="1:17" ht="15" customHeight="1" x14ac:dyDescent="0.25">
      <c r="A91" s="728">
        <f t="shared" si="4"/>
        <v>87.962962962962962</v>
      </c>
      <c r="B91" s="87" t="s">
        <v>2664</v>
      </c>
      <c r="C91" s="555" t="s">
        <v>2671</v>
      </c>
      <c r="D91" s="563">
        <v>19000</v>
      </c>
      <c r="E91" s="573">
        <v>216</v>
      </c>
      <c r="F91" s="563">
        <f t="shared" si="5"/>
        <v>19000</v>
      </c>
      <c r="G91" s="87">
        <f t="shared" si="3"/>
        <v>0</v>
      </c>
      <c r="H91" s="690"/>
      <c r="I91" s="693"/>
      <c r="J91" s="692"/>
      <c r="K91" s="692"/>
      <c r="L91" s="692"/>
      <c r="M91" s="692"/>
      <c r="N91" s="692"/>
      <c r="O91" s="692"/>
      <c r="P91" s="692"/>
      <c r="Q91" s="692"/>
    </row>
    <row r="92" spans="1:17" ht="15" customHeight="1" x14ac:dyDescent="0.25">
      <c r="A92" s="728">
        <f t="shared" si="4"/>
        <v>87.962962962962962</v>
      </c>
      <c r="B92" s="87" t="s">
        <v>2664</v>
      </c>
      <c r="C92" s="555" t="s">
        <v>2672</v>
      </c>
      <c r="D92" s="563">
        <v>19000</v>
      </c>
      <c r="E92" s="573">
        <v>216</v>
      </c>
      <c r="F92" s="563">
        <f t="shared" si="5"/>
        <v>19000</v>
      </c>
      <c r="G92" s="87">
        <f t="shared" si="3"/>
        <v>0</v>
      </c>
      <c r="H92" s="690"/>
      <c r="I92" s="693"/>
      <c r="J92" s="692"/>
      <c r="K92" s="692"/>
      <c r="L92" s="692"/>
      <c r="M92" s="692"/>
      <c r="N92" s="692"/>
      <c r="O92" s="692"/>
      <c r="P92" s="692"/>
      <c r="Q92" s="692"/>
    </row>
    <row r="93" spans="1:17" ht="15" customHeight="1" x14ac:dyDescent="0.25">
      <c r="A93" s="728">
        <f t="shared" si="4"/>
        <v>110.16949152542372</v>
      </c>
      <c r="B93" s="87" t="s">
        <v>2664</v>
      </c>
      <c r="C93" s="555" t="s">
        <v>2673</v>
      </c>
      <c r="D93" s="563">
        <v>26000</v>
      </c>
      <c r="E93" s="573">
        <v>236</v>
      </c>
      <c r="F93" s="563">
        <f t="shared" si="5"/>
        <v>26000</v>
      </c>
      <c r="G93" s="87">
        <f t="shared" si="3"/>
        <v>0</v>
      </c>
      <c r="H93" s="690"/>
      <c r="I93" s="693"/>
      <c r="J93" s="692"/>
      <c r="K93" s="692"/>
      <c r="L93" s="692"/>
      <c r="M93" s="692"/>
      <c r="N93" s="692"/>
      <c r="O93" s="692"/>
      <c r="P93" s="692"/>
      <c r="Q93" s="692"/>
    </row>
    <row r="94" spans="1:17" ht="15" customHeight="1" x14ac:dyDescent="0.25">
      <c r="A94" s="728">
        <f t="shared" si="4"/>
        <v>87.976539589442808</v>
      </c>
      <c r="B94" s="87" t="s">
        <v>2664</v>
      </c>
      <c r="C94" s="87" t="s">
        <v>2674</v>
      </c>
      <c r="D94" s="87">
        <v>30000</v>
      </c>
      <c r="E94" s="87">
        <v>341</v>
      </c>
      <c r="F94" s="563">
        <f t="shared" si="5"/>
        <v>30000</v>
      </c>
      <c r="G94" s="87">
        <f t="shared" si="3"/>
        <v>0</v>
      </c>
      <c r="H94" s="690"/>
      <c r="I94" s="693"/>
      <c r="J94" s="692"/>
      <c r="K94" s="692"/>
      <c r="L94" s="692"/>
      <c r="M94" s="692"/>
      <c r="N94" s="692"/>
      <c r="O94" s="692"/>
      <c r="P94" s="692"/>
      <c r="Q94" s="692"/>
    </row>
    <row r="95" spans="1:17" ht="15" customHeight="1" x14ac:dyDescent="0.25">
      <c r="A95" s="728">
        <f t="shared" si="4"/>
        <v>88.105726872246692</v>
      </c>
      <c r="B95" s="87" t="s">
        <v>2664</v>
      </c>
      <c r="C95" s="87" t="s">
        <v>2675</v>
      </c>
      <c r="D95" s="87">
        <v>20000</v>
      </c>
      <c r="E95" s="87">
        <v>227</v>
      </c>
      <c r="F95" s="563">
        <f t="shared" si="5"/>
        <v>20000</v>
      </c>
      <c r="G95" s="87">
        <f t="shared" si="3"/>
        <v>0</v>
      </c>
      <c r="H95" s="690"/>
      <c r="I95" s="693"/>
      <c r="J95" s="692"/>
      <c r="K95" s="692"/>
      <c r="L95" s="692"/>
      <c r="M95" s="692"/>
      <c r="N95" s="692"/>
      <c r="O95" s="692"/>
      <c r="P95" s="692"/>
      <c r="Q95" s="692"/>
    </row>
    <row r="96" spans="1:17" ht="15" customHeight="1" x14ac:dyDescent="0.25">
      <c r="A96" s="728">
        <f t="shared" si="4"/>
        <v>92.592592592592581</v>
      </c>
      <c r="B96" s="87" t="s">
        <v>2676</v>
      </c>
      <c r="C96" s="87" t="s">
        <v>66</v>
      </c>
      <c r="D96" s="87">
        <v>100</v>
      </c>
      <c r="E96" s="87">
        <v>1.08</v>
      </c>
      <c r="F96" s="563">
        <f t="shared" si="5"/>
        <v>100</v>
      </c>
      <c r="G96" s="87">
        <f t="shared" si="3"/>
        <v>0</v>
      </c>
      <c r="H96" s="690"/>
      <c r="I96" s="693"/>
      <c r="J96" s="692"/>
      <c r="K96" s="692"/>
      <c r="L96" s="692"/>
      <c r="M96" s="692"/>
      <c r="N96" s="692"/>
      <c r="O96" s="692"/>
      <c r="P96" s="692"/>
      <c r="Q96" s="692"/>
    </row>
    <row r="97" spans="1:17" ht="15" customHeight="1" x14ac:dyDescent="0.25">
      <c r="A97" s="728">
        <f t="shared" si="4"/>
        <v>88.495575221238937</v>
      </c>
      <c r="B97" s="87" t="s">
        <v>2676</v>
      </c>
      <c r="C97" s="87" t="s">
        <v>30</v>
      </c>
      <c r="D97" s="87">
        <v>10000</v>
      </c>
      <c r="E97" s="87">
        <v>113</v>
      </c>
      <c r="F97" s="563">
        <f t="shared" si="5"/>
        <v>10000</v>
      </c>
      <c r="G97" s="87">
        <f t="shared" si="3"/>
        <v>0</v>
      </c>
      <c r="H97" s="690"/>
      <c r="I97" s="693"/>
      <c r="J97" s="692"/>
      <c r="K97" s="692"/>
      <c r="L97" s="692"/>
      <c r="M97" s="692"/>
      <c r="N97" s="692"/>
      <c r="O97" s="692"/>
      <c r="P97" s="692"/>
      <c r="Q97" s="692"/>
    </row>
    <row r="98" spans="1:17" ht="15" customHeight="1" x14ac:dyDescent="0.25">
      <c r="A98" s="728">
        <f t="shared" si="4"/>
        <v>87.86610878661088</v>
      </c>
      <c r="B98" s="87" t="s">
        <v>2676</v>
      </c>
      <c r="C98" s="87">
        <v>4365</v>
      </c>
      <c r="D98" s="87">
        <v>21000</v>
      </c>
      <c r="E98" s="87">
        <v>239</v>
      </c>
      <c r="F98" s="563">
        <f t="shared" si="5"/>
        <v>21000</v>
      </c>
      <c r="G98" s="87">
        <f t="shared" si="3"/>
        <v>0</v>
      </c>
      <c r="H98" s="690"/>
      <c r="I98" s="693"/>
      <c r="J98" s="692"/>
      <c r="K98" s="692"/>
      <c r="L98" s="692"/>
      <c r="M98" s="692"/>
      <c r="N98" s="692"/>
      <c r="O98" s="692"/>
      <c r="P98" s="692"/>
      <c r="Q98" s="692"/>
    </row>
    <row r="99" spans="1:17" ht="15" customHeight="1" x14ac:dyDescent="0.25">
      <c r="A99" s="728">
        <f t="shared" si="4"/>
        <v>87.786259541984734</v>
      </c>
      <c r="B99" s="87" t="s">
        <v>2676</v>
      </c>
      <c r="C99" s="87" t="s">
        <v>2677</v>
      </c>
      <c r="D99" s="87">
        <v>23000</v>
      </c>
      <c r="E99" s="87">
        <v>262</v>
      </c>
      <c r="F99" s="563">
        <f t="shared" si="5"/>
        <v>23000</v>
      </c>
      <c r="G99" s="87">
        <f t="shared" si="3"/>
        <v>0</v>
      </c>
      <c r="H99" s="690"/>
      <c r="I99" s="693"/>
      <c r="J99" s="692"/>
      <c r="K99" s="692"/>
      <c r="L99" s="692"/>
      <c r="M99" s="692"/>
      <c r="N99" s="692"/>
      <c r="O99" s="692"/>
      <c r="P99" s="692"/>
      <c r="Q99" s="692"/>
    </row>
    <row r="100" spans="1:17" ht="15" customHeight="1" x14ac:dyDescent="0.25">
      <c r="A100" s="728">
        <f t="shared" si="4"/>
        <v>87.976539589442808</v>
      </c>
      <c r="B100" s="87" t="s">
        <v>2676</v>
      </c>
      <c r="C100" s="87" t="s">
        <v>2678</v>
      </c>
      <c r="D100" s="87">
        <v>30000</v>
      </c>
      <c r="E100" s="87">
        <v>341</v>
      </c>
      <c r="F100" s="563">
        <f t="shared" si="5"/>
        <v>30000</v>
      </c>
      <c r="G100" s="87">
        <f t="shared" si="3"/>
        <v>0</v>
      </c>
      <c r="H100" s="690"/>
      <c r="I100" s="693"/>
      <c r="J100" s="692"/>
      <c r="K100" s="692"/>
      <c r="L100" s="692"/>
      <c r="M100" s="692"/>
      <c r="N100" s="692"/>
      <c r="O100" s="692"/>
      <c r="P100" s="692"/>
      <c r="Q100" s="692"/>
    </row>
    <row r="101" spans="1:17" ht="15" customHeight="1" x14ac:dyDescent="0.25">
      <c r="A101" s="728">
        <f t="shared" si="4"/>
        <v>88.235294117647058</v>
      </c>
      <c r="B101" s="87" t="s">
        <v>2676</v>
      </c>
      <c r="C101" s="87" t="s">
        <v>2679</v>
      </c>
      <c r="D101" s="87">
        <v>15000</v>
      </c>
      <c r="E101" s="87">
        <v>170</v>
      </c>
      <c r="F101" s="563">
        <f t="shared" si="5"/>
        <v>15000</v>
      </c>
      <c r="G101" s="87">
        <f t="shared" si="3"/>
        <v>0</v>
      </c>
      <c r="H101" s="690"/>
      <c r="I101" s="693"/>
      <c r="J101" s="692"/>
      <c r="K101" s="692"/>
      <c r="L101" s="692"/>
      <c r="M101" s="692"/>
      <c r="N101" s="692"/>
      <c r="O101" s="692"/>
      <c r="P101" s="692"/>
      <c r="Q101" s="692"/>
    </row>
    <row r="102" spans="1:17" ht="15" customHeight="1" x14ac:dyDescent="0.25">
      <c r="A102" s="728">
        <f t="shared" si="4"/>
        <v>88.105726872246692</v>
      </c>
      <c r="B102" s="87" t="s">
        <v>2676</v>
      </c>
      <c r="C102" s="87" t="s">
        <v>2680</v>
      </c>
      <c r="D102" s="87">
        <v>20000</v>
      </c>
      <c r="E102" s="87">
        <v>227</v>
      </c>
      <c r="F102" s="563">
        <f t="shared" si="5"/>
        <v>20000</v>
      </c>
      <c r="G102" s="87">
        <f t="shared" si="3"/>
        <v>0</v>
      </c>
      <c r="H102" s="690"/>
      <c r="I102" s="693"/>
      <c r="J102" s="692"/>
      <c r="K102" s="692"/>
      <c r="L102" s="692"/>
      <c r="M102" s="692"/>
      <c r="N102" s="692"/>
      <c r="O102" s="692"/>
      <c r="P102" s="692"/>
      <c r="Q102" s="692"/>
    </row>
    <row r="103" spans="1:17" ht="15" customHeight="1" x14ac:dyDescent="0.25">
      <c r="A103" s="728">
        <f t="shared" si="4"/>
        <v>87.976539589442808</v>
      </c>
      <c r="B103" s="87" t="s">
        <v>2676</v>
      </c>
      <c r="C103" s="87" t="s">
        <v>2681</v>
      </c>
      <c r="D103" s="87">
        <v>30000</v>
      </c>
      <c r="E103" s="87">
        <v>341</v>
      </c>
      <c r="F103" s="563">
        <f t="shared" si="5"/>
        <v>30000</v>
      </c>
      <c r="G103" s="87">
        <f t="shared" si="3"/>
        <v>0</v>
      </c>
      <c r="H103" s="690"/>
      <c r="I103" s="693"/>
      <c r="J103" s="692"/>
      <c r="K103" s="692"/>
      <c r="L103" s="692"/>
      <c r="M103" s="692"/>
      <c r="N103" s="692"/>
      <c r="O103" s="692"/>
      <c r="P103" s="692"/>
      <c r="Q103" s="692"/>
    </row>
    <row r="104" spans="1:17" ht="15" customHeight="1" x14ac:dyDescent="0.25">
      <c r="A104" s="728">
        <f t="shared" si="4"/>
        <v>87.947882736156359</v>
      </c>
      <c r="B104" s="87" t="s">
        <v>2676</v>
      </c>
      <c r="C104" s="87" t="s">
        <v>2682</v>
      </c>
      <c r="D104" s="87">
        <v>27000</v>
      </c>
      <c r="E104" s="87">
        <v>307</v>
      </c>
      <c r="F104" s="563">
        <f t="shared" si="5"/>
        <v>27000</v>
      </c>
      <c r="G104" s="87">
        <f t="shared" si="3"/>
        <v>0</v>
      </c>
      <c r="H104" s="690"/>
      <c r="I104" s="693"/>
      <c r="J104" s="692"/>
      <c r="K104" s="692"/>
      <c r="L104" s="692"/>
      <c r="M104" s="692"/>
      <c r="N104" s="692"/>
      <c r="O104" s="692"/>
      <c r="P104" s="692"/>
      <c r="Q104" s="692"/>
    </row>
    <row r="105" spans="1:17" ht="15" customHeight="1" x14ac:dyDescent="0.25">
      <c r="A105" s="728">
        <f t="shared" si="4"/>
        <v>87.947882736156359</v>
      </c>
      <c r="B105" s="87" t="s">
        <v>2676</v>
      </c>
      <c r="C105" s="87" t="s">
        <v>2683</v>
      </c>
      <c r="D105" s="87">
        <v>27000</v>
      </c>
      <c r="E105" s="87">
        <v>307</v>
      </c>
      <c r="F105" s="563">
        <f t="shared" si="5"/>
        <v>27000</v>
      </c>
      <c r="G105" s="87">
        <f t="shared" si="3"/>
        <v>0</v>
      </c>
      <c r="H105" s="690"/>
      <c r="I105" s="693"/>
      <c r="J105" s="692"/>
      <c r="K105" s="692"/>
      <c r="L105" s="692"/>
      <c r="M105" s="692"/>
      <c r="N105" s="692"/>
      <c r="O105" s="692"/>
      <c r="P105" s="692"/>
      <c r="Q105" s="692"/>
    </row>
    <row r="106" spans="1:17" ht="15" customHeight="1" x14ac:dyDescent="0.25">
      <c r="A106" s="728">
        <f t="shared" si="4"/>
        <v>87.912087912087912</v>
      </c>
      <c r="B106" s="87" t="s">
        <v>2676</v>
      </c>
      <c r="C106" s="87" t="s">
        <v>2684</v>
      </c>
      <c r="D106" s="87">
        <v>24000</v>
      </c>
      <c r="E106" s="87">
        <v>273</v>
      </c>
      <c r="F106" s="563">
        <f t="shared" si="5"/>
        <v>24000</v>
      </c>
      <c r="G106" s="87">
        <f t="shared" si="3"/>
        <v>0</v>
      </c>
      <c r="H106" s="690"/>
      <c r="I106" s="693"/>
      <c r="J106" s="692"/>
      <c r="K106" s="692"/>
      <c r="L106" s="692"/>
      <c r="M106" s="692"/>
      <c r="N106" s="692"/>
      <c r="O106" s="692"/>
      <c r="P106" s="692"/>
      <c r="Q106" s="692"/>
    </row>
    <row r="107" spans="1:17" ht="15" customHeight="1" x14ac:dyDescent="0.25">
      <c r="A107" s="728">
        <f t="shared" si="4"/>
        <v>88.028169014084511</v>
      </c>
      <c r="B107" s="87" t="s">
        <v>2676</v>
      </c>
      <c r="C107" s="87" t="s">
        <v>2685</v>
      </c>
      <c r="D107" s="87">
        <v>25000</v>
      </c>
      <c r="E107" s="87">
        <v>284</v>
      </c>
      <c r="F107" s="563">
        <f t="shared" si="5"/>
        <v>25000</v>
      </c>
      <c r="G107" s="87">
        <f t="shared" si="3"/>
        <v>0</v>
      </c>
      <c r="H107" s="690"/>
      <c r="I107" s="693"/>
      <c r="J107" s="692"/>
      <c r="K107" s="692"/>
      <c r="L107" s="692"/>
      <c r="M107" s="692"/>
      <c r="N107" s="692"/>
      <c r="O107" s="692"/>
      <c r="P107" s="692"/>
      <c r="Q107" s="692"/>
    </row>
    <row r="108" spans="1:17" ht="15" customHeight="1" x14ac:dyDescent="0.25">
      <c r="A108" s="728">
        <f t="shared" si="4"/>
        <v>60.185185185185183</v>
      </c>
      <c r="B108" s="87" t="s">
        <v>2686</v>
      </c>
      <c r="C108" s="87" t="s">
        <v>2372</v>
      </c>
      <c r="D108" s="87">
        <v>13000</v>
      </c>
      <c r="E108" s="87">
        <v>216</v>
      </c>
      <c r="F108" s="563">
        <f t="shared" si="5"/>
        <v>13000</v>
      </c>
      <c r="G108" s="87">
        <f t="shared" si="3"/>
        <v>0</v>
      </c>
      <c r="H108" s="690"/>
      <c r="I108" s="693"/>
      <c r="J108" s="692"/>
      <c r="K108" s="692"/>
      <c r="L108" s="692"/>
      <c r="M108" s="692"/>
      <c r="N108" s="692"/>
      <c r="O108" s="692"/>
      <c r="P108" s="692"/>
      <c r="Q108" s="692"/>
    </row>
    <row r="109" spans="1:17" ht="15" customHeight="1" x14ac:dyDescent="0.25">
      <c r="A109" s="728">
        <f t="shared" si="4"/>
        <v>121.21212121212122</v>
      </c>
      <c r="B109" s="87" t="s">
        <v>2686</v>
      </c>
      <c r="C109" s="87" t="s">
        <v>2687</v>
      </c>
      <c r="D109" s="87">
        <v>32000</v>
      </c>
      <c r="E109" s="87">
        <v>264</v>
      </c>
      <c r="F109" s="563">
        <f t="shared" si="5"/>
        <v>32000</v>
      </c>
      <c r="G109" s="87">
        <f t="shared" si="3"/>
        <v>0</v>
      </c>
      <c r="H109" s="690"/>
      <c r="I109" s="693"/>
      <c r="J109" s="692"/>
      <c r="K109" s="692"/>
      <c r="L109" s="692"/>
      <c r="M109" s="692"/>
      <c r="N109" s="692"/>
      <c r="O109" s="692"/>
      <c r="P109" s="692"/>
      <c r="Q109" s="692"/>
    </row>
    <row r="110" spans="1:17" ht="15" customHeight="1" x14ac:dyDescent="0.25">
      <c r="A110" s="728">
        <f t="shared" si="4"/>
        <v>88.028169014084511</v>
      </c>
      <c r="B110" s="87" t="s">
        <v>2686</v>
      </c>
      <c r="C110" s="87" t="s">
        <v>2688</v>
      </c>
      <c r="D110" s="87">
        <v>25000</v>
      </c>
      <c r="E110" s="87">
        <v>284</v>
      </c>
      <c r="F110" s="563">
        <f t="shared" si="5"/>
        <v>25000</v>
      </c>
      <c r="G110" s="87">
        <f t="shared" si="3"/>
        <v>0</v>
      </c>
      <c r="H110" s="690"/>
      <c r="I110" s="693"/>
      <c r="J110" s="692"/>
      <c r="K110" s="692"/>
      <c r="L110" s="692"/>
      <c r="M110" s="692"/>
      <c r="N110" s="692"/>
      <c r="O110" s="692"/>
      <c r="P110" s="692"/>
      <c r="Q110" s="692"/>
    </row>
    <row r="111" spans="1:17" ht="15" customHeight="1" x14ac:dyDescent="0.25">
      <c r="A111" s="728">
        <f t="shared" si="4"/>
        <v>87.795081967213122</v>
      </c>
      <c r="B111" s="87" t="s">
        <v>2686</v>
      </c>
      <c r="C111" s="87" t="s">
        <v>2689</v>
      </c>
      <c r="D111" s="87">
        <v>21422</v>
      </c>
      <c r="E111" s="87">
        <v>244</v>
      </c>
      <c r="F111" s="563">
        <f t="shared" si="5"/>
        <v>21422</v>
      </c>
      <c r="G111" s="87">
        <f t="shared" si="3"/>
        <v>0</v>
      </c>
      <c r="H111" s="690"/>
      <c r="I111" s="693"/>
      <c r="J111" s="692"/>
      <c r="K111" s="692"/>
      <c r="L111" s="692"/>
      <c r="M111" s="692"/>
      <c r="N111" s="692"/>
      <c r="O111" s="692"/>
      <c r="P111" s="692"/>
      <c r="Q111" s="692"/>
    </row>
    <row r="112" spans="1:17" ht="15" customHeight="1" x14ac:dyDescent="0.25">
      <c r="A112" s="728">
        <f t="shared" si="4"/>
        <v>88.028169014084511</v>
      </c>
      <c r="B112" s="87" t="s">
        <v>2686</v>
      </c>
      <c r="C112" s="87" t="s">
        <v>2690</v>
      </c>
      <c r="D112" s="87">
        <v>25000</v>
      </c>
      <c r="E112" s="87">
        <v>284</v>
      </c>
      <c r="F112" s="563">
        <f t="shared" si="5"/>
        <v>25000</v>
      </c>
      <c r="G112" s="87">
        <f t="shared" si="3"/>
        <v>0</v>
      </c>
      <c r="H112" s="690"/>
      <c r="I112" s="693"/>
      <c r="J112" s="692"/>
      <c r="K112" s="692"/>
      <c r="L112" s="692"/>
      <c r="M112" s="692"/>
      <c r="N112" s="692"/>
      <c r="O112" s="692"/>
      <c r="P112" s="692"/>
      <c r="Q112" s="692"/>
    </row>
    <row r="113" spans="1:17" ht="15" customHeight="1" x14ac:dyDescent="0.25">
      <c r="A113" s="728">
        <f t="shared" si="4"/>
        <v>87.804878048780495</v>
      </c>
      <c r="B113" s="87" t="s">
        <v>2691</v>
      </c>
      <c r="C113" s="87" t="s">
        <v>1925</v>
      </c>
      <c r="D113" s="87">
        <v>18000</v>
      </c>
      <c r="E113" s="87">
        <v>205</v>
      </c>
      <c r="F113" s="563">
        <f t="shared" si="5"/>
        <v>18000</v>
      </c>
      <c r="G113" s="87">
        <f t="shared" si="3"/>
        <v>0</v>
      </c>
      <c r="H113" s="690"/>
      <c r="I113" s="693"/>
      <c r="J113" s="692"/>
      <c r="K113" s="692"/>
      <c r="L113" s="692"/>
      <c r="M113" s="692"/>
      <c r="N113" s="692"/>
      <c r="O113" s="692"/>
      <c r="P113" s="692"/>
      <c r="Q113" s="692"/>
    </row>
    <row r="114" spans="1:17" ht="15" customHeight="1" x14ac:dyDescent="0.25">
      <c r="A114" s="728">
        <f t="shared" si="4"/>
        <v>88.082901554404145</v>
      </c>
      <c r="B114" s="87" t="s">
        <v>2691</v>
      </c>
      <c r="C114" s="87" t="s">
        <v>1923</v>
      </c>
      <c r="D114" s="87">
        <v>17000</v>
      </c>
      <c r="E114" s="87">
        <v>193</v>
      </c>
      <c r="F114" s="563">
        <f t="shared" si="5"/>
        <v>17000</v>
      </c>
      <c r="G114" s="87">
        <f t="shared" si="3"/>
        <v>0</v>
      </c>
      <c r="H114" s="690"/>
      <c r="I114" s="693"/>
      <c r="J114" s="692"/>
      <c r="K114" s="692"/>
      <c r="L114" s="692"/>
      <c r="M114" s="692"/>
      <c r="N114" s="692"/>
      <c r="O114" s="692"/>
      <c r="P114" s="692"/>
      <c r="Q114" s="692"/>
    </row>
    <row r="115" spans="1:17" ht="15" customHeight="1" x14ac:dyDescent="0.25">
      <c r="A115" s="728">
        <f t="shared" si="4"/>
        <v>88.082901554404145</v>
      </c>
      <c r="B115" s="87" t="s">
        <v>2691</v>
      </c>
      <c r="C115" s="87" t="s">
        <v>2044</v>
      </c>
      <c r="D115" s="87">
        <v>17000</v>
      </c>
      <c r="E115" s="87">
        <v>193</v>
      </c>
      <c r="F115" s="563">
        <f t="shared" si="5"/>
        <v>17000</v>
      </c>
      <c r="G115" s="87">
        <f t="shared" si="3"/>
        <v>0</v>
      </c>
      <c r="H115" s="690"/>
      <c r="I115" s="693"/>
      <c r="J115" s="692"/>
      <c r="K115" s="692"/>
      <c r="L115" s="692"/>
      <c r="M115" s="692"/>
      <c r="N115" s="692"/>
      <c r="O115" s="692"/>
      <c r="P115" s="692"/>
      <c r="Q115" s="692"/>
    </row>
    <row r="116" spans="1:17" ht="15" customHeight="1" x14ac:dyDescent="0.25">
      <c r="A116" s="728">
        <f t="shared" si="4"/>
        <v>87.798136645962728</v>
      </c>
      <c r="B116" s="87" t="s">
        <v>2691</v>
      </c>
      <c r="C116" s="87" t="s">
        <v>2692</v>
      </c>
      <c r="D116" s="87">
        <v>28271</v>
      </c>
      <c r="E116" s="87">
        <v>322</v>
      </c>
      <c r="F116" s="563">
        <f t="shared" si="5"/>
        <v>28271</v>
      </c>
      <c r="G116" s="87">
        <f t="shared" si="3"/>
        <v>0</v>
      </c>
      <c r="H116" s="690"/>
      <c r="I116" s="693"/>
      <c r="J116" s="692"/>
      <c r="K116" s="692"/>
      <c r="L116" s="692"/>
      <c r="M116" s="692"/>
      <c r="N116" s="692"/>
      <c r="O116" s="692"/>
      <c r="P116" s="692"/>
      <c r="Q116" s="692"/>
    </row>
    <row r="117" spans="1:17" ht="15" customHeight="1" x14ac:dyDescent="0.25">
      <c r="A117" s="728">
        <f t="shared" si="4"/>
        <v>87.804878048780495</v>
      </c>
      <c r="B117" s="87" t="s">
        <v>2691</v>
      </c>
      <c r="C117" s="87" t="s">
        <v>2693</v>
      </c>
      <c r="D117" s="87">
        <v>18000</v>
      </c>
      <c r="E117" s="87">
        <v>205</v>
      </c>
      <c r="F117" s="563">
        <f t="shared" si="5"/>
        <v>18000</v>
      </c>
      <c r="G117" s="87">
        <f t="shared" si="3"/>
        <v>0</v>
      </c>
      <c r="H117" s="690"/>
      <c r="I117" s="693"/>
      <c r="J117" s="692"/>
      <c r="K117" s="692"/>
      <c r="L117" s="692"/>
      <c r="M117" s="692"/>
      <c r="N117" s="692"/>
      <c r="O117" s="692"/>
      <c r="P117" s="692"/>
      <c r="Q117" s="692"/>
    </row>
    <row r="118" spans="1:17" ht="15" customHeight="1" x14ac:dyDescent="0.25">
      <c r="A118" s="728">
        <f t="shared" si="4"/>
        <v>87.804878048780495</v>
      </c>
      <c r="B118" s="87" t="s">
        <v>2691</v>
      </c>
      <c r="C118" s="87" t="s">
        <v>2694</v>
      </c>
      <c r="D118" s="87">
        <v>18000</v>
      </c>
      <c r="E118" s="87">
        <v>205</v>
      </c>
      <c r="F118" s="563">
        <f t="shared" si="5"/>
        <v>18000</v>
      </c>
      <c r="G118" s="87">
        <f t="shared" si="3"/>
        <v>0</v>
      </c>
      <c r="H118" s="690"/>
      <c r="I118" s="693"/>
      <c r="J118" s="692"/>
      <c r="K118" s="692"/>
      <c r="L118" s="692"/>
      <c r="M118" s="692"/>
      <c r="N118" s="692"/>
      <c r="O118" s="692"/>
      <c r="P118" s="692"/>
      <c r="Q118" s="692"/>
    </row>
    <row r="119" spans="1:17" ht="15" customHeight="1" x14ac:dyDescent="0.25">
      <c r="A119" s="728">
        <f t="shared" si="4"/>
        <v>88</v>
      </c>
      <c r="B119" s="87" t="s">
        <v>2691</v>
      </c>
      <c r="C119" s="87" t="s">
        <v>2695</v>
      </c>
      <c r="D119" s="87">
        <v>22000</v>
      </c>
      <c r="E119" s="87">
        <v>250</v>
      </c>
      <c r="F119" s="563">
        <f t="shared" si="5"/>
        <v>22000</v>
      </c>
      <c r="G119" s="87">
        <f t="shared" si="3"/>
        <v>0</v>
      </c>
      <c r="H119" s="690"/>
      <c r="I119" s="693"/>
      <c r="J119" s="692"/>
      <c r="K119" s="692"/>
      <c r="L119" s="692"/>
      <c r="M119" s="692"/>
      <c r="N119" s="692"/>
      <c r="O119" s="692"/>
      <c r="P119" s="692"/>
      <c r="Q119" s="692"/>
    </row>
    <row r="120" spans="1:17" ht="15" customHeight="1" x14ac:dyDescent="0.25">
      <c r="A120" s="728">
        <f t="shared" si="4"/>
        <v>87.947882736156359</v>
      </c>
      <c r="B120" s="87" t="s">
        <v>2691</v>
      </c>
      <c r="C120" s="87" t="s">
        <v>2696</v>
      </c>
      <c r="D120" s="87">
        <v>27000</v>
      </c>
      <c r="E120" s="87">
        <v>307</v>
      </c>
      <c r="F120" s="563">
        <f t="shared" si="5"/>
        <v>27000</v>
      </c>
      <c r="G120" s="87">
        <f t="shared" si="3"/>
        <v>0</v>
      </c>
      <c r="H120" s="690"/>
      <c r="I120" s="693"/>
      <c r="J120" s="692"/>
      <c r="K120" s="692"/>
      <c r="L120" s="692"/>
      <c r="M120" s="692"/>
      <c r="N120" s="692"/>
      <c r="O120" s="692"/>
      <c r="P120" s="692"/>
      <c r="Q120" s="692"/>
    </row>
    <row r="121" spans="1:17" ht="15" customHeight="1" x14ac:dyDescent="0.25">
      <c r="A121" s="728">
        <f t="shared" si="4"/>
        <v>87.804878048780495</v>
      </c>
      <c r="B121" s="87" t="s">
        <v>2697</v>
      </c>
      <c r="C121" s="87" t="s">
        <v>2406</v>
      </c>
      <c r="D121" s="87">
        <v>18000</v>
      </c>
      <c r="E121" s="87">
        <v>205</v>
      </c>
      <c r="F121" s="563">
        <f t="shared" si="5"/>
        <v>18000</v>
      </c>
      <c r="G121" s="87">
        <f t="shared" si="3"/>
        <v>0</v>
      </c>
      <c r="H121" s="690"/>
      <c r="I121" s="693"/>
      <c r="J121" s="692"/>
      <c r="K121" s="692"/>
      <c r="L121" s="692"/>
      <c r="M121" s="692"/>
      <c r="N121" s="692"/>
      <c r="O121" s="692"/>
      <c r="P121" s="692"/>
      <c r="Q121" s="692"/>
    </row>
    <row r="122" spans="1:17" ht="15" customHeight="1" x14ac:dyDescent="0.25">
      <c r="A122" s="728">
        <f t="shared" si="4"/>
        <v>87.774294670846402</v>
      </c>
      <c r="B122" s="87" t="s">
        <v>2697</v>
      </c>
      <c r="C122" s="87" t="s">
        <v>2698</v>
      </c>
      <c r="D122" s="87">
        <v>28000</v>
      </c>
      <c r="E122" s="87">
        <v>319</v>
      </c>
      <c r="F122" s="563">
        <f t="shared" si="5"/>
        <v>28000</v>
      </c>
      <c r="G122" s="87">
        <f t="shared" si="3"/>
        <v>0</v>
      </c>
      <c r="H122" s="690"/>
      <c r="I122" s="693"/>
      <c r="J122" s="692"/>
      <c r="K122" s="692"/>
      <c r="L122" s="692"/>
      <c r="M122" s="692"/>
      <c r="N122" s="692"/>
      <c r="O122" s="692"/>
      <c r="P122" s="692"/>
      <c r="Q122" s="692"/>
    </row>
    <row r="123" spans="1:17" ht="15" customHeight="1" x14ac:dyDescent="0.25">
      <c r="A123" s="728">
        <f t="shared" si="4"/>
        <v>87.774294670846402</v>
      </c>
      <c r="B123" s="87" t="s">
        <v>2697</v>
      </c>
      <c r="C123" s="87" t="s">
        <v>1968</v>
      </c>
      <c r="D123" s="87">
        <v>28000</v>
      </c>
      <c r="E123" s="87">
        <v>319</v>
      </c>
      <c r="F123" s="563">
        <f t="shared" si="5"/>
        <v>28000</v>
      </c>
      <c r="G123" s="87">
        <f t="shared" si="3"/>
        <v>0</v>
      </c>
      <c r="H123" s="690"/>
      <c r="I123" s="693"/>
      <c r="J123" s="692"/>
      <c r="K123" s="692"/>
      <c r="L123" s="692"/>
      <c r="M123" s="692"/>
      <c r="N123" s="692"/>
      <c r="O123" s="692"/>
      <c r="P123" s="692"/>
      <c r="Q123" s="692"/>
    </row>
    <row r="124" spans="1:17" ht="15" customHeight="1" x14ac:dyDescent="0.25">
      <c r="A124" s="728">
        <f t="shared" si="4"/>
        <v>87.804878048780495</v>
      </c>
      <c r="B124" s="87" t="s">
        <v>2697</v>
      </c>
      <c r="C124" s="87" t="s">
        <v>2699</v>
      </c>
      <c r="D124" s="87">
        <v>18000</v>
      </c>
      <c r="E124" s="87">
        <v>205</v>
      </c>
      <c r="F124" s="563">
        <f t="shared" si="5"/>
        <v>18000</v>
      </c>
      <c r="G124" s="87">
        <f t="shared" si="3"/>
        <v>0</v>
      </c>
      <c r="H124" s="690"/>
      <c r="I124" s="693"/>
      <c r="J124" s="692"/>
      <c r="K124" s="692"/>
      <c r="L124" s="692"/>
      <c r="M124" s="692"/>
      <c r="N124" s="692"/>
      <c r="O124" s="692"/>
      <c r="P124" s="692"/>
      <c r="Q124" s="692"/>
    </row>
    <row r="125" spans="1:17" ht="15" customHeight="1" x14ac:dyDescent="0.25">
      <c r="A125" s="728">
        <f t="shared" si="4"/>
        <v>87.804878048780495</v>
      </c>
      <c r="B125" s="87" t="s">
        <v>2697</v>
      </c>
      <c r="C125" s="87" t="s">
        <v>2360</v>
      </c>
      <c r="D125" s="87">
        <v>18000</v>
      </c>
      <c r="E125" s="87">
        <v>205</v>
      </c>
      <c r="F125" s="563">
        <f t="shared" si="5"/>
        <v>18000</v>
      </c>
      <c r="G125" s="87">
        <f t="shared" si="3"/>
        <v>0</v>
      </c>
      <c r="H125" s="690"/>
      <c r="I125" s="693"/>
      <c r="J125" s="692"/>
      <c r="K125" s="692"/>
      <c r="L125" s="692"/>
      <c r="M125" s="692"/>
      <c r="N125" s="692"/>
      <c r="O125" s="692"/>
      <c r="P125" s="692"/>
      <c r="Q125" s="692"/>
    </row>
    <row r="126" spans="1:17" ht="15" customHeight="1" x14ac:dyDescent="0.25">
      <c r="A126" s="728">
        <f t="shared" si="4"/>
        <v>87.962962962962962</v>
      </c>
      <c r="B126" s="87" t="s">
        <v>2697</v>
      </c>
      <c r="C126" s="87" t="s">
        <v>2700</v>
      </c>
      <c r="D126" s="87">
        <v>19000</v>
      </c>
      <c r="E126" s="573">
        <v>216</v>
      </c>
      <c r="F126" s="563">
        <f t="shared" si="5"/>
        <v>19000</v>
      </c>
      <c r="G126" s="87">
        <f t="shared" si="3"/>
        <v>0</v>
      </c>
      <c r="H126" s="690"/>
      <c r="I126" s="693"/>
      <c r="J126" s="692"/>
      <c r="K126" s="692"/>
      <c r="L126" s="692"/>
      <c r="M126" s="692"/>
      <c r="N126" s="692"/>
      <c r="O126" s="692"/>
      <c r="P126" s="692"/>
      <c r="Q126" s="692"/>
    </row>
    <row r="127" spans="1:17" ht="15" customHeight="1" x14ac:dyDescent="0.25">
      <c r="A127" s="728">
        <f t="shared" si="4"/>
        <v>87.912087912087912</v>
      </c>
      <c r="B127" s="87" t="s">
        <v>2697</v>
      </c>
      <c r="C127" s="87" t="s">
        <v>2701</v>
      </c>
      <c r="D127" s="87">
        <v>24000</v>
      </c>
      <c r="E127" s="573">
        <v>273</v>
      </c>
      <c r="F127" s="563">
        <f t="shared" si="5"/>
        <v>24000</v>
      </c>
      <c r="G127" s="87">
        <f t="shared" si="3"/>
        <v>0</v>
      </c>
      <c r="H127" s="690"/>
      <c r="I127" s="693"/>
      <c r="J127" s="692"/>
      <c r="K127" s="692"/>
      <c r="L127" s="692"/>
      <c r="M127" s="692"/>
      <c r="N127" s="692"/>
      <c r="O127" s="692"/>
      <c r="P127" s="692"/>
      <c r="Q127" s="692"/>
    </row>
    <row r="128" spans="1:17" ht="15" customHeight="1" x14ac:dyDescent="0.25">
      <c r="A128" s="728">
        <f t="shared" si="4"/>
        <v>74.074074074074076</v>
      </c>
      <c r="B128" s="87" t="s">
        <v>2697</v>
      </c>
      <c r="C128" s="87" t="s">
        <v>17</v>
      </c>
      <c r="D128" s="87">
        <v>2000</v>
      </c>
      <c r="E128" s="573">
        <v>27</v>
      </c>
      <c r="F128" s="563">
        <f t="shared" si="5"/>
        <v>2000</v>
      </c>
      <c r="G128" s="87">
        <f t="shared" si="3"/>
        <v>0</v>
      </c>
      <c r="H128" s="690"/>
      <c r="I128" s="693"/>
      <c r="J128" s="692"/>
      <c r="K128" s="692"/>
      <c r="L128" s="692"/>
      <c r="M128" s="692"/>
      <c r="N128" s="692"/>
      <c r="O128" s="692"/>
      <c r="P128" s="692"/>
      <c r="Q128" s="692"/>
    </row>
    <row r="129" spans="1:17" ht="15" customHeight="1" x14ac:dyDescent="0.25">
      <c r="A129" s="728">
        <f t="shared" si="4"/>
        <v>88.105726872246692</v>
      </c>
      <c r="B129" s="87" t="s">
        <v>2702</v>
      </c>
      <c r="C129" s="87" t="s">
        <v>2130</v>
      </c>
      <c r="D129" s="87">
        <v>20000</v>
      </c>
      <c r="E129" s="573">
        <v>227</v>
      </c>
      <c r="F129" s="563">
        <f t="shared" si="5"/>
        <v>20000</v>
      </c>
      <c r="G129" s="87">
        <f t="shared" si="3"/>
        <v>0</v>
      </c>
      <c r="H129" s="690"/>
      <c r="I129" s="693"/>
      <c r="J129" s="692"/>
      <c r="K129" s="692"/>
      <c r="L129" s="692"/>
      <c r="M129" s="692"/>
      <c r="N129" s="692"/>
      <c r="O129" s="692"/>
      <c r="P129" s="692"/>
      <c r="Q129" s="692"/>
    </row>
    <row r="130" spans="1:17" ht="15" customHeight="1" x14ac:dyDescent="0.25">
      <c r="A130" s="728">
        <f t="shared" si="4"/>
        <v>88.105726872246692</v>
      </c>
      <c r="B130" s="87" t="s">
        <v>2702</v>
      </c>
      <c r="C130" s="87" t="s">
        <v>2703</v>
      </c>
      <c r="D130" s="87">
        <v>20000</v>
      </c>
      <c r="E130" s="573">
        <v>227</v>
      </c>
      <c r="F130" s="563">
        <f t="shared" si="5"/>
        <v>20000</v>
      </c>
      <c r="G130" s="87">
        <f t="shared" si="3"/>
        <v>0</v>
      </c>
      <c r="H130" s="690"/>
      <c r="I130" s="693"/>
      <c r="J130" s="692"/>
      <c r="K130" s="692"/>
      <c r="L130" s="692"/>
      <c r="M130" s="692"/>
      <c r="N130" s="692"/>
      <c r="O130" s="692"/>
      <c r="P130" s="692"/>
      <c r="Q130" s="692"/>
    </row>
    <row r="131" spans="1:17" ht="15" customHeight="1" x14ac:dyDescent="0.25">
      <c r="A131" s="728">
        <f t="shared" si="4"/>
        <v>87.912087912087912</v>
      </c>
      <c r="B131" s="87" t="s">
        <v>2702</v>
      </c>
      <c r="C131" s="87" t="s">
        <v>30</v>
      </c>
      <c r="D131" s="87">
        <v>8000</v>
      </c>
      <c r="E131" s="573">
        <v>91</v>
      </c>
      <c r="F131" s="563">
        <f t="shared" si="5"/>
        <v>8000</v>
      </c>
      <c r="G131" s="87">
        <f t="shared" si="3"/>
        <v>0</v>
      </c>
      <c r="H131" s="690"/>
      <c r="I131" s="693"/>
      <c r="J131" s="692"/>
      <c r="K131" s="692"/>
      <c r="L131" s="692"/>
      <c r="M131" s="692"/>
      <c r="N131" s="692"/>
      <c r="O131" s="692"/>
      <c r="P131" s="692"/>
      <c r="Q131" s="692"/>
    </row>
    <row r="132" spans="1:17" ht="15" customHeight="1" x14ac:dyDescent="0.25">
      <c r="A132" s="728">
        <f t="shared" si="4"/>
        <v>87.976539589442808</v>
      </c>
      <c r="B132" s="87" t="s">
        <v>2702</v>
      </c>
      <c r="C132" s="87" t="s">
        <v>2704</v>
      </c>
      <c r="D132" s="87">
        <v>30000</v>
      </c>
      <c r="E132" s="573">
        <v>341</v>
      </c>
      <c r="F132" s="563">
        <f t="shared" si="5"/>
        <v>30000</v>
      </c>
      <c r="G132" s="87">
        <f t="shared" si="3"/>
        <v>0</v>
      </c>
      <c r="H132" s="690"/>
      <c r="I132" s="693"/>
      <c r="J132" s="692"/>
      <c r="K132" s="692"/>
      <c r="L132" s="692"/>
      <c r="M132" s="692"/>
      <c r="N132" s="692"/>
      <c r="O132" s="692"/>
      <c r="P132" s="692"/>
      <c r="Q132" s="692"/>
    </row>
    <row r="133" spans="1:17" ht="15" customHeight="1" x14ac:dyDescent="0.25">
      <c r="A133" s="728">
        <f t="shared" si="4"/>
        <v>92.391304347826093</v>
      </c>
      <c r="B133" s="87" t="s">
        <v>2702</v>
      </c>
      <c r="C133" s="87" t="s">
        <v>1855</v>
      </c>
      <c r="D133" s="87">
        <v>17000</v>
      </c>
      <c r="E133" s="573">
        <v>184</v>
      </c>
      <c r="F133" s="563">
        <f t="shared" si="5"/>
        <v>17000</v>
      </c>
      <c r="G133" s="87">
        <f t="shared" si="3"/>
        <v>0</v>
      </c>
      <c r="H133" s="690"/>
      <c r="I133" s="693"/>
      <c r="J133" s="692"/>
      <c r="K133" s="692"/>
      <c r="L133" s="692"/>
      <c r="M133" s="692"/>
      <c r="N133" s="692"/>
      <c r="O133" s="692"/>
      <c r="P133" s="692"/>
      <c r="Q133" s="692"/>
    </row>
    <row r="134" spans="1:17" ht="15" customHeight="1" x14ac:dyDescent="0.25">
      <c r="A134" s="728">
        <f t="shared" si="4"/>
        <v>87.962962962962962</v>
      </c>
      <c r="B134" s="87" t="s">
        <v>2702</v>
      </c>
      <c r="C134" s="87" t="s">
        <v>2705</v>
      </c>
      <c r="D134" s="87">
        <v>19000</v>
      </c>
      <c r="E134" s="573">
        <v>216</v>
      </c>
      <c r="F134" s="563">
        <f t="shared" si="5"/>
        <v>19000</v>
      </c>
      <c r="G134" s="87">
        <f t="shared" si="3"/>
        <v>0</v>
      </c>
      <c r="H134" s="690"/>
      <c r="I134" s="693"/>
      <c r="J134" s="692"/>
      <c r="K134" s="692"/>
      <c r="L134" s="692"/>
      <c r="M134" s="692"/>
      <c r="N134" s="692"/>
      <c r="O134" s="692"/>
      <c r="P134" s="692"/>
      <c r="Q134" s="692"/>
    </row>
    <row r="135" spans="1:17" ht="15" customHeight="1" x14ac:dyDescent="0.25">
      <c r="A135" s="728">
        <f t="shared" ref="A135:A198" si="6">D135/E135</f>
        <v>88.105726872246692</v>
      </c>
      <c r="B135" s="87" t="s">
        <v>2702</v>
      </c>
      <c r="C135" s="87" t="s">
        <v>2706</v>
      </c>
      <c r="D135" s="87">
        <v>20000</v>
      </c>
      <c r="E135" s="573">
        <v>227</v>
      </c>
      <c r="F135" s="563">
        <f t="shared" ref="F135:F198" si="7">D135</f>
        <v>20000</v>
      </c>
      <c r="G135" s="87">
        <f t="shared" si="3"/>
        <v>0</v>
      </c>
      <c r="H135" s="690"/>
      <c r="I135" s="693"/>
      <c r="J135" s="692"/>
      <c r="K135" s="692"/>
      <c r="L135" s="692"/>
      <c r="M135" s="692"/>
      <c r="N135" s="692"/>
      <c r="O135" s="692"/>
      <c r="P135" s="692"/>
      <c r="Q135" s="692"/>
    </row>
    <row r="136" spans="1:17" ht="15" customHeight="1" x14ac:dyDescent="0.25">
      <c r="A136" s="728">
        <f t="shared" si="6"/>
        <v>92.592592592592581</v>
      </c>
      <c r="B136" s="87" t="s">
        <v>2702</v>
      </c>
      <c r="C136" s="87" t="s">
        <v>66</v>
      </c>
      <c r="D136" s="87">
        <v>100</v>
      </c>
      <c r="E136" s="573">
        <v>1.08</v>
      </c>
      <c r="F136" s="563">
        <f t="shared" si="7"/>
        <v>100</v>
      </c>
      <c r="G136" s="87">
        <f t="shared" ref="G136:G325" si="8">D136-F136</f>
        <v>0</v>
      </c>
      <c r="H136" s="690"/>
      <c r="I136" s="693"/>
      <c r="J136" s="692"/>
      <c r="K136" s="692"/>
      <c r="L136" s="692"/>
      <c r="M136" s="692"/>
      <c r="N136" s="692"/>
      <c r="O136" s="692"/>
      <c r="P136" s="692"/>
      <c r="Q136" s="692"/>
    </row>
    <row r="137" spans="1:17" ht="15" customHeight="1" x14ac:dyDescent="0.25">
      <c r="A137" s="728">
        <f t="shared" si="6"/>
        <v>88.495575221238937</v>
      </c>
      <c r="B137" s="87" t="s">
        <v>2707</v>
      </c>
      <c r="C137" s="87">
        <v>645</v>
      </c>
      <c r="D137" s="87">
        <v>10000</v>
      </c>
      <c r="E137" s="573">
        <v>113</v>
      </c>
      <c r="F137" s="563">
        <f t="shared" si="7"/>
        <v>10000</v>
      </c>
      <c r="G137" s="87">
        <f t="shared" si="8"/>
        <v>0</v>
      </c>
      <c r="H137" s="690"/>
      <c r="I137" s="693"/>
      <c r="J137" s="692"/>
      <c r="K137" s="692"/>
      <c r="L137" s="692"/>
      <c r="M137" s="692"/>
      <c r="N137" s="692"/>
      <c r="O137" s="692"/>
      <c r="P137" s="692"/>
      <c r="Q137" s="692"/>
    </row>
    <row r="138" spans="1:17" ht="15" customHeight="1" x14ac:dyDescent="0.25">
      <c r="A138" s="728">
        <f t="shared" si="6"/>
        <v>97.222222222222214</v>
      </c>
      <c r="B138" s="87" t="s">
        <v>2707</v>
      </c>
      <c r="C138" s="87" t="s">
        <v>66</v>
      </c>
      <c r="D138" s="87">
        <v>210</v>
      </c>
      <c r="E138" s="573">
        <v>2.16</v>
      </c>
      <c r="F138" s="563">
        <f t="shared" si="7"/>
        <v>210</v>
      </c>
      <c r="G138" s="87">
        <f t="shared" si="8"/>
        <v>0</v>
      </c>
      <c r="H138" s="690"/>
      <c r="I138" s="693"/>
      <c r="J138" s="692"/>
      <c r="K138" s="692"/>
      <c r="L138" s="692"/>
      <c r="M138" s="692"/>
      <c r="N138" s="692"/>
      <c r="O138" s="692"/>
      <c r="P138" s="692"/>
      <c r="Q138" s="692"/>
    </row>
    <row r="139" spans="1:17" ht="15" customHeight="1" x14ac:dyDescent="0.25">
      <c r="A139" s="728">
        <f t="shared" si="6"/>
        <v>88.888888888888886</v>
      </c>
      <c r="B139" s="87" t="s">
        <v>2707</v>
      </c>
      <c r="C139" s="87" t="s">
        <v>2074</v>
      </c>
      <c r="D139" s="87">
        <v>20000</v>
      </c>
      <c r="E139" s="573">
        <v>225</v>
      </c>
      <c r="F139" s="563">
        <f t="shared" si="7"/>
        <v>20000</v>
      </c>
      <c r="G139" s="87">
        <f t="shared" si="8"/>
        <v>0</v>
      </c>
      <c r="H139" s="690"/>
      <c r="I139" s="693"/>
      <c r="J139" s="692"/>
      <c r="K139" s="692"/>
      <c r="L139" s="692"/>
      <c r="M139" s="692"/>
      <c r="N139" s="692"/>
      <c r="O139" s="692"/>
      <c r="P139" s="692"/>
      <c r="Q139" s="692"/>
    </row>
    <row r="140" spans="1:17" ht="15" customHeight="1" x14ac:dyDescent="0.25">
      <c r="A140" s="728">
        <f t="shared" si="6"/>
        <v>87.786259541984734</v>
      </c>
      <c r="B140" s="87" t="s">
        <v>2707</v>
      </c>
      <c r="C140" s="87" t="s">
        <v>2543</v>
      </c>
      <c r="D140" s="87">
        <v>23000</v>
      </c>
      <c r="E140" s="573">
        <v>262</v>
      </c>
      <c r="F140" s="563">
        <f t="shared" si="7"/>
        <v>23000</v>
      </c>
      <c r="G140" s="87">
        <f t="shared" si="8"/>
        <v>0</v>
      </c>
      <c r="H140" s="690"/>
      <c r="I140" s="693"/>
      <c r="J140" s="692"/>
      <c r="K140" s="692"/>
      <c r="L140" s="692"/>
      <c r="M140" s="692"/>
      <c r="N140" s="692"/>
      <c r="O140" s="692"/>
      <c r="P140" s="692"/>
      <c r="Q140" s="692"/>
    </row>
    <row r="141" spans="1:17" ht="15" customHeight="1" x14ac:dyDescent="0.25">
      <c r="A141" s="728">
        <f t="shared" si="6"/>
        <v>88.028169014084511</v>
      </c>
      <c r="B141" s="87" t="s">
        <v>2707</v>
      </c>
      <c r="C141" s="87" t="s">
        <v>2708</v>
      </c>
      <c r="D141" s="87">
        <v>25000</v>
      </c>
      <c r="E141" s="573">
        <v>284</v>
      </c>
      <c r="F141" s="563">
        <f t="shared" si="7"/>
        <v>25000</v>
      </c>
      <c r="G141" s="87">
        <f t="shared" si="8"/>
        <v>0</v>
      </c>
      <c r="H141" s="690"/>
      <c r="I141" s="693"/>
      <c r="J141" s="692"/>
      <c r="K141" s="692"/>
      <c r="L141" s="692"/>
      <c r="M141" s="692"/>
      <c r="N141" s="692"/>
      <c r="O141" s="692"/>
      <c r="P141" s="692"/>
      <c r="Q141" s="692"/>
    </row>
    <row r="142" spans="1:17" ht="15" customHeight="1" x14ac:dyDescent="0.25">
      <c r="A142" s="728">
        <f t="shared" si="6"/>
        <v>88</v>
      </c>
      <c r="B142" s="87" t="s">
        <v>2707</v>
      </c>
      <c r="C142" s="87" t="s">
        <v>2630</v>
      </c>
      <c r="D142" s="87">
        <v>22000</v>
      </c>
      <c r="E142" s="573">
        <v>250</v>
      </c>
      <c r="F142" s="563">
        <f t="shared" si="7"/>
        <v>22000</v>
      </c>
      <c r="G142" s="87">
        <f t="shared" si="8"/>
        <v>0</v>
      </c>
      <c r="H142" s="690"/>
      <c r="I142" s="693"/>
      <c r="J142" s="692"/>
      <c r="K142" s="692"/>
      <c r="L142" s="692"/>
      <c r="M142" s="692"/>
      <c r="N142" s="692"/>
      <c r="O142" s="692"/>
      <c r="P142" s="692"/>
      <c r="Q142" s="692"/>
    </row>
    <row r="143" spans="1:17" ht="15" customHeight="1" x14ac:dyDescent="0.25">
      <c r="A143" s="728">
        <f t="shared" si="6"/>
        <v>88.105726872246692</v>
      </c>
      <c r="B143" s="87" t="s">
        <v>2707</v>
      </c>
      <c r="C143" s="87" t="s">
        <v>2194</v>
      </c>
      <c r="D143" s="87">
        <v>20000</v>
      </c>
      <c r="E143" s="573">
        <v>227</v>
      </c>
      <c r="F143" s="563">
        <f t="shared" si="7"/>
        <v>20000</v>
      </c>
      <c r="G143" s="87">
        <f t="shared" si="8"/>
        <v>0</v>
      </c>
      <c r="H143" s="690"/>
      <c r="I143" s="693"/>
      <c r="J143" s="692"/>
      <c r="K143" s="692"/>
      <c r="L143" s="692"/>
      <c r="M143" s="692"/>
      <c r="N143" s="692"/>
      <c r="O143" s="692"/>
      <c r="P143" s="692"/>
      <c r="Q143" s="692"/>
    </row>
    <row r="144" spans="1:17" ht="15" customHeight="1" x14ac:dyDescent="0.25">
      <c r="A144" s="728">
        <f t="shared" si="6"/>
        <v>87.804878048780495</v>
      </c>
      <c r="B144" s="87" t="s">
        <v>2707</v>
      </c>
      <c r="C144" s="87" t="s">
        <v>2709</v>
      </c>
      <c r="D144" s="87">
        <v>18000</v>
      </c>
      <c r="E144" s="573">
        <v>205</v>
      </c>
      <c r="F144" s="563">
        <f t="shared" si="7"/>
        <v>18000</v>
      </c>
      <c r="G144" s="87">
        <f t="shared" si="8"/>
        <v>0</v>
      </c>
      <c r="H144" s="690"/>
      <c r="I144" s="693"/>
      <c r="J144" s="692"/>
      <c r="K144" s="692"/>
      <c r="L144" s="692"/>
      <c r="M144" s="692"/>
      <c r="N144" s="692"/>
      <c r="O144" s="692"/>
      <c r="P144" s="692"/>
      <c r="Q144" s="692"/>
    </row>
    <row r="145" spans="1:17" ht="15" customHeight="1" x14ac:dyDescent="0.25">
      <c r="A145" s="728">
        <f t="shared" si="6"/>
        <v>88.028169014084511</v>
      </c>
      <c r="B145" s="87" t="s">
        <v>2707</v>
      </c>
      <c r="C145" s="87" t="s">
        <v>2710</v>
      </c>
      <c r="D145" s="87">
        <v>25000</v>
      </c>
      <c r="E145" s="573">
        <v>284</v>
      </c>
      <c r="F145" s="563">
        <f t="shared" si="7"/>
        <v>25000</v>
      </c>
      <c r="G145" s="87">
        <f t="shared" si="8"/>
        <v>0</v>
      </c>
      <c r="H145" s="690"/>
      <c r="I145" s="693"/>
      <c r="J145" s="692"/>
      <c r="K145" s="692"/>
      <c r="L145" s="692"/>
      <c r="M145" s="692"/>
      <c r="N145" s="692"/>
      <c r="O145" s="692"/>
      <c r="P145" s="692"/>
      <c r="Q145" s="692"/>
    </row>
    <row r="146" spans="1:17" ht="15" customHeight="1" x14ac:dyDescent="0.25">
      <c r="A146" s="728">
        <f t="shared" si="6"/>
        <v>88</v>
      </c>
      <c r="B146" s="87" t="s">
        <v>2707</v>
      </c>
      <c r="C146" s="87" t="s">
        <v>2711</v>
      </c>
      <c r="D146" s="87">
        <v>22000</v>
      </c>
      <c r="E146" s="573">
        <v>250</v>
      </c>
      <c r="F146" s="563">
        <f t="shared" si="7"/>
        <v>22000</v>
      </c>
      <c r="G146" s="87">
        <f t="shared" si="8"/>
        <v>0</v>
      </c>
      <c r="H146" s="690"/>
      <c r="I146" s="693"/>
      <c r="J146" s="692"/>
      <c r="K146" s="692"/>
      <c r="L146" s="692"/>
      <c r="M146" s="692"/>
      <c r="N146" s="692"/>
      <c r="O146" s="692"/>
      <c r="P146" s="692"/>
      <c r="Q146" s="692"/>
    </row>
    <row r="147" spans="1:17" ht="15" customHeight="1" x14ac:dyDescent="0.25">
      <c r="A147" s="728">
        <f t="shared" si="6"/>
        <v>87.804878048780495</v>
      </c>
      <c r="B147" s="87" t="s">
        <v>2712</v>
      </c>
      <c r="C147" s="87" t="s">
        <v>2190</v>
      </c>
      <c r="D147" s="87">
        <v>18000</v>
      </c>
      <c r="E147" s="573">
        <v>205</v>
      </c>
      <c r="F147" s="563">
        <f t="shared" si="7"/>
        <v>18000</v>
      </c>
      <c r="G147" s="87">
        <f t="shared" si="8"/>
        <v>0</v>
      </c>
      <c r="H147" s="690"/>
      <c r="I147" s="693"/>
      <c r="J147" s="692"/>
      <c r="K147" s="692"/>
      <c r="L147" s="692"/>
      <c r="M147" s="692"/>
      <c r="N147" s="692"/>
      <c r="O147" s="692"/>
      <c r="P147" s="692"/>
      <c r="Q147" s="692"/>
    </row>
    <row r="148" spans="1:17" ht="15" customHeight="1" x14ac:dyDescent="0.25">
      <c r="A148" s="728">
        <f t="shared" si="6"/>
        <v>88.235294117647058</v>
      </c>
      <c r="B148" s="87" t="s">
        <v>2712</v>
      </c>
      <c r="C148" s="87" t="s">
        <v>2713</v>
      </c>
      <c r="D148" s="87">
        <v>12000</v>
      </c>
      <c r="E148" s="573">
        <v>136</v>
      </c>
      <c r="F148" s="563">
        <f t="shared" si="7"/>
        <v>12000</v>
      </c>
      <c r="G148" s="87">
        <f t="shared" si="8"/>
        <v>0</v>
      </c>
      <c r="H148" s="690"/>
      <c r="I148" s="693"/>
      <c r="J148" s="692"/>
      <c r="K148" s="692"/>
      <c r="L148" s="692"/>
      <c r="M148" s="692"/>
      <c r="N148" s="692"/>
      <c r="O148" s="692"/>
      <c r="P148" s="692"/>
      <c r="Q148" s="692"/>
    </row>
    <row r="149" spans="1:17" ht="15" customHeight="1" x14ac:dyDescent="0.25">
      <c r="A149" s="728">
        <f t="shared" si="6"/>
        <v>90</v>
      </c>
      <c r="B149" s="87" t="s">
        <v>2712</v>
      </c>
      <c r="C149" s="87" t="s">
        <v>2714</v>
      </c>
      <c r="D149" s="87">
        <v>27000</v>
      </c>
      <c r="E149" s="573">
        <v>300</v>
      </c>
      <c r="F149" s="563">
        <f t="shared" si="7"/>
        <v>27000</v>
      </c>
      <c r="G149" s="87">
        <f t="shared" si="8"/>
        <v>0</v>
      </c>
      <c r="H149" s="690"/>
      <c r="I149" s="693"/>
      <c r="J149" s="692"/>
      <c r="K149" s="692"/>
      <c r="L149" s="692"/>
      <c r="M149" s="692"/>
      <c r="N149" s="692"/>
      <c r="O149" s="692"/>
      <c r="P149" s="692"/>
      <c r="Q149" s="692"/>
    </row>
    <row r="150" spans="1:17" ht="15" customHeight="1" x14ac:dyDescent="0.25">
      <c r="A150" s="728">
        <f t="shared" si="6"/>
        <v>87.939698492462313</v>
      </c>
      <c r="B150" s="87" t="s">
        <v>2712</v>
      </c>
      <c r="C150" s="87" t="s">
        <v>2715</v>
      </c>
      <c r="D150" s="87">
        <v>35000</v>
      </c>
      <c r="E150" s="573">
        <v>398</v>
      </c>
      <c r="F150" s="563">
        <f t="shared" si="7"/>
        <v>35000</v>
      </c>
      <c r="G150" s="87">
        <f t="shared" si="8"/>
        <v>0</v>
      </c>
      <c r="H150" s="690"/>
      <c r="I150" s="693"/>
      <c r="J150" s="692"/>
      <c r="K150" s="692"/>
      <c r="L150" s="692"/>
      <c r="M150" s="692"/>
      <c r="N150" s="692"/>
      <c r="O150" s="692"/>
      <c r="P150" s="692"/>
      <c r="Q150" s="692"/>
    </row>
    <row r="151" spans="1:17" ht="15" customHeight="1" x14ac:dyDescent="0.25">
      <c r="A151" s="728">
        <f t="shared" si="6"/>
        <v>88.050314465408803</v>
      </c>
      <c r="B151" s="87" t="s">
        <v>2712</v>
      </c>
      <c r="C151" s="87" t="s">
        <v>2716</v>
      </c>
      <c r="D151" s="87">
        <v>14000</v>
      </c>
      <c r="E151" s="573">
        <v>159</v>
      </c>
      <c r="F151" s="563">
        <f t="shared" si="7"/>
        <v>14000</v>
      </c>
      <c r="G151" s="87">
        <f t="shared" si="8"/>
        <v>0</v>
      </c>
      <c r="H151" s="690"/>
      <c r="I151" s="693"/>
      <c r="J151" s="692"/>
      <c r="K151" s="692"/>
      <c r="L151" s="692"/>
      <c r="M151" s="692"/>
      <c r="N151" s="692"/>
      <c r="O151" s="692"/>
      <c r="P151" s="692"/>
      <c r="Q151" s="692"/>
    </row>
    <row r="152" spans="1:17" ht="15" customHeight="1" x14ac:dyDescent="0.25">
      <c r="A152" s="728">
        <f t="shared" si="6"/>
        <v>88.328075709779185</v>
      </c>
      <c r="B152" s="87" t="s">
        <v>2712</v>
      </c>
      <c r="C152" s="87" t="s">
        <v>2717</v>
      </c>
      <c r="D152" s="87">
        <v>28000</v>
      </c>
      <c r="E152" s="573">
        <v>317</v>
      </c>
      <c r="F152" s="563">
        <f t="shared" si="7"/>
        <v>28000</v>
      </c>
      <c r="G152" s="87">
        <f t="shared" si="8"/>
        <v>0</v>
      </c>
      <c r="H152" s="690"/>
      <c r="I152" s="693"/>
      <c r="J152" s="692"/>
      <c r="K152" s="692"/>
      <c r="L152" s="692"/>
      <c r="M152" s="692"/>
      <c r="N152" s="692"/>
      <c r="O152" s="692"/>
      <c r="P152" s="692"/>
      <c r="Q152" s="692"/>
    </row>
    <row r="153" spans="1:17" ht="15" customHeight="1" x14ac:dyDescent="0.25">
      <c r="A153" s="728">
        <f t="shared" si="6"/>
        <v>88.028169014084511</v>
      </c>
      <c r="B153" s="87" t="s">
        <v>2712</v>
      </c>
      <c r="C153" s="87" t="s">
        <v>2718</v>
      </c>
      <c r="D153" s="87">
        <v>25000</v>
      </c>
      <c r="E153" s="573">
        <v>284</v>
      </c>
      <c r="F153" s="563">
        <f t="shared" si="7"/>
        <v>25000</v>
      </c>
      <c r="G153" s="87">
        <f t="shared" si="8"/>
        <v>0</v>
      </c>
      <c r="H153" s="690"/>
      <c r="I153" s="693"/>
      <c r="J153" s="692"/>
      <c r="K153" s="692"/>
      <c r="L153" s="692"/>
      <c r="M153" s="692"/>
      <c r="N153" s="692"/>
      <c r="O153" s="692"/>
      <c r="P153" s="692"/>
      <c r="Q153" s="692"/>
    </row>
    <row r="154" spans="1:17" ht="15" customHeight="1" x14ac:dyDescent="0.25">
      <c r="A154" s="728">
        <f t="shared" si="6"/>
        <v>90.497737556561091</v>
      </c>
      <c r="B154" s="87" t="s">
        <v>2712</v>
      </c>
      <c r="C154" s="87" t="s">
        <v>2719</v>
      </c>
      <c r="D154" s="87">
        <v>20000</v>
      </c>
      <c r="E154" s="573">
        <v>221</v>
      </c>
      <c r="F154" s="563">
        <f t="shared" si="7"/>
        <v>20000</v>
      </c>
      <c r="G154" s="87">
        <f t="shared" si="8"/>
        <v>0</v>
      </c>
      <c r="H154" s="690"/>
      <c r="I154" s="693"/>
      <c r="J154" s="692"/>
      <c r="K154" s="692"/>
      <c r="L154" s="692"/>
      <c r="M154" s="692"/>
      <c r="N154" s="692"/>
      <c r="O154" s="692"/>
      <c r="P154" s="692"/>
      <c r="Q154" s="692"/>
    </row>
    <row r="155" spans="1:17" ht="15" customHeight="1" x14ac:dyDescent="0.25">
      <c r="A155" s="728">
        <f t="shared" si="6"/>
        <v>130.76923076923077</v>
      </c>
      <c r="B155" s="87" t="s">
        <v>2712</v>
      </c>
      <c r="C155" s="87" t="s">
        <v>1926</v>
      </c>
      <c r="D155" s="87">
        <v>17000</v>
      </c>
      <c r="E155" s="573">
        <v>130</v>
      </c>
      <c r="F155" s="563">
        <f t="shared" si="7"/>
        <v>17000</v>
      </c>
      <c r="G155" s="87">
        <f t="shared" si="8"/>
        <v>0</v>
      </c>
      <c r="H155" s="690"/>
      <c r="I155" s="693"/>
      <c r="J155" s="692"/>
      <c r="K155" s="692"/>
      <c r="L155" s="692"/>
      <c r="M155" s="692"/>
      <c r="N155" s="692"/>
      <c r="O155" s="692"/>
      <c r="P155" s="692"/>
      <c r="Q155" s="692"/>
    </row>
    <row r="156" spans="1:17" ht="15" customHeight="1" x14ac:dyDescent="0.25">
      <c r="A156" s="728">
        <f t="shared" si="6"/>
        <v>87.912087912087912</v>
      </c>
      <c r="B156" s="87" t="s">
        <v>2712</v>
      </c>
      <c r="C156" s="87" t="s">
        <v>1924</v>
      </c>
      <c r="D156" s="87">
        <v>16000</v>
      </c>
      <c r="E156" s="573">
        <v>182</v>
      </c>
      <c r="F156" s="563">
        <f t="shared" si="7"/>
        <v>16000</v>
      </c>
      <c r="G156" s="87">
        <f t="shared" si="8"/>
        <v>0</v>
      </c>
      <c r="H156" s="690"/>
      <c r="I156" s="693"/>
      <c r="J156" s="692"/>
      <c r="K156" s="692"/>
      <c r="L156" s="692"/>
      <c r="M156" s="692"/>
      <c r="N156" s="692"/>
      <c r="O156" s="692"/>
      <c r="P156" s="692"/>
      <c r="Q156" s="692"/>
    </row>
    <row r="157" spans="1:17" ht="15" customHeight="1" x14ac:dyDescent="0.25">
      <c r="A157" s="728">
        <f t="shared" si="6"/>
        <v>88.235294117647058</v>
      </c>
      <c r="B157" s="87" t="s">
        <v>2712</v>
      </c>
      <c r="C157" s="87" t="s">
        <v>2720</v>
      </c>
      <c r="D157" s="87">
        <v>15000</v>
      </c>
      <c r="E157" s="573">
        <v>170</v>
      </c>
      <c r="F157" s="563">
        <f t="shared" si="7"/>
        <v>15000</v>
      </c>
      <c r="G157" s="87">
        <f t="shared" si="8"/>
        <v>0</v>
      </c>
      <c r="H157" s="690"/>
      <c r="I157" s="693"/>
      <c r="J157" s="692"/>
      <c r="K157" s="692"/>
      <c r="L157" s="692"/>
      <c r="M157" s="692"/>
      <c r="N157" s="692"/>
      <c r="O157" s="692"/>
      <c r="P157" s="692"/>
      <c r="Q157" s="692"/>
    </row>
    <row r="158" spans="1:17" ht="15" customHeight="1" x14ac:dyDescent="0.25">
      <c r="A158" s="728">
        <f t="shared" si="6"/>
        <v>87.912087912087912</v>
      </c>
      <c r="B158" s="87" t="s">
        <v>2712</v>
      </c>
      <c r="C158" s="87" t="s">
        <v>2721</v>
      </c>
      <c r="D158" s="87">
        <v>24000</v>
      </c>
      <c r="E158" s="573">
        <v>273</v>
      </c>
      <c r="F158" s="563">
        <f t="shared" si="7"/>
        <v>24000</v>
      </c>
      <c r="G158" s="87">
        <f t="shared" si="8"/>
        <v>0</v>
      </c>
      <c r="H158" s="690"/>
      <c r="I158" s="693"/>
      <c r="J158" s="692"/>
      <c r="K158" s="692"/>
      <c r="L158" s="692"/>
      <c r="M158" s="692"/>
      <c r="N158" s="692"/>
      <c r="O158" s="692"/>
      <c r="P158" s="692"/>
      <c r="Q158" s="692"/>
    </row>
    <row r="159" spans="1:17" ht="15" customHeight="1" x14ac:dyDescent="0.25">
      <c r="A159" s="728">
        <f t="shared" si="6"/>
        <v>88.105726872246692</v>
      </c>
      <c r="B159" s="87" t="s">
        <v>2712</v>
      </c>
      <c r="C159" s="87" t="s">
        <v>2722</v>
      </c>
      <c r="D159" s="87">
        <v>20000</v>
      </c>
      <c r="E159" s="573">
        <v>227</v>
      </c>
      <c r="F159" s="563">
        <f t="shared" si="7"/>
        <v>20000</v>
      </c>
      <c r="G159" s="87">
        <f t="shared" si="8"/>
        <v>0</v>
      </c>
      <c r="H159" s="690"/>
      <c r="I159" s="693"/>
      <c r="J159" s="692"/>
      <c r="K159" s="692"/>
      <c r="L159" s="692"/>
      <c r="M159" s="692"/>
      <c r="N159" s="692"/>
      <c r="O159" s="692"/>
      <c r="P159" s="692"/>
      <c r="Q159" s="692"/>
    </row>
    <row r="160" spans="1:17" ht="15" customHeight="1" x14ac:dyDescent="0.25">
      <c r="A160" s="728">
        <f t="shared" si="6"/>
        <v>101.85185185185185</v>
      </c>
      <c r="B160" s="87" t="s">
        <v>2712</v>
      </c>
      <c r="C160" s="87" t="s">
        <v>66</v>
      </c>
      <c r="D160" s="87">
        <v>110</v>
      </c>
      <c r="E160" s="573">
        <v>1.08</v>
      </c>
      <c r="F160" s="563">
        <f t="shared" si="7"/>
        <v>110</v>
      </c>
      <c r="G160" s="87">
        <f t="shared" si="8"/>
        <v>0</v>
      </c>
      <c r="H160" s="690"/>
      <c r="I160" s="693"/>
      <c r="J160" s="692"/>
      <c r="K160" s="692"/>
      <c r="L160" s="692"/>
      <c r="M160" s="692"/>
      <c r="N160" s="692"/>
      <c r="O160" s="692"/>
      <c r="P160" s="692"/>
      <c r="Q160" s="692"/>
    </row>
    <row r="161" spans="1:17" ht="15" customHeight="1" x14ac:dyDescent="0.25">
      <c r="A161" s="728">
        <f t="shared" si="6"/>
        <v>88.235294117647058</v>
      </c>
      <c r="B161" s="87" t="s">
        <v>2723</v>
      </c>
      <c r="C161" s="87" t="s">
        <v>1642</v>
      </c>
      <c r="D161" s="87">
        <v>15000</v>
      </c>
      <c r="E161" s="573">
        <v>170</v>
      </c>
      <c r="F161" s="563">
        <f t="shared" si="7"/>
        <v>15000</v>
      </c>
      <c r="G161" s="87">
        <f t="shared" si="8"/>
        <v>0</v>
      </c>
      <c r="H161" s="690"/>
      <c r="I161" s="693"/>
      <c r="J161" s="692"/>
      <c r="K161" s="692"/>
      <c r="L161" s="692"/>
      <c r="M161" s="692"/>
      <c r="N161" s="692"/>
      <c r="O161" s="692"/>
      <c r="P161" s="692"/>
      <c r="Q161" s="692"/>
    </row>
    <row r="162" spans="1:17" ht="15" customHeight="1" x14ac:dyDescent="0.25">
      <c r="A162" s="728">
        <f t="shared" si="6"/>
        <v>88.235294117647058</v>
      </c>
      <c r="B162" s="87" t="s">
        <v>2723</v>
      </c>
      <c r="C162" s="87" t="s">
        <v>2340</v>
      </c>
      <c r="D162" s="87">
        <v>15000</v>
      </c>
      <c r="E162" s="573">
        <v>170</v>
      </c>
      <c r="F162" s="563">
        <f t="shared" si="7"/>
        <v>15000</v>
      </c>
      <c r="G162" s="87">
        <f t="shared" si="8"/>
        <v>0</v>
      </c>
      <c r="H162" s="690"/>
      <c r="I162" s="693"/>
      <c r="J162" s="692"/>
      <c r="K162" s="692"/>
      <c r="L162" s="692"/>
      <c r="M162" s="692"/>
      <c r="N162" s="692"/>
      <c r="O162" s="692"/>
      <c r="P162" s="692"/>
      <c r="Q162" s="692"/>
    </row>
    <row r="163" spans="1:17" ht="15" customHeight="1" x14ac:dyDescent="0.25">
      <c r="A163" s="728">
        <f t="shared" si="6"/>
        <v>87.786259541984734</v>
      </c>
      <c r="B163" s="87" t="s">
        <v>2723</v>
      </c>
      <c r="C163" s="87" t="s">
        <v>2543</v>
      </c>
      <c r="D163" s="87">
        <v>23000</v>
      </c>
      <c r="E163" s="573">
        <v>262</v>
      </c>
      <c r="F163" s="563">
        <f t="shared" si="7"/>
        <v>23000</v>
      </c>
      <c r="G163" s="87">
        <f t="shared" si="8"/>
        <v>0</v>
      </c>
      <c r="H163" s="690"/>
      <c r="I163" s="693"/>
      <c r="J163" s="692"/>
      <c r="K163" s="692"/>
      <c r="L163" s="692"/>
      <c r="M163" s="692"/>
      <c r="N163" s="692"/>
      <c r="O163" s="692"/>
      <c r="P163" s="692"/>
      <c r="Q163" s="692"/>
    </row>
    <row r="164" spans="1:17" ht="15" customHeight="1" x14ac:dyDescent="0.25">
      <c r="A164" s="728">
        <f t="shared" si="6"/>
        <v>258.06451612903226</v>
      </c>
      <c r="B164" s="87" t="s">
        <v>2723</v>
      </c>
      <c r="C164" s="87" t="s">
        <v>30</v>
      </c>
      <c r="D164" s="87">
        <v>8000</v>
      </c>
      <c r="E164" s="573">
        <v>31</v>
      </c>
      <c r="F164" s="563">
        <f t="shared" si="7"/>
        <v>8000</v>
      </c>
      <c r="G164" s="87">
        <f t="shared" si="8"/>
        <v>0</v>
      </c>
      <c r="H164" s="690"/>
      <c r="I164" s="693"/>
      <c r="J164" s="692"/>
      <c r="K164" s="692"/>
      <c r="L164" s="692"/>
      <c r="M164" s="692"/>
      <c r="N164" s="692"/>
      <c r="O164" s="692"/>
      <c r="P164" s="692"/>
      <c r="Q164" s="692"/>
    </row>
    <row r="165" spans="1:17" ht="15" customHeight="1" x14ac:dyDescent="0.25">
      <c r="A165" s="728">
        <f t="shared" si="6"/>
        <v>89.285714285714292</v>
      </c>
      <c r="B165" s="87" t="s">
        <v>2723</v>
      </c>
      <c r="C165" s="87" t="s">
        <v>17</v>
      </c>
      <c r="D165" s="87">
        <v>2500</v>
      </c>
      <c r="E165" s="573">
        <v>28</v>
      </c>
      <c r="F165" s="563">
        <f t="shared" si="7"/>
        <v>2500</v>
      </c>
      <c r="G165" s="87">
        <f t="shared" si="8"/>
        <v>0</v>
      </c>
      <c r="H165" s="690"/>
      <c r="I165" s="693"/>
      <c r="J165" s="692"/>
      <c r="K165" s="692"/>
      <c r="L165" s="692"/>
      <c r="M165" s="692"/>
      <c r="N165" s="692"/>
      <c r="O165" s="692"/>
      <c r="P165" s="692"/>
      <c r="Q165" s="692"/>
    </row>
    <row r="166" spans="1:17" ht="15" customHeight="1" x14ac:dyDescent="0.25">
      <c r="A166" s="728">
        <f t="shared" si="6"/>
        <v>96.330275229357795</v>
      </c>
      <c r="B166" s="87" t="s">
        <v>2723</v>
      </c>
      <c r="C166" s="87" t="s">
        <v>66</v>
      </c>
      <c r="D166" s="87">
        <v>210</v>
      </c>
      <c r="E166" s="573">
        <v>2.1800000000000002</v>
      </c>
      <c r="F166" s="563">
        <f t="shared" si="7"/>
        <v>210</v>
      </c>
      <c r="G166" s="87">
        <f t="shared" si="8"/>
        <v>0</v>
      </c>
      <c r="H166" s="690"/>
      <c r="I166" s="693"/>
      <c r="J166" s="692"/>
      <c r="K166" s="692"/>
      <c r="L166" s="692"/>
      <c r="M166" s="692"/>
      <c r="N166" s="692"/>
      <c r="O166" s="692"/>
      <c r="P166" s="692"/>
      <c r="Q166" s="692"/>
    </row>
    <row r="167" spans="1:17" ht="15" customHeight="1" x14ac:dyDescent="0.25">
      <c r="A167" s="728">
        <f t="shared" si="6"/>
        <v>101.85185185185185</v>
      </c>
      <c r="B167" s="87" t="s">
        <v>2723</v>
      </c>
      <c r="C167" s="87" t="s">
        <v>66</v>
      </c>
      <c r="D167" s="87">
        <v>110</v>
      </c>
      <c r="E167" s="573">
        <v>1.08</v>
      </c>
      <c r="F167" s="563">
        <f t="shared" si="7"/>
        <v>110</v>
      </c>
      <c r="G167" s="87">
        <f t="shared" si="8"/>
        <v>0</v>
      </c>
      <c r="H167" s="690"/>
      <c r="I167" s="693"/>
      <c r="J167" s="692"/>
      <c r="K167" s="692"/>
      <c r="L167" s="692"/>
      <c r="M167" s="692"/>
      <c r="N167" s="692"/>
      <c r="O167" s="692"/>
      <c r="P167" s="692"/>
      <c r="Q167" s="692"/>
    </row>
    <row r="168" spans="1:17" ht="15" customHeight="1" x14ac:dyDescent="0.25">
      <c r="A168" s="728">
        <f t="shared" si="6"/>
        <v>87.786259541984734</v>
      </c>
      <c r="B168" s="87" t="s">
        <v>2723</v>
      </c>
      <c r="C168" s="87" t="s">
        <v>2724</v>
      </c>
      <c r="D168" s="87">
        <v>23000</v>
      </c>
      <c r="E168" s="573">
        <v>262</v>
      </c>
      <c r="F168" s="563">
        <f t="shared" si="7"/>
        <v>23000</v>
      </c>
      <c r="G168" s="87">
        <f t="shared" si="8"/>
        <v>0</v>
      </c>
      <c r="H168" s="690"/>
      <c r="I168" s="693"/>
      <c r="J168" s="692"/>
      <c r="K168" s="692"/>
      <c r="L168" s="692"/>
      <c r="M168" s="692"/>
      <c r="N168" s="692"/>
      <c r="O168" s="692"/>
      <c r="P168" s="692"/>
      <c r="Q168" s="692"/>
    </row>
    <row r="169" spans="1:17" ht="15" customHeight="1" x14ac:dyDescent="0.25">
      <c r="A169" s="728">
        <f t="shared" si="6"/>
        <v>87.804878048780495</v>
      </c>
      <c r="B169" s="87" t="s">
        <v>2723</v>
      </c>
      <c r="C169" s="87" t="s">
        <v>2134</v>
      </c>
      <c r="D169" s="87">
        <v>18000</v>
      </c>
      <c r="E169" s="573">
        <v>205</v>
      </c>
      <c r="F169" s="563">
        <f t="shared" si="7"/>
        <v>18000</v>
      </c>
      <c r="G169" s="87">
        <f t="shared" si="8"/>
        <v>0</v>
      </c>
      <c r="H169" s="690"/>
      <c r="I169" s="693"/>
      <c r="J169" s="692"/>
      <c r="K169" s="692"/>
      <c r="L169" s="692"/>
      <c r="M169" s="692"/>
      <c r="N169" s="692"/>
      <c r="O169" s="692"/>
      <c r="P169" s="692"/>
      <c r="Q169" s="692"/>
    </row>
    <row r="170" spans="1:17" ht="15" customHeight="1" x14ac:dyDescent="0.25">
      <c r="A170" s="728">
        <f t="shared" si="6"/>
        <v>88.235294117647058</v>
      </c>
      <c r="B170" s="87" t="s">
        <v>2723</v>
      </c>
      <c r="C170" s="87" t="s">
        <v>2725</v>
      </c>
      <c r="D170" s="87">
        <v>15000</v>
      </c>
      <c r="E170" s="573">
        <v>170</v>
      </c>
      <c r="F170" s="563">
        <f t="shared" si="7"/>
        <v>15000</v>
      </c>
      <c r="G170" s="87">
        <f t="shared" si="8"/>
        <v>0</v>
      </c>
      <c r="H170" s="690"/>
      <c r="I170" s="693"/>
      <c r="J170" s="692"/>
      <c r="K170" s="692"/>
      <c r="L170" s="692"/>
      <c r="M170" s="692"/>
      <c r="N170" s="692"/>
      <c r="O170" s="692"/>
      <c r="P170" s="692"/>
      <c r="Q170" s="692"/>
    </row>
    <row r="171" spans="1:17" ht="15" customHeight="1" x14ac:dyDescent="0.25">
      <c r="A171" s="728">
        <f t="shared" si="6"/>
        <v>88.105726872246692</v>
      </c>
      <c r="B171" s="87" t="s">
        <v>2723</v>
      </c>
      <c r="C171" s="555" t="s">
        <v>2726</v>
      </c>
      <c r="D171" s="563">
        <v>20000</v>
      </c>
      <c r="E171" s="573">
        <v>227</v>
      </c>
      <c r="F171" s="563">
        <f t="shared" si="7"/>
        <v>20000</v>
      </c>
      <c r="G171" s="87">
        <f t="shared" si="8"/>
        <v>0</v>
      </c>
      <c r="H171" s="690"/>
      <c r="I171" s="693"/>
      <c r="J171" s="692"/>
      <c r="K171" s="692"/>
      <c r="L171" s="692"/>
      <c r="M171" s="692"/>
      <c r="N171" s="692"/>
      <c r="O171" s="692"/>
      <c r="P171" s="692"/>
      <c r="Q171" s="692"/>
    </row>
    <row r="172" spans="1:17" ht="15" customHeight="1" x14ac:dyDescent="0.25">
      <c r="A172" s="728">
        <f t="shared" si="6"/>
        <v>88.105726872246692</v>
      </c>
      <c r="B172" s="87" t="s">
        <v>2723</v>
      </c>
      <c r="C172" s="555" t="s">
        <v>2727</v>
      </c>
      <c r="D172" s="563">
        <v>20000</v>
      </c>
      <c r="E172" s="573">
        <v>227</v>
      </c>
      <c r="F172" s="563">
        <f t="shared" si="7"/>
        <v>20000</v>
      </c>
      <c r="G172" s="87">
        <f t="shared" si="8"/>
        <v>0</v>
      </c>
      <c r="H172" s="690"/>
      <c r="I172" s="693"/>
      <c r="J172" s="692"/>
      <c r="K172" s="692"/>
      <c r="L172" s="692"/>
      <c r="M172" s="692"/>
      <c r="N172" s="692"/>
      <c r="O172" s="692"/>
      <c r="P172" s="692"/>
      <c r="Q172" s="692"/>
    </row>
    <row r="173" spans="1:17" ht="15" customHeight="1" x14ac:dyDescent="0.25">
      <c r="A173" s="728">
        <f t="shared" si="6"/>
        <v>88.028169014084511</v>
      </c>
      <c r="B173" s="87" t="s">
        <v>2723</v>
      </c>
      <c r="C173" s="555" t="s">
        <v>2073</v>
      </c>
      <c r="D173" s="563">
        <v>25000</v>
      </c>
      <c r="E173" s="573">
        <v>284</v>
      </c>
      <c r="F173" s="563">
        <f t="shared" si="7"/>
        <v>25000</v>
      </c>
      <c r="G173" s="87">
        <f t="shared" si="8"/>
        <v>0</v>
      </c>
      <c r="H173" s="690"/>
      <c r="I173" s="693"/>
      <c r="J173" s="692"/>
      <c r="K173" s="692"/>
      <c r="L173" s="692"/>
      <c r="M173" s="692"/>
      <c r="N173" s="692"/>
      <c r="O173" s="692"/>
      <c r="P173" s="692"/>
      <c r="Q173" s="692"/>
    </row>
    <row r="174" spans="1:17" ht="15" customHeight="1" x14ac:dyDescent="0.25">
      <c r="A174" s="728">
        <f t="shared" si="6"/>
        <v>88.028169014084511</v>
      </c>
      <c r="B174" s="87" t="s">
        <v>2723</v>
      </c>
      <c r="C174" s="555" t="s">
        <v>2728</v>
      </c>
      <c r="D174" s="563">
        <v>25000</v>
      </c>
      <c r="E174" s="573">
        <v>284</v>
      </c>
      <c r="F174" s="563">
        <f t="shared" si="7"/>
        <v>25000</v>
      </c>
      <c r="G174" s="87">
        <f t="shared" si="8"/>
        <v>0</v>
      </c>
      <c r="H174" s="690"/>
      <c r="I174" s="693"/>
      <c r="J174" s="692"/>
      <c r="K174" s="692"/>
      <c r="L174" s="692"/>
      <c r="M174" s="692"/>
      <c r="N174" s="692"/>
      <c r="O174" s="692"/>
      <c r="P174" s="692"/>
      <c r="Q174" s="692"/>
    </row>
    <row r="175" spans="1:17" ht="15" customHeight="1" x14ac:dyDescent="0.25">
      <c r="A175" s="728">
        <f t="shared" si="6"/>
        <v>87.786259541984734</v>
      </c>
      <c r="B175" s="87" t="s">
        <v>2723</v>
      </c>
      <c r="C175" s="555" t="s">
        <v>2729</v>
      </c>
      <c r="D175" s="563">
        <v>23000</v>
      </c>
      <c r="E175" s="573">
        <v>262</v>
      </c>
      <c r="F175" s="563">
        <f t="shared" si="7"/>
        <v>23000</v>
      </c>
      <c r="G175" s="87">
        <f t="shared" si="8"/>
        <v>0</v>
      </c>
      <c r="H175" s="690"/>
      <c r="I175" s="693"/>
      <c r="J175" s="692"/>
      <c r="K175" s="692"/>
      <c r="L175" s="692"/>
      <c r="M175" s="692"/>
      <c r="N175" s="692"/>
      <c r="O175" s="692"/>
      <c r="P175" s="692"/>
      <c r="Q175" s="692"/>
    </row>
    <row r="176" spans="1:17" ht="15" customHeight="1" x14ac:dyDescent="0.25">
      <c r="A176" s="728">
        <f t="shared" si="6"/>
        <v>89.430894308943095</v>
      </c>
      <c r="B176" s="87" t="s">
        <v>2723</v>
      </c>
      <c r="C176" s="555" t="s">
        <v>2730</v>
      </c>
      <c r="D176" s="563">
        <v>11000</v>
      </c>
      <c r="E176" s="573">
        <v>123</v>
      </c>
      <c r="F176" s="563">
        <f t="shared" si="7"/>
        <v>11000</v>
      </c>
      <c r="G176" s="87">
        <f t="shared" si="8"/>
        <v>0</v>
      </c>
      <c r="H176" s="690"/>
      <c r="I176" s="693"/>
      <c r="J176" s="692"/>
      <c r="K176" s="692"/>
      <c r="L176" s="692"/>
      <c r="M176" s="692"/>
      <c r="N176" s="692"/>
      <c r="O176" s="692"/>
      <c r="P176" s="692"/>
      <c r="Q176" s="692"/>
    </row>
    <row r="177" spans="1:17" ht="15" customHeight="1" x14ac:dyDescent="0.25">
      <c r="A177" s="728">
        <f t="shared" si="6"/>
        <v>87.837837837837839</v>
      </c>
      <c r="B177" s="87" t="s">
        <v>2731</v>
      </c>
      <c r="C177" s="555" t="s">
        <v>2732</v>
      </c>
      <c r="D177" s="563">
        <v>26000</v>
      </c>
      <c r="E177" s="573">
        <v>296</v>
      </c>
      <c r="F177" s="563">
        <f t="shared" si="7"/>
        <v>26000</v>
      </c>
      <c r="G177" s="87">
        <f t="shared" si="8"/>
        <v>0</v>
      </c>
      <c r="H177" s="690"/>
      <c r="I177" s="693"/>
      <c r="J177" s="692"/>
      <c r="K177" s="692"/>
      <c r="L177" s="692"/>
      <c r="M177" s="692"/>
      <c r="N177" s="692"/>
      <c r="O177" s="692"/>
      <c r="P177" s="692"/>
      <c r="Q177" s="692"/>
    </row>
    <row r="178" spans="1:17" ht="15" customHeight="1" x14ac:dyDescent="0.25">
      <c r="A178" s="728">
        <f t="shared" si="6"/>
        <v>87.912087912087912</v>
      </c>
      <c r="B178" s="87" t="s">
        <v>2731</v>
      </c>
      <c r="C178" s="555" t="s">
        <v>1761</v>
      </c>
      <c r="D178" s="563">
        <v>16000</v>
      </c>
      <c r="E178" s="573">
        <v>182</v>
      </c>
      <c r="F178" s="563">
        <f t="shared" si="7"/>
        <v>16000</v>
      </c>
      <c r="G178" s="87">
        <f t="shared" si="8"/>
        <v>0</v>
      </c>
      <c r="H178" s="690"/>
      <c r="I178" s="693"/>
      <c r="J178" s="692"/>
      <c r="K178" s="692"/>
      <c r="L178" s="692"/>
      <c r="M178" s="692"/>
      <c r="N178" s="692"/>
      <c r="O178" s="692"/>
      <c r="P178" s="692"/>
      <c r="Q178" s="692"/>
    </row>
    <row r="179" spans="1:17" ht="15" customHeight="1" x14ac:dyDescent="0.25">
      <c r="A179" s="728">
        <f t="shared" si="6"/>
        <v>88.235294117647058</v>
      </c>
      <c r="B179" s="87" t="s">
        <v>2731</v>
      </c>
      <c r="C179" s="555" t="s">
        <v>2733</v>
      </c>
      <c r="D179" s="563">
        <v>15000</v>
      </c>
      <c r="E179" s="574">
        <v>170</v>
      </c>
      <c r="F179" s="563">
        <f t="shared" si="7"/>
        <v>15000</v>
      </c>
      <c r="G179" s="87">
        <f t="shared" si="8"/>
        <v>0</v>
      </c>
      <c r="H179" s="690"/>
      <c r="I179" s="693"/>
      <c r="J179" s="692"/>
      <c r="K179" s="692"/>
      <c r="L179" s="692"/>
      <c r="M179" s="692"/>
      <c r="N179" s="692"/>
      <c r="O179" s="692"/>
      <c r="P179" s="692"/>
      <c r="Q179" s="692"/>
    </row>
    <row r="180" spans="1:17" ht="15" customHeight="1" x14ac:dyDescent="0.25">
      <c r="A180" s="728">
        <f t="shared" si="6"/>
        <v>88.235294117647058</v>
      </c>
      <c r="B180" s="87" t="s">
        <v>2731</v>
      </c>
      <c r="C180" s="555" t="s">
        <v>2734</v>
      </c>
      <c r="D180" s="563">
        <v>15000</v>
      </c>
      <c r="E180" s="573">
        <v>170</v>
      </c>
      <c r="F180" s="563">
        <f t="shared" si="7"/>
        <v>15000</v>
      </c>
      <c r="G180" s="87">
        <f t="shared" si="8"/>
        <v>0</v>
      </c>
      <c r="H180" s="690"/>
      <c r="I180" s="693"/>
      <c r="J180" s="692"/>
      <c r="K180" s="692"/>
      <c r="L180" s="692"/>
      <c r="M180" s="692"/>
      <c r="N180" s="692"/>
      <c r="O180" s="692"/>
      <c r="P180" s="692"/>
      <c r="Q180" s="692"/>
    </row>
    <row r="181" spans="1:17" ht="15" customHeight="1" x14ac:dyDescent="0.25">
      <c r="A181" s="728">
        <f t="shared" si="6"/>
        <v>87.912087912087912</v>
      </c>
      <c r="B181" s="87" t="s">
        <v>2731</v>
      </c>
      <c r="C181" s="555" t="s">
        <v>30</v>
      </c>
      <c r="D181" s="563">
        <v>8000</v>
      </c>
      <c r="E181" s="573">
        <v>91</v>
      </c>
      <c r="F181" s="563">
        <f t="shared" si="7"/>
        <v>8000</v>
      </c>
      <c r="G181" s="87">
        <f t="shared" si="8"/>
        <v>0</v>
      </c>
      <c r="H181" s="690"/>
      <c r="I181" s="693"/>
      <c r="J181" s="692"/>
      <c r="K181" s="692"/>
      <c r="L181" s="692"/>
      <c r="M181" s="692"/>
      <c r="N181" s="692"/>
      <c r="O181" s="692"/>
      <c r="P181" s="692"/>
      <c r="Q181" s="692"/>
    </row>
    <row r="182" spans="1:17" ht="15" customHeight="1" x14ac:dyDescent="0.25">
      <c r="A182" s="728">
        <f t="shared" si="6"/>
        <v>88.085106382978722</v>
      </c>
      <c r="B182" s="87" t="s">
        <v>2731</v>
      </c>
      <c r="C182" s="555" t="s">
        <v>2735</v>
      </c>
      <c r="D182" s="563">
        <v>20700</v>
      </c>
      <c r="E182" s="573">
        <v>235</v>
      </c>
      <c r="F182" s="563">
        <f t="shared" si="7"/>
        <v>20700</v>
      </c>
      <c r="G182" s="87">
        <f t="shared" si="8"/>
        <v>0</v>
      </c>
      <c r="H182" s="690"/>
      <c r="I182" s="693"/>
      <c r="J182" s="692"/>
      <c r="K182" s="692"/>
      <c r="L182" s="692"/>
      <c r="M182" s="692"/>
      <c r="N182" s="692"/>
      <c r="O182" s="692"/>
      <c r="P182" s="692"/>
      <c r="Q182" s="692"/>
    </row>
    <row r="183" spans="1:17" ht="15" customHeight="1" x14ac:dyDescent="0.25">
      <c r="A183" s="728">
        <f t="shared" si="6"/>
        <v>87.804878048780495</v>
      </c>
      <c r="B183" s="87" t="s">
        <v>2731</v>
      </c>
      <c r="C183" s="555" t="s">
        <v>1925</v>
      </c>
      <c r="D183" s="563">
        <v>18000</v>
      </c>
      <c r="E183" s="573">
        <v>205</v>
      </c>
      <c r="F183" s="563">
        <f t="shared" si="7"/>
        <v>18000</v>
      </c>
      <c r="G183" s="87">
        <f t="shared" si="8"/>
        <v>0</v>
      </c>
      <c r="H183" s="690"/>
      <c r="I183" s="693"/>
      <c r="J183" s="692"/>
      <c r="K183" s="692"/>
      <c r="L183" s="692"/>
      <c r="M183" s="692"/>
      <c r="N183" s="692"/>
      <c r="O183" s="692"/>
      <c r="P183" s="692"/>
      <c r="Q183" s="692"/>
    </row>
    <row r="184" spans="1:17" ht="15" customHeight="1" x14ac:dyDescent="0.25">
      <c r="A184" s="728">
        <f t="shared" si="6"/>
        <v>88.082901554404145</v>
      </c>
      <c r="B184" s="87" t="s">
        <v>2731</v>
      </c>
      <c r="C184" s="555" t="s">
        <v>1923</v>
      </c>
      <c r="D184" s="563">
        <v>17000</v>
      </c>
      <c r="E184" s="573">
        <v>193</v>
      </c>
      <c r="F184" s="563">
        <f t="shared" si="7"/>
        <v>17000</v>
      </c>
      <c r="G184" s="87">
        <f t="shared" si="8"/>
        <v>0</v>
      </c>
      <c r="H184" s="690"/>
      <c r="I184" s="693"/>
      <c r="J184" s="692"/>
      <c r="K184" s="692"/>
      <c r="L184" s="692"/>
      <c r="M184" s="692"/>
      <c r="N184" s="692"/>
      <c r="O184" s="692"/>
      <c r="P184" s="692"/>
      <c r="Q184" s="692"/>
    </row>
    <row r="185" spans="1:17" ht="15" customHeight="1" x14ac:dyDescent="0.25">
      <c r="A185" s="728">
        <f t="shared" si="6"/>
        <v>101.85185185185185</v>
      </c>
      <c r="B185" s="87" t="s">
        <v>2731</v>
      </c>
      <c r="C185" s="555" t="s">
        <v>66</v>
      </c>
      <c r="D185" s="563">
        <v>110</v>
      </c>
      <c r="E185" s="573">
        <v>1.08</v>
      </c>
      <c r="F185" s="563">
        <f t="shared" si="7"/>
        <v>110</v>
      </c>
      <c r="G185" s="87">
        <f t="shared" si="8"/>
        <v>0</v>
      </c>
      <c r="H185" s="690"/>
      <c r="I185" s="693"/>
      <c r="J185" s="692"/>
      <c r="K185" s="692"/>
      <c r="L185" s="692"/>
      <c r="M185" s="692"/>
      <c r="N185" s="692"/>
      <c r="O185" s="692"/>
      <c r="P185" s="692"/>
      <c r="Q185" s="692"/>
    </row>
    <row r="186" spans="1:17" ht="15" customHeight="1" x14ac:dyDescent="0.25">
      <c r="A186" s="728">
        <f t="shared" si="6"/>
        <v>88.028169014084511</v>
      </c>
      <c r="B186" s="87" t="s">
        <v>2731</v>
      </c>
      <c r="C186" s="555" t="s">
        <v>2736</v>
      </c>
      <c r="D186" s="563">
        <v>25000</v>
      </c>
      <c r="E186" s="573">
        <v>284</v>
      </c>
      <c r="F186" s="563">
        <f t="shared" si="7"/>
        <v>25000</v>
      </c>
      <c r="G186" s="87">
        <f t="shared" si="8"/>
        <v>0</v>
      </c>
      <c r="H186" s="690"/>
      <c r="I186" s="693"/>
      <c r="J186" s="692"/>
      <c r="K186" s="692"/>
      <c r="L186" s="692"/>
      <c r="M186" s="692"/>
      <c r="N186" s="692"/>
      <c r="O186" s="692"/>
      <c r="P186" s="692"/>
      <c r="Q186" s="692"/>
    </row>
    <row r="187" spans="1:17" ht="15" customHeight="1" x14ac:dyDescent="0.25">
      <c r="A187" s="728">
        <f t="shared" si="6"/>
        <v>87.804878048780495</v>
      </c>
      <c r="B187" s="87" t="s">
        <v>2731</v>
      </c>
      <c r="C187" s="555" t="s">
        <v>2474</v>
      </c>
      <c r="D187" s="563">
        <v>18000</v>
      </c>
      <c r="E187" s="573">
        <v>205</v>
      </c>
      <c r="F187" s="563">
        <f t="shared" si="7"/>
        <v>18000</v>
      </c>
      <c r="G187" s="87">
        <f t="shared" si="8"/>
        <v>0</v>
      </c>
      <c r="H187" s="690"/>
      <c r="I187" s="693"/>
      <c r="J187" s="692"/>
      <c r="K187" s="692"/>
      <c r="L187" s="692"/>
      <c r="M187" s="692"/>
      <c r="N187" s="692"/>
      <c r="O187" s="692"/>
      <c r="P187" s="692"/>
      <c r="Q187" s="692"/>
    </row>
    <row r="188" spans="1:17" ht="15" customHeight="1" x14ac:dyDescent="0.25">
      <c r="A188" s="728">
        <f t="shared" si="6"/>
        <v>87.976539589442808</v>
      </c>
      <c r="B188" s="87" t="s">
        <v>2731</v>
      </c>
      <c r="C188" s="555" t="s">
        <v>2737</v>
      </c>
      <c r="D188" s="563">
        <v>30000</v>
      </c>
      <c r="E188" s="573">
        <v>341</v>
      </c>
      <c r="F188" s="563">
        <f t="shared" si="7"/>
        <v>30000</v>
      </c>
      <c r="G188" s="87">
        <f t="shared" si="8"/>
        <v>0</v>
      </c>
      <c r="H188" s="690"/>
      <c r="I188" s="693"/>
      <c r="J188" s="692"/>
      <c r="K188" s="692"/>
      <c r="L188" s="692"/>
      <c r="M188" s="692"/>
      <c r="N188" s="692"/>
      <c r="O188" s="692"/>
      <c r="P188" s="692"/>
      <c r="Q188" s="692"/>
    </row>
    <row r="189" spans="1:17" ht="15" customHeight="1" x14ac:dyDescent="0.25">
      <c r="A189" s="728">
        <f t="shared" si="6"/>
        <v>87.878787878787875</v>
      </c>
      <c r="B189" s="87" t="s">
        <v>2731</v>
      </c>
      <c r="C189" s="555" t="s">
        <v>2738</v>
      </c>
      <c r="D189" s="563">
        <v>29000</v>
      </c>
      <c r="E189" s="573">
        <v>330</v>
      </c>
      <c r="F189" s="563">
        <f t="shared" si="7"/>
        <v>29000</v>
      </c>
      <c r="G189" s="87">
        <f t="shared" si="8"/>
        <v>0</v>
      </c>
      <c r="H189" s="690"/>
      <c r="I189" s="693"/>
      <c r="J189" s="692"/>
      <c r="K189" s="692"/>
      <c r="L189" s="692"/>
      <c r="M189" s="692"/>
      <c r="N189" s="692"/>
      <c r="O189" s="692"/>
      <c r="P189" s="692"/>
      <c r="Q189" s="692"/>
    </row>
    <row r="190" spans="1:17" ht="15" customHeight="1" x14ac:dyDescent="0.25">
      <c r="A190" s="728">
        <f t="shared" si="6"/>
        <v>88.105726872246692</v>
      </c>
      <c r="B190" s="87" t="s">
        <v>2739</v>
      </c>
      <c r="C190" s="555" t="s">
        <v>2740</v>
      </c>
      <c r="D190" s="563">
        <v>20000</v>
      </c>
      <c r="E190" s="573">
        <v>227</v>
      </c>
      <c r="F190" s="563">
        <f t="shared" si="7"/>
        <v>20000</v>
      </c>
      <c r="G190" s="87">
        <f t="shared" si="8"/>
        <v>0</v>
      </c>
      <c r="H190" s="690"/>
      <c r="I190" s="693"/>
      <c r="J190" s="692"/>
      <c r="K190" s="692"/>
      <c r="L190" s="692"/>
      <c r="M190" s="692"/>
      <c r="N190" s="692"/>
      <c r="O190" s="692"/>
      <c r="P190" s="692"/>
      <c r="Q190" s="692"/>
    </row>
    <row r="191" spans="1:17" ht="15" customHeight="1" x14ac:dyDescent="0.25">
      <c r="A191" s="728">
        <f t="shared" si="6"/>
        <v>87.86610878661088</v>
      </c>
      <c r="B191" s="87" t="s">
        <v>2739</v>
      </c>
      <c r="C191" s="555" t="s">
        <v>2741</v>
      </c>
      <c r="D191" s="563">
        <v>21000</v>
      </c>
      <c r="E191" s="573">
        <v>239</v>
      </c>
      <c r="F191" s="563">
        <f t="shared" si="7"/>
        <v>21000</v>
      </c>
      <c r="G191" s="87">
        <f t="shared" si="8"/>
        <v>0</v>
      </c>
      <c r="H191" s="690"/>
      <c r="I191" s="693"/>
      <c r="J191" s="692"/>
      <c r="K191" s="692"/>
      <c r="L191" s="692"/>
      <c r="M191" s="692"/>
      <c r="N191" s="692"/>
      <c r="O191" s="692"/>
      <c r="P191" s="692"/>
      <c r="Q191" s="692"/>
    </row>
    <row r="192" spans="1:17" ht="15" customHeight="1" x14ac:dyDescent="0.25">
      <c r="A192" s="728">
        <f t="shared" si="6"/>
        <v>89.887640449438209</v>
      </c>
      <c r="B192" s="87" t="s">
        <v>2739</v>
      </c>
      <c r="C192" s="555" t="s">
        <v>30</v>
      </c>
      <c r="D192" s="563">
        <v>8000</v>
      </c>
      <c r="E192" s="573">
        <v>89</v>
      </c>
      <c r="F192" s="563">
        <f t="shared" si="7"/>
        <v>8000</v>
      </c>
      <c r="G192" s="87">
        <f t="shared" si="8"/>
        <v>0</v>
      </c>
      <c r="H192" s="690"/>
      <c r="I192" s="693"/>
      <c r="J192" s="692"/>
      <c r="K192" s="692"/>
      <c r="L192" s="692"/>
      <c r="M192" s="692"/>
      <c r="N192" s="692"/>
      <c r="O192" s="692"/>
      <c r="P192" s="692"/>
      <c r="Q192" s="692"/>
    </row>
    <row r="193" spans="1:17" ht="15" customHeight="1" x14ac:dyDescent="0.25">
      <c r="A193" s="728">
        <f t="shared" si="6"/>
        <v>88.028169014084511</v>
      </c>
      <c r="B193" s="87" t="s">
        <v>2739</v>
      </c>
      <c r="C193" s="555" t="s">
        <v>2019</v>
      </c>
      <c r="D193" s="563">
        <v>25000</v>
      </c>
      <c r="E193" s="573">
        <v>284</v>
      </c>
      <c r="F193" s="563">
        <f t="shared" si="7"/>
        <v>25000</v>
      </c>
      <c r="G193" s="87">
        <f t="shared" si="8"/>
        <v>0</v>
      </c>
      <c r="H193" s="690"/>
      <c r="I193" s="693"/>
      <c r="J193" s="692"/>
      <c r="K193" s="692"/>
      <c r="L193" s="692"/>
      <c r="M193" s="692"/>
      <c r="N193" s="692"/>
      <c r="O193" s="692"/>
      <c r="P193" s="692"/>
      <c r="Q193" s="692"/>
    </row>
    <row r="194" spans="1:17" ht="15" customHeight="1" x14ac:dyDescent="0.25">
      <c r="A194" s="728">
        <f t="shared" si="6"/>
        <v>87.912087912087912</v>
      </c>
      <c r="B194" s="87" t="s">
        <v>2739</v>
      </c>
      <c r="C194" s="555" t="s">
        <v>2742</v>
      </c>
      <c r="D194" s="563">
        <v>24000</v>
      </c>
      <c r="E194" s="573">
        <v>273</v>
      </c>
      <c r="F194" s="563">
        <f t="shared" si="7"/>
        <v>24000</v>
      </c>
      <c r="G194" s="87">
        <f t="shared" si="8"/>
        <v>0</v>
      </c>
      <c r="H194" s="690"/>
      <c r="I194" s="693"/>
      <c r="J194" s="692"/>
      <c r="K194" s="692"/>
      <c r="L194" s="692"/>
      <c r="M194" s="692"/>
      <c r="N194" s="692"/>
      <c r="O194" s="692"/>
      <c r="P194" s="692"/>
      <c r="Q194" s="692"/>
    </row>
    <row r="195" spans="1:17" ht="15" customHeight="1" x14ac:dyDescent="0.25">
      <c r="A195" s="728">
        <f t="shared" si="6"/>
        <v>88.050314465408803</v>
      </c>
      <c r="B195" s="87" t="s">
        <v>2739</v>
      </c>
      <c r="C195" s="555" t="s">
        <v>2743</v>
      </c>
      <c r="D195" s="563">
        <v>14000</v>
      </c>
      <c r="E195" s="573">
        <v>159</v>
      </c>
      <c r="F195" s="563">
        <f t="shared" si="7"/>
        <v>14000</v>
      </c>
      <c r="G195" s="87">
        <f t="shared" si="8"/>
        <v>0</v>
      </c>
      <c r="H195" s="690"/>
      <c r="I195" s="693"/>
      <c r="J195" s="692"/>
      <c r="K195" s="692"/>
      <c r="L195" s="692"/>
      <c r="M195" s="692"/>
      <c r="N195" s="692"/>
      <c r="O195" s="692"/>
      <c r="P195" s="692"/>
      <c r="Q195" s="692"/>
    </row>
    <row r="196" spans="1:17" ht="15" customHeight="1" x14ac:dyDescent="0.25">
      <c r="A196" s="728">
        <f t="shared" si="6"/>
        <v>88</v>
      </c>
      <c r="B196" s="87" t="s">
        <v>2739</v>
      </c>
      <c r="C196" s="555" t="s">
        <v>2744</v>
      </c>
      <c r="D196" s="563">
        <v>22000</v>
      </c>
      <c r="E196" s="573">
        <v>250</v>
      </c>
      <c r="F196" s="563">
        <f t="shared" si="7"/>
        <v>22000</v>
      </c>
      <c r="G196" s="87">
        <f t="shared" si="8"/>
        <v>0</v>
      </c>
      <c r="H196" s="690"/>
      <c r="I196" s="693"/>
      <c r="J196" s="692"/>
      <c r="K196" s="692"/>
      <c r="L196" s="692"/>
      <c r="M196" s="692"/>
      <c r="N196" s="692"/>
      <c r="O196" s="692"/>
      <c r="P196" s="692"/>
      <c r="Q196" s="692"/>
    </row>
    <row r="197" spans="1:17" ht="15" customHeight="1" x14ac:dyDescent="0.25">
      <c r="A197" s="728">
        <f t="shared" si="6"/>
        <v>87.962962962962962</v>
      </c>
      <c r="B197" s="87" t="s">
        <v>2739</v>
      </c>
      <c r="C197" s="555" t="s">
        <v>2745</v>
      </c>
      <c r="D197" s="563">
        <v>19000</v>
      </c>
      <c r="E197" s="573">
        <v>216</v>
      </c>
      <c r="F197" s="563">
        <f t="shared" si="7"/>
        <v>19000</v>
      </c>
      <c r="G197" s="87">
        <f t="shared" si="8"/>
        <v>0</v>
      </c>
      <c r="H197" s="690"/>
      <c r="I197" s="693"/>
      <c r="J197" s="692"/>
      <c r="K197" s="692"/>
      <c r="L197" s="692"/>
      <c r="M197" s="692"/>
      <c r="N197" s="692"/>
      <c r="O197" s="692"/>
      <c r="P197" s="692"/>
      <c r="Q197" s="692"/>
    </row>
    <row r="198" spans="1:17" ht="15" customHeight="1" x14ac:dyDescent="0.25">
      <c r="A198" s="728">
        <f t="shared" si="6"/>
        <v>87.962962962962962</v>
      </c>
      <c r="B198" s="87" t="s">
        <v>2739</v>
      </c>
      <c r="C198" s="555" t="s">
        <v>2746</v>
      </c>
      <c r="D198" s="563">
        <v>19000</v>
      </c>
      <c r="E198" s="573">
        <v>216</v>
      </c>
      <c r="F198" s="563">
        <f t="shared" si="7"/>
        <v>19000</v>
      </c>
      <c r="G198" s="87">
        <f t="shared" si="8"/>
        <v>0</v>
      </c>
      <c r="H198" s="690"/>
      <c r="I198" s="693"/>
      <c r="J198" s="692"/>
      <c r="K198" s="692"/>
      <c r="L198" s="692"/>
      <c r="M198" s="692"/>
      <c r="N198" s="692"/>
      <c r="O198" s="692"/>
      <c r="P198" s="692"/>
      <c r="Q198" s="692"/>
    </row>
    <row r="199" spans="1:17" ht="15" customHeight="1" x14ac:dyDescent="0.25">
      <c r="A199" s="728">
        <f t="shared" ref="A199:A262" si="9">D199/E199</f>
        <v>87.962962962962962</v>
      </c>
      <c r="B199" s="87" t="s">
        <v>2739</v>
      </c>
      <c r="C199" s="555" t="s">
        <v>2747</v>
      </c>
      <c r="D199" s="563">
        <v>19000</v>
      </c>
      <c r="E199" s="573">
        <v>216</v>
      </c>
      <c r="F199" s="563">
        <f t="shared" ref="F199:F262" si="10">D199</f>
        <v>19000</v>
      </c>
      <c r="G199" s="87">
        <f t="shared" si="8"/>
        <v>0</v>
      </c>
      <c r="H199" s="690"/>
      <c r="I199" s="693"/>
      <c r="J199" s="692"/>
      <c r="K199" s="692"/>
      <c r="L199" s="692"/>
      <c r="M199" s="692"/>
      <c r="N199" s="692"/>
      <c r="O199" s="692"/>
      <c r="P199" s="692"/>
      <c r="Q199" s="692"/>
    </row>
    <row r="200" spans="1:17" ht="15" customHeight="1" x14ac:dyDescent="0.25">
      <c r="A200" s="728">
        <f t="shared" si="9"/>
        <v>88.105726872246692</v>
      </c>
      <c r="B200" s="87" t="s">
        <v>2748</v>
      </c>
      <c r="C200" s="555" t="s">
        <v>2490</v>
      </c>
      <c r="D200" s="563">
        <v>20000</v>
      </c>
      <c r="E200" s="573">
        <v>227</v>
      </c>
      <c r="F200" s="563">
        <f t="shared" si="10"/>
        <v>20000</v>
      </c>
      <c r="G200" s="87">
        <f t="shared" si="8"/>
        <v>0</v>
      </c>
      <c r="H200" s="690"/>
      <c r="I200" s="693"/>
      <c r="J200" s="692"/>
      <c r="K200" s="692"/>
      <c r="L200" s="692"/>
      <c r="M200" s="692"/>
      <c r="N200" s="692"/>
      <c r="O200" s="692"/>
      <c r="P200" s="692"/>
      <c r="Q200" s="692"/>
    </row>
    <row r="201" spans="1:17" ht="15" customHeight="1" x14ac:dyDescent="0.25">
      <c r="A201" s="728">
        <f t="shared" si="9"/>
        <v>88.105726872246692</v>
      </c>
      <c r="B201" s="87" t="s">
        <v>2748</v>
      </c>
      <c r="C201" s="555" t="s">
        <v>1982</v>
      </c>
      <c r="D201" s="563">
        <v>20000</v>
      </c>
      <c r="E201" s="573">
        <v>227</v>
      </c>
      <c r="F201" s="563">
        <f t="shared" si="10"/>
        <v>20000</v>
      </c>
      <c r="G201" s="87">
        <f t="shared" si="8"/>
        <v>0</v>
      </c>
      <c r="H201" s="690"/>
      <c r="I201" s="693"/>
      <c r="J201" s="692"/>
      <c r="K201" s="692"/>
      <c r="L201" s="692"/>
      <c r="M201" s="692"/>
      <c r="N201" s="692"/>
      <c r="O201" s="692"/>
      <c r="P201" s="692"/>
      <c r="Q201" s="692"/>
    </row>
    <row r="202" spans="1:17" ht="15" customHeight="1" x14ac:dyDescent="0.25">
      <c r="A202" s="728">
        <f t="shared" si="9"/>
        <v>88.082901554404145</v>
      </c>
      <c r="B202" s="87" t="s">
        <v>2748</v>
      </c>
      <c r="C202" s="555" t="s">
        <v>1855</v>
      </c>
      <c r="D202" s="563">
        <v>17000</v>
      </c>
      <c r="E202" s="573">
        <v>193</v>
      </c>
      <c r="F202" s="563">
        <f t="shared" si="10"/>
        <v>17000</v>
      </c>
      <c r="G202" s="87">
        <f t="shared" si="8"/>
        <v>0</v>
      </c>
      <c r="H202" s="690"/>
      <c r="I202" s="693"/>
      <c r="J202" s="692"/>
      <c r="K202" s="692"/>
      <c r="L202" s="692"/>
      <c r="M202" s="692"/>
      <c r="N202" s="692"/>
      <c r="O202" s="692"/>
      <c r="P202" s="692"/>
      <c r="Q202" s="692"/>
    </row>
    <row r="203" spans="1:17" ht="15" customHeight="1" x14ac:dyDescent="0.25">
      <c r="A203" s="728">
        <f t="shared" si="9"/>
        <v>97.222222222222214</v>
      </c>
      <c r="B203" s="87" t="s">
        <v>2748</v>
      </c>
      <c r="C203" s="555" t="s">
        <v>66</v>
      </c>
      <c r="D203" s="563">
        <v>210</v>
      </c>
      <c r="E203" s="573">
        <v>2.16</v>
      </c>
      <c r="F203" s="563">
        <f t="shared" si="10"/>
        <v>210</v>
      </c>
      <c r="G203" s="87">
        <f t="shared" si="8"/>
        <v>0</v>
      </c>
      <c r="H203" s="690"/>
      <c r="I203" s="693"/>
      <c r="J203" s="692"/>
      <c r="K203" s="692"/>
      <c r="L203" s="692"/>
      <c r="M203" s="692"/>
      <c r="N203" s="692"/>
      <c r="O203" s="692"/>
      <c r="P203" s="692"/>
      <c r="Q203" s="692"/>
    </row>
    <row r="204" spans="1:17" ht="15" customHeight="1" x14ac:dyDescent="0.25">
      <c r="A204" s="728">
        <f t="shared" si="9"/>
        <v>88.105726872246692</v>
      </c>
      <c r="B204" s="87" t="s">
        <v>2748</v>
      </c>
      <c r="C204" s="555" t="s">
        <v>2749</v>
      </c>
      <c r="D204" s="563">
        <v>20000</v>
      </c>
      <c r="E204" s="573">
        <v>227</v>
      </c>
      <c r="F204" s="563">
        <f t="shared" si="10"/>
        <v>20000</v>
      </c>
      <c r="G204" s="87">
        <f t="shared" si="8"/>
        <v>0</v>
      </c>
      <c r="H204" s="690"/>
      <c r="I204" s="693"/>
      <c r="J204" s="692"/>
      <c r="K204" s="692"/>
      <c r="L204" s="692"/>
      <c r="M204" s="692"/>
      <c r="N204" s="692"/>
      <c r="O204" s="692"/>
      <c r="P204" s="692"/>
      <c r="Q204" s="692"/>
    </row>
    <row r="205" spans="1:17" ht="15" customHeight="1" x14ac:dyDescent="0.25">
      <c r="A205" s="728">
        <f t="shared" si="9"/>
        <v>88.028169014084511</v>
      </c>
      <c r="B205" s="87" t="s">
        <v>2748</v>
      </c>
      <c r="C205" s="555" t="s">
        <v>2750</v>
      </c>
      <c r="D205" s="563">
        <v>25000</v>
      </c>
      <c r="E205" s="573">
        <v>284</v>
      </c>
      <c r="F205" s="563">
        <f t="shared" si="10"/>
        <v>25000</v>
      </c>
      <c r="G205" s="87">
        <f t="shared" si="8"/>
        <v>0</v>
      </c>
      <c r="H205" s="690"/>
      <c r="I205" s="693"/>
      <c r="J205" s="692"/>
      <c r="K205" s="692"/>
      <c r="L205" s="692"/>
      <c r="M205" s="692"/>
      <c r="N205" s="692"/>
      <c r="O205" s="692"/>
      <c r="P205" s="692"/>
      <c r="Q205" s="692"/>
    </row>
    <row r="206" spans="1:17" ht="15" customHeight="1" x14ac:dyDescent="0.25">
      <c r="A206" s="728">
        <f t="shared" si="9"/>
        <v>88.028169014084511</v>
      </c>
      <c r="B206" s="87" t="s">
        <v>2748</v>
      </c>
      <c r="C206" s="555">
        <v>8582</v>
      </c>
      <c r="D206" s="563">
        <v>25000</v>
      </c>
      <c r="E206" s="573">
        <v>284</v>
      </c>
      <c r="F206" s="563">
        <f t="shared" si="10"/>
        <v>25000</v>
      </c>
      <c r="G206" s="87">
        <f t="shared" si="8"/>
        <v>0</v>
      </c>
      <c r="H206" s="690"/>
      <c r="I206" s="693"/>
      <c r="J206" s="692"/>
      <c r="K206" s="692"/>
      <c r="L206" s="692"/>
      <c r="M206" s="692"/>
      <c r="N206" s="692"/>
      <c r="O206" s="692"/>
      <c r="P206" s="692"/>
      <c r="Q206" s="692"/>
    </row>
    <row r="207" spans="1:17" ht="15" customHeight="1" x14ac:dyDescent="0.25">
      <c r="A207" s="728">
        <f t="shared" si="9"/>
        <v>88</v>
      </c>
      <c r="B207" s="87" t="s">
        <v>2748</v>
      </c>
      <c r="C207" s="555" t="s">
        <v>2751</v>
      </c>
      <c r="D207" s="563">
        <v>22000</v>
      </c>
      <c r="E207" s="573">
        <v>250</v>
      </c>
      <c r="F207" s="563">
        <f t="shared" si="10"/>
        <v>22000</v>
      </c>
      <c r="G207" s="87">
        <f t="shared" si="8"/>
        <v>0</v>
      </c>
      <c r="H207" s="690"/>
      <c r="I207" s="693"/>
      <c r="J207" s="692"/>
      <c r="K207" s="692"/>
      <c r="L207" s="692"/>
      <c r="M207" s="692"/>
      <c r="N207" s="692"/>
      <c r="O207" s="692"/>
      <c r="P207" s="692"/>
      <c r="Q207" s="692"/>
    </row>
    <row r="208" spans="1:17" ht="15" customHeight="1" x14ac:dyDescent="0.25">
      <c r="A208" s="728">
        <f t="shared" si="9"/>
        <v>87.976539589442808</v>
      </c>
      <c r="B208" s="87" t="s">
        <v>2748</v>
      </c>
      <c r="C208" s="555" t="s">
        <v>2752</v>
      </c>
      <c r="D208" s="563">
        <v>30000</v>
      </c>
      <c r="E208" s="573">
        <v>341</v>
      </c>
      <c r="F208" s="563">
        <f t="shared" si="10"/>
        <v>30000</v>
      </c>
      <c r="G208" s="87">
        <f t="shared" si="8"/>
        <v>0</v>
      </c>
      <c r="H208" s="690"/>
      <c r="I208" s="693"/>
      <c r="J208" s="692"/>
      <c r="K208" s="692"/>
      <c r="L208" s="692"/>
      <c r="M208" s="692"/>
      <c r="N208" s="692"/>
      <c r="O208" s="692"/>
      <c r="P208" s="692"/>
      <c r="Q208" s="692"/>
    </row>
    <row r="209" spans="1:17" ht="15" customHeight="1" x14ac:dyDescent="0.25">
      <c r="A209" s="728">
        <f t="shared" si="9"/>
        <v>87.774294670846402</v>
      </c>
      <c r="B209" s="87" t="s">
        <v>2748</v>
      </c>
      <c r="C209" s="555" t="s">
        <v>2753</v>
      </c>
      <c r="D209" s="563">
        <v>28000</v>
      </c>
      <c r="E209" s="573">
        <v>319</v>
      </c>
      <c r="F209" s="563">
        <f t="shared" si="10"/>
        <v>28000</v>
      </c>
      <c r="G209" s="87">
        <f t="shared" si="8"/>
        <v>0</v>
      </c>
      <c r="H209" s="690"/>
      <c r="I209" s="693"/>
      <c r="J209" s="692"/>
      <c r="K209" s="692"/>
      <c r="L209" s="692"/>
      <c r="M209" s="692"/>
      <c r="N209" s="692"/>
      <c r="O209" s="692"/>
      <c r="P209" s="692"/>
      <c r="Q209" s="692"/>
    </row>
    <row r="210" spans="1:17" ht="15" customHeight="1" x14ac:dyDescent="0.25">
      <c r="A210" s="728">
        <f t="shared" si="9"/>
        <v>88.105726872246692</v>
      </c>
      <c r="B210" s="87" t="s">
        <v>2748</v>
      </c>
      <c r="C210" s="555" t="s">
        <v>2754</v>
      </c>
      <c r="D210" s="563">
        <v>20000</v>
      </c>
      <c r="E210" s="573">
        <v>227</v>
      </c>
      <c r="F210" s="563">
        <f t="shared" si="10"/>
        <v>20000</v>
      </c>
      <c r="G210" s="87">
        <f t="shared" si="8"/>
        <v>0</v>
      </c>
      <c r="H210" s="690"/>
      <c r="I210" s="693"/>
      <c r="J210" s="692"/>
      <c r="K210" s="692"/>
      <c r="L210" s="692"/>
      <c r="M210" s="692"/>
      <c r="N210" s="692"/>
      <c r="O210" s="692"/>
      <c r="P210" s="692"/>
      <c r="Q210" s="692"/>
    </row>
    <row r="211" spans="1:17" ht="15" customHeight="1" x14ac:dyDescent="0.25">
      <c r="A211" s="728">
        <f t="shared" si="9"/>
        <v>87.804878048780495</v>
      </c>
      <c r="B211" s="87" t="s">
        <v>2748</v>
      </c>
      <c r="C211" s="555" t="s">
        <v>2755</v>
      </c>
      <c r="D211" s="563">
        <v>18000</v>
      </c>
      <c r="E211" s="573">
        <v>205</v>
      </c>
      <c r="F211" s="563">
        <f t="shared" si="10"/>
        <v>18000</v>
      </c>
      <c r="G211" s="87">
        <f t="shared" si="8"/>
        <v>0</v>
      </c>
      <c r="H211" s="690"/>
      <c r="I211" s="693"/>
      <c r="J211" s="692"/>
      <c r="K211" s="692"/>
      <c r="L211" s="692"/>
      <c r="M211" s="692"/>
      <c r="N211" s="692"/>
      <c r="O211" s="692"/>
      <c r="P211" s="692"/>
      <c r="Q211" s="692"/>
    </row>
    <row r="212" spans="1:17" ht="15" customHeight="1" x14ac:dyDescent="0.25">
      <c r="A212" s="728">
        <f t="shared" si="9"/>
        <v>87.855297157622743</v>
      </c>
      <c r="B212" s="87" t="s">
        <v>2748</v>
      </c>
      <c r="C212" s="555" t="s">
        <v>2135</v>
      </c>
      <c r="D212" s="563">
        <v>34000</v>
      </c>
      <c r="E212" s="573">
        <v>387</v>
      </c>
      <c r="F212" s="563">
        <f t="shared" si="10"/>
        <v>34000</v>
      </c>
      <c r="G212" s="87">
        <f t="shared" si="8"/>
        <v>0</v>
      </c>
      <c r="H212" s="690"/>
      <c r="I212" s="693"/>
      <c r="J212" s="692"/>
      <c r="K212" s="692"/>
      <c r="L212" s="692"/>
      <c r="M212" s="692"/>
      <c r="N212" s="692"/>
      <c r="O212" s="692"/>
      <c r="P212" s="692"/>
      <c r="Q212" s="692"/>
    </row>
    <row r="213" spans="1:17" ht="15" customHeight="1" x14ac:dyDescent="0.25">
      <c r="A213" s="728">
        <f t="shared" si="9"/>
        <v>88.235294117647058</v>
      </c>
      <c r="B213" s="87" t="s">
        <v>2748</v>
      </c>
      <c r="C213" s="555" t="s">
        <v>2756</v>
      </c>
      <c r="D213" s="563">
        <v>15000</v>
      </c>
      <c r="E213" s="573">
        <v>170</v>
      </c>
      <c r="F213" s="563">
        <f t="shared" si="10"/>
        <v>15000</v>
      </c>
      <c r="G213" s="87">
        <f t="shared" si="8"/>
        <v>0</v>
      </c>
      <c r="H213" s="690"/>
      <c r="I213" s="693"/>
      <c r="J213" s="692"/>
      <c r="K213" s="692"/>
      <c r="L213" s="692"/>
      <c r="M213" s="692"/>
      <c r="N213" s="692"/>
      <c r="O213" s="692"/>
      <c r="P213" s="692"/>
      <c r="Q213" s="692"/>
    </row>
    <row r="214" spans="1:17" ht="15" customHeight="1" x14ac:dyDescent="0.25">
      <c r="A214" s="728">
        <f t="shared" si="9"/>
        <v>88.235294117647058</v>
      </c>
      <c r="B214" s="87" t="s">
        <v>2748</v>
      </c>
      <c r="C214" s="555" t="s">
        <v>2757</v>
      </c>
      <c r="D214" s="563">
        <v>15000</v>
      </c>
      <c r="E214" s="573">
        <v>170</v>
      </c>
      <c r="F214" s="563">
        <f t="shared" si="10"/>
        <v>15000</v>
      </c>
      <c r="G214" s="87">
        <f t="shared" si="8"/>
        <v>0</v>
      </c>
      <c r="H214" s="690"/>
      <c r="I214" s="693"/>
      <c r="J214" s="692"/>
      <c r="K214" s="692"/>
      <c r="L214" s="692"/>
      <c r="M214" s="692"/>
      <c r="N214" s="692"/>
      <c r="O214" s="692"/>
      <c r="P214" s="692"/>
      <c r="Q214" s="692"/>
    </row>
    <row r="215" spans="1:17" ht="15" customHeight="1" x14ac:dyDescent="0.25">
      <c r="A215" s="728">
        <f t="shared" si="9"/>
        <v>88</v>
      </c>
      <c r="B215" s="87" t="s">
        <v>2748</v>
      </c>
      <c r="C215" s="555" t="s">
        <v>2758</v>
      </c>
      <c r="D215" s="563">
        <v>22000</v>
      </c>
      <c r="E215" s="573">
        <v>250</v>
      </c>
      <c r="F215" s="563">
        <f t="shared" si="10"/>
        <v>22000</v>
      </c>
      <c r="G215" s="87">
        <f t="shared" si="8"/>
        <v>0</v>
      </c>
      <c r="H215" s="690"/>
      <c r="I215" s="693"/>
      <c r="J215" s="692"/>
      <c r="K215" s="692"/>
      <c r="L215" s="692"/>
      <c r="M215" s="692"/>
      <c r="N215" s="692"/>
      <c r="O215" s="692"/>
      <c r="P215" s="692"/>
      <c r="Q215" s="692"/>
    </row>
    <row r="216" spans="1:17" ht="15" customHeight="1" x14ac:dyDescent="0.25">
      <c r="A216" s="728">
        <f t="shared" si="9"/>
        <v>88.495575221238937</v>
      </c>
      <c r="B216" s="87" t="s">
        <v>2748</v>
      </c>
      <c r="C216" s="555" t="s">
        <v>2759</v>
      </c>
      <c r="D216" s="563">
        <v>10000</v>
      </c>
      <c r="E216" s="573">
        <v>113</v>
      </c>
      <c r="F216" s="563">
        <f t="shared" si="10"/>
        <v>10000</v>
      </c>
      <c r="G216" s="87">
        <f t="shared" si="8"/>
        <v>0</v>
      </c>
      <c r="H216" s="690"/>
      <c r="I216" s="693"/>
      <c r="J216" s="692"/>
      <c r="K216" s="692"/>
      <c r="L216" s="692"/>
      <c r="M216" s="692"/>
      <c r="N216" s="692"/>
      <c r="O216" s="692"/>
      <c r="P216" s="692"/>
      <c r="Q216" s="692"/>
    </row>
    <row r="217" spans="1:17" ht="15" customHeight="1" x14ac:dyDescent="0.25">
      <c r="A217" s="728">
        <f t="shared" si="9"/>
        <v>87.962962962962962</v>
      </c>
      <c r="B217" s="87" t="s">
        <v>2748</v>
      </c>
      <c r="C217" s="555" t="s">
        <v>2760</v>
      </c>
      <c r="D217" s="563">
        <v>38000</v>
      </c>
      <c r="E217" s="573">
        <v>432</v>
      </c>
      <c r="F217" s="563">
        <f t="shared" si="10"/>
        <v>38000</v>
      </c>
      <c r="G217" s="87">
        <f t="shared" si="8"/>
        <v>0</v>
      </c>
      <c r="H217" s="690"/>
      <c r="I217" s="693"/>
      <c r="J217" s="692"/>
      <c r="K217" s="692"/>
      <c r="L217" s="692"/>
      <c r="M217" s="692"/>
      <c r="N217" s="692"/>
      <c r="O217" s="692"/>
      <c r="P217" s="692"/>
      <c r="Q217" s="692"/>
    </row>
    <row r="218" spans="1:17" ht="15" customHeight="1" x14ac:dyDescent="0.25">
      <c r="A218" s="728">
        <f t="shared" si="9"/>
        <v>88.235294117647058</v>
      </c>
      <c r="B218" s="87" t="s">
        <v>2761</v>
      </c>
      <c r="C218" s="555" t="s">
        <v>2846</v>
      </c>
      <c r="D218" s="563">
        <v>15000</v>
      </c>
      <c r="E218" s="573">
        <v>170</v>
      </c>
      <c r="F218" s="563">
        <f t="shared" si="10"/>
        <v>15000</v>
      </c>
      <c r="G218" s="87">
        <f t="shared" si="8"/>
        <v>0</v>
      </c>
      <c r="H218" s="690"/>
      <c r="I218" s="693"/>
      <c r="J218" s="692"/>
      <c r="K218" s="692"/>
      <c r="L218" s="692"/>
      <c r="M218" s="692"/>
      <c r="N218" s="692"/>
      <c r="O218" s="692"/>
      <c r="P218" s="692"/>
      <c r="Q218" s="692"/>
    </row>
    <row r="219" spans="1:17" ht="15" customHeight="1" x14ac:dyDescent="0.25">
      <c r="A219" s="728">
        <f t="shared" si="9"/>
        <v>88.235294117647058</v>
      </c>
      <c r="B219" s="87" t="s">
        <v>2761</v>
      </c>
      <c r="C219" s="555" t="s">
        <v>2847</v>
      </c>
      <c r="D219" s="563">
        <v>15000</v>
      </c>
      <c r="E219" s="573">
        <v>170</v>
      </c>
      <c r="F219" s="563">
        <f t="shared" si="10"/>
        <v>15000</v>
      </c>
      <c r="G219" s="87">
        <f t="shared" si="8"/>
        <v>0</v>
      </c>
      <c r="H219" s="690"/>
      <c r="I219" s="693"/>
      <c r="J219" s="692"/>
      <c r="K219" s="692"/>
      <c r="L219" s="692"/>
      <c r="M219" s="692"/>
      <c r="N219" s="692"/>
      <c r="O219" s="692"/>
      <c r="P219" s="692"/>
      <c r="Q219" s="692"/>
    </row>
    <row r="220" spans="1:17" ht="15" customHeight="1" x14ac:dyDescent="0.25">
      <c r="A220" s="728">
        <f t="shared" si="9"/>
        <v>88.495575221238937</v>
      </c>
      <c r="B220" s="87" t="s">
        <v>2761</v>
      </c>
      <c r="C220" s="555" t="s">
        <v>2848</v>
      </c>
      <c r="D220" s="563">
        <v>10000</v>
      </c>
      <c r="E220" s="573">
        <v>113</v>
      </c>
      <c r="F220" s="563">
        <f t="shared" si="10"/>
        <v>10000</v>
      </c>
      <c r="G220" s="87">
        <f t="shared" si="8"/>
        <v>0</v>
      </c>
      <c r="H220" s="690"/>
      <c r="I220" s="693"/>
      <c r="J220" s="692"/>
      <c r="K220" s="692"/>
      <c r="L220" s="692"/>
      <c r="M220" s="692"/>
      <c r="N220" s="692"/>
      <c r="O220" s="692"/>
      <c r="P220" s="692"/>
      <c r="Q220" s="692"/>
    </row>
    <row r="221" spans="1:17" ht="15" customHeight="1" x14ac:dyDescent="0.25">
      <c r="A221" s="728">
        <f t="shared" si="9"/>
        <v>87.912087912087912</v>
      </c>
      <c r="B221" s="87" t="s">
        <v>2761</v>
      </c>
      <c r="C221" s="555" t="s">
        <v>30</v>
      </c>
      <c r="D221" s="563">
        <v>8000</v>
      </c>
      <c r="E221" s="573">
        <v>91</v>
      </c>
      <c r="F221" s="563">
        <f t="shared" si="10"/>
        <v>8000</v>
      </c>
      <c r="G221" s="87">
        <f t="shared" si="8"/>
        <v>0</v>
      </c>
      <c r="H221" s="690"/>
      <c r="I221" s="693"/>
      <c r="J221" s="692"/>
      <c r="K221" s="692"/>
      <c r="L221" s="692"/>
      <c r="M221" s="692"/>
      <c r="N221" s="692"/>
      <c r="O221" s="692"/>
      <c r="P221" s="692"/>
      <c r="Q221" s="692"/>
    </row>
    <row r="222" spans="1:17" ht="15" customHeight="1" x14ac:dyDescent="0.25">
      <c r="A222" s="728">
        <f t="shared" si="9"/>
        <v>88.105726872246692</v>
      </c>
      <c r="B222" s="87" t="s">
        <v>2761</v>
      </c>
      <c r="C222" s="555" t="s">
        <v>2849</v>
      </c>
      <c r="D222" s="563">
        <v>20000</v>
      </c>
      <c r="E222" s="573">
        <v>227</v>
      </c>
      <c r="F222" s="563">
        <f t="shared" si="10"/>
        <v>20000</v>
      </c>
      <c r="G222" s="87">
        <f t="shared" si="8"/>
        <v>0</v>
      </c>
      <c r="H222" s="690"/>
      <c r="I222" s="693"/>
      <c r="J222" s="692"/>
      <c r="K222" s="692"/>
      <c r="L222" s="692"/>
      <c r="M222" s="692"/>
      <c r="N222" s="692"/>
      <c r="O222" s="692"/>
      <c r="P222" s="692"/>
      <c r="Q222" s="692"/>
    </row>
    <row r="223" spans="1:17" ht="15" customHeight="1" x14ac:dyDescent="0.25">
      <c r="A223" s="728">
        <f t="shared" si="9"/>
        <v>88.235294117647058</v>
      </c>
      <c r="B223" s="87" t="s">
        <v>2761</v>
      </c>
      <c r="C223" s="555" t="s">
        <v>2850</v>
      </c>
      <c r="D223" s="563">
        <v>15000</v>
      </c>
      <c r="E223" s="573">
        <v>170</v>
      </c>
      <c r="F223" s="563">
        <f t="shared" si="10"/>
        <v>15000</v>
      </c>
      <c r="G223" s="87">
        <f t="shared" si="8"/>
        <v>0</v>
      </c>
      <c r="H223" s="690"/>
      <c r="I223" s="693"/>
      <c r="J223" s="692"/>
      <c r="K223" s="692"/>
      <c r="L223" s="692"/>
      <c r="M223" s="692"/>
      <c r="N223" s="692"/>
      <c r="O223" s="692"/>
      <c r="P223" s="692"/>
      <c r="Q223" s="692"/>
    </row>
    <row r="224" spans="1:17" ht="15" customHeight="1" x14ac:dyDescent="0.25">
      <c r="A224" s="728">
        <f t="shared" si="9"/>
        <v>88.082901554404145</v>
      </c>
      <c r="B224" s="87" t="s">
        <v>2761</v>
      </c>
      <c r="C224" s="555" t="s">
        <v>2851</v>
      </c>
      <c r="D224" s="563">
        <v>17000</v>
      </c>
      <c r="E224" s="573">
        <v>193</v>
      </c>
      <c r="F224" s="563">
        <f t="shared" si="10"/>
        <v>17000</v>
      </c>
      <c r="G224" s="87">
        <f t="shared" si="8"/>
        <v>0</v>
      </c>
      <c r="H224" s="690"/>
      <c r="I224" s="693"/>
      <c r="J224" s="692"/>
      <c r="K224" s="692"/>
      <c r="L224" s="692"/>
      <c r="M224" s="692"/>
      <c r="N224" s="692"/>
      <c r="O224" s="692"/>
      <c r="P224" s="692"/>
      <c r="Q224" s="692"/>
    </row>
    <row r="225" spans="1:17" ht="15" customHeight="1" x14ac:dyDescent="0.25">
      <c r="A225" s="728">
        <f t="shared" si="9"/>
        <v>87.912087912087912</v>
      </c>
      <c r="B225" s="87" t="s">
        <v>2761</v>
      </c>
      <c r="C225" s="555" t="s">
        <v>1924</v>
      </c>
      <c r="D225" s="563">
        <v>16000</v>
      </c>
      <c r="E225" s="573">
        <v>182</v>
      </c>
      <c r="F225" s="563">
        <f t="shared" si="10"/>
        <v>16000</v>
      </c>
      <c r="G225" s="87">
        <f t="shared" si="8"/>
        <v>0</v>
      </c>
      <c r="H225" s="690"/>
      <c r="I225" s="693"/>
      <c r="J225" s="692"/>
      <c r="K225" s="692"/>
      <c r="L225" s="692"/>
      <c r="M225" s="692"/>
      <c r="N225" s="692"/>
      <c r="O225" s="692"/>
      <c r="P225" s="692"/>
      <c r="Q225" s="692"/>
    </row>
    <row r="226" spans="1:17" ht="15" customHeight="1" x14ac:dyDescent="0.25">
      <c r="A226" s="728">
        <f t="shared" si="9"/>
        <v>101.85185185185185</v>
      </c>
      <c r="B226" s="87" t="s">
        <v>2761</v>
      </c>
      <c r="C226" s="555" t="s">
        <v>66</v>
      </c>
      <c r="D226" s="563">
        <v>110</v>
      </c>
      <c r="E226" s="573">
        <v>1.08</v>
      </c>
      <c r="F226" s="563">
        <f t="shared" si="10"/>
        <v>110</v>
      </c>
      <c r="G226" s="87">
        <f t="shared" si="8"/>
        <v>0</v>
      </c>
      <c r="H226" s="690"/>
      <c r="I226" s="693"/>
      <c r="J226" s="692"/>
      <c r="K226" s="692"/>
      <c r="L226" s="692"/>
      <c r="M226" s="692"/>
      <c r="N226" s="692"/>
      <c r="O226" s="692"/>
      <c r="P226" s="692"/>
      <c r="Q226" s="692"/>
    </row>
    <row r="227" spans="1:17" ht="15" customHeight="1" x14ac:dyDescent="0.25">
      <c r="A227" s="728">
        <f t="shared" si="9"/>
        <v>90.277777777777771</v>
      </c>
      <c r="B227" s="87" t="s">
        <v>2761</v>
      </c>
      <c r="C227" s="555" t="s">
        <v>2852</v>
      </c>
      <c r="D227" s="563">
        <v>26000</v>
      </c>
      <c r="E227" s="573">
        <v>288</v>
      </c>
      <c r="F227" s="563">
        <f t="shared" si="10"/>
        <v>26000</v>
      </c>
      <c r="G227" s="87">
        <f t="shared" si="8"/>
        <v>0</v>
      </c>
      <c r="H227" s="690"/>
      <c r="I227" s="693"/>
      <c r="J227" s="692"/>
      <c r="K227" s="692"/>
      <c r="L227" s="692"/>
      <c r="M227" s="692"/>
      <c r="N227" s="692"/>
      <c r="O227" s="692"/>
      <c r="P227" s="692"/>
      <c r="Q227" s="692"/>
    </row>
    <row r="228" spans="1:17" ht="15" customHeight="1" x14ac:dyDescent="0.25">
      <c r="A228" s="728">
        <f t="shared" si="9"/>
        <v>87.912087912087912</v>
      </c>
      <c r="B228" s="87" t="s">
        <v>2761</v>
      </c>
      <c r="C228" s="555" t="s">
        <v>2539</v>
      </c>
      <c r="D228" s="563">
        <v>48000</v>
      </c>
      <c r="E228" s="573">
        <v>546</v>
      </c>
      <c r="F228" s="563">
        <f t="shared" si="10"/>
        <v>48000</v>
      </c>
      <c r="G228" s="87">
        <f t="shared" si="8"/>
        <v>0</v>
      </c>
      <c r="H228" s="690"/>
      <c r="I228" s="693"/>
      <c r="J228" s="692"/>
      <c r="K228" s="692"/>
      <c r="L228" s="692"/>
      <c r="M228" s="692"/>
      <c r="N228" s="692"/>
      <c r="O228" s="692"/>
      <c r="P228" s="692"/>
      <c r="Q228" s="692"/>
    </row>
    <row r="229" spans="1:17" ht="15" customHeight="1" x14ac:dyDescent="0.25">
      <c r="A229" s="728">
        <f t="shared" si="9"/>
        <v>88.028169014084511</v>
      </c>
      <c r="B229" s="87" t="s">
        <v>2761</v>
      </c>
      <c r="C229" s="555" t="s">
        <v>2853</v>
      </c>
      <c r="D229" s="563">
        <v>25000</v>
      </c>
      <c r="E229" s="573">
        <v>284</v>
      </c>
      <c r="F229" s="563">
        <f t="shared" si="10"/>
        <v>25000</v>
      </c>
      <c r="G229" s="87">
        <f t="shared" si="8"/>
        <v>0</v>
      </c>
      <c r="H229" s="690"/>
      <c r="I229" s="693"/>
      <c r="J229" s="692"/>
      <c r="K229" s="692"/>
      <c r="L229" s="692"/>
      <c r="M229" s="692"/>
      <c r="N229" s="692"/>
      <c r="O229" s="692"/>
      <c r="P229" s="692"/>
      <c r="Q229" s="692"/>
    </row>
    <row r="230" spans="1:17" ht="15" customHeight="1" x14ac:dyDescent="0.25">
      <c r="A230" s="728">
        <f t="shared" si="9"/>
        <v>88.028169014084511</v>
      </c>
      <c r="B230" s="87" t="s">
        <v>2761</v>
      </c>
      <c r="C230" s="555" t="s">
        <v>2854</v>
      </c>
      <c r="D230" s="563">
        <v>25000</v>
      </c>
      <c r="E230" s="573">
        <v>284</v>
      </c>
      <c r="F230" s="563">
        <f t="shared" si="10"/>
        <v>25000</v>
      </c>
      <c r="G230" s="87">
        <f t="shared" si="8"/>
        <v>0</v>
      </c>
      <c r="H230" s="690"/>
      <c r="I230" s="693"/>
      <c r="J230" s="692"/>
      <c r="K230" s="692"/>
      <c r="L230" s="692"/>
      <c r="M230" s="692"/>
      <c r="N230" s="692"/>
      <c r="O230" s="692"/>
      <c r="P230" s="692"/>
      <c r="Q230" s="692"/>
    </row>
    <row r="231" spans="1:17" ht="15" customHeight="1" x14ac:dyDescent="0.25">
      <c r="A231" s="728">
        <f t="shared" si="9"/>
        <v>87.976539589442808</v>
      </c>
      <c r="B231" s="87" t="s">
        <v>2761</v>
      </c>
      <c r="C231" s="555" t="s">
        <v>2855</v>
      </c>
      <c r="D231" s="563">
        <v>30000</v>
      </c>
      <c r="E231" s="573">
        <v>341</v>
      </c>
      <c r="F231" s="563">
        <f t="shared" si="10"/>
        <v>30000</v>
      </c>
      <c r="G231" s="87">
        <f t="shared" si="8"/>
        <v>0</v>
      </c>
      <c r="H231" s="690"/>
      <c r="I231" s="693"/>
      <c r="J231" s="692"/>
      <c r="K231" s="692"/>
      <c r="L231" s="692"/>
      <c r="M231" s="692"/>
      <c r="N231" s="692"/>
      <c r="O231" s="692"/>
      <c r="P231" s="692"/>
      <c r="Q231" s="692"/>
    </row>
    <row r="232" spans="1:17" ht="15" customHeight="1" x14ac:dyDescent="0.25">
      <c r="A232" s="728">
        <f t="shared" si="9"/>
        <v>87.976539589442808</v>
      </c>
      <c r="B232" s="87" t="s">
        <v>2761</v>
      </c>
      <c r="C232" s="555" t="s">
        <v>2856</v>
      </c>
      <c r="D232" s="563">
        <v>30000</v>
      </c>
      <c r="E232" s="573">
        <v>341</v>
      </c>
      <c r="F232" s="563">
        <f t="shared" si="10"/>
        <v>30000</v>
      </c>
      <c r="G232" s="87">
        <f t="shared" si="8"/>
        <v>0</v>
      </c>
      <c r="H232" s="690"/>
      <c r="I232" s="693"/>
      <c r="J232" s="692"/>
      <c r="K232" s="692"/>
      <c r="L232" s="692"/>
      <c r="M232" s="692"/>
      <c r="N232" s="692"/>
      <c r="O232" s="692"/>
      <c r="P232" s="692"/>
      <c r="Q232" s="692"/>
    </row>
    <row r="233" spans="1:17" ht="15" customHeight="1" x14ac:dyDescent="0.25">
      <c r="A233" s="728">
        <f t="shared" si="9"/>
        <v>87.837837837837839</v>
      </c>
      <c r="B233" s="87" t="s">
        <v>2761</v>
      </c>
      <c r="C233" s="555" t="s">
        <v>2857</v>
      </c>
      <c r="D233" s="563">
        <v>26000</v>
      </c>
      <c r="E233" s="573">
        <v>296</v>
      </c>
      <c r="F233" s="563">
        <f t="shared" si="10"/>
        <v>26000</v>
      </c>
      <c r="G233" s="87">
        <f t="shared" si="8"/>
        <v>0</v>
      </c>
      <c r="H233" s="690"/>
      <c r="I233" s="693"/>
      <c r="J233" s="692"/>
      <c r="K233" s="692"/>
      <c r="L233" s="692"/>
      <c r="M233" s="692"/>
      <c r="N233" s="692"/>
      <c r="O233" s="692"/>
      <c r="P233" s="692"/>
      <c r="Q233" s="692"/>
    </row>
    <row r="234" spans="1:17" ht="15" customHeight="1" x14ac:dyDescent="0.25">
      <c r="A234" s="728">
        <f t="shared" si="9"/>
        <v>87.837837837837839</v>
      </c>
      <c r="B234" s="87" t="s">
        <v>2761</v>
      </c>
      <c r="C234" s="555" t="s">
        <v>2858</v>
      </c>
      <c r="D234" s="563">
        <v>26000</v>
      </c>
      <c r="E234" s="573">
        <v>296</v>
      </c>
      <c r="F234" s="563">
        <f t="shared" si="10"/>
        <v>26000</v>
      </c>
      <c r="G234" s="87">
        <f t="shared" si="8"/>
        <v>0</v>
      </c>
      <c r="H234" s="690"/>
      <c r="I234" s="693"/>
      <c r="J234" s="692"/>
      <c r="K234" s="692"/>
      <c r="L234" s="692"/>
      <c r="M234" s="692"/>
      <c r="N234" s="692"/>
      <c r="O234" s="692"/>
      <c r="P234" s="692"/>
      <c r="Q234" s="692"/>
    </row>
    <row r="235" spans="1:17" ht="15" customHeight="1" x14ac:dyDescent="0.25">
      <c r="A235" s="728">
        <f t="shared" si="9"/>
        <v>88.105726872246692</v>
      </c>
      <c r="B235" s="87" t="s">
        <v>2761</v>
      </c>
      <c r="C235" s="555" t="s">
        <v>2859</v>
      </c>
      <c r="D235" s="563">
        <v>20000</v>
      </c>
      <c r="E235" s="573">
        <v>227</v>
      </c>
      <c r="F235" s="563">
        <f t="shared" si="10"/>
        <v>20000</v>
      </c>
      <c r="G235" s="87">
        <f t="shared" si="8"/>
        <v>0</v>
      </c>
      <c r="H235" s="690"/>
      <c r="I235" s="693"/>
      <c r="J235" s="692"/>
      <c r="K235" s="692"/>
      <c r="L235" s="692"/>
      <c r="M235" s="692"/>
      <c r="N235" s="692"/>
      <c r="O235" s="692"/>
      <c r="P235" s="692"/>
      <c r="Q235" s="692"/>
    </row>
    <row r="236" spans="1:17" ht="15" customHeight="1" x14ac:dyDescent="0.25">
      <c r="A236" s="728">
        <f t="shared" si="9"/>
        <v>88.105726872246692</v>
      </c>
      <c r="B236" s="87" t="s">
        <v>2761</v>
      </c>
      <c r="C236" s="555" t="s">
        <v>2860</v>
      </c>
      <c r="D236" s="563">
        <v>20000</v>
      </c>
      <c r="E236" s="573">
        <v>227</v>
      </c>
      <c r="F236" s="563">
        <f t="shared" si="10"/>
        <v>20000</v>
      </c>
      <c r="G236" s="87">
        <f t="shared" si="8"/>
        <v>0</v>
      </c>
      <c r="H236" s="690"/>
      <c r="I236" s="693"/>
      <c r="J236" s="692"/>
      <c r="K236" s="692"/>
      <c r="L236" s="692"/>
      <c r="M236" s="692"/>
      <c r="N236" s="692"/>
      <c r="O236" s="692"/>
      <c r="P236" s="692"/>
      <c r="Q236" s="692"/>
    </row>
    <row r="237" spans="1:17" ht="15" customHeight="1" x14ac:dyDescent="0.25">
      <c r="A237" s="728">
        <f t="shared" si="9"/>
        <v>88.105726872246692</v>
      </c>
      <c r="B237" s="87" t="s">
        <v>2761</v>
      </c>
      <c r="C237" s="555" t="s">
        <v>2861</v>
      </c>
      <c r="D237" s="563">
        <v>20000</v>
      </c>
      <c r="E237" s="573">
        <v>227</v>
      </c>
      <c r="F237" s="563">
        <f t="shared" si="10"/>
        <v>20000</v>
      </c>
      <c r="G237" s="87">
        <f t="shared" si="8"/>
        <v>0</v>
      </c>
      <c r="H237" s="690"/>
      <c r="I237" s="693"/>
      <c r="J237" s="692"/>
      <c r="K237" s="692"/>
      <c r="L237" s="692"/>
      <c r="M237" s="692"/>
      <c r="N237" s="692"/>
      <c r="O237" s="692"/>
      <c r="P237" s="692"/>
      <c r="Q237" s="692"/>
    </row>
    <row r="238" spans="1:17" ht="15" customHeight="1" x14ac:dyDescent="0.25">
      <c r="A238" s="728">
        <f t="shared" si="9"/>
        <v>86.956521739130437</v>
      </c>
      <c r="B238" s="87" t="s">
        <v>2862</v>
      </c>
      <c r="C238" s="555" t="s">
        <v>30</v>
      </c>
      <c r="D238" s="563">
        <v>4000</v>
      </c>
      <c r="E238" s="573">
        <v>46</v>
      </c>
      <c r="F238" s="563">
        <f t="shared" si="10"/>
        <v>4000</v>
      </c>
      <c r="G238" s="87">
        <f t="shared" si="8"/>
        <v>0</v>
      </c>
      <c r="H238" s="690"/>
      <c r="I238" s="693"/>
      <c r="J238" s="692"/>
      <c r="K238" s="692"/>
      <c r="L238" s="692"/>
      <c r="M238" s="692"/>
      <c r="N238" s="692"/>
      <c r="O238" s="692"/>
      <c r="P238" s="692"/>
      <c r="Q238" s="692"/>
    </row>
    <row r="239" spans="1:17" ht="15" customHeight="1" x14ac:dyDescent="0.25">
      <c r="A239" s="728">
        <f t="shared" si="9"/>
        <v>87.804878048780495</v>
      </c>
      <c r="B239" s="87" t="s">
        <v>2862</v>
      </c>
      <c r="C239" s="555" t="s">
        <v>2190</v>
      </c>
      <c r="D239" s="563">
        <v>18000</v>
      </c>
      <c r="E239" s="573">
        <v>205</v>
      </c>
      <c r="F239" s="563">
        <f t="shared" si="10"/>
        <v>18000</v>
      </c>
      <c r="G239" s="87">
        <f t="shared" si="8"/>
        <v>0</v>
      </c>
      <c r="H239" s="690"/>
      <c r="I239" s="693"/>
      <c r="J239" s="692"/>
      <c r="K239" s="692"/>
      <c r="L239" s="692"/>
      <c r="M239" s="692"/>
      <c r="N239" s="692"/>
      <c r="O239" s="692"/>
      <c r="P239" s="692"/>
      <c r="Q239" s="692"/>
    </row>
    <row r="240" spans="1:17" ht="15" customHeight="1" x14ac:dyDescent="0.25">
      <c r="A240" s="728">
        <f t="shared" si="9"/>
        <v>87.912087912087912</v>
      </c>
      <c r="B240" s="87" t="s">
        <v>2862</v>
      </c>
      <c r="C240" s="555" t="s">
        <v>2515</v>
      </c>
      <c r="D240" s="563">
        <v>16000</v>
      </c>
      <c r="E240" s="573">
        <v>182</v>
      </c>
      <c r="F240" s="563">
        <f t="shared" si="10"/>
        <v>16000</v>
      </c>
      <c r="G240" s="87">
        <f t="shared" si="8"/>
        <v>0</v>
      </c>
      <c r="H240" s="690"/>
      <c r="I240" s="693"/>
      <c r="J240" s="692"/>
      <c r="K240" s="692"/>
      <c r="L240" s="692"/>
      <c r="M240" s="692"/>
      <c r="N240" s="692"/>
      <c r="O240" s="692"/>
      <c r="P240" s="692"/>
      <c r="Q240" s="692"/>
    </row>
    <row r="241" spans="1:17" ht="15" customHeight="1" x14ac:dyDescent="0.25">
      <c r="A241" s="728">
        <f t="shared" si="9"/>
        <v>87.837837837837839</v>
      </c>
      <c r="B241" s="87" t="s">
        <v>2862</v>
      </c>
      <c r="C241" s="555" t="s">
        <v>2713</v>
      </c>
      <c r="D241" s="563">
        <v>13000</v>
      </c>
      <c r="E241" s="573">
        <v>148</v>
      </c>
      <c r="F241" s="563">
        <f t="shared" si="10"/>
        <v>13000</v>
      </c>
      <c r="G241" s="87">
        <f t="shared" si="8"/>
        <v>0</v>
      </c>
      <c r="H241" s="690"/>
      <c r="I241" s="693"/>
      <c r="J241" s="692"/>
      <c r="K241" s="692"/>
      <c r="L241" s="692"/>
      <c r="M241" s="692"/>
      <c r="N241" s="692"/>
      <c r="O241" s="692"/>
      <c r="P241" s="692"/>
      <c r="Q241" s="692"/>
    </row>
    <row r="242" spans="1:17" ht="15" customHeight="1" x14ac:dyDescent="0.25">
      <c r="A242" s="728">
        <f t="shared" si="9"/>
        <v>87.912087912087912</v>
      </c>
      <c r="B242" s="87" t="s">
        <v>2862</v>
      </c>
      <c r="C242" s="555" t="s">
        <v>30</v>
      </c>
      <c r="D242" s="563">
        <v>8000</v>
      </c>
      <c r="E242" s="573">
        <v>91</v>
      </c>
      <c r="F242" s="563">
        <f t="shared" si="10"/>
        <v>8000</v>
      </c>
      <c r="G242" s="87">
        <f t="shared" si="8"/>
        <v>0</v>
      </c>
      <c r="H242" s="690"/>
      <c r="I242" s="693"/>
      <c r="J242" s="692"/>
      <c r="K242" s="692"/>
      <c r="L242" s="692"/>
      <c r="M242" s="692"/>
      <c r="N242" s="692"/>
      <c r="O242" s="692"/>
      <c r="P242" s="692"/>
      <c r="Q242" s="692"/>
    </row>
    <row r="243" spans="1:17" ht="15" customHeight="1" x14ac:dyDescent="0.25">
      <c r="A243" s="728">
        <f t="shared" si="9"/>
        <v>88.495575221238937</v>
      </c>
      <c r="B243" s="87" t="s">
        <v>2862</v>
      </c>
      <c r="C243" s="87" t="s">
        <v>2863</v>
      </c>
      <c r="D243" s="87">
        <v>10000</v>
      </c>
      <c r="E243" s="87">
        <v>113</v>
      </c>
      <c r="F243" s="563">
        <f t="shared" si="10"/>
        <v>10000</v>
      </c>
      <c r="G243" s="87">
        <f t="shared" si="8"/>
        <v>0</v>
      </c>
      <c r="H243" s="690"/>
      <c r="I243" s="693"/>
      <c r="J243" s="692"/>
      <c r="K243" s="692"/>
      <c r="L243" s="692"/>
      <c r="M243" s="692"/>
      <c r="N243" s="692"/>
      <c r="O243" s="692"/>
      <c r="P243" s="692"/>
      <c r="Q243" s="692"/>
    </row>
    <row r="244" spans="1:17" ht="15" customHeight="1" x14ac:dyDescent="0.25">
      <c r="A244" s="728">
        <f t="shared" si="9"/>
        <v>87.804878048780495</v>
      </c>
      <c r="B244" s="87" t="s">
        <v>2862</v>
      </c>
      <c r="C244" s="87" t="s">
        <v>1925</v>
      </c>
      <c r="D244" s="87">
        <v>18000</v>
      </c>
      <c r="E244" s="87">
        <v>205</v>
      </c>
      <c r="F244" s="563">
        <f t="shared" si="10"/>
        <v>18000</v>
      </c>
      <c r="G244" s="87">
        <f t="shared" si="8"/>
        <v>0</v>
      </c>
      <c r="H244" s="690"/>
      <c r="I244" s="693"/>
      <c r="J244" s="692"/>
      <c r="K244" s="692"/>
      <c r="L244" s="692"/>
      <c r="M244" s="692"/>
      <c r="N244" s="692"/>
      <c r="O244" s="692"/>
      <c r="P244" s="692"/>
      <c r="Q244" s="692"/>
    </row>
    <row r="245" spans="1:17" ht="15" customHeight="1" x14ac:dyDescent="0.25">
      <c r="A245" s="728">
        <f t="shared" si="9"/>
        <v>88.082901554404145</v>
      </c>
      <c r="B245" s="87" t="s">
        <v>2862</v>
      </c>
      <c r="C245" s="87" t="s">
        <v>1923</v>
      </c>
      <c r="D245" s="87">
        <v>17000</v>
      </c>
      <c r="E245" s="87">
        <v>193</v>
      </c>
      <c r="F245" s="563">
        <f t="shared" si="10"/>
        <v>17000</v>
      </c>
      <c r="G245" s="87">
        <f t="shared" si="8"/>
        <v>0</v>
      </c>
      <c r="H245" s="690"/>
      <c r="I245" s="693"/>
      <c r="J245" s="692"/>
      <c r="K245" s="692"/>
      <c r="L245" s="692"/>
      <c r="M245" s="692"/>
      <c r="N245" s="692"/>
      <c r="O245" s="692"/>
      <c r="P245" s="692"/>
      <c r="Q245" s="692"/>
    </row>
    <row r="246" spans="1:17" ht="15" customHeight="1" x14ac:dyDescent="0.25">
      <c r="A246" s="728">
        <f t="shared" si="9"/>
        <v>149.70059880239521</v>
      </c>
      <c r="B246" s="87" t="s">
        <v>2862</v>
      </c>
      <c r="C246" s="87" t="s">
        <v>2864</v>
      </c>
      <c r="D246" s="87">
        <v>25000</v>
      </c>
      <c r="E246" s="87">
        <v>167</v>
      </c>
      <c r="F246" s="563">
        <f t="shared" si="10"/>
        <v>25000</v>
      </c>
      <c r="G246" s="87">
        <f t="shared" si="8"/>
        <v>0</v>
      </c>
      <c r="H246" s="690"/>
      <c r="I246" s="693"/>
      <c r="J246" s="692"/>
      <c r="K246" s="692"/>
      <c r="L246" s="692"/>
      <c r="M246" s="692"/>
      <c r="N246" s="692"/>
      <c r="O246" s="692"/>
      <c r="P246" s="692"/>
      <c r="Q246" s="692"/>
    </row>
    <row r="247" spans="1:17" ht="15" customHeight="1" x14ac:dyDescent="0.25">
      <c r="A247" s="728">
        <f t="shared" si="9"/>
        <v>101.85185185185185</v>
      </c>
      <c r="B247" s="87" t="s">
        <v>2862</v>
      </c>
      <c r="C247" s="87" t="s">
        <v>66</v>
      </c>
      <c r="D247" s="87">
        <v>110</v>
      </c>
      <c r="E247" s="87">
        <v>1.08</v>
      </c>
      <c r="F247" s="563">
        <f t="shared" si="10"/>
        <v>110</v>
      </c>
      <c r="G247" s="87">
        <f t="shared" si="8"/>
        <v>0</v>
      </c>
      <c r="H247" s="690"/>
      <c r="I247" s="693"/>
      <c r="J247" s="692"/>
      <c r="K247" s="692"/>
      <c r="L247" s="692"/>
      <c r="M247" s="692"/>
      <c r="N247" s="692"/>
      <c r="O247" s="692"/>
      <c r="P247" s="692"/>
      <c r="Q247" s="692"/>
    </row>
    <row r="248" spans="1:17" ht="15" customHeight="1" x14ac:dyDescent="0.25">
      <c r="A248" s="728">
        <f t="shared" si="9"/>
        <v>88.028169014084511</v>
      </c>
      <c r="B248" s="87" t="s">
        <v>2862</v>
      </c>
      <c r="C248" s="87" t="s">
        <v>2865</v>
      </c>
      <c r="D248" s="87">
        <v>25000</v>
      </c>
      <c r="E248" s="87">
        <v>284</v>
      </c>
      <c r="F248" s="563">
        <f t="shared" si="10"/>
        <v>25000</v>
      </c>
      <c r="G248" s="87">
        <f t="shared" si="8"/>
        <v>0</v>
      </c>
      <c r="H248" s="690"/>
      <c r="I248" s="693"/>
      <c r="J248" s="692"/>
      <c r="K248" s="692"/>
      <c r="L248" s="692"/>
      <c r="M248" s="692"/>
      <c r="N248" s="692"/>
      <c r="O248" s="692"/>
      <c r="P248" s="692"/>
      <c r="Q248" s="692"/>
    </row>
    <row r="249" spans="1:17" ht="15" customHeight="1" x14ac:dyDescent="0.25">
      <c r="A249" s="728">
        <f t="shared" si="9"/>
        <v>88.105726872246692</v>
      </c>
      <c r="B249" s="87" t="s">
        <v>2862</v>
      </c>
      <c r="C249" s="87" t="s">
        <v>2866</v>
      </c>
      <c r="D249" s="87">
        <v>20000</v>
      </c>
      <c r="E249" s="87">
        <v>227</v>
      </c>
      <c r="F249" s="563">
        <f t="shared" si="10"/>
        <v>20000</v>
      </c>
      <c r="G249" s="87">
        <f t="shared" si="8"/>
        <v>0</v>
      </c>
      <c r="H249" s="690"/>
      <c r="I249" s="693"/>
      <c r="J249" s="692"/>
      <c r="K249" s="692"/>
      <c r="L249" s="692"/>
      <c r="M249" s="692"/>
      <c r="N249" s="692"/>
      <c r="O249" s="692"/>
      <c r="P249" s="692"/>
      <c r="Q249" s="692"/>
    </row>
    <row r="250" spans="1:17" ht="15" customHeight="1" x14ac:dyDescent="0.25">
      <c r="A250" s="728">
        <f t="shared" si="9"/>
        <v>101.85185185185185</v>
      </c>
      <c r="B250" s="87" t="s">
        <v>2867</v>
      </c>
      <c r="C250" s="87" t="s">
        <v>66</v>
      </c>
      <c r="D250" s="87">
        <v>110</v>
      </c>
      <c r="E250" s="87">
        <v>1.08</v>
      </c>
      <c r="F250" s="563">
        <f t="shared" si="10"/>
        <v>110</v>
      </c>
      <c r="G250" s="87">
        <f t="shared" si="8"/>
        <v>0</v>
      </c>
      <c r="H250" s="690"/>
      <c r="I250" s="693"/>
      <c r="J250" s="692"/>
      <c r="K250" s="692"/>
      <c r="L250" s="692"/>
      <c r="M250" s="692"/>
      <c r="N250" s="692"/>
      <c r="O250" s="692"/>
      <c r="P250" s="692"/>
      <c r="Q250" s="692"/>
    </row>
    <row r="251" spans="1:17" ht="15" customHeight="1" x14ac:dyDescent="0.25">
      <c r="A251" s="728">
        <f t="shared" si="9"/>
        <v>75.88075880758808</v>
      </c>
      <c r="B251" s="87" t="s">
        <v>2868</v>
      </c>
      <c r="C251" s="87" t="s">
        <v>1922</v>
      </c>
      <c r="D251" s="87">
        <v>28000</v>
      </c>
      <c r="E251" s="87">
        <v>369</v>
      </c>
      <c r="F251" s="563">
        <f t="shared" si="10"/>
        <v>28000</v>
      </c>
      <c r="G251" s="87">
        <f t="shared" si="8"/>
        <v>0</v>
      </c>
      <c r="H251" s="690"/>
      <c r="I251" s="693"/>
      <c r="J251" s="692"/>
      <c r="K251" s="692"/>
      <c r="L251" s="692"/>
      <c r="M251" s="692"/>
      <c r="N251" s="692"/>
      <c r="O251" s="692"/>
      <c r="P251" s="692"/>
      <c r="Q251" s="692"/>
    </row>
    <row r="252" spans="1:17" ht="15" customHeight="1" x14ac:dyDescent="0.25">
      <c r="A252" s="728">
        <f t="shared" si="9"/>
        <v>75.88075880758808</v>
      </c>
      <c r="B252" s="87" t="s">
        <v>2868</v>
      </c>
      <c r="C252" s="87" t="s">
        <v>2869</v>
      </c>
      <c r="D252" s="87">
        <v>28000</v>
      </c>
      <c r="E252" s="87">
        <v>369</v>
      </c>
      <c r="F252" s="563">
        <f t="shared" si="10"/>
        <v>28000</v>
      </c>
      <c r="G252" s="87">
        <f t="shared" si="8"/>
        <v>0</v>
      </c>
      <c r="H252" s="690"/>
      <c r="I252" s="693"/>
      <c r="J252" s="692"/>
      <c r="K252" s="692"/>
      <c r="L252" s="692"/>
      <c r="M252" s="692"/>
      <c r="N252" s="692"/>
      <c r="O252" s="692"/>
      <c r="P252" s="692"/>
      <c r="Q252" s="692"/>
    </row>
    <row r="253" spans="1:17" ht="15" customHeight="1" x14ac:dyDescent="0.25">
      <c r="A253" s="728">
        <f t="shared" si="9"/>
        <v>89.65517241379311</v>
      </c>
      <c r="B253" s="87" t="s">
        <v>2868</v>
      </c>
      <c r="C253" s="87" t="s">
        <v>1921</v>
      </c>
      <c r="D253" s="87">
        <v>26000</v>
      </c>
      <c r="E253" s="87">
        <v>290</v>
      </c>
      <c r="F253" s="563">
        <f t="shared" si="10"/>
        <v>26000</v>
      </c>
      <c r="G253" s="87">
        <f t="shared" si="8"/>
        <v>0</v>
      </c>
      <c r="H253" s="690"/>
      <c r="I253" s="693"/>
      <c r="J253" s="692"/>
      <c r="K253" s="692"/>
      <c r="L253" s="692"/>
      <c r="M253" s="692"/>
      <c r="N253" s="692"/>
      <c r="O253" s="692"/>
      <c r="P253" s="692"/>
      <c r="Q253" s="692"/>
    </row>
    <row r="254" spans="1:17" ht="15" customHeight="1" x14ac:dyDescent="0.25">
      <c r="A254" s="728">
        <f t="shared" si="9"/>
        <v>89.65517241379311</v>
      </c>
      <c r="B254" s="87" t="s">
        <v>2868</v>
      </c>
      <c r="C254" s="87" t="s">
        <v>2870</v>
      </c>
      <c r="D254" s="87">
        <v>26000</v>
      </c>
      <c r="E254" s="87">
        <v>290</v>
      </c>
      <c r="F254" s="563">
        <f t="shared" si="10"/>
        <v>26000</v>
      </c>
      <c r="G254" s="87">
        <f t="shared" si="8"/>
        <v>0</v>
      </c>
      <c r="H254" s="690"/>
      <c r="I254" s="693"/>
      <c r="J254" s="692"/>
      <c r="K254" s="692"/>
      <c r="L254" s="692"/>
      <c r="M254" s="692"/>
      <c r="N254" s="692"/>
      <c r="O254" s="692"/>
      <c r="P254" s="692"/>
      <c r="Q254" s="692"/>
    </row>
    <row r="255" spans="1:17" ht="15" customHeight="1" x14ac:dyDescent="0.25">
      <c r="A255" s="728">
        <f t="shared" si="9"/>
        <v>98.159509202453989</v>
      </c>
      <c r="B255" s="87" t="s">
        <v>2868</v>
      </c>
      <c r="C255" s="87" t="s">
        <v>2871</v>
      </c>
      <c r="D255" s="87">
        <v>16000</v>
      </c>
      <c r="E255" s="87">
        <v>163</v>
      </c>
      <c r="F255" s="563">
        <f t="shared" si="10"/>
        <v>16000</v>
      </c>
      <c r="G255" s="87">
        <f t="shared" si="8"/>
        <v>0</v>
      </c>
      <c r="H255" s="690"/>
      <c r="I255" s="693"/>
      <c r="J255" s="692"/>
      <c r="K255" s="692"/>
      <c r="L255" s="692"/>
      <c r="M255" s="692"/>
      <c r="N255" s="692"/>
      <c r="O255" s="692"/>
      <c r="P255" s="692"/>
      <c r="Q255" s="692"/>
    </row>
    <row r="256" spans="1:17" ht="15" customHeight="1" x14ac:dyDescent="0.25">
      <c r="A256" s="728">
        <f t="shared" si="9"/>
        <v>97.560975609756099</v>
      </c>
      <c r="B256" s="87" t="s">
        <v>2868</v>
      </c>
      <c r="C256" s="87" t="s">
        <v>2360</v>
      </c>
      <c r="D256" s="87">
        <v>20000</v>
      </c>
      <c r="E256" s="87">
        <v>205</v>
      </c>
      <c r="F256" s="563">
        <f t="shared" si="10"/>
        <v>20000</v>
      </c>
      <c r="G256" s="87">
        <f t="shared" si="8"/>
        <v>0</v>
      </c>
      <c r="H256" s="690"/>
      <c r="I256" s="693"/>
      <c r="J256" s="692"/>
      <c r="K256" s="692"/>
      <c r="L256" s="692"/>
      <c r="M256" s="692"/>
      <c r="N256" s="692"/>
      <c r="O256" s="692"/>
      <c r="P256" s="692"/>
      <c r="Q256" s="692"/>
    </row>
    <row r="257" spans="1:17" ht="15" customHeight="1" x14ac:dyDescent="0.25">
      <c r="A257" s="728">
        <f t="shared" si="9"/>
        <v>88.235294117647058</v>
      </c>
      <c r="B257" s="87" t="s">
        <v>2868</v>
      </c>
      <c r="C257" s="87" t="s">
        <v>17</v>
      </c>
      <c r="D257" s="87">
        <v>3000</v>
      </c>
      <c r="E257" s="87">
        <v>34</v>
      </c>
      <c r="F257" s="563">
        <f t="shared" si="10"/>
        <v>3000</v>
      </c>
      <c r="G257" s="87">
        <f t="shared" si="8"/>
        <v>0</v>
      </c>
      <c r="H257" s="690"/>
      <c r="I257" s="693"/>
      <c r="J257" s="692"/>
      <c r="K257" s="692"/>
      <c r="L257" s="692"/>
      <c r="M257" s="692"/>
      <c r="N257" s="692"/>
      <c r="O257" s="692"/>
      <c r="P257" s="692"/>
      <c r="Q257" s="692"/>
    </row>
    <row r="258" spans="1:17" ht="15" customHeight="1" x14ac:dyDescent="0.25">
      <c r="A258" s="728">
        <f t="shared" si="9"/>
        <v>97.222222222222214</v>
      </c>
      <c r="B258" s="87" t="s">
        <v>2868</v>
      </c>
      <c r="C258" s="87" t="s">
        <v>66</v>
      </c>
      <c r="D258" s="87">
        <v>210</v>
      </c>
      <c r="E258" s="87">
        <v>2.16</v>
      </c>
      <c r="F258" s="563">
        <f t="shared" si="10"/>
        <v>210</v>
      </c>
      <c r="G258" s="87">
        <f t="shared" si="8"/>
        <v>0</v>
      </c>
      <c r="H258" s="690"/>
      <c r="I258" s="693"/>
      <c r="J258" s="692"/>
      <c r="K258" s="692"/>
      <c r="L258" s="692"/>
      <c r="M258" s="692"/>
      <c r="N258" s="692"/>
      <c r="O258" s="692"/>
      <c r="P258" s="692"/>
      <c r="Q258" s="692"/>
    </row>
    <row r="259" spans="1:17" ht="15" customHeight="1" x14ac:dyDescent="0.25">
      <c r="A259" s="728">
        <f t="shared" si="9"/>
        <v>87.804878048780495</v>
      </c>
      <c r="B259" s="87" t="s">
        <v>2868</v>
      </c>
      <c r="C259" s="87" t="s">
        <v>2872</v>
      </c>
      <c r="D259" s="87">
        <v>18000</v>
      </c>
      <c r="E259" s="87">
        <v>205</v>
      </c>
      <c r="F259" s="563">
        <f t="shared" si="10"/>
        <v>18000</v>
      </c>
      <c r="G259" s="87">
        <f t="shared" si="8"/>
        <v>0</v>
      </c>
      <c r="H259" s="690"/>
      <c r="I259" s="693"/>
      <c r="J259" s="692"/>
      <c r="K259" s="692"/>
      <c r="L259" s="692"/>
      <c r="M259" s="692"/>
      <c r="N259" s="692"/>
      <c r="O259" s="692"/>
      <c r="P259" s="692"/>
      <c r="Q259" s="692"/>
    </row>
    <row r="260" spans="1:17" ht="15" customHeight="1" x14ac:dyDescent="0.25">
      <c r="A260" s="728">
        <f t="shared" si="9"/>
        <v>87.323943661971825</v>
      </c>
      <c r="B260" s="87" t="s">
        <v>2868</v>
      </c>
      <c r="C260" s="87" t="s">
        <v>2370</v>
      </c>
      <c r="D260" s="87">
        <v>31000</v>
      </c>
      <c r="E260" s="87">
        <v>355</v>
      </c>
      <c r="F260" s="563">
        <f t="shared" si="10"/>
        <v>31000</v>
      </c>
      <c r="G260" s="87">
        <f t="shared" si="8"/>
        <v>0</v>
      </c>
      <c r="H260" s="690"/>
      <c r="I260" s="693"/>
      <c r="J260" s="692"/>
      <c r="K260" s="692"/>
      <c r="L260" s="692"/>
      <c r="M260" s="692"/>
      <c r="N260" s="692"/>
      <c r="O260" s="692"/>
      <c r="P260" s="692"/>
      <c r="Q260" s="692"/>
    </row>
    <row r="261" spans="1:17" ht="15" customHeight="1" x14ac:dyDescent="0.25">
      <c r="A261" s="728">
        <f t="shared" si="9"/>
        <v>88.495575221238937</v>
      </c>
      <c r="B261" s="87" t="s">
        <v>2868</v>
      </c>
      <c r="C261" s="87" t="s">
        <v>2875</v>
      </c>
      <c r="D261" s="87">
        <v>10000</v>
      </c>
      <c r="E261" s="87">
        <v>113</v>
      </c>
      <c r="F261" s="563">
        <f t="shared" si="10"/>
        <v>10000</v>
      </c>
      <c r="G261" s="87">
        <f t="shared" si="8"/>
        <v>0</v>
      </c>
      <c r="H261" s="690"/>
      <c r="I261" s="693"/>
      <c r="J261" s="692"/>
      <c r="K261" s="692"/>
      <c r="L261" s="692"/>
      <c r="M261" s="692"/>
      <c r="N261" s="692"/>
      <c r="O261" s="692"/>
      <c r="P261" s="692"/>
      <c r="Q261" s="692"/>
    </row>
    <row r="262" spans="1:17" ht="15" customHeight="1" x14ac:dyDescent="0.25">
      <c r="A262" s="728">
        <f t="shared" si="9"/>
        <v>88.235294117647058</v>
      </c>
      <c r="B262" s="87" t="s">
        <v>2868</v>
      </c>
      <c r="C262" s="87" t="s">
        <v>2876</v>
      </c>
      <c r="D262" s="87">
        <v>15000</v>
      </c>
      <c r="E262" s="87">
        <v>170</v>
      </c>
      <c r="F262" s="563">
        <f t="shared" si="10"/>
        <v>15000</v>
      </c>
      <c r="G262" s="87">
        <f t="shared" si="8"/>
        <v>0</v>
      </c>
      <c r="H262" s="690"/>
      <c r="I262" s="693"/>
      <c r="J262" s="692"/>
      <c r="K262" s="692"/>
      <c r="L262" s="692"/>
      <c r="M262" s="692"/>
      <c r="N262" s="692"/>
      <c r="O262" s="692"/>
      <c r="P262" s="692"/>
      <c r="Q262" s="692"/>
    </row>
    <row r="263" spans="1:17" ht="15" customHeight="1" x14ac:dyDescent="0.25">
      <c r="A263" s="728">
        <f t="shared" ref="A263:A325" si="11">D263/E263</f>
        <v>92.936802973977692</v>
      </c>
      <c r="B263" s="87" t="s">
        <v>2868</v>
      </c>
      <c r="C263" s="87" t="s">
        <v>2877</v>
      </c>
      <c r="D263" s="87">
        <v>25000</v>
      </c>
      <c r="E263" s="87">
        <v>269</v>
      </c>
      <c r="F263" s="563">
        <f t="shared" ref="F263:F325" si="12">D263</f>
        <v>25000</v>
      </c>
      <c r="G263" s="87">
        <f t="shared" si="8"/>
        <v>0</v>
      </c>
      <c r="H263" s="690"/>
      <c r="I263" s="693"/>
      <c r="J263" s="692"/>
      <c r="K263" s="692"/>
      <c r="L263" s="692"/>
      <c r="M263" s="692"/>
      <c r="N263" s="692"/>
      <c r="O263" s="692"/>
      <c r="P263" s="692"/>
      <c r="Q263" s="692"/>
    </row>
    <row r="264" spans="1:17" ht="15" customHeight="1" x14ac:dyDescent="0.25">
      <c r="A264" s="728">
        <f t="shared" si="11"/>
        <v>88.235294117647058</v>
      </c>
      <c r="B264" s="87" t="s">
        <v>2868</v>
      </c>
      <c r="C264" s="87" t="s">
        <v>2874</v>
      </c>
      <c r="D264" s="87">
        <v>15000</v>
      </c>
      <c r="E264" s="87">
        <v>170</v>
      </c>
      <c r="F264" s="563">
        <f t="shared" si="12"/>
        <v>15000</v>
      </c>
      <c r="G264" s="87">
        <f t="shared" si="8"/>
        <v>0</v>
      </c>
      <c r="H264" s="690"/>
      <c r="I264" s="693"/>
      <c r="J264" s="692"/>
      <c r="K264" s="692"/>
      <c r="L264" s="692"/>
      <c r="M264" s="692"/>
      <c r="N264" s="692"/>
      <c r="O264" s="692"/>
      <c r="P264" s="692"/>
      <c r="Q264" s="692"/>
    </row>
    <row r="265" spans="1:17" ht="15" customHeight="1" x14ac:dyDescent="0.25">
      <c r="A265" s="728">
        <f t="shared" si="11"/>
        <v>98.039215686274503</v>
      </c>
      <c r="B265" s="87" t="s">
        <v>2868</v>
      </c>
      <c r="C265" s="87" t="s">
        <v>66</v>
      </c>
      <c r="D265" s="87">
        <v>100</v>
      </c>
      <c r="E265" s="87">
        <v>1.02</v>
      </c>
      <c r="F265" s="563">
        <f t="shared" si="12"/>
        <v>100</v>
      </c>
      <c r="G265" s="87">
        <f t="shared" si="8"/>
        <v>0</v>
      </c>
      <c r="H265" s="690"/>
      <c r="I265" s="693"/>
      <c r="J265" s="692"/>
      <c r="K265" s="692"/>
      <c r="L265" s="692"/>
      <c r="M265" s="692"/>
      <c r="N265" s="692"/>
      <c r="O265" s="692"/>
      <c r="P265" s="692"/>
      <c r="Q265" s="692"/>
    </row>
    <row r="266" spans="1:17" ht="15" customHeight="1" x14ac:dyDescent="0.25">
      <c r="A266" s="728">
        <f t="shared" si="11"/>
        <v>88.105726872246692</v>
      </c>
      <c r="B266" s="87" t="s">
        <v>2873</v>
      </c>
      <c r="C266" s="87" t="s">
        <v>1862</v>
      </c>
      <c r="D266" s="87">
        <v>20000</v>
      </c>
      <c r="E266" s="87">
        <v>227</v>
      </c>
      <c r="F266" s="563">
        <f t="shared" si="12"/>
        <v>20000</v>
      </c>
      <c r="G266" s="87">
        <f t="shared" si="8"/>
        <v>0</v>
      </c>
      <c r="H266" s="690"/>
      <c r="I266" s="693"/>
      <c r="J266" s="692"/>
      <c r="K266" s="692"/>
      <c r="L266" s="692"/>
      <c r="M266" s="692"/>
      <c r="N266" s="692"/>
      <c r="O266" s="692"/>
      <c r="P266" s="692"/>
      <c r="Q266" s="692"/>
    </row>
    <row r="267" spans="1:17" ht="15" customHeight="1" x14ac:dyDescent="0.25">
      <c r="A267" s="728">
        <f t="shared" si="11"/>
        <v>87.912087912087912</v>
      </c>
      <c r="B267" s="87" t="s">
        <v>2873</v>
      </c>
      <c r="C267" s="87" t="s">
        <v>2515</v>
      </c>
      <c r="D267" s="87">
        <v>16000</v>
      </c>
      <c r="E267" s="87">
        <v>182</v>
      </c>
      <c r="F267" s="563">
        <f t="shared" si="12"/>
        <v>16000</v>
      </c>
      <c r="G267" s="87">
        <f t="shared" si="8"/>
        <v>0</v>
      </c>
      <c r="H267" s="690"/>
      <c r="I267" s="693"/>
      <c r="J267" s="692"/>
      <c r="K267" s="692"/>
      <c r="L267" s="692"/>
      <c r="M267" s="692"/>
      <c r="N267" s="692"/>
      <c r="O267" s="692"/>
      <c r="P267" s="692"/>
      <c r="Q267" s="692"/>
    </row>
    <row r="268" spans="1:17" ht="15" customHeight="1" x14ac:dyDescent="0.25">
      <c r="A268" s="728">
        <f t="shared" si="11"/>
        <v>87.912087912087912</v>
      </c>
      <c r="B268" s="87" t="s">
        <v>2873</v>
      </c>
      <c r="C268" s="87" t="s">
        <v>2879</v>
      </c>
      <c r="D268" s="87">
        <v>16000</v>
      </c>
      <c r="E268" s="87">
        <v>182</v>
      </c>
      <c r="F268" s="563">
        <f t="shared" si="12"/>
        <v>16000</v>
      </c>
      <c r="G268" s="87">
        <f t="shared" si="8"/>
        <v>0</v>
      </c>
      <c r="H268" s="690"/>
      <c r="I268" s="693"/>
      <c r="J268" s="692"/>
      <c r="K268" s="692"/>
      <c r="L268" s="692"/>
      <c r="M268" s="692"/>
      <c r="N268" s="692"/>
      <c r="O268" s="692"/>
      <c r="P268" s="692"/>
      <c r="Q268" s="692"/>
    </row>
    <row r="269" spans="1:17" ht="15" customHeight="1" x14ac:dyDescent="0.25">
      <c r="A269" s="728">
        <f t="shared" si="11"/>
        <v>92.783505154639172</v>
      </c>
      <c r="B269" s="87" t="s">
        <v>2873</v>
      </c>
      <c r="C269" s="87" t="s">
        <v>2880</v>
      </c>
      <c r="D269" s="87">
        <v>27000</v>
      </c>
      <c r="E269" s="87">
        <v>291</v>
      </c>
      <c r="F269" s="563">
        <f t="shared" si="12"/>
        <v>27000</v>
      </c>
      <c r="G269" s="87">
        <f t="shared" si="8"/>
        <v>0</v>
      </c>
      <c r="H269" s="690"/>
      <c r="I269" s="693"/>
      <c r="J269" s="692"/>
      <c r="K269" s="692"/>
      <c r="L269" s="692"/>
      <c r="M269" s="692"/>
      <c r="N269" s="692"/>
      <c r="O269" s="692"/>
      <c r="P269" s="692"/>
      <c r="Q269" s="692"/>
    </row>
    <row r="270" spans="1:17" ht="15" customHeight="1" x14ac:dyDescent="0.25">
      <c r="A270" s="728">
        <f t="shared" si="11"/>
        <v>99.616858237547888</v>
      </c>
      <c r="B270" s="87" t="s">
        <v>2873</v>
      </c>
      <c r="C270" s="87" t="s">
        <v>1892</v>
      </c>
      <c r="D270" s="87">
        <v>26000</v>
      </c>
      <c r="E270" s="87">
        <v>261</v>
      </c>
      <c r="F270" s="563">
        <f t="shared" si="12"/>
        <v>26000</v>
      </c>
      <c r="G270" s="87">
        <f t="shared" si="8"/>
        <v>0</v>
      </c>
      <c r="H270" s="690"/>
      <c r="I270" s="693"/>
      <c r="J270" s="692"/>
      <c r="K270" s="692"/>
      <c r="L270" s="692"/>
      <c r="M270" s="692"/>
      <c r="N270" s="692"/>
      <c r="O270" s="692"/>
      <c r="P270" s="692"/>
      <c r="Q270" s="692"/>
    </row>
    <row r="271" spans="1:17" ht="15" customHeight="1" x14ac:dyDescent="0.25">
      <c r="A271" s="728">
        <f t="shared" si="11"/>
        <v>87.912087912087912</v>
      </c>
      <c r="B271" s="87" t="s">
        <v>2873</v>
      </c>
      <c r="C271" s="87" t="s">
        <v>2881</v>
      </c>
      <c r="D271" s="87">
        <v>8000</v>
      </c>
      <c r="E271" s="87">
        <v>91</v>
      </c>
      <c r="F271" s="563">
        <f t="shared" si="12"/>
        <v>8000</v>
      </c>
      <c r="G271" s="87">
        <f t="shared" si="8"/>
        <v>0</v>
      </c>
      <c r="H271" s="690"/>
      <c r="I271" s="693"/>
      <c r="J271" s="692"/>
      <c r="K271" s="692"/>
      <c r="L271" s="692"/>
      <c r="M271" s="692"/>
      <c r="N271" s="692"/>
      <c r="O271" s="692"/>
      <c r="P271" s="692"/>
      <c r="Q271" s="692"/>
    </row>
    <row r="272" spans="1:17" ht="15" customHeight="1" x14ac:dyDescent="0.25">
      <c r="A272" s="728">
        <f t="shared" si="11"/>
        <v>87.912087912087912</v>
      </c>
      <c r="B272" s="87" t="s">
        <v>2873</v>
      </c>
      <c r="C272" s="87" t="s">
        <v>2882</v>
      </c>
      <c r="D272" s="87">
        <v>8000</v>
      </c>
      <c r="E272" s="87">
        <v>91</v>
      </c>
      <c r="F272" s="563">
        <f t="shared" si="12"/>
        <v>8000</v>
      </c>
      <c r="G272" s="87">
        <f t="shared" si="8"/>
        <v>0</v>
      </c>
      <c r="H272" s="690"/>
      <c r="I272" s="693"/>
      <c r="J272" s="692"/>
      <c r="K272" s="692"/>
      <c r="L272" s="692"/>
      <c r="M272" s="692"/>
      <c r="N272" s="692"/>
      <c r="O272" s="692"/>
      <c r="P272" s="692"/>
      <c r="Q272" s="692"/>
    </row>
    <row r="273" spans="1:17" ht="15" customHeight="1" x14ac:dyDescent="0.25">
      <c r="A273" s="728">
        <f t="shared" si="11"/>
        <v>88</v>
      </c>
      <c r="B273" s="87" t="s">
        <v>2873</v>
      </c>
      <c r="C273" s="87" t="s">
        <v>2883</v>
      </c>
      <c r="D273" s="87">
        <v>22000</v>
      </c>
      <c r="E273" s="87">
        <v>250</v>
      </c>
      <c r="F273" s="563">
        <f t="shared" si="12"/>
        <v>22000</v>
      </c>
      <c r="G273" s="87">
        <f t="shared" si="8"/>
        <v>0</v>
      </c>
      <c r="H273" s="690"/>
      <c r="I273" s="693"/>
      <c r="J273" s="692"/>
      <c r="K273" s="692"/>
      <c r="L273" s="692"/>
      <c r="M273" s="692"/>
      <c r="N273" s="692"/>
      <c r="O273" s="692"/>
      <c r="P273" s="692"/>
      <c r="Q273" s="692"/>
    </row>
    <row r="274" spans="1:17" ht="15" customHeight="1" x14ac:dyDescent="0.25">
      <c r="A274" s="728">
        <f t="shared" si="11"/>
        <v>88</v>
      </c>
      <c r="B274" s="87" t="s">
        <v>2873</v>
      </c>
      <c r="C274" s="87" t="s">
        <v>2884</v>
      </c>
      <c r="D274" s="87">
        <v>22000</v>
      </c>
      <c r="E274" s="87">
        <v>250</v>
      </c>
      <c r="F274" s="563">
        <f t="shared" si="12"/>
        <v>22000</v>
      </c>
      <c r="G274" s="87">
        <f t="shared" si="8"/>
        <v>0</v>
      </c>
      <c r="H274" s="690"/>
      <c r="I274" s="693"/>
      <c r="J274" s="692"/>
      <c r="K274" s="692"/>
      <c r="L274" s="692"/>
      <c r="M274" s="692"/>
      <c r="N274" s="692"/>
      <c r="O274" s="692"/>
      <c r="P274" s="692"/>
      <c r="Q274" s="692"/>
    </row>
    <row r="275" spans="1:17" ht="15" customHeight="1" x14ac:dyDescent="0.25">
      <c r="A275" s="728">
        <f t="shared" si="11"/>
        <v>87.5</v>
      </c>
      <c r="B275" s="87" t="s">
        <v>2873</v>
      </c>
      <c r="C275" s="87" t="s">
        <v>2885</v>
      </c>
      <c r="D275" s="87">
        <v>21000</v>
      </c>
      <c r="E275" s="87">
        <v>240</v>
      </c>
      <c r="F275" s="563">
        <f t="shared" si="12"/>
        <v>21000</v>
      </c>
      <c r="G275" s="87">
        <f t="shared" si="8"/>
        <v>0</v>
      </c>
      <c r="H275" s="690"/>
      <c r="I275" s="693"/>
      <c r="J275" s="692"/>
      <c r="K275" s="692"/>
      <c r="L275" s="692"/>
      <c r="M275" s="692"/>
      <c r="N275" s="692"/>
      <c r="O275" s="692"/>
      <c r="P275" s="692"/>
      <c r="Q275" s="692"/>
    </row>
    <row r="276" spans="1:17" ht="15" customHeight="1" x14ac:dyDescent="0.25">
      <c r="A276" s="728">
        <f t="shared" si="11"/>
        <v>88.105726872246692</v>
      </c>
      <c r="B276" s="87" t="s">
        <v>2873</v>
      </c>
      <c r="C276" s="87" t="s">
        <v>2886</v>
      </c>
      <c r="D276" s="87">
        <v>20000</v>
      </c>
      <c r="E276" s="87">
        <v>227</v>
      </c>
      <c r="F276" s="563">
        <f t="shared" si="12"/>
        <v>20000</v>
      </c>
      <c r="G276" s="87">
        <f t="shared" si="8"/>
        <v>0</v>
      </c>
      <c r="H276" s="690"/>
      <c r="I276" s="693"/>
      <c r="J276" s="692"/>
      <c r="K276" s="692"/>
      <c r="L276" s="692"/>
      <c r="M276" s="692"/>
      <c r="N276" s="692"/>
      <c r="O276" s="692"/>
      <c r="P276" s="692"/>
      <c r="Q276" s="692"/>
    </row>
    <row r="277" spans="1:17" ht="15" customHeight="1" x14ac:dyDescent="0.25">
      <c r="A277" s="728">
        <f t="shared" si="11"/>
        <v>88.105726872246692</v>
      </c>
      <c r="B277" s="87" t="s">
        <v>2873</v>
      </c>
      <c r="C277" s="87" t="s">
        <v>2887</v>
      </c>
      <c r="D277" s="87">
        <v>20000</v>
      </c>
      <c r="E277" s="87">
        <v>227</v>
      </c>
      <c r="F277" s="563">
        <f t="shared" si="12"/>
        <v>20000</v>
      </c>
      <c r="G277" s="87">
        <f t="shared" si="8"/>
        <v>0</v>
      </c>
      <c r="H277" s="690"/>
      <c r="I277" s="693"/>
      <c r="J277" s="692"/>
      <c r="K277" s="692"/>
      <c r="L277" s="692"/>
      <c r="M277" s="692"/>
      <c r="N277" s="692"/>
      <c r="O277" s="692"/>
      <c r="P277" s="692"/>
      <c r="Q277" s="692"/>
    </row>
    <row r="278" spans="1:17" ht="15" customHeight="1" x14ac:dyDescent="0.25">
      <c r="A278" s="728">
        <f t="shared" si="11"/>
        <v>87.912087912087912</v>
      </c>
      <c r="B278" s="87" t="s">
        <v>2873</v>
      </c>
      <c r="C278" s="87" t="s">
        <v>30</v>
      </c>
      <c r="D278" s="87">
        <v>8000</v>
      </c>
      <c r="E278" s="87">
        <v>91</v>
      </c>
      <c r="F278" s="563">
        <f t="shared" si="12"/>
        <v>8000</v>
      </c>
      <c r="G278" s="87">
        <f t="shared" si="8"/>
        <v>0</v>
      </c>
      <c r="H278" s="690"/>
      <c r="I278" s="693"/>
      <c r="J278" s="692"/>
      <c r="K278" s="692"/>
      <c r="L278" s="692"/>
      <c r="M278" s="692"/>
      <c r="N278" s="692"/>
      <c r="O278" s="692"/>
      <c r="P278" s="692"/>
      <c r="Q278" s="692"/>
    </row>
    <row r="279" spans="1:17" ht="15" customHeight="1" x14ac:dyDescent="0.25">
      <c r="A279" s="728">
        <f t="shared" si="11"/>
        <v>87.86610878661088</v>
      </c>
      <c r="B279" s="87" t="s">
        <v>2873</v>
      </c>
      <c r="C279" s="87" t="s">
        <v>2888</v>
      </c>
      <c r="D279" s="87">
        <v>21000</v>
      </c>
      <c r="E279" s="87">
        <v>239</v>
      </c>
      <c r="F279" s="563">
        <f t="shared" si="12"/>
        <v>21000</v>
      </c>
      <c r="G279" s="87">
        <f t="shared" si="8"/>
        <v>0</v>
      </c>
      <c r="H279" s="690"/>
      <c r="I279" s="693"/>
      <c r="J279" s="692"/>
      <c r="K279" s="692"/>
      <c r="L279" s="692"/>
      <c r="M279" s="692"/>
      <c r="N279" s="692"/>
      <c r="O279" s="692"/>
      <c r="P279" s="692"/>
      <c r="Q279" s="692"/>
    </row>
    <row r="280" spans="1:17" ht="15" customHeight="1" x14ac:dyDescent="0.25">
      <c r="A280" s="728">
        <f t="shared" si="11"/>
        <v>88.028169014084511</v>
      </c>
      <c r="B280" s="87" t="s">
        <v>2873</v>
      </c>
      <c r="C280" s="87" t="s">
        <v>2889</v>
      </c>
      <c r="D280" s="87">
        <v>25000</v>
      </c>
      <c r="E280" s="87">
        <v>284</v>
      </c>
      <c r="F280" s="563">
        <f t="shared" si="12"/>
        <v>25000</v>
      </c>
      <c r="G280" s="87">
        <f t="shared" si="8"/>
        <v>0</v>
      </c>
      <c r="H280" s="690"/>
      <c r="I280" s="693"/>
      <c r="J280" s="692"/>
      <c r="K280" s="692"/>
      <c r="L280" s="692"/>
      <c r="M280" s="692"/>
      <c r="N280" s="692"/>
      <c r="O280" s="692"/>
      <c r="P280" s="692"/>
      <c r="Q280" s="692"/>
    </row>
    <row r="281" spans="1:17" ht="15" customHeight="1" x14ac:dyDescent="0.25">
      <c r="A281" s="728">
        <f t="shared" si="11"/>
        <v>87.976539589442808</v>
      </c>
      <c r="B281" s="87" t="s">
        <v>2873</v>
      </c>
      <c r="C281" s="87" t="s">
        <v>2890</v>
      </c>
      <c r="D281" s="87">
        <v>30000</v>
      </c>
      <c r="E281" s="87">
        <v>341</v>
      </c>
      <c r="F281" s="563">
        <f t="shared" si="12"/>
        <v>30000</v>
      </c>
      <c r="G281" s="87">
        <f t="shared" si="8"/>
        <v>0</v>
      </c>
      <c r="H281" s="690"/>
      <c r="I281" s="693"/>
      <c r="J281" s="692"/>
      <c r="K281" s="692"/>
      <c r="L281" s="692"/>
      <c r="M281" s="692"/>
      <c r="N281" s="692"/>
      <c r="O281" s="692"/>
      <c r="P281" s="692"/>
      <c r="Q281" s="692"/>
    </row>
    <row r="282" spans="1:17" ht="15" customHeight="1" x14ac:dyDescent="0.25">
      <c r="A282" s="728">
        <f t="shared" si="11"/>
        <v>88.105726872246692</v>
      </c>
      <c r="B282" s="87" t="s">
        <v>2873</v>
      </c>
      <c r="C282" s="87" t="s">
        <v>2891</v>
      </c>
      <c r="D282" s="87">
        <v>20000</v>
      </c>
      <c r="E282" s="87">
        <v>227</v>
      </c>
      <c r="F282" s="563">
        <f t="shared" si="12"/>
        <v>20000</v>
      </c>
      <c r="G282" s="87">
        <f t="shared" si="8"/>
        <v>0</v>
      </c>
      <c r="H282" s="690"/>
      <c r="I282" s="693"/>
      <c r="J282" s="692"/>
      <c r="K282" s="692"/>
      <c r="L282" s="692"/>
      <c r="M282" s="692"/>
      <c r="N282" s="692"/>
      <c r="O282" s="692"/>
      <c r="P282" s="692"/>
      <c r="Q282" s="692"/>
    </row>
    <row r="283" spans="1:17" ht="15" customHeight="1" x14ac:dyDescent="0.25">
      <c r="A283" s="728">
        <f t="shared" si="11"/>
        <v>69.696969696969703</v>
      </c>
      <c r="B283" s="87" t="s">
        <v>2873</v>
      </c>
      <c r="C283" s="87" t="s">
        <v>2696</v>
      </c>
      <c r="D283" s="87">
        <v>23000</v>
      </c>
      <c r="E283" s="87">
        <v>330</v>
      </c>
      <c r="F283" s="563">
        <f t="shared" si="12"/>
        <v>23000</v>
      </c>
      <c r="G283" s="87">
        <f t="shared" si="8"/>
        <v>0</v>
      </c>
      <c r="H283" s="690"/>
      <c r="I283" s="693"/>
      <c r="J283" s="692"/>
      <c r="K283" s="692"/>
      <c r="L283" s="692"/>
      <c r="M283" s="692"/>
      <c r="N283" s="692"/>
      <c r="O283" s="692"/>
      <c r="P283" s="692"/>
      <c r="Q283" s="692"/>
    </row>
    <row r="284" spans="1:17" ht="15" customHeight="1" x14ac:dyDescent="0.25">
      <c r="A284" s="728">
        <f t="shared" si="11"/>
        <v>88</v>
      </c>
      <c r="B284" s="87" t="s">
        <v>2873</v>
      </c>
      <c r="C284" s="87" t="s">
        <v>2892</v>
      </c>
      <c r="D284" s="87">
        <v>22000</v>
      </c>
      <c r="E284" s="87">
        <v>250</v>
      </c>
      <c r="F284" s="563">
        <f t="shared" si="12"/>
        <v>22000</v>
      </c>
      <c r="G284" s="87">
        <f t="shared" si="8"/>
        <v>0</v>
      </c>
      <c r="H284" s="690"/>
      <c r="I284" s="693"/>
      <c r="J284" s="692"/>
      <c r="K284" s="692"/>
      <c r="L284" s="692"/>
      <c r="M284" s="692"/>
      <c r="N284" s="692"/>
      <c r="O284" s="692"/>
      <c r="P284" s="692"/>
      <c r="Q284" s="692"/>
    </row>
    <row r="285" spans="1:17" ht="15" customHeight="1" x14ac:dyDescent="0.25">
      <c r="A285" s="728">
        <f t="shared" si="11"/>
        <v>88.028169014084511</v>
      </c>
      <c r="B285" s="87" t="s">
        <v>2873</v>
      </c>
      <c r="C285" s="87" t="s">
        <v>2893</v>
      </c>
      <c r="D285" s="87">
        <v>25000</v>
      </c>
      <c r="E285" s="87">
        <v>284</v>
      </c>
      <c r="F285" s="563">
        <f t="shared" si="12"/>
        <v>25000</v>
      </c>
      <c r="G285" s="87">
        <f t="shared" si="8"/>
        <v>0</v>
      </c>
      <c r="H285" s="690"/>
      <c r="I285" s="693"/>
      <c r="J285" s="692"/>
      <c r="K285" s="692"/>
      <c r="L285" s="692"/>
      <c r="M285" s="692"/>
      <c r="N285" s="692"/>
      <c r="O285" s="692"/>
      <c r="P285" s="692"/>
      <c r="Q285" s="692"/>
    </row>
    <row r="286" spans="1:17" ht="15" customHeight="1" x14ac:dyDescent="0.25">
      <c r="A286" s="728">
        <f t="shared" si="11"/>
        <v>88</v>
      </c>
      <c r="B286" s="87" t="s">
        <v>2873</v>
      </c>
      <c r="C286" s="87" t="s">
        <v>2894</v>
      </c>
      <c r="D286" s="87">
        <v>22000</v>
      </c>
      <c r="E286" s="87">
        <v>250</v>
      </c>
      <c r="F286" s="563">
        <f t="shared" si="12"/>
        <v>22000</v>
      </c>
      <c r="G286" s="87">
        <f t="shared" si="8"/>
        <v>0</v>
      </c>
      <c r="H286" s="690"/>
      <c r="I286" s="693"/>
      <c r="J286" s="692"/>
      <c r="K286" s="692"/>
      <c r="L286" s="692"/>
      <c r="M286" s="692"/>
      <c r="N286" s="692"/>
      <c r="O286" s="692"/>
      <c r="P286" s="692"/>
      <c r="Q286" s="692"/>
    </row>
    <row r="287" spans="1:17" ht="15" customHeight="1" x14ac:dyDescent="0.25">
      <c r="A287" s="728">
        <f t="shared" si="11"/>
        <v>72.202166064981952</v>
      </c>
      <c r="B287" s="87" t="s">
        <v>2895</v>
      </c>
      <c r="C287" s="87" t="s">
        <v>2896</v>
      </c>
      <c r="D287" s="87">
        <v>20000</v>
      </c>
      <c r="E287" s="87">
        <v>277</v>
      </c>
      <c r="F287" s="563">
        <f t="shared" si="12"/>
        <v>20000</v>
      </c>
      <c r="G287" s="87">
        <f t="shared" si="8"/>
        <v>0</v>
      </c>
      <c r="H287" s="690"/>
      <c r="I287" s="693"/>
      <c r="J287" s="692"/>
      <c r="K287" s="692"/>
      <c r="L287" s="692"/>
      <c r="M287" s="692"/>
      <c r="N287" s="692"/>
      <c r="O287" s="692"/>
      <c r="P287" s="692"/>
      <c r="Q287" s="692"/>
    </row>
    <row r="288" spans="1:17" ht="15" customHeight="1" x14ac:dyDescent="0.25">
      <c r="A288" s="728">
        <f t="shared" si="11"/>
        <v>87.786259541984734</v>
      </c>
      <c r="B288" s="87" t="s">
        <v>2895</v>
      </c>
      <c r="C288" s="87" t="s">
        <v>2897</v>
      </c>
      <c r="D288" s="87">
        <v>23000</v>
      </c>
      <c r="E288" s="87">
        <v>262</v>
      </c>
      <c r="F288" s="563">
        <f t="shared" si="12"/>
        <v>23000</v>
      </c>
      <c r="G288" s="87">
        <f t="shared" si="8"/>
        <v>0</v>
      </c>
      <c r="H288" s="690"/>
      <c r="I288" s="693"/>
      <c r="J288" s="692"/>
      <c r="K288" s="692"/>
      <c r="L288" s="692"/>
      <c r="M288" s="692"/>
      <c r="N288" s="692"/>
      <c r="O288" s="692"/>
      <c r="P288" s="692"/>
      <c r="Q288" s="692"/>
    </row>
    <row r="289" spans="1:17" ht="15" customHeight="1" x14ac:dyDescent="0.25">
      <c r="A289" s="728">
        <f t="shared" si="11"/>
        <v>89.285714285714292</v>
      </c>
      <c r="B289" s="87" t="s">
        <v>2895</v>
      </c>
      <c r="C289" s="87" t="s">
        <v>2130</v>
      </c>
      <c r="D289" s="87">
        <v>20000</v>
      </c>
      <c r="E289" s="87">
        <v>224</v>
      </c>
      <c r="F289" s="563">
        <f t="shared" si="12"/>
        <v>20000</v>
      </c>
      <c r="G289" s="87">
        <f t="shared" si="8"/>
        <v>0</v>
      </c>
      <c r="H289" s="690"/>
      <c r="I289" s="693"/>
      <c r="J289" s="692"/>
      <c r="K289" s="692"/>
      <c r="L289" s="692"/>
      <c r="M289" s="692"/>
      <c r="N289" s="692"/>
      <c r="O289" s="692"/>
      <c r="P289" s="692"/>
      <c r="Q289" s="692"/>
    </row>
    <row r="290" spans="1:17" ht="15" customHeight="1" x14ac:dyDescent="0.25">
      <c r="A290" s="728">
        <f t="shared" si="11"/>
        <v>87.912087912087912</v>
      </c>
      <c r="B290" s="87" t="s">
        <v>2895</v>
      </c>
      <c r="C290" s="87" t="s">
        <v>2898</v>
      </c>
      <c r="D290" s="87">
        <v>24000</v>
      </c>
      <c r="E290" s="87">
        <v>273</v>
      </c>
      <c r="F290" s="563">
        <f t="shared" si="12"/>
        <v>24000</v>
      </c>
      <c r="G290" s="87">
        <f t="shared" si="8"/>
        <v>0</v>
      </c>
      <c r="H290" s="690"/>
      <c r="I290" s="693"/>
      <c r="J290" s="692"/>
      <c r="K290" s="692"/>
      <c r="L290" s="692"/>
      <c r="M290" s="692"/>
      <c r="N290" s="692"/>
      <c r="O290" s="692"/>
      <c r="P290" s="692"/>
      <c r="Q290" s="692"/>
    </row>
    <row r="291" spans="1:17" ht="15" customHeight="1" x14ac:dyDescent="0.25">
      <c r="A291" s="728">
        <f t="shared" si="11"/>
        <v>87.912087912087912</v>
      </c>
      <c r="B291" s="87" t="s">
        <v>2895</v>
      </c>
      <c r="C291" s="87" t="s">
        <v>2899</v>
      </c>
      <c r="D291" s="87">
        <v>24000</v>
      </c>
      <c r="E291" s="87">
        <v>273</v>
      </c>
      <c r="F291" s="563">
        <f t="shared" si="12"/>
        <v>24000</v>
      </c>
      <c r="G291" s="87">
        <f t="shared" si="8"/>
        <v>0</v>
      </c>
      <c r="H291" s="690"/>
      <c r="I291" s="693"/>
      <c r="J291" s="692"/>
      <c r="K291" s="692"/>
      <c r="L291" s="692"/>
      <c r="M291" s="692"/>
      <c r="N291" s="692"/>
      <c r="O291" s="692"/>
      <c r="P291" s="692"/>
      <c r="Q291" s="692"/>
    </row>
    <row r="292" spans="1:17" ht="15" customHeight="1" x14ac:dyDescent="0.25">
      <c r="A292" s="728">
        <f t="shared" si="11"/>
        <v>88</v>
      </c>
      <c r="B292" s="87" t="s">
        <v>2895</v>
      </c>
      <c r="C292" s="87" t="s">
        <v>2900</v>
      </c>
      <c r="D292" s="87">
        <v>22000</v>
      </c>
      <c r="E292" s="87">
        <v>250</v>
      </c>
      <c r="F292" s="563">
        <f t="shared" si="12"/>
        <v>22000</v>
      </c>
      <c r="G292" s="87">
        <f t="shared" si="8"/>
        <v>0</v>
      </c>
      <c r="H292" s="690"/>
      <c r="I292" s="693"/>
      <c r="J292" s="692"/>
      <c r="K292" s="692"/>
      <c r="L292" s="692"/>
      <c r="M292" s="692"/>
      <c r="N292" s="692"/>
      <c r="O292" s="692"/>
      <c r="P292" s="692"/>
      <c r="Q292" s="692"/>
    </row>
    <row r="293" spans="1:17" ht="15" customHeight="1" x14ac:dyDescent="0.25">
      <c r="A293" s="728">
        <f t="shared" si="11"/>
        <v>88.028169014084511</v>
      </c>
      <c r="B293" s="87" t="s">
        <v>2895</v>
      </c>
      <c r="C293" s="87" t="s">
        <v>1724</v>
      </c>
      <c r="D293" s="87">
        <v>25000</v>
      </c>
      <c r="E293" s="87">
        <v>284</v>
      </c>
      <c r="F293" s="563">
        <f t="shared" si="12"/>
        <v>25000</v>
      </c>
      <c r="G293" s="87">
        <f t="shared" si="8"/>
        <v>0</v>
      </c>
      <c r="H293" s="690"/>
      <c r="I293" s="693"/>
      <c r="J293" s="692"/>
      <c r="K293" s="692"/>
      <c r="L293" s="692"/>
      <c r="M293" s="692"/>
      <c r="N293" s="692"/>
      <c r="O293" s="692"/>
      <c r="P293" s="692"/>
      <c r="Q293" s="692"/>
    </row>
    <row r="294" spans="1:17" ht="15" customHeight="1" x14ac:dyDescent="0.25">
      <c r="A294" s="728">
        <f t="shared" si="11"/>
        <v>103.55029585798816</v>
      </c>
      <c r="B294" s="87" t="s">
        <v>2895</v>
      </c>
      <c r="C294" s="87" t="s">
        <v>2901</v>
      </c>
      <c r="D294" s="87">
        <v>35000</v>
      </c>
      <c r="E294" s="87">
        <v>338</v>
      </c>
      <c r="F294" s="563">
        <f t="shared" si="12"/>
        <v>35000</v>
      </c>
      <c r="G294" s="87">
        <f t="shared" si="8"/>
        <v>0</v>
      </c>
      <c r="H294" s="690"/>
      <c r="I294" s="693"/>
      <c r="J294" s="692"/>
      <c r="K294" s="692"/>
      <c r="L294" s="692"/>
      <c r="M294" s="692"/>
      <c r="N294" s="692"/>
      <c r="O294" s="692"/>
      <c r="P294" s="692"/>
      <c r="Q294" s="692"/>
    </row>
    <row r="295" spans="1:17" ht="15" customHeight="1" x14ac:dyDescent="0.25">
      <c r="A295" s="728">
        <f t="shared" si="11"/>
        <v>87.912087912087912</v>
      </c>
      <c r="B295" s="87" t="s">
        <v>2895</v>
      </c>
      <c r="C295" s="87" t="s">
        <v>1855</v>
      </c>
      <c r="D295" s="87">
        <v>16000</v>
      </c>
      <c r="E295" s="87">
        <v>182</v>
      </c>
      <c r="F295" s="563">
        <f t="shared" si="12"/>
        <v>16000</v>
      </c>
      <c r="G295" s="87">
        <f t="shared" si="8"/>
        <v>0</v>
      </c>
      <c r="H295" s="690"/>
      <c r="I295" s="693"/>
      <c r="J295" s="692"/>
      <c r="K295" s="692"/>
      <c r="L295" s="692"/>
      <c r="M295" s="692"/>
      <c r="N295" s="692"/>
      <c r="O295" s="692"/>
      <c r="P295" s="692"/>
      <c r="Q295" s="692"/>
    </row>
    <row r="296" spans="1:17" ht="15" customHeight="1" x14ac:dyDescent="0.25">
      <c r="A296" s="728">
        <f t="shared" si="11"/>
        <v>88.082901554404145</v>
      </c>
      <c r="B296" s="87" t="s">
        <v>2895</v>
      </c>
      <c r="C296" s="87" t="s">
        <v>2044</v>
      </c>
      <c r="D296" s="87">
        <v>17000</v>
      </c>
      <c r="E296" s="87">
        <v>193</v>
      </c>
      <c r="F296" s="563">
        <f t="shared" si="12"/>
        <v>17000</v>
      </c>
      <c r="G296" s="87">
        <f t="shared" si="8"/>
        <v>0</v>
      </c>
      <c r="H296" s="690"/>
      <c r="I296" s="693"/>
      <c r="J296" s="692"/>
      <c r="K296" s="692"/>
      <c r="L296" s="692"/>
      <c r="M296" s="692"/>
      <c r="N296" s="692"/>
      <c r="O296" s="692"/>
      <c r="P296" s="692"/>
      <c r="Q296" s="692"/>
    </row>
    <row r="297" spans="1:17" ht="15" customHeight="1" x14ac:dyDescent="0.25">
      <c r="A297" s="728">
        <f t="shared" si="11"/>
        <v>87.786259541984734</v>
      </c>
      <c r="B297" s="87" t="s">
        <v>2895</v>
      </c>
      <c r="C297" s="87" t="s">
        <v>2902</v>
      </c>
      <c r="D297" s="87">
        <v>23000</v>
      </c>
      <c r="E297" s="87">
        <v>262</v>
      </c>
      <c r="F297" s="563">
        <f t="shared" si="12"/>
        <v>23000</v>
      </c>
      <c r="G297" s="87">
        <f t="shared" si="8"/>
        <v>0</v>
      </c>
      <c r="H297" s="690"/>
      <c r="I297" s="693"/>
      <c r="J297" s="692"/>
      <c r="K297" s="692"/>
      <c r="L297" s="692"/>
      <c r="M297" s="692"/>
      <c r="N297" s="692"/>
      <c r="O297" s="692"/>
      <c r="P297" s="692"/>
      <c r="Q297" s="692"/>
    </row>
    <row r="298" spans="1:17" ht="15" customHeight="1" x14ac:dyDescent="0.25">
      <c r="A298" s="728">
        <f t="shared" si="11"/>
        <v>89.928057553956833</v>
      </c>
      <c r="B298" s="87" t="s">
        <v>2895</v>
      </c>
      <c r="C298" s="87" t="s">
        <v>2903</v>
      </c>
      <c r="D298" s="87">
        <v>25000</v>
      </c>
      <c r="E298" s="87">
        <v>278</v>
      </c>
      <c r="F298" s="563">
        <f t="shared" si="12"/>
        <v>25000</v>
      </c>
      <c r="G298" s="87">
        <f t="shared" si="8"/>
        <v>0</v>
      </c>
      <c r="H298" s="690"/>
      <c r="I298" s="693"/>
      <c r="J298" s="692"/>
      <c r="K298" s="692"/>
      <c r="L298" s="692"/>
      <c r="M298" s="692"/>
      <c r="N298" s="692"/>
      <c r="O298" s="692"/>
      <c r="P298" s="692"/>
      <c r="Q298" s="692"/>
    </row>
    <row r="299" spans="1:17" ht="15" customHeight="1" x14ac:dyDescent="0.25">
      <c r="A299" s="728">
        <f t="shared" si="11"/>
        <v>92.05020920502092</v>
      </c>
      <c r="B299" s="87" t="s">
        <v>2895</v>
      </c>
      <c r="C299" s="87" t="s">
        <v>2081</v>
      </c>
      <c r="D299" s="87">
        <v>22000</v>
      </c>
      <c r="E299" s="87">
        <v>239</v>
      </c>
      <c r="F299" s="563">
        <f t="shared" si="12"/>
        <v>22000</v>
      </c>
      <c r="G299" s="87">
        <f t="shared" si="8"/>
        <v>0</v>
      </c>
      <c r="H299" s="690"/>
      <c r="I299" s="693"/>
      <c r="J299" s="692"/>
      <c r="K299" s="692"/>
      <c r="L299" s="692"/>
      <c r="M299" s="692"/>
      <c r="N299" s="692"/>
      <c r="O299" s="692"/>
      <c r="P299" s="692"/>
      <c r="Q299" s="692"/>
    </row>
    <row r="300" spans="1:17" ht="15" customHeight="1" x14ac:dyDescent="0.25">
      <c r="A300" s="728">
        <f t="shared" si="11"/>
        <v>88.495575221238937</v>
      </c>
      <c r="B300" s="87" t="s">
        <v>2895</v>
      </c>
      <c r="C300" s="87" t="s">
        <v>2904</v>
      </c>
      <c r="D300" s="87">
        <v>10000</v>
      </c>
      <c r="E300" s="87">
        <v>113</v>
      </c>
      <c r="F300" s="563">
        <f t="shared" si="12"/>
        <v>10000</v>
      </c>
      <c r="G300" s="87">
        <f t="shared" si="8"/>
        <v>0</v>
      </c>
      <c r="H300" s="690"/>
      <c r="I300" s="693"/>
      <c r="J300" s="692"/>
      <c r="K300" s="692"/>
      <c r="L300" s="692"/>
      <c r="M300" s="692"/>
      <c r="N300" s="692"/>
      <c r="O300" s="692"/>
      <c r="P300" s="692"/>
      <c r="Q300" s="692"/>
    </row>
    <row r="301" spans="1:17" ht="15" customHeight="1" x14ac:dyDescent="0.25">
      <c r="A301" s="728">
        <f t="shared" si="11"/>
        <v>88.082901554404145</v>
      </c>
      <c r="B301" s="87" t="s">
        <v>2895</v>
      </c>
      <c r="C301" s="87" t="s">
        <v>2905</v>
      </c>
      <c r="D301" s="87">
        <v>17000</v>
      </c>
      <c r="E301" s="87">
        <v>193</v>
      </c>
      <c r="F301" s="563">
        <f t="shared" si="12"/>
        <v>17000</v>
      </c>
      <c r="G301" s="87">
        <f t="shared" si="8"/>
        <v>0</v>
      </c>
      <c r="H301" s="690"/>
      <c r="I301" s="693"/>
      <c r="J301" s="692"/>
      <c r="K301" s="692"/>
      <c r="L301" s="692"/>
      <c r="M301" s="692"/>
      <c r="N301" s="692"/>
      <c r="O301" s="692"/>
      <c r="P301" s="692"/>
      <c r="Q301" s="692"/>
    </row>
    <row r="302" spans="1:17" ht="15" customHeight="1" x14ac:dyDescent="0.25">
      <c r="A302" s="728">
        <f t="shared" si="11"/>
        <v>88.028169014084511</v>
      </c>
      <c r="B302" s="87" t="s">
        <v>2895</v>
      </c>
      <c r="C302" s="87" t="s">
        <v>2906</v>
      </c>
      <c r="D302" s="87">
        <v>25000</v>
      </c>
      <c r="E302" s="87">
        <v>284</v>
      </c>
      <c r="F302" s="563">
        <f t="shared" si="12"/>
        <v>25000</v>
      </c>
      <c r="G302" s="87">
        <f t="shared" si="8"/>
        <v>0</v>
      </c>
      <c r="H302" s="690"/>
      <c r="I302" s="693"/>
      <c r="J302" s="692"/>
      <c r="K302" s="692"/>
      <c r="L302" s="692"/>
      <c r="M302" s="692"/>
      <c r="N302" s="692"/>
      <c r="O302" s="692"/>
      <c r="P302" s="692"/>
      <c r="Q302" s="692"/>
    </row>
    <row r="303" spans="1:17" ht="15" customHeight="1" x14ac:dyDescent="0.25">
      <c r="A303" s="728">
        <f t="shared" si="11"/>
        <v>88</v>
      </c>
      <c r="B303" s="87" t="s">
        <v>2895</v>
      </c>
      <c r="C303" s="87" t="s">
        <v>2080</v>
      </c>
      <c r="D303" s="87">
        <v>22000</v>
      </c>
      <c r="E303" s="87">
        <v>250</v>
      </c>
      <c r="F303" s="563">
        <f t="shared" si="12"/>
        <v>22000</v>
      </c>
      <c r="G303" s="87">
        <f t="shared" si="8"/>
        <v>0</v>
      </c>
      <c r="H303" s="690"/>
      <c r="I303" s="693"/>
      <c r="J303" s="692"/>
      <c r="K303" s="692"/>
      <c r="L303" s="692"/>
      <c r="M303" s="692"/>
      <c r="N303" s="692"/>
      <c r="O303" s="692"/>
      <c r="P303" s="692"/>
      <c r="Q303" s="692"/>
    </row>
    <row r="304" spans="1:17" ht="15" customHeight="1" x14ac:dyDescent="0.25">
      <c r="A304" s="728">
        <f t="shared" si="11"/>
        <v>87.837837837837839</v>
      </c>
      <c r="B304" s="87" t="s">
        <v>2895</v>
      </c>
      <c r="C304" s="87" t="s">
        <v>1822</v>
      </c>
      <c r="D304" s="87">
        <v>26000</v>
      </c>
      <c r="E304" s="87">
        <v>296</v>
      </c>
      <c r="F304" s="563">
        <f t="shared" si="12"/>
        <v>26000</v>
      </c>
      <c r="G304" s="87">
        <f t="shared" si="8"/>
        <v>0</v>
      </c>
      <c r="H304" s="690"/>
      <c r="I304" s="693"/>
      <c r="J304" s="692"/>
      <c r="K304" s="692"/>
      <c r="L304" s="692"/>
      <c r="M304" s="692"/>
      <c r="N304" s="692"/>
      <c r="O304" s="692"/>
      <c r="P304" s="692"/>
      <c r="Q304" s="692"/>
    </row>
    <row r="305" spans="1:17" ht="15" customHeight="1" x14ac:dyDescent="0.25">
      <c r="A305" s="728">
        <f t="shared" si="11"/>
        <v>87.837837837837839</v>
      </c>
      <c r="B305" s="87" t="s">
        <v>2895</v>
      </c>
      <c r="C305" s="87" t="s">
        <v>2713</v>
      </c>
      <c r="D305" s="87">
        <v>13000</v>
      </c>
      <c r="E305" s="87">
        <v>148</v>
      </c>
      <c r="F305" s="563">
        <f t="shared" si="12"/>
        <v>13000</v>
      </c>
      <c r="G305" s="87">
        <f t="shared" si="8"/>
        <v>0</v>
      </c>
      <c r="H305" s="690"/>
      <c r="I305" s="693"/>
      <c r="J305" s="692"/>
      <c r="K305" s="692"/>
      <c r="L305" s="692"/>
      <c r="M305" s="692"/>
      <c r="N305" s="692"/>
      <c r="O305" s="692"/>
      <c r="P305" s="692"/>
      <c r="Q305" s="692"/>
    </row>
    <row r="306" spans="1:17" ht="15" customHeight="1" x14ac:dyDescent="0.25">
      <c r="A306" s="728">
        <f t="shared" si="11"/>
        <v>88</v>
      </c>
      <c r="B306" s="87" t="s">
        <v>2895</v>
      </c>
      <c r="C306" s="87" t="s">
        <v>2078</v>
      </c>
      <c r="D306" s="87">
        <v>22000</v>
      </c>
      <c r="E306" s="87">
        <v>250</v>
      </c>
      <c r="F306" s="563">
        <f t="shared" si="12"/>
        <v>22000</v>
      </c>
      <c r="G306" s="87">
        <f t="shared" si="8"/>
        <v>0</v>
      </c>
      <c r="H306" s="690"/>
      <c r="I306" s="693"/>
      <c r="J306" s="692"/>
      <c r="K306" s="692"/>
      <c r="L306" s="692"/>
      <c r="M306" s="692"/>
      <c r="N306" s="692"/>
      <c r="O306" s="692"/>
      <c r="P306" s="692"/>
      <c r="Q306" s="692"/>
    </row>
    <row r="307" spans="1:17" ht="15" customHeight="1" x14ac:dyDescent="0.25">
      <c r="A307" s="728">
        <f t="shared" si="11"/>
        <v>88.105726872246692</v>
      </c>
      <c r="B307" s="87" t="s">
        <v>2895</v>
      </c>
      <c r="C307" s="87" t="s">
        <v>2907</v>
      </c>
      <c r="D307" s="87">
        <v>20000</v>
      </c>
      <c r="E307" s="87">
        <v>227</v>
      </c>
      <c r="F307" s="563">
        <f t="shared" si="12"/>
        <v>20000</v>
      </c>
      <c r="G307" s="87">
        <f t="shared" si="8"/>
        <v>0</v>
      </c>
      <c r="H307" s="690"/>
      <c r="I307" s="693"/>
      <c r="J307" s="692"/>
      <c r="K307" s="692"/>
      <c r="L307" s="692"/>
      <c r="M307" s="692"/>
      <c r="N307" s="692"/>
      <c r="O307" s="692"/>
      <c r="P307" s="692"/>
      <c r="Q307" s="692"/>
    </row>
    <row r="308" spans="1:17" ht="15" customHeight="1" x14ac:dyDescent="0.25">
      <c r="A308" s="728">
        <f t="shared" si="11"/>
        <v>87.912087912087912</v>
      </c>
      <c r="B308" s="87" t="s">
        <v>2895</v>
      </c>
      <c r="C308" s="87" t="s">
        <v>2408</v>
      </c>
      <c r="D308" s="87">
        <v>24000</v>
      </c>
      <c r="E308" s="87">
        <v>273</v>
      </c>
      <c r="F308" s="563">
        <f t="shared" si="12"/>
        <v>24000</v>
      </c>
      <c r="G308" s="87">
        <f t="shared" si="8"/>
        <v>0</v>
      </c>
      <c r="H308" s="690"/>
      <c r="I308" s="693"/>
      <c r="J308" s="692"/>
      <c r="K308" s="692"/>
      <c r="L308" s="692"/>
      <c r="M308" s="692"/>
      <c r="N308" s="692"/>
      <c r="O308" s="692"/>
      <c r="P308" s="692"/>
      <c r="Q308" s="692"/>
    </row>
    <row r="309" spans="1:17" ht="15" customHeight="1" x14ac:dyDescent="0.25">
      <c r="A309" s="728">
        <f t="shared" si="11"/>
        <v>87.880794701986758</v>
      </c>
      <c r="B309" s="87" t="s">
        <v>2895</v>
      </c>
      <c r="C309" s="87" t="s">
        <v>2908</v>
      </c>
      <c r="D309" s="87">
        <v>26540</v>
      </c>
      <c r="E309" s="87">
        <v>302</v>
      </c>
      <c r="F309" s="563">
        <f t="shared" si="12"/>
        <v>26540</v>
      </c>
      <c r="G309" s="87">
        <f t="shared" si="8"/>
        <v>0</v>
      </c>
      <c r="H309" s="690"/>
      <c r="I309" s="693"/>
      <c r="J309" s="692"/>
      <c r="K309" s="692"/>
      <c r="L309" s="692"/>
      <c r="M309" s="692"/>
      <c r="N309" s="692"/>
      <c r="O309" s="692"/>
      <c r="P309" s="692"/>
      <c r="Q309" s="692"/>
    </row>
    <row r="310" spans="1:17" ht="15" customHeight="1" x14ac:dyDescent="0.25">
      <c r="A310" s="728">
        <f t="shared" si="11"/>
        <v>87.912087912087912</v>
      </c>
      <c r="B310" s="87" t="s">
        <v>2909</v>
      </c>
      <c r="C310" s="87" t="s">
        <v>30</v>
      </c>
      <c r="D310" s="87">
        <v>8000</v>
      </c>
      <c r="E310" s="87">
        <v>91</v>
      </c>
      <c r="F310" s="563">
        <f t="shared" si="12"/>
        <v>8000</v>
      </c>
      <c r="G310" s="87">
        <f t="shared" si="8"/>
        <v>0</v>
      </c>
      <c r="H310" s="690"/>
      <c r="I310" s="693"/>
      <c r="J310" s="692"/>
      <c r="K310" s="692"/>
      <c r="L310" s="692"/>
      <c r="M310" s="692"/>
      <c r="N310" s="692"/>
      <c r="O310" s="692"/>
      <c r="P310" s="692"/>
      <c r="Q310" s="692"/>
    </row>
    <row r="311" spans="1:17" ht="15" customHeight="1" x14ac:dyDescent="0.25">
      <c r="A311" s="728">
        <f t="shared" si="11"/>
        <v>88.495575221238937</v>
      </c>
      <c r="B311" s="87" t="s">
        <v>2909</v>
      </c>
      <c r="C311" s="87" t="s">
        <v>2910</v>
      </c>
      <c r="D311" s="87">
        <v>10000</v>
      </c>
      <c r="E311" s="87">
        <v>113</v>
      </c>
      <c r="F311" s="563">
        <f t="shared" si="12"/>
        <v>10000</v>
      </c>
      <c r="G311" s="87">
        <f t="shared" si="8"/>
        <v>0</v>
      </c>
      <c r="H311" s="690"/>
      <c r="I311" s="693"/>
      <c r="J311" s="692"/>
      <c r="K311" s="692"/>
      <c r="L311" s="692"/>
      <c r="M311" s="692"/>
      <c r="N311" s="692"/>
      <c r="O311" s="692"/>
      <c r="P311" s="692"/>
      <c r="Q311" s="692"/>
    </row>
    <row r="312" spans="1:17" ht="15" customHeight="1" x14ac:dyDescent="0.25">
      <c r="A312" s="728">
        <f t="shared" si="11"/>
        <v>88.105726872246692</v>
      </c>
      <c r="B312" s="87" t="s">
        <v>2909</v>
      </c>
      <c r="C312" s="87" t="s">
        <v>2911</v>
      </c>
      <c r="D312" s="87">
        <v>20000</v>
      </c>
      <c r="E312" s="87">
        <v>227</v>
      </c>
      <c r="F312" s="563">
        <f t="shared" si="12"/>
        <v>20000</v>
      </c>
      <c r="G312" s="87">
        <f t="shared" si="8"/>
        <v>0</v>
      </c>
      <c r="H312" s="690"/>
      <c r="I312" s="693"/>
      <c r="J312" s="692"/>
      <c r="K312" s="692"/>
      <c r="L312" s="692"/>
      <c r="M312" s="692"/>
      <c r="N312" s="692"/>
      <c r="O312" s="692"/>
      <c r="P312" s="692"/>
      <c r="Q312" s="692"/>
    </row>
    <row r="313" spans="1:17" ht="15" customHeight="1" x14ac:dyDescent="0.25">
      <c r="A313" s="728">
        <f t="shared" si="11"/>
        <v>88.105726872246692</v>
      </c>
      <c r="B313" s="87" t="s">
        <v>2909</v>
      </c>
      <c r="C313" s="87" t="s">
        <v>2912</v>
      </c>
      <c r="D313" s="87">
        <v>20000</v>
      </c>
      <c r="E313" s="87">
        <v>227</v>
      </c>
      <c r="F313" s="563">
        <f t="shared" si="12"/>
        <v>20000</v>
      </c>
      <c r="G313" s="87">
        <f t="shared" si="8"/>
        <v>0</v>
      </c>
      <c r="H313" s="690"/>
      <c r="I313" s="693"/>
      <c r="J313" s="692"/>
      <c r="K313" s="692"/>
      <c r="L313" s="692"/>
      <c r="M313" s="692"/>
      <c r="N313" s="692"/>
      <c r="O313" s="692"/>
      <c r="P313" s="692"/>
      <c r="Q313" s="692"/>
    </row>
    <row r="314" spans="1:17" ht="15" customHeight="1" x14ac:dyDescent="0.25">
      <c r="A314" s="728">
        <f t="shared" si="11"/>
        <v>88</v>
      </c>
      <c r="B314" s="87" t="s">
        <v>2909</v>
      </c>
      <c r="C314" s="87" t="s">
        <v>2443</v>
      </c>
      <c r="D314" s="87">
        <v>22000</v>
      </c>
      <c r="E314" s="87">
        <v>250</v>
      </c>
      <c r="F314" s="563">
        <f t="shared" si="12"/>
        <v>22000</v>
      </c>
      <c r="G314" s="87">
        <f t="shared" si="8"/>
        <v>0</v>
      </c>
      <c r="H314" s="690"/>
      <c r="I314" s="693"/>
      <c r="J314" s="692"/>
      <c r="K314" s="692"/>
      <c r="L314" s="692"/>
      <c r="M314" s="692"/>
      <c r="N314" s="692"/>
      <c r="O314" s="692"/>
      <c r="P314" s="692"/>
      <c r="Q314" s="692"/>
    </row>
    <row r="315" spans="1:17" ht="15" customHeight="1" x14ac:dyDescent="0.25">
      <c r="A315" s="728">
        <f t="shared" si="11"/>
        <v>87.947882736156359</v>
      </c>
      <c r="B315" s="87" t="s">
        <v>2909</v>
      </c>
      <c r="C315" s="87" t="s">
        <v>2913</v>
      </c>
      <c r="D315" s="87">
        <v>27000</v>
      </c>
      <c r="E315" s="87">
        <v>307</v>
      </c>
      <c r="F315" s="563">
        <f t="shared" si="12"/>
        <v>27000</v>
      </c>
      <c r="G315" s="87">
        <f t="shared" si="8"/>
        <v>0</v>
      </c>
      <c r="H315" s="690"/>
      <c r="I315" s="693"/>
      <c r="J315" s="692"/>
      <c r="K315" s="692"/>
      <c r="L315" s="692"/>
      <c r="M315" s="692"/>
      <c r="N315" s="692"/>
      <c r="O315" s="692"/>
      <c r="P315" s="692"/>
      <c r="Q315" s="692"/>
    </row>
    <row r="316" spans="1:17" ht="15" customHeight="1" x14ac:dyDescent="0.25">
      <c r="A316" s="728">
        <f t="shared" si="11"/>
        <v>87.837837837837839</v>
      </c>
      <c r="B316" s="87" t="s">
        <v>2909</v>
      </c>
      <c r="C316" s="87" t="s">
        <v>2384</v>
      </c>
      <c r="D316" s="87">
        <v>26000</v>
      </c>
      <c r="E316" s="87">
        <v>296</v>
      </c>
      <c r="F316" s="563">
        <f t="shared" si="12"/>
        <v>26000</v>
      </c>
      <c r="G316" s="87">
        <f t="shared" si="8"/>
        <v>0</v>
      </c>
      <c r="H316" s="690"/>
      <c r="I316" s="693"/>
      <c r="J316" s="692"/>
      <c r="K316" s="692"/>
      <c r="L316" s="692"/>
      <c r="M316" s="692"/>
      <c r="N316" s="692"/>
      <c r="O316" s="692"/>
      <c r="P316" s="692"/>
      <c r="Q316" s="692"/>
    </row>
    <row r="317" spans="1:17" ht="15" customHeight="1" x14ac:dyDescent="0.25">
      <c r="A317" s="728">
        <f t="shared" si="11"/>
        <v>86.016949152542367</v>
      </c>
      <c r="B317" s="87" t="s">
        <v>2909</v>
      </c>
      <c r="C317" s="87" t="s">
        <v>2914</v>
      </c>
      <c r="D317" s="87">
        <v>20300</v>
      </c>
      <c r="E317" s="87">
        <v>236</v>
      </c>
      <c r="F317" s="563">
        <f t="shared" si="12"/>
        <v>20300</v>
      </c>
      <c r="G317" s="87">
        <f t="shared" si="8"/>
        <v>0</v>
      </c>
      <c r="H317" s="690"/>
      <c r="I317" s="693"/>
      <c r="J317" s="692"/>
      <c r="K317" s="692"/>
      <c r="L317" s="692"/>
      <c r="M317" s="692"/>
      <c r="N317" s="692"/>
      <c r="O317" s="692"/>
      <c r="P317" s="692"/>
      <c r="Q317" s="692"/>
    </row>
    <row r="318" spans="1:17" ht="15" customHeight="1" x14ac:dyDescent="0.25">
      <c r="A318" s="728">
        <f t="shared" si="11"/>
        <v>88.105726872246692</v>
      </c>
      <c r="B318" s="87" t="s">
        <v>2909</v>
      </c>
      <c r="C318" s="87" t="s">
        <v>2338</v>
      </c>
      <c r="D318" s="87">
        <v>20000</v>
      </c>
      <c r="E318" s="87">
        <v>227</v>
      </c>
      <c r="F318" s="563">
        <f t="shared" si="12"/>
        <v>20000</v>
      </c>
      <c r="G318" s="87">
        <f t="shared" si="8"/>
        <v>0</v>
      </c>
      <c r="H318" s="690"/>
      <c r="I318" s="693"/>
      <c r="J318" s="692"/>
      <c r="K318" s="692"/>
      <c r="L318" s="692"/>
      <c r="M318" s="692"/>
      <c r="N318" s="692"/>
      <c r="O318" s="692"/>
      <c r="P318" s="692"/>
      <c r="Q318" s="692"/>
    </row>
    <row r="319" spans="1:17" ht="15" customHeight="1" x14ac:dyDescent="0.25">
      <c r="A319" s="728">
        <f t="shared" si="11"/>
        <v>88.105726872246692</v>
      </c>
      <c r="B319" s="87" t="s">
        <v>2909</v>
      </c>
      <c r="C319" s="87" t="s">
        <v>2915</v>
      </c>
      <c r="D319" s="87">
        <v>20000</v>
      </c>
      <c r="E319" s="87">
        <v>227</v>
      </c>
      <c r="F319" s="563">
        <f t="shared" si="12"/>
        <v>20000</v>
      </c>
      <c r="G319" s="87">
        <f t="shared" si="8"/>
        <v>0</v>
      </c>
      <c r="H319" s="690"/>
      <c r="I319" s="693"/>
      <c r="J319" s="692"/>
      <c r="K319" s="692"/>
      <c r="L319" s="692"/>
      <c r="M319" s="692"/>
      <c r="N319" s="692"/>
      <c r="O319" s="692"/>
      <c r="P319" s="692"/>
      <c r="Q319" s="692"/>
    </row>
    <row r="320" spans="1:17" ht="15" customHeight="1" x14ac:dyDescent="0.25">
      <c r="A320" s="728">
        <f t="shared" si="11"/>
        <v>88.105726872246692</v>
      </c>
      <c r="B320" s="87" t="s">
        <v>2909</v>
      </c>
      <c r="C320" s="87" t="s">
        <v>2916</v>
      </c>
      <c r="D320" s="87">
        <v>20000</v>
      </c>
      <c r="E320" s="87">
        <v>227</v>
      </c>
      <c r="F320" s="563">
        <f t="shared" si="12"/>
        <v>20000</v>
      </c>
      <c r="G320" s="87">
        <f t="shared" si="8"/>
        <v>0</v>
      </c>
      <c r="H320" s="690"/>
      <c r="I320" s="693"/>
      <c r="J320" s="692"/>
      <c r="K320" s="692"/>
      <c r="L320" s="692"/>
      <c r="M320" s="692"/>
      <c r="N320" s="692"/>
      <c r="O320" s="692"/>
      <c r="P320" s="692"/>
      <c r="Q320" s="692"/>
    </row>
    <row r="321" spans="1:17" ht="15" customHeight="1" x14ac:dyDescent="0.25">
      <c r="A321" s="728">
        <f t="shared" si="11"/>
        <v>88.105726872246692</v>
      </c>
      <c r="B321" s="87" t="s">
        <v>2909</v>
      </c>
      <c r="C321" s="87" t="s">
        <v>2917</v>
      </c>
      <c r="D321" s="87">
        <v>20000</v>
      </c>
      <c r="E321" s="87">
        <v>227</v>
      </c>
      <c r="F321" s="563">
        <f t="shared" si="12"/>
        <v>20000</v>
      </c>
      <c r="G321" s="87">
        <f t="shared" si="8"/>
        <v>0</v>
      </c>
      <c r="H321" s="690"/>
      <c r="I321" s="693"/>
      <c r="J321" s="692"/>
      <c r="K321" s="692"/>
      <c r="L321" s="692"/>
      <c r="M321" s="692"/>
      <c r="N321" s="692"/>
      <c r="O321" s="692"/>
      <c r="P321" s="692"/>
      <c r="Q321" s="692"/>
    </row>
    <row r="322" spans="1:17" ht="15" customHeight="1" x14ac:dyDescent="0.25">
      <c r="A322" s="728">
        <f t="shared" si="11"/>
        <v>88.105726872246692</v>
      </c>
      <c r="B322" s="87" t="s">
        <v>2909</v>
      </c>
      <c r="C322" s="87" t="s">
        <v>2918</v>
      </c>
      <c r="D322" s="87">
        <v>20000</v>
      </c>
      <c r="E322" s="87">
        <v>227</v>
      </c>
      <c r="F322" s="563">
        <f t="shared" si="12"/>
        <v>20000</v>
      </c>
      <c r="G322" s="87">
        <f t="shared" si="8"/>
        <v>0</v>
      </c>
      <c r="H322" s="690"/>
      <c r="I322" s="693"/>
      <c r="J322" s="692"/>
      <c r="K322" s="692"/>
      <c r="L322" s="692"/>
      <c r="M322" s="692"/>
      <c r="N322" s="692"/>
      <c r="O322" s="692"/>
      <c r="P322" s="692"/>
      <c r="Q322" s="692"/>
    </row>
    <row r="323" spans="1:17" ht="15" customHeight="1" x14ac:dyDescent="0.25">
      <c r="A323" s="728">
        <f t="shared" si="11"/>
        <v>87.774294670846402</v>
      </c>
      <c r="B323" s="87" t="s">
        <v>2909</v>
      </c>
      <c r="C323" s="87" t="s">
        <v>2919</v>
      </c>
      <c r="D323" s="87">
        <v>28000</v>
      </c>
      <c r="E323" s="87">
        <v>319</v>
      </c>
      <c r="F323" s="563">
        <f t="shared" si="12"/>
        <v>28000</v>
      </c>
      <c r="G323" s="87">
        <f t="shared" si="8"/>
        <v>0</v>
      </c>
      <c r="H323" s="690"/>
      <c r="I323" s="693"/>
      <c r="J323" s="692"/>
      <c r="K323" s="692"/>
      <c r="L323" s="692"/>
      <c r="M323" s="692"/>
      <c r="N323" s="692"/>
      <c r="O323" s="692"/>
      <c r="P323" s="692"/>
      <c r="Q323" s="692"/>
    </row>
    <row r="324" spans="1:17" ht="15" customHeight="1" x14ac:dyDescent="0.25">
      <c r="A324" s="728">
        <f t="shared" si="11"/>
        <v>87.939698492462313</v>
      </c>
      <c r="B324" s="87" t="s">
        <v>2909</v>
      </c>
      <c r="C324" s="87" t="s">
        <v>2920</v>
      </c>
      <c r="D324" s="87">
        <v>35000</v>
      </c>
      <c r="E324" s="87">
        <v>398</v>
      </c>
      <c r="F324" s="563">
        <f t="shared" si="12"/>
        <v>35000</v>
      </c>
      <c r="G324" s="87">
        <f t="shared" si="8"/>
        <v>0</v>
      </c>
      <c r="H324" s="690"/>
      <c r="I324" s="693"/>
      <c r="J324" s="692"/>
      <c r="K324" s="692"/>
      <c r="L324" s="692"/>
      <c r="M324" s="692"/>
      <c r="N324" s="692"/>
      <c r="O324" s="692"/>
      <c r="P324" s="692"/>
      <c r="Q324" s="692"/>
    </row>
    <row r="325" spans="1:17" ht="15" customHeight="1" x14ac:dyDescent="0.25">
      <c r="A325" s="728">
        <f t="shared" si="11"/>
        <v>88.028169014084511</v>
      </c>
      <c r="B325" s="87" t="s">
        <v>2909</v>
      </c>
      <c r="C325" s="87" t="s">
        <v>2921</v>
      </c>
      <c r="D325" s="87">
        <v>25000</v>
      </c>
      <c r="E325" s="87">
        <v>284</v>
      </c>
      <c r="F325" s="563">
        <f t="shared" si="12"/>
        <v>25000</v>
      </c>
      <c r="G325" s="87">
        <f t="shared" si="8"/>
        <v>0</v>
      </c>
      <c r="H325" s="690"/>
      <c r="I325" s="693"/>
      <c r="J325" s="692"/>
      <c r="K325" s="692"/>
      <c r="L325" s="692"/>
      <c r="M325" s="692"/>
      <c r="N325" s="692"/>
      <c r="O325" s="692"/>
      <c r="P325" s="692"/>
      <c r="Q325" s="692"/>
    </row>
    <row r="326" spans="1:17" ht="15" customHeight="1" x14ac:dyDescent="0.25">
      <c r="A326" s="735"/>
      <c r="B326" s="42"/>
      <c r="C326" s="737" t="s">
        <v>9</v>
      </c>
      <c r="D326" s="738">
        <f>SUM(D5:D325)</f>
        <v>8496611</v>
      </c>
      <c r="E326" s="708">
        <f>SUM(E6:E325)</f>
        <v>69365.23000000001</v>
      </c>
      <c r="F326" s="21">
        <f>SUM(F5:F325)</f>
        <v>8496611</v>
      </c>
      <c r="G326" s="494"/>
      <c r="H326" s="691">
        <f>SUM(H2:H54)</f>
        <v>6000000</v>
      </c>
      <c r="I326" s="693"/>
      <c r="J326" s="692"/>
      <c r="K326" s="692"/>
      <c r="L326" s="692"/>
      <c r="M326" s="692"/>
      <c r="N326" s="692"/>
      <c r="O326" s="692"/>
      <c r="P326" s="692"/>
      <c r="Q326" s="692"/>
    </row>
    <row r="327" spans="1:17" ht="15" x14ac:dyDescent="0.25">
      <c r="A327" s="735"/>
      <c r="B327" s="42"/>
      <c r="C327" s="737" t="s">
        <v>10</v>
      </c>
      <c r="D327" s="736">
        <f>SUM(D326-H326)</f>
        <v>2496611</v>
      </c>
      <c r="E327" s="494"/>
      <c r="F327" s="737" t="s">
        <v>10</v>
      </c>
      <c r="G327" s="736">
        <f>SUM(F326-H326)</f>
        <v>2496611</v>
      </c>
      <c r="H327" s="25"/>
      <c r="I327" s="692"/>
      <c r="J327" s="692"/>
      <c r="K327" s="692"/>
      <c r="L327" s="692"/>
      <c r="M327" s="692"/>
      <c r="N327" s="692"/>
      <c r="O327" s="692"/>
      <c r="P327" s="692"/>
      <c r="Q327" s="692"/>
    </row>
    <row r="328" spans="1:17" ht="15" thickBot="1" x14ac:dyDescent="0.25">
      <c r="I328" s="692"/>
      <c r="J328" s="692"/>
      <c r="K328" s="692"/>
      <c r="L328" s="692"/>
      <c r="M328" s="692"/>
      <c r="N328" s="692"/>
      <c r="O328" s="692"/>
      <c r="P328" s="692"/>
      <c r="Q328" s="692"/>
    </row>
    <row r="329" spans="1:17" ht="15.75" thickBot="1" x14ac:dyDescent="0.3">
      <c r="C329" s="164" t="s">
        <v>3175</v>
      </c>
      <c r="D329" s="99">
        <v>6378</v>
      </c>
      <c r="I329" s="692"/>
      <c r="J329" s="692"/>
      <c r="K329" s="692"/>
      <c r="L329" s="692"/>
      <c r="M329" s="692"/>
      <c r="N329" s="692"/>
      <c r="O329" s="692"/>
      <c r="P329" s="692"/>
      <c r="Q329" s="692"/>
    </row>
    <row r="330" spans="1:17" x14ac:dyDescent="0.2">
      <c r="I330" s="692"/>
      <c r="J330" s="692"/>
      <c r="K330" s="692"/>
      <c r="L330" s="692"/>
      <c r="M330" s="692"/>
      <c r="N330" s="692"/>
      <c r="O330" s="692"/>
      <c r="P330" s="692"/>
      <c r="Q330" s="692"/>
    </row>
    <row r="331" spans="1:17" x14ac:dyDescent="0.2">
      <c r="I331" s="692"/>
      <c r="J331" s="692"/>
      <c r="K331" s="692"/>
      <c r="L331" s="692"/>
      <c r="M331" s="692"/>
      <c r="N331" s="692"/>
      <c r="O331" s="692"/>
      <c r="P331" s="692"/>
      <c r="Q331" s="692"/>
    </row>
    <row r="332" spans="1:17" x14ac:dyDescent="0.2">
      <c r="I332" s="692"/>
      <c r="J332" s="692"/>
      <c r="K332" s="692"/>
      <c r="L332" s="692"/>
      <c r="M332" s="692"/>
      <c r="N332" s="692"/>
      <c r="O332" s="692"/>
      <c r="P332" s="692"/>
      <c r="Q332" s="692"/>
    </row>
    <row r="333" spans="1:17" x14ac:dyDescent="0.2">
      <c r="I333" s="692"/>
      <c r="J333" s="692"/>
      <c r="K333" s="692"/>
      <c r="L333" s="692"/>
      <c r="M333" s="692"/>
      <c r="N333" s="692"/>
      <c r="O333" s="692"/>
      <c r="P333" s="692"/>
      <c r="Q333" s="692"/>
    </row>
    <row r="334" spans="1:17" x14ac:dyDescent="0.2">
      <c r="I334" s="692"/>
      <c r="J334" s="692"/>
      <c r="K334" s="692"/>
      <c r="L334" s="692"/>
      <c r="M334" s="692"/>
      <c r="N334" s="692"/>
      <c r="O334" s="692"/>
      <c r="P334" s="692"/>
      <c r="Q334" s="692"/>
    </row>
    <row r="335" spans="1:17" x14ac:dyDescent="0.2">
      <c r="I335" s="692"/>
      <c r="J335" s="692"/>
      <c r="K335" s="692"/>
      <c r="L335" s="692"/>
      <c r="M335" s="692"/>
      <c r="N335" s="692"/>
      <c r="O335" s="692"/>
      <c r="P335" s="692"/>
      <c r="Q335" s="692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5"/>
  <sheetViews>
    <sheetView topLeftCell="A524" zoomScale="115" zoomScaleNormal="115" workbookViewId="0">
      <selection activeCell="C538" sqref="C538"/>
    </sheetView>
  </sheetViews>
  <sheetFormatPr defaultRowHeight="14.25" x14ac:dyDescent="0.2"/>
  <cols>
    <col min="1" max="1" width="9" style="727"/>
    <col min="2" max="2" width="14.25" customWidth="1"/>
    <col min="3" max="3" width="19" customWidth="1"/>
    <col min="4" max="4" width="17.625" customWidth="1"/>
    <col min="5" max="5" width="12" customWidth="1"/>
    <col min="6" max="6" width="13.125" customWidth="1"/>
    <col min="7" max="7" width="13" bestFit="1" customWidth="1"/>
    <col min="8" max="8" width="13.5" customWidth="1"/>
    <col min="9" max="9" width="13.75" customWidth="1"/>
    <col min="10" max="10" width="12.5" customWidth="1"/>
    <col min="11" max="11" width="13.75" customWidth="1"/>
  </cols>
  <sheetData>
    <row r="1" spans="1:11" ht="21" x14ac:dyDescent="0.35">
      <c r="B1" s="772" t="s">
        <v>772</v>
      </c>
      <c r="C1" s="773"/>
      <c r="D1" s="773"/>
      <c r="E1" s="773"/>
      <c r="F1" s="773"/>
      <c r="G1" s="773"/>
      <c r="H1" s="774"/>
      <c r="I1" s="717"/>
      <c r="J1" s="717"/>
      <c r="K1" s="717"/>
    </row>
    <row r="2" spans="1:11" ht="15" x14ac:dyDescent="0.25">
      <c r="B2" s="510"/>
      <c r="C2" s="510"/>
      <c r="D2" s="511"/>
      <c r="E2" s="682">
        <v>45474</v>
      </c>
      <c r="F2" s="512"/>
      <c r="G2" s="510"/>
      <c r="H2" s="510"/>
      <c r="I2" s="717"/>
      <c r="J2" s="717"/>
      <c r="K2" s="717"/>
    </row>
    <row r="3" spans="1:11" s="175" customFormat="1" ht="15.75" x14ac:dyDescent="0.25">
      <c r="A3" s="729" t="s">
        <v>2958</v>
      </c>
      <c r="B3" s="514" t="s">
        <v>2</v>
      </c>
      <c r="C3" s="514" t="s">
        <v>97</v>
      </c>
      <c r="D3" s="514" t="s">
        <v>4</v>
      </c>
      <c r="E3" s="514" t="s">
        <v>5</v>
      </c>
      <c r="F3" s="514" t="s">
        <v>4</v>
      </c>
      <c r="G3" s="514" t="s">
        <v>98</v>
      </c>
      <c r="H3" s="417" t="s">
        <v>8</v>
      </c>
    </row>
    <row r="4" spans="1:11" s="175" customFormat="1" ht="15.75" x14ac:dyDescent="0.25">
      <c r="A4" s="728"/>
      <c r="B4" s="663" t="s">
        <v>3201</v>
      </c>
      <c r="C4" s="707" t="s">
        <v>374</v>
      </c>
      <c r="D4" s="732">
        <f>'JUN-24'!D327</f>
        <v>2496611</v>
      </c>
      <c r="E4" s="707" t="s">
        <v>3200</v>
      </c>
      <c r="F4" s="732">
        <f>D4</f>
        <v>2496611</v>
      </c>
      <c r="G4" s="514"/>
      <c r="H4" s="733"/>
      <c r="I4" s="734"/>
    </row>
    <row r="5" spans="1:11" ht="15.75" x14ac:dyDescent="0.25">
      <c r="A5" s="728">
        <f>D5/E5</f>
        <v>87.962962962962962</v>
      </c>
      <c r="B5" s="87" t="s">
        <v>2923</v>
      </c>
      <c r="C5" s="662" t="s">
        <v>2924</v>
      </c>
      <c r="D5" s="563">
        <v>19000</v>
      </c>
      <c r="E5" s="573">
        <v>216</v>
      </c>
      <c r="F5" s="563">
        <f>D5</f>
        <v>19000</v>
      </c>
      <c r="G5" s="87">
        <f t="shared" ref="G5:G68" si="0">D5-F5</f>
        <v>0</v>
      </c>
      <c r="H5" s="509">
        <v>800000</v>
      </c>
      <c r="I5" s="525" t="s">
        <v>2931</v>
      </c>
      <c r="J5" s="692"/>
      <c r="K5" s="692"/>
    </row>
    <row r="6" spans="1:11" ht="15.75" customHeight="1" x14ac:dyDescent="0.25">
      <c r="A6" s="728">
        <f t="shared" ref="A6:A69" si="1">D6/E6</f>
        <v>88.235294117647058</v>
      </c>
      <c r="B6" s="87" t="s">
        <v>2923</v>
      </c>
      <c r="C6" s="662" t="s">
        <v>1872</v>
      </c>
      <c r="D6" s="563">
        <v>15000</v>
      </c>
      <c r="E6" s="573">
        <v>170</v>
      </c>
      <c r="F6" s="563">
        <f t="shared" ref="F6:F69" si="2">D6</f>
        <v>15000</v>
      </c>
      <c r="G6" s="87">
        <f>D6-F6</f>
        <v>0</v>
      </c>
      <c r="H6" s="509">
        <v>500000</v>
      </c>
      <c r="I6" s="525" t="s">
        <v>2932</v>
      </c>
      <c r="J6" s="692"/>
      <c r="K6" s="692"/>
    </row>
    <row r="7" spans="1:11" ht="15.75" customHeight="1" x14ac:dyDescent="0.25">
      <c r="A7" s="728">
        <f t="shared" si="1"/>
        <v>87.912087912087912</v>
      </c>
      <c r="B7" s="87" t="s">
        <v>2923</v>
      </c>
      <c r="C7" s="725" t="s">
        <v>30</v>
      </c>
      <c r="D7" s="563">
        <v>8000</v>
      </c>
      <c r="E7" s="573">
        <v>91</v>
      </c>
      <c r="F7" s="563">
        <f t="shared" si="2"/>
        <v>8000</v>
      </c>
      <c r="G7" s="87">
        <f t="shared" si="0"/>
        <v>0</v>
      </c>
      <c r="H7" s="509">
        <v>300000</v>
      </c>
      <c r="I7" s="525" t="s">
        <v>2954</v>
      </c>
      <c r="J7" s="692"/>
      <c r="K7" s="692"/>
    </row>
    <row r="8" spans="1:11" ht="15.75" customHeight="1" x14ac:dyDescent="0.25">
      <c r="A8" s="728">
        <f t="shared" si="1"/>
        <v>87.947882736156359</v>
      </c>
      <c r="B8" s="87" t="s">
        <v>2923</v>
      </c>
      <c r="C8" s="662" t="s">
        <v>1836</v>
      </c>
      <c r="D8" s="563">
        <v>27000</v>
      </c>
      <c r="E8" s="573">
        <v>307</v>
      </c>
      <c r="F8" s="563">
        <f t="shared" si="2"/>
        <v>27000</v>
      </c>
      <c r="G8" s="87">
        <f t="shared" si="0"/>
        <v>0</v>
      </c>
      <c r="H8" s="509">
        <v>400000</v>
      </c>
      <c r="I8" s="525" t="s">
        <v>2955</v>
      </c>
      <c r="J8" s="692"/>
      <c r="K8" s="692"/>
    </row>
    <row r="9" spans="1:11" ht="15.75" customHeight="1" x14ac:dyDescent="0.25">
      <c r="A9" s="728">
        <f t="shared" si="1"/>
        <v>98.654708520179369</v>
      </c>
      <c r="B9" s="87" t="s">
        <v>2923</v>
      </c>
      <c r="C9" s="725" t="s">
        <v>2925</v>
      </c>
      <c r="D9" s="563">
        <v>22000</v>
      </c>
      <c r="E9" s="573">
        <v>223</v>
      </c>
      <c r="F9" s="563">
        <f t="shared" si="2"/>
        <v>22000</v>
      </c>
      <c r="G9" s="87">
        <f t="shared" si="0"/>
        <v>0</v>
      </c>
      <c r="H9" s="509">
        <v>400000</v>
      </c>
      <c r="I9" s="525" t="s">
        <v>2956</v>
      </c>
      <c r="J9" s="692"/>
      <c r="K9" s="692"/>
    </row>
    <row r="10" spans="1:11" ht="15.75" customHeight="1" x14ac:dyDescent="0.25">
      <c r="A10" s="728">
        <f t="shared" si="1"/>
        <v>88.028169014084511</v>
      </c>
      <c r="B10" s="87" t="s">
        <v>2923</v>
      </c>
      <c r="C10" s="662" t="s">
        <v>2926</v>
      </c>
      <c r="D10" s="563">
        <v>25000</v>
      </c>
      <c r="E10" s="573">
        <v>284</v>
      </c>
      <c r="F10" s="563">
        <f t="shared" si="2"/>
        <v>25000</v>
      </c>
      <c r="G10" s="87">
        <f t="shared" si="0"/>
        <v>0</v>
      </c>
      <c r="H10" s="509">
        <v>300000</v>
      </c>
      <c r="I10" s="525" t="s">
        <v>2957</v>
      </c>
      <c r="J10" s="692"/>
      <c r="K10" s="692"/>
    </row>
    <row r="11" spans="1:11" ht="15.75" customHeight="1" x14ac:dyDescent="0.25">
      <c r="A11" s="728">
        <f t="shared" si="1"/>
        <v>87.947882736156359</v>
      </c>
      <c r="B11" s="87" t="s">
        <v>2923</v>
      </c>
      <c r="C11" s="662" t="s">
        <v>2519</v>
      </c>
      <c r="D11" s="563">
        <v>27000</v>
      </c>
      <c r="E11" s="573">
        <v>307</v>
      </c>
      <c r="F11" s="563">
        <f t="shared" si="2"/>
        <v>27000</v>
      </c>
      <c r="G11" s="87">
        <f t="shared" si="0"/>
        <v>0</v>
      </c>
      <c r="H11" s="509">
        <v>900000</v>
      </c>
      <c r="I11" s="525" t="s">
        <v>3039</v>
      </c>
      <c r="J11" s="692"/>
      <c r="K11" s="692"/>
    </row>
    <row r="12" spans="1:11" ht="15.75" customHeight="1" x14ac:dyDescent="0.25">
      <c r="A12" s="728">
        <f t="shared" si="1"/>
        <v>88.461538461538467</v>
      </c>
      <c r="B12" s="87" t="s">
        <v>2923</v>
      </c>
      <c r="C12" s="662" t="s">
        <v>2927</v>
      </c>
      <c r="D12" s="563">
        <v>23000</v>
      </c>
      <c r="E12" s="573">
        <v>260</v>
      </c>
      <c r="F12" s="563">
        <f t="shared" si="2"/>
        <v>23000</v>
      </c>
      <c r="G12" s="87">
        <f t="shared" si="0"/>
        <v>0</v>
      </c>
      <c r="H12" s="509">
        <v>400000</v>
      </c>
      <c r="I12" s="525" t="s">
        <v>3041</v>
      </c>
      <c r="J12" s="692"/>
      <c r="K12" s="692"/>
    </row>
    <row r="13" spans="1:11" ht="15.75" customHeight="1" x14ac:dyDescent="0.25">
      <c r="A13" s="728">
        <f t="shared" si="1"/>
        <v>88.235294117647058</v>
      </c>
      <c r="B13" s="87" t="s">
        <v>2923</v>
      </c>
      <c r="C13" s="662" t="s">
        <v>2928</v>
      </c>
      <c r="D13" s="563">
        <v>15000</v>
      </c>
      <c r="E13" s="573">
        <v>170</v>
      </c>
      <c r="F13" s="563">
        <f t="shared" si="2"/>
        <v>15000</v>
      </c>
      <c r="G13" s="87">
        <f t="shared" si="0"/>
        <v>0</v>
      </c>
      <c r="H13" s="509">
        <v>400000</v>
      </c>
      <c r="I13" s="525" t="s">
        <v>3065</v>
      </c>
      <c r="J13" s="692"/>
      <c r="K13" s="692"/>
    </row>
    <row r="14" spans="1:11" ht="15.75" customHeight="1" x14ac:dyDescent="0.25">
      <c r="A14" s="728">
        <f t="shared" si="1"/>
        <v>88.235294117647058</v>
      </c>
      <c r="B14" s="87" t="s">
        <v>2923</v>
      </c>
      <c r="C14" s="662" t="s">
        <v>2929</v>
      </c>
      <c r="D14" s="563">
        <v>15000</v>
      </c>
      <c r="E14" s="573">
        <v>170</v>
      </c>
      <c r="F14" s="563">
        <f t="shared" si="2"/>
        <v>15000</v>
      </c>
      <c r="G14" s="87">
        <f t="shared" si="0"/>
        <v>0</v>
      </c>
      <c r="H14" s="509">
        <v>500000</v>
      </c>
      <c r="I14" s="525" t="s">
        <v>3066</v>
      </c>
      <c r="J14" s="692"/>
      <c r="K14" s="692"/>
    </row>
    <row r="15" spans="1:11" ht="15.75" customHeight="1" x14ac:dyDescent="0.25">
      <c r="A15" s="728">
        <f t="shared" si="1"/>
        <v>88.105726872246692</v>
      </c>
      <c r="B15" s="87" t="s">
        <v>2923</v>
      </c>
      <c r="C15" s="662" t="s">
        <v>1794</v>
      </c>
      <c r="D15" s="563">
        <v>20000</v>
      </c>
      <c r="E15" s="573">
        <v>227</v>
      </c>
      <c r="F15" s="563">
        <f t="shared" si="2"/>
        <v>20000</v>
      </c>
      <c r="G15" s="87">
        <f t="shared" si="0"/>
        <v>0</v>
      </c>
      <c r="H15" s="509">
        <v>300000</v>
      </c>
      <c r="I15" s="525" t="s">
        <v>3093</v>
      </c>
      <c r="J15" s="692"/>
      <c r="K15" s="692"/>
    </row>
    <row r="16" spans="1:11" ht="15.75" customHeight="1" x14ac:dyDescent="0.25">
      <c r="A16" s="728">
        <f t="shared" si="1"/>
        <v>87.976539589442808</v>
      </c>
      <c r="B16" s="87" t="s">
        <v>2923</v>
      </c>
      <c r="C16" s="662" t="s">
        <v>2930</v>
      </c>
      <c r="D16" s="563">
        <v>30000</v>
      </c>
      <c r="E16" s="573">
        <v>341</v>
      </c>
      <c r="F16" s="563">
        <f t="shared" si="2"/>
        <v>30000</v>
      </c>
      <c r="G16" s="87">
        <f t="shared" si="0"/>
        <v>0</v>
      </c>
      <c r="H16" s="509">
        <v>300000</v>
      </c>
      <c r="I16" s="525" t="s">
        <v>3094</v>
      </c>
      <c r="J16" s="692"/>
      <c r="K16" s="692"/>
    </row>
    <row r="17" spans="1:11" ht="15.75" customHeight="1" x14ac:dyDescent="0.25">
      <c r="A17" s="728">
        <f t="shared" si="1"/>
        <v>87.912087912087912</v>
      </c>
      <c r="B17" s="87" t="s">
        <v>2923</v>
      </c>
      <c r="C17" s="662" t="s">
        <v>2933</v>
      </c>
      <c r="D17" s="563">
        <v>16000</v>
      </c>
      <c r="E17" s="573">
        <v>182</v>
      </c>
      <c r="F17" s="563">
        <f t="shared" si="2"/>
        <v>16000</v>
      </c>
      <c r="G17" s="87">
        <f t="shared" si="0"/>
        <v>0</v>
      </c>
      <c r="H17" s="509">
        <v>900000</v>
      </c>
      <c r="I17" s="525" t="s">
        <v>3105</v>
      </c>
      <c r="J17" s="692"/>
      <c r="K17" s="692"/>
    </row>
    <row r="18" spans="1:11" ht="15.75" customHeight="1" x14ac:dyDescent="0.25">
      <c r="A18" s="728">
        <f t="shared" si="1"/>
        <v>88.495575221238937</v>
      </c>
      <c r="B18" s="87" t="s">
        <v>2923</v>
      </c>
      <c r="C18" s="662" t="s">
        <v>2934</v>
      </c>
      <c r="D18" s="563">
        <v>10000</v>
      </c>
      <c r="E18" s="573">
        <v>113</v>
      </c>
      <c r="F18" s="563">
        <f t="shared" si="2"/>
        <v>10000</v>
      </c>
      <c r="G18" s="87">
        <f t="shared" si="0"/>
        <v>0</v>
      </c>
      <c r="H18" s="509">
        <v>300000</v>
      </c>
      <c r="I18" s="525" t="s">
        <v>3131</v>
      </c>
      <c r="J18" s="692"/>
      <c r="K18" s="692"/>
    </row>
    <row r="19" spans="1:11" ht="15.75" customHeight="1" x14ac:dyDescent="0.25">
      <c r="A19" s="728">
        <f t="shared" si="1"/>
        <v>81.081081081081081</v>
      </c>
      <c r="B19" s="87" t="s">
        <v>2923</v>
      </c>
      <c r="C19" s="726" t="s">
        <v>17</v>
      </c>
      <c r="D19" s="563">
        <v>3000</v>
      </c>
      <c r="E19" s="573">
        <v>37</v>
      </c>
      <c r="F19" s="563">
        <f t="shared" si="2"/>
        <v>3000</v>
      </c>
      <c r="G19" s="87">
        <f t="shared" si="0"/>
        <v>0</v>
      </c>
      <c r="H19" s="509">
        <v>600000</v>
      </c>
      <c r="I19" s="525" t="s">
        <v>3143</v>
      </c>
      <c r="J19" s="692"/>
      <c r="K19" s="692"/>
    </row>
    <row r="20" spans="1:11" ht="15.75" customHeight="1" x14ac:dyDescent="0.25">
      <c r="A20" s="728">
        <f t="shared" si="1"/>
        <v>97.222222222222214</v>
      </c>
      <c r="B20" s="87" t="s">
        <v>2923</v>
      </c>
      <c r="C20" s="662" t="s">
        <v>66</v>
      </c>
      <c r="D20" s="563">
        <v>210</v>
      </c>
      <c r="E20" s="573">
        <v>2.16</v>
      </c>
      <c r="F20" s="563">
        <f t="shared" si="2"/>
        <v>210</v>
      </c>
      <c r="G20" s="87">
        <f t="shared" si="0"/>
        <v>0</v>
      </c>
      <c r="H20" s="509">
        <v>500000</v>
      </c>
      <c r="I20" s="525" t="s">
        <v>3161</v>
      </c>
      <c r="J20" s="692"/>
      <c r="K20" s="692"/>
    </row>
    <row r="21" spans="1:11" ht="15.75" customHeight="1" x14ac:dyDescent="0.25">
      <c r="A21" s="728">
        <f t="shared" si="1"/>
        <v>96.153846153846146</v>
      </c>
      <c r="B21" s="87" t="s">
        <v>2923</v>
      </c>
      <c r="C21" s="662" t="s">
        <v>66</v>
      </c>
      <c r="D21" s="563">
        <v>150</v>
      </c>
      <c r="E21" s="573">
        <v>1.56</v>
      </c>
      <c r="F21" s="563">
        <f t="shared" si="2"/>
        <v>150</v>
      </c>
      <c r="G21" s="87">
        <f t="shared" si="0"/>
        <v>0</v>
      </c>
      <c r="H21" s="509">
        <v>500000</v>
      </c>
      <c r="I21" s="525" t="s">
        <v>3178</v>
      </c>
      <c r="J21" s="692"/>
      <c r="K21" s="692"/>
    </row>
    <row r="22" spans="1:11" ht="15.75" customHeight="1" x14ac:dyDescent="0.25">
      <c r="A22" s="728">
        <f t="shared" si="1"/>
        <v>88</v>
      </c>
      <c r="B22" s="87" t="s">
        <v>2923</v>
      </c>
      <c r="C22" s="662" t="s">
        <v>2935</v>
      </c>
      <c r="D22" s="563">
        <v>22000</v>
      </c>
      <c r="E22" s="573">
        <v>250</v>
      </c>
      <c r="F22" s="563">
        <f t="shared" si="2"/>
        <v>22000</v>
      </c>
      <c r="G22" s="87">
        <f t="shared" si="0"/>
        <v>0</v>
      </c>
      <c r="H22" s="509">
        <v>700000</v>
      </c>
      <c r="I22" s="525" t="s">
        <v>3219</v>
      </c>
      <c r="J22" s="692"/>
      <c r="K22" s="692"/>
    </row>
    <row r="23" spans="1:11" ht="15.75" customHeight="1" x14ac:dyDescent="0.25">
      <c r="A23" s="728">
        <f t="shared" si="1"/>
        <v>87.976539589442808</v>
      </c>
      <c r="B23" s="87" t="s">
        <v>2923</v>
      </c>
      <c r="C23" s="662" t="s">
        <v>2936</v>
      </c>
      <c r="D23" s="563">
        <v>30000</v>
      </c>
      <c r="E23" s="573">
        <v>341</v>
      </c>
      <c r="F23" s="563">
        <f t="shared" si="2"/>
        <v>30000</v>
      </c>
      <c r="G23" s="87">
        <f t="shared" si="0"/>
        <v>0</v>
      </c>
      <c r="H23" s="509">
        <v>500000</v>
      </c>
      <c r="I23" s="525" t="s">
        <v>3220</v>
      </c>
      <c r="J23" s="692"/>
      <c r="K23" s="692"/>
    </row>
    <row r="24" spans="1:11" ht="15.75" customHeight="1" x14ac:dyDescent="0.25">
      <c r="A24" s="728">
        <f t="shared" si="1"/>
        <v>88.105726872246692</v>
      </c>
      <c r="B24" s="87" t="s">
        <v>2923</v>
      </c>
      <c r="C24" s="662" t="s">
        <v>2937</v>
      </c>
      <c r="D24" s="563">
        <v>20000</v>
      </c>
      <c r="E24" s="573">
        <v>227</v>
      </c>
      <c r="F24" s="563">
        <f t="shared" si="2"/>
        <v>20000</v>
      </c>
      <c r="G24" s="87">
        <f t="shared" si="0"/>
        <v>0</v>
      </c>
      <c r="H24" s="509">
        <v>100000</v>
      </c>
      <c r="I24" s="525" t="s">
        <v>3221</v>
      </c>
      <c r="J24" s="692"/>
      <c r="K24" s="692"/>
    </row>
    <row r="25" spans="1:11" ht="15.75" customHeight="1" x14ac:dyDescent="0.25">
      <c r="A25" s="728">
        <f t="shared" si="1"/>
        <v>88.105726872246692</v>
      </c>
      <c r="B25" s="87" t="s">
        <v>2923</v>
      </c>
      <c r="C25" s="662" t="s">
        <v>2938</v>
      </c>
      <c r="D25" s="563">
        <v>20000</v>
      </c>
      <c r="E25" s="573">
        <v>227</v>
      </c>
      <c r="F25" s="563">
        <f t="shared" si="2"/>
        <v>20000</v>
      </c>
      <c r="G25" s="87">
        <f t="shared" si="0"/>
        <v>0</v>
      </c>
      <c r="H25" s="509">
        <v>200000</v>
      </c>
      <c r="I25" s="525" t="s">
        <v>3242</v>
      </c>
      <c r="J25" s="692"/>
      <c r="K25" s="692"/>
    </row>
    <row r="26" spans="1:11" ht="15.75" customHeight="1" x14ac:dyDescent="0.25">
      <c r="A26" s="728">
        <f t="shared" si="1"/>
        <v>87.774294670846402</v>
      </c>
      <c r="B26" s="87" t="s">
        <v>2923</v>
      </c>
      <c r="C26" s="662" t="s">
        <v>2943</v>
      </c>
      <c r="D26" s="563">
        <v>28000</v>
      </c>
      <c r="E26" s="573">
        <v>319</v>
      </c>
      <c r="F26" s="563">
        <f t="shared" si="2"/>
        <v>28000</v>
      </c>
      <c r="G26" s="87">
        <f t="shared" si="0"/>
        <v>0</v>
      </c>
      <c r="H26" s="509">
        <v>400000</v>
      </c>
      <c r="I26" s="525" t="s">
        <v>3278</v>
      </c>
      <c r="J26" s="692"/>
      <c r="K26" s="692"/>
    </row>
    <row r="27" spans="1:11" ht="15.75" customHeight="1" x14ac:dyDescent="0.25">
      <c r="A27" s="728">
        <f t="shared" si="1"/>
        <v>88.028169014084511</v>
      </c>
      <c r="B27" s="87" t="s">
        <v>2923</v>
      </c>
      <c r="C27" s="662" t="s">
        <v>2939</v>
      </c>
      <c r="D27" s="563">
        <v>25000</v>
      </c>
      <c r="E27" s="573">
        <v>284</v>
      </c>
      <c r="F27" s="563">
        <f t="shared" si="2"/>
        <v>25000</v>
      </c>
      <c r="G27" s="87">
        <f t="shared" si="0"/>
        <v>0</v>
      </c>
      <c r="H27" s="743">
        <v>500000</v>
      </c>
      <c r="I27" s="744" t="s">
        <v>3279</v>
      </c>
      <c r="J27" s="745" t="s">
        <v>3301</v>
      </c>
      <c r="K27" s="692"/>
    </row>
    <row r="28" spans="1:11" ht="15.75" customHeight="1" x14ac:dyDescent="0.25">
      <c r="A28" s="728">
        <f t="shared" si="1"/>
        <v>81.433224755700323</v>
      </c>
      <c r="B28" s="87" t="s">
        <v>2923</v>
      </c>
      <c r="C28" s="662" t="s">
        <v>2940</v>
      </c>
      <c r="D28" s="563">
        <v>25000</v>
      </c>
      <c r="E28" s="573">
        <v>307</v>
      </c>
      <c r="F28" s="563">
        <f t="shared" si="2"/>
        <v>25000</v>
      </c>
      <c r="G28" s="87">
        <f t="shared" si="0"/>
        <v>0</v>
      </c>
      <c r="H28" s="509">
        <v>600000</v>
      </c>
      <c r="I28" s="525" t="s">
        <v>3325</v>
      </c>
      <c r="J28" s="692"/>
      <c r="K28" s="692"/>
    </row>
    <row r="29" spans="1:11" ht="15.75" customHeight="1" x14ac:dyDescent="0.25">
      <c r="A29" s="728">
        <f t="shared" si="1"/>
        <v>88.235294117647058</v>
      </c>
      <c r="B29" s="87" t="s">
        <v>2923</v>
      </c>
      <c r="C29" s="662" t="s">
        <v>2941</v>
      </c>
      <c r="D29" s="563">
        <v>15000</v>
      </c>
      <c r="E29" s="573">
        <v>170</v>
      </c>
      <c r="F29" s="563">
        <f t="shared" si="2"/>
        <v>15000</v>
      </c>
      <c r="G29" s="87">
        <f t="shared" si="0"/>
        <v>0</v>
      </c>
      <c r="H29" s="509">
        <v>500000</v>
      </c>
      <c r="I29" s="525" t="s">
        <v>3326</v>
      </c>
      <c r="J29" s="692"/>
      <c r="K29" s="692"/>
    </row>
    <row r="30" spans="1:11" ht="15.75" customHeight="1" x14ac:dyDescent="0.25">
      <c r="A30" s="728">
        <f t="shared" si="1"/>
        <v>87.837837837837839</v>
      </c>
      <c r="B30" s="87" t="s">
        <v>2923</v>
      </c>
      <c r="C30" s="662">
        <v>7346</v>
      </c>
      <c r="D30" s="563">
        <v>13000</v>
      </c>
      <c r="E30" s="573">
        <v>148</v>
      </c>
      <c r="F30" s="563">
        <f t="shared" si="2"/>
        <v>13000</v>
      </c>
      <c r="G30" s="87">
        <f t="shared" si="0"/>
        <v>0</v>
      </c>
      <c r="H30" s="509">
        <v>100000</v>
      </c>
      <c r="I30" s="525" t="s">
        <v>3352</v>
      </c>
      <c r="J30" s="692"/>
      <c r="K30" s="692"/>
    </row>
    <row r="31" spans="1:11" ht="15.75" customHeight="1" x14ac:dyDescent="0.25">
      <c r="A31" s="728">
        <f t="shared" si="1"/>
        <v>87.912087912087912</v>
      </c>
      <c r="B31" s="87" t="s">
        <v>2942</v>
      </c>
      <c r="C31" s="662" t="s">
        <v>2757</v>
      </c>
      <c r="D31" s="563">
        <v>16000</v>
      </c>
      <c r="E31" s="573">
        <v>182</v>
      </c>
      <c r="F31" s="563">
        <f t="shared" si="2"/>
        <v>16000</v>
      </c>
      <c r="G31" s="87">
        <f t="shared" si="0"/>
        <v>0</v>
      </c>
      <c r="H31" s="509">
        <v>300000</v>
      </c>
      <c r="I31" s="525" t="s">
        <v>3353</v>
      </c>
      <c r="J31" s="692"/>
      <c r="K31" s="692"/>
    </row>
    <row r="32" spans="1:11" ht="15.75" customHeight="1" x14ac:dyDescent="0.25">
      <c r="A32" s="728">
        <f t="shared" si="1"/>
        <v>87.912087912087912</v>
      </c>
      <c r="B32" s="87" t="s">
        <v>2942</v>
      </c>
      <c r="C32" s="662" t="s">
        <v>2944</v>
      </c>
      <c r="D32" s="563">
        <v>16000</v>
      </c>
      <c r="E32" s="573">
        <v>182</v>
      </c>
      <c r="F32" s="563">
        <f t="shared" si="2"/>
        <v>16000</v>
      </c>
      <c r="G32" s="87">
        <f t="shared" si="0"/>
        <v>0</v>
      </c>
      <c r="H32" s="689"/>
      <c r="I32" s="693"/>
      <c r="J32" s="692"/>
      <c r="K32" s="692"/>
    </row>
    <row r="33" spans="1:12" ht="15.75" customHeight="1" x14ac:dyDescent="0.25">
      <c r="A33" s="728">
        <f t="shared" si="1"/>
        <v>87.912087912087912</v>
      </c>
      <c r="B33" s="87" t="s">
        <v>2942</v>
      </c>
      <c r="C33" s="662" t="s">
        <v>2945</v>
      </c>
      <c r="D33" s="563">
        <v>16000</v>
      </c>
      <c r="E33" s="573">
        <v>182</v>
      </c>
      <c r="F33" s="563">
        <f t="shared" si="2"/>
        <v>16000</v>
      </c>
      <c r="G33" s="87">
        <f t="shared" si="0"/>
        <v>0</v>
      </c>
      <c r="H33" s="689"/>
      <c r="I33" s="693"/>
      <c r="J33" s="692"/>
      <c r="K33" s="692"/>
    </row>
    <row r="34" spans="1:12" ht="15.75" customHeight="1" x14ac:dyDescent="0.25">
      <c r="A34" s="728">
        <f t="shared" si="1"/>
        <v>88.495575221238937</v>
      </c>
      <c r="B34" s="87" t="s">
        <v>2942</v>
      </c>
      <c r="C34" s="662" t="s">
        <v>2946</v>
      </c>
      <c r="D34" s="563">
        <v>10000</v>
      </c>
      <c r="E34" s="573">
        <v>113</v>
      </c>
      <c r="F34" s="563">
        <f t="shared" si="2"/>
        <v>10000</v>
      </c>
      <c r="G34" s="87">
        <f t="shared" si="0"/>
        <v>0</v>
      </c>
      <c r="H34" s="689"/>
      <c r="I34" s="716" t="s">
        <v>475</v>
      </c>
      <c r="J34" s="706">
        <f>SUM(H5:H31)</f>
        <v>12200000</v>
      </c>
      <c r="K34" s="706" t="s">
        <v>475</v>
      </c>
      <c r="L34" s="706">
        <f>SUM(L5:L31)</f>
        <v>0</v>
      </c>
    </row>
    <row r="35" spans="1:12" ht="15.75" customHeight="1" x14ac:dyDescent="0.25">
      <c r="A35" s="728">
        <f t="shared" si="1"/>
        <v>79.4979079497908</v>
      </c>
      <c r="B35" s="87" t="s">
        <v>2942</v>
      </c>
      <c r="C35" s="662" t="s">
        <v>2947</v>
      </c>
      <c r="D35" s="563">
        <v>19000</v>
      </c>
      <c r="E35" s="573">
        <v>239</v>
      </c>
      <c r="F35" s="563">
        <f t="shared" si="2"/>
        <v>19000</v>
      </c>
      <c r="G35" s="87">
        <f t="shared" si="0"/>
        <v>0</v>
      </c>
      <c r="H35" s="689"/>
      <c r="I35" s="693"/>
      <c r="J35" s="692"/>
      <c r="K35" s="692"/>
    </row>
    <row r="36" spans="1:12" ht="15.75" customHeight="1" x14ac:dyDescent="0.25">
      <c r="A36" s="728">
        <f t="shared" si="1"/>
        <v>87.912087912087912</v>
      </c>
      <c r="B36" s="87" t="s">
        <v>2942</v>
      </c>
      <c r="C36" s="662" t="s">
        <v>2948</v>
      </c>
      <c r="D36" s="563">
        <v>16000</v>
      </c>
      <c r="E36" s="573">
        <v>182</v>
      </c>
      <c r="F36" s="563">
        <f t="shared" si="2"/>
        <v>16000</v>
      </c>
      <c r="G36" s="87">
        <f t="shared" si="0"/>
        <v>0</v>
      </c>
      <c r="H36" s="689"/>
      <c r="I36" s="693"/>
      <c r="J36" s="692"/>
      <c r="K36" s="692"/>
    </row>
    <row r="37" spans="1:12" ht="15.75" customHeight="1" x14ac:dyDescent="0.25">
      <c r="A37" s="728">
        <f t="shared" si="1"/>
        <v>87.912087912087912</v>
      </c>
      <c r="B37" s="87" t="s">
        <v>2942</v>
      </c>
      <c r="C37" s="662" t="s">
        <v>2029</v>
      </c>
      <c r="D37" s="563">
        <v>16000</v>
      </c>
      <c r="E37" s="573">
        <v>182</v>
      </c>
      <c r="F37" s="563">
        <f t="shared" si="2"/>
        <v>16000</v>
      </c>
      <c r="G37" s="87">
        <f t="shared" si="0"/>
        <v>0</v>
      </c>
      <c r="H37" s="689"/>
      <c r="I37" s="693"/>
      <c r="J37" s="706" t="s">
        <v>360</v>
      </c>
      <c r="K37" s="706">
        <f>L34-J34</f>
        <v>-12200000</v>
      </c>
    </row>
    <row r="38" spans="1:12" ht="15.75" customHeight="1" x14ac:dyDescent="0.25">
      <c r="A38" s="728">
        <f t="shared" si="1"/>
        <v>87.837837837837839</v>
      </c>
      <c r="B38" s="87" t="s">
        <v>2942</v>
      </c>
      <c r="C38" s="662" t="s">
        <v>2949</v>
      </c>
      <c r="D38" s="563">
        <v>13000</v>
      </c>
      <c r="E38" s="573">
        <v>148</v>
      </c>
      <c r="F38" s="563">
        <f t="shared" si="2"/>
        <v>13000</v>
      </c>
      <c r="G38" s="87">
        <f t="shared" si="0"/>
        <v>0</v>
      </c>
      <c r="H38" s="689"/>
      <c r="I38" s="693"/>
      <c r="J38" s="692"/>
      <c r="K38" s="692"/>
    </row>
    <row r="39" spans="1:12" ht="15.75" customHeight="1" x14ac:dyDescent="0.25">
      <c r="A39" s="728">
        <f t="shared" si="1"/>
        <v>89.285714285714292</v>
      </c>
      <c r="B39" s="87" t="s">
        <v>2942</v>
      </c>
      <c r="C39" s="662" t="s">
        <v>2094</v>
      </c>
      <c r="D39" s="563">
        <v>5000</v>
      </c>
      <c r="E39" s="573">
        <v>56</v>
      </c>
      <c r="F39" s="563">
        <f t="shared" si="2"/>
        <v>5000</v>
      </c>
      <c r="G39" s="87">
        <f t="shared" si="0"/>
        <v>0</v>
      </c>
      <c r="H39" s="689"/>
      <c r="I39" s="693"/>
      <c r="J39" s="692"/>
      <c r="K39" s="692"/>
    </row>
    <row r="40" spans="1:12" ht="15.75" customHeight="1" x14ac:dyDescent="0.25">
      <c r="A40" s="728">
        <f t="shared" si="1"/>
        <v>88.235294117647058</v>
      </c>
      <c r="B40" s="87" t="s">
        <v>2942</v>
      </c>
      <c r="C40" s="662" t="s">
        <v>2545</v>
      </c>
      <c r="D40" s="563">
        <v>15000</v>
      </c>
      <c r="E40" s="573">
        <v>170</v>
      </c>
      <c r="F40" s="563">
        <f t="shared" si="2"/>
        <v>15000</v>
      </c>
      <c r="G40" s="87">
        <f t="shared" si="0"/>
        <v>0</v>
      </c>
      <c r="H40" s="689"/>
      <c r="I40" s="693"/>
      <c r="J40" s="692"/>
      <c r="K40" s="692"/>
    </row>
    <row r="41" spans="1:12" ht="15.75" customHeight="1" x14ac:dyDescent="0.25">
      <c r="A41" s="728">
        <f t="shared" si="1"/>
        <v>87.804878048780495</v>
      </c>
      <c r="B41" s="87" t="s">
        <v>2942</v>
      </c>
      <c r="C41" s="87" t="s">
        <v>1925</v>
      </c>
      <c r="D41" s="563">
        <v>18000</v>
      </c>
      <c r="E41" s="573">
        <v>205</v>
      </c>
      <c r="F41" s="563">
        <f t="shared" si="2"/>
        <v>18000</v>
      </c>
      <c r="G41" s="87">
        <f t="shared" si="0"/>
        <v>0</v>
      </c>
      <c r="H41" s="689"/>
      <c r="I41" s="693"/>
      <c r="J41" s="692"/>
      <c r="K41" s="692"/>
    </row>
    <row r="42" spans="1:12" ht="15.75" customHeight="1" x14ac:dyDescent="0.25">
      <c r="A42" s="728">
        <f t="shared" si="1"/>
        <v>87.804878048780495</v>
      </c>
      <c r="B42" s="87" t="s">
        <v>2942</v>
      </c>
      <c r="C42" s="87" t="s">
        <v>1926</v>
      </c>
      <c r="D42" s="563">
        <v>18000</v>
      </c>
      <c r="E42" s="573">
        <v>205</v>
      </c>
      <c r="F42" s="563">
        <f t="shared" si="2"/>
        <v>18000</v>
      </c>
      <c r="G42" s="87">
        <f t="shared" si="0"/>
        <v>0</v>
      </c>
      <c r="H42" s="689"/>
      <c r="I42" s="693"/>
      <c r="J42" s="692"/>
      <c r="K42" s="692"/>
    </row>
    <row r="43" spans="1:12" ht="15.75" customHeight="1" x14ac:dyDescent="0.25">
      <c r="A43" s="728">
        <f t="shared" si="1"/>
        <v>87.976539589442808</v>
      </c>
      <c r="B43" s="87" t="s">
        <v>2942</v>
      </c>
      <c r="C43" s="87" t="s">
        <v>2950</v>
      </c>
      <c r="D43" s="563">
        <v>30000</v>
      </c>
      <c r="E43" s="573">
        <v>341</v>
      </c>
      <c r="F43" s="563">
        <f t="shared" si="2"/>
        <v>30000</v>
      </c>
      <c r="G43" s="87">
        <f t="shared" si="0"/>
        <v>0</v>
      </c>
      <c r="H43" s="689"/>
      <c r="I43" s="693"/>
      <c r="J43" s="692"/>
      <c r="K43" s="692"/>
    </row>
    <row r="44" spans="1:12" ht="15.75" customHeight="1" x14ac:dyDescent="0.25">
      <c r="A44" s="728">
        <f t="shared" si="1"/>
        <v>88.028169014084511</v>
      </c>
      <c r="B44" s="87" t="s">
        <v>2942</v>
      </c>
      <c r="C44" s="662" t="s">
        <v>2185</v>
      </c>
      <c r="D44" s="563">
        <v>25000</v>
      </c>
      <c r="E44" s="573">
        <v>284</v>
      </c>
      <c r="F44" s="563">
        <f t="shared" si="2"/>
        <v>25000</v>
      </c>
      <c r="G44" s="87">
        <f t="shared" si="0"/>
        <v>0</v>
      </c>
      <c r="H44" s="689"/>
      <c r="I44" s="693"/>
      <c r="J44" s="692"/>
      <c r="K44" s="692"/>
    </row>
    <row r="45" spans="1:12" ht="15.75" customHeight="1" x14ac:dyDescent="0.25">
      <c r="A45" s="728">
        <f t="shared" si="1"/>
        <v>87.88598574821853</v>
      </c>
      <c r="B45" s="87" t="s">
        <v>2942</v>
      </c>
      <c r="C45" s="662" t="s">
        <v>2951</v>
      </c>
      <c r="D45" s="563">
        <v>37000</v>
      </c>
      <c r="E45" s="573">
        <v>421</v>
      </c>
      <c r="F45" s="563">
        <f t="shared" si="2"/>
        <v>37000</v>
      </c>
      <c r="G45" s="87">
        <f t="shared" si="0"/>
        <v>0</v>
      </c>
      <c r="H45" s="689"/>
      <c r="I45" s="693"/>
      <c r="J45" s="692"/>
      <c r="K45" s="692"/>
    </row>
    <row r="46" spans="1:12" ht="15.75" customHeight="1" x14ac:dyDescent="0.25">
      <c r="A46" s="728">
        <f t="shared" si="1"/>
        <v>87.976539589442808</v>
      </c>
      <c r="B46" s="87" t="s">
        <v>2942</v>
      </c>
      <c r="C46" s="662" t="s">
        <v>2952</v>
      </c>
      <c r="D46" s="563">
        <v>30000</v>
      </c>
      <c r="E46" s="573">
        <v>341</v>
      </c>
      <c r="F46" s="563">
        <f t="shared" si="2"/>
        <v>30000</v>
      </c>
      <c r="G46" s="87">
        <f t="shared" si="0"/>
        <v>0</v>
      </c>
      <c r="H46" s="689"/>
      <c r="I46" s="693"/>
      <c r="J46" s="692"/>
      <c r="K46" s="692"/>
    </row>
    <row r="47" spans="1:12" ht="15.75" customHeight="1" x14ac:dyDescent="0.25">
      <c r="A47" s="728">
        <f t="shared" si="1"/>
        <v>87.837837837837839</v>
      </c>
      <c r="B47" s="87" t="s">
        <v>2942</v>
      </c>
      <c r="C47" s="662" t="s">
        <v>1819</v>
      </c>
      <c r="D47" s="563">
        <v>26000</v>
      </c>
      <c r="E47" s="573">
        <v>296</v>
      </c>
      <c r="F47" s="563">
        <f t="shared" si="2"/>
        <v>26000</v>
      </c>
      <c r="G47" s="87">
        <f t="shared" si="0"/>
        <v>0</v>
      </c>
      <c r="H47" s="689"/>
      <c r="I47" s="693"/>
      <c r="J47" s="692"/>
      <c r="K47" s="692"/>
    </row>
    <row r="48" spans="1:12" ht="15.75" customHeight="1" x14ac:dyDescent="0.25">
      <c r="A48" s="728">
        <f t="shared" si="1"/>
        <v>96.330275229357795</v>
      </c>
      <c r="B48" s="87" t="s">
        <v>2953</v>
      </c>
      <c r="C48" s="555" t="s">
        <v>66</v>
      </c>
      <c r="D48" s="563">
        <v>210</v>
      </c>
      <c r="E48" s="573">
        <v>2.1800000000000002</v>
      </c>
      <c r="F48" s="563">
        <f t="shared" si="2"/>
        <v>210</v>
      </c>
      <c r="G48" s="87">
        <f t="shared" si="0"/>
        <v>0</v>
      </c>
      <c r="H48" s="689"/>
      <c r="I48" s="693"/>
      <c r="J48" s="692"/>
      <c r="K48" s="692"/>
    </row>
    <row r="49" spans="1:11" ht="15.75" customHeight="1" x14ac:dyDescent="0.25">
      <c r="A49" s="728">
        <f t="shared" si="1"/>
        <v>87.804878048780495</v>
      </c>
      <c r="B49" s="87" t="s">
        <v>2953</v>
      </c>
      <c r="C49" s="662" t="s">
        <v>2959</v>
      </c>
      <c r="D49" s="563">
        <v>18000</v>
      </c>
      <c r="E49" s="573">
        <v>205</v>
      </c>
      <c r="F49" s="563">
        <f t="shared" si="2"/>
        <v>18000</v>
      </c>
      <c r="G49" s="87">
        <f t="shared" si="0"/>
        <v>0</v>
      </c>
      <c r="H49" s="689"/>
      <c r="I49" s="693"/>
      <c r="J49" s="692"/>
      <c r="K49" s="692"/>
    </row>
    <row r="50" spans="1:11" ht="15.75" customHeight="1" x14ac:dyDescent="0.25">
      <c r="A50" s="728">
        <f t="shared" si="1"/>
        <v>88.235294117647058</v>
      </c>
      <c r="B50" s="87" t="s">
        <v>2953</v>
      </c>
      <c r="C50" s="662" t="s">
        <v>2960</v>
      </c>
      <c r="D50" s="563">
        <v>15000</v>
      </c>
      <c r="E50" s="573">
        <v>170</v>
      </c>
      <c r="F50" s="563">
        <f t="shared" si="2"/>
        <v>15000</v>
      </c>
      <c r="G50" s="87">
        <f t="shared" si="0"/>
        <v>0</v>
      </c>
      <c r="H50" s="689"/>
      <c r="I50" s="693"/>
      <c r="J50" s="692"/>
      <c r="K50" s="692"/>
    </row>
    <row r="51" spans="1:11" ht="15.75" customHeight="1" x14ac:dyDescent="0.25">
      <c r="A51" s="728">
        <f t="shared" si="1"/>
        <v>88.235294117647058</v>
      </c>
      <c r="B51" s="87" t="s">
        <v>2953</v>
      </c>
      <c r="C51" s="662" t="s">
        <v>2961</v>
      </c>
      <c r="D51" s="563">
        <v>15000</v>
      </c>
      <c r="E51" s="573">
        <v>170</v>
      </c>
      <c r="F51" s="563">
        <f t="shared" si="2"/>
        <v>15000</v>
      </c>
      <c r="G51" s="87">
        <f t="shared" si="0"/>
        <v>0</v>
      </c>
      <c r="H51" s="689"/>
      <c r="I51" s="693"/>
      <c r="J51" s="692"/>
      <c r="K51" s="692"/>
    </row>
    <row r="52" spans="1:11" ht="15.75" customHeight="1" x14ac:dyDescent="0.25">
      <c r="A52" s="728">
        <f t="shared" si="1"/>
        <v>87.912087912087912</v>
      </c>
      <c r="B52" s="87" t="s">
        <v>2953</v>
      </c>
      <c r="C52" s="662" t="s">
        <v>2962</v>
      </c>
      <c r="D52" s="563">
        <v>16000</v>
      </c>
      <c r="E52" s="573">
        <v>182</v>
      </c>
      <c r="F52" s="563">
        <f t="shared" si="2"/>
        <v>16000</v>
      </c>
      <c r="G52" s="87">
        <f t="shared" si="0"/>
        <v>0</v>
      </c>
      <c r="H52" s="689"/>
      <c r="I52" s="693"/>
      <c r="J52" s="692"/>
      <c r="K52" s="692"/>
    </row>
    <row r="53" spans="1:11" ht="15.75" customHeight="1" x14ac:dyDescent="0.25">
      <c r="A53" s="728">
        <f t="shared" si="1"/>
        <v>88.235294117647058</v>
      </c>
      <c r="B53" s="87" t="s">
        <v>2953</v>
      </c>
      <c r="C53" s="662" t="s">
        <v>2963</v>
      </c>
      <c r="D53" s="563">
        <v>15000</v>
      </c>
      <c r="E53" s="573">
        <v>170</v>
      </c>
      <c r="F53" s="563">
        <f t="shared" si="2"/>
        <v>15000</v>
      </c>
      <c r="G53" s="87">
        <f t="shared" si="0"/>
        <v>0</v>
      </c>
      <c r="H53" s="689"/>
      <c r="I53" s="693"/>
      <c r="J53" s="692"/>
      <c r="K53" s="692"/>
    </row>
    <row r="54" spans="1:11" ht="15.75" customHeight="1" x14ac:dyDescent="0.25">
      <c r="A54" s="728">
        <f t="shared" si="1"/>
        <v>88.6426592797784</v>
      </c>
      <c r="B54" s="87" t="s">
        <v>2953</v>
      </c>
      <c r="C54" s="662" t="s">
        <v>2964</v>
      </c>
      <c r="D54" s="563">
        <v>32000</v>
      </c>
      <c r="E54" s="573">
        <v>361</v>
      </c>
      <c r="F54" s="563">
        <f t="shared" si="2"/>
        <v>32000</v>
      </c>
      <c r="G54" s="87">
        <f t="shared" si="0"/>
        <v>0</v>
      </c>
      <c r="H54" s="689"/>
      <c r="I54" s="693"/>
      <c r="J54" s="692"/>
      <c r="K54" s="692"/>
    </row>
    <row r="55" spans="1:11" ht="15.75" customHeight="1" x14ac:dyDescent="0.25">
      <c r="A55" s="728">
        <f t="shared" si="1"/>
        <v>88.082901554404145</v>
      </c>
      <c r="B55" s="87" t="s">
        <v>2953</v>
      </c>
      <c r="C55" s="555" t="s">
        <v>1923</v>
      </c>
      <c r="D55" s="563">
        <v>17000</v>
      </c>
      <c r="E55" s="573">
        <v>193</v>
      </c>
      <c r="F55" s="563">
        <f t="shared" si="2"/>
        <v>17000</v>
      </c>
      <c r="G55" s="87">
        <f t="shared" si="0"/>
        <v>0</v>
      </c>
      <c r="H55" s="689"/>
      <c r="I55" s="693"/>
      <c r="J55" s="692"/>
      <c r="K55" s="692"/>
    </row>
    <row r="56" spans="1:11" ht="15.75" customHeight="1" x14ac:dyDescent="0.25">
      <c r="A56" s="728">
        <f t="shared" si="1"/>
        <v>87.912087912087912</v>
      </c>
      <c r="B56" s="87" t="s">
        <v>2953</v>
      </c>
      <c r="C56" s="555" t="s">
        <v>1924</v>
      </c>
      <c r="D56" s="563">
        <v>16000</v>
      </c>
      <c r="E56" s="573">
        <v>182</v>
      </c>
      <c r="F56" s="563">
        <f t="shared" si="2"/>
        <v>16000</v>
      </c>
      <c r="G56" s="87">
        <f t="shared" si="0"/>
        <v>0</v>
      </c>
      <c r="H56" s="689"/>
      <c r="I56" s="693"/>
      <c r="J56" s="692"/>
      <c r="K56" s="692"/>
    </row>
    <row r="57" spans="1:11" ht="15.75" customHeight="1" x14ac:dyDescent="0.25">
      <c r="A57" s="728">
        <f t="shared" si="1"/>
        <v>87.786259541984734</v>
      </c>
      <c r="B57" s="87" t="s">
        <v>2953</v>
      </c>
      <c r="C57" s="662" t="s">
        <v>2287</v>
      </c>
      <c r="D57" s="563">
        <v>23000</v>
      </c>
      <c r="E57" s="573">
        <v>262</v>
      </c>
      <c r="F57" s="563">
        <f t="shared" si="2"/>
        <v>23000</v>
      </c>
      <c r="G57" s="87">
        <f t="shared" si="0"/>
        <v>0</v>
      </c>
      <c r="H57" s="689"/>
      <c r="I57" s="693"/>
      <c r="J57" s="692"/>
      <c r="K57" s="692"/>
    </row>
    <row r="58" spans="1:11" ht="15" customHeight="1" x14ac:dyDescent="0.25">
      <c r="A58" s="728">
        <f t="shared" si="1"/>
        <v>88.495575221238937</v>
      </c>
      <c r="B58" s="87" t="s">
        <v>2953</v>
      </c>
      <c r="C58" s="662" t="s">
        <v>2965</v>
      </c>
      <c r="D58" s="563">
        <v>10000</v>
      </c>
      <c r="E58" s="573">
        <v>113</v>
      </c>
      <c r="F58" s="563">
        <f t="shared" si="2"/>
        <v>10000</v>
      </c>
      <c r="G58" s="87">
        <f t="shared" si="0"/>
        <v>0</v>
      </c>
      <c r="H58" s="690"/>
      <c r="I58" s="693"/>
      <c r="J58" s="692"/>
      <c r="K58" s="692"/>
    </row>
    <row r="59" spans="1:11" ht="15" customHeight="1" x14ac:dyDescent="0.25">
      <c r="A59" s="728">
        <f t="shared" si="1"/>
        <v>88</v>
      </c>
      <c r="B59" s="87" t="s">
        <v>2953</v>
      </c>
      <c r="C59" s="662" t="s">
        <v>2966</v>
      </c>
      <c r="D59" s="563">
        <v>33000</v>
      </c>
      <c r="E59" s="573">
        <v>375</v>
      </c>
      <c r="F59" s="563">
        <f t="shared" si="2"/>
        <v>33000</v>
      </c>
      <c r="G59" s="87">
        <f t="shared" si="0"/>
        <v>0</v>
      </c>
      <c r="H59" s="690"/>
      <c r="I59" s="693"/>
      <c r="J59" s="692"/>
      <c r="K59" s="692"/>
    </row>
    <row r="60" spans="1:11" ht="15" customHeight="1" x14ac:dyDescent="0.25">
      <c r="A60" s="728">
        <f t="shared" si="1"/>
        <v>91.603053435114504</v>
      </c>
      <c r="B60" s="87" t="s">
        <v>2953</v>
      </c>
      <c r="C60" s="662" t="s">
        <v>2967</v>
      </c>
      <c r="D60" s="563">
        <v>24000</v>
      </c>
      <c r="E60" s="573">
        <v>262</v>
      </c>
      <c r="F60" s="563">
        <f t="shared" si="2"/>
        <v>24000</v>
      </c>
      <c r="G60" s="87">
        <f t="shared" si="0"/>
        <v>0</v>
      </c>
      <c r="H60" s="690"/>
      <c r="I60" s="693"/>
      <c r="J60" s="692"/>
      <c r="K60" s="692"/>
    </row>
    <row r="61" spans="1:11" ht="15" customHeight="1" x14ac:dyDescent="0.25">
      <c r="A61" s="728">
        <f t="shared" si="1"/>
        <v>87.976539589442808</v>
      </c>
      <c r="B61" s="87" t="s">
        <v>2953</v>
      </c>
      <c r="C61" s="730" t="s">
        <v>2968</v>
      </c>
      <c r="D61" s="563">
        <v>30000</v>
      </c>
      <c r="E61" s="573">
        <v>341</v>
      </c>
      <c r="F61" s="563">
        <f t="shared" si="2"/>
        <v>30000</v>
      </c>
      <c r="G61" s="87">
        <f t="shared" si="0"/>
        <v>0</v>
      </c>
      <c r="H61" s="690"/>
      <c r="I61" s="693"/>
      <c r="J61" s="692"/>
      <c r="K61" s="692"/>
    </row>
    <row r="62" spans="1:11" ht="15" customHeight="1" x14ac:dyDescent="0.25">
      <c r="A62" s="728">
        <f t="shared" si="1"/>
        <v>88.028169014084511</v>
      </c>
      <c r="B62" s="87" t="s">
        <v>2953</v>
      </c>
      <c r="C62" s="662" t="s">
        <v>2969</v>
      </c>
      <c r="D62" s="563">
        <v>25000</v>
      </c>
      <c r="E62" s="573">
        <v>284</v>
      </c>
      <c r="F62" s="563">
        <f t="shared" si="2"/>
        <v>25000</v>
      </c>
      <c r="G62" s="87">
        <f t="shared" si="0"/>
        <v>0</v>
      </c>
      <c r="H62" s="690"/>
      <c r="I62" s="693"/>
      <c r="J62" s="692"/>
      <c r="K62" s="692"/>
    </row>
    <row r="63" spans="1:11" ht="15" customHeight="1" x14ac:dyDescent="0.25">
      <c r="A63" s="728">
        <f t="shared" si="1"/>
        <v>89.456869009584665</v>
      </c>
      <c r="B63" s="87" t="s">
        <v>2953</v>
      </c>
      <c r="C63" s="662" t="s">
        <v>2970</v>
      </c>
      <c r="D63" s="563">
        <v>28000</v>
      </c>
      <c r="E63" s="573">
        <v>313</v>
      </c>
      <c r="F63" s="563">
        <f t="shared" si="2"/>
        <v>28000</v>
      </c>
      <c r="G63" s="87">
        <f t="shared" si="0"/>
        <v>0</v>
      </c>
      <c r="H63" s="690"/>
      <c r="I63" s="693"/>
      <c r="J63" s="692"/>
      <c r="K63" s="692"/>
    </row>
    <row r="64" spans="1:11" ht="15" customHeight="1" x14ac:dyDescent="0.25">
      <c r="A64" s="728">
        <f t="shared" si="1"/>
        <v>88.495575221238937</v>
      </c>
      <c r="B64" s="87" t="s">
        <v>2953</v>
      </c>
      <c r="C64" s="662" t="s">
        <v>2116</v>
      </c>
      <c r="D64" s="563">
        <v>10000</v>
      </c>
      <c r="E64" s="573">
        <v>113</v>
      </c>
      <c r="F64" s="563">
        <f t="shared" si="2"/>
        <v>10000</v>
      </c>
      <c r="G64" s="87">
        <f t="shared" si="0"/>
        <v>0</v>
      </c>
      <c r="H64" s="690"/>
      <c r="I64" s="693"/>
      <c r="J64" s="692"/>
      <c r="K64" s="692"/>
    </row>
    <row r="65" spans="1:11" ht="15" customHeight="1" x14ac:dyDescent="0.25">
      <c r="A65" s="728">
        <f t="shared" si="1"/>
        <v>88.105726872246692</v>
      </c>
      <c r="B65" s="87" t="s">
        <v>2953</v>
      </c>
      <c r="C65" s="662" t="s">
        <v>2971</v>
      </c>
      <c r="D65" s="563">
        <v>20000</v>
      </c>
      <c r="E65" s="573">
        <v>227</v>
      </c>
      <c r="F65" s="563">
        <f t="shared" si="2"/>
        <v>20000</v>
      </c>
      <c r="G65" s="87">
        <f t="shared" si="0"/>
        <v>0</v>
      </c>
      <c r="H65" s="690"/>
      <c r="I65" s="693"/>
      <c r="J65" s="692"/>
      <c r="K65" s="692"/>
    </row>
    <row r="66" spans="1:11" ht="15" customHeight="1" x14ac:dyDescent="0.25">
      <c r="A66" s="728">
        <f t="shared" si="1"/>
        <v>87.912087912087912</v>
      </c>
      <c r="B66" s="87" t="s">
        <v>2953</v>
      </c>
      <c r="C66" s="662" t="s">
        <v>2972</v>
      </c>
      <c r="D66" s="563">
        <v>8000</v>
      </c>
      <c r="E66" s="573">
        <v>91</v>
      </c>
      <c r="F66" s="563">
        <f t="shared" si="2"/>
        <v>8000</v>
      </c>
      <c r="G66" s="87">
        <f t="shared" si="0"/>
        <v>0</v>
      </c>
      <c r="H66" s="690"/>
      <c r="I66" s="693"/>
      <c r="J66" s="692"/>
      <c r="K66" s="692"/>
    </row>
    <row r="67" spans="1:11" ht="15" customHeight="1" x14ac:dyDescent="0.25">
      <c r="A67" s="728">
        <f t="shared" si="1"/>
        <v>88.235294117647058</v>
      </c>
      <c r="B67" s="87" t="s">
        <v>2953</v>
      </c>
      <c r="C67" s="662" t="s">
        <v>2973</v>
      </c>
      <c r="D67" s="563">
        <v>15000</v>
      </c>
      <c r="E67" s="573">
        <v>170</v>
      </c>
      <c r="F67" s="563">
        <f t="shared" si="2"/>
        <v>15000</v>
      </c>
      <c r="G67" s="87">
        <f t="shared" si="0"/>
        <v>0</v>
      </c>
      <c r="H67" s="690"/>
      <c r="I67" s="693"/>
      <c r="J67" s="692"/>
      <c r="K67" s="692"/>
    </row>
    <row r="68" spans="1:11" ht="15" customHeight="1" x14ac:dyDescent="0.25">
      <c r="A68" s="728">
        <f t="shared" si="1"/>
        <v>88.607594936708864</v>
      </c>
      <c r="B68" s="87" t="s">
        <v>2979</v>
      </c>
      <c r="C68" s="662" t="s">
        <v>2112</v>
      </c>
      <c r="D68" s="563">
        <v>28000</v>
      </c>
      <c r="E68" s="573">
        <v>316</v>
      </c>
      <c r="F68" s="563">
        <f t="shared" si="2"/>
        <v>28000</v>
      </c>
      <c r="G68" s="87">
        <f t="shared" si="0"/>
        <v>0</v>
      </c>
      <c r="H68" s="690"/>
      <c r="I68" s="693"/>
      <c r="J68" s="692"/>
      <c r="K68" s="692"/>
    </row>
    <row r="69" spans="1:11" ht="15" customHeight="1" x14ac:dyDescent="0.25">
      <c r="A69" s="728">
        <f t="shared" si="1"/>
        <v>87.912087912087912</v>
      </c>
      <c r="B69" s="87" t="s">
        <v>2979</v>
      </c>
      <c r="C69" s="662" t="s">
        <v>30</v>
      </c>
      <c r="D69" s="563">
        <v>8000</v>
      </c>
      <c r="E69" s="573">
        <v>91</v>
      </c>
      <c r="F69" s="563">
        <f t="shared" si="2"/>
        <v>8000</v>
      </c>
      <c r="G69" s="87">
        <f t="shared" ref="G69:G134" si="3">D69-F69</f>
        <v>0</v>
      </c>
      <c r="H69" s="690"/>
      <c r="I69" s="693"/>
      <c r="J69" s="692"/>
      <c r="K69" s="692"/>
    </row>
    <row r="70" spans="1:11" ht="15" customHeight="1" x14ac:dyDescent="0.25">
      <c r="A70" s="728">
        <f t="shared" ref="A70:A89" si="4">D70/E70</f>
        <v>88.652482269503551</v>
      </c>
      <c r="B70" s="87" t="s">
        <v>2979</v>
      </c>
      <c r="C70" s="662" t="s">
        <v>2974</v>
      </c>
      <c r="D70" s="563">
        <v>25000</v>
      </c>
      <c r="E70" s="573">
        <v>282</v>
      </c>
      <c r="F70" s="563">
        <f t="shared" ref="F70:F133" si="5">D70</f>
        <v>25000</v>
      </c>
      <c r="G70" s="87">
        <f t="shared" si="3"/>
        <v>0</v>
      </c>
      <c r="H70" s="690"/>
      <c r="I70" s="693"/>
      <c r="J70" s="692"/>
      <c r="K70" s="692"/>
    </row>
    <row r="71" spans="1:11" ht="15" customHeight="1" x14ac:dyDescent="0.25">
      <c r="A71" s="728">
        <f t="shared" si="4"/>
        <v>88.235294117647058</v>
      </c>
      <c r="B71" s="87" t="s">
        <v>2979</v>
      </c>
      <c r="C71" s="662" t="s">
        <v>17</v>
      </c>
      <c r="D71" s="563">
        <v>3000</v>
      </c>
      <c r="E71" s="573">
        <v>34</v>
      </c>
      <c r="F71" s="563">
        <f t="shared" si="5"/>
        <v>3000</v>
      </c>
      <c r="G71" s="87">
        <f t="shared" si="3"/>
        <v>0</v>
      </c>
      <c r="H71" s="690"/>
      <c r="I71" s="693"/>
      <c r="J71" s="692"/>
      <c r="K71" s="692"/>
    </row>
    <row r="72" spans="1:11" ht="15" customHeight="1" x14ac:dyDescent="0.25">
      <c r="A72" s="728">
        <f t="shared" si="4"/>
        <v>87.947882736156359</v>
      </c>
      <c r="B72" s="87" t="s">
        <v>2979</v>
      </c>
      <c r="C72" s="662" t="s">
        <v>2975</v>
      </c>
      <c r="D72" s="563">
        <v>27000</v>
      </c>
      <c r="E72" s="573">
        <v>307</v>
      </c>
      <c r="F72" s="563">
        <f t="shared" si="5"/>
        <v>27000</v>
      </c>
      <c r="G72" s="87">
        <f t="shared" si="3"/>
        <v>0</v>
      </c>
      <c r="H72" s="690"/>
      <c r="I72" s="693"/>
      <c r="J72" s="692"/>
      <c r="K72" s="692"/>
    </row>
    <row r="73" spans="1:11" ht="15" customHeight="1" x14ac:dyDescent="0.25">
      <c r="A73" s="728">
        <f t="shared" si="4"/>
        <v>88.105726872246692</v>
      </c>
      <c r="B73" s="87" t="s">
        <v>2979</v>
      </c>
      <c r="C73" s="662" t="s">
        <v>1967</v>
      </c>
      <c r="D73" s="563">
        <v>20000</v>
      </c>
      <c r="E73" s="573">
        <v>227</v>
      </c>
      <c r="F73" s="563">
        <f t="shared" si="5"/>
        <v>20000</v>
      </c>
      <c r="G73" s="87">
        <f t="shared" si="3"/>
        <v>0</v>
      </c>
      <c r="H73" s="690"/>
      <c r="I73" s="693"/>
      <c r="J73" s="692"/>
      <c r="K73" s="692"/>
    </row>
    <row r="74" spans="1:11" ht="15" customHeight="1" x14ac:dyDescent="0.25">
      <c r="A74" s="728">
        <f t="shared" si="4"/>
        <v>88.028169014084511</v>
      </c>
      <c r="B74" s="87" t="s">
        <v>2979</v>
      </c>
      <c r="C74" s="662" t="s">
        <v>1724</v>
      </c>
      <c r="D74" s="563">
        <v>25000</v>
      </c>
      <c r="E74" s="573">
        <v>284</v>
      </c>
      <c r="F74" s="563">
        <f t="shared" si="5"/>
        <v>25000</v>
      </c>
      <c r="G74" s="87">
        <f t="shared" si="3"/>
        <v>0</v>
      </c>
      <c r="H74" s="690"/>
      <c r="I74" s="693"/>
      <c r="J74" s="692"/>
      <c r="K74" s="692"/>
    </row>
    <row r="75" spans="1:11" ht="15" customHeight="1" x14ac:dyDescent="0.25">
      <c r="A75" s="728">
        <f t="shared" si="4"/>
        <v>88.105726872246692</v>
      </c>
      <c r="B75" s="87" t="s">
        <v>2979</v>
      </c>
      <c r="C75" s="662" t="s">
        <v>2976</v>
      </c>
      <c r="D75" s="563">
        <v>20000</v>
      </c>
      <c r="E75" s="573">
        <v>227</v>
      </c>
      <c r="F75" s="563">
        <f t="shared" si="5"/>
        <v>20000</v>
      </c>
      <c r="G75" s="87">
        <f t="shared" si="3"/>
        <v>0</v>
      </c>
      <c r="H75" s="690"/>
      <c r="I75" s="693"/>
      <c r="J75" s="692"/>
      <c r="K75" s="692"/>
    </row>
    <row r="76" spans="1:11" ht="15" customHeight="1" x14ac:dyDescent="0.25">
      <c r="A76" s="728">
        <f t="shared" si="4"/>
        <v>88</v>
      </c>
      <c r="B76" s="87" t="s">
        <v>2979</v>
      </c>
      <c r="C76" s="662" t="s">
        <v>2977</v>
      </c>
      <c r="D76" s="563">
        <v>22000</v>
      </c>
      <c r="E76" s="573">
        <v>250</v>
      </c>
      <c r="F76" s="563">
        <f t="shared" si="5"/>
        <v>22000</v>
      </c>
      <c r="G76" s="87">
        <f t="shared" si="3"/>
        <v>0</v>
      </c>
      <c r="H76" s="690"/>
      <c r="I76" s="693"/>
      <c r="J76" s="692"/>
      <c r="K76" s="692"/>
    </row>
    <row r="77" spans="1:11" ht="15" customHeight="1" x14ac:dyDescent="0.25">
      <c r="A77" s="728">
        <f t="shared" si="4"/>
        <v>87.912087912087912</v>
      </c>
      <c r="B77" s="87" t="s">
        <v>2979</v>
      </c>
      <c r="C77" s="662" t="s">
        <v>30</v>
      </c>
      <c r="D77" s="563">
        <v>8000</v>
      </c>
      <c r="E77" s="573">
        <v>91</v>
      </c>
      <c r="F77" s="563">
        <f t="shared" si="5"/>
        <v>8000</v>
      </c>
      <c r="G77" s="87">
        <f t="shared" si="3"/>
        <v>0</v>
      </c>
      <c r="H77" s="690"/>
      <c r="I77" s="693"/>
      <c r="J77" s="692"/>
      <c r="K77" s="692"/>
    </row>
    <row r="78" spans="1:11" ht="15" customHeight="1" x14ac:dyDescent="0.25">
      <c r="A78" s="728">
        <f t="shared" si="4"/>
        <v>98.214285714285708</v>
      </c>
      <c r="B78" s="87" t="s">
        <v>2979</v>
      </c>
      <c r="C78" s="662" t="s">
        <v>66</v>
      </c>
      <c r="D78" s="563">
        <v>110</v>
      </c>
      <c r="E78" s="573">
        <v>1.1200000000000001</v>
      </c>
      <c r="F78" s="563">
        <f t="shared" si="5"/>
        <v>110</v>
      </c>
      <c r="G78" s="87">
        <f t="shared" si="3"/>
        <v>0</v>
      </c>
      <c r="H78" s="690"/>
      <c r="I78" s="693"/>
      <c r="J78" s="692"/>
      <c r="K78" s="692"/>
    </row>
    <row r="79" spans="1:11" ht="15" customHeight="1" x14ac:dyDescent="0.25">
      <c r="A79" s="728">
        <f t="shared" si="4"/>
        <v>88</v>
      </c>
      <c r="B79" s="87" t="s">
        <v>2979</v>
      </c>
      <c r="C79" s="662" t="s">
        <v>2978</v>
      </c>
      <c r="D79" s="563">
        <v>22000</v>
      </c>
      <c r="E79" s="573">
        <v>250</v>
      </c>
      <c r="F79" s="563">
        <f t="shared" si="5"/>
        <v>22000</v>
      </c>
      <c r="G79" s="87">
        <f t="shared" si="3"/>
        <v>0</v>
      </c>
      <c r="H79" s="690"/>
      <c r="I79" s="693"/>
      <c r="J79" s="692"/>
      <c r="K79" s="692"/>
    </row>
    <row r="80" spans="1:11" ht="15" customHeight="1" x14ac:dyDescent="0.25">
      <c r="A80" s="728">
        <f t="shared" si="4"/>
        <v>87.804878048780495</v>
      </c>
      <c r="B80" s="87" t="s">
        <v>2979</v>
      </c>
      <c r="C80" s="662" t="s">
        <v>2044</v>
      </c>
      <c r="D80" s="563">
        <v>18000</v>
      </c>
      <c r="E80" s="573">
        <v>205</v>
      </c>
      <c r="F80" s="563">
        <f t="shared" si="5"/>
        <v>18000</v>
      </c>
      <c r="G80" s="87">
        <f t="shared" si="3"/>
        <v>0</v>
      </c>
      <c r="H80" s="690"/>
      <c r="I80" s="693"/>
      <c r="J80" s="692"/>
      <c r="K80" s="692"/>
    </row>
    <row r="81" spans="1:11" ht="15" customHeight="1" x14ac:dyDescent="0.25">
      <c r="A81" s="728">
        <f t="shared" si="4"/>
        <v>87.797665369649806</v>
      </c>
      <c r="B81" s="87" t="s">
        <v>2979</v>
      </c>
      <c r="C81" s="662" t="s">
        <v>2980</v>
      </c>
      <c r="D81" s="563">
        <v>22564</v>
      </c>
      <c r="E81" s="573">
        <v>257</v>
      </c>
      <c r="F81" s="563">
        <f t="shared" si="5"/>
        <v>22564</v>
      </c>
      <c r="G81" s="87">
        <f t="shared" si="3"/>
        <v>0</v>
      </c>
      <c r="H81" s="690"/>
      <c r="I81" s="693"/>
      <c r="J81" s="692"/>
      <c r="K81" s="692"/>
    </row>
    <row r="82" spans="1:11" ht="15" customHeight="1" x14ac:dyDescent="0.25">
      <c r="A82" s="728">
        <f t="shared" si="4"/>
        <v>87.774294670846402</v>
      </c>
      <c r="B82" s="87" t="s">
        <v>2979</v>
      </c>
      <c r="C82" s="722" t="s">
        <v>2981</v>
      </c>
      <c r="D82" s="563">
        <v>28000</v>
      </c>
      <c r="E82" s="573">
        <v>319</v>
      </c>
      <c r="F82" s="563">
        <f t="shared" si="5"/>
        <v>28000</v>
      </c>
      <c r="G82" s="87">
        <f t="shared" si="3"/>
        <v>0</v>
      </c>
      <c r="H82" s="690"/>
      <c r="I82" s="693"/>
      <c r="J82" s="692"/>
      <c r="K82" s="692"/>
    </row>
    <row r="83" spans="1:11" ht="15" customHeight="1" x14ac:dyDescent="0.25">
      <c r="A83" s="728">
        <f t="shared" si="4"/>
        <v>87.774294670846402</v>
      </c>
      <c r="B83" s="87" t="s">
        <v>2979</v>
      </c>
      <c r="C83" s="662" t="s">
        <v>2982</v>
      </c>
      <c r="D83" s="563">
        <v>28000</v>
      </c>
      <c r="E83" s="573">
        <v>319</v>
      </c>
      <c r="F83" s="563">
        <f t="shared" si="5"/>
        <v>28000</v>
      </c>
      <c r="G83" s="87">
        <f t="shared" si="3"/>
        <v>0</v>
      </c>
      <c r="H83" s="690"/>
      <c r="I83" s="693"/>
      <c r="J83" s="692"/>
      <c r="K83" s="692"/>
    </row>
    <row r="84" spans="1:11" ht="15" customHeight="1" x14ac:dyDescent="0.25">
      <c r="A84" s="728">
        <f t="shared" si="4"/>
        <v>88.105726872246692</v>
      </c>
      <c r="B84" s="87" t="s">
        <v>2979</v>
      </c>
      <c r="C84" s="662" t="s">
        <v>2983</v>
      </c>
      <c r="D84" s="563">
        <v>20000</v>
      </c>
      <c r="E84" s="573">
        <v>227</v>
      </c>
      <c r="F84" s="563">
        <f t="shared" si="5"/>
        <v>20000</v>
      </c>
      <c r="G84" s="87">
        <f t="shared" si="3"/>
        <v>0</v>
      </c>
      <c r="H84" s="690"/>
      <c r="I84" s="693"/>
      <c r="J84" s="692"/>
      <c r="K84" s="692"/>
    </row>
    <row r="85" spans="1:11" ht="15" customHeight="1" x14ac:dyDescent="0.25">
      <c r="A85" s="728">
        <f t="shared" si="4"/>
        <v>87.837837837837839</v>
      </c>
      <c r="B85" s="87" t="s">
        <v>2979</v>
      </c>
      <c r="C85" s="662" t="s">
        <v>2984</v>
      </c>
      <c r="D85" s="563">
        <v>26000</v>
      </c>
      <c r="E85" s="573">
        <v>296</v>
      </c>
      <c r="F85" s="563">
        <f t="shared" si="5"/>
        <v>26000</v>
      </c>
      <c r="G85" s="87">
        <f t="shared" si="3"/>
        <v>0</v>
      </c>
      <c r="H85" s="690"/>
      <c r="I85" s="693"/>
      <c r="J85" s="692"/>
      <c r="K85" s="692"/>
    </row>
    <row r="86" spans="1:11" ht="15" customHeight="1" x14ac:dyDescent="0.25">
      <c r="A86" s="728">
        <f t="shared" si="4"/>
        <v>88.028169014084511</v>
      </c>
      <c r="B86" s="87" t="s">
        <v>2979</v>
      </c>
      <c r="C86" s="662" t="s">
        <v>3001</v>
      </c>
      <c r="D86" s="563">
        <v>25000</v>
      </c>
      <c r="E86" s="573">
        <v>284</v>
      </c>
      <c r="F86" s="563">
        <f t="shared" si="5"/>
        <v>25000</v>
      </c>
      <c r="G86" s="87">
        <f t="shared" si="3"/>
        <v>0</v>
      </c>
      <c r="H86" s="690"/>
      <c r="I86" s="693"/>
      <c r="J86" s="692"/>
      <c r="K86" s="692"/>
    </row>
    <row r="87" spans="1:11" ht="15" customHeight="1" x14ac:dyDescent="0.25">
      <c r="A87" s="728">
        <f t="shared" si="4"/>
        <v>87.912087912087912</v>
      </c>
      <c r="B87" s="87" t="s">
        <v>2979</v>
      </c>
      <c r="C87" s="662" t="s">
        <v>2985</v>
      </c>
      <c r="D87" s="563">
        <v>16000</v>
      </c>
      <c r="E87" s="573">
        <v>182</v>
      </c>
      <c r="F87" s="563">
        <f t="shared" si="5"/>
        <v>16000</v>
      </c>
      <c r="G87" s="87">
        <f t="shared" si="3"/>
        <v>0</v>
      </c>
      <c r="H87" s="690"/>
      <c r="I87" s="693"/>
      <c r="J87" s="692"/>
      <c r="K87" s="692"/>
    </row>
    <row r="88" spans="1:11" ht="15" customHeight="1" x14ac:dyDescent="0.25">
      <c r="A88" s="728">
        <f t="shared" si="4"/>
        <v>88.028169014084511</v>
      </c>
      <c r="B88" s="87" t="s">
        <v>2979</v>
      </c>
      <c r="C88" s="662" t="s">
        <v>2147</v>
      </c>
      <c r="D88" s="563">
        <v>25000</v>
      </c>
      <c r="E88" s="573">
        <v>284</v>
      </c>
      <c r="F88" s="563">
        <f t="shared" si="5"/>
        <v>25000</v>
      </c>
      <c r="G88" s="87">
        <f t="shared" si="3"/>
        <v>0</v>
      </c>
      <c r="H88" s="690"/>
      <c r="I88" s="693"/>
      <c r="J88" s="692"/>
      <c r="K88" s="692"/>
    </row>
    <row r="89" spans="1:11" ht="15" customHeight="1" x14ac:dyDescent="0.25">
      <c r="A89" s="728">
        <f t="shared" si="4"/>
        <v>88.235294117647058</v>
      </c>
      <c r="B89" s="87" t="s">
        <v>2979</v>
      </c>
      <c r="C89" s="662" t="s">
        <v>2986</v>
      </c>
      <c r="D89" s="563">
        <v>15000</v>
      </c>
      <c r="E89" s="573">
        <v>170</v>
      </c>
      <c r="F89" s="563">
        <f t="shared" si="5"/>
        <v>15000</v>
      </c>
      <c r="G89" s="87">
        <f t="shared" si="3"/>
        <v>0</v>
      </c>
      <c r="H89" s="690"/>
      <c r="I89" s="693"/>
      <c r="J89" s="692"/>
      <c r="K89" s="692"/>
    </row>
    <row r="90" spans="1:11" ht="15" customHeight="1" x14ac:dyDescent="0.25">
      <c r="A90" s="728">
        <f t="shared" ref="A90:A153" si="6">D90/E90</f>
        <v>87.912087912087912</v>
      </c>
      <c r="B90" s="87" t="s">
        <v>2979</v>
      </c>
      <c r="C90" s="662" t="s">
        <v>2770</v>
      </c>
      <c r="D90" s="563">
        <v>16000</v>
      </c>
      <c r="E90" s="573">
        <v>182</v>
      </c>
      <c r="F90" s="563">
        <f t="shared" si="5"/>
        <v>16000</v>
      </c>
      <c r="G90" s="87">
        <f t="shared" si="3"/>
        <v>0</v>
      </c>
      <c r="H90" s="690"/>
      <c r="I90" s="693"/>
      <c r="J90" s="692"/>
      <c r="K90" s="692"/>
    </row>
    <row r="91" spans="1:11" ht="15" customHeight="1" x14ac:dyDescent="0.25">
      <c r="A91" s="728">
        <f t="shared" si="6"/>
        <v>88.607594936708864</v>
      </c>
      <c r="B91" s="87" t="s">
        <v>2979</v>
      </c>
      <c r="C91" s="662" t="s">
        <v>2987</v>
      </c>
      <c r="D91" s="563">
        <v>7000</v>
      </c>
      <c r="E91" s="573">
        <v>79</v>
      </c>
      <c r="F91" s="563">
        <f t="shared" si="5"/>
        <v>7000</v>
      </c>
      <c r="G91" s="87">
        <f t="shared" si="3"/>
        <v>0</v>
      </c>
      <c r="H91" s="690"/>
      <c r="I91" s="693"/>
      <c r="J91" s="692"/>
      <c r="K91" s="692"/>
    </row>
    <row r="92" spans="1:11" ht="15" customHeight="1" x14ac:dyDescent="0.25">
      <c r="A92" s="728">
        <f t="shared" si="6"/>
        <v>87.912087912087912</v>
      </c>
      <c r="B92" s="87" t="s">
        <v>2979</v>
      </c>
      <c r="C92" s="662" t="s">
        <v>2988</v>
      </c>
      <c r="D92" s="563">
        <v>8000</v>
      </c>
      <c r="E92" s="573">
        <v>91</v>
      </c>
      <c r="F92" s="563">
        <f t="shared" si="5"/>
        <v>8000</v>
      </c>
      <c r="G92" s="87">
        <f t="shared" si="3"/>
        <v>0</v>
      </c>
      <c r="H92" s="690"/>
      <c r="I92" s="693"/>
      <c r="J92" s="692"/>
      <c r="K92" s="692"/>
    </row>
    <row r="93" spans="1:11" ht="15" customHeight="1" x14ac:dyDescent="0.25">
      <c r="A93" s="728">
        <f t="shared" si="6"/>
        <v>87.912087912087912</v>
      </c>
      <c r="B93" s="87" t="s">
        <v>2979</v>
      </c>
      <c r="C93" s="514" t="s">
        <v>2989</v>
      </c>
      <c r="D93" s="87">
        <v>8000</v>
      </c>
      <c r="E93" s="87">
        <v>91</v>
      </c>
      <c r="F93" s="563">
        <f t="shared" si="5"/>
        <v>8000</v>
      </c>
      <c r="G93" s="87">
        <f t="shared" si="3"/>
        <v>0</v>
      </c>
      <c r="H93" s="690"/>
      <c r="I93" s="693"/>
      <c r="J93" s="692"/>
      <c r="K93" s="692"/>
    </row>
    <row r="94" spans="1:11" ht="15" customHeight="1" x14ac:dyDescent="0.25">
      <c r="A94" s="728">
        <f t="shared" si="6"/>
        <v>88.235294117647058</v>
      </c>
      <c r="B94" s="87" t="s">
        <v>2990</v>
      </c>
      <c r="C94" s="514" t="s">
        <v>3176</v>
      </c>
      <c r="D94" s="87">
        <v>15000</v>
      </c>
      <c r="E94" s="87">
        <v>170</v>
      </c>
      <c r="F94" s="563">
        <f t="shared" si="5"/>
        <v>15000</v>
      </c>
      <c r="G94" s="87">
        <f t="shared" si="3"/>
        <v>0</v>
      </c>
      <c r="H94" s="690"/>
      <c r="I94" s="693"/>
      <c r="J94" s="692"/>
      <c r="K94" s="692"/>
    </row>
    <row r="95" spans="1:11" ht="15" customHeight="1" x14ac:dyDescent="0.25">
      <c r="A95" s="728">
        <f t="shared" si="6"/>
        <v>87.912087912087912</v>
      </c>
      <c r="B95" s="87" t="s">
        <v>2990</v>
      </c>
      <c r="C95" s="514" t="s">
        <v>2991</v>
      </c>
      <c r="D95" s="87">
        <v>16000</v>
      </c>
      <c r="E95" s="87">
        <v>182</v>
      </c>
      <c r="F95" s="563">
        <f t="shared" si="5"/>
        <v>16000</v>
      </c>
      <c r="G95" s="87">
        <f t="shared" si="3"/>
        <v>0</v>
      </c>
      <c r="H95" s="690"/>
      <c r="I95" s="693"/>
      <c r="J95" s="692"/>
      <c r="K95" s="692"/>
    </row>
    <row r="96" spans="1:11" ht="15" customHeight="1" x14ac:dyDescent="0.25">
      <c r="A96" s="728">
        <f t="shared" si="6"/>
        <v>87.878787878787875</v>
      </c>
      <c r="B96" s="87" t="s">
        <v>2990</v>
      </c>
      <c r="C96" s="514" t="s">
        <v>2713</v>
      </c>
      <c r="D96" s="87">
        <v>14500</v>
      </c>
      <c r="E96" s="87">
        <v>165</v>
      </c>
      <c r="F96" s="563">
        <f t="shared" si="5"/>
        <v>14500</v>
      </c>
      <c r="G96" s="87">
        <f t="shared" si="3"/>
        <v>0</v>
      </c>
      <c r="H96" s="690"/>
      <c r="I96" s="693"/>
      <c r="J96" s="692"/>
      <c r="K96" s="692"/>
    </row>
    <row r="97" spans="1:11" ht="15" customHeight="1" x14ac:dyDescent="0.25">
      <c r="A97" s="728">
        <f t="shared" si="6"/>
        <v>87.837837837837839</v>
      </c>
      <c r="B97" s="87" t="s">
        <v>2990</v>
      </c>
      <c r="C97" s="514" t="s">
        <v>2602</v>
      </c>
      <c r="D97" s="87">
        <v>26000</v>
      </c>
      <c r="E97" s="87">
        <v>296</v>
      </c>
      <c r="F97" s="563">
        <f t="shared" si="5"/>
        <v>26000</v>
      </c>
      <c r="G97" s="87">
        <f t="shared" si="3"/>
        <v>0</v>
      </c>
      <c r="H97" s="690"/>
      <c r="I97" s="693"/>
      <c r="J97" s="692"/>
      <c r="K97" s="692"/>
    </row>
    <row r="98" spans="1:11" ht="15" customHeight="1" x14ac:dyDescent="0.25">
      <c r="A98" s="728">
        <f t="shared" si="6"/>
        <v>88.105726872246692</v>
      </c>
      <c r="B98" s="87" t="s">
        <v>2990</v>
      </c>
      <c r="C98" s="514" t="s">
        <v>2294</v>
      </c>
      <c r="D98" s="87">
        <v>20000</v>
      </c>
      <c r="E98" s="87">
        <v>227</v>
      </c>
      <c r="F98" s="563">
        <f t="shared" si="5"/>
        <v>20000</v>
      </c>
      <c r="G98" s="87">
        <f t="shared" si="3"/>
        <v>0</v>
      </c>
      <c r="H98" s="690"/>
      <c r="I98" s="693"/>
      <c r="J98" s="692"/>
      <c r="K98" s="692"/>
    </row>
    <row r="99" spans="1:11" ht="15" customHeight="1" x14ac:dyDescent="0.25">
      <c r="A99" s="728">
        <f t="shared" si="6"/>
        <v>89.686098654708516</v>
      </c>
      <c r="B99" s="87" t="s">
        <v>2990</v>
      </c>
      <c r="C99" s="514" t="s">
        <v>2992</v>
      </c>
      <c r="D99" s="87">
        <v>20000</v>
      </c>
      <c r="E99" s="87">
        <v>223</v>
      </c>
      <c r="F99" s="563">
        <f t="shared" si="5"/>
        <v>20000</v>
      </c>
      <c r="G99" s="87">
        <f>D99-F99</f>
        <v>0</v>
      </c>
      <c r="H99" s="690"/>
      <c r="I99" s="693"/>
      <c r="J99" s="692"/>
      <c r="K99" s="692"/>
    </row>
    <row r="100" spans="1:11" ht="15" customHeight="1" x14ac:dyDescent="0.25">
      <c r="A100" s="728">
        <f t="shared" si="6"/>
        <v>88.105726872246692</v>
      </c>
      <c r="B100" s="87" t="s">
        <v>2990</v>
      </c>
      <c r="C100" s="87" t="s">
        <v>2993</v>
      </c>
      <c r="D100" s="87">
        <v>20000</v>
      </c>
      <c r="E100" s="87">
        <v>227</v>
      </c>
      <c r="F100" s="563">
        <f t="shared" si="5"/>
        <v>20000</v>
      </c>
      <c r="G100" s="87">
        <f t="shared" si="3"/>
        <v>0</v>
      </c>
      <c r="H100" s="690"/>
      <c r="I100" s="693"/>
      <c r="J100" s="692"/>
      <c r="K100" s="692"/>
    </row>
    <row r="101" spans="1:11" ht="15" customHeight="1" x14ac:dyDescent="0.25">
      <c r="A101" s="728">
        <f t="shared" si="6"/>
        <v>88.028169014084511</v>
      </c>
      <c r="B101" s="87" t="s">
        <v>2990</v>
      </c>
      <c r="C101" s="514" t="s">
        <v>2916</v>
      </c>
      <c r="D101" s="87">
        <v>25000</v>
      </c>
      <c r="E101" s="87">
        <v>284</v>
      </c>
      <c r="F101" s="563">
        <f t="shared" si="5"/>
        <v>25000</v>
      </c>
      <c r="G101" s="87">
        <f t="shared" si="3"/>
        <v>0</v>
      </c>
      <c r="H101" s="690"/>
      <c r="I101" s="693"/>
      <c r="J101" s="692"/>
      <c r="K101" s="692"/>
    </row>
    <row r="102" spans="1:11" ht="15" customHeight="1" x14ac:dyDescent="0.25">
      <c r="A102" s="728">
        <f t="shared" si="6"/>
        <v>88</v>
      </c>
      <c r="B102" s="87" t="s">
        <v>2990</v>
      </c>
      <c r="C102" s="514" t="s">
        <v>2391</v>
      </c>
      <c r="D102" s="87">
        <v>22000</v>
      </c>
      <c r="E102" s="87">
        <v>250</v>
      </c>
      <c r="F102" s="563">
        <f t="shared" si="5"/>
        <v>22000</v>
      </c>
      <c r="G102" s="87">
        <f t="shared" si="3"/>
        <v>0</v>
      </c>
      <c r="H102" s="690"/>
      <c r="I102" s="693"/>
      <c r="J102" s="692"/>
      <c r="K102" s="692"/>
    </row>
    <row r="103" spans="1:11" ht="15" customHeight="1" x14ac:dyDescent="0.25">
      <c r="A103" s="728">
        <f t="shared" si="6"/>
        <v>87.912087912087912</v>
      </c>
      <c r="B103" s="87" t="s">
        <v>2990</v>
      </c>
      <c r="C103" s="514" t="s">
        <v>2994</v>
      </c>
      <c r="D103" s="87">
        <v>32000</v>
      </c>
      <c r="E103" s="87">
        <v>364</v>
      </c>
      <c r="F103" s="563">
        <f t="shared" si="5"/>
        <v>32000</v>
      </c>
      <c r="G103" s="87">
        <f t="shared" si="3"/>
        <v>0</v>
      </c>
      <c r="H103" s="690"/>
      <c r="I103" s="693"/>
      <c r="J103" s="692"/>
      <c r="K103" s="692"/>
    </row>
    <row r="104" spans="1:11" ht="15" customHeight="1" x14ac:dyDescent="0.25">
      <c r="A104" s="728">
        <f t="shared" si="6"/>
        <v>90.909090909090907</v>
      </c>
      <c r="B104" s="87" t="s">
        <v>2990</v>
      </c>
      <c r="C104" s="514" t="s">
        <v>2995</v>
      </c>
      <c r="D104" s="87">
        <v>20000</v>
      </c>
      <c r="E104" s="87">
        <v>220</v>
      </c>
      <c r="F104" s="563">
        <f t="shared" si="5"/>
        <v>20000</v>
      </c>
      <c r="G104" s="87">
        <f t="shared" si="3"/>
        <v>0</v>
      </c>
      <c r="H104" s="690"/>
      <c r="I104" s="693"/>
      <c r="J104" s="692"/>
      <c r="K104" s="692"/>
    </row>
    <row r="105" spans="1:11" ht="15" customHeight="1" x14ac:dyDescent="0.25">
      <c r="A105" s="728">
        <f t="shared" si="6"/>
        <v>87.912087912087912</v>
      </c>
      <c r="B105" s="87" t="s">
        <v>2990</v>
      </c>
      <c r="C105" s="514" t="s">
        <v>2996</v>
      </c>
      <c r="D105" s="87">
        <v>8000</v>
      </c>
      <c r="E105" s="87">
        <v>91</v>
      </c>
      <c r="F105" s="563">
        <f t="shared" si="5"/>
        <v>8000</v>
      </c>
      <c r="G105" s="87">
        <f t="shared" si="3"/>
        <v>0</v>
      </c>
      <c r="H105" s="690"/>
      <c r="I105" s="693"/>
      <c r="J105" s="692"/>
      <c r="K105" s="692"/>
    </row>
    <row r="106" spans="1:11" ht="15" customHeight="1" x14ac:dyDescent="0.25">
      <c r="A106" s="728">
        <f t="shared" si="6"/>
        <v>87.912087912087912</v>
      </c>
      <c r="B106" s="87" t="s">
        <v>2990</v>
      </c>
      <c r="C106" s="514" t="s">
        <v>2997</v>
      </c>
      <c r="D106" s="87">
        <v>8000</v>
      </c>
      <c r="E106" s="87">
        <v>91</v>
      </c>
      <c r="F106" s="563">
        <f t="shared" si="5"/>
        <v>8000</v>
      </c>
      <c r="G106" s="87">
        <f t="shared" si="3"/>
        <v>0</v>
      </c>
      <c r="H106" s="690"/>
      <c r="I106" s="693"/>
      <c r="J106" s="692"/>
      <c r="K106" s="692"/>
    </row>
    <row r="107" spans="1:11" ht="15" customHeight="1" x14ac:dyDescent="0.25">
      <c r="A107" s="728">
        <f t="shared" si="6"/>
        <v>89.285714285714292</v>
      </c>
      <c r="B107" s="87" t="s">
        <v>2990</v>
      </c>
      <c r="C107" s="514" t="s">
        <v>2998</v>
      </c>
      <c r="D107" s="87">
        <v>5000</v>
      </c>
      <c r="E107" s="87">
        <v>56</v>
      </c>
      <c r="F107" s="563">
        <f t="shared" si="5"/>
        <v>5000</v>
      </c>
      <c r="G107" s="87">
        <f t="shared" si="3"/>
        <v>0</v>
      </c>
      <c r="H107" s="690"/>
      <c r="I107" s="693"/>
      <c r="J107" s="692"/>
      <c r="K107" s="692"/>
    </row>
    <row r="108" spans="1:11" ht="15" customHeight="1" x14ac:dyDescent="0.25">
      <c r="A108" s="728">
        <f t="shared" si="6"/>
        <v>98.039215686274503</v>
      </c>
      <c r="B108" s="87" t="s">
        <v>2990</v>
      </c>
      <c r="C108" s="514" t="s">
        <v>66</v>
      </c>
      <c r="D108" s="87">
        <v>100</v>
      </c>
      <c r="E108" s="87">
        <v>1.02</v>
      </c>
      <c r="F108" s="563">
        <f t="shared" si="5"/>
        <v>100</v>
      </c>
      <c r="G108" s="87">
        <f t="shared" si="3"/>
        <v>0</v>
      </c>
      <c r="H108" s="690"/>
      <c r="I108" s="693"/>
      <c r="J108" s="692"/>
      <c r="K108" s="692"/>
    </row>
    <row r="109" spans="1:11" ht="15" customHeight="1" x14ac:dyDescent="0.25">
      <c r="A109" s="728">
        <f t="shared" si="6"/>
        <v>87.976539589442808</v>
      </c>
      <c r="B109" s="87" t="s">
        <v>2990</v>
      </c>
      <c r="C109" s="514" t="s">
        <v>2999</v>
      </c>
      <c r="D109" s="87">
        <v>30000</v>
      </c>
      <c r="E109" s="87">
        <v>341</v>
      </c>
      <c r="F109" s="563">
        <f t="shared" si="5"/>
        <v>30000</v>
      </c>
      <c r="G109" s="87">
        <f t="shared" si="3"/>
        <v>0</v>
      </c>
      <c r="H109" s="690"/>
      <c r="I109" s="693"/>
      <c r="J109" s="692"/>
      <c r="K109" s="692"/>
    </row>
    <row r="110" spans="1:11" ht="15" customHeight="1" x14ac:dyDescent="0.25">
      <c r="A110" s="728">
        <f t="shared" si="6"/>
        <v>88.235294117647058</v>
      </c>
      <c r="B110" s="87" t="s">
        <v>3000</v>
      </c>
      <c r="C110" s="514" t="s">
        <v>3036</v>
      </c>
      <c r="D110" s="87">
        <v>15000</v>
      </c>
      <c r="E110" s="87">
        <v>170</v>
      </c>
      <c r="F110" s="563">
        <f t="shared" si="5"/>
        <v>15000</v>
      </c>
      <c r="G110" s="87">
        <f t="shared" si="3"/>
        <v>0</v>
      </c>
      <c r="H110" s="690"/>
      <c r="I110" s="693"/>
      <c r="J110" s="692"/>
      <c r="K110" s="692"/>
    </row>
    <row r="111" spans="1:11" ht="15" customHeight="1" x14ac:dyDescent="0.25">
      <c r="A111" s="728">
        <f t="shared" si="6"/>
        <v>88.235294117647058</v>
      </c>
      <c r="B111" s="87" t="s">
        <v>3000</v>
      </c>
      <c r="C111" s="514" t="s">
        <v>2315</v>
      </c>
      <c r="D111" s="87">
        <v>15000</v>
      </c>
      <c r="E111" s="87">
        <v>170</v>
      </c>
      <c r="F111" s="563">
        <f t="shared" si="5"/>
        <v>15000</v>
      </c>
      <c r="G111" s="87">
        <f t="shared" si="3"/>
        <v>0</v>
      </c>
      <c r="H111" s="690"/>
      <c r="I111" s="693"/>
      <c r="J111" s="692"/>
      <c r="K111" s="692"/>
    </row>
    <row r="112" spans="1:11" ht="15" customHeight="1" x14ac:dyDescent="0.25">
      <c r="A112" s="728">
        <f t="shared" si="6"/>
        <v>88.235294117647058</v>
      </c>
      <c r="B112" s="87" t="s">
        <v>3000</v>
      </c>
      <c r="C112" s="514" t="s">
        <v>2321</v>
      </c>
      <c r="D112" s="87">
        <v>15000</v>
      </c>
      <c r="E112" s="87">
        <v>170</v>
      </c>
      <c r="F112" s="563">
        <f t="shared" si="5"/>
        <v>15000</v>
      </c>
      <c r="G112" s="87">
        <f t="shared" si="3"/>
        <v>0</v>
      </c>
      <c r="H112" s="690"/>
      <c r="I112" s="693"/>
      <c r="J112" s="692"/>
      <c r="K112" s="692"/>
    </row>
    <row r="113" spans="1:11" ht="15" customHeight="1" x14ac:dyDescent="0.25">
      <c r="A113" s="728">
        <f t="shared" si="6"/>
        <v>88.235294117647058</v>
      </c>
      <c r="B113" s="87" t="s">
        <v>3000</v>
      </c>
      <c r="C113" s="514" t="s">
        <v>2142</v>
      </c>
      <c r="D113" s="87">
        <v>15000</v>
      </c>
      <c r="E113" s="87">
        <v>170</v>
      </c>
      <c r="F113" s="563">
        <f t="shared" si="5"/>
        <v>15000</v>
      </c>
      <c r="G113" s="87">
        <f t="shared" si="3"/>
        <v>0</v>
      </c>
      <c r="H113" s="690"/>
      <c r="I113" s="693"/>
      <c r="J113" s="692"/>
      <c r="K113" s="692"/>
    </row>
    <row r="114" spans="1:11" ht="15" customHeight="1" x14ac:dyDescent="0.25">
      <c r="A114" s="728">
        <f t="shared" si="6"/>
        <v>88.235294117647058</v>
      </c>
      <c r="B114" s="87" t="s">
        <v>3000</v>
      </c>
      <c r="C114" s="514" t="s">
        <v>2229</v>
      </c>
      <c r="D114" s="87">
        <v>15000</v>
      </c>
      <c r="E114" s="87">
        <v>170</v>
      </c>
      <c r="F114" s="563">
        <f t="shared" si="5"/>
        <v>15000</v>
      </c>
      <c r="G114" s="87">
        <f t="shared" si="3"/>
        <v>0</v>
      </c>
      <c r="H114" s="690"/>
      <c r="I114" s="693"/>
      <c r="J114" s="692"/>
      <c r="K114" s="692"/>
    </row>
    <row r="115" spans="1:11" ht="15" customHeight="1" x14ac:dyDescent="0.25">
      <c r="A115" s="728">
        <f t="shared" si="6"/>
        <v>88.105726872246692</v>
      </c>
      <c r="B115" s="87" t="s">
        <v>3000</v>
      </c>
      <c r="C115" s="514" t="s">
        <v>3038</v>
      </c>
      <c r="D115" s="87">
        <v>20000</v>
      </c>
      <c r="E115" s="87">
        <v>227</v>
      </c>
      <c r="F115" s="563">
        <f t="shared" si="5"/>
        <v>20000</v>
      </c>
      <c r="G115" s="87">
        <f t="shared" si="3"/>
        <v>0</v>
      </c>
      <c r="H115" s="690"/>
      <c r="I115" s="693"/>
      <c r="J115" s="692"/>
      <c r="K115" s="692"/>
    </row>
    <row r="116" spans="1:11" ht="15" customHeight="1" x14ac:dyDescent="0.25">
      <c r="A116" s="728">
        <f t="shared" si="6"/>
        <v>88.105726872246692</v>
      </c>
      <c r="B116" s="87" t="s">
        <v>3000</v>
      </c>
      <c r="C116" s="514" t="s">
        <v>3002</v>
      </c>
      <c r="D116" s="87">
        <v>20000</v>
      </c>
      <c r="E116" s="87">
        <v>227</v>
      </c>
      <c r="F116" s="563">
        <f t="shared" si="5"/>
        <v>20000</v>
      </c>
      <c r="G116" s="87">
        <f t="shared" si="3"/>
        <v>0</v>
      </c>
      <c r="H116" s="690"/>
      <c r="I116" s="693"/>
      <c r="J116" s="692"/>
      <c r="K116" s="692"/>
    </row>
    <row r="117" spans="1:11" ht="15" customHeight="1" x14ac:dyDescent="0.25">
      <c r="A117" s="728">
        <f t="shared" si="6"/>
        <v>88.105726872246692</v>
      </c>
      <c r="B117" s="87" t="s">
        <v>3000</v>
      </c>
      <c r="C117" s="514" t="s">
        <v>3003</v>
      </c>
      <c r="D117" s="87">
        <v>20000</v>
      </c>
      <c r="E117" s="87">
        <v>227</v>
      </c>
      <c r="F117" s="563">
        <f t="shared" si="5"/>
        <v>20000</v>
      </c>
      <c r="G117" s="87">
        <f t="shared" si="3"/>
        <v>0</v>
      </c>
      <c r="H117" s="690"/>
      <c r="I117" s="693"/>
      <c r="J117" s="692"/>
      <c r="K117" s="692"/>
    </row>
    <row r="118" spans="1:11" ht="15" customHeight="1" x14ac:dyDescent="0.25">
      <c r="A118" s="728">
        <f t="shared" si="6"/>
        <v>88.105726872246692</v>
      </c>
      <c r="B118" s="87" t="s">
        <v>3000</v>
      </c>
      <c r="C118" s="514" t="s">
        <v>3004</v>
      </c>
      <c r="D118" s="87">
        <v>20000</v>
      </c>
      <c r="E118" s="87">
        <v>227</v>
      </c>
      <c r="F118" s="563">
        <f t="shared" si="5"/>
        <v>20000</v>
      </c>
      <c r="G118" s="87">
        <f t="shared" si="3"/>
        <v>0</v>
      </c>
      <c r="H118" s="690"/>
      <c r="I118" s="693"/>
      <c r="J118" s="692"/>
      <c r="K118" s="692"/>
    </row>
    <row r="119" spans="1:11" ht="15" customHeight="1" x14ac:dyDescent="0.25">
      <c r="A119" s="728">
        <f t="shared" si="6"/>
        <v>87.786259541984734</v>
      </c>
      <c r="B119" s="87" t="s">
        <v>3000</v>
      </c>
      <c r="C119" s="514" t="s">
        <v>3005</v>
      </c>
      <c r="D119" s="87">
        <v>23000</v>
      </c>
      <c r="E119" s="87">
        <v>262</v>
      </c>
      <c r="F119" s="563">
        <f t="shared" si="5"/>
        <v>23000</v>
      </c>
      <c r="G119" s="87">
        <f t="shared" si="3"/>
        <v>0</v>
      </c>
      <c r="H119" s="690"/>
      <c r="I119" s="693"/>
      <c r="J119" s="692"/>
      <c r="K119" s="692"/>
    </row>
    <row r="120" spans="1:11" ht="15" customHeight="1" x14ac:dyDescent="0.25">
      <c r="A120" s="728">
        <f t="shared" si="6"/>
        <v>89.068825910931167</v>
      </c>
      <c r="B120" s="87" t="s">
        <v>3000</v>
      </c>
      <c r="C120" s="514" t="s">
        <v>3006</v>
      </c>
      <c r="D120" s="87">
        <v>22000</v>
      </c>
      <c r="E120" s="87">
        <v>247</v>
      </c>
      <c r="F120" s="563">
        <f t="shared" si="5"/>
        <v>22000</v>
      </c>
      <c r="G120" s="87">
        <f t="shared" si="3"/>
        <v>0</v>
      </c>
      <c r="H120" s="690"/>
      <c r="I120" s="693"/>
      <c r="J120" s="692"/>
      <c r="K120" s="692"/>
    </row>
    <row r="121" spans="1:11" ht="15" customHeight="1" x14ac:dyDescent="0.25">
      <c r="A121" s="728">
        <f t="shared" si="6"/>
        <v>88.353413654618478</v>
      </c>
      <c r="B121" s="87" t="s">
        <v>3000</v>
      </c>
      <c r="C121" s="514" t="s">
        <v>1984</v>
      </c>
      <c r="D121" s="87">
        <v>22000</v>
      </c>
      <c r="E121" s="87">
        <v>249</v>
      </c>
      <c r="F121" s="563">
        <f t="shared" si="5"/>
        <v>22000</v>
      </c>
      <c r="G121" s="87">
        <f t="shared" si="3"/>
        <v>0</v>
      </c>
      <c r="H121" s="690"/>
      <c r="I121" s="693"/>
      <c r="J121" s="692"/>
      <c r="K121" s="692"/>
    </row>
    <row r="122" spans="1:11" ht="15" customHeight="1" x14ac:dyDescent="0.25">
      <c r="A122" s="728">
        <f t="shared" si="6"/>
        <v>87.912087912087912</v>
      </c>
      <c r="B122" s="87" t="s">
        <v>3000</v>
      </c>
      <c r="C122" s="514" t="s">
        <v>3007</v>
      </c>
      <c r="D122" s="87">
        <v>16000</v>
      </c>
      <c r="E122" s="87">
        <v>182</v>
      </c>
      <c r="F122" s="563">
        <f t="shared" si="5"/>
        <v>16000</v>
      </c>
      <c r="G122" s="87">
        <f t="shared" si="3"/>
        <v>0</v>
      </c>
      <c r="H122" s="690"/>
      <c r="I122" s="693"/>
      <c r="J122" s="692"/>
      <c r="K122" s="692"/>
    </row>
    <row r="123" spans="1:11" ht="15" customHeight="1" x14ac:dyDescent="0.25">
      <c r="A123" s="728">
        <f t="shared" si="6"/>
        <v>88.082901554404145</v>
      </c>
      <c r="B123" s="87" t="s">
        <v>3000</v>
      </c>
      <c r="C123" s="514" t="s">
        <v>3008</v>
      </c>
      <c r="D123" s="87">
        <v>17000</v>
      </c>
      <c r="E123" s="87">
        <v>193</v>
      </c>
      <c r="F123" s="563">
        <f t="shared" si="5"/>
        <v>17000</v>
      </c>
      <c r="G123" s="87">
        <f t="shared" si="3"/>
        <v>0</v>
      </c>
      <c r="H123" s="690"/>
      <c r="I123" s="693"/>
      <c r="J123" s="692"/>
      <c r="K123" s="692"/>
    </row>
    <row r="124" spans="1:11" ht="15" customHeight="1" x14ac:dyDescent="0.25">
      <c r="A124" s="728">
        <f t="shared" si="6"/>
        <v>87.804878048780495</v>
      </c>
      <c r="B124" s="87" t="s">
        <v>3000</v>
      </c>
      <c r="C124" s="514" t="s">
        <v>3009</v>
      </c>
      <c r="D124" s="87">
        <v>18000</v>
      </c>
      <c r="E124" s="87">
        <v>205</v>
      </c>
      <c r="F124" s="563">
        <f t="shared" si="5"/>
        <v>18000</v>
      </c>
      <c r="G124" s="87">
        <f t="shared" si="3"/>
        <v>0</v>
      </c>
      <c r="H124" s="690"/>
      <c r="I124" s="693"/>
      <c r="J124" s="692"/>
      <c r="K124" s="692"/>
    </row>
    <row r="125" spans="1:11" ht="15" customHeight="1" x14ac:dyDescent="0.25">
      <c r="A125" s="728">
        <f t="shared" si="6"/>
        <v>88.495575221238937</v>
      </c>
      <c r="B125" s="87" t="s">
        <v>3000</v>
      </c>
      <c r="C125" s="514" t="s">
        <v>3010</v>
      </c>
      <c r="D125" s="87">
        <v>10000</v>
      </c>
      <c r="E125" s="573">
        <v>113</v>
      </c>
      <c r="F125" s="563">
        <f t="shared" si="5"/>
        <v>10000</v>
      </c>
      <c r="G125" s="87">
        <f t="shared" si="3"/>
        <v>0</v>
      </c>
      <c r="H125" s="690"/>
      <c r="I125" s="693"/>
      <c r="J125" s="692"/>
      <c r="K125" s="692"/>
    </row>
    <row r="126" spans="1:11" ht="15" customHeight="1" x14ac:dyDescent="0.25">
      <c r="A126" s="728">
        <f t="shared" si="6"/>
        <v>88.607594936708864</v>
      </c>
      <c r="B126" s="87" t="s">
        <v>3000</v>
      </c>
      <c r="C126" s="514" t="s">
        <v>3011</v>
      </c>
      <c r="D126" s="87">
        <v>7000</v>
      </c>
      <c r="E126" s="573">
        <v>79</v>
      </c>
      <c r="F126" s="563">
        <f t="shared" si="5"/>
        <v>7000</v>
      </c>
      <c r="G126" s="87">
        <f t="shared" si="3"/>
        <v>0</v>
      </c>
      <c r="H126" s="690"/>
      <c r="I126" s="693"/>
      <c r="J126" s="692"/>
      <c r="K126" s="692"/>
    </row>
    <row r="127" spans="1:11" ht="15" customHeight="1" x14ac:dyDescent="0.25">
      <c r="A127" s="728">
        <f t="shared" si="6"/>
        <v>88.028169014084511</v>
      </c>
      <c r="B127" s="87" t="s">
        <v>3000</v>
      </c>
      <c r="C127" s="514" t="s">
        <v>3012</v>
      </c>
      <c r="D127" s="87">
        <v>25000</v>
      </c>
      <c r="E127" s="573">
        <v>284</v>
      </c>
      <c r="F127" s="563">
        <f t="shared" si="5"/>
        <v>25000</v>
      </c>
      <c r="G127" s="87">
        <f t="shared" si="3"/>
        <v>0</v>
      </c>
      <c r="H127" s="690"/>
      <c r="I127" s="693"/>
      <c r="J127" s="692"/>
      <c r="K127" s="692"/>
    </row>
    <row r="128" spans="1:11" ht="15" customHeight="1" x14ac:dyDescent="0.25">
      <c r="A128" s="728">
        <f t="shared" si="6"/>
        <v>91.503267973856211</v>
      </c>
      <c r="B128" s="87" t="s">
        <v>3000</v>
      </c>
      <c r="C128" s="514" t="s">
        <v>2057</v>
      </c>
      <c r="D128" s="87">
        <v>14000</v>
      </c>
      <c r="E128" s="573">
        <v>153</v>
      </c>
      <c r="F128" s="563">
        <f t="shared" si="5"/>
        <v>14000</v>
      </c>
      <c r="G128" s="87">
        <f t="shared" si="3"/>
        <v>0</v>
      </c>
      <c r="H128" s="690"/>
      <c r="I128" s="693"/>
      <c r="J128" s="692"/>
      <c r="K128" s="692"/>
    </row>
    <row r="129" spans="1:11" ht="15" customHeight="1" x14ac:dyDescent="0.25">
      <c r="A129" s="728">
        <f t="shared" si="6"/>
        <v>98.039215686274503</v>
      </c>
      <c r="B129" s="87" t="s">
        <v>3000</v>
      </c>
      <c r="C129" s="514" t="s">
        <v>66</v>
      </c>
      <c r="D129" s="87">
        <v>100</v>
      </c>
      <c r="E129" s="573">
        <v>1.02</v>
      </c>
      <c r="F129" s="563">
        <f t="shared" si="5"/>
        <v>100</v>
      </c>
      <c r="G129" s="87">
        <f t="shared" si="3"/>
        <v>0</v>
      </c>
      <c r="H129" s="690"/>
      <c r="I129" s="693"/>
      <c r="J129" s="692"/>
      <c r="K129" s="692"/>
    </row>
    <row r="130" spans="1:11" ht="15" customHeight="1" x14ac:dyDescent="0.25">
      <c r="A130" s="728">
        <f t="shared" si="6"/>
        <v>88.495575221238937</v>
      </c>
      <c r="B130" s="87" t="s">
        <v>3000</v>
      </c>
      <c r="C130" s="514" t="s">
        <v>2965</v>
      </c>
      <c r="D130" s="87">
        <v>10000</v>
      </c>
      <c r="E130" s="573">
        <v>113</v>
      </c>
      <c r="F130" s="563">
        <f t="shared" si="5"/>
        <v>10000</v>
      </c>
      <c r="G130" s="87">
        <f t="shared" si="3"/>
        <v>0</v>
      </c>
      <c r="H130" s="690"/>
      <c r="I130" s="693"/>
      <c r="J130" s="692"/>
      <c r="K130" s="692"/>
    </row>
    <row r="131" spans="1:11" ht="15" customHeight="1" x14ac:dyDescent="0.25">
      <c r="A131" s="728">
        <f t="shared" si="6"/>
        <v>87.912087912087912</v>
      </c>
      <c r="B131" s="87" t="s">
        <v>3000</v>
      </c>
      <c r="C131" s="514" t="s">
        <v>30</v>
      </c>
      <c r="D131" s="87">
        <v>8000</v>
      </c>
      <c r="E131" s="573">
        <v>91</v>
      </c>
      <c r="F131" s="563">
        <f t="shared" si="5"/>
        <v>8000</v>
      </c>
      <c r="G131" s="87">
        <f t="shared" si="3"/>
        <v>0</v>
      </c>
      <c r="H131" s="690"/>
      <c r="I131" s="693"/>
      <c r="J131" s="692"/>
      <c r="K131" s="692"/>
    </row>
    <row r="132" spans="1:11" ht="15" customHeight="1" x14ac:dyDescent="0.25">
      <c r="A132" s="728">
        <f t="shared" si="6"/>
        <v>88.028169014084511</v>
      </c>
      <c r="B132" s="87" t="s">
        <v>3000</v>
      </c>
      <c r="C132" s="514" t="s">
        <v>3013</v>
      </c>
      <c r="D132" s="87">
        <v>25000</v>
      </c>
      <c r="E132" s="573">
        <v>284</v>
      </c>
      <c r="F132" s="563">
        <f t="shared" si="5"/>
        <v>25000</v>
      </c>
      <c r="G132" s="87">
        <f t="shared" si="3"/>
        <v>0</v>
      </c>
      <c r="H132" s="690"/>
      <c r="I132" s="693"/>
      <c r="J132" s="692"/>
      <c r="K132" s="692"/>
    </row>
    <row r="133" spans="1:11" ht="15" customHeight="1" x14ac:dyDescent="0.25">
      <c r="A133" s="728">
        <f t="shared" si="6"/>
        <v>88.028169014084511</v>
      </c>
      <c r="B133" s="87" t="s">
        <v>3000</v>
      </c>
      <c r="C133" s="514" t="s">
        <v>3014</v>
      </c>
      <c r="D133" s="87">
        <v>25000</v>
      </c>
      <c r="E133" s="573">
        <v>284</v>
      </c>
      <c r="F133" s="563">
        <f t="shared" si="5"/>
        <v>25000</v>
      </c>
      <c r="G133" s="87">
        <f t="shared" si="3"/>
        <v>0</v>
      </c>
      <c r="H133" s="690"/>
      <c r="I133" s="693"/>
      <c r="J133" s="692"/>
      <c r="K133" s="692"/>
    </row>
    <row r="134" spans="1:11" ht="15" customHeight="1" x14ac:dyDescent="0.25">
      <c r="A134" s="728">
        <f t="shared" si="6"/>
        <v>92.592592592592595</v>
      </c>
      <c r="B134" s="87" t="s">
        <v>3000</v>
      </c>
      <c r="C134" s="514" t="s">
        <v>3015</v>
      </c>
      <c r="D134" s="87">
        <v>20000</v>
      </c>
      <c r="E134" s="573">
        <v>216</v>
      </c>
      <c r="F134" s="563">
        <f t="shared" ref="F134:F197" si="7">D134</f>
        <v>20000</v>
      </c>
      <c r="G134" s="87">
        <f t="shared" si="3"/>
        <v>0</v>
      </c>
      <c r="H134" s="690"/>
      <c r="I134" s="693"/>
      <c r="J134" s="692"/>
      <c r="K134" s="692"/>
    </row>
    <row r="135" spans="1:11" ht="15" customHeight="1" x14ac:dyDescent="0.25">
      <c r="A135" s="728">
        <f t="shared" si="6"/>
        <v>87.845814977973575</v>
      </c>
      <c r="B135" s="87" t="s">
        <v>3000</v>
      </c>
      <c r="C135" s="514" t="s">
        <v>3016</v>
      </c>
      <c r="D135" s="87">
        <v>19941</v>
      </c>
      <c r="E135" s="573">
        <v>227</v>
      </c>
      <c r="F135" s="563">
        <f>D135</f>
        <v>19941</v>
      </c>
      <c r="G135" s="87">
        <f t="shared" ref="G135:G399" si="8">D135-F135</f>
        <v>0</v>
      </c>
      <c r="H135" s="690"/>
      <c r="I135" s="693"/>
      <c r="J135" s="692"/>
      <c r="K135" s="692"/>
    </row>
    <row r="136" spans="1:11" ht="15" customHeight="1" x14ac:dyDescent="0.25">
      <c r="A136" s="728">
        <f t="shared" si="6"/>
        <v>88.028169014084511</v>
      </c>
      <c r="B136" s="87" t="s">
        <v>3000</v>
      </c>
      <c r="C136" s="514" t="s">
        <v>3037</v>
      </c>
      <c r="D136" s="87">
        <v>25000</v>
      </c>
      <c r="E136" s="573">
        <v>284</v>
      </c>
      <c r="F136" s="563">
        <f t="shared" si="7"/>
        <v>25000</v>
      </c>
      <c r="G136" s="87">
        <f t="shared" si="8"/>
        <v>0</v>
      </c>
      <c r="H136" s="690"/>
      <c r="I136" s="693"/>
      <c r="J136" s="692"/>
      <c r="K136" s="692"/>
    </row>
    <row r="137" spans="1:11" ht="15" customHeight="1" x14ac:dyDescent="0.25">
      <c r="A137" s="728">
        <f t="shared" si="6"/>
        <v>87.976539589442808</v>
      </c>
      <c r="B137" s="87" t="s">
        <v>3000</v>
      </c>
      <c r="C137" s="514" t="s">
        <v>3017</v>
      </c>
      <c r="D137" s="87">
        <v>30000</v>
      </c>
      <c r="E137" s="573">
        <v>341</v>
      </c>
      <c r="F137" s="563">
        <f t="shared" si="7"/>
        <v>30000</v>
      </c>
      <c r="G137" s="87">
        <f t="shared" si="8"/>
        <v>0</v>
      </c>
      <c r="H137" s="690"/>
      <c r="I137" s="693"/>
      <c r="J137" s="692"/>
      <c r="K137" s="692"/>
    </row>
    <row r="138" spans="1:11" ht="15" customHeight="1" x14ac:dyDescent="0.25">
      <c r="A138" s="728">
        <f t="shared" si="6"/>
        <v>96.330275229357795</v>
      </c>
      <c r="B138" s="87" t="s">
        <v>3000</v>
      </c>
      <c r="C138" s="514" t="s">
        <v>66</v>
      </c>
      <c r="D138" s="87">
        <v>210</v>
      </c>
      <c r="E138" s="573">
        <v>2.1800000000000002</v>
      </c>
      <c r="F138" s="563">
        <f t="shared" si="7"/>
        <v>210</v>
      </c>
      <c r="G138" s="87">
        <f t="shared" si="8"/>
        <v>0</v>
      </c>
      <c r="H138" s="690"/>
      <c r="I138" s="693"/>
      <c r="J138" s="692"/>
      <c r="K138" s="692"/>
    </row>
    <row r="139" spans="1:11" ht="15" customHeight="1" x14ac:dyDescent="0.25">
      <c r="A139" s="728">
        <f t="shared" si="6"/>
        <v>88.082901554404145</v>
      </c>
      <c r="B139" s="87" t="s">
        <v>3018</v>
      </c>
      <c r="C139" s="87">
        <v>5151</v>
      </c>
      <c r="D139" s="87">
        <v>17000</v>
      </c>
      <c r="E139" s="573">
        <v>193</v>
      </c>
      <c r="F139" s="563">
        <f t="shared" si="7"/>
        <v>17000</v>
      </c>
      <c r="G139" s="87">
        <f t="shared" si="8"/>
        <v>0</v>
      </c>
      <c r="H139" s="690"/>
      <c r="I139" s="693"/>
      <c r="J139" s="692"/>
      <c r="K139" s="692"/>
    </row>
    <row r="140" spans="1:11" ht="15" customHeight="1" x14ac:dyDescent="0.25">
      <c r="A140" s="728">
        <f t="shared" si="6"/>
        <v>88.235294117647058</v>
      </c>
      <c r="B140" s="87" t="s">
        <v>3018</v>
      </c>
      <c r="C140" s="514" t="s">
        <v>3019</v>
      </c>
      <c r="D140" s="87">
        <v>15000</v>
      </c>
      <c r="E140" s="573">
        <v>170</v>
      </c>
      <c r="F140" s="563">
        <f t="shared" si="7"/>
        <v>15000</v>
      </c>
      <c r="G140" s="87">
        <f t="shared" si="8"/>
        <v>0</v>
      </c>
      <c r="H140" s="690"/>
      <c r="I140" s="693"/>
      <c r="J140" s="692"/>
      <c r="K140" s="692"/>
    </row>
    <row r="141" spans="1:11" ht="15" customHeight="1" x14ac:dyDescent="0.25">
      <c r="A141" s="728">
        <f t="shared" si="6"/>
        <v>94.339622641509436</v>
      </c>
      <c r="B141" s="87" t="s">
        <v>3018</v>
      </c>
      <c r="C141" s="514" t="s">
        <v>2081</v>
      </c>
      <c r="D141" s="87">
        <v>15000</v>
      </c>
      <c r="E141" s="573">
        <v>159</v>
      </c>
      <c r="F141" s="563">
        <f t="shared" si="7"/>
        <v>15000</v>
      </c>
      <c r="G141" s="87">
        <f t="shared" si="8"/>
        <v>0</v>
      </c>
      <c r="H141" s="690"/>
      <c r="I141" s="693"/>
      <c r="J141" s="692"/>
      <c r="K141" s="692"/>
    </row>
    <row r="142" spans="1:11" ht="15" customHeight="1" x14ac:dyDescent="0.25">
      <c r="A142" s="728">
        <f t="shared" si="6"/>
        <v>87.837837837837839</v>
      </c>
      <c r="B142" s="87" t="s">
        <v>3018</v>
      </c>
      <c r="C142" s="514" t="s">
        <v>3020</v>
      </c>
      <c r="D142" s="87">
        <v>26000</v>
      </c>
      <c r="E142" s="573">
        <v>296</v>
      </c>
      <c r="F142" s="563">
        <f t="shared" si="7"/>
        <v>26000</v>
      </c>
      <c r="G142" s="87">
        <f t="shared" si="8"/>
        <v>0</v>
      </c>
      <c r="H142" s="690"/>
      <c r="I142" s="693"/>
      <c r="J142" s="692"/>
      <c r="K142" s="692"/>
    </row>
    <row r="143" spans="1:11" ht="15" customHeight="1" x14ac:dyDescent="0.25">
      <c r="A143" s="728">
        <f t="shared" si="6"/>
        <v>94.339622641509436</v>
      </c>
      <c r="B143" s="87" t="s">
        <v>3018</v>
      </c>
      <c r="C143" s="514" t="s">
        <v>3021</v>
      </c>
      <c r="D143" s="87">
        <v>15000</v>
      </c>
      <c r="E143" s="573">
        <v>159</v>
      </c>
      <c r="F143" s="563">
        <f t="shared" si="7"/>
        <v>15000</v>
      </c>
      <c r="G143" s="87">
        <f t="shared" si="8"/>
        <v>0</v>
      </c>
      <c r="H143" s="690"/>
      <c r="I143" s="693"/>
      <c r="J143" s="692"/>
      <c r="K143" s="692"/>
    </row>
    <row r="144" spans="1:11" ht="15" customHeight="1" x14ac:dyDescent="0.25">
      <c r="A144" s="728">
        <f t="shared" si="6"/>
        <v>92.307692307692307</v>
      </c>
      <c r="B144" s="87" t="s">
        <v>3018</v>
      </c>
      <c r="C144" s="514" t="s">
        <v>3022</v>
      </c>
      <c r="D144" s="87">
        <v>18000</v>
      </c>
      <c r="E144" s="573">
        <v>195</v>
      </c>
      <c r="F144" s="563">
        <f t="shared" si="7"/>
        <v>18000</v>
      </c>
      <c r="G144" s="87">
        <f t="shared" si="8"/>
        <v>0</v>
      </c>
      <c r="H144" s="690"/>
      <c r="I144" s="693"/>
      <c r="J144" s="692"/>
      <c r="K144" s="692"/>
    </row>
    <row r="145" spans="1:11" ht="15" customHeight="1" x14ac:dyDescent="0.25">
      <c r="A145" s="728">
        <f t="shared" si="6"/>
        <v>88.495575221238937</v>
      </c>
      <c r="B145" s="87" t="s">
        <v>3018</v>
      </c>
      <c r="C145" s="514" t="s">
        <v>2179</v>
      </c>
      <c r="D145" s="87">
        <v>10000</v>
      </c>
      <c r="E145" s="573">
        <v>113</v>
      </c>
      <c r="F145" s="563">
        <f t="shared" si="7"/>
        <v>10000</v>
      </c>
      <c r="G145" s="87">
        <f t="shared" si="8"/>
        <v>0</v>
      </c>
      <c r="H145" s="690"/>
      <c r="I145" s="693"/>
      <c r="J145" s="692"/>
      <c r="K145" s="692"/>
    </row>
    <row r="146" spans="1:11" ht="15" customHeight="1" x14ac:dyDescent="0.25">
      <c r="A146" s="728">
        <f t="shared" si="6"/>
        <v>125</v>
      </c>
      <c r="B146" s="87" t="s">
        <v>3018</v>
      </c>
      <c r="C146" s="514" t="s">
        <v>17</v>
      </c>
      <c r="D146" s="87">
        <v>3000</v>
      </c>
      <c r="E146" s="573">
        <v>24</v>
      </c>
      <c r="F146" s="563">
        <f t="shared" si="7"/>
        <v>3000</v>
      </c>
      <c r="G146" s="87">
        <f t="shared" si="8"/>
        <v>0</v>
      </c>
      <c r="H146" s="690"/>
      <c r="I146" s="693"/>
      <c r="J146" s="692"/>
      <c r="K146" s="692"/>
    </row>
    <row r="147" spans="1:11" ht="15" customHeight="1" x14ac:dyDescent="0.25">
      <c r="A147" s="728">
        <f t="shared" si="6"/>
        <v>87.912087912087912</v>
      </c>
      <c r="B147" s="87" t="s">
        <v>3018</v>
      </c>
      <c r="C147" s="514" t="s">
        <v>2972</v>
      </c>
      <c r="D147" s="87">
        <v>8000</v>
      </c>
      <c r="E147" s="573">
        <v>91</v>
      </c>
      <c r="F147" s="563">
        <f t="shared" si="7"/>
        <v>8000</v>
      </c>
      <c r="G147" s="87">
        <f t="shared" si="8"/>
        <v>0</v>
      </c>
      <c r="H147" s="690"/>
      <c r="I147" s="693"/>
      <c r="J147" s="692"/>
      <c r="K147" s="692"/>
    </row>
    <row r="148" spans="1:11" ht="15" customHeight="1" x14ac:dyDescent="0.25">
      <c r="A148" s="728">
        <f t="shared" si="6"/>
        <v>88.235294117647058</v>
      </c>
      <c r="B148" s="87" t="s">
        <v>3018</v>
      </c>
      <c r="C148" s="514" t="s">
        <v>2546</v>
      </c>
      <c r="D148" s="87">
        <v>15000</v>
      </c>
      <c r="E148" s="573">
        <v>170</v>
      </c>
      <c r="F148" s="563">
        <f t="shared" si="7"/>
        <v>15000</v>
      </c>
      <c r="G148" s="87">
        <f t="shared" si="8"/>
        <v>0</v>
      </c>
      <c r="H148" s="690"/>
      <c r="I148" s="693"/>
      <c r="J148" s="692"/>
      <c r="K148" s="692"/>
    </row>
    <row r="149" spans="1:11" ht="15" customHeight="1" x14ac:dyDescent="0.25">
      <c r="A149" s="728">
        <f t="shared" si="6"/>
        <v>87.947882736156359</v>
      </c>
      <c r="B149" s="87" t="s">
        <v>3018</v>
      </c>
      <c r="C149" s="514" t="s">
        <v>3023</v>
      </c>
      <c r="D149" s="87">
        <v>27000</v>
      </c>
      <c r="E149" s="573">
        <v>307</v>
      </c>
      <c r="F149" s="563">
        <f t="shared" si="7"/>
        <v>27000</v>
      </c>
      <c r="G149" s="87">
        <f t="shared" si="8"/>
        <v>0</v>
      </c>
      <c r="H149" s="690"/>
      <c r="I149" s="693"/>
      <c r="J149" s="692"/>
      <c r="K149" s="692"/>
    </row>
    <row r="150" spans="1:11" ht="15" customHeight="1" x14ac:dyDescent="0.25">
      <c r="A150" s="728">
        <f t="shared" si="6"/>
        <v>87.912087912087912</v>
      </c>
      <c r="B150" s="87" t="s">
        <v>3018</v>
      </c>
      <c r="C150" s="514" t="s">
        <v>30</v>
      </c>
      <c r="D150" s="87">
        <v>8000</v>
      </c>
      <c r="E150" s="573">
        <v>91</v>
      </c>
      <c r="F150" s="563">
        <f t="shared" si="7"/>
        <v>8000</v>
      </c>
      <c r="G150" s="87">
        <f t="shared" si="8"/>
        <v>0</v>
      </c>
      <c r="H150" s="690"/>
      <c r="I150" s="693"/>
      <c r="J150" s="692"/>
      <c r="K150" s="692"/>
    </row>
    <row r="151" spans="1:11" ht="15" customHeight="1" x14ac:dyDescent="0.25">
      <c r="A151" s="728">
        <f t="shared" si="6"/>
        <v>88.235294117647058</v>
      </c>
      <c r="B151" s="87" t="s">
        <v>3018</v>
      </c>
      <c r="C151" s="514" t="s">
        <v>2986</v>
      </c>
      <c r="D151" s="87">
        <v>15000</v>
      </c>
      <c r="E151" s="573">
        <v>170</v>
      </c>
      <c r="F151" s="563">
        <f t="shared" si="7"/>
        <v>15000</v>
      </c>
      <c r="G151" s="87">
        <f t="shared" si="8"/>
        <v>0</v>
      </c>
      <c r="H151" s="690"/>
      <c r="I151" s="693"/>
      <c r="J151" s="692"/>
      <c r="K151" s="692"/>
    </row>
    <row r="152" spans="1:11" ht="15" customHeight="1" x14ac:dyDescent="0.25">
      <c r="A152" s="728">
        <f t="shared" si="6"/>
        <v>87.912087912087912</v>
      </c>
      <c r="B152" s="87" t="s">
        <v>3018</v>
      </c>
      <c r="C152" s="514" t="s">
        <v>3024</v>
      </c>
      <c r="D152" s="87">
        <v>8000</v>
      </c>
      <c r="E152" s="573">
        <v>91</v>
      </c>
      <c r="F152" s="563">
        <f t="shared" si="7"/>
        <v>8000</v>
      </c>
      <c r="G152" s="87">
        <f t="shared" si="8"/>
        <v>0</v>
      </c>
      <c r="H152" s="690"/>
      <c r="I152" s="693"/>
      <c r="J152" s="692"/>
      <c r="K152" s="692"/>
    </row>
    <row r="153" spans="1:11" ht="15" customHeight="1" x14ac:dyDescent="0.25">
      <c r="A153" s="728">
        <f t="shared" si="6"/>
        <v>88.105726872246692</v>
      </c>
      <c r="B153" s="87" t="s">
        <v>3018</v>
      </c>
      <c r="C153" s="514" t="s">
        <v>1724</v>
      </c>
      <c r="D153" s="87">
        <v>20000</v>
      </c>
      <c r="E153" s="573">
        <v>227</v>
      </c>
      <c r="F153" s="563">
        <f t="shared" si="7"/>
        <v>20000</v>
      </c>
      <c r="G153" s="87">
        <f t="shared" si="8"/>
        <v>0</v>
      </c>
      <c r="H153" s="690"/>
      <c r="I153" s="693"/>
      <c r="J153" s="692"/>
      <c r="K153" s="692"/>
    </row>
    <row r="154" spans="1:11" ht="15" customHeight="1" x14ac:dyDescent="0.25">
      <c r="A154" s="728">
        <f t="shared" ref="A154:A217" si="9">D154/E154</f>
        <v>88.495575221238937</v>
      </c>
      <c r="B154" s="87" t="s">
        <v>3018</v>
      </c>
      <c r="C154" s="514" t="s">
        <v>3025</v>
      </c>
      <c r="D154" s="87">
        <v>10000</v>
      </c>
      <c r="E154" s="573">
        <v>113</v>
      </c>
      <c r="F154" s="563">
        <f t="shared" si="7"/>
        <v>10000</v>
      </c>
      <c r="G154" s="87">
        <f t="shared" si="8"/>
        <v>0</v>
      </c>
      <c r="H154" s="690"/>
      <c r="I154" s="693"/>
      <c r="J154" s="692"/>
      <c r="K154" s="692"/>
    </row>
    <row r="155" spans="1:11" ht="15" customHeight="1" x14ac:dyDescent="0.25">
      <c r="A155" s="728">
        <f t="shared" si="9"/>
        <v>89.285714285714292</v>
      </c>
      <c r="B155" s="87" t="s">
        <v>3018</v>
      </c>
      <c r="C155" s="514" t="s">
        <v>3026</v>
      </c>
      <c r="D155" s="87">
        <v>5000</v>
      </c>
      <c r="E155" s="573">
        <v>56</v>
      </c>
      <c r="F155" s="563">
        <f t="shared" si="7"/>
        <v>5000</v>
      </c>
      <c r="G155" s="87">
        <f t="shared" si="8"/>
        <v>0</v>
      </c>
      <c r="H155" s="690"/>
      <c r="I155" s="693"/>
      <c r="J155" s="692"/>
      <c r="K155" s="692"/>
    </row>
    <row r="156" spans="1:11" ht="15" customHeight="1" x14ac:dyDescent="0.25">
      <c r="A156" s="728">
        <f t="shared" si="9"/>
        <v>89.285714285714292</v>
      </c>
      <c r="B156" s="87" t="s">
        <v>3018</v>
      </c>
      <c r="C156" s="514" t="s">
        <v>3027</v>
      </c>
      <c r="D156" s="87">
        <v>5000</v>
      </c>
      <c r="E156" s="573">
        <v>56</v>
      </c>
      <c r="F156" s="563">
        <f t="shared" si="7"/>
        <v>5000</v>
      </c>
      <c r="G156" s="87">
        <f t="shared" si="8"/>
        <v>0</v>
      </c>
      <c r="H156" s="690"/>
      <c r="I156" s="693"/>
      <c r="J156" s="692"/>
      <c r="K156" s="692"/>
    </row>
    <row r="157" spans="1:11" ht="15" customHeight="1" x14ac:dyDescent="0.25">
      <c r="A157" s="728">
        <f t="shared" si="9"/>
        <v>88.235294117647058</v>
      </c>
      <c r="B157" s="87" t="s">
        <v>3018</v>
      </c>
      <c r="C157" s="514" t="s">
        <v>3028</v>
      </c>
      <c r="D157" s="87">
        <v>15000</v>
      </c>
      <c r="E157" s="573">
        <v>170</v>
      </c>
      <c r="F157" s="563">
        <f t="shared" si="7"/>
        <v>15000</v>
      </c>
      <c r="G157" s="87">
        <f t="shared" si="8"/>
        <v>0</v>
      </c>
      <c r="H157" s="690"/>
      <c r="I157" s="693"/>
      <c r="J157" s="692"/>
      <c r="K157" s="692"/>
    </row>
    <row r="158" spans="1:11" ht="15" customHeight="1" x14ac:dyDescent="0.25">
      <c r="A158" s="728">
        <f t="shared" si="9"/>
        <v>117.15481171548117</v>
      </c>
      <c r="B158" s="87" t="s">
        <v>3018</v>
      </c>
      <c r="C158" s="514" t="s">
        <v>3029</v>
      </c>
      <c r="D158" s="87">
        <v>28000</v>
      </c>
      <c r="E158" s="573">
        <v>239</v>
      </c>
      <c r="F158" s="563">
        <f t="shared" si="7"/>
        <v>28000</v>
      </c>
      <c r="G158" s="87">
        <f t="shared" si="8"/>
        <v>0</v>
      </c>
      <c r="H158" s="690"/>
      <c r="I158" s="693"/>
      <c r="J158" s="692"/>
      <c r="K158" s="692"/>
    </row>
    <row r="159" spans="1:11" ht="15" customHeight="1" x14ac:dyDescent="0.25">
      <c r="A159" s="728">
        <f t="shared" si="9"/>
        <v>88.235294117647058</v>
      </c>
      <c r="B159" s="87" t="s">
        <v>3018</v>
      </c>
      <c r="C159" s="514" t="s">
        <v>3030</v>
      </c>
      <c r="D159" s="87">
        <v>15000</v>
      </c>
      <c r="E159" s="573">
        <v>170</v>
      </c>
      <c r="F159" s="563">
        <f t="shared" si="7"/>
        <v>15000</v>
      </c>
      <c r="G159" s="87">
        <f t="shared" si="8"/>
        <v>0</v>
      </c>
      <c r="H159" s="690"/>
      <c r="I159" s="693"/>
      <c r="J159" s="692"/>
      <c r="K159" s="692"/>
    </row>
    <row r="160" spans="1:11" ht="15" customHeight="1" x14ac:dyDescent="0.25">
      <c r="A160" s="728">
        <f t="shared" si="9"/>
        <v>87.912087912087912</v>
      </c>
      <c r="B160" s="87" t="s">
        <v>3018</v>
      </c>
      <c r="C160" s="514" t="s">
        <v>3031</v>
      </c>
      <c r="D160" s="87">
        <v>8000</v>
      </c>
      <c r="E160" s="573">
        <v>91</v>
      </c>
      <c r="F160" s="563">
        <f t="shared" si="7"/>
        <v>8000</v>
      </c>
      <c r="G160" s="87">
        <f t="shared" si="8"/>
        <v>0</v>
      </c>
      <c r="H160" s="690"/>
      <c r="I160" s="693"/>
      <c r="J160" s="692"/>
      <c r="K160" s="692"/>
    </row>
    <row r="161" spans="1:11" ht="15" customHeight="1" x14ac:dyDescent="0.25">
      <c r="A161" s="728">
        <f t="shared" si="9"/>
        <v>88.495575221238937</v>
      </c>
      <c r="B161" s="87" t="s">
        <v>3018</v>
      </c>
      <c r="C161" s="514" t="s">
        <v>2247</v>
      </c>
      <c r="D161" s="87">
        <v>10000</v>
      </c>
      <c r="E161" s="573">
        <v>113</v>
      </c>
      <c r="F161" s="563">
        <f t="shared" si="7"/>
        <v>10000</v>
      </c>
      <c r="G161" s="87">
        <f t="shared" si="8"/>
        <v>0</v>
      </c>
      <c r="H161" s="690"/>
      <c r="I161" s="693"/>
      <c r="J161" s="692"/>
      <c r="K161" s="692"/>
    </row>
    <row r="162" spans="1:11" ht="15" customHeight="1" x14ac:dyDescent="0.25">
      <c r="A162" s="728">
        <f t="shared" si="9"/>
        <v>88.495575221238937</v>
      </c>
      <c r="B162" s="87" t="s">
        <v>3018</v>
      </c>
      <c r="C162" s="514" t="s">
        <v>2202</v>
      </c>
      <c r="D162" s="87">
        <v>10000</v>
      </c>
      <c r="E162" s="573">
        <v>113</v>
      </c>
      <c r="F162" s="563">
        <f t="shared" si="7"/>
        <v>10000</v>
      </c>
      <c r="G162" s="87">
        <f t="shared" si="8"/>
        <v>0</v>
      </c>
      <c r="H162" s="690"/>
      <c r="I162" s="693"/>
      <c r="J162" s="692"/>
      <c r="K162" s="692"/>
    </row>
    <row r="163" spans="1:11" ht="15" customHeight="1" x14ac:dyDescent="0.25">
      <c r="A163" s="728">
        <f t="shared" si="9"/>
        <v>87.912087912087912</v>
      </c>
      <c r="B163" s="87" t="s">
        <v>3018</v>
      </c>
      <c r="C163" s="514" t="s">
        <v>3032</v>
      </c>
      <c r="D163" s="87">
        <v>8000</v>
      </c>
      <c r="E163" s="573">
        <v>91</v>
      </c>
      <c r="F163" s="563">
        <f t="shared" si="7"/>
        <v>8000</v>
      </c>
      <c r="G163" s="87">
        <f t="shared" si="8"/>
        <v>0</v>
      </c>
      <c r="H163" s="690"/>
      <c r="I163" s="693"/>
      <c r="J163" s="692"/>
      <c r="K163" s="692"/>
    </row>
    <row r="164" spans="1:11" ht="15" customHeight="1" x14ac:dyDescent="0.25">
      <c r="A164" s="728">
        <f t="shared" si="9"/>
        <v>87.912087912087912</v>
      </c>
      <c r="B164" s="87" t="s">
        <v>3018</v>
      </c>
      <c r="C164" s="514" t="s">
        <v>3033</v>
      </c>
      <c r="D164" s="87">
        <v>8000</v>
      </c>
      <c r="E164" s="573">
        <v>91</v>
      </c>
      <c r="F164" s="563">
        <f t="shared" si="7"/>
        <v>8000</v>
      </c>
      <c r="G164" s="87">
        <f t="shared" si="8"/>
        <v>0</v>
      </c>
      <c r="H164" s="690"/>
      <c r="I164" s="693"/>
      <c r="J164" s="692"/>
      <c r="K164" s="692"/>
    </row>
    <row r="165" spans="1:11" ht="15" customHeight="1" x14ac:dyDescent="0.25">
      <c r="A165" s="728">
        <f t="shared" si="9"/>
        <v>91.703056768558952</v>
      </c>
      <c r="B165" s="87" t="s">
        <v>3018</v>
      </c>
      <c r="C165" s="514" t="s">
        <v>3034</v>
      </c>
      <c r="D165" s="87">
        <v>21000</v>
      </c>
      <c r="E165" s="573">
        <v>229</v>
      </c>
      <c r="F165" s="563">
        <f t="shared" si="7"/>
        <v>21000</v>
      </c>
      <c r="G165" s="87">
        <f t="shared" si="8"/>
        <v>0</v>
      </c>
      <c r="H165" s="690"/>
      <c r="I165" s="693"/>
      <c r="J165" s="692"/>
      <c r="K165" s="692"/>
    </row>
    <row r="166" spans="1:11" ht="15" customHeight="1" x14ac:dyDescent="0.25">
      <c r="A166" s="728">
        <f t="shared" si="9"/>
        <v>87.837837837837839</v>
      </c>
      <c r="B166" s="87" t="s">
        <v>3018</v>
      </c>
      <c r="C166" s="514" t="s">
        <v>3035</v>
      </c>
      <c r="D166" s="87">
        <v>26000</v>
      </c>
      <c r="E166" s="573">
        <v>296</v>
      </c>
      <c r="F166" s="563">
        <f t="shared" si="7"/>
        <v>26000</v>
      </c>
      <c r="G166" s="87">
        <f t="shared" si="8"/>
        <v>0</v>
      </c>
      <c r="H166" s="690"/>
      <c r="I166" s="693"/>
      <c r="J166" s="692"/>
      <c r="K166" s="692"/>
    </row>
    <row r="167" spans="1:11" ht="15" customHeight="1" x14ac:dyDescent="0.25">
      <c r="A167" s="728">
        <f t="shared" si="9"/>
        <v>88.105726872246692</v>
      </c>
      <c r="B167" s="87" t="s">
        <v>3040</v>
      </c>
      <c r="C167" s="514" t="s">
        <v>3042</v>
      </c>
      <c r="D167" s="87">
        <v>20000</v>
      </c>
      <c r="E167" s="573">
        <v>227</v>
      </c>
      <c r="F167" s="563">
        <f t="shared" si="7"/>
        <v>20000</v>
      </c>
      <c r="G167" s="87">
        <f t="shared" si="8"/>
        <v>0</v>
      </c>
      <c r="H167" s="690"/>
      <c r="I167" s="693"/>
      <c r="J167" s="692"/>
      <c r="K167" s="692"/>
    </row>
    <row r="168" spans="1:11" ht="15" customHeight="1" x14ac:dyDescent="0.25">
      <c r="A168" s="728">
        <f t="shared" si="9"/>
        <v>88.028169014084511</v>
      </c>
      <c r="B168" s="87" t="s">
        <v>3040</v>
      </c>
      <c r="C168" s="514" t="s">
        <v>3043</v>
      </c>
      <c r="D168" s="87">
        <v>25000</v>
      </c>
      <c r="E168" s="573">
        <v>284</v>
      </c>
      <c r="F168" s="563">
        <f t="shared" si="7"/>
        <v>25000</v>
      </c>
      <c r="G168" s="87">
        <f t="shared" si="8"/>
        <v>0</v>
      </c>
      <c r="H168" s="690"/>
      <c r="I168" s="693"/>
      <c r="J168" s="692"/>
      <c r="K168" s="692"/>
    </row>
    <row r="169" spans="1:11" ht="15" customHeight="1" x14ac:dyDescent="0.25">
      <c r="A169" s="728">
        <f t="shared" si="9"/>
        <v>88.028169014084511</v>
      </c>
      <c r="B169" s="87" t="s">
        <v>3040</v>
      </c>
      <c r="C169" s="514" t="s">
        <v>3044</v>
      </c>
      <c r="D169" s="87">
        <v>25000</v>
      </c>
      <c r="E169" s="573">
        <v>284</v>
      </c>
      <c r="F169" s="563">
        <f t="shared" si="7"/>
        <v>25000</v>
      </c>
      <c r="G169" s="87">
        <f t="shared" si="8"/>
        <v>0</v>
      </c>
      <c r="H169" s="690"/>
      <c r="I169" s="693"/>
      <c r="J169" s="692"/>
      <c r="K169" s="692"/>
    </row>
    <row r="170" spans="1:11" ht="15" customHeight="1" x14ac:dyDescent="0.25">
      <c r="A170" s="728">
        <f t="shared" si="9"/>
        <v>92.511013215859037</v>
      </c>
      <c r="B170" s="87" t="s">
        <v>3040</v>
      </c>
      <c r="C170" s="662" t="s">
        <v>3045</v>
      </c>
      <c r="D170" s="563">
        <v>21000</v>
      </c>
      <c r="E170" s="573">
        <v>227</v>
      </c>
      <c r="F170" s="563">
        <f t="shared" si="7"/>
        <v>21000</v>
      </c>
      <c r="G170" s="87">
        <f t="shared" si="8"/>
        <v>0</v>
      </c>
      <c r="H170" s="690"/>
      <c r="I170" s="693"/>
      <c r="J170" s="692"/>
      <c r="K170" s="692"/>
    </row>
    <row r="171" spans="1:11" ht="15" customHeight="1" x14ac:dyDescent="0.25">
      <c r="A171" s="728">
        <f t="shared" si="9"/>
        <v>87.837837837837839</v>
      </c>
      <c r="B171" s="87" t="s">
        <v>3040</v>
      </c>
      <c r="C171" s="662" t="s">
        <v>3046</v>
      </c>
      <c r="D171" s="563">
        <v>26000</v>
      </c>
      <c r="E171" s="573">
        <v>296</v>
      </c>
      <c r="F171" s="563">
        <f t="shared" si="7"/>
        <v>26000</v>
      </c>
      <c r="G171" s="87">
        <f t="shared" si="8"/>
        <v>0</v>
      </c>
      <c r="H171" s="690"/>
      <c r="I171" s="693"/>
      <c r="J171" s="692"/>
      <c r="K171" s="692"/>
    </row>
    <row r="172" spans="1:11" ht="15" customHeight="1" x14ac:dyDescent="0.25">
      <c r="A172" s="728">
        <f t="shared" si="9"/>
        <v>88.235294117647058</v>
      </c>
      <c r="B172" s="87" t="s">
        <v>3040</v>
      </c>
      <c r="C172" s="662" t="s">
        <v>3047</v>
      </c>
      <c r="D172" s="563">
        <v>12000</v>
      </c>
      <c r="E172" s="573">
        <v>136</v>
      </c>
      <c r="F172" s="563">
        <f t="shared" si="7"/>
        <v>12000</v>
      </c>
      <c r="G172" s="87">
        <f t="shared" si="8"/>
        <v>0</v>
      </c>
      <c r="H172" s="690"/>
      <c r="I172" s="693"/>
      <c r="J172" s="692"/>
      <c r="K172" s="692"/>
    </row>
    <row r="173" spans="1:11" ht="15" customHeight="1" x14ac:dyDescent="0.25">
      <c r="A173" s="728">
        <f t="shared" si="9"/>
        <v>87.837837837837839</v>
      </c>
      <c r="B173" s="87" t="s">
        <v>3040</v>
      </c>
      <c r="C173" s="662" t="s">
        <v>3048</v>
      </c>
      <c r="D173" s="563">
        <v>26000</v>
      </c>
      <c r="E173" s="573">
        <v>296</v>
      </c>
      <c r="F173" s="563">
        <f t="shared" si="7"/>
        <v>26000</v>
      </c>
      <c r="G173" s="87">
        <f t="shared" si="8"/>
        <v>0</v>
      </c>
      <c r="H173" s="690"/>
      <c r="I173" s="693"/>
      <c r="J173" s="692"/>
      <c r="K173" s="692"/>
    </row>
    <row r="174" spans="1:11" ht="15" customHeight="1" x14ac:dyDescent="0.25">
      <c r="A174" s="728">
        <f t="shared" si="9"/>
        <v>88.028169014084511</v>
      </c>
      <c r="B174" s="87" t="s">
        <v>3040</v>
      </c>
      <c r="C174" s="662" t="s">
        <v>3177</v>
      </c>
      <c r="D174" s="563">
        <v>25000</v>
      </c>
      <c r="E174" s="573">
        <v>284</v>
      </c>
      <c r="F174" s="563">
        <f t="shared" si="7"/>
        <v>25000</v>
      </c>
      <c r="G174" s="87">
        <f t="shared" si="8"/>
        <v>0</v>
      </c>
      <c r="H174" s="690"/>
      <c r="I174" s="693"/>
      <c r="J174" s="692"/>
      <c r="K174" s="692"/>
    </row>
    <row r="175" spans="1:11" ht="15" customHeight="1" x14ac:dyDescent="0.25">
      <c r="A175" s="728">
        <f t="shared" si="9"/>
        <v>88.235294117647058</v>
      </c>
      <c r="B175" s="87" t="s">
        <v>3040</v>
      </c>
      <c r="C175" s="662" t="s">
        <v>1838</v>
      </c>
      <c r="D175" s="563">
        <v>15000</v>
      </c>
      <c r="E175" s="573">
        <v>170</v>
      </c>
      <c r="F175" s="563">
        <f t="shared" si="7"/>
        <v>15000</v>
      </c>
      <c r="G175" s="87">
        <f t="shared" si="8"/>
        <v>0</v>
      </c>
      <c r="H175" s="690"/>
      <c r="I175" s="693"/>
      <c r="J175" s="692"/>
      <c r="K175" s="692"/>
    </row>
    <row r="176" spans="1:11" ht="15" customHeight="1" x14ac:dyDescent="0.25">
      <c r="A176" s="728">
        <f t="shared" si="9"/>
        <v>87.804878048780495</v>
      </c>
      <c r="B176" s="87" t="s">
        <v>3040</v>
      </c>
      <c r="C176" s="662" t="s">
        <v>3049</v>
      </c>
      <c r="D176" s="563">
        <v>18000</v>
      </c>
      <c r="E176" s="573">
        <v>205</v>
      </c>
      <c r="F176" s="563">
        <f t="shared" si="7"/>
        <v>18000</v>
      </c>
      <c r="G176" s="87">
        <f t="shared" si="8"/>
        <v>0</v>
      </c>
      <c r="H176" s="690"/>
      <c r="I176" s="693"/>
      <c r="J176" s="692"/>
      <c r="K176" s="692"/>
    </row>
    <row r="177" spans="1:11" ht="15" customHeight="1" x14ac:dyDescent="0.25">
      <c r="A177" s="728">
        <f t="shared" si="9"/>
        <v>87.804878048780495</v>
      </c>
      <c r="B177" s="87" t="s">
        <v>3040</v>
      </c>
      <c r="C177" s="662" t="s">
        <v>2455</v>
      </c>
      <c r="D177" s="563">
        <v>18000</v>
      </c>
      <c r="E177" s="573">
        <v>205</v>
      </c>
      <c r="F177" s="563">
        <f t="shared" si="7"/>
        <v>18000</v>
      </c>
      <c r="G177" s="87">
        <f t="shared" si="8"/>
        <v>0</v>
      </c>
      <c r="H177" s="690"/>
      <c r="I177" s="693"/>
      <c r="J177" s="692"/>
      <c r="K177" s="692"/>
    </row>
    <row r="178" spans="1:11" ht="15" customHeight="1" x14ac:dyDescent="0.25">
      <c r="A178" s="728">
        <f t="shared" si="9"/>
        <v>88.495575221238937</v>
      </c>
      <c r="B178" s="87" t="s">
        <v>3040</v>
      </c>
      <c r="C178" s="662" t="s">
        <v>1796</v>
      </c>
      <c r="D178" s="563">
        <v>10000</v>
      </c>
      <c r="E178" s="574">
        <v>113</v>
      </c>
      <c r="F178" s="563">
        <f t="shared" si="7"/>
        <v>10000</v>
      </c>
      <c r="G178" s="87">
        <f t="shared" si="8"/>
        <v>0</v>
      </c>
      <c r="H178" s="690"/>
      <c r="I178" s="693"/>
      <c r="J178" s="692"/>
      <c r="K178" s="692"/>
    </row>
    <row r="179" spans="1:11" ht="15" customHeight="1" x14ac:dyDescent="0.25">
      <c r="A179" s="728">
        <f t="shared" si="9"/>
        <v>88</v>
      </c>
      <c r="B179" s="87" t="s">
        <v>3040</v>
      </c>
      <c r="C179" s="662" t="s">
        <v>2696</v>
      </c>
      <c r="D179" s="563">
        <v>22000</v>
      </c>
      <c r="E179" s="573">
        <v>250</v>
      </c>
      <c r="F179" s="563">
        <f t="shared" si="7"/>
        <v>22000</v>
      </c>
      <c r="G179" s="87">
        <f t="shared" si="8"/>
        <v>0</v>
      </c>
      <c r="H179" s="690"/>
      <c r="I179" s="693"/>
      <c r="J179" s="692"/>
      <c r="K179" s="692"/>
    </row>
    <row r="180" spans="1:11" ht="15" customHeight="1" x14ac:dyDescent="0.25">
      <c r="A180" s="728">
        <f t="shared" si="9"/>
        <v>88.495575221238937</v>
      </c>
      <c r="B180" s="87" t="s">
        <v>3040</v>
      </c>
      <c r="C180" s="662" t="s">
        <v>1790</v>
      </c>
      <c r="D180" s="563">
        <v>10000</v>
      </c>
      <c r="E180" s="573">
        <v>113</v>
      </c>
      <c r="F180" s="563">
        <f t="shared" si="7"/>
        <v>10000</v>
      </c>
      <c r="G180" s="87">
        <f t="shared" si="8"/>
        <v>0</v>
      </c>
      <c r="H180" s="690"/>
      <c r="I180" s="693"/>
      <c r="J180" s="692"/>
      <c r="K180" s="692"/>
    </row>
    <row r="181" spans="1:11" ht="15" customHeight="1" x14ac:dyDescent="0.25">
      <c r="A181" s="728">
        <f t="shared" si="9"/>
        <v>87.912087912087912</v>
      </c>
      <c r="B181" s="87" t="s">
        <v>3040</v>
      </c>
      <c r="C181" s="662" t="s">
        <v>3050</v>
      </c>
      <c r="D181" s="563">
        <v>8000</v>
      </c>
      <c r="E181" s="573">
        <v>91</v>
      </c>
      <c r="F181" s="563">
        <f t="shared" si="7"/>
        <v>8000</v>
      </c>
      <c r="G181" s="87">
        <f t="shared" si="8"/>
        <v>0</v>
      </c>
      <c r="H181" s="690"/>
      <c r="I181" s="693"/>
      <c r="J181" s="692"/>
      <c r="K181" s="692"/>
    </row>
    <row r="182" spans="1:11" ht="15" customHeight="1" x14ac:dyDescent="0.25">
      <c r="A182" s="728">
        <f t="shared" si="9"/>
        <v>88.105726872246692</v>
      </c>
      <c r="B182" s="87" t="s">
        <v>3040</v>
      </c>
      <c r="C182" s="662" t="s">
        <v>3051</v>
      </c>
      <c r="D182" s="563">
        <v>20000</v>
      </c>
      <c r="E182" s="573">
        <v>227</v>
      </c>
      <c r="F182" s="563">
        <f t="shared" si="7"/>
        <v>20000</v>
      </c>
      <c r="G182" s="87">
        <f t="shared" si="8"/>
        <v>0</v>
      </c>
      <c r="H182" s="690"/>
      <c r="I182" s="693"/>
      <c r="J182" s="692"/>
      <c r="K182" s="692"/>
    </row>
    <row r="183" spans="1:11" ht="15" customHeight="1" x14ac:dyDescent="0.25">
      <c r="A183" s="728">
        <f t="shared" si="9"/>
        <v>87.912087912087912</v>
      </c>
      <c r="B183" s="87" t="s">
        <v>3040</v>
      </c>
      <c r="C183" s="662" t="s">
        <v>3052</v>
      </c>
      <c r="D183" s="563">
        <v>8000</v>
      </c>
      <c r="E183" s="573">
        <v>91</v>
      </c>
      <c r="F183" s="563">
        <f t="shared" si="7"/>
        <v>8000</v>
      </c>
      <c r="G183" s="87">
        <f t="shared" si="8"/>
        <v>0</v>
      </c>
      <c r="H183" s="690"/>
      <c r="I183" s="693"/>
      <c r="J183" s="692"/>
      <c r="K183" s="692"/>
    </row>
    <row r="184" spans="1:11" ht="15" customHeight="1" x14ac:dyDescent="0.25">
      <c r="A184" s="728">
        <f t="shared" si="9"/>
        <v>88.028169014084511</v>
      </c>
      <c r="B184" s="87" t="s">
        <v>3040</v>
      </c>
      <c r="C184" s="662" t="s">
        <v>2597</v>
      </c>
      <c r="D184" s="563">
        <v>25000</v>
      </c>
      <c r="E184" s="573">
        <v>284</v>
      </c>
      <c r="F184" s="563">
        <f t="shared" si="7"/>
        <v>25000</v>
      </c>
      <c r="G184" s="87">
        <f t="shared" si="8"/>
        <v>0</v>
      </c>
      <c r="H184" s="690"/>
      <c r="I184" s="693"/>
      <c r="J184" s="692"/>
      <c r="K184" s="692"/>
    </row>
    <row r="185" spans="1:11" ht="15" customHeight="1" x14ac:dyDescent="0.25">
      <c r="A185" s="728">
        <f t="shared" si="9"/>
        <v>88.028169014084511</v>
      </c>
      <c r="B185" s="87" t="s">
        <v>3040</v>
      </c>
      <c r="C185" s="662" t="s">
        <v>3053</v>
      </c>
      <c r="D185" s="563">
        <v>25000</v>
      </c>
      <c r="E185" s="573">
        <v>284</v>
      </c>
      <c r="F185" s="563">
        <f t="shared" si="7"/>
        <v>25000</v>
      </c>
      <c r="G185" s="87">
        <f t="shared" si="8"/>
        <v>0</v>
      </c>
      <c r="H185" s="690"/>
      <c r="I185" s="693"/>
      <c r="J185" s="692"/>
      <c r="K185" s="692"/>
    </row>
    <row r="186" spans="1:11" ht="15" customHeight="1" x14ac:dyDescent="0.25">
      <c r="A186" s="728">
        <f t="shared" si="9"/>
        <v>88.105726872246692</v>
      </c>
      <c r="B186" s="87" t="s">
        <v>3040</v>
      </c>
      <c r="C186" s="662" t="s">
        <v>3054</v>
      </c>
      <c r="D186" s="563">
        <v>20000</v>
      </c>
      <c r="E186" s="573">
        <v>227</v>
      </c>
      <c r="F186" s="563">
        <f t="shared" si="7"/>
        <v>20000</v>
      </c>
      <c r="G186" s="87">
        <f t="shared" si="8"/>
        <v>0</v>
      </c>
      <c r="H186" s="690"/>
      <c r="I186" s="693"/>
      <c r="J186" s="692"/>
      <c r="K186" s="692"/>
    </row>
    <row r="187" spans="1:11" ht="15" customHeight="1" x14ac:dyDescent="0.25">
      <c r="A187" s="728">
        <f t="shared" si="9"/>
        <v>88.028169014084511</v>
      </c>
      <c r="B187" s="87" t="s">
        <v>3040</v>
      </c>
      <c r="C187" s="662" t="s">
        <v>3055</v>
      </c>
      <c r="D187" s="563">
        <v>25000</v>
      </c>
      <c r="E187" s="573">
        <v>284</v>
      </c>
      <c r="F187" s="563">
        <f t="shared" si="7"/>
        <v>25000</v>
      </c>
      <c r="G187" s="87">
        <f t="shared" si="8"/>
        <v>0</v>
      </c>
      <c r="H187" s="690"/>
      <c r="I187" s="693"/>
      <c r="J187" s="692"/>
      <c r="K187" s="692"/>
    </row>
    <row r="188" spans="1:11" ht="15" customHeight="1" x14ac:dyDescent="0.25">
      <c r="A188" s="728">
        <f t="shared" si="9"/>
        <v>87.786259541984734</v>
      </c>
      <c r="B188" s="87" t="s">
        <v>3040</v>
      </c>
      <c r="C188" s="662" t="s">
        <v>3056</v>
      </c>
      <c r="D188" s="563">
        <v>23000</v>
      </c>
      <c r="E188" s="573">
        <v>262</v>
      </c>
      <c r="F188" s="563">
        <f t="shared" si="7"/>
        <v>23000</v>
      </c>
      <c r="G188" s="87">
        <f t="shared" si="8"/>
        <v>0</v>
      </c>
      <c r="H188" s="690"/>
      <c r="I188" s="693"/>
      <c r="J188" s="692"/>
      <c r="K188" s="692"/>
    </row>
    <row r="189" spans="1:11" ht="15" customHeight="1" x14ac:dyDescent="0.25">
      <c r="A189" s="728">
        <f t="shared" si="9"/>
        <v>92.178770949720672</v>
      </c>
      <c r="B189" s="87" t="s">
        <v>3057</v>
      </c>
      <c r="C189" s="662" t="s">
        <v>1998</v>
      </c>
      <c r="D189" s="563">
        <v>33000</v>
      </c>
      <c r="E189" s="573">
        <v>358</v>
      </c>
      <c r="F189" s="563">
        <f t="shared" si="7"/>
        <v>33000</v>
      </c>
      <c r="G189" s="87">
        <f t="shared" si="8"/>
        <v>0</v>
      </c>
      <c r="H189" s="690"/>
      <c r="I189" s="693"/>
      <c r="J189" s="692"/>
      <c r="K189" s="692"/>
    </row>
    <row r="190" spans="1:11" ht="15" customHeight="1" x14ac:dyDescent="0.25">
      <c r="A190" s="728">
        <f t="shared" si="9"/>
        <v>88.495575221238937</v>
      </c>
      <c r="B190" s="87" t="s">
        <v>3057</v>
      </c>
      <c r="C190" s="555" t="s">
        <v>3058</v>
      </c>
      <c r="D190" s="563">
        <v>10000</v>
      </c>
      <c r="E190" s="573">
        <v>113</v>
      </c>
      <c r="F190" s="563">
        <f t="shared" si="7"/>
        <v>10000</v>
      </c>
      <c r="G190" s="87">
        <f t="shared" si="8"/>
        <v>0</v>
      </c>
      <c r="H190" s="690"/>
      <c r="I190" s="693"/>
      <c r="J190" s="692"/>
      <c r="K190" s="692"/>
    </row>
    <row r="191" spans="1:11" ht="15" customHeight="1" x14ac:dyDescent="0.25">
      <c r="A191" s="728">
        <f t="shared" si="9"/>
        <v>88.105726872246692</v>
      </c>
      <c r="B191" s="87" t="s">
        <v>3057</v>
      </c>
      <c r="C191" s="662" t="s">
        <v>2294</v>
      </c>
      <c r="D191" s="563">
        <v>20000</v>
      </c>
      <c r="E191" s="573">
        <v>227</v>
      </c>
      <c r="F191" s="563">
        <f t="shared" si="7"/>
        <v>20000</v>
      </c>
      <c r="G191" s="87">
        <f t="shared" si="8"/>
        <v>0</v>
      </c>
      <c r="H191" s="690"/>
      <c r="I191" s="693"/>
      <c r="J191" s="692"/>
      <c r="K191" s="692"/>
    </row>
    <row r="192" spans="1:11" ht="15" customHeight="1" x14ac:dyDescent="0.25">
      <c r="A192" s="728">
        <f t="shared" si="9"/>
        <v>88.028169014084511</v>
      </c>
      <c r="B192" s="87" t="s">
        <v>3057</v>
      </c>
      <c r="C192" s="662" t="s">
        <v>2916</v>
      </c>
      <c r="D192" s="563">
        <v>25000</v>
      </c>
      <c r="E192" s="573">
        <v>284</v>
      </c>
      <c r="F192" s="563">
        <f t="shared" si="7"/>
        <v>25000</v>
      </c>
      <c r="G192" s="87">
        <f t="shared" si="8"/>
        <v>0</v>
      </c>
      <c r="H192" s="690"/>
      <c r="I192" s="693"/>
      <c r="J192" s="692"/>
      <c r="K192" s="692"/>
    </row>
    <row r="193" spans="1:11" ht="15" customHeight="1" x14ac:dyDescent="0.25">
      <c r="A193" s="728">
        <f t="shared" si="9"/>
        <v>87.912087912087912</v>
      </c>
      <c r="B193" s="87" t="s">
        <v>3057</v>
      </c>
      <c r="C193" s="662" t="s">
        <v>3059</v>
      </c>
      <c r="D193" s="563">
        <v>24000</v>
      </c>
      <c r="E193" s="573">
        <v>273</v>
      </c>
      <c r="F193" s="563">
        <f t="shared" si="7"/>
        <v>24000</v>
      </c>
      <c r="G193" s="87">
        <f t="shared" si="8"/>
        <v>0</v>
      </c>
      <c r="H193" s="690"/>
      <c r="I193" s="693"/>
      <c r="J193" s="692"/>
      <c r="K193" s="692"/>
    </row>
    <row r="194" spans="1:11" ht="15" customHeight="1" x14ac:dyDescent="0.25">
      <c r="A194" s="728">
        <f t="shared" si="9"/>
        <v>92.783505154639172</v>
      </c>
      <c r="B194" s="87" t="s">
        <v>3057</v>
      </c>
      <c r="C194" s="662" t="s">
        <v>1996</v>
      </c>
      <c r="D194" s="563">
        <v>27000</v>
      </c>
      <c r="E194" s="573">
        <v>291</v>
      </c>
      <c r="F194" s="563">
        <f t="shared" si="7"/>
        <v>27000</v>
      </c>
      <c r="G194" s="87">
        <f t="shared" si="8"/>
        <v>0</v>
      </c>
      <c r="H194" s="690"/>
      <c r="I194" s="693"/>
      <c r="J194" s="692"/>
      <c r="K194" s="692"/>
    </row>
    <row r="195" spans="1:11" ht="15" customHeight="1" x14ac:dyDescent="0.25">
      <c r="A195" s="728">
        <f t="shared" si="9"/>
        <v>88.235294117647058</v>
      </c>
      <c r="B195" s="87" t="s">
        <v>3057</v>
      </c>
      <c r="C195" s="662" t="s">
        <v>1852</v>
      </c>
      <c r="D195" s="563">
        <v>15000</v>
      </c>
      <c r="E195" s="573">
        <v>170</v>
      </c>
      <c r="F195" s="563">
        <f t="shared" si="7"/>
        <v>15000</v>
      </c>
      <c r="G195" s="87">
        <f t="shared" si="8"/>
        <v>0</v>
      </c>
      <c r="H195" s="690"/>
      <c r="I195" s="693"/>
      <c r="J195" s="692"/>
      <c r="K195" s="692"/>
    </row>
    <row r="196" spans="1:11" ht="15" customHeight="1" x14ac:dyDescent="0.25">
      <c r="A196" s="728">
        <f t="shared" si="9"/>
        <v>88.495575221238937</v>
      </c>
      <c r="B196" s="87" t="s">
        <v>3057</v>
      </c>
      <c r="C196" s="555" t="s">
        <v>3060</v>
      </c>
      <c r="D196" s="563">
        <v>10000</v>
      </c>
      <c r="E196" s="573">
        <v>113</v>
      </c>
      <c r="F196" s="563">
        <f t="shared" si="7"/>
        <v>10000</v>
      </c>
      <c r="G196" s="87">
        <f t="shared" si="8"/>
        <v>0</v>
      </c>
      <c r="H196" s="690"/>
      <c r="I196" s="693"/>
      <c r="J196" s="692"/>
      <c r="K196" s="692"/>
    </row>
    <row r="197" spans="1:11" ht="15" customHeight="1" x14ac:dyDescent="0.25">
      <c r="A197" s="728">
        <f t="shared" si="9"/>
        <v>91.872791519434628</v>
      </c>
      <c r="B197" s="87" t="s">
        <v>3057</v>
      </c>
      <c r="C197" s="662" t="s">
        <v>1927</v>
      </c>
      <c r="D197" s="563">
        <v>26000</v>
      </c>
      <c r="E197" s="573">
        <v>283</v>
      </c>
      <c r="F197" s="563">
        <f t="shared" si="7"/>
        <v>26000</v>
      </c>
      <c r="G197" s="87">
        <f t="shared" si="8"/>
        <v>0</v>
      </c>
      <c r="H197" s="690"/>
      <c r="I197" s="693"/>
      <c r="J197" s="692"/>
      <c r="K197" s="692"/>
    </row>
    <row r="198" spans="1:11" ht="15" customHeight="1" x14ac:dyDescent="0.25">
      <c r="A198" s="728">
        <f t="shared" si="9"/>
        <v>92</v>
      </c>
      <c r="B198" s="87" t="s">
        <v>3057</v>
      </c>
      <c r="C198" s="662" t="s">
        <v>2166</v>
      </c>
      <c r="D198" s="563">
        <v>23000</v>
      </c>
      <c r="E198" s="573">
        <v>250</v>
      </c>
      <c r="F198" s="563">
        <f t="shared" ref="F198:F261" si="10">D198</f>
        <v>23000</v>
      </c>
      <c r="G198" s="87">
        <f t="shared" si="8"/>
        <v>0</v>
      </c>
      <c r="H198" s="690"/>
      <c r="I198" s="693"/>
      <c r="J198" s="692"/>
      <c r="K198" s="692"/>
    </row>
    <row r="199" spans="1:11" ht="15" customHeight="1" x14ac:dyDescent="0.25">
      <c r="A199" s="728">
        <f t="shared" si="9"/>
        <v>88.235294117647058</v>
      </c>
      <c r="B199" s="87" t="s">
        <v>3057</v>
      </c>
      <c r="C199" s="662" t="s">
        <v>2158</v>
      </c>
      <c r="D199" s="563">
        <v>15000</v>
      </c>
      <c r="E199" s="573">
        <v>170</v>
      </c>
      <c r="F199" s="563">
        <f t="shared" si="10"/>
        <v>15000</v>
      </c>
      <c r="G199" s="87">
        <f t="shared" si="8"/>
        <v>0</v>
      </c>
      <c r="H199" s="690"/>
      <c r="I199" s="693"/>
      <c r="J199" s="692"/>
      <c r="K199" s="692"/>
    </row>
    <row r="200" spans="1:11" ht="15" customHeight="1" x14ac:dyDescent="0.25">
      <c r="A200" s="728">
        <f t="shared" si="9"/>
        <v>98.039215686274503</v>
      </c>
      <c r="B200" s="87" t="s">
        <v>3057</v>
      </c>
      <c r="C200" s="555" t="s">
        <v>66</v>
      </c>
      <c r="D200" s="563">
        <v>100</v>
      </c>
      <c r="E200" s="573">
        <v>1.02</v>
      </c>
      <c r="F200" s="563">
        <f t="shared" si="10"/>
        <v>100</v>
      </c>
      <c r="G200" s="87">
        <f t="shared" si="8"/>
        <v>0</v>
      </c>
      <c r="H200" s="690"/>
      <c r="I200" s="693"/>
      <c r="J200" s="692"/>
      <c r="K200" s="692"/>
    </row>
    <row r="201" spans="1:11" ht="15" customHeight="1" x14ac:dyDescent="0.25">
      <c r="A201" s="728">
        <f t="shared" si="9"/>
        <v>87.774294670846402</v>
      </c>
      <c r="B201" s="87" t="s">
        <v>3057</v>
      </c>
      <c r="C201" s="662" t="s">
        <v>2309</v>
      </c>
      <c r="D201" s="563">
        <v>28000</v>
      </c>
      <c r="E201" s="573">
        <v>319</v>
      </c>
      <c r="F201" s="563">
        <f t="shared" si="10"/>
        <v>28000</v>
      </c>
      <c r="G201" s="87">
        <f t="shared" si="8"/>
        <v>0</v>
      </c>
      <c r="H201" s="690"/>
      <c r="I201" s="693"/>
      <c r="J201" s="692"/>
      <c r="K201" s="692"/>
    </row>
    <row r="202" spans="1:11" ht="15" customHeight="1" x14ac:dyDescent="0.25">
      <c r="A202" s="728">
        <f t="shared" si="9"/>
        <v>87.786259541984734</v>
      </c>
      <c r="B202" s="87" t="s">
        <v>3057</v>
      </c>
      <c r="C202" s="662" t="s">
        <v>3061</v>
      </c>
      <c r="D202" s="563">
        <v>23000</v>
      </c>
      <c r="E202" s="573">
        <v>262</v>
      </c>
      <c r="F202" s="563">
        <f t="shared" si="10"/>
        <v>23000</v>
      </c>
      <c r="G202" s="87">
        <f t="shared" si="8"/>
        <v>0</v>
      </c>
      <c r="H202" s="690"/>
      <c r="I202" s="693"/>
      <c r="J202" s="692"/>
      <c r="K202" s="692"/>
    </row>
    <row r="203" spans="1:11" ht="15" customHeight="1" x14ac:dyDescent="0.25">
      <c r="A203" s="728">
        <f t="shared" si="9"/>
        <v>87.786259541984734</v>
      </c>
      <c r="B203" s="87" t="s">
        <v>3057</v>
      </c>
      <c r="C203" s="662" t="s">
        <v>3062</v>
      </c>
      <c r="D203" s="563">
        <v>23000</v>
      </c>
      <c r="E203" s="573">
        <v>262</v>
      </c>
      <c r="F203" s="563">
        <f t="shared" si="10"/>
        <v>23000</v>
      </c>
      <c r="G203" s="87">
        <f t="shared" si="8"/>
        <v>0</v>
      </c>
      <c r="H203" s="690"/>
      <c r="I203" s="693"/>
      <c r="J203" s="692"/>
      <c r="K203" s="692"/>
    </row>
    <row r="204" spans="1:11" ht="15" customHeight="1" x14ac:dyDescent="0.25">
      <c r="A204" s="728">
        <f t="shared" si="9"/>
        <v>88.105726872246692</v>
      </c>
      <c r="B204" s="87" t="s">
        <v>3057</v>
      </c>
      <c r="C204" s="662" t="s">
        <v>2211</v>
      </c>
      <c r="D204" s="563">
        <v>20000</v>
      </c>
      <c r="E204" s="573">
        <v>227</v>
      </c>
      <c r="F204" s="563">
        <f t="shared" si="10"/>
        <v>20000</v>
      </c>
      <c r="G204" s="87">
        <f t="shared" si="8"/>
        <v>0</v>
      </c>
      <c r="H204" s="690"/>
      <c r="I204" s="693"/>
      <c r="J204" s="692"/>
      <c r="K204" s="692"/>
    </row>
    <row r="205" spans="1:11" ht="15" customHeight="1" x14ac:dyDescent="0.25">
      <c r="A205" s="728">
        <f t="shared" si="9"/>
        <v>88</v>
      </c>
      <c r="B205" s="87" t="s">
        <v>3057</v>
      </c>
      <c r="C205" s="662" t="s">
        <v>2370</v>
      </c>
      <c r="D205" s="563">
        <v>22000</v>
      </c>
      <c r="E205" s="573">
        <v>250</v>
      </c>
      <c r="F205" s="563">
        <f t="shared" si="10"/>
        <v>22000</v>
      </c>
      <c r="G205" s="87">
        <f t="shared" si="8"/>
        <v>0</v>
      </c>
      <c r="H205" s="690"/>
      <c r="I205" s="693"/>
      <c r="J205" s="692"/>
      <c r="K205" s="692"/>
    </row>
    <row r="206" spans="1:11" ht="15" customHeight="1" x14ac:dyDescent="0.25">
      <c r="A206" s="728">
        <f t="shared" si="9"/>
        <v>88.105726872246692</v>
      </c>
      <c r="B206" s="87" t="s">
        <v>3057</v>
      </c>
      <c r="C206" s="662" t="s">
        <v>3063</v>
      </c>
      <c r="D206" s="563">
        <v>20000</v>
      </c>
      <c r="E206" s="573">
        <v>227</v>
      </c>
      <c r="F206" s="563">
        <f t="shared" si="10"/>
        <v>20000</v>
      </c>
      <c r="G206" s="87">
        <f t="shared" si="8"/>
        <v>0</v>
      </c>
      <c r="H206" s="690"/>
      <c r="I206" s="693"/>
      <c r="J206" s="692"/>
      <c r="K206" s="692"/>
    </row>
    <row r="207" spans="1:11" ht="15" customHeight="1" x14ac:dyDescent="0.25">
      <c r="A207" s="728">
        <f t="shared" si="9"/>
        <v>88.235294117647058</v>
      </c>
      <c r="B207" s="87" t="s">
        <v>3057</v>
      </c>
      <c r="C207" s="662" t="s">
        <v>3064</v>
      </c>
      <c r="D207" s="563">
        <v>15000</v>
      </c>
      <c r="E207" s="573">
        <v>170</v>
      </c>
      <c r="F207" s="563">
        <f t="shared" si="10"/>
        <v>15000</v>
      </c>
      <c r="G207" s="87">
        <f t="shared" si="8"/>
        <v>0</v>
      </c>
      <c r="H207" s="690"/>
      <c r="I207" s="693"/>
      <c r="J207" s="692"/>
      <c r="K207" s="692"/>
    </row>
    <row r="208" spans="1:11" ht="15" customHeight="1" x14ac:dyDescent="0.25">
      <c r="A208" s="728">
        <f t="shared" si="9"/>
        <v>87.947882736156359</v>
      </c>
      <c r="B208" s="87" t="s">
        <v>3067</v>
      </c>
      <c r="C208" s="662" t="s">
        <v>3068</v>
      </c>
      <c r="D208" s="563">
        <v>27000</v>
      </c>
      <c r="E208" s="573">
        <v>307</v>
      </c>
      <c r="F208" s="563">
        <f t="shared" si="10"/>
        <v>27000</v>
      </c>
      <c r="G208" s="87">
        <f t="shared" si="8"/>
        <v>0</v>
      </c>
      <c r="H208" s="690"/>
      <c r="I208" s="693"/>
      <c r="J208" s="692"/>
      <c r="K208" s="692"/>
    </row>
    <row r="209" spans="1:11" ht="15" customHeight="1" x14ac:dyDescent="0.25">
      <c r="A209" s="728">
        <f t="shared" si="9"/>
        <v>88.105726872246692</v>
      </c>
      <c r="B209" s="87" t="s">
        <v>3067</v>
      </c>
      <c r="C209" s="662" t="s">
        <v>3069</v>
      </c>
      <c r="D209" s="563">
        <v>20000</v>
      </c>
      <c r="E209" s="573">
        <v>227</v>
      </c>
      <c r="F209" s="563">
        <f t="shared" si="10"/>
        <v>20000</v>
      </c>
      <c r="G209" s="87">
        <f t="shared" si="8"/>
        <v>0</v>
      </c>
      <c r="H209" s="690"/>
      <c r="I209" s="693"/>
      <c r="J209" s="692"/>
      <c r="K209" s="692"/>
    </row>
    <row r="210" spans="1:11" ht="15" customHeight="1" x14ac:dyDescent="0.25">
      <c r="A210" s="728">
        <f t="shared" si="9"/>
        <v>97.165991902834008</v>
      </c>
      <c r="B210" s="87" t="s">
        <v>3067</v>
      </c>
      <c r="C210" s="662" t="s">
        <v>3070</v>
      </c>
      <c r="D210" s="563">
        <v>24000</v>
      </c>
      <c r="E210" s="573">
        <v>247</v>
      </c>
      <c r="F210" s="563">
        <f t="shared" si="10"/>
        <v>24000</v>
      </c>
      <c r="G210" s="87">
        <f t="shared" si="8"/>
        <v>0</v>
      </c>
      <c r="H210" s="690"/>
      <c r="I210" s="693"/>
      <c r="J210" s="692"/>
      <c r="K210" s="692"/>
    </row>
    <row r="211" spans="1:11" ht="15" customHeight="1" x14ac:dyDescent="0.25">
      <c r="A211" s="728">
        <f t="shared" si="9"/>
        <v>87.912087912087912</v>
      </c>
      <c r="B211" s="87" t="s">
        <v>3067</v>
      </c>
      <c r="C211" s="662" t="s">
        <v>1794</v>
      </c>
      <c r="D211" s="563">
        <v>24000</v>
      </c>
      <c r="E211" s="573">
        <v>273</v>
      </c>
      <c r="F211" s="563">
        <f t="shared" si="10"/>
        <v>24000</v>
      </c>
      <c r="G211" s="87">
        <f t="shared" si="8"/>
        <v>0</v>
      </c>
      <c r="H211" s="690"/>
      <c r="I211" s="693"/>
      <c r="J211" s="692"/>
      <c r="K211" s="692"/>
    </row>
    <row r="212" spans="1:11" ht="15" customHeight="1" x14ac:dyDescent="0.25">
      <c r="A212" s="728">
        <f t="shared" si="9"/>
        <v>87.837837837837839</v>
      </c>
      <c r="B212" s="87" t="s">
        <v>3067</v>
      </c>
      <c r="C212" s="662" t="s">
        <v>3071</v>
      </c>
      <c r="D212" s="563">
        <v>26000</v>
      </c>
      <c r="E212" s="573">
        <v>296</v>
      </c>
      <c r="F212" s="563">
        <f t="shared" si="10"/>
        <v>26000</v>
      </c>
      <c r="G212" s="87">
        <f t="shared" si="8"/>
        <v>0</v>
      </c>
      <c r="H212" s="690"/>
      <c r="I212" s="693"/>
      <c r="J212" s="692"/>
      <c r="K212" s="692"/>
    </row>
    <row r="213" spans="1:11" ht="15" customHeight="1" x14ac:dyDescent="0.25">
      <c r="A213" s="728">
        <f t="shared" si="9"/>
        <v>87.912087912087912</v>
      </c>
      <c r="B213" s="87" t="s">
        <v>3067</v>
      </c>
      <c r="C213" s="662" t="s">
        <v>3072</v>
      </c>
      <c r="D213" s="563">
        <v>16000</v>
      </c>
      <c r="E213" s="573">
        <v>182</v>
      </c>
      <c r="F213" s="563">
        <f t="shared" si="10"/>
        <v>16000</v>
      </c>
      <c r="G213" s="87">
        <f t="shared" si="8"/>
        <v>0</v>
      </c>
      <c r="H213" s="690"/>
      <c r="I213" s="693"/>
      <c r="J213" s="692"/>
      <c r="K213" s="692"/>
    </row>
    <row r="214" spans="1:11" ht="15" customHeight="1" x14ac:dyDescent="0.25">
      <c r="A214" s="728">
        <f t="shared" si="9"/>
        <v>87.912087912087912</v>
      </c>
      <c r="B214" s="87" t="s">
        <v>3067</v>
      </c>
      <c r="C214" s="662" t="s">
        <v>3073</v>
      </c>
      <c r="D214" s="563">
        <v>32000</v>
      </c>
      <c r="E214" s="573">
        <v>364</v>
      </c>
      <c r="F214" s="563">
        <f t="shared" si="10"/>
        <v>32000</v>
      </c>
      <c r="G214" s="87">
        <f t="shared" si="8"/>
        <v>0</v>
      </c>
      <c r="H214" s="690"/>
      <c r="I214" s="693"/>
      <c r="J214" s="692"/>
      <c r="K214" s="692"/>
    </row>
    <row r="215" spans="1:11" ht="15" customHeight="1" x14ac:dyDescent="0.25">
      <c r="A215" s="728">
        <f t="shared" si="9"/>
        <v>87.912087912087912</v>
      </c>
      <c r="B215" s="87" t="s">
        <v>3067</v>
      </c>
      <c r="C215" s="662" t="s">
        <v>30</v>
      </c>
      <c r="D215" s="563">
        <v>8000</v>
      </c>
      <c r="E215" s="573">
        <v>91</v>
      </c>
      <c r="F215" s="563">
        <f t="shared" si="10"/>
        <v>8000</v>
      </c>
      <c r="G215" s="87">
        <f t="shared" si="8"/>
        <v>0</v>
      </c>
      <c r="H215" s="690"/>
      <c r="I215" s="693"/>
      <c r="J215" s="692"/>
      <c r="K215" s="692"/>
    </row>
    <row r="216" spans="1:11" ht="15" customHeight="1" x14ac:dyDescent="0.25">
      <c r="A216" s="728">
        <f t="shared" si="9"/>
        <v>87.912087912087912</v>
      </c>
      <c r="B216" s="87" t="s">
        <v>3067</v>
      </c>
      <c r="C216" s="662" t="s">
        <v>30</v>
      </c>
      <c r="D216" s="563">
        <v>8000</v>
      </c>
      <c r="E216" s="573">
        <v>91</v>
      </c>
      <c r="F216" s="563">
        <f t="shared" si="10"/>
        <v>8000</v>
      </c>
      <c r="G216" s="87">
        <f t="shared" si="8"/>
        <v>0</v>
      </c>
      <c r="H216" s="690"/>
      <c r="I216" s="693"/>
      <c r="J216" s="692"/>
      <c r="K216" s="692"/>
    </row>
    <row r="217" spans="1:11" ht="15" customHeight="1" x14ac:dyDescent="0.25">
      <c r="A217" s="728">
        <f t="shared" si="9"/>
        <v>87.855297157622743</v>
      </c>
      <c r="B217" s="87" t="s">
        <v>3067</v>
      </c>
      <c r="C217" s="662" t="s">
        <v>1876</v>
      </c>
      <c r="D217" s="563">
        <v>34000</v>
      </c>
      <c r="E217" s="573">
        <v>387</v>
      </c>
      <c r="F217" s="563">
        <f t="shared" si="10"/>
        <v>34000</v>
      </c>
      <c r="G217" s="87">
        <f t="shared" si="8"/>
        <v>0</v>
      </c>
      <c r="H217" s="690"/>
      <c r="I217" s="693"/>
      <c r="J217" s="692"/>
      <c r="K217" s="692"/>
    </row>
    <row r="218" spans="1:11" ht="15" customHeight="1" x14ac:dyDescent="0.25">
      <c r="A218" s="728">
        <f t="shared" ref="A218:A292" si="11">D218/E218</f>
        <v>88.669950738916256</v>
      </c>
      <c r="B218" s="87" t="s">
        <v>3067</v>
      </c>
      <c r="C218" s="662" t="s">
        <v>1925</v>
      </c>
      <c r="D218" s="563">
        <v>18000</v>
      </c>
      <c r="E218" s="573">
        <v>203</v>
      </c>
      <c r="F218" s="563">
        <f t="shared" si="10"/>
        <v>18000</v>
      </c>
      <c r="G218" s="87">
        <f t="shared" si="8"/>
        <v>0</v>
      </c>
      <c r="H218" s="690"/>
      <c r="I218" s="731"/>
      <c r="J218" s="692"/>
      <c r="K218" s="692"/>
    </row>
    <row r="219" spans="1:11" ht="15" customHeight="1" x14ac:dyDescent="0.25">
      <c r="A219" s="728">
        <f t="shared" si="11"/>
        <v>87.804878048780495</v>
      </c>
      <c r="B219" s="87" t="s">
        <v>3067</v>
      </c>
      <c r="C219" s="662" t="s">
        <v>1926</v>
      </c>
      <c r="D219" s="563">
        <v>18000</v>
      </c>
      <c r="E219" s="573">
        <v>205</v>
      </c>
      <c r="F219" s="563">
        <f t="shared" si="10"/>
        <v>18000</v>
      </c>
      <c r="G219" s="87">
        <f t="shared" si="8"/>
        <v>0</v>
      </c>
      <c r="H219" s="690"/>
      <c r="I219" s="693"/>
      <c r="J219" s="692"/>
      <c r="K219" s="692"/>
    </row>
    <row r="220" spans="1:11" ht="15" customHeight="1" x14ac:dyDescent="0.25">
      <c r="A220" s="728">
        <f t="shared" si="11"/>
        <v>87.912087912087912</v>
      </c>
      <c r="B220" s="87" t="s">
        <v>3067</v>
      </c>
      <c r="C220" s="662" t="s">
        <v>2933</v>
      </c>
      <c r="D220" s="563">
        <v>16000</v>
      </c>
      <c r="E220" s="573">
        <v>182</v>
      </c>
      <c r="F220" s="563">
        <f t="shared" si="10"/>
        <v>16000</v>
      </c>
      <c r="G220" s="87">
        <f t="shared" si="8"/>
        <v>0</v>
      </c>
      <c r="H220" s="690"/>
      <c r="I220" s="693"/>
      <c r="J220" s="692"/>
      <c r="K220" s="692"/>
    </row>
    <row r="221" spans="1:11" ht="15" customHeight="1" x14ac:dyDescent="0.25">
      <c r="A221" s="728">
        <f t="shared" si="11"/>
        <v>96.774193548387103</v>
      </c>
      <c r="B221" s="87" t="s">
        <v>3067</v>
      </c>
      <c r="C221" s="662" t="s">
        <v>2079</v>
      </c>
      <c r="D221" s="563">
        <v>6000</v>
      </c>
      <c r="E221" s="573">
        <v>62</v>
      </c>
      <c r="F221" s="563">
        <f t="shared" si="10"/>
        <v>6000</v>
      </c>
      <c r="G221" s="87">
        <f t="shared" si="8"/>
        <v>0</v>
      </c>
      <c r="H221" s="690"/>
      <c r="I221" s="693"/>
      <c r="J221" s="692"/>
      <c r="K221" s="692"/>
    </row>
    <row r="222" spans="1:11" ht="15" customHeight="1" x14ac:dyDescent="0.25">
      <c r="A222" s="728">
        <f t="shared" si="11"/>
        <v>87.837837837837839</v>
      </c>
      <c r="B222" s="87" t="s">
        <v>3067</v>
      </c>
      <c r="C222" s="662" t="s">
        <v>3074</v>
      </c>
      <c r="D222" s="563">
        <v>26000</v>
      </c>
      <c r="E222" s="573">
        <v>296</v>
      </c>
      <c r="F222" s="563">
        <f t="shared" si="10"/>
        <v>26000</v>
      </c>
      <c r="G222" s="87">
        <f t="shared" si="8"/>
        <v>0</v>
      </c>
      <c r="H222" s="690"/>
      <c r="I222" s="693"/>
      <c r="J222" s="692"/>
      <c r="K222" s="692"/>
    </row>
    <row r="223" spans="1:11" ht="15" customHeight="1" x14ac:dyDescent="0.25">
      <c r="A223" s="728">
        <f t="shared" si="11"/>
        <v>88.105726872246692</v>
      </c>
      <c r="B223" s="87" t="s">
        <v>3067</v>
      </c>
      <c r="C223" s="662" t="s">
        <v>3075</v>
      </c>
      <c r="D223" s="563">
        <v>20000</v>
      </c>
      <c r="E223" s="573">
        <v>227</v>
      </c>
      <c r="F223" s="563">
        <f t="shared" si="10"/>
        <v>20000</v>
      </c>
      <c r="G223" s="87">
        <f t="shared" si="8"/>
        <v>0</v>
      </c>
      <c r="H223" s="690"/>
      <c r="I223" s="693"/>
      <c r="J223" s="692"/>
      <c r="K223" s="692"/>
    </row>
    <row r="224" spans="1:11" ht="15" customHeight="1" x14ac:dyDescent="0.25">
      <c r="A224" s="728">
        <f t="shared" si="11"/>
        <v>88.105726872246692</v>
      </c>
      <c r="B224" s="87" t="s">
        <v>3067</v>
      </c>
      <c r="C224" s="662" t="s">
        <v>3076</v>
      </c>
      <c r="D224" s="563">
        <v>20000</v>
      </c>
      <c r="E224" s="573">
        <v>227</v>
      </c>
      <c r="F224" s="563">
        <f t="shared" si="10"/>
        <v>20000</v>
      </c>
      <c r="G224" s="87">
        <f t="shared" si="8"/>
        <v>0</v>
      </c>
      <c r="H224" s="690"/>
      <c r="I224" s="693"/>
      <c r="J224" s="692"/>
      <c r="K224" s="692"/>
    </row>
    <row r="225" spans="1:11" ht="15" customHeight="1" x14ac:dyDescent="0.25">
      <c r="A225" s="728">
        <f t="shared" si="11"/>
        <v>87.976539589442808</v>
      </c>
      <c r="B225" s="87" t="s">
        <v>3067</v>
      </c>
      <c r="C225" s="662" t="s">
        <v>3077</v>
      </c>
      <c r="D225" s="563">
        <v>30000</v>
      </c>
      <c r="E225" s="573">
        <v>341</v>
      </c>
      <c r="F225" s="563">
        <f t="shared" si="10"/>
        <v>30000</v>
      </c>
      <c r="G225" s="87">
        <f t="shared" si="8"/>
        <v>0</v>
      </c>
      <c r="H225" s="690"/>
      <c r="I225" s="693"/>
      <c r="J225" s="692"/>
      <c r="K225" s="692"/>
    </row>
    <row r="226" spans="1:11" ht="15" customHeight="1" x14ac:dyDescent="0.25">
      <c r="A226" s="728">
        <f t="shared" si="11"/>
        <v>87.912087912087912</v>
      </c>
      <c r="B226" s="87" t="s">
        <v>3067</v>
      </c>
      <c r="C226" s="662" t="s">
        <v>3078</v>
      </c>
      <c r="D226" s="563">
        <v>32000</v>
      </c>
      <c r="E226" s="573">
        <v>364</v>
      </c>
      <c r="F226" s="563">
        <f t="shared" si="10"/>
        <v>32000</v>
      </c>
      <c r="G226" s="87">
        <f t="shared" si="8"/>
        <v>0</v>
      </c>
      <c r="H226" s="690"/>
      <c r="I226" s="693"/>
      <c r="J226" s="692"/>
      <c r="K226" s="692"/>
    </row>
    <row r="227" spans="1:11" ht="15" customHeight="1" x14ac:dyDescent="0.25">
      <c r="A227" s="728">
        <f t="shared" si="11"/>
        <v>88.235294117647058</v>
      </c>
      <c r="B227" s="87" t="s">
        <v>3067</v>
      </c>
      <c r="C227" s="662" t="s">
        <v>3079</v>
      </c>
      <c r="D227" s="563">
        <v>15000</v>
      </c>
      <c r="E227" s="573">
        <v>170</v>
      </c>
      <c r="F227" s="563">
        <f t="shared" si="10"/>
        <v>15000</v>
      </c>
      <c r="G227" s="87">
        <f t="shared" si="8"/>
        <v>0</v>
      </c>
      <c r="H227" s="690"/>
      <c r="I227" s="693"/>
      <c r="J227" s="692"/>
      <c r="K227" s="692"/>
    </row>
    <row r="228" spans="1:11" ht="15" customHeight="1" x14ac:dyDescent="0.25">
      <c r="A228" s="728">
        <f t="shared" si="11"/>
        <v>88.105726872246692</v>
      </c>
      <c r="B228" s="87" t="s">
        <v>3067</v>
      </c>
      <c r="C228" s="662" t="s">
        <v>3080</v>
      </c>
      <c r="D228" s="563">
        <v>20000</v>
      </c>
      <c r="E228" s="573">
        <v>227</v>
      </c>
      <c r="F228" s="563">
        <f t="shared" si="10"/>
        <v>20000</v>
      </c>
      <c r="G228" s="87">
        <f t="shared" si="8"/>
        <v>0</v>
      </c>
      <c r="H228" s="690"/>
      <c r="I228" s="693"/>
      <c r="J228" s="692"/>
      <c r="K228" s="692"/>
    </row>
    <row r="229" spans="1:11" ht="15" customHeight="1" x14ac:dyDescent="0.25">
      <c r="A229" s="728">
        <f t="shared" si="11"/>
        <v>87.912087912087912</v>
      </c>
      <c r="B229" s="87" t="s">
        <v>3081</v>
      </c>
      <c r="C229" s="662" t="s">
        <v>1847</v>
      </c>
      <c r="D229" s="563">
        <v>16000</v>
      </c>
      <c r="E229" s="573">
        <v>182</v>
      </c>
      <c r="F229" s="563">
        <f t="shared" si="10"/>
        <v>16000</v>
      </c>
      <c r="G229" s="87">
        <f t="shared" si="8"/>
        <v>0</v>
      </c>
      <c r="H229" s="690"/>
      <c r="I229" s="693"/>
      <c r="J229" s="692"/>
      <c r="K229" s="692"/>
    </row>
    <row r="230" spans="1:11" ht="15" customHeight="1" x14ac:dyDescent="0.25">
      <c r="A230" s="728">
        <f t="shared" si="11"/>
        <v>87.86610878661088</v>
      </c>
      <c r="B230" s="87" t="s">
        <v>3081</v>
      </c>
      <c r="C230" s="662" t="s">
        <v>3082</v>
      </c>
      <c r="D230" s="563">
        <v>21000</v>
      </c>
      <c r="E230" s="573">
        <v>239</v>
      </c>
      <c r="F230" s="563">
        <f t="shared" si="10"/>
        <v>21000</v>
      </c>
      <c r="G230" s="87">
        <f t="shared" si="8"/>
        <v>0</v>
      </c>
      <c r="H230" s="690"/>
      <c r="I230" s="693"/>
      <c r="J230" s="692"/>
      <c r="K230" s="692"/>
    </row>
    <row r="231" spans="1:11" ht="15" customHeight="1" x14ac:dyDescent="0.25">
      <c r="A231" s="728">
        <f t="shared" si="11"/>
        <v>88.235294117647058</v>
      </c>
      <c r="B231" s="87" t="s">
        <v>3081</v>
      </c>
      <c r="C231" s="662" t="s">
        <v>1748</v>
      </c>
      <c r="D231" s="563">
        <v>15000</v>
      </c>
      <c r="E231" s="573">
        <v>170</v>
      </c>
      <c r="F231" s="563">
        <f t="shared" si="10"/>
        <v>15000</v>
      </c>
      <c r="G231" s="87">
        <f t="shared" si="8"/>
        <v>0</v>
      </c>
      <c r="H231" s="690"/>
      <c r="I231" s="693"/>
      <c r="J231" s="692"/>
      <c r="K231" s="692"/>
    </row>
    <row r="232" spans="1:11" ht="15" customHeight="1" x14ac:dyDescent="0.25">
      <c r="A232" s="728">
        <f t="shared" si="11"/>
        <v>95.435684647302907</v>
      </c>
      <c r="B232" s="87" t="s">
        <v>3081</v>
      </c>
      <c r="C232" s="662" t="s">
        <v>3083</v>
      </c>
      <c r="D232" s="563">
        <v>23000</v>
      </c>
      <c r="E232" s="573">
        <v>241</v>
      </c>
      <c r="F232" s="563">
        <f t="shared" si="10"/>
        <v>23000</v>
      </c>
      <c r="G232" s="87">
        <f t="shared" si="8"/>
        <v>0</v>
      </c>
      <c r="H232" s="690"/>
      <c r="I232" s="693"/>
      <c r="J232" s="692"/>
      <c r="K232" s="692"/>
    </row>
    <row r="233" spans="1:11" ht="15" customHeight="1" x14ac:dyDescent="0.25">
      <c r="A233" s="728">
        <f t="shared" si="11"/>
        <v>93.45794392523365</v>
      </c>
      <c r="B233" s="87" t="s">
        <v>3081</v>
      </c>
      <c r="C233" s="662" t="s">
        <v>3009</v>
      </c>
      <c r="D233" s="563">
        <v>20000</v>
      </c>
      <c r="E233" s="573">
        <v>214</v>
      </c>
      <c r="F233" s="563">
        <f t="shared" si="10"/>
        <v>20000</v>
      </c>
      <c r="G233" s="87">
        <f t="shared" si="8"/>
        <v>0</v>
      </c>
      <c r="H233" s="690"/>
      <c r="I233" s="693"/>
      <c r="J233" s="692"/>
      <c r="K233" s="692"/>
    </row>
    <row r="234" spans="1:11" ht="15" customHeight="1" x14ac:dyDescent="0.25">
      <c r="A234" s="728">
        <f t="shared" si="11"/>
        <v>88.235294117647058</v>
      </c>
      <c r="B234" s="87" t="s">
        <v>3081</v>
      </c>
      <c r="C234" s="555" t="s">
        <v>17</v>
      </c>
      <c r="D234" s="563">
        <v>3000</v>
      </c>
      <c r="E234" s="573">
        <v>34</v>
      </c>
      <c r="F234" s="563">
        <f t="shared" si="10"/>
        <v>3000</v>
      </c>
      <c r="G234" s="87">
        <f t="shared" si="8"/>
        <v>0</v>
      </c>
      <c r="H234" s="690"/>
      <c r="I234" s="693"/>
      <c r="J234" s="692"/>
      <c r="K234" s="692"/>
    </row>
    <row r="235" spans="1:11" ht="15" customHeight="1" x14ac:dyDescent="0.25">
      <c r="A235" s="728">
        <f t="shared" si="11"/>
        <v>95.435684647302907</v>
      </c>
      <c r="B235" s="87" t="s">
        <v>3081</v>
      </c>
      <c r="C235" s="662" t="s">
        <v>3084</v>
      </c>
      <c r="D235" s="563">
        <v>23000</v>
      </c>
      <c r="E235" s="573">
        <v>241</v>
      </c>
      <c r="F235" s="563">
        <f t="shared" si="10"/>
        <v>23000</v>
      </c>
      <c r="G235" s="87">
        <f t="shared" si="8"/>
        <v>0</v>
      </c>
      <c r="H235" s="690"/>
      <c r="I235" s="693"/>
      <c r="J235" s="692"/>
      <c r="K235" s="692"/>
    </row>
    <row r="236" spans="1:11" ht="15" customHeight="1" x14ac:dyDescent="0.25">
      <c r="A236" s="728">
        <f t="shared" si="11"/>
        <v>89.743589743589737</v>
      </c>
      <c r="B236" s="87" t="s">
        <v>3081</v>
      </c>
      <c r="C236" s="662" t="s">
        <v>3085</v>
      </c>
      <c r="D236" s="563">
        <v>21000</v>
      </c>
      <c r="E236" s="573">
        <v>234</v>
      </c>
      <c r="F236" s="563">
        <f t="shared" si="10"/>
        <v>21000</v>
      </c>
      <c r="G236" s="87">
        <f t="shared" si="8"/>
        <v>0</v>
      </c>
      <c r="H236" s="690"/>
      <c r="I236" s="693"/>
      <c r="J236" s="692"/>
      <c r="K236" s="692"/>
    </row>
    <row r="237" spans="1:11" ht="15" customHeight="1" x14ac:dyDescent="0.25">
      <c r="A237" s="728">
        <f t="shared" si="11"/>
        <v>92.05020920502092</v>
      </c>
      <c r="B237" s="87" t="s">
        <v>3081</v>
      </c>
      <c r="C237" s="662" t="s">
        <v>3086</v>
      </c>
      <c r="D237" s="563">
        <v>22000</v>
      </c>
      <c r="E237" s="573">
        <v>239</v>
      </c>
      <c r="F237" s="563">
        <f t="shared" si="10"/>
        <v>22000</v>
      </c>
      <c r="G237" s="87">
        <f t="shared" si="8"/>
        <v>0</v>
      </c>
      <c r="H237" s="690"/>
      <c r="I237" s="693"/>
      <c r="J237" s="692"/>
      <c r="K237" s="692"/>
    </row>
    <row r="238" spans="1:11" ht="15" customHeight="1" x14ac:dyDescent="0.25">
      <c r="A238" s="728">
        <f t="shared" si="11"/>
        <v>88</v>
      </c>
      <c r="B238" s="87" t="s">
        <v>3081</v>
      </c>
      <c r="C238" s="662" t="s">
        <v>3087</v>
      </c>
      <c r="D238" s="563">
        <v>22000</v>
      </c>
      <c r="E238" s="573">
        <v>250</v>
      </c>
      <c r="F238" s="563">
        <f t="shared" si="10"/>
        <v>22000</v>
      </c>
      <c r="G238" s="87">
        <f t="shared" si="8"/>
        <v>0</v>
      </c>
      <c r="H238" s="690"/>
      <c r="I238" s="693"/>
      <c r="J238" s="692"/>
      <c r="K238" s="692"/>
    </row>
    <row r="239" spans="1:11" ht="15" customHeight="1" x14ac:dyDescent="0.25">
      <c r="A239" s="728">
        <f t="shared" si="11"/>
        <v>95.435684647302907</v>
      </c>
      <c r="B239" s="87" t="s">
        <v>3081</v>
      </c>
      <c r="C239" s="662" t="s">
        <v>3088</v>
      </c>
      <c r="D239" s="563">
        <v>23000</v>
      </c>
      <c r="E239" s="573">
        <v>241</v>
      </c>
      <c r="F239" s="563">
        <f t="shared" si="10"/>
        <v>23000</v>
      </c>
      <c r="G239" s="87">
        <f t="shared" si="8"/>
        <v>0</v>
      </c>
      <c r="H239" s="690"/>
      <c r="I239" s="693"/>
      <c r="J239" s="692"/>
      <c r="K239" s="692"/>
    </row>
    <row r="240" spans="1:11" ht="15" customHeight="1" x14ac:dyDescent="0.25">
      <c r="A240" s="728">
        <f t="shared" si="11"/>
        <v>87.786259541984734</v>
      </c>
      <c r="B240" s="87" t="s">
        <v>3081</v>
      </c>
      <c r="C240" s="662" t="s">
        <v>3089</v>
      </c>
      <c r="D240" s="563">
        <v>23000</v>
      </c>
      <c r="E240" s="573">
        <v>262</v>
      </c>
      <c r="F240" s="563">
        <f t="shared" si="10"/>
        <v>23000</v>
      </c>
      <c r="G240" s="87">
        <f t="shared" si="8"/>
        <v>0</v>
      </c>
      <c r="H240" s="690"/>
      <c r="I240" s="693"/>
      <c r="J240" s="692"/>
      <c r="K240" s="692"/>
    </row>
    <row r="241" spans="1:11" ht="15" customHeight="1" x14ac:dyDescent="0.25">
      <c r="A241" s="728">
        <f t="shared" si="11"/>
        <v>87.804878048780495</v>
      </c>
      <c r="B241" s="87" t="s">
        <v>3081</v>
      </c>
      <c r="C241" s="662" t="s">
        <v>1723</v>
      </c>
      <c r="D241" s="563">
        <v>18000</v>
      </c>
      <c r="E241" s="573">
        <v>205</v>
      </c>
      <c r="F241" s="563">
        <f t="shared" si="10"/>
        <v>18000</v>
      </c>
      <c r="G241" s="87">
        <f t="shared" si="8"/>
        <v>0</v>
      </c>
      <c r="H241" s="690"/>
      <c r="I241" s="693"/>
      <c r="J241" s="692"/>
      <c r="K241" s="692"/>
    </row>
    <row r="242" spans="1:11" ht="15" customHeight="1" x14ac:dyDescent="0.25">
      <c r="A242" s="728">
        <f t="shared" si="11"/>
        <v>87.804878048780495</v>
      </c>
      <c r="B242" s="87" t="s">
        <v>3081</v>
      </c>
      <c r="C242" s="87" t="s">
        <v>3090</v>
      </c>
      <c r="D242" s="87">
        <v>18000</v>
      </c>
      <c r="E242" s="87">
        <v>205</v>
      </c>
      <c r="F242" s="563">
        <f t="shared" si="10"/>
        <v>18000</v>
      </c>
      <c r="G242" s="87">
        <f t="shared" si="8"/>
        <v>0</v>
      </c>
      <c r="H242" s="690"/>
      <c r="I242" s="693"/>
      <c r="J242" s="692"/>
      <c r="K242" s="692"/>
    </row>
    <row r="243" spans="1:11" ht="15" customHeight="1" x14ac:dyDescent="0.25">
      <c r="A243" s="728">
        <f t="shared" si="11"/>
        <v>88.235294117647058</v>
      </c>
      <c r="B243" s="87" t="s">
        <v>3081</v>
      </c>
      <c r="C243" s="514" t="s">
        <v>2330</v>
      </c>
      <c r="D243" s="87">
        <v>15000</v>
      </c>
      <c r="E243" s="87">
        <v>170</v>
      </c>
      <c r="F243" s="563">
        <f t="shared" si="10"/>
        <v>15000</v>
      </c>
      <c r="G243" s="87">
        <f t="shared" si="8"/>
        <v>0</v>
      </c>
      <c r="H243" s="690"/>
      <c r="I243" s="693"/>
      <c r="J243" s="692"/>
      <c r="K243" s="692"/>
    </row>
    <row r="244" spans="1:11" ht="15" customHeight="1" x14ac:dyDescent="0.25">
      <c r="A244" s="728">
        <f t="shared" si="11"/>
        <v>87.836309523809518</v>
      </c>
      <c r="B244" s="87" t="s">
        <v>3081</v>
      </c>
      <c r="C244" s="514" t="s">
        <v>3091</v>
      </c>
      <c r="D244" s="87">
        <v>29513</v>
      </c>
      <c r="E244" s="87">
        <v>336</v>
      </c>
      <c r="F244" s="563">
        <f t="shared" si="10"/>
        <v>29513</v>
      </c>
      <c r="G244" s="87">
        <f t="shared" si="8"/>
        <v>0</v>
      </c>
      <c r="H244" s="690"/>
      <c r="I244" s="693"/>
      <c r="J244" s="692"/>
      <c r="K244" s="692"/>
    </row>
    <row r="245" spans="1:11" ht="15" customHeight="1" x14ac:dyDescent="0.25">
      <c r="A245" s="728">
        <f t="shared" si="11"/>
        <v>97.222222222222214</v>
      </c>
      <c r="B245" s="87" t="s">
        <v>3081</v>
      </c>
      <c r="C245" s="87" t="s">
        <v>66</v>
      </c>
      <c r="D245" s="87">
        <v>210</v>
      </c>
      <c r="E245" s="87">
        <v>2.16</v>
      </c>
      <c r="F245" s="563">
        <f t="shared" si="10"/>
        <v>210</v>
      </c>
      <c r="G245" s="87">
        <f t="shared" si="8"/>
        <v>0</v>
      </c>
      <c r="H245" s="690"/>
      <c r="I245" s="693"/>
      <c r="J245" s="692"/>
      <c r="K245" s="692"/>
    </row>
    <row r="246" spans="1:11" ht="15" customHeight="1" x14ac:dyDescent="0.25">
      <c r="A246" s="728">
        <f t="shared" si="11"/>
        <v>97.345132743362839</v>
      </c>
      <c r="B246" s="87" t="s">
        <v>3081</v>
      </c>
      <c r="C246" s="87" t="s">
        <v>66</v>
      </c>
      <c r="D246" s="87">
        <v>110</v>
      </c>
      <c r="E246" s="87">
        <v>1.1299999999999999</v>
      </c>
      <c r="F246" s="563">
        <f t="shared" si="10"/>
        <v>110</v>
      </c>
      <c r="G246" s="87">
        <f t="shared" si="8"/>
        <v>0</v>
      </c>
      <c r="H246" s="690"/>
      <c r="I246" s="693"/>
      <c r="J246" s="692"/>
      <c r="K246" s="692"/>
    </row>
    <row r="247" spans="1:11" ht="15" customHeight="1" x14ac:dyDescent="0.25">
      <c r="A247" s="728">
        <f t="shared" si="11"/>
        <v>87.837837837837839</v>
      </c>
      <c r="B247" s="87" t="s">
        <v>3092</v>
      </c>
      <c r="C247" s="514" t="s">
        <v>3103</v>
      </c>
      <c r="D247" s="87">
        <v>26000</v>
      </c>
      <c r="E247" s="87">
        <v>296</v>
      </c>
      <c r="F247" s="563">
        <f t="shared" si="10"/>
        <v>26000</v>
      </c>
      <c r="G247" s="87">
        <f t="shared" si="8"/>
        <v>0</v>
      </c>
      <c r="H247" s="690"/>
      <c r="I247" s="693"/>
      <c r="J247" s="692"/>
      <c r="K247" s="692"/>
    </row>
    <row r="248" spans="1:11" ht="15" customHeight="1" x14ac:dyDescent="0.25">
      <c r="A248" s="728">
        <f t="shared" si="11"/>
        <v>87.837837837837839</v>
      </c>
      <c r="B248" s="87" t="s">
        <v>3092</v>
      </c>
      <c r="C248" s="514" t="s">
        <v>1798</v>
      </c>
      <c r="D248" s="87">
        <v>26000</v>
      </c>
      <c r="E248" s="87">
        <v>296</v>
      </c>
      <c r="F248" s="563">
        <f t="shared" si="10"/>
        <v>26000</v>
      </c>
      <c r="G248" s="87">
        <f t="shared" si="8"/>
        <v>0</v>
      </c>
      <c r="H248" s="690"/>
      <c r="I248" s="693"/>
      <c r="J248" s="692"/>
      <c r="K248" s="692"/>
    </row>
    <row r="249" spans="1:11" ht="15" customHeight="1" x14ac:dyDescent="0.25">
      <c r="A249" s="728">
        <f t="shared" si="11"/>
        <v>88.105726872246692</v>
      </c>
      <c r="B249" s="87" t="s">
        <v>3092</v>
      </c>
      <c r="C249" s="514" t="s">
        <v>1724</v>
      </c>
      <c r="D249" s="87">
        <v>20000</v>
      </c>
      <c r="E249" s="87">
        <v>227</v>
      </c>
      <c r="F249" s="563">
        <f t="shared" si="10"/>
        <v>20000</v>
      </c>
      <c r="G249" s="87">
        <f t="shared" si="8"/>
        <v>0</v>
      </c>
      <c r="H249" s="690"/>
      <c r="I249" s="693"/>
      <c r="J249" s="692"/>
      <c r="K249" s="692"/>
    </row>
    <row r="250" spans="1:11" ht="15" customHeight="1" x14ac:dyDescent="0.25">
      <c r="A250" s="728">
        <f t="shared" si="11"/>
        <v>88.105726872246692</v>
      </c>
      <c r="B250" s="87" t="s">
        <v>3092</v>
      </c>
      <c r="C250" s="514" t="s">
        <v>3095</v>
      </c>
      <c r="D250" s="87">
        <v>20000</v>
      </c>
      <c r="E250" s="87">
        <v>227</v>
      </c>
      <c r="F250" s="563">
        <f t="shared" si="10"/>
        <v>20000</v>
      </c>
      <c r="G250" s="87">
        <f t="shared" si="8"/>
        <v>0</v>
      </c>
      <c r="H250" s="690"/>
      <c r="I250" s="693"/>
      <c r="J250" s="692"/>
      <c r="K250" s="692"/>
    </row>
    <row r="251" spans="1:11" ht="15" customHeight="1" x14ac:dyDescent="0.25">
      <c r="A251" s="728">
        <f t="shared" si="11"/>
        <v>88.082901554404145</v>
      </c>
      <c r="B251" s="87" t="s">
        <v>3092</v>
      </c>
      <c r="C251" s="514" t="s">
        <v>1729</v>
      </c>
      <c r="D251" s="87">
        <v>17000</v>
      </c>
      <c r="E251" s="87">
        <v>193</v>
      </c>
      <c r="F251" s="563">
        <f t="shared" si="10"/>
        <v>17000</v>
      </c>
      <c r="G251" s="87">
        <f t="shared" si="8"/>
        <v>0</v>
      </c>
      <c r="H251" s="690"/>
      <c r="I251" s="693"/>
      <c r="J251" s="692"/>
      <c r="K251" s="692"/>
    </row>
    <row r="252" spans="1:11" ht="15" customHeight="1" x14ac:dyDescent="0.25">
      <c r="A252" s="728">
        <f t="shared" si="11"/>
        <v>101.69491525423729</v>
      </c>
      <c r="B252" s="87" t="s">
        <v>3092</v>
      </c>
      <c r="C252" s="514" t="s">
        <v>3096</v>
      </c>
      <c r="D252" s="87">
        <v>24000</v>
      </c>
      <c r="E252" s="87">
        <v>236</v>
      </c>
      <c r="F252" s="563">
        <f t="shared" si="10"/>
        <v>24000</v>
      </c>
      <c r="G252" s="87">
        <f t="shared" si="8"/>
        <v>0</v>
      </c>
      <c r="H252" s="690"/>
      <c r="I252" s="693"/>
      <c r="J252" s="692"/>
      <c r="K252" s="692"/>
    </row>
    <row r="253" spans="1:11" ht="15" customHeight="1" x14ac:dyDescent="0.25">
      <c r="A253" s="728">
        <f t="shared" si="11"/>
        <v>89.285714285714292</v>
      </c>
      <c r="B253" s="87" t="s">
        <v>3092</v>
      </c>
      <c r="C253" s="514" t="s">
        <v>3097</v>
      </c>
      <c r="D253" s="87">
        <v>20000</v>
      </c>
      <c r="E253" s="87">
        <v>224</v>
      </c>
      <c r="F253" s="563">
        <f t="shared" si="10"/>
        <v>20000</v>
      </c>
      <c r="G253" s="87">
        <f t="shared" si="8"/>
        <v>0</v>
      </c>
      <c r="H253" s="690"/>
      <c r="I253" s="693"/>
      <c r="J253" s="692"/>
      <c r="K253" s="692"/>
    </row>
    <row r="254" spans="1:11" ht="15" customHeight="1" x14ac:dyDescent="0.25">
      <c r="A254" s="728">
        <f t="shared" si="11"/>
        <v>89.285714285714292</v>
      </c>
      <c r="B254" s="87" t="s">
        <v>3092</v>
      </c>
      <c r="C254" s="514" t="s">
        <v>3098</v>
      </c>
      <c r="D254" s="87">
        <v>5000</v>
      </c>
      <c r="E254" s="87">
        <v>56</v>
      </c>
      <c r="F254" s="563">
        <f t="shared" si="10"/>
        <v>5000</v>
      </c>
      <c r="G254" s="87">
        <f t="shared" si="8"/>
        <v>0</v>
      </c>
      <c r="H254" s="690"/>
      <c r="I254" s="693"/>
      <c r="J254" s="692"/>
      <c r="K254" s="692"/>
    </row>
    <row r="255" spans="1:11" ht="15" customHeight="1" x14ac:dyDescent="0.25">
      <c r="A255" s="728">
        <f t="shared" si="11"/>
        <v>86.142322097378283</v>
      </c>
      <c r="B255" s="87" t="s">
        <v>3092</v>
      </c>
      <c r="C255" s="514" t="s">
        <v>3099</v>
      </c>
      <c r="D255" s="87">
        <v>23000</v>
      </c>
      <c r="E255" s="87">
        <v>267</v>
      </c>
      <c r="F255" s="563">
        <f t="shared" si="10"/>
        <v>23000</v>
      </c>
      <c r="G255" s="87">
        <f t="shared" si="8"/>
        <v>0</v>
      </c>
      <c r="H255" s="690"/>
      <c r="I255" s="693"/>
      <c r="J255" s="692"/>
      <c r="K255" s="692"/>
    </row>
    <row r="256" spans="1:11" ht="15" customHeight="1" x14ac:dyDescent="0.25">
      <c r="A256" s="728">
        <f t="shared" si="11"/>
        <v>88.082901554404145</v>
      </c>
      <c r="B256" s="87" t="s">
        <v>3092</v>
      </c>
      <c r="C256" s="514" t="s">
        <v>1727</v>
      </c>
      <c r="D256" s="87">
        <v>17000</v>
      </c>
      <c r="E256" s="87">
        <v>193</v>
      </c>
      <c r="F256" s="563">
        <f t="shared" si="10"/>
        <v>17000</v>
      </c>
      <c r="G256" s="87">
        <f t="shared" si="8"/>
        <v>0</v>
      </c>
      <c r="H256" s="690"/>
      <c r="I256" s="693"/>
      <c r="J256" s="692"/>
      <c r="K256" s="692"/>
    </row>
    <row r="257" spans="1:11" ht="15" customHeight="1" x14ac:dyDescent="0.25">
      <c r="A257" s="728">
        <f t="shared" si="11"/>
        <v>88.235294117647058</v>
      </c>
      <c r="B257" s="87" t="s">
        <v>3092</v>
      </c>
      <c r="C257" s="514" t="s">
        <v>1849</v>
      </c>
      <c r="D257" s="87">
        <v>15000</v>
      </c>
      <c r="E257" s="87">
        <v>170</v>
      </c>
      <c r="F257" s="563">
        <f t="shared" si="10"/>
        <v>15000</v>
      </c>
      <c r="G257" s="87">
        <f t="shared" si="8"/>
        <v>0</v>
      </c>
      <c r="H257" s="690"/>
      <c r="I257" s="693"/>
      <c r="J257" s="692"/>
      <c r="K257" s="692"/>
    </row>
    <row r="258" spans="1:11" ht="15" customHeight="1" x14ac:dyDescent="0.25">
      <c r="A258" s="728">
        <f t="shared" si="11"/>
        <v>87.912087912087912</v>
      </c>
      <c r="B258" s="87" t="s">
        <v>3092</v>
      </c>
      <c r="C258" s="514" t="s">
        <v>30</v>
      </c>
      <c r="D258" s="87">
        <v>8000</v>
      </c>
      <c r="E258" s="87">
        <v>91</v>
      </c>
      <c r="F258" s="563">
        <f t="shared" si="10"/>
        <v>8000</v>
      </c>
      <c r="G258" s="87">
        <f t="shared" si="8"/>
        <v>0</v>
      </c>
      <c r="H258" s="690"/>
      <c r="I258" s="693"/>
      <c r="J258" s="692"/>
      <c r="K258" s="692"/>
    </row>
    <row r="259" spans="1:11" ht="15" customHeight="1" x14ac:dyDescent="0.25">
      <c r="A259" s="728">
        <f t="shared" si="11"/>
        <v>88.495575221238937</v>
      </c>
      <c r="B259" s="87" t="s">
        <v>3092</v>
      </c>
      <c r="C259" s="514" t="s">
        <v>3100</v>
      </c>
      <c r="D259" s="87">
        <v>10000</v>
      </c>
      <c r="E259" s="87">
        <v>113</v>
      </c>
      <c r="F259" s="563">
        <f t="shared" si="10"/>
        <v>10000</v>
      </c>
      <c r="G259" s="87">
        <f t="shared" si="8"/>
        <v>0</v>
      </c>
      <c r="H259" s="690"/>
      <c r="I259" s="693"/>
      <c r="J259" s="692"/>
      <c r="K259" s="692"/>
    </row>
    <row r="260" spans="1:11" ht="15" customHeight="1" x14ac:dyDescent="0.25">
      <c r="A260" s="728">
        <f t="shared" si="11"/>
        <v>88.495575221238937</v>
      </c>
      <c r="B260" s="87" t="s">
        <v>3092</v>
      </c>
      <c r="C260" s="514" t="s">
        <v>3104</v>
      </c>
      <c r="D260" s="87">
        <v>10000</v>
      </c>
      <c r="E260" s="87">
        <v>113</v>
      </c>
      <c r="F260" s="563">
        <f t="shared" si="10"/>
        <v>10000</v>
      </c>
      <c r="G260" s="87">
        <f t="shared" si="8"/>
        <v>0</v>
      </c>
      <c r="H260" s="690"/>
      <c r="I260" s="693"/>
      <c r="J260" s="692"/>
      <c r="K260" s="692"/>
    </row>
    <row r="261" spans="1:11" ht="15" customHeight="1" x14ac:dyDescent="0.25">
      <c r="A261" s="728">
        <f t="shared" si="11"/>
        <v>97.087378640776691</v>
      </c>
      <c r="B261" s="87" t="s">
        <v>3092</v>
      </c>
      <c r="C261" s="514" t="s">
        <v>66</v>
      </c>
      <c r="D261" s="87">
        <v>100</v>
      </c>
      <c r="E261" s="87">
        <v>1.03</v>
      </c>
      <c r="F261" s="563">
        <f t="shared" si="10"/>
        <v>100</v>
      </c>
      <c r="G261" s="87">
        <f t="shared" si="8"/>
        <v>0</v>
      </c>
      <c r="H261" s="690"/>
      <c r="I261" s="693"/>
      <c r="J261" s="692"/>
      <c r="K261" s="692"/>
    </row>
    <row r="262" spans="1:11" ht="15" customHeight="1" x14ac:dyDescent="0.25">
      <c r="A262" s="728">
        <f t="shared" si="11"/>
        <v>87.786259541984734</v>
      </c>
      <c r="B262" s="87" t="s">
        <v>3092</v>
      </c>
      <c r="C262" s="514" t="s">
        <v>2311</v>
      </c>
      <c r="D262" s="87">
        <v>23000</v>
      </c>
      <c r="E262" s="87">
        <v>262</v>
      </c>
      <c r="F262" s="563">
        <f t="shared" ref="F262:F336" si="12">D262</f>
        <v>23000</v>
      </c>
      <c r="G262" s="87">
        <f t="shared" si="8"/>
        <v>0</v>
      </c>
      <c r="H262" s="690"/>
      <c r="I262" s="693"/>
      <c r="J262" s="692"/>
      <c r="K262" s="692"/>
    </row>
    <row r="263" spans="1:11" ht="15" customHeight="1" x14ac:dyDescent="0.25">
      <c r="A263" s="728">
        <f t="shared" si="11"/>
        <v>87.818696883852695</v>
      </c>
      <c r="B263" s="87" t="s">
        <v>3092</v>
      </c>
      <c r="C263" s="514" t="s">
        <v>3101</v>
      </c>
      <c r="D263" s="87">
        <v>31000</v>
      </c>
      <c r="E263" s="87">
        <v>353</v>
      </c>
      <c r="F263" s="563">
        <f t="shared" si="12"/>
        <v>31000</v>
      </c>
      <c r="G263" s="87">
        <f t="shared" si="8"/>
        <v>0</v>
      </c>
      <c r="H263" s="690"/>
      <c r="I263" s="693"/>
      <c r="J263" s="692"/>
      <c r="K263" s="692"/>
    </row>
    <row r="264" spans="1:11" s="741" customFormat="1" ht="15" x14ac:dyDescent="0.25">
      <c r="A264" s="728">
        <f t="shared" si="11"/>
        <v>87.804878048780495</v>
      </c>
      <c r="B264" s="87" t="s">
        <v>3102</v>
      </c>
      <c r="C264" s="514" t="s">
        <v>3183</v>
      </c>
      <c r="D264" s="87">
        <v>18000</v>
      </c>
      <c r="E264" s="87">
        <v>205</v>
      </c>
      <c r="F264" s="563">
        <f t="shared" si="12"/>
        <v>18000</v>
      </c>
      <c r="G264" s="87">
        <f t="shared" si="8"/>
        <v>0</v>
      </c>
      <c r="H264" s="690"/>
      <c r="I264" s="693"/>
      <c r="J264" s="692"/>
      <c r="K264" s="692"/>
    </row>
    <row r="265" spans="1:11" s="741" customFormat="1" ht="15" x14ac:dyDescent="0.25">
      <c r="A265" s="728">
        <f t="shared" si="11"/>
        <v>88.235294117647058</v>
      </c>
      <c r="B265" s="87" t="s">
        <v>3102</v>
      </c>
      <c r="C265" s="514" t="s">
        <v>3243</v>
      </c>
      <c r="D265" s="87">
        <v>15000</v>
      </c>
      <c r="E265" s="87">
        <v>170</v>
      </c>
      <c r="F265" s="563">
        <f t="shared" si="12"/>
        <v>15000</v>
      </c>
      <c r="G265" s="87">
        <f t="shared" ref="G265:G267" si="13">D265-F265</f>
        <v>0</v>
      </c>
      <c r="H265" s="690"/>
      <c r="I265" s="693"/>
      <c r="J265" s="692"/>
      <c r="K265" s="692"/>
    </row>
    <row r="266" spans="1:11" s="741" customFormat="1" ht="15" x14ac:dyDescent="0.25">
      <c r="A266" s="728">
        <f t="shared" si="11"/>
        <v>88.105726872246692</v>
      </c>
      <c r="B266" s="87" t="s">
        <v>3102</v>
      </c>
      <c r="C266" s="514" t="s">
        <v>2294</v>
      </c>
      <c r="D266" s="87">
        <v>20000</v>
      </c>
      <c r="E266" s="87">
        <v>227</v>
      </c>
      <c r="F266" s="563">
        <f t="shared" si="12"/>
        <v>20000</v>
      </c>
      <c r="G266" s="87">
        <f t="shared" si="13"/>
        <v>0</v>
      </c>
      <c r="H266" s="690"/>
      <c r="I266" s="693"/>
      <c r="J266" s="692"/>
      <c r="K266" s="692"/>
    </row>
    <row r="267" spans="1:11" s="741" customFormat="1" ht="15" x14ac:dyDescent="0.25">
      <c r="A267" s="728">
        <f t="shared" si="11"/>
        <v>89.686098654708516</v>
      </c>
      <c r="B267" s="87" t="s">
        <v>3102</v>
      </c>
      <c r="C267" s="514" t="s">
        <v>3002</v>
      </c>
      <c r="D267" s="87">
        <v>20000</v>
      </c>
      <c r="E267" s="87">
        <v>223</v>
      </c>
      <c r="F267" s="563">
        <f t="shared" si="12"/>
        <v>20000</v>
      </c>
      <c r="G267" s="87">
        <f t="shared" si="13"/>
        <v>0</v>
      </c>
      <c r="H267" s="690"/>
      <c r="I267" s="693"/>
      <c r="J267" s="692"/>
      <c r="K267" s="692"/>
    </row>
    <row r="268" spans="1:11" s="741" customFormat="1" ht="15" x14ac:dyDescent="0.25">
      <c r="A268" s="728">
        <f t="shared" si="11"/>
        <v>88.105726872246692</v>
      </c>
      <c r="B268" s="87" t="s">
        <v>3102</v>
      </c>
      <c r="C268" s="514" t="s">
        <v>3148</v>
      </c>
      <c r="D268" s="87">
        <v>20000</v>
      </c>
      <c r="E268" s="87">
        <v>227</v>
      </c>
      <c r="F268" s="563">
        <f t="shared" si="12"/>
        <v>20000</v>
      </c>
      <c r="G268" s="87">
        <f t="shared" ref="G268:G274" si="14">D268-F268</f>
        <v>0</v>
      </c>
      <c r="H268" s="690"/>
      <c r="I268" s="693"/>
      <c r="J268" s="692"/>
      <c r="K268" s="692"/>
    </row>
    <row r="269" spans="1:11" s="741" customFormat="1" ht="15" x14ac:dyDescent="0.25">
      <c r="A269" s="728">
        <f t="shared" si="11"/>
        <v>87.786259541984734</v>
      </c>
      <c r="B269" s="87" t="s">
        <v>3102</v>
      </c>
      <c r="C269" s="514" t="s">
        <v>3244</v>
      </c>
      <c r="D269" s="87">
        <v>23000</v>
      </c>
      <c r="E269" s="87">
        <v>262</v>
      </c>
      <c r="F269" s="563">
        <f t="shared" si="12"/>
        <v>23000</v>
      </c>
      <c r="G269" s="87">
        <f t="shared" si="14"/>
        <v>0</v>
      </c>
      <c r="H269" s="690"/>
      <c r="I269" s="693"/>
      <c r="J269" s="692"/>
      <c r="K269" s="692"/>
    </row>
    <row r="270" spans="1:11" s="741" customFormat="1" ht="15" x14ac:dyDescent="0.25">
      <c r="A270" s="728">
        <f t="shared" si="11"/>
        <v>87.804878048780495</v>
      </c>
      <c r="B270" s="87" t="s">
        <v>3102</v>
      </c>
      <c r="C270" s="514" t="s">
        <v>2924</v>
      </c>
      <c r="D270" s="87">
        <v>18000</v>
      </c>
      <c r="E270" s="87">
        <v>205</v>
      </c>
      <c r="F270" s="563">
        <f t="shared" si="12"/>
        <v>18000</v>
      </c>
      <c r="G270" s="87">
        <f t="shared" si="14"/>
        <v>0</v>
      </c>
      <c r="H270" s="690"/>
      <c r="I270" s="693"/>
      <c r="J270" s="692"/>
      <c r="K270" s="692"/>
    </row>
    <row r="271" spans="1:11" s="741" customFormat="1" ht="15" x14ac:dyDescent="0.25">
      <c r="A271" s="728">
        <f t="shared" si="11"/>
        <v>90.909090909090907</v>
      </c>
      <c r="B271" s="87" t="s">
        <v>3102</v>
      </c>
      <c r="C271" s="514" t="s">
        <v>1923</v>
      </c>
      <c r="D271" s="87">
        <v>17000</v>
      </c>
      <c r="E271" s="87">
        <v>187</v>
      </c>
      <c r="F271" s="563">
        <f t="shared" si="12"/>
        <v>17000</v>
      </c>
      <c r="G271" s="87">
        <f t="shared" si="14"/>
        <v>0</v>
      </c>
      <c r="H271" s="690"/>
      <c r="I271" s="693"/>
      <c r="J271" s="692"/>
      <c r="K271" s="692"/>
    </row>
    <row r="272" spans="1:11" s="741" customFormat="1" ht="15" x14ac:dyDescent="0.25">
      <c r="A272" s="728">
        <f t="shared" si="11"/>
        <v>88.082901554404145</v>
      </c>
      <c r="B272" s="87" t="s">
        <v>3102</v>
      </c>
      <c r="C272" s="514" t="s">
        <v>2044</v>
      </c>
      <c r="D272" s="87">
        <v>17000</v>
      </c>
      <c r="E272" s="87">
        <v>193</v>
      </c>
      <c r="F272" s="563">
        <f t="shared" si="12"/>
        <v>17000</v>
      </c>
      <c r="G272" s="87">
        <f t="shared" si="14"/>
        <v>0</v>
      </c>
      <c r="H272" s="690"/>
      <c r="I272" s="693"/>
      <c r="J272" s="692"/>
      <c r="K272" s="692"/>
    </row>
    <row r="273" spans="1:11" s="741" customFormat="1" ht="15" x14ac:dyDescent="0.25">
      <c r="A273" s="728">
        <f t="shared" si="11"/>
        <v>87.912087912087912</v>
      </c>
      <c r="B273" s="87" t="s">
        <v>3102</v>
      </c>
      <c r="C273" s="514" t="s">
        <v>30</v>
      </c>
      <c r="D273" s="87">
        <v>8000</v>
      </c>
      <c r="E273" s="87">
        <v>91</v>
      </c>
      <c r="F273" s="563">
        <f t="shared" si="12"/>
        <v>8000</v>
      </c>
      <c r="G273" s="87">
        <f t="shared" si="14"/>
        <v>0</v>
      </c>
      <c r="H273" s="690"/>
      <c r="I273" s="693"/>
      <c r="J273" s="692"/>
      <c r="K273" s="692"/>
    </row>
    <row r="274" spans="1:11" s="741" customFormat="1" ht="15" x14ac:dyDescent="0.25">
      <c r="A274" s="728">
        <f t="shared" si="11"/>
        <v>87.912087912087912</v>
      </c>
      <c r="B274" s="87" t="s">
        <v>3102</v>
      </c>
      <c r="C274" s="514" t="s">
        <v>3245</v>
      </c>
      <c r="D274" s="87">
        <v>24000</v>
      </c>
      <c r="E274" s="87">
        <v>273</v>
      </c>
      <c r="F274" s="563">
        <f t="shared" si="12"/>
        <v>24000</v>
      </c>
      <c r="G274" s="87">
        <f t="shared" si="14"/>
        <v>0</v>
      </c>
      <c r="H274" s="690"/>
      <c r="I274" s="693"/>
      <c r="J274" s="692"/>
      <c r="K274" s="692"/>
    </row>
    <row r="275" spans="1:11" ht="15" x14ac:dyDescent="0.25">
      <c r="A275" s="728">
        <f t="shared" si="11"/>
        <v>88.013698630136986</v>
      </c>
      <c r="B275" s="87" t="s">
        <v>3102</v>
      </c>
      <c r="C275" s="739" t="s">
        <v>3106</v>
      </c>
      <c r="D275" s="87">
        <v>25700</v>
      </c>
      <c r="E275" s="87">
        <v>292</v>
      </c>
      <c r="F275" s="563">
        <f t="shared" si="12"/>
        <v>25700</v>
      </c>
      <c r="G275" s="87">
        <f t="shared" si="8"/>
        <v>0</v>
      </c>
      <c r="H275" s="690"/>
      <c r="I275" s="693"/>
      <c r="J275" s="692"/>
      <c r="K275" s="692"/>
    </row>
    <row r="276" spans="1:11" ht="15" x14ac:dyDescent="0.25">
      <c r="A276" s="728">
        <f t="shared" si="11"/>
        <v>88.012</v>
      </c>
      <c r="B276" s="87" t="s">
        <v>3102</v>
      </c>
      <c r="C276" s="739" t="s">
        <v>3107</v>
      </c>
      <c r="D276" s="87">
        <v>22003</v>
      </c>
      <c r="E276" s="87">
        <v>250</v>
      </c>
      <c r="F276" s="563">
        <f t="shared" si="12"/>
        <v>22003</v>
      </c>
      <c r="G276" s="87">
        <f t="shared" si="8"/>
        <v>0</v>
      </c>
      <c r="H276" s="690"/>
      <c r="I276" s="693"/>
      <c r="J276" s="692"/>
      <c r="K276" s="692"/>
    </row>
    <row r="277" spans="1:11" ht="15" x14ac:dyDescent="0.25">
      <c r="A277" s="728">
        <f t="shared" si="11"/>
        <v>92.814371257485035</v>
      </c>
      <c r="B277" s="87" t="s">
        <v>3102</v>
      </c>
      <c r="C277" s="514" t="s">
        <v>2758</v>
      </c>
      <c r="D277" s="87">
        <v>31000</v>
      </c>
      <c r="E277" s="87">
        <v>334</v>
      </c>
      <c r="F277" s="563">
        <f t="shared" si="12"/>
        <v>31000</v>
      </c>
      <c r="G277" s="87">
        <f t="shared" si="8"/>
        <v>0</v>
      </c>
      <c r="H277" s="690"/>
      <c r="I277" s="693"/>
      <c r="J277" s="692"/>
      <c r="K277" s="692"/>
    </row>
    <row r="278" spans="1:11" ht="15" x14ac:dyDescent="0.25">
      <c r="A278" s="728">
        <f t="shared" si="11"/>
        <v>87.976539589442808</v>
      </c>
      <c r="B278" s="87" t="s">
        <v>3102</v>
      </c>
      <c r="C278" s="514" t="s">
        <v>3108</v>
      </c>
      <c r="D278" s="87">
        <v>30000</v>
      </c>
      <c r="E278" s="87">
        <v>341</v>
      </c>
      <c r="F278" s="563">
        <f t="shared" si="12"/>
        <v>30000</v>
      </c>
      <c r="G278" s="87">
        <f t="shared" si="8"/>
        <v>0</v>
      </c>
      <c r="H278" s="690"/>
      <c r="I278" s="693"/>
      <c r="J278" s="692"/>
      <c r="K278" s="692"/>
    </row>
    <row r="279" spans="1:11" ht="15" x14ac:dyDescent="0.25">
      <c r="A279" s="728">
        <f t="shared" si="11"/>
        <v>87.804878048780495</v>
      </c>
      <c r="B279" s="87" t="s">
        <v>3102</v>
      </c>
      <c r="C279" s="514" t="s">
        <v>3109</v>
      </c>
      <c r="D279" s="87">
        <v>18000</v>
      </c>
      <c r="E279" s="87">
        <v>205</v>
      </c>
      <c r="F279" s="563">
        <f t="shared" si="12"/>
        <v>18000</v>
      </c>
      <c r="G279" s="87">
        <f t="shared" si="8"/>
        <v>0</v>
      </c>
      <c r="H279" s="690"/>
      <c r="I279" s="693"/>
      <c r="J279" s="692"/>
      <c r="K279" s="692"/>
    </row>
    <row r="280" spans="1:11" ht="15" x14ac:dyDescent="0.25">
      <c r="A280" s="728">
        <f t="shared" si="11"/>
        <v>83.333333333333329</v>
      </c>
      <c r="B280" s="87" t="s">
        <v>3102</v>
      </c>
      <c r="C280" s="514" t="s">
        <v>2106</v>
      </c>
      <c r="D280" s="87">
        <v>31000</v>
      </c>
      <c r="E280" s="87">
        <v>372</v>
      </c>
      <c r="F280" s="563">
        <f t="shared" si="12"/>
        <v>31000</v>
      </c>
      <c r="G280" s="87">
        <f t="shared" si="8"/>
        <v>0</v>
      </c>
      <c r="H280" s="690"/>
      <c r="I280" s="693"/>
      <c r="J280" s="692"/>
      <c r="K280" s="692"/>
    </row>
    <row r="281" spans="1:11" ht="15" x14ac:dyDescent="0.25">
      <c r="A281" s="728">
        <f t="shared" si="11"/>
        <v>92</v>
      </c>
      <c r="B281" s="87" t="s">
        <v>3102</v>
      </c>
      <c r="C281" s="514" t="s">
        <v>3110</v>
      </c>
      <c r="D281" s="87">
        <v>23000</v>
      </c>
      <c r="E281" s="87">
        <v>250</v>
      </c>
      <c r="F281" s="563">
        <f t="shared" si="12"/>
        <v>23000</v>
      </c>
      <c r="G281" s="87">
        <f t="shared" si="8"/>
        <v>0</v>
      </c>
      <c r="H281" s="690"/>
      <c r="I281" s="693"/>
      <c r="J281" s="692"/>
      <c r="K281" s="692"/>
    </row>
    <row r="282" spans="1:11" ht="15" x14ac:dyDescent="0.25">
      <c r="A282" s="728">
        <f t="shared" si="11"/>
        <v>87.976539589442808</v>
      </c>
      <c r="B282" s="87" t="s">
        <v>3102</v>
      </c>
      <c r="C282" s="514" t="s">
        <v>3111</v>
      </c>
      <c r="D282" s="87">
        <v>30000</v>
      </c>
      <c r="E282" s="87">
        <v>341</v>
      </c>
      <c r="F282" s="563">
        <f t="shared" si="12"/>
        <v>30000</v>
      </c>
      <c r="G282" s="87">
        <f t="shared" si="8"/>
        <v>0</v>
      </c>
      <c r="H282" s="690"/>
      <c r="I282" s="693"/>
      <c r="J282" s="692"/>
      <c r="K282" s="692"/>
    </row>
    <row r="283" spans="1:11" ht="15" customHeight="1" x14ac:dyDescent="0.25">
      <c r="A283" s="728">
        <f t="shared" si="11"/>
        <v>88.028169014084511</v>
      </c>
      <c r="B283" s="87" t="s">
        <v>3112</v>
      </c>
      <c r="C283" s="514" t="s">
        <v>2916</v>
      </c>
      <c r="D283" s="87">
        <v>25000</v>
      </c>
      <c r="E283" s="87">
        <v>284</v>
      </c>
      <c r="F283" s="563">
        <f t="shared" si="12"/>
        <v>25000</v>
      </c>
      <c r="G283" s="87">
        <f t="shared" si="8"/>
        <v>0</v>
      </c>
      <c r="H283" s="690"/>
      <c r="I283" s="693"/>
      <c r="J283" s="692"/>
      <c r="K283" s="692"/>
    </row>
    <row r="284" spans="1:11" ht="15" customHeight="1" x14ac:dyDescent="0.25">
      <c r="A284" s="728">
        <f t="shared" si="11"/>
        <v>87.804878048780495</v>
      </c>
      <c r="B284" s="87" t="s">
        <v>3112</v>
      </c>
      <c r="C284" s="514" t="s">
        <v>3113</v>
      </c>
      <c r="D284" s="87">
        <v>18000</v>
      </c>
      <c r="E284" s="87">
        <v>205</v>
      </c>
      <c r="F284" s="563">
        <f t="shared" si="12"/>
        <v>18000</v>
      </c>
      <c r="G284" s="87">
        <f t="shared" si="8"/>
        <v>0</v>
      </c>
      <c r="H284" s="690"/>
      <c r="I284" s="693"/>
      <c r="J284" s="692"/>
      <c r="K284" s="692"/>
    </row>
    <row r="285" spans="1:11" ht="15" customHeight="1" x14ac:dyDescent="0.25">
      <c r="A285" s="728">
        <f t="shared" si="11"/>
        <v>88.105726872246692</v>
      </c>
      <c r="B285" s="87" t="s">
        <v>3112</v>
      </c>
      <c r="C285" s="514" t="s">
        <v>3069</v>
      </c>
      <c r="D285" s="87">
        <v>20000</v>
      </c>
      <c r="E285" s="87">
        <v>227</v>
      </c>
      <c r="F285" s="563">
        <f t="shared" si="12"/>
        <v>20000</v>
      </c>
      <c r="G285" s="87">
        <f t="shared" si="8"/>
        <v>0</v>
      </c>
      <c r="H285" s="690"/>
      <c r="I285" s="693"/>
      <c r="J285" s="692"/>
      <c r="K285" s="692"/>
    </row>
    <row r="286" spans="1:11" ht="15" customHeight="1" x14ac:dyDescent="0.25">
      <c r="A286" s="728">
        <f t="shared" si="11"/>
        <v>87.804878048780495</v>
      </c>
      <c r="B286" s="87" t="s">
        <v>3112</v>
      </c>
      <c r="C286" s="514" t="s">
        <v>3114</v>
      </c>
      <c r="D286" s="87">
        <v>18000</v>
      </c>
      <c r="E286" s="87">
        <v>205</v>
      </c>
      <c r="F286" s="563">
        <f t="shared" si="12"/>
        <v>18000</v>
      </c>
      <c r="G286" s="87">
        <f t="shared" si="8"/>
        <v>0</v>
      </c>
      <c r="H286" s="690"/>
      <c r="I286" s="693"/>
      <c r="J286" s="692"/>
      <c r="K286" s="692"/>
    </row>
    <row r="287" spans="1:11" ht="15" customHeight="1" x14ac:dyDescent="0.25">
      <c r="A287" s="728">
        <f t="shared" si="11"/>
        <v>87.774294670846402</v>
      </c>
      <c r="B287" s="87" t="s">
        <v>3112</v>
      </c>
      <c r="C287" s="514" t="s">
        <v>3115</v>
      </c>
      <c r="D287" s="87">
        <v>28000</v>
      </c>
      <c r="E287" s="87">
        <v>319</v>
      </c>
      <c r="F287" s="563">
        <f t="shared" si="12"/>
        <v>28000</v>
      </c>
      <c r="G287" s="87">
        <f t="shared" si="8"/>
        <v>0</v>
      </c>
      <c r="H287" s="690"/>
      <c r="I287" s="693"/>
      <c r="J287" s="692"/>
      <c r="K287" s="692"/>
    </row>
    <row r="288" spans="1:11" ht="15" customHeight="1" x14ac:dyDescent="0.25">
      <c r="A288" s="728">
        <f t="shared" si="11"/>
        <v>88.235294117647058</v>
      </c>
      <c r="B288" s="87" t="s">
        <v>3112</v>
      </c>
      <c r="C288" s="514" t="s">
        <v>3116</v>
      </c>
      <c r="D288" s="87">
        <v>6000</v>
      </c>
      <c r="E288" s="87">
        <v>68</v>
      </c>
      <c r="F288" s="563">
        <f t="shared" si="12"/>
        <v>6000</v>
      </c>
      <c r="G288" s="87">
        <f t="shared" si="8"/>
        <v>0</v>
      </c>
      <c r="H288" s="690"/>
      <c r="I288" s="693"/>
      <c r="J288" s="692"/>
      <c r="K288" s="692"/>
    </row>
    <row r="289" spans="1:11" ht="15" customHeight="1" x14ac:dyDescent="0.25">
      <c r="A289" s="728">
        <f t="shared" si="11"/>
        <v>88.235294117647058</v>
      </c>
      <c r="B289" s="87" t="s">
        <v>3112</v>
      </c>
      <c r="C289" s="514" t="s">
        <v>3117</v>
      </c>
      <c r="D289" s="87">
        <v>6000</v>
      </c>
      <c r="E289" s="87">
        <v>68</v>
      </c>
      <c r="F289" s="563">
        <f t="shared" si="12"/>
        <v>6000</v>
      </c>
      <c r="G289" s="87">
        <f t="shared" si="8"/>
        <v>0</v>
      </c>
      <c r="H289" s="690"/>
      <c r="I289" s="693"/>
      <c r="J289" s="692"/>
      <c r="K289" s="692"/>
    </row>
    <row r="290" spans="1:11" ht="15" customHeight="1" x14ac:dyDescent="0.25">
      <c r="A290" s="728">
        <f t="shared" si="11"/>
        <v>88</v>
      </c>
      <c r="B290" s="87" t="s">
        <v>3112</v>
      </c>
      <c r="C290" s="514" t="s">
        <v>3118</v>
      </c>
      <c r="D290" s="87">
        <v>22000</v>
      </c>
      <c r="E290" s="87">
        <v>250</v>
      </c>
      <c r="F290" s="563">
        <f t="shared" si="12"/>
        <v>22000</v>
      </c>
      <c r="G290" s="87">
        <f t="shared" si="8"/>
        <v>0</v>
      </c>
      <c r="H290" s="690"/>
      <c r="I290" s="693"/>
      <c r="J290" s="692"/>
      <c r="K290" s="692"/>
    </row>
    <row r="291" spans="1:11" ht="15" customHeight="1" x14ac:dyDescent="0.25">
      <c r="A291" s="728">
        <f t="shared" si="11"/>
        <v>88</v>
      </c>
      <c r="B291" s="87" t="s">
        <v>3112</v>
      </c>
      <c r="C291" s="514" t="s">
        <v>3119</v>
      </c>
      <c r="D291" s="87">
        <v>22000</v>
      </c>
      <c r="E291" s="87">
        <v>250</v>
      </c>
      <c r="F291" s="563">
        <f t="shared" si="12"/>
        <v>22000</v>
      </c>
      <c r="G291" s="87">
        <f t="shared" si="8"/>
        <v>0</v>
      </c>
      <c r="H291" s="690"/>
      <c r="I291" s="693"/>
      <c r="J291" s="692"/>
      <c r="K291" s="692"/>
    </row>
    <row r="292" spans="1:11" ht="15" customHeight="1" x14ac:dyDescent="0.25">
      <c r="A292" s="728">
        <f t="shared" si="11"/>
        <v>88.028169014084511</v>
      </c>
      <c r="B292" s="87" t="s">
        <v>3112</v>
      </c>
      <c r="C292" s="514" t="s">
        <v>3120</v>
      </c>
      <c r="D292" s="87">
        <v>25000</v>
      </c>
      <c r="E292" s="87">
        <v>284</v>
      </c>
      <c r="F292" s="563">
        <f t="shared" si="12"/>
        <v>25000</v>
      </c>
      <c r="G292" s="87">
        <f t="shared" si="8"/>
        <v>0</v>
      </c>
      <c r="H292" s="690"/>
      <c r="I292" s="693"/>
      <c r="J292" s="692"/>
      <c r="K292" s="692"/>
    </row>
    <row r="293" spans="1:11" ht="15" customHeight="1" x14ac:dyDescent="0.25">
      <c r="A293" s="728">
        <f t="shared" ref="A293:A356" si="15">D293/E293</f>
        <v>87.912087912087912</v>
      </c>
      <c r="B293" s="87" t="s">
        <v>3112</v>
      </c>
      <c r="C293" s="514" t="s">
        <v>1924</v>
      </c>
      <c r="D293" s="87">
        <v>16000</v>
      </c>
      <c r="E293" s="87">
        <v>182</v>
      </c>
      <c r="F293" s="563">
        <f t="shared" si="12"/>
        <v>16000</v>
      </c>
      <c r="G293" s="87">
        <f t="shared" si="8"/>
        <v>0</v>
      </c>
      <c r="H293" s="690"/>
      <c r="I293" s="693"/>
      <c r="J293" s="692"/>
      <c r="K293" s="692"/>
    </row>
    <row r="294" spans="1:11" ht="15" customHeight="1" x14ac:dyDescent="0.25">
      <c r="A294" s="728">
        <f t="shared" si="15"/>
        <v>98.901098901098905</v>
      </c>
      <c r="B294" s="87" t="s">
        <v>3112</v>
      </c>
      <c r="C294" s="514" t="s">
        <v>3121</v>
      </c>
      <c r="D294" s="87">
        <v>18000</v>
      </c>
      <c r="E294" s="87">
        <v>182</v>
      </c>
      <c r="F294" s="563">
        <f t="shared" si="12"/>
        <v>18000</v>
      </c>
      <c r="G294" s="87">
        <f t="shared" si="8"/>
        <v>0</v>
      </c>
      <c r="H294" s="690"/>
      <c r="I294" s="693"/>
      <c r="J294" s="692"/>
      <c r="K294" s="692"/>
    </row>
    <row r="295" spans="1:11" ht="15" customHeight="1" x14ac:dyDescent="0.25">
      <c r="A295" s="728">
        <f t="shared" si="15"/>
        <v>87.912087912087912</v>
      </c>
      <c r="B295" s="87" t="s">
        <v>3112</v>
      </c>
      <c r="C295" s="514" t="s">
        <v>30</v>
      </c>
      <c r="D295" s="87">
        <v>8000</v>
      </c>
      <c r="E295" s="87">
        <v>91</v>
      </c>
      <c r="F295" s="563">
        <f t="shared" si="12"/>
        <v>8000</v>
      </c>
      <c r="G295" s="87">
        <f t="shared" si="8"/>
        <v>0</v>
      </c>
      <c r="H295" s="690"/>
      <c r="I295" s="693"/>
      <c r="J295" s="692"/>
      <c r="K295" s="692"/>
    </row>
    <row r="296" spans="1:11" ht="15" customHeight="1" x14ac:dyDescent="0.25">
      <c r="A296" s="728">
        <f t="shared" si="15"/>
        <v>88.028169014084511</v>
      </c>
      <c r="B296" s="87" t="s">
        <v>3112</v>
      </c>
      <c r="C296" s="514" t="s">
        <v>2606</v>
      </c>
      <c r="D296" s="87">
        <v>25000</v>
      </c>
      <c r="E296" s="87">
        <v>284</v>
      </c>
      <c r="F296" s="563">
        <f t="shared" si="12"/>
        <v>25000</v>
      </c>
      <c r="G296" s="87">
        <f t="shared" si="8"/>
        <v>0</v>
      </c>
      <c r="H296" s="690"/>
      <c r="I296" s="693"/>
      <c r="J296" s="692"/>
      <c r="K296" s="692"/>
    </row>
    <row r="297" spans="1:11" ht="15" customHeight="1" x14ac:dyDescent="0.25">
      <c r="A297" s="728">
        <f t="shared" si="15"/>
        <v>87.976539589442808</v>
      </c>
      <c r="B297" s="87" t="s">
        <v>3112</v>
      </c>
      <c r="C297" s="514" t="s">
        <v>2631</v>
      </c>
      <c r="D297" s="87">
        <v>30000</v>
      </c>
      <c r="E297" s="87">
        <v>341</v>
      </c>
      <c r="F297" s="563">
        <f t="shared" si="12"/>
        <v>30000</v>
      </c>
      <c r="G297" s="87">
        <f t="shared" si="8"/>
        <v>0</v>
      </c>
      <c r="H297" s="690"/>
      <c r="I297" s="693"/>
      <c r="J297" s="692"/>
      <c r="K297" s="692"/>
    </row>
    <row r="298" spans="1:11" ht="15" customHeight="1" x14ac:dyDescent="0.25">
      <c r="A298" s="728">
        <f t="shared" si="15"/>
        <v>89.743589743589737</v>
      </c>
      <c r="B298" s="87" t="s">
        <v>3112</v>
      </c>
      <c r="C298" s="514" t="s">
        <v>2242</v>
      </c>
      <c r="D298" s="87">
        <v>28000</v>
      </c>
      <c r="E298" s="87">
        <v>312</v>
      </c>
      <c r="F298" s="563">
        <f t="shared" si="12"/>
        <v>28000</v>
      </c>
      <c r="G298" s="87">
        <f t="shared" si="8"/>
        <v>0</v>
      </c>
      <c r="H298" s="690"/>
      <c r="I298" s="693"/>
      <c r="J298" s="692"/>
      <c r="K298" s="692"/>
    </row>
    <row r="299" spans="1:11" ht="15" customHeight="1" x14ac:dyDescent="0.25">
      <c r="A299" s="728">
        <f t="shared" si="15"/>
        <v>87.837837837837839</v>
      </c>
      <c r="B299" s="87" t="s">
        <v>3112</v>
      </c>
      <c r="C299" s="514" t="s">
        <v>3122</v>
      </c>
      <c r="D299" s="87">
        <v>13000</v>
      </c>
      <c r="E299" s="87">
        <v>148</v>
      </c>
      <c r="F299" s="563">
        <f t="shared" si="12"/>
        <v>13000</v>
      </c>
      <c r="G299" s="87">
        <f t="shared" si="8"/>
        <v>0</v>
      </c>
      <c r="H299" s="690"/>
      <c r="I299" s="693"/>
      <c r="J299" s="692"/>
      <c r="K299" s="692"/>
    </row>
    <row r="300" spans="1:11" ht="15" customHeight="1" x14ac:dyDescent="0.25">
      <c r="A300" s="728">
        <f t="shared" si="15"/>
        <v>95.419847328244273</v>
      </c>
      <c r="B300" s="87" t="s">
        <v>3112</v>
      </c>
      <c r="C300" s="514" t="s">
        <v>2308</v>
      </c>
      <c r="D300" s="87">
        <v>25000</v>
      </c>
      <c r="E300" s="87">
        <v>262</v>
      </c>
      <c r="F300" s="563">
        <f t="shared" si="12"/>
        <v>25000</v>
      </c>
      <c r="G300" s="87">
        <f t="shared" si="8"/>
        <v>0</v>
      </c>
      <c r="H300" s="690"/>
      <c r="I300" s="693"/>
      <c r="J300" s="692"/>
      <c r="K300" s="692"/>
    </row>
    <row r="301" spans="1:11" ht="15" customHeight="1" x14ac:dyDescent="0.25">
      <c r="A301" s="728">
        <f t="shared" si="15"/>
        <v>88.028169014084511</v>
      </c>
      <c r="B301" s="87" t="s">
        <v>3112</v>
      </c>
      <c r="C301" s="514" t="s">
        <v>3123</v>
      </c>
      <c r="D301" s="87">
        <v>25000</v>
      </c>
      <c r="E301" s="87">
        <v>284</v>
      </c>
      <c r="F301" s="563">
        <f t="shared" si="12"/>
        <v>25000</v>
      </c>
      <c r="G301" s="87">
        <f t="shared" si="8"/>
        <v>0</v>
      </c>
      <c r="H301" s="690"/>
      <c r="I301" s="693"/>
      <c r="J301" s="692"/>
      <c r="K301" s="692"/>
    </row>
    <row r="302" spans="1:11" ht="15" customHeight="1" x14ac:dyDescent="0.25">
      <c r="A302" s="728">
        <f t="shared" si="15"/>
        <v>96.899224806201545</v>
      </c>
      <c r="B302" s="87" t="s">
        <v>3112</v>
      </c>
      <c r="C302" s="514" t="s">
        <v>3124</v>
      </c>
      <c r="D302" s="87">
        <v>25000</v>
      </c>
      <c r="E302" s="87">
        <v>258</v>
      </c>
      <c r="F302" s="563">
        <f t="shared" si="12"/>
        <v>25000</v>
      </c>
      <c r="G302" s="87">
        <f t="shared" si="8"/>
        <v>0</v>
      </c>
      <c r="H302" s="690"/>
      <c r="I302" s="693"/>
      <c r="J302" s="692"/>
      <c r="K302" s="692"/>
    </row>
    <row r="303" spans="1:11" ht="15" customHeight="1" x14ac:dyDescent="0.25">
      <c r="A303" s="728">
        <f t="shared" si="15"/>
        <v>88.039867109634557</v>
      </c>
      <c r="B303" s="87" t="s">
        <v>3112</v>
      </c>
      <c r="C303" s="514" t="s">
        <v>2430</v>
      </c>
      <c r="D303" s="87">
        <v>26500</v>
      </c>
      <c r="E303" s="87">
        <v>301</v>
      </c>
      <c r="F303" s="563">
        <f t="shared" si="12"/>
        <v>26500</v>
      </c>
      <c r="G303" s="87">
        <f t="shared" si="8"/>
        <v>0</v>
      </c>
      <c r="H303" s="690"/>
      <c r="I303" s="693"/>
      <c r="J303" s="692"/>
      <c r="K303" s="692"/>
    </row>
    <row r="304" spans="1:11" ht="15" customHeight="1" x14ac:dyDescent="0.25">
      <c r="A304" s="728">
        <f t="shared" si="15"/>
        <v>87.912087912087912</v>
      </c>
      <c r="B304" s="87" t="s">
        <v>3112</v>
      </c>
      <c r="C304" s="514" t="s">
        <v>3125</v>
      </c>
      <c r="D304" s="87">
        <v>8000</v>
      </c>
      <c r="E304" s="87">
        <v>91</v>
      </c>
      <c r="F304" s="563">
        <f t="shared" si="12"/>
        <v>8000</v>
      </c>
      <c r="G304" s="87">
        <f t="shared" si="8"/>
        <v>0</v>
      </c>
      <c r="H304" s="690"/>
      <c r="I304" s="693"/>
      <c r="J304" s="692"/>
      <c r="K304" s="692"/>
    </row>
    <row r="305" spans="1:11" ht="15" customHeight="1" x14ac:dyDescent="0.25">
      <c r="A305" s="728">
        <f t="shared" si="15"/>
        <v>87.912087912087912</v>
      </c>
      <c r="B305" s="87" t="s">
        <v>3112</v>
      </c>
      <c r="C305" s="514" t="s">
        <v>3126</v>
      </c>
      <c r="D305" s="87">
        <v>8000</v>
      </c>
      <c r="E305" s="87">
        <v>91</v>
      </c>
      <c r="F305" s="563">
        <f t="shared" si="12"/>
        <v>8000</v>
      </c>
      <c r="G305" s="87">
        <f t="shared" si="8"/>
        <v>0</v>
      </c>
      <c r="H305" s="690"/>
      <c r="I305" s="693"/>
      <c r="J305" s="692"/>
      <c r="K305" s="692"/>
    </row>
    <row r="306" spans="1:11" ht="15" customHeight="1" x14ac:dyDescent="0.25">
      <c r="A306" s="728">
        <f t="shared" si="15"/>
        <v>87.912087912087912</v>
      </c>
      <c r="B306" s="87" t="s">
        <v>3112</v>
      </c>
      <c r="C306" s="514" t="s">
        <v>3127</v>
      </c>
      <c r="D306" s="87">
        <v>8000</v>
      </c>
      <c r="E306" s="87">
        <v>91</v>
      </c>
      <c r="F306" s="563">
        <f t="shared" si="12"/>
        <v>8000</v>
      </c>
      <c r="G306" s="87">
        <f t="shared" si="8"/>
        <v>0</v>
      </c>
      <c r="H306" s="690"/>
      <c r="I306" s="693"/>
      <c r="J306" s="692"/>
      <c r="K306" s="692"/>
    </row>
    <row r="307" spans="1:11" ht="15" customHeight="1" x14ac:dyDescent="0.25">
      <c r="A307" s="728">
        <f t="shared" si="15"/>
        <v>89.285714285714292</v>
      </c>
      <c r="B307" s="87" t="s">
        <v>3112</v>
      </c>
      <c r="C307" s="514" t="s">
        <v>3128</v>
      </c>
      <c r="D307" s="87">
        <v>5000</v>
      </c>
      <c r="E307" s="87">
        <v>56</v>
      </c>
      <c r="F307" s="563">
        <f t="shared" si="12"/>
        <v>5000</v>
      </c>
      <c r="G307" s="87">
        <f t="shared" si="8"/>
        <v>0</v>
      </c>
      <c r="H307" s="690"/>
      <c r="I307" s="693"/>
      <c r="J307" s="692"/>
      <c r="K307" s="692"/>
    </row>
    <row r="308" spans="1:11" ht="15" customHeight="1" x14ac:dyDescent="0.25">
      <c r="A308" s="728">
        <f t="shared" si="15"/>
        <v>93.023255813953483</v>
      </c>
      <c r="B308" s="87" t="s">
        <v>3112</v>
      </c>
      <c r="C308" s="514" t="s">
        <v>3129</v>
      </c>
      <c r="D308" s="87">
        <v>24000</v>
      </c>
      <c r="E308" s="87">
        <v>258</v>
      </c>
      <c r="F308" s="563">
        <f t="shared" si="12"/>
        <v>24000</v>
      </c>
      <c r="G308" s="87">
        <f t="shared" si="8"/>
        <v>0</v>
      </c>
      <c r="H308" s="690"/>
      <c r="I308" s="693"/>
      <c r="J308" s="692"/>
      <c r="K308" s="692"/>
    </row>
    <row r="309" spans="1:11" ht="15" customHeight="1" x14ac:dyDescent="0.25">
      <c r="A309" s="728">
        <f t="shared" si="15"/>
        <v>88.235294117647058</v>
      </c>
      <c r="B309" s="87" t="s">
        <v>3130</v>
      </c>
      <c r="C309" s="514" t="s">
        <v>3132</v>
      </c>
      <c r="D309" s="87">
        <v>15000</v>
      </c>
      <c r="E309" s="87">
        <v>170</v>
      </c>
      <c r="F309" s="563">
        <f t="shared" si="12"/>
        <v>15000</v>
      </c>
      <c r="G309" s="87">
        <f t="shared" si="8"/>
        <v>0</v>
      </c>
      <c r="H309" s="690"/>
      <c r="I309" s="693"/>
      <c r="J309" s="692"/>
      <c r="K309" s="692"/>
    </row>
    <row r="310" spans="1:11" ht="15" customHeight="1" x14ac:dyDescent="0.25">
      <c r="A310" s="728">
        <f t="shared" si="15"/>
        <v>87.24832214765101</v>
      </c>
      <c r="B310" s="87" t="s">
        <v>3130</v>
      </c>
      <c r="C310" s="514" t="s">
        <v>3133</v>
      </c>
      <c r="D310" s="87">
        <v>26000</v>
      </c>
      <c r="E310" s="87">
        <v>298</v>
      </c>
      <c r="F310" s="563">
        <f t="shared" si="12"/>
        <v>26000</v>
      </c>
      <c r="G310" s="87">
        <f t="shared" si="8"/>
        <v>0</v>
      </c>
      <c r="H310" s="690"/>
      <c r="I310" s="693"/>
      <c r="J310" s="692"/>
      <c r="K310" s="692"/>
    </row>
    <row r="311" spans="1:11" ht="15" customHeight="1" x14ac:dyDescent="0.25">
      <c r="A311" s="728">
        <f t="shared" si="15"/>
        <v>87.976539589442808</v>
      </c>
      <c r="B311" s="87" t="s">
        <v>3130</v>
      </c>
      <c r="C311" s="514" t="s">
        <v>3134</v>
      </c>
      <c r="D311" s="87">
        <v>30000</v>
      </c>
      <c r="E311" s="87">
        <v>341</v>
      </c>
      <c r="F311" s="563">
        <f t="shared" si="12"/>
        <v>30000</v>
      </c>
      <c r="G311" s="87">
        <f t="shared" si="8"/>
        <v>0</v>
      </c>
      <c r="H311" s="690"/>
      <c r="I311" s="693"/>
      <c r="J311" s="692"/>
      <c r="K311" s="692"/>
    </row>
    <row r="312" spans="1:11" ht="15" customHeight="1" x14ac:dyDescent="0.25">
      <c r="A312" s="728">
        <f t="shared" si="15"/>
        <v>87.976539589442808</v>
      </c>
      <c r="B312" s="87" t="s">
        <v>3130</v>
      </c>
      <c r="C312" s="514" t="s">
        <v>3135</v>
      </c>
      <c r="D312" s="87">
        <v>30000</v>
      </c>
      <c r="E312" s="87">
        <v>341</v>
      </c>
      <c r="F312" s="563">
        <f t="shared" si="12"/>
        <v>30000</v>
      </c>
      <c r="G312" s="87">
        <f t="shared" si="8"/>
        <v>0</v>
      </c>
      <c r="H312" s="690"/>
      <c r="I312" s="693"/>
      <c r="J312" s="692"/>
      <c r="K312" s="692"/>
    </row>
    <row r="313" spans="1:11" ht="15" customHeight="1" x14ac:dyDescent="0.25">
      <c r="A313" s="728">
        <f t="shared" si="15"/>
        <v>88.105726872246692</v>
      </c>
      <c r="B313" s="87" t="s">
        <v>3130</v>
      </c>
      <c r="C313" s="514" t="s">
        <v>3136</v>
      </c>
      <c r="D313" s="87">
        <v>20000</v>
      </c>
      <c r="E313" s="87">
        <v>227</v>
      </c>
      <c r="F313" s="563">
        <f t="shared" si="12"/>
        <v>20000</v>
      </c>
      <c r="G313" s="87">
        <f t="shared" si="8"/>
        <v>0</v>
      </c>
      <c r="H313" s="690"/>
      <c r="I313" s="693"/>
      <c r="J313" s="692"/>
      <c r="K313" s="692"/>
    </row>
    <row r="314" spans="1:11" ht="15" customHeight="1" x14ac:dyDescent="0.25">
      <c r="A314" s="728">
        <f t="shared" si="15"/>
        <v>88.235294117647058</v>
      </c>
      <c r="B314" s="87" t="s">
        <v>3130</v>
      </c>
      <c r="C314" s="87" t="s">
        <v>17</v>
      </c>
      <c r="D314" s="87">
        <v>3000</v>
      </c>
      <c r="E314" s="87">
        <v>34</v>
      </c>
      <c r="F314" s="563">
        <f t="shared" si="12"/>
        <v>3000</v>
      </c>
      <c r="G314" s="87">
        <f t="shared" si="8"/>
        <v>0</v>
      </c>
      <c r="H314" s="690"/>
      <c r="I314" s="693"/>
      <c r="J314" s="692"/>
      <c r="K314" s="692"/>
    </row>
    <row r="315" spans="1:11" ht="15" customHeight="1" x14ac:dyDescent="0.25">
      <c r="A315" s="728">
        <f t="shared" si="15"/>
        <v>88.495575221238937</v>
      </c>
      <c r="B315" s="87" t="s">
        <v>3130</v>
      </c>
      <c r="C315" s="87" t="s">
        <v>30</v>
      </c>
      <c r="D315" s="87">
        <v>10000</v>
      </c>
      <c r="E315" s="87">
        <v>113</v>
      </c>
      <c r="F315" s="563">
        <f t="shared" si="12"/>
        <v>10000</v>
      </c>
      <c r="G315" s="87">
        <f t="shared" si="8"/>
        <v>0</v>
      </c>
      <c r="H315" s="690"/>
      <c r="I315" s="693"/>
      <c r="J315" s="692"/>
      <c r="K315" s="692"/>
    </row>
    <row r="316" spans="1:11" ht="15" customHeight="1" x14ac:dyDescent="0.25">
      <c r="A316" s="728">
        <f t="shared" si="15"/>
        <v>88.634146341463421</v>
      </c>
      <c r="B316" s="87" t="s">
        <v>3130</v>
      </c>
      <c r="C316" s="87" t="s">
        <v>30</v>
      </c>
      <c r="D316" s="87">
        <v>7268</v>
      </c>
      <c r="E316" s="87">
        <v>82</v>
      </c>
      <c r="F316" s="563">
        <f t="shared" si="12"/>
        <v>7268</v>
      </c>
      <c r="G316" s="87">
        <f t="shared" si="8"/>
        <v>0</v>
      </c>
      <c r="H316" s="690"/>
      <c r="I316" s="693"/>
      <c r="J316" s="692"/>
      <c r="K316" s="692"/>
    </row>
    <row r="317" spans="1:11" ht="15" customHeight="1" x14ac:dyDescent="0.25">
      <c r="A317" s="728">
        <f t="shared" si="15"/>
        <v>87.774294670846402</v>
      </c>
      <c r="B317" s="87" t="s">
        <v>3130</v>
      </c>
      <c r="C317" s="514" t="s">
        <v>2563</v>
      </c>
      <c r="D317" s="87">
        <v>28000</v>
      </c>
      <c r="E317" s="87">
        <v>319</v>
      </c>
      <c r="F317" s="563">
        <f t="shared" si="12"/>
        <v>28000</v>
      </c>
      <c r="G317" s="87">
        <f t="shared" si="8"/>
        <v>0</v>
      </c>
      <c r="H317" s="690"/>
      <c r="I317" s="693"/>
      <c r="J317" s="692"/>
      <c r="K317" s="692"/>
    </row>
    <row r="318" spans="1:11" ht="15" customHeight="1" x14ac:dyDescent="0.25">
      <c r="A318" s="728">
        <f t="shared" si="15"/>
        <v>87.774294670846402</v>
      </c>
      <c r="B318" s="87" t="s">
        <v>3130</v>
      </c>
      <c r="C318" s="514" t="s">
        <v>3137</v>
      </c>
      <c r="D318" s="87">
        <v>28000</v>
      </c>
      <c r="E318" s="87">
        <v>319</v>
      </c>
      <c r="F318" s="563">
        <f t="shared" si="12"/>
        <v>28000</v>
      </c>
      <c r="G318" s="87">
        <f t="shared" si="8"/>
        <v>0</v>
      </c>
      <c r="H318" s="690"/>
      <c r="I318" s="693"/>
      <c r="J318" s="692"/>
      <c r="K318" s="692"/>
    </row>
    <row r="319" spans="1:11" ht="15" customHeight="1" x14ac:dyDescent="0.25">
      <c r="A319" s="728">
        <f t="shared" si="15"/>
        <v>86.956521739130437</v>
      </c>
      <c r="B319" s="87" t="s">
        <v>3130</v>
      </c>
      <c r="C319" s="739" t="s">
        <v>3138</v>
      </c>
      <c r="D319" s="87">
        <v>12000</v>
      </c>
      <c r="E319" s="87">
        <v>138</v>
      </c>
      <c r="F319" s="563">
        <f t="shared" si="12"/>
        <v>12000</v>
      </c>
      <c r="G319" s="87">
        <f t="shared" si="8"/>
        <v>0</v>
      </c>
      <c r="H319" s="690"/>
      <c r="I319" s="693"/>
      <c r="J319" s="692"/>
      <c r="K319" s="692"/>
    </row>
    <row r="320" spans="1:11" ht="15" customHeight="1" x14ac:dyDescent="0.25">
      <c r="A320" s="728">
        <f t="shared" si="15"/>
        <v>88.235294117647058</v>
      </c>
      <c r="B320" s="87" t="s">
        <v>3130</v>
      </c>
      <c r="C320" s="514" t="s">
        <v>3139</v>
      </c>
      <c r="D320" s="87">
        <v>15000</v>
      </c>
      <c r="E320" s="87">
        <v>170</v>
      </c>
      <c r="F320" s="563">
        <f t="shared" si="12"/>
        <v>15000</v>
      </c>
      <c r="G320" s="87">
        <f t="shared" si="8"/>
        <v>0</v>
      </c>
      <c r="H320" s="690"/>
      <c r="I320" s="693"/>
      <c r="J320" s="692"/>
      <c r="K320" s="692"/>
    </row>
    <row r="321" spans="1:11" ht="15" customHeight="1" x14ac:dyDescent="0.25">
      <c r="A321" s="728">
        <f t="shared" si="15"/>
        <v>88.105726872246692</v>
      </c>
      <c r="B321" s="87" t="s">
        <v>3130</v>
      </c>
      <c r="C321" s="514" t="s">
        <v>3144</v>
      </c>
      <c r="D321" s="87">
        <v>20000</v>
      </c>
      <c r="E321" s="87">
        <v>227</v>
      </c>
      <c r="F321" s="563">
        <f t="shared" si="12"/>
        <v>20000</v>
      </c>
      <c r="G321" s="87">
        <f t="shared" si="8"/>
        <v>0</v>
      </c>
      <c r="H321" s="690"/>
      <c r="I321" s="693"/>
      <c r="J321" s="692"/>
      <c r="K321" s="692"/>
    </row>
    <row r="322" spans="1:11" ht="15" customHeight="1" x14ac:dyDescent="0.25">
      <c r="A322" s="728">
        <f t="shared" si="15"/>
        <v>88.105726872246692</v>
      </c>
      <c r="B322" s="87" t="s">
        <v>3130</v>
      </c>
      <c r="C322" s="514" t="s">
        <v>3140</v>
      </c>
      <c r="D322" s="87">
        <v>20000</v>
      </c>
      <c r="E322" s="87">
        <v>227</v>
      </c>
      <c r="F322" s="563">
        <f t="shared" si="12"/>
        <v>20000</v>
      </c>
      <c r="G322" s="87">
        <f t="shared" si="8"/>
        <v>0</v>
      </c>
      <c r="H322" s="690"/>
      <c r="I322" s="693"/>
      <c r="J322" s="692"/>
      <c r="K322" s="692"/>
    </row>
    <row r="323" spans="1:11" ht="15" customHeight="1" x14ac:dyDescent="0.25">
      <c r="A323" s="728">
        <f t="shared" si="15"/>
        <v>88.495575221238937</v>
      </c>
      <c r="B323" s="87" t="s">
        <v>3130</v>
      </c>
      <c r="C323" s="514" t="s">
        <v>3145</v>
      </c>
      <c r="D323" s="87">
        <v>10000</v>
      </c>
      <c r="E323" s="87">
        <v>113</v>
      </c>
      <c r="F323" s="563">
        <f t="shared" si="12"/>
        <v>10000</v>
      </c>
      <c r="G323" s="87">
        <f t="shared" si="8"/>
        <v>0</v>
      </c>
      <c r="H323" s="690"/>
      <c r="I323" s="693"/>
      <c r="J323" s="692"/>
      <c r="K323" s="692"/>
    </row>
    <row r="324" spans="1:11" ht="15" customHeight="1" x14ac:dyDescent="0.25">
      <c r="A324" s="728">
        <f t="shared" si="15"/>
        <v>88.495575221238937</v>
      </c>
      <c r="B324" s="87" t="s">
        <v>3130</v>
      </c>
      <c r="C324" s="514" t="s">
        <v>3141</v>
      </c>
      <c r="D324" s="87">
        <v>10000</v>
      </c>
      <c r="E324" s="87">
        <v>113</v>
      </c>
      <c r="F324" s="563">
        <f t="shared" si="12"/>
        <v>10000</v>
      </c>
      <c r="G324" s="87">
        <f t="shared" si="8"/>
        <v>0</v>
      </c>
      <c r="H324" s="690"/>
      <c r="I324" s="693"/>
      <c r="J324" s="692"/>
      <c r="K324" s="692"/>
    </row>
    <row r="325" spans="1:11" ht="15" customHeight="1" x14ac:dyDescent="0.25">
      <c r="A325" s="728">
        <f t="shared" si="15"/>
        <v>87.939698492462313</v>
      </c>
      <c r="B325" s="87" t="s">
        <v>3130</v>
      </c>
      <c r="C325" s="514" t="s">
        <v>2951</v>
      </c>
      <c r="D325" s="87">
        <v>35000</v>
      </c>
      <c r="E325" s="87">
        <v>398</v>
      </c>
      <c r="F325" s="563">
        <f t="shared" si="12"/>
        <v>35000</v>
      </c>
      <c r="G325" s="87">
        <f t="shared" si="8"/>
        <v>0</v>
      </c>
      <c r="H325" s="690"/>
      <c r="I325" s="693"/>
      <c r="J325" s="692"/>
      <c r="K325" s="692"/>
    </row>
    <row r="326" spans="1:11" ht="15" customHeight="1" x14ac:dyDescent="0.25">
      <c r="A326" s="728">
        <f t="shared" si="15"/>
        <v>96.330275229357795</v>
      </c>
      <c r="B326" s="87" t="s">
        <v>3142</v>
      </c>
      <c r="C326" s="514" t="s">
        <v>66</v>
      </c>
      <c r="D326" s="87">
        <v>210</v>
      </c>
      <c r="E326" s="87">
        <v>2.1800000000000002</v>
      </c>
      <c r="F326" s="563">
        <f t="shared" si="12"/>
        <v>210</v>
      </c>
      <c r="G326" s="87">
        <f t="shared" si="8"/>
        <v>0</v>
      </c>
      <c r="H326" s="690"/>
      <c r="I326" s="693"/>
      <c r="J326" s="692"/>
      <c r="K326" s="692"/>
    </row>
    <row r="327" spans="1:11" ht="15" customHeight="1" x14ac:dyDescent="0.25">
      <c r="A327" s="728">
        <f t="shared" si="15"/>
        <v>87.86610878661088</v>
      </c>
      <c r="B327" s="87" t="s">
        <v>3142</v>
      </c>
      <c r="C327" s="514" t="s">
        <v>3146</v>
      </c>
      <c r="D327" s="87">
        <v>42000</v>
      </c>
      <c r="E327" s="87">
        <v>478</v>
      </c>
      <c r="F327" s="563">
        <f t="shared" si="12"/>
        <v>42000</v>
      </c>
      <c r="G327" s="87">
        <f t="shared" si="8"/>
        <v>0</v>
      </c>
      <c r="H327" s="690"/>
      <c r="I327" s="693"/>
      <c r="J327" s="692"/>
      <c r="K327" s="692"/>
    </row>
    <row r="328" spans="1:11" ht="15" customHeight="1" x14ac:dyDescent="0.25">
      <c r="A328" s="728">
        <f t="shared" si="15"/>
        <v>92.511013215859037</v>
      </c>
      <c r="B328" s="87" t="s">
        <v>3142</v>
      </c>
      <c r="C328" s="514" t="s">
        <v>3147</v>
      </c>
      <c r="D328" s="87">
        <v>21000</v>
      </c>
      <c r="E328" s="87">
        <v>227</v>
      </c>
      <c r="F328" s="563">
        <f t="shared" si="12"/>
        <v>21000</v>
      </c>
      <c r="G328" s="87">
        <f t="shared" si="8"/>
        <v>0</v>
      </c>
      <c r="H328" s="690"/>
      <c r="I328" s="693"/>
      <c r="J328" s="692"/>
      <c r="K328" s="692"/>
    </row>
    <row r="329" spans="1:11" ht="15" customHeight="1" x14ac:dyDescent="0.25">
      <c r="A329" s="728">
        <f t="shared" si="15"/>
        <v>87.912087912087912</v>
      </c>
      <c r="B329" s="87" t="s">
        <v>3142</v>
      </c>
      <c r="C329" s="514" t="s">
        <v>1722</v>
      </c>
      <c r="D329" s="87">
        <v>8000</v>
      </c>
      <c r="E329" s="87">
        <v>91</v>
      </c>
      <c r="F329" s="563">
        <f t="shared" si="12"/>
        <v>8000</v>
      </c>
      <c r="G329" s="87">
        <f t="shared" si="8"/>
        <v>0</v>
      </c>
      <c r="H329" s="690"/>
      <c r="I329" s="693"/>
      <c r="J329" s="692"/>
      <c r="K329" s="692"/>
    </row>
    <row r="330" spans="1:11" ht="15" customHeight="1" x14ac:dyDescent="0.25">
      <c r="A330" s="728">
        <f t="shared" si="15"/>
        <v>88.235294117647058</v>
      </c>
      <c r="B330" s="87" t="s">
        <v>3142</v>
      </c>
      <c r="C330" s="514" t="s">
        <v>2547</v>
      </c>
      <c r="D330" s="87">
        <v>15000</v>
      </c>
      <c r="E330" s="87">
        <v>170</v>
      </c>
      <c r="F330" s="563">
        <f t="shared" si="12"/>
        <v>15000</v>
      </c>
      <c r="G330" s="87">
        <f t="shared" si="8"/>
        <v>0</v>
      </c>
      <c r="H330" s="690"/>
      <c r="I330" s="693"/>
      <c r="J330" s="692"/>
      <c r="K330" s="692"/>
    </row>
    <row r="331" spans="1:11" ht="15" customHeight="1" x14ac:dyDescent="0.25">
      <c r="A331" s="728">
        <f t="shared" si="15"/>
        <v>88.105726872246692</v>
      </c>
      <c r="B331" s="87" t="s">
        <v>3142</v>
      </c>
      <c r="C331" s="514" t="s">
        <v>3148</v>
      </c>
      <c r="D331" s="87">
        <v>20000</v>
      </c>
      <c r="E331" s="87">
        <v>227</v>
      </c>
      <c r="F331" s="563">
        <f t="shared" si="12"/>
        <v>20000</v>
      </c>
      <c r="G331" s="87">
        <f t="shared" si="8"/>
        <v>0</v>
      </c>
      <c r="H331" s="690"/>
      <c r="I331" s="693"/>
      <c r="J331" s="692"/>
      <c r="K331" s="692"/>
    </row>
    <row r="332" spans="1:11" ht="15" customHeight="1" x14ac:dyDescent="0.25">
      <c r="A332" s="728">
        <f t="shared" si="15"/>
        <v>88.235294117647058</v>
      </c>
      <c r="B332" s="87" t="s">
        <v>3142</v>
      </c>
      <c r="C332" s="514" t="s">
        <v>2545</v>
      </c>
      <c r="D332" s="87">
        <v>15000</v>
      </c>
      <c r="E332" s="87">
        <v>170</v>
      </c>
      <c r="F332" s="563">
        <f t="shared" si="12"/>
        <v>15000</v>
      </c>
      <c r="G332" s="87">
        <f t="shared" si="8"/>
        <v>0</v>
      </c>
      <c r="H332" s="476"/>
      <c r="J332" s="692"/>
      <c r="K332" s="692"/>
    </row>
    <row r="333" spans="1:11" ht="15" customHeight="1" x14ac:dyDescent="0.25">
      <c r="A333" s="728">
        <f t="shared" si="15"/>
        <v>88.495575221238937</v>
      </c>
      <c r="B333" s="87" t="s">
        <v>3142</v>
      </c>
      <c r="C333" s="514" t="s">
        <v>2133</v>
      </c>
      <c r="D333" s="87">
        <v>10000</v>
      </c>
      <c r="E333" s="87">
        <v>113</v>
      </c>
      <c r="F333" s="563">
        <f t="shared" si="12"/>
        <v>10000</v>
      </c>
      <c r="G333" s="87">
        <f t="shared" si="8"/>
        <v>0</v>
      </c>
      <c r="H333" s="690"/>
      <c r="I333" s="693"/>
      <c r="J333" s="692"/>
      <c r="K333" s="692"/>
    </row>
    <row r="334" spans="1:11" ht="15" customHeight="1" x14ac:dyDescent="0.25">
      <c r="A334" s="728">
        <f t="shared" si="15"/>
        <v>88.050314465408803</v>
      </c>
      <c r="B334" s="87" t="s">
        <v>3142</v>
      </c>
      <c r="C334" s="514" t="s">
        <v>2057</v>
      </c>
      <c r="D334" s="87">
        <v>14000</v>
      </c>
      <c r="E334" s="87">
        <v>159</v>
      </c>
      <c r="F334" s="563">
        <f t="shared" si="12"/>
        <v>14000</v>
      </c>
      <c r="G334" s="87">
        <f t="shared" si="8"/>
        <v>0</v>
      </c>
      <c r="H334" s="690"/>
      <c r="I334" s="693"/>
      <c r="J334" s="692"/>
      <c r="K334" s="692"/>
    </row>
    <row r="335" spans="1:11" ht="15" customHeight="1" x14ac:dyDescent="0.25">
      <c r="A335" s="728">
        <f t="shared" si="15"/>
        <v>93.406593406593402</v>
      </c>
      <c r="B335" s="87" t="s">
        <v>3142</v>
      </c>
      <c r="C335" s="514" t="s">
        <v>2985</v>
      </c>
      <c r="D335" s="87">
        <v>17000</v>
      </c>
      <c r="E335" s="87">
        <v>182</v>
      </c>
      <c r="F335" s="563">
        <f t="shared" si="12"/>
        <v>17000</v>
      </c>
      <c r="G335" s="87">
        <f t="shared" si="8"/>
        <v>0</v>
      </c>
      <c r="H335" s="690"/>
      <c r="I335" s="693"/>
      <c r="J335" s="692"/>
      <c r="K335" s="692"/>
    </row>
    <row r="336" spans="1:11" ht="15" customHeight="1" x14ac:dyDescent="0.25">
      <c r="A336" s="728">
        <f t="shared" si="15"/>
        <v>88.235294117647058</v>
      </c>
      <c r="B336" s="87" t="s">
        <v>3142</v>
      </c>
      <c r="C336" s="514" t="s">
        <v>2546</v>
      </c>
      <c r="D336" s="87">
        <v>15000</v>
      </c>
      <c r="E336" s="87">
        <v>170</v>
      </c>
      <c r="F336" s="563">
        <f t="shared" si="12"/>
        <v>15000</v>
      </c>
      <c r="G336" s="87">
        <f t="shared" si="8"/>
        <v>0</v>
      </c>
      <c r="H336" s="690"/>
      <c r="I336" s="693"/>
      <c r="J336" s="692"/>
      <c r="K336" s="692"/>
    </row>
    <row r="337" spans="1:11" ht="15" customHeight="1" x14ac:dyDescent="0.25">
      <c r="A337" s="728">
        <f t="shared" si="15"/>
        <v>87.86610878661088</v>
      </c>
      <c r="B337" s="87" t="s">
        <v>3142</v>
      </c>
      <c r="C337" s="514" t="s">
        <v>3149</v>
      </c>
      <c r="D337" s="87">
        <v>21000</v>
      </c>
      <c r="E337" s="87">
        <v>239</v>
      </c>
      <c r="F337" s="563">
        <f t="shared" ref="F337:F399" si="16">D337</f>
        <v>21000</v>
      </c>
      <c r="G337" s="87">
        <f t="shared" si="8"/>
        <v>0</v>
      </c>
      <c r="H337" s="690"/>
      <c r="I337" s="693"/>
      <c r="J337" s="692"/>
      <c r="K337" s="692"/>
    </row>
    <row r="338" spans="1:11" ht="15" customHeight="1" x14ac:dyDescent="0.25">
      <c r="A338" s="728">
        <f t="shared" si="15"/>
        <v>87.912087912087912</v>
      </c>
      <c r="B338" s="87" t="s">
        <v>3142</v>
      </c>
      <c r="C338" s="514" t="s">
        <v>1728</v>
      </c>
      <c r="D338" s="87">
        <v>8000</v>
      </c>
      <c r="E338" s="87">
        <v>91</v>
      </c>
      <c r="F338" s="563">
        <f t="shared" si="16"/>
        <v>8000</v>
      </c>
      <c r="G338" s="87">
        <f t="shared" si="8"/>
        <v>0</v>
      </c>
      <c r="H338" s="690"/>
      <c r="I338" s="693"/>
      <c r="J338" s="692"/>
      <c r="K338" s="692"/>
    </row>
    <row r="339" spans="1:11" ht="15" customHeight="1" x14ac:dyDescent="0.25">
      <c r="A339" s="728">
        <f t="shared" si="15"/>
        <v>88.028169014084511</v>
      </c>
      <c r="B339" s="87" t="s">
        <v>3142</v>
      </c>
      <c r="C339" s="514" t="s">
        <v>3150</v>
      </c>
      <c r="D339" s="87">
        <v>25000</v>
      </c>
      <c r="E339" s="87">
        <v>284</v>
      </c>
      <c r="F339" s="563">
        <f t="shared" si="16"/>
        <v>25000</v>
      </c>
      <c r="G339" s="87">
        <f t="shared" si="8"/>
        <v>0</v>
      </c>
      <c r="H339" s="690"/>
      <c r="I339" s="693"/>
      <c r="J339" s="692"/>
      <c r="K339" s="692"/>
    </row>
    <row r="340" spans="1:11" ht="15" customHeight="1" x14ac:dyDescent="0.25">
      <c r="A340" s="728">
        <f t="shared" si="15"/>
        <v>87.804878048780495</v>
      </c>
      <c r="B340" s="87" t="s">
        <v>3142</v>
      </c>
      <c r="C340" s="514" t="s">
        <v>1926</v>
      </c>
      <c r="D340" s="87">
        <v>18000</v>
      </c>
      <c r="E340" s="87">
        <v>205</v>
      </c>
      <c r="F340" s="563">
        <f t="shared" si="16"/>
        <v>18000</v>
      </c>
      <c r="G340" s="87">
        <f t="shared" si="8"/>
        <v>0</v>
      </c>
      <c r="H340" s="690"/>
      <c r="I340" s="693"/>
      <c r="J340" s="692"/>
      <c r="K340" s="692"/>
    </row>
    <row r="341" spans="1:11" ht="15" customHeight="1" x14ac:dyDescent="0.25">
      <c r="A341" s="728">
        <f t="shared" si="15"/>
        <v>91.370558375634516</v>
      </c>
      <c r="B341" s="87" t="s">
        <v>3142</v>
      </c>
      <c r="C341" s="514" t="s">
        <v>1925</v>
      </c>
      <c r="D341" s="87">
        <v>18000</v>
      </c>
      <c r="E341" s="87">
        <v>197</v>
      </c>
      <c r="F341" s="563">
        <f t="shared" si="16"/>
        <v>18000</v>
      </c>
      <c r="G341" s="87">
        <f t="shared" si="8"/>
        <v>0</v>
      </c>
      <c r="H341" s="690"/>
      <c r="I341" s="693"/>
      <c r="J341" s="692"/>
      <c r="K341" s="692"/>
    </row>
    <row r="342" spans="1:11" ht="15" customHeight="1" x14ac:dyDescent="0.25">
      <c r="A342" s="728">
        <f t="shared" si="15"/>
        <v>87.774294670846402</v>
      </c>
      <c r="B342" s="87" t="s">
        <v>3142</v>
      </c>
      <c r="C342" s="514" t="s">
        <v>3151</v>
      </c>
      <c r="D342" s="87">
        <v>28000</v>
      </c>
      <c r="E342" s="87">
        <v>319</v>
      </c>
      <c r="F342" s="563">
        <f t="shared" si="16"/>
        <v>28000</v>
      </c>
      <c r="G342" s="87">
        <f t="shared" si="8"/>
        <v>0</v>
      </c>
      <c r="H342" s="690"/>
      <c r="I342" s="693"/>
      <c r="J342" s="692"/>
      <c r="K342" s="692"/>
    </row>
    <row r="343" spans="1:11" ht="15" customHeight="1" x14ac:dyDescent="0.25">
      <c r="A343" s="728">
        <f t="shared" si="15"/>
        <v>93.632958801498134</v>
      </c>
      <c r="B343" s="87" t="s">
        <v>3142</v>
      </c>
      <c r="C343" s="514" t="s">
        <v>3152</v>
      </c>
      <c r="D343" s="87">
        <v>25000</v>
      </c>
      <c r="E343" s="87">
        <v>267</v>
      </c>
      <c r="F343" s="563">
        <f t="shared" si="16"/>
        <v>25000</v>
      </c>
      <c r="G343" s="87">
        <f t="shared" si="8"/>
        <v>0</v>
      </c>
      <c r="H343" s="690"/>
      <c r="I343" s="693"/>
      <c r="J343" s="692"/>
      <c r="K343" s="692"/>
    </row>
    <row r="344" spans="1:11" ht="15" customHeight="1" x14ac:dyDescent="0.25">
      <c r="A344" s="728">
        <f t="shared" si="15"/>
        <v>95.419847328244273</v>
      </c>
      <c r="B344" s="87" t="s">
        <v>3142</v>
      </c>
      <c r="C344" s="514" t="s">
        <v>3153</v>
      </c>
      <c r="D344" s="87">
        <v>25000</v>
      </c>
      <c r="E344" s="87">
        <v>262</v>
      </c>
      <c r="F344" s="563">
        <f t="shared" si="16"/>
        <v>25000</v>
      </c>
      <c r="G344" s="87">
        <f t="shared" si="8"/>
        <v>0</v>
      </c>
      <c r="H344" s="690"/>
      <c r="I344" s="693"/>
      <c r="J344" s="692"/>
      <c r="K344" s="692"/>
    </row>
    <row r="345" spans="1:11" ht="15" customHeight="1" x14ac:dyDescent="0.25">
      <c r="A345" s="728">
        <f t="shared" si="15"/>
        <v>87.912087912087912</v>
      </c>
      <c r="B345" s="87" t="s">
        <v>3142</v>
      </c>
      <c r="C345" s="514" t="s">
        <v>30</v>
      </c>
      <c r="D345" s="87">
        <v>8000</v>
      </c>
      <c r="E345" s="87">
        <v>91</v>
      </c>
      <c r="F345" s="563">
        <f t="shared" si="16"/>
        <v>8000</v>
      </c>
      <c r="G345" s="87">
        <f t="shared" si="8"/>
        <v>0</v>
      </c>
      <c r="H345" s="690"/>
      <c r="I345" s="693"/>
      <c r="J345" s="692"/>
      <c r="K345" s="692"/>
    </row>
    <row r="346" spans="1:11" ht="15" customHeight="1" x14ac:dyDescent="0.25">
      <c r="A346" s="728">
        <f t="shared" si="15"/>
        <v>87.912087912087912</v>
      </c>
      <c r="B346" s="87" t="s">
        <v>3142</v>
      </c>
      <c r="C346" s="514" t="s">
        <v>3154</v>
      </c>
      <c r="D346" s="87">
        <v>24000</v>
      </c>
      <c r="E346" s="87">
        <v>273</v>
      </c>
      <c r="F346" s="563">
        <f t="shared" si="16"/>
        <v>24000</v>
      </c>
      <c r="G346" s="87">
        <f t="shared" si="8"/>
        <v>0</v>
      </c>
      <c r="H346" s="690"/>
      <c r="I346" s="693"/>
      <c r="J346" s="692"/>
      <c r="K346" s="692"/>
    </row>
    <row r="347" spans="1:11" ht="15" customHeight="1" x14ac:dyDescent="0.25">
      <c r="A347" s="728">
        <f t="shared" si="15"/>
        <v>87.976539589442808</v>
      </c>
      <c r="B347" s="87" t="s">
        <v>3142</v>
      </c>
      <c r="C347" s="514" t="s">
        <v>3155</v>
      </c>
      <c r="D347" s="87">
        <v>30000</v>
      </c>
      <c r="E347" s="87">
        <v>341</v>
      </c>
      <c r="F347" s="563">
        <f t="shared" si="16"/>
        <v>30000</v>
      </c>
      <c r="G347" s="87">
        <f t="shared" si="8"/>
        <v>0</v>
      </c>
      <c r="H347" s="690"/>
      <c r="I347" s="693"/>
      <c r="J347" s="692"/>
      <c r="K347" s="692"/>
    </row>
    <row r="348" spans="1:11" ht="15" customHeight="1" x14ac:dyDescent="0.25">
      <c r="A348" s="728">
        <f t="shared" si="15"/>
        <v>88.028169014084511</v>
      </c>
      <c r="B348" s="87" t="s">
        <v>3142</v>
      </c>
      <c r="C348" s="514" t="s">
        <v>3156</v>
      </c>
      <c r="D348" s="87">
        <v>25000</v>
      </c>
      <c r="E348" s="87">
        <v>284</v>
      </c>
      <c r="F348" s="563">
        <f t="shared" si="16"/>
        <v>25000</v>
      </c>
      <c r="G348" s="87">
        <f t="shared" si="8"/>
        <v>0</v>
      </c>
      <c r="H348" s="690"/>
      <c r="I348" s="693"/>
      <c r="J348" s="692"/>
      <c r="K348" s="692"/>
    </row>
    <row r="349" spans="1:11" ht="15" customHeight="1" x14ac:dyDescent="0.25">
      <c r="A349" s="728">
        <f t="shared" si="15"/>
        <v>88.082901554404145</v>
      </c>
      <c r="B349" s="87" t="s">
        <v>3142</v>
      </c>
      <c r="C349" s="514" t="s">
        <v>2917</v>
      </c>
      <c r="D349" s="87">
        <v>17000</v>
      </c>
      <c r="E349" s="87">
        <v>193</v>
      </c>
      <c r="F349" s="563">
        <f t="shared" si="16"/>
        <v>17000</v>
      </c>
      <c r="G349" s="87">
        <f t="shared" si="8"/>
        <v>0</v>
      </c>
      <c r="H349" s="690"/>
      <c r="I349" s="693"/>
      <c r="J349" s="692"/>
      <c r="K349" s="692"/>
    </row>
    <row r="350" spans="1:11" ht="15" customHeight="1" x14ac:dyDescent="0.25">
      <c r="A350" s="728">
        <f t="shared" si="15"/>
        <v>87.786259541984734</v>
      </c>
      <c r="B350" s="87" t="s">
        <v>3142</v>
      </c>
      <c r="C350" s="514" t="s">
        <v>1968</v>
      </c>
      <c r="D350" s="87">
        <v>23000</v>
      </c>
      <c r="E350" s="87">
        <v>262</v>
      </c>
      <c r="F350" s="563">
        <f t="shared" si="16"/>
        <v>23000</v>
      </c>
      <c r="G350" s="87">
        <f t="shared" si="8"/>
        <v>0</v>
      </c>
      <c r="H350" s="690"/>
      <c r="I350" s="693"/>
      <c r="J350" s="692"/>
      <c r="K350" s="692"/>
    </row>
    <row r="351" spans="1:11" ht="15" customHeight="1" x14ac:dyDescent="0.25">
      <c r="A351" s="728">
        <f t="shared" si="15"/>
        <v>87.86610878661088</v>
      </c>
      <c r="B351" s="87" t="s">
        <v>3142</v>
      </c>
      <c r="C351" s="514" t="s">
        <v>1822</v>
      </c>
      <c r="D351" s="87">
        <v>21000</v>
      </c>
      <c r="E351" s="87">
        <v>239</v>
      </c>
      <c r="F351" s="563">
        <f t="shared" si="16"/>
        <v>21000</v>
      </c>
      <c r="G351" s="87">
        <f t="shared" si="8"/>
        <v>0</v>
      </c>
      <c r="H351" s="690"/>
      <c r="I351" s="693"/>
      <c r="J351" s="692"/>
      <c r="K351" s="692"/>
    </row>
    <row r="352" spans="1:11" ht="15" customHeight="1" x14ac:dyDescent="0.25">
      <c r="A352" s="728">
        <f t="shared" si="15"/>
        <v>88.082901554404145</v>
      </c>
      <c r="B352" s="87" t="s">
        <v>3142</v>
      </c>
      <c r="C352" s="514" t="s">
        <v>3051</v>
      </c>
      <c r="D352" s="87">
        <v>17000</v>
      </c>
      <c r="E352" s="87">
        <v>193</v>
      </c>
      <c r="F352" s="563">
        <f t="shared" si="16"/>
        <v>17000</v>
      </c>
      <c r="G352" s="87">
        <f t="shared" si="8"/>
        <v>0</v>
      </c>
      <c r="H352" s="690"/>
      <c r="I352" s="693"/>
      <c r="J352" s="692"/>
      <c r="K352" s="692"/>
    </row>
    <row r="353" spans="1:11" ht="15" customHeight="1" x14ac:dyDescent="0.25">
      <c r="A353" s="728">
        <f t="shared" si="15"/>
        <v>87.912087912087912</v>
      </c>
      <c r="B353" s="87" t="s">
        <v>3142</v>
      </c>
      <c r="C353" s="514" t="s">
        <v>3157</v>
      </c>
      <c r="D353" s="87">
        <v>8000</v>
      </c>
      <c r="E353" s="87">
        <v>91</v>
      </c>
      <c r="F353" s="563">
        <f t="shared" si="16"/>
        <v>8000</v>
      </c>
      <c r="G353" s="87">
        <f t="shared" si="8"/>
        <v>0</v>
      </c>
      <c r="H353" s="690"/>
      <c r="I353" s="693"/>
      <c r="J353" s="692"/>
      <c r="K353" s="692"/>
    </row>
    <row r="354" spans="1:11" ht="15" customHeight="1" x14ac:dyDescent="0.25">
      <c r="A354" s="728">
        <f t="shared" si="15"/>
        <v>87.912087912087912</v>
      </c>
      <c r="B354" s="87" t="s">
        <v>3142</v>
      </c>
      <c r="C354" s="514" t="s">
        <v>3158</v>
      </c>
      <c r="D354" s="87">
        <v>8000</v>
      </c>
      <c r="E354" s="87">
        <v>91</v>
      </c>
      <c r="F354" s="563">
        <f t="shared" si="16"/>
        <v>8000</v>
      </c>
      <c r="G354" s="87">
        <f t="shared" si="8"/>
        <v>0</v>
      </c>
      <c r="H354" s="690"/>
      <c r="I354" s="693"/>
      <c r="J354" s="692"/>
      <c r="K354" s="692"/>
    </row>
    <row r="355" spans="1:11" ht="15" customHeight="1" x14ac:dyDescent="0.25">
      <c r="A355" s="728">
        <f t="shared" si="15"/>
        <v>95.238095238095241</v>
      </c>
      <c r="B355" s="87" t="s">
        <v>3142</v>
      </c>
      <c r="C355" s="514" t="s">
        <v>66</v>
      </c>
      <c r="D355" s="87">
        <v>100</v>
      </c>
      <c r="E355" s="87">
        <v>1.05</v>
      </c>
      <c r="F355" s="563">
        <f t="shared" si="16"/>
        <v>100</v>
      </c>
      <c r="G355" s="87">
        <f t="shared" si="8"/>
        <v>0</v>
      </c>
      <c r="H355" s="690"/>
      <c r="I355" s="693"/>
      <c r="J355" s="692"/>
      <c r="K355" s="692"/>
    </row>
    <row r="356" spans="1:11" ht="15" customHeight="1" x14ac:dyDescent="0.25">
      <c r="A356" s="728">
        <f t="shared" si="15"/>
        <v>87.774294670846402</v>
      </c>
      <c r="B356" s="87" t="s">
        <v>3142</v>
      </c>
      <c r="C356" s="514" t="s">
        <v>3159</v>
      </c>
      <c r="D356" s="87">
        <v>28000</v>
      </c>
      <c r="E356" s="87">
        <v>319</v>
      </c>
      <c r="F356" s="563">
        <f t="shared" si="16"/>
        <v>28000</v>
      </c>
      <c r="G356" s="87">
        <f t="shared" si="8"/>
        <v>0</v>
      </c>
      <c r="H356" s="690"/>
      <c r="I356" s="693"/>
      <c r="J356" s="692"/>
      <c r="K356" s="692"/>
    </row>
    <row r="357" spans="1:11" ht="15" customHeight="1" x14ac:dyDescent="0.25">
      <c r="A357" s="728">
        <f t="shared" ref="A357:A419" si="17">D357/E357</f>
        <v>88</v>
      </c>
      <c r="B357" s="87" t="s">
        <v>3160</v>
      </c>
      <c r="C357" s="514" t="s">
        <v>3119</v>
      </c>
      <c r="D357" s="87">
        <v>22000</v>
      </c>
      <c r="E357" s="87">
        <v>250</v>
      </c>
      <c r="F357" s="563">
        <f t="shared" si="16"/>
        <v>22000</v>
      </c>
      <c r="G357" s="87">
        <f t="shared" si="8"/>
        <v>0</v>
      </c>
      <c r="H357" s="690"/>
      <c r="I357" s="693"/>
      <c r="J357" s="692"/>
      <c r="K357" s="692"/>
    </row>
    <row r="358" spans="1:11" ht="15" customHeight="1" x14ac:dyDescent="0.25">
      <c r="A358" s="728">
        <f t="shared" si="17"/>
        <v>88.105726872246692</v>
      </c>
      <c r="B358" s="87" t="s">
        <v>3160</v>
      </c>
      <c r="C358" s="514" t="s">
        <v>3118</v>
      </c>
      <c r="D358" s="87">
        <v>20000</v>
      </c>
      <c r="E358" s="87">
        <v>227</v>
      </c>
      <c r="F358" s="563">
        <f t="shared" si="16"/>
        <v>20000</v>
      </c>
      <c r="G358" s="87">
        <f t="shared" si="8"/>
        <v>0</v>
      </c>
      <c r="H358" s="690"/>
      <c r="I358" s="693"/>
      <c r="J358" s="692"/>
      <c r="K358" s="692"/>
    </row>
    <row r="359" spans="1:11" ht="15" customHeight="1" x14ac:dyDescent="0.25">
      <c r="A359" s="728">
        <f t="shared" si="17"/>
        <v>88.235294117647058</v>
      </c>
      <c r="B359" s="87" t="s">
        <v>3160</v>
      </c>
      <c r="C359" s="514" t="s">
        <v>1790</v>
      </c>
      <c r="D359" s="87">
        <v>15000</v>
      </c>
      <c r="E359" s="87">
        <v>170</v>
      </c>
      <c r="F359" s="563">
        <f t="shared" si="16"/>
        <v>15000</v>
      </c>
      <c r="G359" s="87">
        <f t="shared" si="8"/>
        <v>0</v>
      </c>
      <c r="H359" s="690"/>
      <c r="I359" s="693"/>
      <c r="J359" s="692"/>
      <c r="K359" s="692"/>
    </row>
    <row r="360" spans="1:11" ht="15" customHeight="1" x14ac:dyDescent="0.25">
      <c r="A360" s="728">
        <f t="shared" si="17"/>
        <v>88.235294117647058</v>
      </c>
      <c r="B360" s="87" t="s">
        <v>3160</v>
      </c>
      <c r="C360" s="514" t="s">
        <v>3162</v>
      </c>
      <c r="D360" s="87">
        <v>15000</v>
      </c>
      <c r="E360" s="87">
        <v>170</v>
      </c>
      <c r="F360" s="563">
        <f t="shared" si="16"/>
        <v>15000</v>
      </c>
      <c r="G360" s="87">
        <f t="shared" si="8"/>
        <v>0</v>
      </c>
      <c r="H360" s="690"/>
      <c r="I360" s="693"/>
      <c r="J360" s="692"/>
      <c r="K360" s="692"/>
    </row>
    <row r="361" spans="1:11" ht="15" customHeight="1" x14ac:dyDescent="0.25">
      <c r="A361" s="728">
        <f t="shared" si="17"/>
        <v>92.307692307692307</v>
      </c>
      <c r="B361" s="87" t="s">
        <v>3160</v>
      </c>
      <c r="C361" s="514" t="s">
        <v>3163</v>
      </c>
      <c r="D361" s="87">
        <v>24000</v>
      </c>
      <c r="E361" s="87">
        <v>260</v>
      </c>
      <c r="F361" s="563">
        <f t="shared" si="16"/>
        <v>24000</v>
      </c>
      <c r="G361" s="87">
        <f t="shared" si="8"/>
        <v>0</v>
      </c>
      <c r="H361" s="690"/>
      <c r="I361" s="693"/>
      <c r="J361" s="692"/>
      <c r="K361" s="692"/>
    </row>
    <row r="362" spans="1:11" ht="15" customHeight="1" x14ac:dyDescent="0.25">
      <c r="A362" s="728">
        <f t="shared" si="17"/>
        <v>88.105726872246692</v>
      </c>
      <c r="B362" s="87" t="s">
        <v>3160</v>
      </c>
      <c r="C362" s="514" t="s">
        <v>1724</v>
      </c>
      <c r="D362" s="87">
        <v>20000</v>
      </c>
      <c r="E362" s="87">
        <v>227</v>
      </c>
      <c r="F362" s="563">
        <f t="shared" si="16"/>
        <v>20000</v>
      </c>
      <c r="G362" s="87">
        <f t="shared" si="8"/>
        <v>0</v>
      </c>
      <c r="H362" s="690"/>
      <c r="I362" s="693"/>
      <c r="J362" s="692"/>
      <c r="K362" s="692"/>
    </row>
    <row r="363" spans="1:11" ht="15" customHeight="1" x14ac:dyDescent="0.25">
      <c r="A363" s="728">
        <f t="shared" si="17"/>
        <v>88.235294117647058</v>
      </c>
      <c r="B363" s="87" t="s">
        <v>3160</v>
      </c>
      <c r="C363" s="514" t="s">
        <v>2455</v>
      </c>
      <c r="D363" s="87">
        <v>15000</v>
      </c>
      <c r="E363" s="87">
        <v>170</v>
      </c>
      <c r="F363" s="563">
        <f t="shared" si="16"/>
        <v>15000</v>
      </c>
      <c r="G363" s="87">
        <f t="shared" si="8"/>
        <v>0</v>
      </c>
      <c r="H363" s="690"/>
      <c r="I363" s="693"/>
      <c r="J363" s="692"/>
      <c r="K363" s="692"/>
    </row>
    <row r="364" spans="1:11" ht="15" customHeight="1" x14ac:dyDescent="0.25">
      <c r="A364" s="728">
        <f t="shared" si="17"/>
        <v>88.068181818181813</v>
      </c>
      <c r="B364" s="87" t="s">
        <v>3160</v>
      </c>
      <c r="C364" s="514" t="s">
        <v>3164</v>
      </c>
      <c r="D364" s="87">
        <v>31000</v>
      </c>
      <c r="E364" s="87">
        <v>352</v>
      </c>
      <c r="F364" s="563">
        <f t="shared" si="16"/>
        <v>31000</v>
      </c>
      <c r="G364" s="87">
        <f t="shared" si="8"/>
        <v>0</v>
      </c>
      <c r="H364" s="690"/>
      <c r="I364" s="693"/>
      <c r="J364" s="692"/>
      <c r="K364" s="692"/>
    </row>
    <row r="365" spans="1:11" ht="15" customHeight="1" x14ac:dyDescent="0.25">
      <c r="A365" s="728">
        <f t="shared" si="17"/>
        <v>88.235294117647058</v>
      </c>
      <c r="B365" s="87" t="s">
        <v>3160</v>
      </c>
      <c r="C365" s="514" t="s">
        <v>1838</v>
      </c>
      <c r="D365" s="87">
        <v>15000</v>
      </c>
      <c r="E365" s="87">
        <v>170</v>
      </c>
      <c r="F365" s="563">
        <f t="shared" si="16"/>
        <v>15000</v>
      </c>
      <c r="G365" s="87">
        <f t="shared" si="8"/>
        <v>0</v>
      </c>
      <c r="H365" s="690"/>
      <c r="I365" s="693"/>
      <c r="J365" s="692"/>
      <c r="K365" s="692"/>
    </row>
    <row r="366" spans="1:11" ht="15" customHeight="1" x14ac:dyDescent="0.25">
      <c r="A366" s="728">
        <f t="shared" si="17"/>
        <v>87.878787878787875</v>
      </c>
      <c r="B366" s="87" t="s">
        <v>3160</v>
      </c>
      <c r="C366" s="514" t="s">
        <v>3165</v>
      </c>
      <c r="D366" s="87">
        <v>29000</v>
      </c>
      <c r="E366" s="87">
        <v>330</v>
      </c>
      <c r="F366" s="563">
        <f t="shared" si="16"/>
        <v>29000</v>
      </c>
      <c r="G366" s="87">
        <f t="shared" si="8"/>
        <v>0</v>
      </c>
      <c r="H366" s="690"/>
      <c r="I366" s="693"/>
      <c r="J366" s="692"/>
      <c r="K366" s="692"/>
    </row>
    <row r="367" spans="1:11" ht="15" customHeight="1" x14ac:dyDescent="0.25">
      <c r="A367" s="728">
        <f t="shared" si="17"/>
        <v>88.235294117647058</v>
      </c>
      <c r="B367" s="87" t="s">
        <v>3160</v>
      </c>
      <c r="C367" s="514" t="s">
        <v>2986</v>
      </c>
      <c r="D367" s="87">
        <v>15000</v>
      </c>
      <c r="E367" s="87">
        <v>170</v>
      </c>
      <c r="F367" s="563">
        <f t="shared" si="16"/>
        <v>15000</v>
      </c>
      <c r="G367" s="87">
        <f t="shared" si="8"/>
        <v>0</v>
      </c>
      <c r="H367" s="690"/>
      <c r="I367" s="693"/>
      <c r="J367" s="692"/>
      <c r="K367" s="692"/>
    </row>
    <row r="368" spans="1:11" ht="15" customHeight="1" x14ac:dyDescent="0.25">
      <c r="A368" s="728">
        <f t="shared" si="17"/>
        <v>87.912087912087912</v>
      </c>
      <c r="B368" s="87" t="s">
        <v>3160</v>
      </c>
      <c r="C368" s="514" t="s">
        <v>2116</v>
      </c>
      <c r="D368" s="87">
        <v>16000</v>
      </c>
      <c r="E368" s="87">
        <v>182</v>
      </c>
      <c r="F368" s="563">
        <f t="shared" si="16"/>
        <v>16000</v>
      </c>
      <c r="G368" s="87">
        <f t="shared" si="8"/>
        <v>0</v>
      </c>
      <c r="H368" s="690"/>
      <c r="I368" s="693"/>
      <c r="J368" s="692"/>
      <c r="K368" s="692"/>
    </row>
    <row r="369" spans="1:11" ht="15" customHeight="1" x14ac:dyDescent="0.25">
      <c r="A369" s="728">
        <f t="shared" si="17"/>
        <v>87.912087912087912</v>
      </c>
      <c r="B369" s="87" t="s">
        <v>3160</v>
      </c>
      <c r="C369" s="514" t="s">
        <v>2092</v>
      </c>
      <c r="D369" s="87">
        <v>16000</v>
      </c>
      <c r="E369" s="87">
        <v>182</v>
      </c>
      <c r="F369" s="563">
        <f t="shared" si="16"/>
        <v>16000</v>
      </c>
      <c r="G369" s="87">
        <f t="shared" si="8"/>
        <v>0</v>
      </c>
      <c r="H369" s="690"/>
      <c r="I369" s="693"/>
      <c r="J369" s="692"/>
      <c r="K369" s="692"/>
    </row>
    <row r="370" spans="1:11" ht="15" customHeight="1" x14ac:dyDescent="0.25">
      <c r="A370" s="728">
        <f t="shared" si="17"/>
        <v>88.235294117647058</v>
      </c>
      <c r="B370" s="87" t="s">
        <v>3160</v>
      </c>
      <c r="C370" s="514" t="s">
        <v>17</v>
      </c>
      <c r="D370" s="87">
        <v>3000</v>
      </c>
      <c r="E370" s="87">
        <v>34</v>
      </c>
      <c r="F370" s="563">
        <f t="shared" si="16"/>
        <v>3000</v>
      </c>
      <c r="G370" s="87">
        <f t="shared" si="8"/>
        <v>0</v>
      </c>
      <c r="H370" s="690"/>
      <c r="I370" s="693"/>
      <c r="J370" s="692"/>
      <c r="K370" s="692"/>
    </row>
    <row r="371" spans="1:11" ht="15" customHeight="1" x14ac:dyDescent="0.25">
      <c r="A371" s="728">
        <f t="shared" si="17"/>
        <v>87.912087912087912</v>
      </c>
      <c r="B371" s="87" t="s">
        <v>3160</v>
      </c>
      <c r="C371" s="514" t="s">
        <v>30</v>
      </c>
      <c r="D371" s="87">
        <v>8000</v>
      </c>
      <c r="E371" s="87">
        <v>91</v>
      </c>
      <c r="F371" s="563">
        <f t="shared" si="16"/>
        <v>8000</v>
      </c>
      <c r="G371" s="87">
        <f t="shared" si="8"/>
        <v>0</v>
      </c>
      <c r="H371" s="690"/>
      <c r="I371" s="693"/>
      <c r="J371" s="692"/>
      <c r="K371" s="692"/>
    </row>
    <row r="372" spans="1:11" ht="15" customHeight="1" x14ac:dyDescent="0.25">
      <c r="A372" s="728">
        <f t="shared" si="17"/>
        <v>88.050314465408803</v>
      </c>
      <c r="B372" s="87" t="s">
        <v>3160</v>
      </c>
      <c r="C372" s="514" t="s">
        <v>3174</v>
      </c>
      <c r="D372" s="87">
        <v>14000</v>
      </c>
      <c r="E372" s="87">
        <v>159</v>
      </c>
      <c r="F372" s="563">
        <f t="shared" si="16"/>
        <v>14000</v>
      </c>
      <c r="G372" s="87">
        <f t="shared" si="8"/>
        <v>0</v>
      </c>
      <c r="H372" s="690"/>
      <c r="I372" s="693"/>
      <c r="J372" s="692"/>
      <c r="K372" s="692"/>
    </row>
    <row r="373" spans="1:11" ht="15" customHeight="1" x14ac:dyDescent="0.25">
      <c r="A373" s="728">
        <f t="shared" si="17"/>
        <v>88.105726872246692</v>
      </c>
      <c r="B373" s="87" t="s">
        <v>3160</v>
      </c>
      <c r="C373" s="514" t="s">
        <v>3166</v>
      </c>
      <c r="D373" s="87">
        <v>20000</v>
      </c>
      <c r="E373" s="87">
        <v>227</v>
      </c>
      <c r="F373" s="563">
        <f t="shared" si="16"/>
        <v>20000</v>
      </c>
      <c r="G373" s="87">
        <f t="shared" si="8"/>
        <v>0</v>
      </c>
      <c r="H373" s="690"/>
      <c r="I373" s="693"/>
      <c r="J373" s="692"/>
      <c r="K373" s="692"/>
    </row>
    <row r="374" spans="1:11" ht="15" customHeight="1" x14ac:dyDescent="0.25">
      <c r="A374" s="728">
        <f t="shared" si="17"/>
        <v>87.774294670846402</v>
      </c>
      <c r="B374" s="87" t="s">
        <v>3160</v>
      </c>
      <c r="C374" s="514" t="s">
        <v>2452</v>
      </c>
      <c r="D374" s="87">
        <v>28000</v>
      </c>
      <c r="E374" s="87">
        <v>319</v>
      </c>
      <c r="F374" s="563">
        <f t="shared" si="16"/>
        <v>28000</v>
      </c>
      <c r="G374" s="87">
        <f t="shared" si="8"/>
        <v>0</v>
      </c>
      <c r="H374" s="690"/>
      <c r="I374" s="693"/>
      <c r="J374" s="692"/>
      <c r="K374" s="692"/>
    </row>
    <row r="375" spans="1:11" ht="15" customHeight="1" x14ac:dyDescent="0.25">
      <c r="A375" s="728">
        <f t="shared" si="17"/>
        <v>87.786259541984734</v>
      </c>
      <c r="B375" s="87" t="s">
        <v>3160</v>
      </c>
      <c r="C375" s="514" t="s">
        <v>3167</v>
      </c>
      <c r="D375" s="87">
        <v>23000</v>
      </c>
      <c r="E375" s="87">
        <v>262</v>
      </c>
      <c r="F375" s="563">
        <f t="shared" si="16"/>
        <v>23000</v>
      </c>
      <c r="G375" s="87">
        <f t="shared" si="8"/>
        <v>0</v>
      </c>
      <c r="H375" s="690"/>
      <c r="I375" s="693"/>
      <c r="J375" s="692"/>
      <c r="K375" s="692"/>
    </row>
    <row r="376" spans="1:11" ht="15" customHeight="1" x14ac:dyDescent="0.25">
      <c r="A376" s="728">
        <f t="shared" si="17"/>
        <v>87.786259541984734</v>
      </c>
      <c r="B376" s="87" t="s">
        <v>3160</v>
      </c>
      <c r="C376" s="514" t="s">
        <v>1819</v>
      </c>
      <c r="D376" s="87">
        <v>23000</v>
      </c>
      <c r="E376" s="87">
        <v>262</v>
      </c>
      <c r="F376" s="563">
        <f t="shared" si="16"/>
        <v>23000</v>
      </c>
      <c r="G376" s="87">
        <f t="shared" si="8"/>
        <v>0</v>
      </c>
      <c r="H376" s="690"/>
      <c r="I376" s="693"/>
      <c r="J376" s="692"/>
      <c r="K376" s="692"/>
    </row>
    <row r="377" spans="1:11" ht="15" customHeight="1" x14ac:dyDescent="0.25">
      <c r="A377" s="728">
        <f t="shared" si="17"/>
        <v>87.976539589442808</v>
      </c>
      <c r="B377" s="87" t="s">
        <v>3160</v>
      </c>
      <c r="C377" s="514" t="s">
        <v>3043</v>
      </c>
      <c r="D377" s="87">
        <v>30000</v>
      </c>
      <c r="E377" s="87">
        <v>341</v>
      </c>
      <c r="F377" s="563">
        <f t="shared" si="16"/>
        <v>30000</v>
      </c>
      <c r="G377" s="87">
        <f t="shared" si="8"/>
        <v>0</v>
      </c>
      <c r="H377" s="690"/>
      <c r="I377" s="693"/>
      <c r="J377" s="692"/>
      <c r="K377" s="692"/>
    </row>
    <row r="378" spans="1:11" ht="15" customHeight="1" x14ac:dyDescent="0.25">
      <c r="A378" s="728">
        <f t="shared" si="17"/>
        <v>88.028169014084511</v>
      </c>
      <c r="B378" s="87" t="s">
        <v>3160</v>
      </c>
      <c r="C378" s="514" t="s">
        <v>3168</v>
      </c>
      <c r="D378" s="87">
        <v>25000</v>
      </c>
      <c r="E378" s="87">
        <v>284</v>
      </c>
      <c r="F378" s="563">
        <f t="shared" si="16"/>
        <v>25000</v>
      </c>
      <c r="G378" s="87">
        <f t="shared" si="8"/>
        <v>0</v>
      </c>
      <c r="H378" s="690"/>
      <c r="I378" s="693"/>
      <c r="J378" s="692"/>
      <c r="K378" s="692"/>
    </row>
    <row r="379" spans="1:11" ht="15" customHeight="1" x14ac:dyDescent="0.25">
      <c r="A379" s="728">
        <f t="shared" si="17"/>
        <v>88.028169014084511</v>
      </c>
      <c r="B379" s="87" t="s">
        <v>3160</v>
      </c>
      <c r="C379" s="514" t="s">
        <v>3169</v>
      </c>
      <c r="D379" s="87">
        <v>25000</v>
      </c>
      <c r="E379" s="87">
        <v>284</v>
      </c>
      <c r="F379" s="563">
        <f t="shared" si="16"/>
        <v>25000</v>
      </c>
      <c r="G379" s="87">
        <f t="shared" si="8"/>
        <v>0</v>
      </c>
      <c r="H379" s="690"/>
      <c r="I379" s="693"/>
      <c r="J379" s="692"/>
      <c r="K379" s="692"/>
    </row>
    <row r="380" spans="1:11" ht="15" customHeight="1" x14ac:dyDescent="0.25">
      <c r="A380" s="728">
        <f t="shared" si="17"/>
        <v>87.912087912087912</v>
      </c>
      <c r="B380" s="87" t="s">
        <v>3160</v>
      </c>
      <c r="C380" s="514" t="s">
        <v>3170</v>
      </c>
      <c r="D380" s="87">
        <v>32000</v>
      </c>
      <c r="E380" s="87">
        <v>364</v>
      </c>
      <c r="F380" s="563">
        <f t="shared" si="16"/>
        <v>32000</v>
      </c>
      <c r="G380" s="87">
        <f t="shared" si="8"/>
        <v>0</v>
      </c>
      <c r="H380" s="690"/>
      <c r="I380" s="693"/>
      <c r="J380" s="692"/>
      <c r="K380" s="692"/>
    </row>
    <row r="381" spans="1:11" ht="15" customHeight="1" x14ac:dyDescent="0.25">
      <c r="A381" s="728">
        <f t="shared" si="17"/>
        <v>88.028169014084511</v>
      </c>
      <c r="B381" s="87" t="s">
        <v>3160</v>
      </c>
      <c r="C381" s="514" t="s">
        <v>3171</v>
      </c>
      <c r="D381" s="87">
        <v>25000</v>
      </c>
      <c r="E381" s="87">
        <v>284</v>
      </c>
      <c r="F381" s="563">
        <f t="shared" si="16"/>
        <v>25000</v>
      </c>
      <c r="G381" s="87">
        <f t="shared" si="8"/>
        <v>0</v>
      </c>
      <c r="H381" s="690"/>
      <c r="I381" s="693"/>
      <c r="J381" s="692"/>
      <c r="K381" s="692"/>
    </row>
    <row r="382" spans="1:11" ht="15" customHeight="1" x14ac:dyDescent="0.25">
      <c r="A382" s="728">
        <f t="shared" si="17"/>
        <v>89.285714285714292</v>
      </c>
      <c r="B382" s="87" t="s">
        <v>3160</v>
      </c>
      <c r="C382" s="514" t="s">
        <v>3172</v>
      </c>
      <c r="D382" s="87">
        <v>5000</v>
      </c>
      <c r="E382" s="87">
        <v>56</v>
      </c>
      <c r="F382" s="563">
        <f t="shared" si="16"/>
        <v>5000</v>
      </c>
      <c r="G382" s="87">
        <f t="shared" si="8"/>
        <v>0</v>
      </c>
      <c r="H382" s="690"/>
      <c r="I382" s="693"/>
      <c r="J382" s="692"/>
      <c r="K382" s="692"/>
    </row>
    <row r="383" spans="1:11" ht="15" customHeight="1" x14ac:dyDescent="0.25">
      <c r="A383" s="728">
        <f t="shared" si="17"/>
        <v>96.774193548387103</v>
      </c>
      <c r="B383" s="87" t="s">
        <v>3173</v>
      </c>
      <c r="C383" s="514" t="s">
        <v>3022</v>
      </c>
      <c r="D383" s="87">
        <v>24000</v>
      </c>
      <c r="E383" s="87">
        <v>248</v>
      </c>
      <c r="F383" s="563">
        <f t="shared" si="16"/>
        <v>24000</v>
      </c>
      <c r="G383" s="87">
        <f t="shared" si="8"/>
        <v>0</v>
      </c>
      <c r="H383" s="690"/>
      <c r="I383" s="693"/>
      <c r="J383" s="692"/>
      <c r="K383" s="692"/>
    </row>
    <row r="384" spans="1:11" ht="15" customHeight="1" x14ac:dyDescent="0.25">
      <c r="A384" s="728">
        <f t="shared" si="17"/>
        <v>87.86610878661088</v>
      </c>
      <c r="B384" s="87" t="s">
        <v>3173</v>
      </c>
      <c r="C384" s="514" t="s">
        <v>3197</v>
      </c>
      <c r="D384" s="87">
        <v>21000</v>
      </c>
      <c r="E384" s="87">
        <v>239</v>
      </c>
      <c r="F384" s="563">
        <f t="shared" si="16"/>
        <v>21000</v>
      </c>
      <c r="G384" s="87">
        <f t="shared" si="8"/>
        <v>0</v>
      </c>
      <c r="H384" s="690"/>
      <c r="I384" s="693"/>
      <c r="J384" s="692"/>
      <c r="K384" s="692"/>
    </row>
    <row r="385" spans="1:11" ht="15" customHeight="1" x14ac:dyDescent="0.25">
      <c r="A385" s="728">
        <f t="shared" si="17"/>
        <v>87.912087912087912</v>
      </c>
      <c r="B385" s="87" t="s">
        <v>3173</v>
      </c>
      <c r="C385" s="514" t="s">
        <v>1860</v>
      </c>
      <c r="D385" s="87">
        <v>16000</v>
      </c>
      <c r="E385" s="87">
        <v>182</v>
      </c>
      <c r="F385" s="563">
        <f t="shared" si="16"/>
        <v>16000</v>
      </c>
      <c r="G385" s="87">
        <f t="shared" si="8"/>
        <v>0</v>
      </c>
      <c r="H385" s="690"/>
      <c r="I385" s="693"/>
      <c r="J385" s="692"/>
      <c r="K385" s="692"/>
    </row>
    <row r="386" spans="1:11" ht="15" customHeight="1" x14ac:dyDescent="0.25">
      <c r="A386" s="728">
        <f t="shared" si="17"/>
        <v>88.105726872246692</v>
      </c>
      <c r="B386" s="87" t="s">
        <v>3173</v>
      </c>
      <c r="C386" s="514" t="s">
        <v>3179</v>
      </c>
      <c r="D386" s="87">
        <v>20000</v>
      </c>
      <c r="E386" s="87">
        <v>227</v>
      </c>
      <c r="F386" s="563">
        <f t="shared" si="16"/>
        <v>20000</v>
      </c>
      <c r="G386" s="87">
        <f t="shared" si="8"/>
        <v>0</v>
      </c>
      <c r="H386" s="690"/>
      <c r="I386" s="693"/>
      <c r="J386" s="692"/>
      <c r="K386" s="692"/>
    </row>
    <row r="387" spans="1:11" ht="15" customHeight="1" x14ac:dyDescent="0.25">
      <c r="A387" s="728">
        <f t="shared" si="17"/>
        <v>88.105726872246692</v>
      </c>
      <c r="B387" s="87" t="s">
        <v>3173</v>
      </c>
      <c r="C387" s="514" t="s">
        <v>3180</v>
      </c>
      <c r="D387" s="87">
        <v>20000</v>
      </c>
      <c r="E387" s="87">
        <v>227</v>
      </c>
      <c r="F387" s="563">
        <f t="shared" si="16"/>
        <v>20000</v>
      </c>
      <c r="G387" s="87">
        <f t="shared" si="8"/>
        <v>0</v>
      </c>
      <c r="H387" s="690"/>
      <c r="I387" s="693"/>
      <c r="J387" s="692"/>
      <c r="K387" s="692"/>
    </row>
    <row r="388" spans="1:11" ht="15" customHeight="1" x14ac:dyDescent="0.25">
      <c r="A388" s="728">
        <f t="shared" si="17"/>
        <v>92.05020920502092</v>
      </c>
      <c r="B388" s="87" t="s">
        <v>3173</v>
      </c>
      <c r="C388" s="514" t="s">
        <v>3181</v>
      </c>
      <c r="D388" s="87">
        <v>22000</v>
      </c>
      <c r="E388" s="87">
        <v>239</v>
      </c>
      <c r="F388" s="563">
        <f t="shared" si="16"/>
        <v>22000</v>
      </c>
      <c r="G388" s="87">
        <f t="shared" si="8"/>
        <v>0</v>
      </c>
      <c r="H388" s="690"/>
      <c r="I388" s="693"/>
      <c r="J388" s="692"/>
      <c r="K388" s="692"/>
    </row>
    <row r="389" spans="1:11" ht="15" customHeight="1" x14ac:dyDescent="0.25">
      <c r="A389" s="728">
        <f t="shared" si="17"/>
        <v>87.121212121212125</v>
      </c>
      <c r="B389" s="87" t="s">
        <v>3173</v>
      </c>
      <c r="C389" s="514" t="s">
        <v>3182</v>
      </c>
      <c r="D389" s="87">
        <v>23000</v>
      </c>
      <c r="E389" s="87">
        <v>264</v>
      </c>
      <c r="F389" s="563">
        <f t="shared" si="16"/>
        <v>23000</v>
      </c>
      <c r="G389" s="87">
        <f t="shared" si="8"/>
        <v>0</v>
      </c>
      <c r="H389" s="690"/>
      <c r="I389" s="693"/>
      <c r="J389" s="692"/>
      <c r="K389" s="692"/>
    </row>
    <row r="390" spans="1:11" ht="15" customHeight="1" x14ac:dyDescent="0.25">
      <c r="A390" s="728">
        <f t="shared" si="17"/>
        <v>88.082901554404145</v>
      </c>
      <c r="B390" s="87" t="s">
        <v>3173</v>
      </c>
      <c r="C390" s="514" t="s">
        <v>1729</v>
      </c>
      <c r="D390" s="87">
        <v>17000</v>
      </c>
      <c r="E390" s="87">
        <v>193</v>
      </c>
      <c r="F390" s="563">
        <f t="shared" si="16"/>
        <v>17000</v>
      </c>
      <c r="G390" s="87">
        <f t="shared" si="8"/>
        <v>0</v>
      </c>
      <c r="H390" s="690"/>
      <c r="I390" s="693"/>
      <c r="J390" s="692"/>
      <c r="K390" s="692"/>
    </row>
    <row r="391" spans="1:11" ht="15" customHeight="1" x14ac:dyDescent="0.25">
      <c r="A391" s="728">
        <f t="shared" si="17"/>
        <v>88</v>
      </c>
      <c r="B391" s="87" t="s">
        <v>3173</v>
      </c>
      <c r="C391" s="514" t="s">
        <v>3008</v>
      </c>
      <c r="D391" s="87">
        <v>22000</v>
      </c>
      <c r="E391" s="87">
        <v>250</v>
      </c>
      <c r="F391" s="563">
        <f t="shared" si="16"/>
        <v>22000</v>
      </c>
      <c r="G391" s="87">
        <f t="shared" si="8"/>
        <v>0</v>
      </c>
      <c r="H391" s="690"/>
      <c r="I391" s="693"/>
      <c r="J391" s="692"/>
      <c r="K391" s="692"/>
    </row>
    <row r="392" spans="1:11" ht="15" customHeight="1" x14ac:dyDescent="0.25">
      <c r="A392" s="728">
        <f t="shared" si="17"/>
        <v>87.804878048780495</v>
      </c>
      <c r="B392" s="87" t="s">
        <v>3173</v>
      </c>
      <c r="C392" s="514" t="s">
        <v>3183</v>
      </c>
      <c r="D392" s="87">
        <v>18000</v>
      </c>
      <c r="E392" s="87">
        <v>205</v>
      </c>
      <c r="F392" s="563">
        <f t="shared" si="16"/>
        <v>18000</v>
      </c>
      <c r="G392" s="87">
        <f t="shared" si="8"/>
        <v>0</v>
      </c>
      <c r="H392" s="690"/>
      <c r="I392" s="693"/>
      <c r="J392" s="692"/>
      <c r="K392" s="692"/>
    </row>
    <row r="393" spans="1:11" ht="15" customHeight="1" x14ac:dyDescent="0.25">
      <c r="A393" s="728">
        <f t="shared" si="17"/>
        <v>88.105726872246692</v>
      </c>
      <c r="B393" s="87" t="s">
        <v>3173</v>
      </c>
      <c r="C393" s="514" t="s">
        <v>1725</v>
      </c>
      <c r="D393" s="87">
        <v>20000</v>
      </c>
      <c r="E393" s="87">
        <v>227</v>
      </c>
      <c r="F393" s="563">
        <f t="shared" si="16"/>
        <v>20000</v>
      </c>
      <c r="G393" s="87">
        <f t="shared" si="8"/>
        <v>0</v>
      </c>
      <c r="H393" s="690"/>
      <c r="I393" s="693"/>
      <c r="J393" s="692"/>
      <c r="K393" s="692"/>
    </row>
    <row r="394" spans="1:11" ht="15" customHeight="1" x14ac:dyDescent="0.25">
      <c r="A394" s="728">
        <f t="shared" si="17"/>
        <v>87.912087912087912</v>
      </c>
      <c r="B394" s="87" t="s">
        <v>3173</v>
      </c>
      <c r="C394" s="514" t="s">
        <v>3184</v>
      </c>
      <c r="D394" s="87">
        <v>8000</v>
      </c>
      <c r="E394" s="87">
        <v>91</v>
      </c>
      <c r="F394" s="563">
        <f t="shared" si="16"/>
        <v>8000</v>
      </c>
      <c r="G394" s="87">
        <f t="shared" si="8"/>
        <v>0</v>
      </c>
      <c r="H394" s="690"/>
      <c r="I394" s="693"/>
      <c r="J394" s="692"/>
      <c r="K394" s="692"/>
    </row>
    <row r="395" spans="1:11" ht="15" customHeight="1" x14ac:dyDescent="0.25">
      <c r="A395" s="728">
        <f t="shared" si="17"/>
        <v>87.912087912087912</v>
      </c>
      <c r="B395" s="87" t="s">
        <v>3173</v>
      </c>
      <c r="C395" s="514" t="s">
        <v>3199</v>
      </c>
      <c r="D395" s="87">
        <v>8000</v>
      </c>
      <c r="E395" s="87">
        <v>91</v>
      </c>
      <c r="F395" s="563">
        <f t="shared" si="16"/>
        <v>8000</v>
      </c>
      <c r="G395" s="87">
        <f t="shared" si="8"/>
        <v>0</v>
      </c>
      <c r="H395" s="690"/>
      <c r="I395" s="693"/>
      <c r="J395" s="692"/>
      <c r="K395" s="692"/>
    </row>
    <row r="396" spans="1:11" ht="15" customHeight="1" x14ac:dyDescent="0.25">
      <c r="A396" s="728">
        <f t="shared" si="17"/>
        <v>88</v>
      </c>
      <c r="B396" s="87" t="s">
        <v>3173</v>
      </c>
      <c r="C396" s="514" t="s">
        <v>3115</v>
      </c>
      <c r="D396" s="87">
        <v>22000</v>
      </c>
      <c r="E396" s="87">
        <v>250</v>
      </c>
      <c r="F396" s="563">
        <f t="shared" si="16"/>
        <v>22000</v>
      </c>
      <c r="G396" s="87">
        <f t="shared" si="8"/>
        <v>0</v>
      </c>
      <c r="H396" s="690"/>
      <c r="I396" s="693"/>
      <c r="J396" s="692"/>
      <c r="K396" s="692"/>
    </row>
    <row r="397" spans="1:11" ht="15" customHeight="1" x14ac:dyDescent="0.25">
      <c r="A397" s="728">
        <f t="shared" si="17"/>
        <v>88.809946714031966</v>
      </c>
      <c r="B397" s="87" t="s">
        <v>3173</v>
      </c>
      <c r="C397" s="514" t="s">
        <v>3185</v>
      </c>
      <c r="D397" s="87">
        <v>50000</v>
      </c>
      <c r="E397" s="87">
        <v>563</v>
      </c>
      <c r="F397" s="563">
        <f t="shared" si="16"/>
        <v>50000</v>
      </c>
      <c r="G397" s="87">
        <f t="shared" si="8"/>
        <v>0</v>
      </c>
      <c r="H397" s="690"/>
      <c r="I397" s="693"/>
      <c r="J397" s="692"/>
      <c r="K397" s="692"/>
    </row>
    <row r="398" spans="1:11" ht="15" customHeight="1" x14ac:dyDescent="0.25">
      <c r="A398" s="728">
        <f t="shared" si="17"/>
        <v>88.235294117647058</v>
      </c>
      <c r="B398" s="87" t="s">
        <v>3173</v>
      </c>
      <c r="C398" s="514" t="s">
        <v>3186</v>
      </c>
      <c r="D398" s="87">
        <v>15000</v>
      </c>
      <c r="E398" s="87">
        <v>170</v>
      </c>
      <c r="F398" s="563">
        <f t="shared" si="16"/>
        <v>15000</v>
      </c>
      <c r="G398" s="87">
        <f t="shared" si="8"/>
        <v>0</v>
      </c>
      <c r="H398" s="690"/>
      <c r="I398" s="693"/>
      <c r="J398" s="692"/>
      <c r="K398" s="692"/>
    </row>
    <row r="399" spans="1:11" ht="15" customHeight="1" x14ac:dyDescent="0.25">
      <c r="A399" s="728">
        <f t="shared" si="17"/>
        <v>87.804878048780495</v>
      </c>
      <c r="B399" s="87" t="s">
        <v>3173</v>
      </c>
      <c r="C399" s="514" t="s">
        <v>3187</v>
      </c>
      <c r="D399" s="87">
        <v>18000</v>
      </c>
      <c r="E399" s="87">
        <v>205</v>
      </c>
      <c r="F399" s="563">
        <f t="shared" si="16"/>
        <v>18000</v>
      </c>
      <c r="G399" s="87">
        <f t="shared" si="8"/>
        <v>0</v>
      </c>
      <c r="H399" s="690"/>
      <c r="I399" s="693"/>
      <c r="J399" s="692"/>
      <c r="K399" s="692"/>
    </row>
    <row r="400" spans="1:11" ht="15" customHeight="1" x14ac:dyDescent="0.25">
      <c r="A400" s="728">
        <f t="shared" si="17"/>
        <v>88.105726872246692</v>
      </c>
      <c r="B400" s="87" t="s">
        <v>3173</v>
      </c>
      <c r="C400" s="514" t="s">
        <v>3188</v>
      </c>
      <c r="D400" s="87">
        <v>20000</v>
      </c>
      <c r="E400" s="87">
        <v>227</v>
      </c>
      <c r="F400" s="563">
        <f t="shared" ref="F400:F463" si="18">D400</f>
        <v>20000</v>
      </c>
      <c r="G400" s="87">
        <f t="shared" ref="G400:G617" si="19">D400-F400</f>
        <v>0</v>
      </c>
      <c r="H400" s="690"/>
      <c r="I400" s="693"/>
      <c r="J400" s="692"/>
      <c r="K400" s="692"/>
    </row>
    <row r="401" spans="1:11" ht="15" customHeight="1" x14ac:dyDescent="0.25">
      <c r="A401" s="728">
        <f t="shared" si="17"/>
        <v>87.962962962962962</v>
      </c>
      <c r="B401" s="87" t="s">
        <v>3173</v>
      </c>
      <c r="C401" s="514" t="s">
        <v>3189</v>
      </c>
      <c r="D401" s="87">
        <v>19000</v>
      </c>
      <c r="E401" s="87">
        <v>216</v>
      </c>
      <c r="F401" s="563">
        <f t="shared" si="18"/>
        <v>19000</v>
      </c>
      <c r="G401" s="87">
        <f t="shared" si="19"/>
        <v>0</v>
      </c>
      <c r="H401" s="690"/>
      <c r="I401" s="693"/>
      <c r="J401" s="692"/>
      <c r="K401" s="692"/>
    </row>
    <row r="402" spans="1:11" ht="15" customHeight="1" x14ac:dyDescent="0.25">
      <c r="A402" s="728">
        <f t="shared" si="17"/>
        <v>87.912087912087912</v>
      </c>
      <c r="B402" s="87" t="s">
        <v>3173</v>
      </c>
      <c r="C402" s="514" t="s">
        <v>3190</v>
      </c>
      <c r="D402" s="87">
        <v>8000</v>
      </c>
      <c r="E402" s="87">
        <v>91</v>
      </c>
      <c r="F402" s="563">
        <f t="shared" si="18"/>
        <v>8000</v>
      </c>
      <c r="G402" s="87">
        <f t="shared" si="19"/>
        <v>0</v>
      </c>
      <c r="H402" s="690"/>
      <c r="I402" s="693"/>
      <c r="J402" s="692"/>
      <c r="K402" s="692"/>
    </row>
    <row r="403" spans="1:11" ht="15" customHeight="1" x14ac:dyDescent="0.25">
      <c r="A403" s="728">
        <f t="shared" si="17"/>
        <v>87.912087912087912</v>
      </c>
      <c r="B403" s="87" t="s">
        <v>3173</v>
      </c>
      <c r="C403" s="514" t="s">
        <v>3191</v>
      </c>
      <c r="D403" s="87">
        <v>8000</v>
      </c>
      <c r="E403" s="87">
        <v>91</v>
      </c>
      <c r="F403" s="563">
        <f t="shared" si="18"/>
        <v>8000</v>
      </c>
      <c r="G403" s="87">
        <f t="shared" si="19"/>
        <v>0</v>
      </c>
      <c r="H403" s="690"/>
      <c r="I403" s="693"/>
      <c r="J403" s="692"/>
      <c r="K403" s="692"/>
    </row>
    <row r="404" spans="1:11" ht="15" customHeight="1" x14ac:dyDescent="0.25">
      <c r="A404" s="728">
        <f t="shared" si="17"/>
        <v>88.235294117647058</v>
      </c>
      <c r="B404" s="87" t="s">
        <v>3173</v>
      </c>
      <c r="C404" s="514" t="s">
        <v>3198</v>
      </c>
      <c r="D404" s="87">
        <v>15000</v>
      </c>
      <c r="E404" s="87">
        <v>170</v>
      </c>
      <c r="F404" s="563">
        <f t="shared" si="18"/>
        <v>15000</v>
      </c>
      <c r="G404" s="87">
        <f t="shared" si="19"/>
        <v>0</v>
      </c>
      <c r="H404" s="690"/>
      <c r="I404" s="693"/>
      <c r="J404" s="692"/>
      <c r="K404" s="692"/>
    </row>
    <row r="405" spans="1:11" ht="15" customHeight="1" x14ac:dyDescent="0.25">
      <c r="A405" s="728">
        <f t="shared" si="17"/>
        <v>88</v>
      </c>
      <c r="B405" s="87" t="s">
        <v>3173</v>
      </c>
      <c r="C405" s="514" t="s">
        <v>3192</v>
      </c>
      <c r="D405" s="87">
        <v>22000</v>
      </c>
      <c r="E405" s="87">
        <v>250</v>
      </c>
      <c r="F405" s="563">
        <f t="shared" si="18"/>
        <v>22000</v>
      </c>
      <c r="G405" s="87">
        <f t="shared" si="19"/>
        <v>0</v>
      </c>
      <c r="H405" s="690"/>
      <c r="I405" s="693"/>
      <c r="J405" s="692"/>
      <c r="K405" s="692"/>
    </row>
    <row r="406" spans="1:11" ht="15" customHeight="1" x14ac:dyDescent="0.25">
      <c r="A406" s="728">
        <f t="shared" si="17"/>
        <v>88</v>
      </c>
      <c r="B406" s="87" t="s">
        <v>3173</v>
      </c>
      <c r="C406" s="514" t="s">
        <v>2081</v>
      </c>
      <c r="D406" s="87">
        <v>22000</v>
      </c>
      <c r="E406" s="87">
        <v>250</v>
      </c>
      <c r="F406" s="563">
        <f t="shared" si="18"/>
        <v>22000</v>
      </c>
      <c r="G406" s="87">
        <f t="shared" si="19"/>
        <v>0</v>
      </c>
      <c r="H406" s="690"/>
      <c r="I406" s="693"/>
      <c r="J406" s="692"/>
      <c r="K406" s="692"/>
    </row>
    <row r="407" spans="1:11" ht="15" customHeight="1" x14ac:dyDescent="0.25">
      <c r="A407" s="728">
        <f t="shared" si="17"/>
        <v>88</v>
      </c>
      <c r="B407" s="87" t="s">
        <v>3173</v>
      </c>
      <c r="C407" s="514" t="s">
        <v>3193</v>
      </c>
      <c r="D407" s="87">
        <v>22000</v>
      </c>
      <c r="E407" s="87">
        <v>250</v>
      </c>
      <c r="F407" s="563">
        <f t="shared" si="18"/>
        <v>22000</v>
      </c>
      <c r="G407" s="87">
        <f t="shared" si="19"/>
        <v>0</v>
      </c>
      <c r="H407" s="690"/>
      <c r="I407" s="693"/>
      <c r="J407" s="692"/>
      <c r="K407" s="692"/>
    </row>
    <row r="408" spans="1:11" ht="15" customHeight="1" x14ac:dyDescent="0.25">
      <c r="A408" s="728">
        <f t="shared" si="17"/>
        <v>88</v>
      </c>
      <c r="B408" s="87" t="s">
        <v>3173</v>
      </c>
      <c r="C408" s="514" t="s">
        <v>2079</v>
      </c>
      <c r="D408" s="87">
        <v>22000</v>
      </c>
      <c r="E408" s="87">
        <v>250</v>
      </c>
      <c r="F408" s="563">
        <f t="shared" si="18"/>
        <v>22000</v>
      </c>
      <c r="G408" s="87">
        <f t="shared" si="19"/>
        <v>0</v>
      </c>
      <c r="H408" s="690"/>
      <c r="I408" s="693"/>
      <c r="J408" s="692"/>
      <c r="K408" s="692"/>
    </row>
    <row r="409" spans="1:11" ht="15" customHeight="1" x14ac:dyDescent="0.25">
      <c r="A409" s="728">
        <f t="shared" si="17"/>
        <v>88</v>
      </c>
      <c r="B409" s="87" t="s">
        <v>3173</v>
      </c>
      <c r="C409" s="514" t="s">
        <v>3194</v>
      </c>
      <c r="D409" s="87">
        <v>22000</v>
      </c>
      <c r="E409" s="87">
        <v>250</v>
      </c>
      <c r="F409" s="563">
        <f t="shared" si="18"/>
        <v>22000</v>
      </c>
      <c r="G409" s="87">
        <f t="shared" si="19"/>
        <v>0</v>
      </c>
      <c r="H409" s="690"/>
      <c r="I409" s="693"/>
      <c r="J409" s="692"/>
      <c r="K409" s="692"/>
    </row>
    <row r="410" spans="1:11" ht="15" customHeight="1" x14ac:dyDescent="0.25">
      <c r="A410" s="728">
        <f t="shared" si="17"/>
        <v>87.837837837837839</v>
      </c>
      <c r="B410" s="87" t="s">
        <v>3173</v>
      </c>
      <c r="C410" s="514" t="s">
        <v>3195</v>
      </c>
      <c r="D410" s="87">
        <v>13000</v>
      </c>
      <c r="E410" s="87">
        <v>148</v>
      </c>
      <c r="F410" s="563">
        <f t="shared" si="18"/>
        <v>13000</v>
      </c>
      <c r="G410" s="87">
        <f t="shared" si="19"/>
        <v>0</v>
      </c>
      <c r="H410" s="690"/>
      <c r="I410" s="693"/>
      <c r="J410" s="692"/>
      <c r="K410" s="692"/>
    </row>
    <row r="411" spans="1:11" ht="15" customHeight="1" x14ac:dyDescent="0.25">
      <c r="A411" s="728">
        <f t="shared" si="17"/>
        <v>96.330275229357795</v>
      </c>
      <c r="B411" s="87" t="s">
        <v>3196</v>
      </c>
      <c r="C411" s="87" t="s">
        <v>66</v>
      </c>
      <c r="D411" s="87">
        <v>210</v>
      </c>
      <c r="E411" s="87">
        <v>2.1800000000000002</v>
      </c>
      <c r="F411" s="563">
        <f t="shared" si="18"/>
        <v>210</v>
      </c>
      <c r="G411" s="87">
        <f t="shared" si="19"/>
        <v>0</v>
      </c>
      <c r="H411" s="690"/>
      <c r="I411" s="693"/>
      <c r="J411" s="692"/>
      <c r="K411" s="692"/>
    </row>
    <row r="412" spans="1:11" ht="15" customHeight="1" x14ac:dyDescent="0.25">
      <c r="A412" s="728">
        <f t="shared" si="17"/>
        <v>97.087378640776691</v>
      </c>
      <c r="B412" s="87" t="s">
        <v>3196</v>
      </c>
      <c r="C412" s="514" t="s">
        <v>66</v>
      </c>
      <c r="D412" s="87">
        <v>100</v>
      </c>
      <c r="E412" s="87">
        <v>1.03</v>
      </c>
      <c r="F412" s="563">
        <f t="shared" si="18"/>
        <v>100</v>
      </c>
      <c r="G412" s="87">
        <f t="shared" si="19"/>
        <v>0</v>
      </c>
      <c r="H412" s="690"/>
      <c r="I412" s="693"/>
      <c r="J412" s="692"/>
      <c r="K412" s="692"/>
    </row>
    <row r="413" spans="1:11" ht="15" customHeight="1" x14ac:dyDescent="0.25">
      <c r="A413" s="728">
        <f t="shared" si="17"/>
        <v>96.916299559471369</v>
      </c>
      <c r="B413" s="87" t="s">
        <v>3196</v>
      </c>
      <c r="C413" s="514" t="s">
        <v>3095</v>
      </c>
      <c r="D413" s="87">
        <v>22000</v>
      </c>
      <c r="E413" s="87">
        <v>227</v>
      </c>
      <c r="F413" s="563">
        <f t="shared" si="18"/>
        <v>22000</v>
      </c>
      <c r="G413" s="87">
        <f t="shared" si="19"/>
        <v>0</v>
      </c>
      <c r="H413" s="690"/>
      <c r="I413" s="693"/>
      <c r="J413" s="692"/>
      <c r="K413" s="692"/>
    </row>
    <row r="414" spans="1:11" ht="15" customHeight="1" x14ac:dyDescent="0.25">
      <c r="A414" s="728">
        <f t="shared" si="17"/>
        <v>88.028169014084511</v>
      </c>
      <c r="B414" s="87" t="s">
        <v>3196</v>
      </c>
      <c r="C414" s="514" t="s">
        <v>2916</v>
      </c>
      <c r="D414" s="87">
        <v>25000</v>
      </c>
      <c r="E414" s="87">
        <v>284</v>
      </c>
      <c r="F414" s="563">
        <f t="shared" si="18"/>
        <v>25000</v>
      </c>
      <c r="G414" s="87">
        <f t="shared" si="19"/>
        <v>0</v>
      </c>
      <c r="H414" s="690"/>
      <c r="I414" s="693"/>
      <c r="J414" s="692"/>
      <c r="K414" s="692"/>
    </row>
    <row r="415" spans="1:11" ht="15" customHeight="1" x14ac:dyDescent="0.25">
      <c r="A415" s="728">
        <f t="shared" si="17"/>
        <v>87.962962962962962</v>
      </c>
      <c r="B415" s="87" t="s">
        <v>3196</v>
      </c>
      <c r="C415" s="514" t="s">
        <v>3114</v>
      </c>
      <c r="D415" s="87">
        <v>19000</v>
      </c>
      <c r="E415" s="87">
        <v>216</v>
      </c>
      <c r="F415" s="563">
        <f t="shared" si="18"/>
        <v>19000</v>
      </c>
      <c r="G415" s="87">
        <f t="shared" si="19"/>
        <v>0</v>
      </c>
      <c r="H415" s="690"/>
      <c r="I415" s="693"/>
      <c r="J415" s="692"/>
      <c r="K415" s="692"/>
    </row>
    <row r="416" spans="1:11" ht="15" customHeight="1" x14ac:dyDescent="0.25">
      <c r="A416" s="728">
        <f t="shared" si="17"/>
        <v>87.962962962962962</v>
      </c>
      <c r="B416" s="87" t="s">
        <v>3196</v>
      </c>
      <c r="C416" s="514" t="s">
        <v>3113</v>
      </c>
      <c r="D416" s="87">
        <v>19000</v>
      </c>
      <c r="E416" s="87">
        <v>216</v>
      </c>
      <c r="F416" s="563">
        <f t="shared" si="18"/>
        <v>19000</v>
      </c>
      <c r="G416" s="87">
        <f t="shared" si="19"/>
        <v>0</v>
      </c>
      <c r="H416" s="690"/>
      <c r="I416" s="693"/>
      <c r="J416" s="692"/>
      <c r="K416" s="692"/>
    </row>
    <row r="417" spans="1:11" ht="15" customHeight="1" x14ac:dyDescent="0.25">
      <c r="A417" s="728">
        <f t="shared" si="17"/>
        <v>87.912087912087912</v>
      </c>
      <c r="B417" s="87" t="s">
        <v>3196</v>
      </c>
      <c r="C417" s="514" t="s">
        <v>3202</v>
      </c>
      <c r="D417" s="87">
        <v>8000</v>
      </c>
      <c r="E417" s="87">
        <v>91</v>
      </c>
      <c r="F417" s="563">
        <f t="shared" si="18"/>
        <v>8000</v>
      </c>
      <c r="G417" s="87">
        <f t="shared" si="19"/>
        <v>0</v>
      </c>
      <c r="H417" s="690"/>
      <c r="I417" s="693"/>
      <c r="J417" s="692"/>
      <c r="K417" s="692"/>
    </row>
    <row r="418" spans="1:11" ht="15" customHeight="1" x14ac:dyDescent="0.25">
      <c r="A418" s="728">
        <f t="shared" si="17"/>
        <v>88.105726872246692</v>
      </c>
      <c r="B418" s="87" t="s">
        <v>3196</v>
      </c>
      <c r="C418" s="514" t="s">
        <v>3069</v>
      </c>
      <c r="D418" s="87">
        <v>20000</v>
      </c>
      <c r="E418" s="87">
        <v>227</v>
      </c>
      <c r="F418" s="563">
        <f t="shared" si="18"/>
        <v>20000</v>
      </c>
      <c r="G418" s="87">
        <f t="shared" si="19"/>
        <v>0</v>
      </c>
      <c r="H418" s="690"/>
      <c r="I418" s="693"/>
      <c r="J418" s="692"/>
      <c r="K418" s="692"/>
    </row>
    <row r="419" spans="1:11" ht="15" customHeight="1" x14ac:dyDescent="0.25">
      <c r="A419" s="728">
        <f t="shared" si="17"/>
        <v>87.912087912087912</v>
      </c>
      <c r="B419" s="87" t="s">
        <v>3196</v>
      </c>
      <c r="C419" s="514" t="s">
        <v>3203</v>
      </c>
      <c r="D419" s="87">
        <v>8000</v>
      </c>
      <c r="E419" s="87">
        <v>91</v>
      </c>
      <c r="F419" s="563">
        <f t="shared" si="18"/>
        <v>8000</v>
      </c>
      <c r="G419" s="87">
        <f t="shared" si="19"/>
        <v>0</v>
      </c>
      <c r="H419" s="690"/>
      <c r="I419" s="693"/>
      <c r="J419" s="692"/>
      <c r="K419" s="692"/>
    </row>
    <row r="420" spans="1:11" ht="15" customHeight="1" x14ac:dyDescent="0.25">
      <c r="A420" s="728">
        <f t="shared" ref="A420:A483" si="20">D420/E420</f>
        <v>87.912087912087912</v>
      </c>
      <c r="B420" s="87" t="s">
        <v>3196</v>
      </c>
      <c r="C420" s="514" t="s">
        <v>30</v>
      </c>
      <c r="D420" s="87">
        <v>8000</v>
      </c>
      <c r="E420" s="87">
        <v>91</v>
      </c>
      <c r="F420" s="563">
        <f t="shared" si="18"/>
        <v>8000</v>
      </c>
      <c r="G420" s="87">
        <f t="shared" si="19"/>
        <v>0</v>
      </c>
      <c r="H420" s="690"/>
      <c r="I420" s="693"/>
      <c r="J420" s="692"/>
      <c r="K420" s="692"/>
    </row>
    <row r="421" spans="1:11" ht="15" customHeight="1" x14ac:dyDescent="0.25">
      <c r="A421" s="728">
        <f t="shared" si="20"/>
        <v>88</v>
      </c>
      <c r="B421" s="87" t="s">
        <v>3196</v>
      </c>
      <c r="C421" s="514" t="s">
        <v>2537</v>
      </c>
      <c r="D421" s="87">
        <v>28600</v>
      </c>
      <c r="E421" s="87">
        <v>325</v>
      </c>
      <c r="F421" s="563">
        <f t="shared" si="18"/>
        <v>28600</v>
      </c>
      <c r="G421" s="87">
        <f t="shared" si="19"/>
        <v>0</v>
      </c>
      <c r="H421" s="690"/>
      <c r="I421" s="693"/>
      <c r="J421" s="692"/>
      <c r="K421" s="692"/>
    </row>
    <row r="422" spans="1:11" ht="15" customHeight="1" x14ac:dyDescent="0.25">
      <c r="A422" s="728">
        <f t="shared" si="20"/>
        <v>87.976539589442808</v>
      </c>
      <c r="B422" s="87" t="s">
        <v>3196</v>
      </c>
      <c r="C422" s="514" t="s">
        <v>3204</v>
      </c>
      <c r="D422" s="87">
        <v>30000</v>
      </c>
      <c r="E422" s="87">
        <v>341</v>
      </c>
      <c r="F422" s="563">
        <f t="shared" si="18"/>
        <v>30000</v>
      </c>
      <c r="G422" s="87">
        <f t="shared" si="19"/>
        <v>0</v>
      </c>
      <c r="H422" s="690"/>
      <c r="I422" s="693"/>
      <c r="J422" s="692"/>
      <c r="K422" s="692"/>
    </row>
    <row r="423" spans="1:11" ht="15" customHeight="1" x14ac:dyDescent="0.25">
      <c r="A423" s="728">
        <f t="shared" si="20"/>
        <v>87.786259541984734</v>
      </c>
      <c r="B423" s="87" t="s">
        <v>3196</v>
      </c>
      <c r="C423" s="514" t="s">
        <v>3205</v>
      </c>
      <c r="D423" s="87">
        <v>23000</v>
      </c>
      <c r="E423" s="87">
        <v>262</v>
      </c>
      <c r="F423" s="563">
        <f t="shared" si="18"/>
        <v>23000</v>
      </c>
      <c r="G423" s="87">
        <f t="shared" si="19"/>
        <v>0</v>
      </c>
      <c r="H423" s="690"/>
      <c r="I423" s="693"/>
      <c r="J423" s="692"/>
      <c r="K423" s="692"/>
    </row>
    <row r="424" spans="1:11" ht="15" customHeight="1" x14ac:dyDescent="0.25">
      <c r="A424" s="728">
        <f t="shared" si="20"/>
        <v>87.912087912087912</v>
      </c>
      <c r="B424" s="87" t="s">
        <v>3196</v>
      </c>
      <c r="C424" s="514" t="s">
        <v>2142</v>
      </c>
      <c r="D424" s="87">
        <v>16000</v>
      </c>
      <c r="E424" s="87">
        <v>182</v>
      </c>
      <c r="F424" s="563">
        <f t="shared" si="18"/>
        <v>16000</v>
      </c>
      <c r="G424" s="87">
        <f t="shared" si="19"/>
        <v>0</v>
      </c>
      <c r="H424" s="690"/>
      <c r="I424" s="693"/>
      <c r="J424" s="692"/>
      <c r="K424" s="692"/>
    </row>
    <row r="425" spans="1:11" ht="15" customHeight="1" x14ac:dyDescent="0.25">
      <c r="A425" s="728">
        <f t="shared" si="20"/>
        <v>87.912087912087912</v>
      </c>
      <c r="B425" s="87" t="s">
        <v>3196</v>
      </c>
      <c r="C425" s="514" t="s">
        <v>2303</v>
      </c>
      <c r="D425" s="87">
        <v>16000</v>
      </c>
      <c r="E425" s="87">
        <v>182</v>
      </c>
      <c r="F425" s="563">
        <f t="shared" si="18"/>
        <v>16000</v>
      </c>
      <c r="G425" s="87">
        <f t="shared" si="19"/>
        <v>0</v>
      </c>
      <c r="H425" s="690"/>
      <c r="I425" s="693"/>
      <c r="J425" s="692"/>
      <c r="K425" s="692"/>
    </row>
    <row r="426" spans="1:11" ht="15" customHeight="1" x14ac:dyDescent="0.25">
      <c r="A426" s="728">
        <f t="shared" si="20"/>
        <v>87.912087912087912</v>
      </c>
      <c r="B426" s="87" t="s">
        <v>3196</v>
      </c>
      <c r="C426" s="514" t="s">
        <v>3206</v>
      </c>
      <c r="D426" s="87">
        <v>24000</v>
      </c>
      <c r="E426" s="87">
        <v>273</v>
      </c>
      <c r="F426" s="563">
        <f t="shared" si="18"/>
        <v>24000</v>
      </c>
      <c r="G426" s="87">
        <f t="shared" si="19"/>
        <v>0</v>
      </c>
      <c r="H426" s="690"/>
      <c r="I426" s="693"/>
      <c r="J426" s="692"/>
      <c r="K426" s="692"/>
    </row>
    <row r="427" spans="1:11" ht="15" customHeight="1" x14ac:dyDescent="0.25">
      <c r="A427" s="728">
        <f t="shared" si="20"/>
        <v>88.235294117647058</v>
      </c>
      <c r="B427" s="87" t="s">
        <v>3196</v>
      </c>
      <c r="C427" s="514" t="s">
        <v>3207</v>
      </c>
      <c r="D427" s="87">
        <v>24000</v>
      </c>
      <c r="E427" s="87">
        <v>272</v>
      </c>
      <c r="F427" s="563">
        <f t="shared" si="18"/>
        <v>24000</v>
      </c>
      <c r="G427" s="87">
        <f t="shared" si="19"/>
        <v>0</v>
      </c>
      <c r="H427" s="690"/>
      <c r="I427" s="693"/>
      <c r="J427" s="692"/>
      <c r="K427" s="692"/>
    </row>
    <row r="428" spans="1:11" ht="15" customHeight="1" x14ac:dyDescent="0.25">
      <c r="A428" s="728">
        <f t="shared" si="20"/>
        <v>88.967971530249116</v>
      </c>
      <c r="B428" s="87" t="s">
        <v>3196</v>
      </c>
      <c r="C428" s="514" t="s">
        <v>3208</v>
      </c>
      <c r="D428" s="87">
        <v>25000</v>
      </c>
      <c r="E428" s="87">
        <v>281</v>
      </c>
      <c r="F428" s="563">
        <f t="shared" si="18"/>
        <v>25000</v>
      </c>
      <c r="G428" s="87">
        <f t="shared" si="19"/>
        <v>0</v>
      </c>
      <c r="H428" s="690"/>
      <c r="I428" s="693"/>
      <c r="J428" s="692"/>
      <c r="K428" s="692"/>
    </row>
    <row r="429" spans="1:11" ht="15" customHeight="1" x14ac:dyDescent="0.25">
      <c r="A429" s="728">
        <f t="shared" si="20"/>
        <v>87.912087912087912</v>
      </c>
      <c r="B429" s="87" t="s">
        <v>3196</v>
      </c>
      <c r="C429" s="514" t="s">
        <v>3209</v>
      </c>
      <c r="D429" s="87">
        <v>8000</v>
      </c>
      <c r="E429" s="87">
        <v>91</v>
      </c>
      <c r="F429" s="563">
        <f t="shared" si="18"/>
        <v>8000</v>
      </c>
      <c r="G429" s="87">
        <f t="shared" si="19"/>
        <v>0</v>
      </c>
      <c r="H429" s="690"/>
      <c r="I429" s="693"/>
      <c r="J429" s="692"/>
      <c r="K429" s="692"/>
    </row>
    <row r="430" spans="1:11" ht="15" customHeight="1" x14ac:dyDescent="0.25">
      <c r="A430" s="728">
        <f t="shared" si="20"/>
        <v>87.804878048780495</v>
      </c>
      <c r="B430" s="87" t="s">
        <v>3196</v>
      </c>
      <c r="C430" s="514" t="s">
        <v>3210</v>
      </c>
      <c r="D430" s="87">
        <v>18000</v>
      </c>
      <c r="E430" s="87">
        <v>205</v>
      </c>
      <c r="F430" s="563">
        <f t="shared" si="18"/>
        <v>18000</v>
      </c>
      <c r="G430" s="87">
        <f t="shared" si="19"/>
        <v>0</v>
      </c>
      <c r="H430" s="690"/>
      <c r="I430" s="693"/>
      <c r="J430" s="692"/>
      <c r="K430" s="692"/>
    </row>
    <row r="431" spans="1:11" ht="15" customHeight="1" x14ac:dyDescent="0.25">
      <c r="A431" s="728">
        <f t="shared" si="20"/>
        <v>88.105726872246692</v>
      </c>
      <c r="B431" s="87" t="s">
        <v>3196</v>
      </c>
      <c r="C431" s="514" t="s">
        <v>3211</v>
      </c>
      <c r="D431" s="87">
        <v>20000</v>
      </c>
      <c r="E431" s="87">
        <v>227</v>
      </c>
      <c r="F431" s="563">
        <f t="shared" si="18"/>
        <v>20000</v>
      </c>
      <c r="G431" s="87">
        <f t="shared" si="19"/>
        <v>0</v>
      </c>
      <c r="H431" s="690"/>
      <c r="I431" s="693"/>
      <c r="J431" s="692"/>
      <c r="K431" s="692"/>
    </row>
    <row r="432" spans="1:11" ht="15" customHeight="1" x14ac:dyDescent="0.25">
      <c r="A432" s="728">
        <f t="shared" si="20"/>
        <v>87.976539589442808</v>
      </c>
      <c r="B432" s="87" t="s">
        <v>3196</v>
      </c>
      <c r="C432" s="514" t="s">
        <v>3212</v>
      </c>
      <c r="D432" s="87">
        <v>30000</v>
      </c>
      <c r="E432" s="740">
        <v>341</v>
      </c>
      <c r="F432" s="563">
        <f t="shared" si="18"/>
        <v>30000</v>
      </c>
      <c r="G432" s="87">
        <f t="shared" si="19"/>
        <v>0</v>
      </c>
      <c r="H432" s="690"/>
      <c r="I432" s="693"/>
      <c r="J432" s="692"/>
      <c r="K432" s="692"/>
    </row>
    <row r="433" spans="1:11" ht="15" customHeight="1" x14ac:dyDescent="0.25">
      <c r="A433" s="728">
        <f t="shared" si="20"/>
        <v>87.976539589442808</v>
      </c>
      <c r="B433" s="87" t="s">
        <v>3196</v>
      </c>
      <c r="C433" s="514" t="s">
        <v>3213</v>
      </c>
      <c r="D433" s="87">
        <v>30000</v>
      </c>
      <c r="E433" s="87">
        <v>341</v>
      </c>
      <c r="F433" s="563">
        <f t="shared" si="18"/>
        <v>30000</v>
      </c>
      <c r="G433" s="87">
        <f t="shared" si="19"/>
        <v>0</v>
      </c>
      <c r="H433" s="690"/>
      <c r="I433" s="693"/>
      <c r="J433" s="692"/>
      <c r="K433" s="692"/>
    </row>
    <row r="434" spans="1:11" ht="15" customHeight="1" x14ac:dyDescent="0.25">
      <c r="A434" s="728">
        <f t="shared" si="20"/>
        <v>87.912087912087912</v>
      </c>
      <c r="B434" s="87" t="s">
        <v>3196</v>
      </c>
      <c r="C434" s="514" t="s">
        <v>3214</v>
      </c>
      <c r="D434" s="87">
        <v>24000</v>
      </c>
      <c r="E434" s="87">
        <v>273</v>
      </c>
      <c r="F434" s="563">
        <f t="shared" si="18"/>
        <v>24000</v>
      </c>
      <c r="G434" s="87">
        <f t="shared" si="19"/>
        <v>0</v>
      </c>
      <c r="H434" s="690"/>
      <c r="I434" s="693"/>
      <c r="J434" s="692"/>
      <c r="K434" s="692"/>
    </row>
    <row r="435" spans="1:11" ht="15" customHeight="1" x14ac:dyDescent="0.25">
      <c r="A435" s="728">
        <f t="shared" si="20"/>
        <v>87.912087912087912</v>
      </c>
      <c r="B435" s="87" t="s">
        <v>3196</v>
      </c>
      <c r="C435" s="514" t="s">
        <v>3215</v>
      </c>
      <c r="D435" s="87">
        <v>24000</v>
      </c>
      <c r="E435" s="87">
        <v>273</v>
      </c>
      <c r="F435" s="563">
        <f t="shared" si="18"/>
        <v>24000</v>
      </c>
      <c r="G435" s="87">
        <f t="shared" si="19"/>
        <v>0</v>
      </c>
      <c r="H435" s="690"/>
      <c r="I435" s="693"/>
      <c r="J435" s="692"/>
      <c r="K435" s="692"/>
    </row>
    <row r="436" spans="1:11" ht="15" customHeight="1" x14ac:dyDescent="0.25">
      <c r="A436" s="728">
        <f t="shared" si="20"/>
        <v>87.804878048780495</v>
      </c>
      <c r="B436" s="87" t="s">
        <v>3196</v>
      </c>
      <c r="C436" s="514" t="s">
        <v>3216</v>
      </c>
      <c r="D436" s="87">
        <v>18000</v>
      </c>
      <c r="E436" s="87">
        <v>205</v>
      </c>
      <c r="F436" s="563">
        <f t="shared" si="18"/>
        <v>18000</v>
      </c>
      <c r="G436" s="87">
        <f t="shared" si="19"/>
        <v>0</v>
      </c>
      <c r="H436" s="690"/>
      <c r="I436" s="693"/>
      <c r="J436" s="692"/>
      <c r="K436" s="692"/>
    </row>
    <row r="437" spans="1:11" ht="15" customHeight="1" x14ac:dyDescent="0.25">
      <c r="A437" s="728">
        <f t="shared" si="20"/>
        <v>88.235294117647058</v>
      </c>
      <c r="B437" s="87" t="s">
        <v>3196</v>
      </c>
      <c r="C437" s="514" t="s">
        <v>2546</v>
      </c>
      <c r="D437" s="87">
        <v>15000</v>
      </c>
      <c r="E437" s="87">
        <v>170</v>
      </c>
      <c r="F437" s="563">
        <f t="shared" si="18"/>
        <v>15000</v>
      </c>
      <c r="G437" s="87">
        <f t="shared" si="19"/>
        <v>0</v>
      </c>
      <c r="H437" s="690"/>
      <c r="I437" s="693"/>
      <c r="J437" s="692"/>
      <c r="K437" s="692"/>
    </row>
    <row r="438" spans="1:11" ht="15" customHeight="1" x14ac:dyDescent="0.25">
      <c r="A438" s="728">
        <f t="shared" si="20"/>
        <v>88.105726872246692</v>
      </c>
      <c r="B438" s="87" t="s">
        <v>3196</v>
      </c>
      <c r="C438" s="514" t="s">
        <v>2113</v>
      </c>
      <c r="D438" s="87">
        <v>20000</v>
      </c>
      <c r="E438" s="87">
        <v>227</v>
      </c>
      <c r="F438" s="563">
        <f t="shared" si="18"/>
        <v>20000</v>
      </c>
      <c r="G438" s="87">
        <f t="shared" si="19"/>
        <v>0</v>
      </c>
      <c r="H438" s="690"/>
      <c r="I438" s="693"/>
      <c r="J438" s="692"/>
      <c r="K438" s="692"/>
    </row>
    <row r="439" spans="1:11" ht="15" customHeight="1" x14ac:dyDescent="0.25">
      <c r="A439" s="728">
        <f t="shared" si="20"/>
        <v>88</v>
      </c>
      <c r="B439" s="87" t="s">
        <v>3196</v>
      </c>
      <c r="C439" s="514" t="s">
        <v>2078</v>
      </c>
      <c r="D439" s="87">
        <v>22000</v>
      </c>
      <c r="E439" s="87">
        <v>250</v>
      </c>
      <c r="F439" s="563">
        <f t="shared" si="18"/>
        <v>22000</v>
      </c>
      <c r="G439" s="87">
        <f t="shared" si="19"/>
        <v>0</v>
      </c>
      <c r="H439" s="690"/>
      <c r="I439" s="693"/>
      <c r="J439" s="692"/>
      <c r="K439" s="692"/>
    </row>
    <row r="440" spans="1:11" ht="15" customHeight="1" x14ac:dyDescent="0.25">
      <c r="A440" s="728">
        <f t="shared" si="20"/>
        <v>88</v>
      </c>
      <c r="B440" s="87" t="s">
        <v>3196</v>
      </c>
      <c r="C440" s="514" t="s">
        <v>2080</v>
      </c>
      <c r="D440" s="87">
        <v>22000</v>
      </c>
      <c r="E440" s="87">
        <v>250</v>
      </c>
      <c r="F440" s="563">
        <f t="shared" si="18"/>
        <v>22000</v>
      </c>
      <c r="G440" s="87">
        <f t="shared" si="19"/>
        <v>0</v>
      </c>
      <c r="H440" s="690"/>
      <c r="I440" s="693"/>
      <c r="J440" s="692"/>
      <c r="K440" s="692"/>
    </row>
    <row r="441" spans="1:11" ht="15" customHeight="1" x14ac:dyDescent="0.25">
      <c r="A441" s="728">
        <f t="shared" si="20"/>
        <v>88.235294117647058</v>
      </c>
      <c r="B441" s="87" t="s">
        <v>3196</v>
      </c>
      <c r="C441" s="514" t="s">
        <v>3217</v>
      </c>
      <c r="D441" s="87">
        <v>12000</v>
      </c>
      <c r="E441" s="87">
        <v>136</v>
      </c>
      <c r="F441" s="563">
        <f t="shared" si="18"/>
        <v>12000</v>
      </c>
      <c r="G441" s="87">
        <f t="shared" si="19"/>
        <v>0</v>
      </c>
      <c r="H441" s="690"/>
      <c r="I441" s="693"/>
      <c r="J441" s="692"/>
      <c r="K441" s="692"/>
    </row>
    <row r="442" spans="1:11" ht="15" customHeight="1" x14ac:dyDescent="0.25">
      <c r="A442" s="728">
        <f t="shared" si="20"/>
        <v>88.050314465408803</v>
      </c>
      <c r="B442" s="87" t="s">
        <v>3196</v>
      </c>
      <c r="C442" s="514" t="s">
        <v>2057</v>
      </c>
      <c r="D442" s="87">
        <v>14000</v>
      </c>
      <c r="E442" s="87">
        <v>159</v>
      </c>
      <c r="F442" s="563">
        <f t="shared" si="18"/>
        <v>14000</v>
      </c>
      <c r="G442" s="87">
        <f t="shared" si="19"/>
        <v>0</v>
      </c>
      <c r="H442" s="690"/>
      <c r="I442" s="693"/>
      <c r="J442" s="692"/>
      <c r="K442" s="692"/>
    </row>
    <row r="443" spans="1:11" ht="15" customHeight="1" x14ac:dyDescent="0.25">
      <c r="A443" s="728">
        <f t="shared" si="20"/>
        <v>87.912087912087912</v>
      </c>
      <c r="B443" s="87" t="s">
        <v>3196</v>
      </c>
      <c r="C443" s="514" t="s">
        <v>2029</v>
      </c>
      <c r="D443" s="87">
        <v>16000</v>
      </c>
      <c r="E443" s="87">
        <v>182</v>
      </c>
      <c r="F443" s="563">
        <f t="shared" si="18"/>
        <v>16000</v>
      </c>
      <c r="G443" s="87">
        <f t="shared" si="19"/>
        <v>0</v>
      </c>
      <c r="H443" s="690"/>
      <c r="I443" s="693"/>
      <c r="J443" s="692"/>
      <c r="K443" s="692"/>
    </row>
    <row r="444" spans="1:11" ht="15" customHeight="1" x14ac:dyDescent="0.25">
      <c r="A444" s="728">
        <f t="shared" si="20"/>
        <v>88.105726872246692</v>
      </c>
      <c r="B444" s="87" t="s">
        <v>3196</v>
      </c>
      <c r="C444" s="514" t="s">
        <v>2190</v>
      </c>
      <c r="D444" s="87">
        <v>20000</v>
      </c>
      <c r="E444" s="87">
        <v>227</v>
      </c>
      <c r="F444" s="563">
        <f t="shared" si="18"/>
        <v>20000</v>
      </c>
      <c r="G444" s="87">
        <f t="shared" si="19"/>
        <v>0</v>
      </c>
      <c r="H444" s="690"/>
      <c r="I444" s="693"/>
      <c r="J444" s="692"/>
      <c r="K444" s="692"/>
    </row>
    <row r="445" spans="1:11" ht="15" customHeight="1" x14ac:dyDescent="0.25">
      <c r="A445" s="728">
        <f t="shared" si="20"/>
        <v>92.753623188405797</v>
      </c>
      <c r="B445" s="87" t="s">
        <v>3218</v>
      </c>
      <c r="C445" s="514" t="s">
        <v>2270</v>
      </c>
      <c r="D445" s="87">
        <v>32000</v>
      </c>
      <c r="E445" s="87">
        <v>345</v>
      </c>
      <c r="F445" s="563">
        <f t="shared" si="18"/>
        <v>32000</v>
      </c>
      <c r="G445" s="87">
        <f t="shared" si="19"/>
        <v>0</v>
      </c>
      <c r="H445" s="690"/>
      <c r="I445" s="693"/>
      <c r="J445" s="692"/>
      <c r="K445" s="692"/>
    </row>
    <row r="446" spans="1:11" ht="15" customHeight="1" x14ac:dyDescent="0.25">
      <c r="A446" s="728">
        <f t="shared" si="20"/>
        <v>90.425531914893611</v>
      </c>
      <c r="B446" s="87" t="s">
        <v>3218</v>
      </c>
      <c r="C446" s="514" t="s">
        <v>3222</v>
      </c>
      <c r="D446" s="87">
        <v>17000</v>
      </c>
      <c r="E446" s="87">
        <v>188</v>
      </c>
      <c r="F446" s="563">
        <f t="shared" si="18"/>
        <v>17000</v>
      </c>
      <c r="G446" s="87">
        <f t="shared" si="19"/>
        <v>0</v>
      </c>
      <c r="H446" s="690"/>
      <c r="I446" s="693"/>
      <c r="J446" s="692"/>
      <c r="K446" s="692"/>
    </row>
    <row r="447" spans="1:11" ht="15" customHeight="1" x14ac:dyDescent="0.25">
      <c r="A447" s="728">
        <f t="shared" si="20"/>
        <v>87.818696883852695</v>
      </c>
      <c r="B447" s="87" t="s">
        <v>3218</v>
      </c>
      <c r="C447" s="514" t="s">
        <v>2028</v>
      </c>
      <c r="D447" s="87">
        <v>31000</v>
      </c>
      <c r="E447" s="87">
        <v>353</v>
      </c>
      <c r="F447" s="563">
        <f t="shared" si="18"/>
        <v>31000</v>
      </c>
      <c r="G447" s="87">
        <f t="shared" si="19"/>
        <v>0</v>
      </c>
      <c r="H447" s="690"/>
      <c r="I447" s="693"/>
      <c r="J447" s="692"/>
      <c r="K447" s="692"/>
    </row>
    <row r="448" spans="1:11" ht="15" customHeight="1" x14ac:dyDescent="0.25">
      <c r="A448" s="728">
        <f t="shared" si="20"/>
        <v>88.105726872246692</v>
      </c>
      <c r="B448" s="87" t="s">
        <v>3218</v>
      </c>
      <c r="C448" s="514" t="s">
        <v>3223</v>
      </c>
      <c r="D448" s="87">
        <v>20000</v>
      </c>
      <c r="E448" s="87">
        <v>227</v>
      </c>
      <c r="F448" s="563">
        <f t="shared" si="18"/>
        <v>20000</v>
      </c>
      <c r="G448" s="87">
        <f t="shared" si="19"/>
        <v>0</v>
      </c>
      <c r="H448" s="690"/>
      <c r="I448" s="693"/>
      <c r="J448" s="692"/>
      <c r="K448" s="692"/>
    </row>
    <row r="449" spans="1:11" ht="15" customHeight="1" x14ac:dyDescent="0.25">
      <c r="A449" s="728">
        <f t="shared" si="20"/>
        <v>87.912087912087912</v>
      </c>
      <c r="B449" s="87" t="s">
        <v>3218</v>
      </c>
      <c r="C449" s="514" t="s">
        <v>3133</v>
      </c>
      <c r="D449" s="87">
        <v>16000</v>
      </c>
      <c r="E449" s="87">
        <v>182</v>
      </c>
      <c r="F449" s="563">
        <f t="shared" si="18"/>
        <v>16000</v>
      </c>
      <c r="G449" s="87">
        <f t="shared" si="19"/>
        <v>0</v>
      </c>
      <c r="H449" s="690"/>
      <c r="I449" s="693"/>
      <c r="J449" s="692"/>
      <c r="K449" s="692"/>
    </row>
    <row r="450" spans="1:11" ht="15" customHeight="1" x14ac:dyDescent="0.25">
      <c r="A450" s="728">
        <f t="shared" si="20"/>
        <v>87.86610878661088</v>
      </c>
      <c r="B450" s="87" t="s">
        <v>3218</v>
      </c>
      <c r="C450" s="514" t="s">
        <v>2294</v>
      </c>
      <c r="D450" s="87">
        <v>21000</v>
      </c>
      <c r="E450" s="87">
        <v>239</v>
      </c>
      <c r="F450" s="563">
        <f t="shared" si="18"/>
        <v>21000</v>
      </c>
      <c r="G450" s="87">
        <f t="shared" si="19"/>
        <v>0</v>
      </c>
      <c r="H450" s="690"/>
      <c r="I450" s="693"/>
      <c r="J450" s="692"/>
      <c r="K450" s="692"/>
    </row>
    <row r="451" spans="1:11" ht="15" customHeight="1" x14ac:dyDescent="0.25">
      <c r="A451" s="728">
        <f t="shared" si="20"/>
        <v>88</v>
      </c>
      <c r="B451" s="87" t="s">
        <v>3218</v>
      </c>
      <c r="C451" s="514" t="s">
        <v>3224</v>
      </c>
      <c r="D451" s="87">
        <v>22000</v>
      </c>
      <c r="E451" s="87">
        <v>250</v>
      </c>
      <c r="F451" s="563">
        <f t="shared" si="18"/>
        <v>22000</v>
      </c>
      <c r="G451" s="87">
        <f t="shared" si="19"/>
        <v>0</v>
      </c>
      <c r="H451" s="690"/>
      <c r="I451" s="693"/>
      <c r="J451" s="692"/>
      <c r="K451" s="692"/>
    </row>
    <row r="452" spans="1:11" ht="15" customHeight="1" x14ac:dyDescent="0.25">
      <c r="A452" s="728">
        <f t="shared" si="20"/>
        <v>91.304347826086953</v>
      </c>
      <c r="B452" s="87" t="s">
        <v>3218</v>
      </c>
      <c r="C452" s="514" t="s">
        <v>3225</v>
      </c>
      <c r="D452" s="87">
        <v>21000</v>
      </c>
      <c r="E452" s="476">
        <v>230</v>
      </c>
      <c r="F452" s="563">
        <f t="shared" si="18"/>
        <v>21000</v>
      </c>
      <c r="G452" s="87">
        <f t="shared" si="19"/>
        <v>0</v>
      </c>
      <c r="H452" s="690"/>
      <c r="I452" s="693"/>
      <c r="J452" s="692"/>
      <c r="K452" s="692"/>
    </row>
    <row r="453" spans="1:11" ht="15" customHeight="1" x14ac:dyDescent="0.25">
      <c r="A453" s="728" t="e">
        <f t="shared" si="20"/>
        <v>#DIV/0!</v>
      </c>
      <c r="B453" s="87" t="s">
        <v>3218</v>
      </c>
      <c r="C453" s="87" t="s">
        <v>66</v>
      </c>
      <c r="D453" s="87">
        <v>100</v>
      </c>
      <c r="E453" s="87"/>
      <c r="F453" s="563">
        <f t="shared" si="18"/>
        <v>100</v>
      </c>
      <c r="G453" s="87">
        <f t="shared" si="19"/>
        <v>0</v>
      </c>
      <c r="H453" s="690"/>
      <c r="I453" s="693"/>
      <c r="J453" s="692"/>
      <c r="K453" s="692"/>
    </row>
    <row r="454" spans="1:11" ht="15" customHeight="1" x14ac:dyDescent="0.25">
      <c r="A454" s="728">
        <f t="shared" si="20"/>
        <v>88.034188034188034</v>
      </c>
      <c r="B454" s="87" t="s">
        <v>3218</v>
      </c>
      <c r="C454" s="514" t="s">
        <v>3226</v>
      </c>
      <c r="D454" s="87">
        <v>20600</v>
      </c>
      <c r="E454" s="87">
        <v>234</v>
      </c>
      <c r="F454" s="563">
        <f t="shared" si="18"/>
        <v>20600</v>
      </c>
      <c r="G454" s="87">
        <f t="shared" si="19"/>
        <v>0</v>
      </c>
      <c r="H454" s="690"/>
      <c r="I454" s="693"/>
      <c r="J454" s="692"/>
      <c r="K454" s="692"/>
    </row>
    <row r="455" spans="1:11" ht="15" customHeight="1" x14ac:dyDescent="0.25">
      <c r="A455" s="728">
        <f t="shared" si="20"/>
        <v>88</v>
      </c>
      <c r="B455" s="87" t="s">
        <v>3218</v>
      </c>
      <c r="C455" s="514" t="s">
        <v>3227</v>
      </c>
      <c r="D455" s="87">
        <v>22528</v>
      </c>
      <c r="E455" s="87">
        <v>256</v>
      </c>
      <c r="F455" s="563">
        <f t="shared" si="18"/>
        <v>22528</v>
      </c>
      <c r="G455" s="87">
        <f t="shared" si="19"/>
        <v>0</v>
      </c>
      <c r="H455" s="690"/>
      <c r="I455" s="693"/>
      <c r="J455" s="692"/>
      <c r="K455" s="692"/>
    </row>
    <row r="456" spans="1:11" ht="15" customHeight="1" x14ac:dyDescent="0.25">
      <c r="A456" s="728">
        <f t="shared" si="20"/>
        <v>88.235294117647058</v>
      </c>
      <c r="B456" s="87" t="s">
        <v>3218</v>
      </c>
      <c r="C456" s="514" t="s">
        <v>2545</v>
      </c>
      <c r="D456" s="87">
        <v>15000</v>
      </c>
      <c r="E456" s="87">
        <v>170</v>
      </c>
      <c r="F456" s="563">
        <f t="shared" si="18"/>
        <v>15000</v>
      </c>
      <c r="G456" s="87">
        <f t="shared" si="19"/>
        <v>0</v>
      </c>
      <c r="H456" s="690"/>
      <c r="I456" s="693"/>
      <c r="J456" s="692"/>
      <c r="K456" s="692"/>
    </row>
    <row r="457" spans="1:11" ht="15" customHeight="1" x14ac:dyDescent="0.25">
      <c r="A457" s="728">
        <f t="shared" si="20"/>
        <v>88.235294117647058</v>
      </c>
      <c r="B457" s="87" t="s">
        <v>3218</v>
      </c>
      <c r="C457" s="514" t="s">
        <v>2986</v>
      </c>
      <c r="D457" s="87">
        <v>15000</v>
      </c>
      <c r="E457" s="87">
        <v>170</v>
      </c>
      <c r="F457" s="563">
        <f t="shared" si="18"/>
        <v>15000</v>
      </c>
      <c r="G457" s="87">
        <f t="shared" si="19"/>
        <v>0</v>
      </c>
      <c r="H457" s="690"/>
      <c r="I457" s="693"/>
      <c r="J457" s="692"/>
      <c r="K457" s="692"/>
    </row>
    <row r="458" spans="1:11" ht="15" customHeight="1" x14ac:dyDescent="0.25">
      <c r="A458" s="728">
        <f t="shared" si="20"/>
        <v>88.010204081632651</v>
      </c>
      <c r="B458" s="87" t="s">
        <v>3218</v>
      </c>
      <c r="C458" s="514" t="s">
        <v>3228</v>
      </c>
      <c r="D458" s="87">
        <v>17250</v>
      </c>
      <c r="E458" s="87">
        <v>196</v>
      </c>
      <c r="F458" s="563">
        <f t="shared" si="18"/>
        <v>17250</v>
      </c>
      <c r="G458" s="87">
        <f t="shared" si="19"/>
        <v>0</v>
      </c>
      <c r="H458" s="690"/>
      <c r="I458" s="693"/>
      <c r="J458" s="692"/>
      <c r="K458" s="692"/>
    </row>
    <row r="459" spans="1:11" ht="15" customHeight="1" x14ac:dyDescent="0.25">
      <c r="A459" s="728">
        <f t="shared" si="20"/>
        <v>96.330275229357795</v>
      </c>
      <c r="B459" s="87" t="s">
        <v>3229</v>
      </c>
      <c r="C459" s="514" t="s">
        <v>66</v>
      </c>
      <c r="D459" s="87">
        <v>210</v>
      </c>
      <c r="E459" s="87">
        <v>2.1800000000000002</v>
      </c>
      <c r="F459" s="563">
        <f t="shared" si="18"/>
        <v>210</v>
      </c>
      <c r="G459" s="87">
        <f t="shared" si="19"/>
        <v>0</v>
      </c>
      <c r="H459" s="690"/>
      <c r="I459" s="693"/>
      <c r="J459" s="692"/>
      <c r="K459" s="692"/>
    </row>
    <row r="460" spans="1:11" ht="15" customHeight="1" x14ac:dyDescent="0.25">
      <c r="A460" s="728">
        <f t="shared" si="20"/>
        <v>101.5228426395939</v>
      </c>
      <c r="B460" s="87" t="s">
        <v>3229</v>
      </c>
      <c r="C460" s="514" t="s">
        <v>2891</v>
      </c>
      <c r="D460" s="87">
        <v>20000</v>
      </c>
      <c r="E460" s="87">
        <v>197</v>
      </c>
      <c r="F460" s="563">
        <f t="shared" si="18"/>
        <v>20000</v>
      </c>
      <c r="G460" s="87">
        <f t="shared" si="19"/>
        <v>0</v>
      </c>
      <c r="H460" s="690"/>
      <c r="I460" s="693"/>
      <c r="J460" s="692"/>
      <c r="K460" s="692"/>
    </row>
    <row r="461" spans="1:11" ht="15" customHeight="1" x14ac:dyDescent="0.25">
      <c r="A461" s="728">
        <f t="shared" si="20"/>
        <v>88.235294117647058</v>
      </c>
      <c r="B461" s="87" t="s">
        <v>3229</v>
      </c>
      <c r="C461" s="514" t="s">
        <v>17</v>
      </c>
      <c r="D461" s="87">
        <v>3000</v>
      </c>
      <c r="E461" s="87">
        <v>34</v>
      </c>
      <c r="F461" s="563">
        <f t="shared" si="18"/>
        <v>3000</v>
      </c>
      <c r="G461" s="87">
        <f t="shared" si="19"/>
        <v>0</v>
      </c>
      <c r="H461" s="690"/>
      <c r="I461" s="693"/>
      <c r="J461" s="692"/>
      <c r="K461" s="692"/>
    </row>
    <row r="462" spans="1:11" ht="15" customHeight="1" x14ac:dyDescent="0.25">
      <c r="A462" s="728">
        <f t="shared" si="20"/>
        <v>88.607594936708864</v>
      </c>
      <c r="B462" s="87" t="s">
        <v>3229</v>
      </c>
      <c r="C462" s="514" t="s">
        <v>30</v>
      </c>
      <c r="D462" s="87">
        <v>7000</v>
      </c>
      <c r="E462" s="87">
        <v>79</v>
      </c>
      <c r="F462" s="563">
        <f t="shared" si="18"/>
        <v>7000</v>
      </c>
      <c r="G462" s="87">
        <f t="shared" si="19"/>
        <v>0</v>
      </c>
      <c r="H462" s="690"/>
      <c r="I462" s="693"/>
      <c r="J462" s="692"/>
      <c r="K462" s="692"/>
    </row>
    <row r="463" spans="1:11" ht="15" customHeight="1" x14ac:dyDescent="0.25">
      <c r="A463" s="728">
        <f t="shared" si="20"/>
        <v>87.912087912087912</v>
      </c>
      <c r="B463" s="87" t="s">
        <v>3229</v>
      </c>
      <c r="C463" s="514" t="s">
        <v>30</v>
      </c>
      <c r="D463" s="87">
        <v>8000</v>
      </c>
      <c r="E463" s="87">
        <v>91</v>
      </c>
      <c r="F463" s="563">
        <f t="shared" si="18"/>
        <v>8000</v>
      </c>
      <c r="G463" s="87">
        <f t="shared" si="19"/>
        <v>0</v>
      </c>
      <c r="H463" s="690"/>
      <c r="I463" s="693"/>
      <c r="J463" s="692"/>
      <c r="K463" s="692"/>
    </row>
    <row r="464" spans="1:11" ht="15" customHeight="1" x14ac:dyDescent="0.25">
      <c r="A464" s="728">
        <f t="shared" si="20"/>
        <v>87.804878048780495</v>
      </c>
      <c r="B464" s="87" t="s">
        <v>3229</v>
      </c>
      <c r="C464" s="514" t="s">
        <v>2924</v>
      </c>
      <c r="D464" s="87">
        <v>18000</v>
      </c>
      <c r="E464" s="87">
        <v>205</v>
      </c>
      <c r="F464" s="563">
        <f t="shared" ref="F464:F527" si="21">D464</f>
        <v>18000</v>
      </c>
      <c r="G464" s="87">
        <f t="shared" si="19"/>
        <v>0</v>
      </c>
      <c r="H464" s="690"/>
      <c r="I464" s="693"/>
      <c r="J464" s="692"/>
      <c r="K464" s="692"/>
    </row>
    <row r="465" spans="1:11" ht="15" customHeight="1" x14ac:dyDescent="0.25">
      <c r="A465" s="728">
        <f t="shared" si="20"/>
        <v>87.86610878661088</v>
      </c>
      <c r="B465" s="87" t="s">
        <v>3229</v>
      </c>
      <c r="C465" s="514" t="s">
        <v>3230</v>
      </c>
      <c r="D465" s="87">
        <v>21000</v>
      </c>
      <c r="E465" s="87">
        <v>239</v>
      </c>
      <c r="F465" s="563">
        <f t="shared" si="21"/>
        <v>21000</v>
      </c>
      <c r="G465" s="87">
        <f t="shared" si="19"/>
        <v>0</v>
      </c>
      <c r="H465" s="690"/>
      <c r="I465" s="693"/>
      <c r="J465" s="692"/>
      <c r="K465" s="692"/>
    </row>
    <row r="466" spans="1:11" ht="15" customHeight="1" x14ac:dyDescent="0.25">
      <c r="A466" s="728">
        <f t="shared" si="20"/>
        <v>87.86610878661088</v>
      </c>
      <c r="B466" s="87" t="s">
        <v>3229</v>
      </c>
      <c r="C466" s="514" t="s">
        <v>3156</v>
      </c>
      <c r="D466" s="87">
        <v>21000</v>
      </c>
      <c r="E466" s="87">
        <v>239</v>
      </c>
      <c r="F466" s="563">
        <f t="shared" si="21"/>
        <v>21000</v>
      </c>
      <c r="G466" s="87">
        <f t="shared" si="19"/>
        <v>0</v>
      </c>
      <c r="H466" s="690"/>
      <c r="I466" s="693"/>
      <c r="J466" s="692"/>
      <c r="K466" s="692"/>
    </row>
    <row r="467" spans="1:11" ht="15" customHeight="1" x14ac:dyDescent="0.25">
      <c r="A467" s="728">
        <f t="shared" si="20"/>
        <v>88</v>
      </c>
      <c r="B467" s="87" t="s">
        <v>3229</v>
      </c>
      <c r="C467" s="514" t="s">
        <v>3231</v>
      </c>
      <c r="D467" s="87">
        <v>33000</v>
      </c>
      <c r="E467" s="87">
        <v>375</v>
      </c>
      <c r="F467" s="563">
        <f t="shared" si="21"/>
        <v>33000</v>
      </c>
      <c r="G467" s="87">
        <f t="shared" si="19"/>
        <v>0</v>
      </c>
      <c r="H467" s="690"/>
      <c r="I467" s="693"/>
      <c r="J467" s="692"/>
      <c r="K467" s="692"/>
    </row>
    <row r="468" spans="1:11" ht="15" customHeight="1" x14ac:dyDescent="0.25">
      <c r="A468" s="728">
        <f t="shared" si="20"/>
        <v>88.235294117647058</v>
      </c>
      <c r="B468" s="87" t="s">
        <v>3229</v>
      </c>
      <c r="C468" s="514" t="s">
        <v>2788</v>
      </c>
      <c r="D468" s="87">
        <v>15000</v>
      </c>
      <c r="E468" s="87">
        <v>170</v>
      </c>
      <c r="F468" s="563">
        <f t="shared" si="21"/>
        <v>15000</v>
      </c>
      <c r="G468" s="87">
        <f t="shared" si="19"/>
        <v>0</v>
      </c>
      <c r="H468" s="690"/>
      <c r="I468" s="693"/>
      <c r="J468" s="692"/>
      <c r="K468" s="692"/>
    </row>
    <row r="469" spans="1:11" ht="15" customHeight="1" x14ac:dyDescent="0.25">
      <c r="A469" s="728">
        <f t="shared" si="20"/>
        <v>88.235294117647058</v>
      </c>
      <c r="B469" s="87" t="s">
        <v>3229</v>
      </c>
      <c r="C469" s="514" t="s">
        <v>3232</v>
      </c>
      <c r="D469" s="87">
        <v>15000</v>
      </c>
      <c r="E469" s="87">
        <v>170</v>
      </c>
      <c r="F469" s="563">
        <f t="shared" si="21"/>
        <v>15000</v>
      </c>
      <c r="G469" s="87">
        <f t="shared" si="19"/>
        <v>0</v>
      </c>
      <c r="H469" s="690"/>
      <c r="I469" s="693"/>
      <c r="J469" s="692"/>
      <c r="K469" s="692"/>
    </row>
    <row r="470" spans="1:11" ht="15" customHeight="1" x14ac:dyDescent="0.25">
      <c r="A470" s="728">
        <f t="shared" si="20"/>
        <v>98.214285714285708</v>
      </c>
      <c r="B470" s="87" t="s">
        <v>3229</v>
      </c>
      <c r="C470" s="514" t="s">
        <v>66</v>
      </c>
      <c r="D470" s="87">
        <v>110</v>
      </c>
      <c r="E470" s="87">
        <v>1.1200000000000001</v>
      </c>
      <c r="F470" s="563">
        <f t="shared" si="21"/>
        <v>110</v>
      </c>
      <c r="G470" s="87">
        <f t="shared" si="19"/>
        <v>0</v>
      </c>
      <c r="H470" s="690"/>
      <c r="I470" s="693"/>
      <c r="J470" s="692"/>
      <c r="K470" s="692"/>
    </row>
    <row r="471" spans="1:11" ht="15" customHeight="1" x14ac:dyDescent="0.25">
      <c r="A471" s="728">
        <f t="shared" si="20"/>
        <v>87.86610878661088</v>
      </c>
      <c r="B471" s="87" t="s">
        <v>3229</v>
      </c>
      <c r="C471" s="514" t="s">
        <v>2977</v>
      </c>
      <c r="D471" s="87">
        <v>21000</v>
      </c>
      <c r="E471" s="87">
        <v>239</v>
      </c>
      <c r="F471" s="563">
        <f t="shared" si="21"/>
        <v>21000</v>
      </c>
      <c r="G471" s="87">
        <f t="shared" si="19"/>
        <v>0</v>
      </c>
      <c r="H471" s="690"/>
      <c r="I471" s="693"/>
      <c r="J471" s="692"/>
      <c r="K471" s="692"/>
    </row>
    <row r="472" spans="1:11" ht="15" customHeight="1" x14ac:dyDescent="0.25">
      <c r="A472" s="728">
        <f t="shared" si="20"/>
        <v>87.804878048780495</v>
      </c>
      <c r="B472" s="87" t="s">
        <v>3229</v>
      </c>
      <c r="C472" s="514" t="s">
        <v>3233</v>
      </c>
      <c r="D472" s="87">
        <v>18000</v>
      </c>
      <c r="E472" s="87">
        <v>205</v>
      </c>
      <c r="F472" s="563">
        <f t="shared" si="21"/>
        <v>18000</v>
      </c>
      <c r="G472" s="87">
        <f t="shared" si="19"/>
        <v>0</v>
      </c>
      <c r="H472" s="690"/>
      <c r="I472" s="693"/>
      <c r="J472" s="692"/>
      <c r="K472" s="692"/>
    </row>
    <row r="473" spans="1:11" ht="15" customHeight="1" x14ac:dyDescent="0.25">
      <c r="A473" s="728">
        <f t="shared" si="20"/>
        <v>87.976539589442808</v>
      </c>
      <c r="B473" s="87" t="s">
        <v>3229</v>
      </c>
      <c r="C473" s="514" t="s">
        <v>3234</v>
      </c>
      <c r="D473" s="87">
        <v>30000</v>
      </c>
      <c r="E473" s="87">
        <v>341</v>
      </c>
      <c r="F473" s="563">
        <f t="shared" si="21"/>
        <v>30000</v>
      </c>
      <c r="G473" s="87">
        <f t="shared" si="19"/>
        <v>0</v>
      </c>
      <c r="H473" s="690"/>
      <c r="I473" s="693"/>
      <c r="J473" s="692"/>
      <c r="K473" s="692"/>
    </row>
    <row r="474" spans="1:11" ht="15" customHeight="1" x14ac:dyDescent="0.25">
      <c r="A474" s="728">
        <f t="shared" si="20"/>
        <v>87.804878048780495</v>
      </c>
      <c r="B474" s="87" t="s">
        <v>3229</v>
      </c>
      <c r="C474" s="514" t="s">
        <v>3235</v>
      </c>
      <c r="D474" s="87">
        <v>18000</v>
      </c>
      <c r="E474" s="87">
        <v>205</v>
      </c>
      <c r="F474" s="563">
        <f t="shared" si="21"/>
        <v>18000</v>
      </c>
      <c r="G474" s="87">
        <f t="shared" si="19"/>
        <v>0</v>
      </c>
      <c r="H474" s="690"/>
      <c r="I474" s="693"/>
      <c r="J474" s="692"/>
      <c r="K474" s="692"/>
    </row>
    <row r="475" spans="1:11" ht="15" customHeight="1" x14ac:dyDescent="0.25">
      <c r="A475" s="728">
        <f t="shared" si="20"/>
        <v>92.05020920502092</v>
      </c>
      <c r="B475" s="87" t="s">
        <v>3229</v>
      </c>
      <c r="C475" s="514" t="s">
        <v>3236</v>
      </c>
      <c r="D475" s="87">
        <v>22000</v>
      </c>
      <c r="E475" s="87">
        <v>239</v>
      </c>
      <c r="F475" s="563">
        <f t="shared" si="21"/>
        <v>22000</v>
      </c>
      <c r="G475" s="87">
        <f t="shared" si="19"/>
        <v>0</v>
      </c>
      <c r="H475" s="690"/>
      <c r="I475" s="693"/>
      <c r="J475" s="692"/>
      <c r="K475" s="692"/>
    </row>
    <row r="476" spans="1:11" ht="15" customHeight="1" x14ac:dyDescent="0.25">
      <c r="A476" s="728">
        <f t="shared" si="20"/>
        <v>88</v>
      </c>
      <c r="B476" s="87" t="s">
        <v>3237</v>
      </c>
      <c r="C476" s="514" t="s">
        <v>3238</v>
      </c>
      <c r="D476" s="87">
        <v>22000</v>
      </c>
      <c r="E476" s="87">
        <v>250</v>
      </c>
      <c r="F476" s="563">
        <f t="shared" si="21"/>
        <v>22000</v>
      </c>
      <c r="G476" s="87">
        <f t="shared" si="19"/>
        <v>0</v>
      </c>
      <c r="H476" s="690"/>
      <c r="I476" s="693"/>
      <c r="J476" s="692"/>
      <c r="K476" s="692"/>
    </row>
    <row r="477" spans="1:11" ht="15" customHeight="1" x14ac:dyDescent="0.25">
      <c r="A477" s="728">
        <f t="shared" si="20"/>
        <v>87.786259541984734</v>
      </c>
      <c r="B477" s="87" t="s">
        <v>3237</v>
      </c>
      <c r="C477" s="514" t="s">
        <v>3239</v>
      </c>
      <c r="D477" s="87">
        <v>23000</v>
      </c>
      <c r="E477" s="87">
        <v>262</v>
      </c>
      <c r="F477" s="563">
        <f t="shared" si="21"/>
        <v>23000</v>
      </c>
      <c r="G477" s="87">
        <f t="shared" si="19"/>
        <v>0</v>
      </c>
      <c r="H477" s="690"/>
      <c r="I477" s="693"/>
      <c r="J477" s="692"/>
      <c r="K477" s="692"/>
    </row>
    <row r="478" spans="1:11" ht="15" customHeight="1" x14ac:dyDescent="0.25">
      <c r="A478" s="728">
        <f t="shared" si="20"/>
        <v>88.105726872246692</v>
      </c>
      <c r="B478" s="87" t="s">
        <v>3237</v>
      </c>
      <c r="C478" s="514" t="s">
        <v>3240</v>
      </c>
      <c r="D478" s="87">
        <v>20000</v>
      </c>
      <c r="E478" s="87">
        <v>227</v>
      </c>
      <c r="F478" s="563">
        <f t="shared" si="21"/>
        <v>20000</v>
      </c>
      <c r="G478" s="87">
        <f t="shared" si="19"/>
        <v>0</v>
      </c>
      <c r="H478" s="690"/>
      <c r="I478" s="693"/>
      <c r="J478" s="692"/>
      <c r="K478" s="692"/>
    </row>
    <row r="479" spans="1:11" ht="15" customHeight="1" x14ac:dyDescent="0.25">
      <c r="A479" s="728">
        <f t="shared" si="20"/>
        <v>87.774294670846402</v>
      </c>
      <c r="B479" s="87" t="s">
        <v>3241</v>
      </c>
      <c r="C479" s="514" t="s">
        <v>3246</v>
      </c>
      <c r="D479" s="87">
        <v>28000</v>
      </c>
      <c r="E479" s="87">
        <v>319</v>
      </c>
      <c r="F479" s="563">
        <f t="shared" si="21"/>
        <v>28000</v>
      </c>
      <c r="G479" s="87">
        <f t="shared" si="19"/>
        <v>0</v>
      </c>
      <c r="H479" s="690"/>
      <c r="I479" s="693"/>
      <c r="J479" s="692"/>
      <c r="K479" s="692"/>
    </row>
    <row r="480" spans="1:11" ht="15" customHeight="1" x14ac:dyDescent="0.25">
      <c r="A480" s="728">
        <f t="shared" si="20"/>
        <v>88.495575221238937</v>
      </c>
      <c r="B480" s="87" t="s">
        <v>3241</v>
      </c>
      <c r="C480" s="514" t="s">
        <v>3247</v>
      </c>
      <c r="D480" s="87">
        <v>10000</v>
      </c>
      <c r="E480" s="87">
        <v>113</v>
      </c>
      <c r="F480" s="563">
        <f t="shared" si="21"/>
        <v>10000</v>
      </c>
      <c r="G480" s="87">
        <f t="shared" si="19"/>
        <v>0</v>
      </c>
      <c r="H480" s="690"/>
      <c r="I480" s="693"/>
      <c r="J480" s="692"/>
      <c r="K480" s="692"/>
    </row>
    <row r="481" spans="1:11" ht="15" customHeight="1" x14ac:dyDescent="0.25">
      <c r="A481" s="728">
        <f t="shared" si="20"/>
        <v>87.912087912087912</v>
      </c>
      <c r="B481" s="87" t="s">
        <v>3241</v>
      </c>
      <c r="C481" s="514" t="s">
        <v>1926</v>
      </c>
      <c r="D481" s="87">
        <v>16000</v>
      </c>
      <c r="E481" s="87">
        <v>182</v>
      </c>
      <c r="F481" s="563">
        <f t="shared" si="21"/>
        <v>16000</v>
      </c>
      <c r="G481" s="87">
        <f t="shared" si="19"/>
        <v>0</v>
      </c>
      <c r="H481" s="690"/>
      <c r="I481" s="693"/>
      <c r="J481" s="692"/>
      <c r="K481" s="692"/>
    </row>
    <row r="482" spans="1:11" ht="15" customHeight="1" x14ac:dyDescent="0.25">
      <c r="A482" s="728">
        <f t="shared" si="20"/>
        <v>91.836734693877546</v>
      </c>
      <c r="B482" s="87" t="s">
        <v>3241</v>
      </c>
      <c r="C482" s="514" t="s">
        <v>1925</v>
      </c>
      <c r="D482" s="87">
        <v>18000</v>
      </c>
      <c r="E482" s="87">
        <v>196</v>
      </c>
      <c r="F482" s="563">
        <f t="shared" si="21"/>
        <v>18000</v>
      </c>
      <c r="G482" s="87">
        <f t="shared" si="19"/>
        <v>0</v>
      </c>
      <c r="H482" s="690"/>
      <c r="I482" s="693"/>
      <c r="J482" s="692"/>
      <c r="K482" s="692"/>
    </row>
    <row r="483" spans="1:11" ht="15" customHeight="1" x14ac:dyDescent="0.25">
      <c r="A483" s="728">
        <f t="shared" si="20"/>
        <v>96.428571428571431</v>
      </c>
      <c r="B483" s="87" t="s">
        <v>3241</v>
      </c>
      <c r="C483" s="514" t="s">
        <v>3248</v>
      </c>
      <c r="D483" s="87">
        <v>27000</v>
      </c>
      <c r="E483" s="87">
        <v>280</v>
      </c>
      <c r="F483" s="563">
        <f t="shared" si="21"/>
        <v>27000</v>
      </c>
      <c r="G483" s="87">
        <f t="shared" si="19"/>
        <v>0</v>
      </c>
      <c r="H483" s="690"/>
      <c r="I483" s="693"/>
      <c r="J483" s="692"/>
      <c r="K483" s="692"/>
    </row>
    <row r="484" spans="1:11" ht="15" customHeight="1" x14ac:dyDescent="0.25">
      <c r="A484" s="728">
        <f t="shared" ref="A484:A547" si="22">D484/E484</f>
        <v>88</v>
      </c>
      <c r="B484" s="87" t="s">
        <v>3241</v>
      </c>
      <c r="C484" s="514" t="s">
        <v>3249</v>
      </c>
      <c r="D484" s="87">
        <v>11000</v>
      </c>
      <c r="E484" s="87">
        <v>125</v>
      </c>
      <c r="F484" s="563">
        <f t="shared" si="21"/>
        <v>11000</v>
      </c>
      <c r="G484" s="87">
        <f t="shared" si="19"/>
        <v>0</v>
      </c>
      <c r="H484" s="690"/>
      <c r="I484" s="693"/>
      <c r="J484" s="692"/>
      <c r="K484" s="692"/>
    </row>
    <row r="485" spans="1:11" ht="15" customHeight="1" x14ac:dyDescent="0.25">
      <c r="A485" s="728">
        <f t="shared" si="22"/>
        <v>88.607594936708864</v>
      </c>
      <c r="B485" s="87" t="s">
        <v>3241</v>
      </c>
      <c r="C485" s="514" t="s">
        <v>3250</v>
      </c>
      <c r="D485" s="87">
        <v>7000</v>
      </c>
      <c r="E485" s="87">
        <v>79</v>
      </c>
      <c r="F485" s="563">
        <f t="shared" si="21"/>
        <v>7000</v>
      </c>
      <c r="G485" s="87">
        <f t="shared" si="19"/>
        <v>0</v>
      </c>
      <c r="H485" s="690"/>
      <c r="I485" s="693"/>
      <c r="J485" s="692"/>
      <c r="K485" s="692"/>
    </row>
    <row r="486" spans="1:11" ht="15" customHeight="1" x14ac:dyDescent="0.25">
      <c r="A486" s="728">
        <f t="shared" si="22"/>
        <v>87.912087912087912</v>
      </c>
      <c r="B486" s="87" t="s">
        <v>3241</v>
      </c>
      <c r="C486" s="514" t="s">
        <v>30</v>
      </c>
      <c r="D486" s="87">
        <v>8000</v>
      </c>
      <c r="E486" s="87">
        <v>91</v>
      </c>
      <c r="F486" s="563">
        <f t="shared" si="21"/>
        <v>8000</v>
      </c>
      <c r="G486" s="87">
        <f t="shared" si="19"/>
        <v>0</v>
      </c>
      <c r="H486" s="690"/>
      <c r="I486" s="693"/>
      <c r="J486" s="692"/>
      <c r="K486" s="692"/>
    </row>
    <row r="487" spans="1:11" ht="15" customHeight="1" x14ac:dyDescent="0.25">
      <c r="A487" s="728">
        <f t="shared" si="22"/>
        <v>91.549295774647888</v>
      </c>
      <c r="B487" s="87" t="s">
        <v>3241</v>
      </c>
      <c r="C487" s="514" t="s">
        <v>3127</v>
      </c>
      <c r="D487" s="87">
        <v>26000</v>
      </c>
      <c r="E487" s="87">
        <v>284</v>
      </c>
      <c r="F487" s="563">
        <f t="shared" si="21"/>
        <v>26000</v>
      </c>
      <c r="G487" s="87">
        <f t="shared" si="19"/>
        <v>0</v>
      </c>
      <c r="H487" s="690"/>
      <c r="I487" s="693"/>
      <c r="J487" s="692"/>
      <c r="K487" s="692"/>
    </row>
    <row r="488" spans="1:11" ht="15" customHeight="1" x14ac:dyDescent="0.25">
      <c r="A488" s="728">
        <f t="shared" si="22"/>
        <v>87.786259541984734</v>
      </c>
      <c r="B488" s="87" t="s">
        <v>3241</v>
      </c>
      <c r="C488" s="514" t="s">
        <v>3125</v>
      </c>
      <c r="D488" s="87">
        <v>23000</v>
      </c>
      <c r="E488" s="87">
        <v>262</v>
      </c>
      <c r="F488" s="563">
        <f t="shared" si="21"/>
        <v>23000</v>
      </c>
      <c r="G488" s="87">
        <f t="shared" si="19"/>
        <v>0</v>
      </c>
      <c r="H488" s="690"/>
      <c r="I488" s="693"/>
      <c r="J488" s="692"/>
      <c r="K488" s="692"/>
    </row>
    <row r="489" spans="1:11" ht="15" customHeight="1" x14ac:dyDescent="0.25">
      <c r="A489" s="728">
        <f t="shared" si="22"/>
        <v>88.082901554404145</v>
      </c>
      <c r="B489" s="87" t="s">
        <v>3251</v>
      </c>
      <c r="C489" s="514">
        <v>5252</v>
      </c>
      <c r="D489" s="87">
        <v>17000</v>
      </c>
      <c r="E489" s="87">
        <v>193</v>
      </c>
      <c r="F489" s="563">
        <f t="shared" si="21"/>
        <v>17000</v>
      </c>
      <c r="G489" s="87">
        <f t="shared" si="19"/>
        <v>0</v>
      </c>
      <c r="H489" s="690"/>
      <c r="I489" s="693"/>
      <c r="J489" s="692"/>
      <c r="K489" s="692"/>
    </row>
    <row r="490" spans="1:11" ht="15" customHeight="1" x14ac:dyDescent="0.25">
      <c r="A490" s="728">
        <f t="shared" si="22"/>
        <v>88.082901554404145</v>
      </c>
      <c r="B490" s="87" t="s">
        <v>3251</v>
      </c>
      <c r="C490" s="514">
        <v>5151</v>
      </c>
      <c r="D490" s="87">
        <v>17000</v>
      </c>
      <c r="E490" s="87">
        <v>193</v>
      </c>
      <c r="F490" s="563">
        <f t="shared" si="21"/>
        <v>17000</v>
      </c>
      <c r="G490" s="87">
        <f t="shared" si="19"/>
        <v>0</v>
      </c>
      <c r="H490" s="690"/>
      <c r="I490" s="693"/>
      <c r="J490" s="692"/>
      <c r="K490" s="692"/>
    </row>
    <row r="491" spans="1:11" ht="15" customHeight="1" x14ac:dyDescent="0.25">
      <c r="A491" s="728">
        <f t="shared" si="22"/>
        <v>88.235294117647058</v>
      </c>
      <c r="B491" s="87" t="s">
        <v>3251</v>
      </c>
      <c r="C491" s="514" t="s">
        <v>3252</v>
      </c>
      <c r="D491" s="87">
        <v>15000</v>
      </c>
      <c r="E491" s="87">
        <v>170</v>
      </c>
      <c r="F491" s="563">
        <f t="shared" si="21"/>
        <v>15000</v>
      </c>
      <c r="G491" s="87">
        <f t="shared" si="19"/>
        <v>0</v>
      </c>
      <c r="H491" s="690"/>
      <c r="I491" s="693"/>
      <c r="J491" s="692"/>
      <c r="K491" s="692"/>
    </row>
    <row r="492" spans="1:11" ht="15" customHeight="1" x14ac:dyDescent="0.25">
      <c r="A492" s="728">
        <f t="shared" si="22"/>
        <v>88.105726872246692</v>
      </c>
      <c r="B492" s="87" t="s">
        <v>3251</v>
      </c>
      <c r="C492" s="514" t="s">
        <v>3253</v>
      </c>
      <c r="D492" s="87">
        <v>20000</v>
      </c>
      <c r="E492" s="87">
        <v>227</v>
      </c>
      <c r="F492" s="563">
        <f t="shared" si="21"/>
        <v>20000</v>
      </c>
      <c r="G492" s="87">
        <f t="shared" si="19"/>
        <v>0</v>
      </c>
      <c r="H492" s="690"/>
      <c r="I492" s="693"/>
      <c r="J492" s="692"/>
      <c r="K492" s="692"/>
    </row>
    <row r="493" spans="1:11" ht="15" customHeight="1" x14ac:dyDescent="0.25">
      <c r="A493" s="728">
        <f t="shared" si="22"/>
        <v>88.235294117647058</v>
      </c>
      <c r="B493" s="87" t="s">
        <v>3251</v>
      </c>
      <c r="C493" s="514" t="s">
        <v>3254</v>
      </c>
      <c r="D493" s="87">
        <v>15000</v>
      </c>
      <c r="E493" s="87">
        <v>170</v>
      </c>
      <c r="F493" s="563">
        <f t="shared" si="21"/>
        <v>15000</v>
      </c>
      <c r="G493" s="87">
        <f t="shared" si="19"/>
        <v>0</v>
      </c>
      <c r="H493" s="690"/>
      <c r="I493" s="693"/>
      <c r="J493" s="692"/>
      <c r="K493" s="692"/>
    </row>
    <row r="494" spans="1:11" ht="15" customHeight="1" x14ac:dyDescent="0.25">
      <c r="A494" s="728">
        <f t="shared" si="22"/>
        <v>88.235294117647058</v>
      </c>
      <c r="B494" s="87" t="s">
        <v>3251</v>
      </c>
      <c r="C494" s="514" t="s">
        <v>3255</v>
      </c>
      <c r="D494" s="87">
        <v>15000</v>
      </c>
      <c r="E494" s="87">
        <v>170</v>
      </c>
      <c r="F494" s="563">
        <f t="shared" si="21"/>
        <v>15000</v>
      </c>
      <c r="G494" s="87">
        <f t="shared" si="19"/>
        <v>0</v>
      </c>
      <c r="H494" s="690"/>
      <c r="I494" s="693"/>
      <c r="J494" s="692"/>
      <c r="K494" s="692"/>
    </row>
    <row r="495" spans="1:11" ht="15" customHeight="1" x14ac:dyDescent="0.25">
      <c r="A495" s="728">
        <f t="shared" si="22"/>
        <v>87.976539589442808</v>
      </c>
      <c r="B495" s="87" t="s">
        <v>3251</v>
      </c>
      <c r="C495" s="514" t="s">
        <v>3165</v>
      </c>
      <c r="D495" s="87">
        <v>30000</v>
      </c>
      <c r="E495" s="87">
        <v>341</v>
      </c>
      <c r="F495" s="563">
        <f t="shared" si="21"/>
        <v>30000</v>
      </c>
      <c r="G495" s="87">
        <f t="shared" si="19"/>
        <v>0</v>
      </c>
      <c r="H495" s="690"/>
      <c r="I495" s="693"/>
      <c r="J495" s="692"/>
      <c r="K495" s="692"/>
    </row>
    <row r="496" spans="1:11" ht="15" customHeight="1" x14ac:dyDescent="0.25">
      <c r="A496" s="728">
        <f t="shared" si="22"/>
        <v>88.235294117647058</v>
      </c>
      <c r="B496" s="87" t="s">
        <v>3251</v>
      </c>
      <c r="C496" s="87" t="s">
        <v>3256</v>
      </c>
      <c r="D496" s="87">
        <v>15000</v>
      </c>
      <c r="E496" s="87">
        <v>170</v>
      </c>
      <c r="F496" s="563">
        <f t="shared" si="21"/>
        <v>15000</v>
      </c>
      <c r="G496" s="87">
        <f t="shared" si="19"/>
        <v>0</v>
      </c>
      <c r="H496" s="690"/>
      <c r="I496" s="693"/>
      <c r="J496" s="692"/>
      <c r="K496" s="692"/>
    </row>
    <row r="497" spans="1:11" ht="15" customHeight="1" x14ac:dyDescent="0.25">
      <c r="A497" s="728">
        <f t="shared" si="22"/>
        <v>88.235294117647058</v>
      </c>
      <c r="B497" s="87" t="s">
        <v>3251</v>
      </c>
      <c r="C497" s="514" t="s">
        <v>3257</v>
      </c>
      <c r="D497" s="87">
        <v>15000</v>
      </c>
      <c r="E497" s="87">
        <v>170</v>
      </c>
      <c r="F497" s="563">
        <f t="shared" si="21"/>
        <v>15000</v>
      </c>
      <c r="G497" s="87">
        <f t="shared" si="19"/>
        <v>0</v>
      </c>
      <c r="H497" s="690"/>
      <c r="I497" s="693"/>
      <c r="J497" s="692"/>
      <c r="K497" s="692"/>
    </row>
    <row r="498" spans="1:11" ht="15" customHeight="1" x14ac:dyDescent="0.25">
      <c r="A498" s="728">
        <f t="shared" si="22"/>
        <v>88.235294117647058</v>
      </c>
      <c r="B498" s="87" t="s">
        <v>3251</v>
      </c>
      <c r="C498" s="514" t="s">
        <v>3258</v>
      </c>
      <c r="D498" s="87">
        <v>15000</v>
      </c>
      <c r="E498" s="87">
        <v>170</v>
      </c>
      <c r="F498" s="563">
        <f t="shared" si="21"/>
        <v>15000</v>
      </c>
      <c r="G498" s="87">
        <f t="shared" si="19"/>
        <v>0</v>
      </c>
      <c r="H498" s="690"/>
      <c r="I498" s="693"/>
      <c r="J498" s="692"/>
      <c r="K498" s="692"/>
    </row>
    <row r="499" spans="1:11" ht="15" customHeight="1" x14ac:dyDescent="0.25">
      <c r="A499" s="728">
        <f t="shared" si="22"/>
        <v>111.60714285714286</v>
      </c>
      <c r="B499" s="87" t="s">
        <v>3251</v>
      </c>
      <c r="C499" s="514" t="s">
        <v>3259</v>
      </c>
      <c r="D499" s="87">
        <v>25000</v>
      </c>
      <c r="E499" s="87">
        <v>224</v>
      </c>
      <c r="F499" s="563">
        <f t="shared" si="21"/>
        <v>25000</v>
      </c>
      <c r="G499" s="87">
        <f t="shared" si="19"/>
        <v>0</v>
      </c>
      <c r="H499" s="690"/>
      <c r="I499" s="693"/>
      <c r="J499" s="692"/>
      <c r="K499" s="692"/>
    </row>
    <row r="500" spans="1:11" ht="15" customHeight="1" x14ac:dyDescent="0.25">
      <c r="A500" s="728">
        <f t="shared" si="22"/>
        <v>88.983050847457633</v>
      </c>
      <c r="B500" s="87" t="s">
        <v>3251</v>
      </c>
      <c r="C500" s="514" t="s">
        <v>3260</v>
      </c>
      <c r="D500" s="87">
        <v>21000</v>
      </c>
      <c r="E500" s="87">
        <v>236</v>
      </c>
      <c r="F500" s="563">
        <f t="shared" si="21"/>
        <v>21000</v>
      </c>
      <c r="G500" s="87">
        <f t="shared" si="19"/>
        <v>0</v>
      </c>
      <c r="H500" s="690"/>
      <c r="I500" s="693"/>
      <c r="J500" s="692"/>
      <c r="K500" s="692"/>
    </row>
    <row r="501" spans="1:11" ht="15" customHeight="1" x14ac:dyDescent="0.25">
      <c r="A501" s="728">
        <f t="shared" si="22"/>
        <v>88.235294117647058</v>
      </c>
      <c r="B501" s="87" t="s">
        <v>3251</v>
      </c>
      <c r="C501" s="514" t="s">
        <v>3261</v>
      </c>
      <c r="D501" s="87">
        <v>15000</v>
      </c>
      <c r="E501" s="87">
        <v>170</v>
      </c>
      <c r="F501" s="563">
        <f t="shared" si="21"/>
        <v>15000</v>
      </c>
      <c r="G501" s="87">
        <f t="shared" si="19"/>
        <v>0</v>
      </c>
      <c r="H501" s="690"/>
      <c r="I501" s="693"/>
      <c r="J501" s="692"/>
      <c r="K501" s="692"/>
    </row>
    <row r="502" spans="1:11" ht="15" customHeight="1" x14ac:dyDescent="0.25">
      <c r="A502" s="728">
        <f t="shared" si="22"/>
        <v>91.603053435114504</v>
      </c>
      <c r="B502" s="87" t="s">
        <v>3251</v>
      </c>
      <c r="C502" s="514" t="s">
        <v>3262</v>
      </c>
      <c r="D502" s="87">
        <v>12000</v>
      </c>
      <c r="E502" s="87">
        <v>131</v>
      </c>
      <c r="F502" s="563">
        <f t="shared" si="21"/>
        <v>12000</v>
      </c>
      <c r="G502" s="87">
        <f t="shared" si="19"/>
        <v>0</v>
      </c>
      <c r="H502" s="690"/>
      <c r="I502" s="693"/>
      <c r="J502" s="692"/>
      <c r="K502" s="692"/>
    </row>
    <row r="503" spans="1:11" ht="15" customHeight="1" x14ac:dyDescent="0.25">
      <c r="A503" s="728">
        <f t="shared" si="22"/>
        <v>88.495575221238937</v>
      </c>
      <c r="B503" s="87" t="s">
        <v>3251</v>
      </c>
      <c r="C503" s="514" t="s">
        <v>3263</v>
      </c>
      <c r="D503" s="87">
        <v>10000</v>
      </c>
      <c r="E503" s="87">
        <v>113</v>
      </c>
      <c r="F503" s="563">
        <f t="shared" si="21"/>
        <v>10000</v>
      </c>
      <c r="G503" s="87">
        <f t="shared" si="19"/>
        <v>0</v>
      </c>
      <c r="H503" s="690"/>
      <c r="I503" s="693"/>
      <c r="J503" s="692"/>
      <c r="K503" s="692"/>
    </row>
    <row r="504" spans="1:11" ht="15" customHeight="1" x14ac:dyDescent="0.25">
      <c r="A504" s="728">
        <f t="shared" si="22"/>
        <v>87.912087912087912</v>
      </c>
      <c r="B504" s="87" t="s">
        <v>3251</v>
      </c>
      <c r="C504" s="514" t="s">
        <v>3264</v>
      </c>
      <c r="D504" s="87">
        <v>8000</v>
      </c>
      <c r="E504" s="87">
        <v>91</v>
      </c>
      <c r="F504" s="563">
        <f t="shared" si="21"/>
        <v>8000</v>
      </c>
      <c r="G504" s="87">
        <f t="shared" si="19"/>
        <v>0</v>
      </c>
      <c r="H504" s="690"/>
      <c r="I504" s="693"/>
      <c r="J504" s="692"/>
      <c r="K504" s="692"/>
    </row>
    <row r="505" spans="1:11" ht="15" customHeight="1" x14ac:dyDescent="0.25">
      <c r="A505" s="728">
        <f t="shared" si="22"/>
        <v>87.818696883852695</v>
      </c>
      <c r="B505" s="87" t="s">
        <v>3251</v>
      </c>
      <c r="C505" s="87" t="s">
        <v>3265</v>
      </c>
      <c r="D505" s="87">
        <v>31000</v>
      </c>
      <c r="E505" s="87">
        <v>353</v>
      </c>
      <c r="F505" s="563">
        <f t="shared" si="21"/>
        <v>31000</v>
      </c>
      <c r="G505" s="87">
        <f t="shared" si="19"/>
        <v>0</v>
      </c>
      <c r="H505" s="690"/>
      <c r="I505" s="693"/>
      <c r="J505" s="692"/>
      <c r="K505" s="692"/>
    </row>
    <row r="506" spans="1:11" ht="15" customHeight="1" x14ac:dyDescent="0.25">
      <c r="A506" s="728">
        <f t="shared" si="22"/>
        <v>88.235294117647058</v>
      </c>
      <c r="B506" s="87" t="s">
        <v>3251</v>
      </c>
      <c r="C506" s="514" t="s">
        <v>3266</v>
      </c>
      <c r="D506" s="87">
        <v>15000</v>
      </c>
      <c r="E506" s="87">
        <v>170</v>
      </c>
      <c r="F506" s="563">
        <f t="shared" si="21"/>
        <v>15000</v>
      </c>
      <c r="G506" s="87">
        <f t="shared" si="19"/>
        <v>0</v>
      </c>
      <c r="H506" s="690"/>
      <c r="I506" s="693"/>
      <c r="J506" s="692"/>
      <c r="K506" s="692"/>
    </row>
    <row r="507" spans="1:11" ht="15" customHeight="1" x14ac:dyDescent="0.25">
      <c r="A507" s="728">
        <f t="shared" si="22"/>
        <v>95.890410958904113</v>
      </c>
      <c r="B507" s="87" t="s">
        <v>3251</v>
      </c>
      <c r="C507" s="514" t="s">
        <v>3267</v>
      </c>
      <c r="D507" s="87">
        <v>210</v>
      </c>
      <c r="E507" s="87">
        <v>2.19</v>
      </c>
      <c r="F507" s="563">
        <f t="shared" si="21"/>
        <v>210</v>
      </c>
      <c r="G507" s="87">
        <f t="shared" si="19"/>
        <v>0</v>
      </c>
      <c r="H507" s="690"/>
      <c r="I507" s="693"/>
      <c r="J507" s="692"/>
      <c r="K507" s="692"/>
    </row>
    <row r="508" spans="1:11" ht="15" customHeight="1" x14ac:dyDescent="0.25">
      <c r="A508" s="728">
        <f t="shared" si="22"/>
        <v>88.235294117647058</v>
      </c>
      <c r="B508" s="87" t="s">
        <v>3251</v>
      </c>
      <c r="C508" s="514" t="s">
        <v>3268</v>
      </c>
      <c r="D508" s="87">
        <v>15000</v>
      </c>
      <c r="E508" s="87">
        <v>170</v>
      </c>
      <c r="F508" s="563">
        <f t="shared" si="21"/>
        <v>15000</v>
      </c>
      <c r="G508" s="87">
        <f t="shared" si="19"/>
        <v>0</v>
      </c>
      <c r="H508" s="690"/>
      <c r="I508" s="693"/>
      <c r="J508" s="692"/>
      <c r="K508" s="692"/>
    </row>
    <row r="509" spans="1:11" ht="15" customHeight="1" x14ac:dyDescent="0.25">
      <c r="A509" s="728">
        <f t="shared" si="22"/>
        <v>87.826086956521735</v>
      </c>
      <c r="B509" s="87" t="s">
        <v>3251</v>
      </c>
      <c r="C509" s="514" t="s">
        <v>3269</v>
      </c>
      <c r="D509" s="87">
        <v>20200</v>
      </c>
      <c r="E509" s="87">
        <v>230</v>
      </c>
      <c r="F509" s="563">
        <f t="shared" si="21"/>
        <v>20200</v>
      </c>
      <c r="G509" s="87">
        <f t="shared" si="19"/>
        <v>0</v>
      </c>
      <c r="H509" s="690"/>
      <c r="I509" s="693"/>
      <c r="J509" s="692"/>
      <c r="K509" s="692"/>
    </row>
    <row r="510" spans="1:11" ht="15" customHeight="1" x14ac:dyDescent="0.25">
      <c r="A510" s="728">
        <f t="shared" si="22"/>
        <v>87.837837837837839</v>
      </c>
      <c r="B510" s="87" t="s">
        <v>3251</v>
      </c>
      <c r="C510" s="87" t="s">
        <v>3270</v>
      </c>
      <c r="D510" s="87">
        <v>13000</v>
      </c>
      <c r="E510" s="87">
        <v>148</v>
      </c>
      <c r="F510" s="563">
        <f t="shared" si="21"/>
        <v>13000</v>
      </c>
      <c r="G510" s="87">
        <f t="shared" si="19"/>
        <v>0</v>
      </c>
      <c r="H510" s="690"/>
      <c r="I510" s="693"/>
      <c r="J510" s="692"/>
      <c r="K510" s="692"/>
    </row>
    <row r="511" spans="1:11" ht="15" customHeight="1" x14ac:dyDescent="0.25">
      <c r="A511" s="728">
        <f t="shared" si="22"/>
        <v>176.99115044247787</v>
      </c>
      <c r="B511" s="87" t="s">
        <v>3251</v>
      </c>
      <c r="C511" s="514" t="s">
        <v>3271</v>
      </c>
      <c r="D511" s="87">
        <v>20000</v>
      </c>
      <c r="E511" s="87">
        <v>113</v>
      </c>
      <c r="F511" s="563">
        <f t="shared" si="21"/>
        <v>20000</v>
      </c>
      <c r="G511" s="87">
        <f t="shared" si="19"/>
        <v>0</v>
      </c>
      <c r="H511" s="690"/>
      <c r="I511" s="693"/>
      <c r="J511" s="692"/>
      <c r="K511" s="692"/>
    </row>
    <row r="512" spans="1:11" ht="15" customHeight="1" x14ac:dyDescent="0.25">
      <c r="A512" s="728">
        <f t="shared" si="22"/>
        <v>95.419847328244273</v>
      </c>
      <c r="B512" s="87" t="s">
        <v>3251</v>
      </c>
      <c r="C512" s="514" t="s">
        <v>2935</v>
      </c>
      <c r="D512" s="87">
        <v>25000</v>
      </c>
      <c r="E512" s="87">
        <v>262</v>
      </c>
      <c r="F512" s="563">
        <f t="shared" si="21"/>
        <v>25000</v>
      </c>
      <c r="G512" s="87">
        <f t="shared" si="19"/>
        <v>0</v>
      </c>
      <c r="H512" s="690"/>
      <c r="I512" s="693"/>
      <c r="J512" s="692"/>
      <c r="K512" s="692"/>
    </row>
    <row r="513" spans="1:11" ht="15" customHeight="1" x14ac:dyDescent="0.25">
      <c r="A513" s="728">
        <f t="shared" si="22"/>
        <v>100</v>
      </c>
      <c r="B513" s="87" t="s">
        <v>3251</v>
      </c>
      <c r="C513" s="514" t="s">
        <v>3232</v>
      </c>
      <c r="D513" s="87">
        <v>8000</v>
      </c>
      <c r="E513" s="87">
        <v>80</v>
      </c>
      <c r="F513" s="563">
        <f t="shared" si="21"/>
        <v>8000</v>
      </c>
      <c r="G513" s="87">
        <f t="shared" si="19"/>
        <v>0</v>
      </c>
      <c r="H513" s="690"/>
      <c r="I513" s="693"/>
      <c r="J513" s="692"/>
      <c r="K513" s="692"/>
    </row>
    <row r="514" spans="1:11" ht="15" customHeight="1" x14ac:dyDescent="0.25">
      <c r="A514" s="728">
        <f t="shared" si="22"/>
        <v>87.912087912087912</v>
      </c>
      <c r="B514" s="87" t="s">
        <v>3251</v>
      </c>
      <c r="C514" s="514" t="s">
        <v>3272</v>
      </c>
      <c r="D514" s="87">
        <v>8000</v>
      </c>
      <c r="E514" s="87">
        <v>91</v>
      </c>
      <c r="F514" s="563">
        <f t="shared" si="21"/>
        <v>8000</v>
      </c>
      <c r="G514" s="87">
        <f t="shared" si="19"/>
        <v>0</v>
      </c>
      <c r="H514" s="690"/>
      <c r="I514" s="693"/>
      <c r="J514" s="692"/>
      <c r="K514" s="692"/>
    </row>
    <row r="515" spans="1:11" ht="15" customHeight="1" x14ac:dyDescent="0.25">
      <c r="A515" s="728">
        <f t="shared" si="22"/>
        <v>87.912087912087912</v>
      </c>
      <c r="B515" s="87" t="s">
        <v>3251</v>
      </c>
      <c r="C515" s="514" t="s">
        <v>3273</v>
      </c>
      <c r="D515" s="87">
        <v>8000</v>
      </c>
      <c r="E515" s="87">
        <v>91</v>
      </c>
      <c r="F515" s="563">
        <f t="shared" si="21"/>
        <v>8000</v>
      </c>
      <c r="G515" s="87">
        <f t="shared" si="19"/>
        <v>0</v>
      </c>
      <c r="H515" s="690"/>
      <c r="I515" s="693"/>
      <c r="J515" s="692"/>
      <c r="K515" s="692"/>
    </row>
    <row r="516" spans="1:11" ht="15" customHeight="1" x14ac:dyDescent="0.25">
      <c r="A516" s="728">
        <f t="shared" si="22"/>
        <v>92.348284960422163</v>
      </c>
      <c r="B516" s="87" t="s">
        <v>3251</v>
      </c>
      <c r="C516" s="514" t="s">
        <v>3274</v>
      </c>
      <c r="D516" s="87">
        <v>35000</v>
      </c>
      <c r="E516" s="87">
        <v>379</v>
      </c>
      <c r="F516" s="563">
        <f t="shared" si="21"/>
        <v>35000</v>
      </c>
      <c r="G516" s="87">
        <f t="shared" si="19"/>
        <v>0</v>
      </c>
      <c r="H516" s="690"/>
      <c r="I516" s="693"/>
      <c r="J516" s="692"/>
      <c r="K516" s="692"/>
    </row>
    <row r="517" spans="1:11" ht="15" customHeight="1" x14ac:dyDescent="0.25">
      <c r="A517" s="728">
        <f t="shared" si="22"/>
        <v>88.235294117647058</v>
      </c>
      <c r="B517" s="87" t="s">
        <v>3251</v>
      </c>
      <c r="C517" s="514" t="s">
        <v>2248</v>
      </c>
      <c r="D517" s="87">
        <v>12000</v>
      </c>
      <c r="E517" s="87">
        <v>136</v>
      </c>
      <c r="F517" s="563">
        <f t="shared" si="21"/>
        <v>12000</v>
      </c>
      <c r="G517" s="87">
        <f t="shared" si="19"/>
        <v>0</v>
      </c>
      <c r="H517" s="690"/>
      <c r="I517" s="693"/>
      <c r="J517" s="692"/>
      <c r="K517" s="692"/>
    </row>
    <row r="518" spans="1:11" ht="15" customHeight="1" x14ac:dyDescent="0.25">
      <c r="A518" s="728">
        <f t="shared" si="22"/>
        <v>89.673913043478265</v>
      </c>
      <c r="B518" s="87" t="s">
        <v>3251</v>
      </c>
      <c r="C518" s="514" t="s">
        <v>3275</v>
      </c>
      <c r="D518" s="87">
        <v>33000</v>
      </c>
      <c r="E518" s="87">
        <v>368</v>
      </c>
      <c r="F518" s="563">
        <f t="shared" si="21"/>
        <v>33000</v>
      </c>
      <c r="G518" s="87">
        <f t="shared" si="19"/>
        <v>0</v>
      </c>
      <c r="H518" s="690"/>
      <c r="I518" s="693"/>
      <c r="J518" s="692"/>
      <c r="K518" s="692"/>
    </row>
    <row r="519" spans="1:11" ht="15" customHeight="1" x14ac:dyDescent="0.25">
      <c r="A519" s="728">
        <f t="shared" si="22"/>
        <v>88.12017167381974</v>
      </c>
      <c r="B519" s="87" t="s">
        <v>3251</v>
      </c>
      <c r="C519" s="491" t="s">
        <v>3276</v>
      </c>
      <c r="D519" s="742">
        <v>20532</v>
      </c>
      <c r="E519" s="87">
        <v>233</v>
      </c>
      <c r="F519" s="563">
        <f t="shared" si="21"/>
        <v>20532</v>
      </c>
      <c r="G519" s="87">
        <f t="shared" si="19"/>
        <v>0</v>
      </c>
      <c r="H519" s="690"/>
      <c r="I519" s="693"/>
      <c r="J519" s="692"/>
      <c r="K519" s="692"/>
    </row>
    <row r="520" spans="1:11" ht="15" customHeight="1" x14ac:dyDescent="0.25">
      <c r="A520" s="728">
        <f t="shared" si="22"/>
        <v>92.024539877300612</v>
      </c>
      <c r="B520" s="87" t="s">
        <v>3277</v>
      </c>
      <c r="C520" s="514" t="s">
        <v>3280</v>
      </c>
      <c r="D520" s="87">
        <v>15000</v>
      </c>
      <c r="E520" s="87">
        <v>163</v>
      </c>
      <c r="F520" s="563">
        <f t="shared" si="21"/>
        <v>15000</v>
      </c>
      <c r="G520" s="87">
        <f t="shared" si="19"/>
        <v>0</v>
      </c>
      <c r="H520" s="690"/>
      <c r="I520" s="693"/>
      <c r="J520" s="692"/>
      <c r="K520" s="692"/>
    </row>
    <row r="521" spans="1:11" ht="15" customHeight="1" x14ac:dyDescent="0.25">
      <c r="A521" s="728">
        <f t="shared" si="22"/>
        <v>92.165898617511516</v>
      </c>
      <c r="B521" s="87" t="s">
        <v>3277</v>
      </c>
      <c r="C521" s="514" t="s">
        <v>3281</v>
      </c>
      <c r="D521" s="87">
        <v>20000</v>
      </c>
      <c r="E521" s="87">
        <v>217</v>
      </c>
      <c r="F521" s="563">
        <f t="shared" si="21"/>
        <v>20000</v>
      </c>
      <c r="G521" s="87">
        <f t="shared" si="19"/>
        <v>0</v>
      </c>
      <c r="H521" s="690"/>
      <c r="I521" s="693"/>
      <c r="J521" s="692"/>
      <c r="K521" s="692"/>
    </row>
    <row r="522" spans="1:11" ht="15" customHeight="1" x14ac:dyDescent="0.25">
      <c r="A522" s="728">
        <f t="shared" si="22"/>
        <v>92.10526315789474</v>
      </c>
      <c r="B522" s="87" t="s">
        <v>3277</v>
      </c>
      <c r="C522" s="514" t="s">
        <v>3282</v>
      </c>
      <c r="D522" s="87">
        <v>21000</v>
      </c>
      <c r="E522" s="87">
        <v>228</v>
      </c>
      <c r="F522" s="563">
        <f t="shared" si="21"/>
        <v>21000</v>
      </c>
      <c r="G522" s="87">
        <f t="shared" si="19"/>
        <v>0</v>
      </c>
      <c r="H522" s="690"/>
      <c r="I522" s="693"/>
      <c r="J522" s="692"/>
      <c r="K522" s="692"/>
    </row>
    <row r="523" spans="1:11" ht="15" customHeight="1" x14ac:dyDescent="0.25">
      <c r="A523" s="728">
        <f t="shared" si="22"/>
        <v>92.150170648464169</v>
      </c>
      <c r="B523" s="87" t="s">
        <v>3277</v>
      </c>
      <c r="C523" s="514" t="s">
        <v>3283</v>
      </c>
      <c r="D523" s="87">
        <v>27000</v>
      </c>
      <c r="E523" s="87">
        <v>293</v>
      </c>
      <c r="F523" s="563">
        <f t="shared" si="21"/>
        <v>27000</v>
      </c>
      <c r="G523" s="87">
        <f t="shared" si="19"/>
        <v>0</v>
      </c>
      <c r="H523" s="690"/>
      <c r="I523" s="693"/>
      <c r="J523" s="692"/>
      <c r="K523" s="692"/>
    </row>
    <row r="524" spans="1:11" ht="15" customHeight="1" x14ac:dyDescent="0.25">
      <c r="A524" s="728">
        <f t="shared" si="22"/>
        <v>92.592592592592595</v>
      </c>
      <c r="B524" s="87" t="s">
        <v>3277</v>
      </c>
      <c r="C524" s="514" t="s">
        <v>3284</v>
      </c>
      <c r="D524" s="87">
        <v>10000</v>
      </c>
      <c r="E524" s="87">
        <v>108</v>
      </c>
      <c r="F524" s="563">
        <f t="shared" si="21"/>
        <v>10000</v>
      </c>
      <c r="G524" s="87">
        <f t="shared" si="19"/>
        <v>0</v>
      </c>
      <c r="H524" s="690"/>
      <c r="I524" s="693"/>
      <c r="J524" s="692"/>
      <c r="K524" s="692"/>
    </row>
    <row r="525" spans="1:11" ht="15" customHeight="1" x14ac:dyDescent="0.25">
      <c r="A525" s="728">
        <f t="shared" si="22"/>
        <v>88.235294117647058</v>
      </c>
      <c r="B525" s="87" t="s">
        <v>3277</v>
      </c>
      <c r="C525" s="514" t="s">
        <v>17</v>
      </c>
      <c r="D525" s="87">
        <v>3000</v>
      </c>
      <c r="E525" s="87">
        <v>34</v>
      </c>
      <c r="F525" s="563">
        <f t="shared" si="21"/>
        <v>3000</v>
      </c>
      <c r="G525" s="87">
        <f t="shared" si="19"/>
        <v>0</v>
      </c>
      <c r="H525" s="690"/>
      <c r="I525" s="693"/>
      <c r="J525" s="692"/>
      <c r="K525" s="692"/>
    </row>
    <row r="526" spans="1:11" ht="15" customHeight="1" x14ac:dyDescent="0.25">
      <c r="A526" s="728">
        <f t="shared" si="22"/>
        <v>88.105726872246692</v>
      </c>
      <c r="B526" s="87" t="s">
        <v>3277</v>
      </c>
      <c r="C526" s="514" t="s">
        <v>2490</v>
      </c>
      <c r="D526" s="87">
        <v>20000</v>
      </c>
      <c r="E526" s="87">
        <v>227</v>
      </c>
      <c r="F526" s="563">
        <f t="shared" si="21"/>
        <v>20000</v>
      </c>
      <c r="G526" s="87">
        <f t="shared" si="19"/>
        <v>0</v>
      </c>
      <c r="H526" s="690"/>
      <c r="I526" s="693"/>
      <c r="J526" s="692"/>
      <c r="K526" s="692"/>
    </row>
    <row r="527" spans="1:11" ht="15" customHeight="1" x14ac:dyDescent="0.25">
      <c r="A527" s="728">
        <f t="shared" si="22"/>
        <v>92.511013215859037</v>
      </c>
      <c r="B527" s="87" t="s">
        <v>3277</v>
      </c>
      <c r="C527" s="514" t="s">
        <v>3285</v>
      </c>
      <c r="D527" s="87">
        <v>21000</v>
      </c>
      <c r="E527" s="87">
        <v>227</v>
      </c>
      <c r="F527" s="563">
        <f t="shared" si="21"/>
        <v>21000</v>
      </c>
      <c r="G527" s="87">
        <f t="shared" si="19"/>
        <v>0</v>
      </c>
      <c r="H527" s="690"/>
      <c r="I527" s="693"/>
      <c r="J527" s="692"/>
      <c r="K527" s="692"/>
    </row>
    <row r="528" spans="1:11" ht="15" customHeight="1" x14ac:dyDescent="0.25">
      <c r="A528" s="728">
        <f t="shared" si="22"/>
        <v>88.105726872246692</v>
      </c>
      <c r="B528" s="87" t="s">
        <v>3277</v>
      </c>
      <c r="C528" s="514" t="s">
        <v>3286</v>
      </c>
      <c r="D528" s="87">
        <v>20000</v>
      </c>
      <c r="E528" s="87">
        <v>227</v>
      </c>
      <c r="F528" s="563">
        <f t="shared" ref="F528:F591" si="23">D528</f>
        <v>20000</v>
      </c>
      <c r="G528" s="87">
        <f t="shared" si="19"/>
        <v>0</v>
      </c>
      <c r="H528" s="690"/>
      <c r="I528" s="693"/>
      <c r="J528" s="692"/>
      <c r="K528" s="692"/>
    </row>
    <row r="529" spans="1:11" ht="15" customHeight="1" x14ac:dyDescent="0.25">
      <c r="A529" s="728">
        <f t="shared" si="22"/>
        <v>88.028169014084511</v>
      </c>
      <c r="B529" s="87" t="s">
        <v>3277</v>
      </c>
      <c r="C529" s="514" t="s">
        <v>3287</v>
      </c>
      <c r="D529" s="87">
        <v>25000</v>
      </c>
      <c r="E529" s="87">
        <v>284</v>
      </c>
      <c r="F529" s="563">
        <f t="shared" si="23"/>
        <v>25000</v>
      </c>
      <c r="G529" s="87">
        <f t="shared" si="19"/>
        <v>0</v>
      </c>
      <c r="H529" s="690"/>
      <c r="I529" s="693"/>
      <c r="J529" s="692"/>
      <c r="K529" s="692"/>
    </row>
    <row r="530" spans="1:11" ht="15" customHeight="1" x14ac:dyDescent="0.25">
      <c r="A530" s="728">
        <f t="shared" si="22"/>
        <v>88.235294117647058</v>
      </c>
      <c r="B530" s="87" t="s">
        <v>3277</v>
      </c>
      <c r="C530" s="514" t="s">
        <v>3288</v>
      </c>
      <c r="D530" s="87">
        <v>15000</v>
      </c>
      <c r="E530" s="87">
        <v>170</v>
      </c>
      <c r="F530" s="563">
        <f t="shared" si="23"/>
        <v>15000</v>
      </c>
      <c r="G530" s="87">
        <f t="shared" si="19"/>
        <v>0</v>
      </c>
      <c r="H530" s="690"/>
      <c r="I530" s="693"/>
      <c r="J530" s="692"/>
      <c r="K530" s="692"/>
    </row>
    <row r="531" spans="1:11" ht="15" customHeight="1" x14ac:dyDescent="0.25">
      <c r="A531" s="728">
        <f t="shared" si="22"/>
        <v>88.235294117647058</v>
      </c>
      <c r="B531" s="87" t="s">
        <v>3277</v>
      </c>
      <c r="C531" s="514" t="s">
        <v>3289</v>
      </c>
      <c r="D531" s="87">
        <v>15000</v>
      </c>
      <c r="E531" s="87">
        <v>170</v>
      </c>
      <c r="F531" s="563">
        <f t="shared" si="23"/>
        <v>15000</v>
      </c>
      <c r="G531" s="87">
        <f t="shared" si="19"/>
        <v>0</v>
      </c>
      <c r="H531" s="690"/>
      <c r="I531" s="693"/>
      <c r="J531" s="692"/>
      <c r="K531" s="692"/>
    </row>
    <row r="532" spans="1:11" ht="15" customHeight="1" x14ac:dyDescent="0.25">
      <c r="A532" s="728">
        <f t="shared" si="22"/>
        <v>88.028169014084511</v>
      </c>
      <c r="B532" s="87" t="s">
        <v>3277</v>
      </c>
      <c r="C532" s="514" t="s">
        <v>3290</v>
      </c>
      <c r="D532" s="87">
        <v>25000</v>
      </c>
      <c r="E532" s="87">
        <v>284</v>
      </c>
      <c r="F532" s="563">
        <f t="shared" si="23"/>
        <v>25000</v>
      </c>
      <c r="G532" s="87">
        <f t="shared" si="19"/>
        <v>0</v>
      </c>
      <c r="H532" s="690"/>
      <c r="I532" s="693"/>
      <c r="J532" s="692"/>
      <c r="K532" s="692"/>
    </row>
    <row r="533" spans="1:11" ht="15" customHeight="1" x14ac:dyDescent="0.25">
      <c r="A533" s="728">
        <f t="shared" si="22"/>
        <v>88</v>
      </c>
      <c r="B533" s="87" t="s">
        <v>3277</v>
      </c>
      <c r="C533" s="514" t="s">
        <v>3291</v>
      </c>
      <c r="D533" s="87">
        <v>22000</v>
      </c>
      <c r="E533" s="87">
        <v>250</v>
      </c>
      <c r="F533" s="563">
        <f t="shared" si="23"/>
        <v>22000</v>
      </c>
      <c r="G533" s="87">
        <f t="shared" si="19"/>
        <v>0</v>
      </c>
      <c r="H533" s="690"/>
      <c r="I533" s="693"/>
      <c r="J533" s="692"/>
      <c r="K533" s="692"/>
    </row>
    <row r="534" spans="1:11" ht="15" customHeight="1" x14ac:dyDescent="0.25">
      <c r="A534" s="728">
        <f t="shared" si="22"/>
        <v>88.888888888888886</v>
      </c>
      <c r="B534" s="87" t="s">
        <v>3277</v>
      </c>
      <c r="C534" s="514" t="s">
        <v>3302</v>
      </c>
      <c r="D534" s="87">
        <v>20000</v>
      </c>
      <c r="E534" s="87">
        <v>225</v>
      </c>
      <c r="F534" s="563">
        <f t="shared" si="23"/>
        <v>20000</v>
      </c>
      <c r="G534" s="87">
        <f t="shared" si="19"/>
        <v>0</v>
      </c>
      <c r="H534" s="690"/>
      <c r="I534" s="693"/>
      <c r="J534" s="692"/>
      <c r="K534" s="692"/>
    </row>
    <row r="535" spans="1:11" ht="15" customHeight="1" x14ac:dyDescent="0.25">
      <c r="A535" s="728">
        <f t="shared" si="22"/>
        <v>88.235294117647058</v>
      </c>
      <c r="B535" s="87" t="s">
        <v>3277</v>
      </c>
      <c r="C535" s="514" t="s">
        <v>3292</v>
      </c>
      <c r="D535" s="87">
        <v>12000</v>
      </c>
      <c r="E535" s="87">
        <v>136</v>
      </c>
      <c r="F535" s="563">
        <f t="shared" si="23"/>
        <v>12000</v>
      </c>
      <c r="G535" s="87">
        <f t="shared" si="19"/>
        <v>0</v>
      </c>
      <c r="H535" s="690"/>
      <c r="I535" s="693"/>
      <c r="J535" s="692"/>
      <c r="K535" s="692"/>
    </row>
    <row r="536" spans="1:11" ht="15" customHeight="1" x14ac:dyDescent="0.25">
      <c r="A536" s="728">
        <f t="shared" si="22"/>
        <v>87.912087912087912</v>
      </c>
      <c r="B536" s="87" t="s">
        <v>3277</v>
      </c>
      <c r="C536" s="514" t="s">
        <v>30</v>
      </c>
      <c r="D536" s="87">
        <v>8000</v>
      </c>
      <c r="E536" s="87">
        <v>91</v>
      </c>
      <c r="F536" s="563">
        <f t="shared" si="23"/>
        <v>8000</v>
      </c>
      <c r="G536" s="87">
        <f t="shared" si="19"/>
        <v>0</v>
      </c>
      <c r="H536" s="690"/>
      <c r="I536" s="693"/>
      <c r="J536" s="692"/>
      <c r="K536" s="692"/>
    </row>
    <row r="537" spans="1:11" ht="15" customHeight="1" x14ac:dyDescent="0.25">
      <c r="A537" s="728">
        <f t="shared" si="22"/>
        <v>87.913513513513507</v>
      </c>
      <c r="B537" s="87" t="s">
        <v>3277</v>
      </c>
      <c r="C537" s="514" t="s">
        <v>3303</v>
      </c>
      <c r="D537" s="87">
        <v>16264</v>
      </c>
      <c r="E537" s="87">
        <v>185</v>
      </c>
      <c r="F537" s="563">
        <f t="shared" si="23"/>
        <v>16264</v>
      </c>
      <c r="G537" s="87">
        <f t="shared" si="19"/>
        <v>0</v>
      </c>
      <c r="H537" s="690"/>
      <c r="I537" s="693"/>
      <c r="J537" s="692"/>
      <c r="K537" s="692"/>
    </row>
    <row r="538" spans="1:11" ht="15" customHeight="1" x14ac:dyDescent="0.25">
      <c r="A538" s="728">
        <f t="shared" si="22"/>
        <v>92.144999999999996</v>
      </c>
      <c r="B538" s="87" t="s">
        <v>3277</v>
      </c>
      <c r="C538" s="514" t="s">
        <v>3293</v>
      </c>
      <c r="D538" s="87">
        <v>18429</v>
      </c>
      <c r="E538" s="87">
        <v>200</v>
      </c>
      <c r="F538" s="563">
        <f t="shared" si="23"/>
        <v>18429</v>
      </c>
      <c r="G538" s="87">
        <f t="shared" si="19"/>
        <v>0</v>
      </c>
      <c r="H538" s="690"/>
      <c r="I538" s="693"/>
      <c r="J538" s="692"/>
      <c r="K538" s="692"/>
    </row>
    <row r="539" spans="1:11" ht="15" customHeight="1" x14ac:dyDescent="0.25">
      <c r="A539" s="728">
        <f t="shared" si="22"/>
        <v>95.162962962962965</v>
      </c>
      <c r="B539" s="87" t="s">
        <v>3277</v>
      </c>
      <c r="C539" s="514" t="s">
        <v>3294</v>
      </c>
      <c r="D539" s="87">
        <v>25694</v>
      </c>
      <c r="E539" s="87">
        <v>270</v>
      </c>
      <c r="F539" s="563">
        <f t="shared" si="23"/>
        <v>25694</v>
      </c>
      <c r="G539" s="87">
        <f t="shared" si="19"/>
        <v>0</v>
      </c>
      <c r="H539" s="690"/>
      <c r="I539" s="693"/>
      <c r="J539" s="692"/>
      <c r="K539" s="692"/>
    </row>
    <row r="540" spans="1:11" ht="15" customHeight="1" x14ac:dyDescent="0.25">
      <c r="A540" s="728">
        <f t="shared" si="22"/>
        <v>93.220338983050851</v>
      </c>
      <c r="B540" s="87" t="s">
        <v>3277</v>
      </c>
      <c r="C540" s="514" t="s">
        <v>66</v>
      </c>
      <c r="D540" s="87">
        <v>110</v>
      </c>
      <c r="E540" s="87">
        <v>1.18</v>
      </c>
      <c r="F540" s="563">
        <f t="shared" si="23"/>
        <v>110</v>
      </c>
      <c r="G540" s="87">
        <f t="shared" si="19"/>
        <v>0</v>
      </c>
      <c r="H540" s="690"/>
      <c r="I540" s="693"/>
      <c r="J540" s="692"/>
      <c r="K540" s="692"/>
    </row>
    <row r="541" spans="1:11" ht="15" customHeight="1" x14ac:dyDescent="0.25">
      <c r="A541" s="728">
        <f t="shared" si="22"/>
        <v>87.976539589442808</v>
      </c>
      <c r="B541" s="87" t="s">
        <v>3277</v>
      </c>
      <c r="C541" s="514" t="s">
        <v>2602</v>
      </c>
      <c r="D541" s="87">
        <v>30000</v>
      </c>
      <c r="E541" s="87">
        <v>341</v>
      </c>
      <c r="F541" s="563">
        <f t="shared" si="23"/>
        <v>30000</v>
      </c>
      <c r="G541" s="87">
        <f t="shared" si="19"/>
        <v>0</v>
      </c>
      <c r="H541" s="690"/>
      <c r="I541" s="693"/>
      <c r="J541" s="692"/>
      <c r="K541" s="692"/>
    </row>
    <row r="542" spans="1:11" ht="15" customHeight="1" x14ac:dyDescent="0.25">
      <c r="A542" s="728">
        <f t="shared" si="22"/>
        <v>88</v>
      </c>
      <c r="B542" s="87" t="s">
        <v>3277</v>
      </c>
      <c r="C542" s="514" t="s">
        <v>2651</v>
      </c>
      <c r="D542" s="87">
        <v>11000</v>
      </c>
      <c r="E542" s="87">
        <v>125</v>
      </c>
      <c r="F542" s="563">
        <f t="shared" si="23"/>
        <v>11000</v>
      </c>
      <c r="G542" s="87">
        <f t="shared" si="19"/>
        <v>0</v>
      </c>
      <c r="H542" s="690"/>
      <c r="I542" s="693"/>
      <c r="J542" s="692"/>
      <c r="K542" s="692"/>
    </row>
    <row r="543" spans="1:11" ht="15" customHeight="1" x14ac:dyDescent="0.25">
      <c r="A543" s="728">
        <f t="shared" si="22"/>
        <v>88.235294117647058</v>
      </c>
      <c r="B543" s="87" t="s">
        <v>3277</v>
      </c>
      <c r="C543" s="514" t="s">
        <v>3295</v>
      </c>
      <c r="D543" s="87">
        <v>12000</v>
      </c>
      <c r="E543" s="87">
        <v>136</v>
      </c>
      <c r="F543" s="563">
        <f t="shared" si="23"/>
        <v>12000</v>
      </c>
      <c r="G543" s="87">
        <f t="shared" si="19"/>
        <v>0</v>
      </c>
      <c r="H543" s="690"/>
      <c r="I543" s="693"/>
      <c r="J543" s="692"/>
      <c r="K543" s="692"/>
    </row>
    <row r="544" spans="1:11" ht="15" customHeight="1" x14ac:dyDescent="0.25">
      <c r="A544" s="728">
        <f t="shared" si="22"/>
        <v>88</v>
      </c>
      <c r="B544" s="87" t="s">
        <v>3277</v>
      </c>
      <c r="C544" s="514" t="s">
        <v>2134</v>
      </c>
      <c r="D544" s="87">
        <v>22000</v>
      </c>
      <c r="E544" s="87">
        <v>250</v>
      </c>
      <c r="F544" s="563">
        <f t="shared" si="23"/>
        <v>22000</v>
      </c>
      <c r="G544" s="87">
        <f t="shared" si="19"/>
        <v>0</v>
      </c>
      <c r="H544" s="690"/>
      <c r="I544" s="693"/>
      <c r="J544" s="692"/>
      <c r="K544" s="692"/>
    </row>
    <row r="545" spans="1:11" ht="15" customHeight="1" x14ac:dyDescent="0.25">
      <c r="A545" s="728">
        <f t="shared" si="22"/>
        <v>87.912087912087912</v>
      </c>
      <c r="B545" s="87" t="s">
        <v>3277</v>
      </c>
      <c r="C545" s="514" t="s">
        <v>3296</v>
      </c>
      <c r="D545" s="87">
        <v>8000</v>
      </c>
      <c r="E545" s="87">
        <v>91</v>
      </c>
      <c r="F545" s="563">
        <f t="shared" si="23"/>
        <v>8000</v>
      </c>
      <c r="G545" s="87">
        <f t="shared" si="19"/>
        <v>0</v>
      </c>
      <c r="H545" s="690"/>
      <c r="I545" s="693"/>
      <c r="J545" s="692"/>
      <c r="K545" s="692"/>
    </row>
    <row r="546" spans="1:11" ht="15" customHeight="1" x14ac:dyDescent="0.25">
      <c r="A546" s="728">
        <f t="shared" si="22"/>
        <v>89.928057553956833</v>
      </c>
      <c r="B546" s="87" t="s">
        <v>3277</v>
      </c>
      <c r="C546" s="714" t="s">
        <v>3297</v>
      </c>
      <c r="D546" s="696">
        <v>25000</v>
      </c>
      <c r="E546" s="573">
        <v>278</v>
      </c>
      <c r="F546" s="563">
        <f t="shared" si="23"/>
        <v>25000</v>
      </c>
      <c r="G546" s="87">
        <f t="shared" si="19"/>
        <v>0</v>
      </c>
      <c r="H546" s="690"/>
      <c r="I546" s="693"/>
      <c r="J546" s="692"/>
      <c r="K546" s="692"/>
    </row>
    <row r="547" spans="1:11" ht="15" customHeight="1" x14ac:dyDescent="0.25">
      <c r="A547" s="728">
        <f t="shared" si="22"/>
        <v>88.495575221238937</v>
      </c>
      <c r="B547" s="87" t="s">
        <v>3277</v>
      </c>
      <c r="C547" s="714" t="s">
        <v>3298</v>
      </c>
      <c r="D547" s="696">
        <v>10000</v>
      </c>
      <c r="E547" s="573">
        <v>113</v>
      </c>
      <c r="F547" s="563">
        <f t="shared" si="23"/>
        <v>10000</v>
      </c>
      <c r="G547" s="87">
        <f t="shared" si="19"/>
        <v>0</v>
      </c>
      <c r="H547" s="690"/>
      <c r="I547" s="693"/>
      <c r="J547" s="692"/>
      <c r="K547" s="692"/>
    </row>
    <row r="548" spans="1:11" ht="15" customHeight="1" x14ac:dyDescent="0.25">
      <c r="A548" s="728">
        <f t="shared" ref="A548:A611" si="24">D548/E548</f>
        <v>88.105726872246692</v>
      </c>
      <c r="B548" s="87" t="s">
        <v>3277</v>
      </c>
      <c r="C548" s="714" t="s">
        <v>3299</v>
      </c>
      <c r="D548" s="696">
        <v>20000</v>
      </c>
      <c r="E548" s="573">
        <v>227</v>
      </c>
      <c r="F548" s="563">
        <f t="shared" si="23"/>
        <v>20000</v>
      </c>
      <c r="G548" s="87">
        <f t="shared" si="19"/>
        <v>0</v>
      </c>
      <c r="H548" s="690"/>
      <c r="I548" s="693"/>
      <c r="J548" s="692"/>
      <c r="K548" s="692"/>
    </row>
    <row r="549" spans="1:11" ht="15" customHeight="1" x14ac:dyDescent="0.25">
      <c r="A549" s="728">
        <f t="shared" si="24"/>
        <v>88.105726872246692</v>
      </c>
      <c r="B549" s="87" t="s">
        <v>3300</v>
      </c>
      <c r="C549" s="714" t="s">
        <v>3304</v>
      </c>
      <c r="D549" s="696">
        <v>20000</v>
      </c>
      <c r="E549" s="573">
        <v>227</v>
      </c>
      <c r="F549" s="563">
        <f t="shared" si="23"/>
        <v>20000</v>
      </c>
      <c r="G549" s="87">
        <f t="shared" si="19"/>
        <v>0</v>
      </c>
      <c r="H549" s="690"/>
      <c r="I549" s="693"/>
      <c r="J549" s="692"/>
      <c r="K549" s="692"/>
    </row>
    <row r="550" spans="1:11" ht="15" customHeight="1" x14ac:dyDescent="0.25">
      <c r="A550" s="728">
        <f t="shared" si="24"/>
        <v>88</v>
      </c>
      <c r="B550" s="87" t="s">
        <v>3300</v>
      </c>
      <c r="C550" s="714" t="s">
        <v>3305</v>
      </c>
      <c r="D550" s="696">
        <v>22000</v>
      </c>
      <c r="E550" s="573">
        <v>250</v>
      </c>
      <c r="F550" s="563">
        <f t="shared" si="23"/>
        <v>22000</v>
      </c>
      <c r="G550" s="87">
        <f t="shared" si="19"/>
        <v>0</v>
      </c>
      <c r="H550" s="690"/>
      <c r="I550" s="693"/>
      <c r="J550" s="692"/>
      <c r="K550" s="692"/>
    </row>
    <row r="551" spans="1:11" ht="15" customHeight="1" x14ac:dyDescent="0.25">
      <c r="A551" s="728">
        <f t="shared" si="24"/>
        <v>88</v>
      </c>
      <c r="B551" s="87" t="s">
        <v>3300</v>
      </c>
      <c r="C551" s="714" t="s">
        <v>3306</v>
      </c>
      <c r="D551" s="696">
        <v>22000</v>
      </c>
      <c r="E551" s="573">
        <v>250</v>
      </c>
      <c r="F551" s="563">
        <f t="shared" si="23"/>
        <v>22000</v>
      </c>
      <c r="G551" s="87">
        <f t="shared" si="19"/>
        <v>0</v>
      </c>
      <c r="H551" s="690"/>
      <c r="I551" s="693"/>
      <c r="J551" s="692"/>
      <c r="K551" s="692"/>
    </row>
    <row r="552" spans="1:11" ht="15" customHeight="1" x14ac:dyDescent="0.25">
      <c r="A552" s="728">
        <f t="shared" si="24"/>
        <v>89.743589743589737</v>
      </c>
      <c r="B552" s="87" t="s">
        <v>3300</v>
      </c>
      <c r="C552" s="714" t="s">
        <v>3307</v>
      </c>
      <c r="D552" s="696">
        <v>28000</v>
      </c>
      <c r="E552" s="573">
        <v>312</v>
      </c>
      <c r="F552" s="563">
        <f t="shared" si="23"/>
        <v>28000</v>
      </c>
      <c r="G552" s="87">
        <f t="shared" si="19"/>
        <v>0</v>
      </c>
      <c r="H552" s="690"/>
      <c r="I552" s="693"/>
      <c r="J552" s="692"/>
      <c r="K552" s="692"/>
    </row>
    <row r="553" spans="1:11" ht="15" customHeight="1" x14ac:dyDescent="0.25">
      <c r="A553" s="728">
        <f t="shared" si="24"/>
        <v>92.250922509225092</v>
      </c>
      <c r="B553" s="87" t="s">
        <v>3300</v>
      </c>
      <c r="C553" s="714" t="s">
        <v>3308</v>
      </c>
      <c r="D553" s="696">
        <v>25000</v>
      </c>
      <c r="E553" s="573">
        <v>271</v>
      </c>
      <c r="F553" s="563">
        <f t="shared" si="23"/>
        <v>25000</v>
      </c>
      <c r="G553" s="87">
        <f t="shared" si="19"/>
        <v>0</v>
      </c>
      <c r="H553" s="690"/>
      <c r="I553" s="693"/>
      <c r="J553" s="692"/>
      <c r="K553" s="692"/>
    </row>
    <row r="554" spans="1:11" ht="15" customHeight="1" x14ac:dyDescent="0.25">
      <c r="A554" s="728">
        <f t="shared" si="24"/>
        <v>97.560975609756099</v>
      </c>
      <c r="B554" s="87" t="s">
        <v>3300</v>
      </c>
      <c r="C554" s="714" t="s">
        <v>3309</v>
      </c>
      <c r="D554" s="696">
        <v>20000</v>
      </c>
      <c r="E554" s="573">
        <v>205</v>
      </c>
      <c r="F554" s="563">
        <f t="shared" si="23"/>
        <v>20000</v>
      </c>
      <c r="G554" s="87">
        <f t="shared" si="19"/>
        <v>0</v>
      </c>
      <c r="H554" s="690"/>
      <c r="I554" s="693"/>
      <c r="J554" s="692"/>
      <c r="K554" s="692"/>
    </row>
    <row r="555" spans="1:11" ht="15" customHeight="1" x14ac:dyDescent="0.25">
      <c r="A555" s="728">
        <f t="shared" si="24"/>
        <v>88.339222614840992</v>
      </c>
      <c r="B555" s="87" t="s">
        <v>3300</v>
      </c>
      <c r="C555" s="714" t="s">
        <v>3310</v>
      </c>
      <c r="D555" s="696">
        <v>25000</v>
      </c>
      <c r="E555" s="573">
        <v>283</v>
      </c>
      <c r="F555" s="563">
        <f t="shared" si="23"/>
        <v>25000</v>
      </c>
      <c r="G555" s="87">
        <f t="shared" si="19"/>
        <v>0</v>
      </c>
      <c r="H555" s="690"/>
      <c r="I555" s="693"/>
      <c r="J555" s="692"/>
      <c r="K555" s="692"/>
    </row>
    <row r="556" spans="1:11" ht="15" customHeight="1" x14ac:dyDescent="0.25">
      <c r="A556" s="728">
        <f t="shared" si="24"/>
        <v>94.827586206896555</v>
      </c>
      <c r="B556" s="87" t="s">
        <v>3300</v>
      </c>
      <c r="C556" s="714" t="s">
        <v>3311</v>
      </c>
      <c r="D556" s="696">
        <v>22000</v>
      </c>
      <c r="E556" s="573">
        <v>232</v>
      </c>
      <c r="F556" s="563">
        <f t="shared" si="23"/>
        <v>22000</v>
      </c>
      <c r="G556" s="87">
        <f t="shared" si="19"/>
        <v>0</v>
      </c>
      <c r="H556" s="690"/>
      <c r="I556" s="693"/>
      <c r="J556" s="692"/>
      <c r="K556" s="692"/>
    </row>
    <row r="557" spans="1:11" ht="15" customHeight="1" x14ac:dyDescent="0.25">
      <c r="A557" s="728">
        <f t="shared" si="24"/>
        <v>87.795275590551185</v>
      </c>
      <c r="B557" s="87" t="s">
        <v>3300</v>
      </c>
      <c r="C557" s="714" t="s">
        <v>3312</v>
      </c>
      <c r="D557" s="696">
        <v>22300</v>
      </c>
      <c r="E557" s="573">
        <v>254</v>
      </c>
      <c r="F557" s="563">
        <f t="shared" si="23"/>
        <v>22300</v>
      </c>
      <c r="G557" s="87">
        <f t="shared" si="19"/>
        <v>0</v>
      </c>
      <c r="H557" s="690"/>
      <c r="I557" s="693"/>
      <c r="J557" s="692"/>
      <c r="K557" s="692"/>
    </row>
    <row r="558" spans="1:11" ht="15" customHeight="1" x14ac:dyDescent="0.25">
      <c r="A558" s="728">
        <f t="shared" si="24"/>
        <v>100</v>
      </c>
      <c r="B558" s="87" t="s">
        <v>3300</v>
      </c>
      <c r="C558" s="714" t="s">
        <v>3313</v>
      </c>
      <c r="D558" s="696">
        <v>17000</v>
      </c>
      <c r="E558" s="573">
        <v>170</v>
      </c>
      <c r="F558" s="563">
        <f t="shared" si="23"/>
        <v>17000</v>
      </c>
      <c r="G558" s="87">
        <f t="shared" si="19"/>
        <v>0</v>
      </c>
      <c r="H558" s="690"/>
      <c r="I558" s="693"/>
      <c r="J558" s="692"/>
      <c r="K558" s="692"/>
    </row>
    <row r="559" spans="1:11" ht="15" customHeight="1" x14ac:dyDescent="0.25">
      <c r="A559" s="728">
        <f t="shared" si="24"/>
        <v>88.235294117647058</v>
      </c>
      <c r="B559" s="87" t="s">
        <v>3300</v>
      </c>
      <c r="C559" s="714" t="s">
        <v>3314</v>
      </c>
      <c r="D559" s="696">
        <v>15000</v>
      </c>
      <c r="E559" s="573">
        <v>170</v>
      </c>
      <c r="F559" s="563">
        <f t="shared" si="23"/>
        <v>15000</v>
      </c>
      <c r="G559" s="87">
        <f t="shared" si="19"/>
        <v>0</v>
      </c>
      <c r="H559" s="690"/>
      <c r="I559" s="693"/>
      <c r="J559" s="692"/>
      <c r="K559" s="692"/>
    </row>
    <row r="560" spans="1:11" ht="15" customHeight="1" x14ac:dyDescent="0.25">
      <c r="A560" s="728">
        <f t="shared" si="24"/>
        <v>88.235294117647058</v>
      </c>
      <c r="B560" s="87" t="s">
        <v>3300</v>
      </c>
      <c r="C560" s="714" t="s">
        <v>3315</v>
      </c>
      <c r="D560" s="696">
        <v>15000</v>
      </c>
      <c r="E560" s="573">
        <v>170</v>
      </c>
      <c r="F560" s="563">
        <f t="shared" si="23"/>
        <v>15000</v>
      </c>
      <c r="G560" s="87">
        <f t="shared" si="19"/>
        <v>0</v>
      </c>
      <c r="H560" s="690"/>
      <c r="I560" s="693"/>
      <c r="J560" s="692"/>
      <c r="K560" s="692"/>
    </row>
    <row r="561" spans="1:11" ht="15" customHeight="1" x14ac:dyDescent="0.25">
      <c r="A561" s="728">
        <f t="shared" si="24"/>
        <v>88.235294117647058</v>
      </c>
      <c r="B561" s="87" t="s">
        <v>3300</v>
      </c>
      <c r="C561" s="714" t="s">
        <v>1796</v>
      </c>
      <c r="D561" s="696">
        <v>15000</v>
      </c>
      <c r="E561" s="573">
        <v>170</v>
      </c>
      <c r="F561" s="563">
        <f t="shared" si="23"/>
        <v>15000</v>
      </c>
      <c r="G561" s="87">
        <f t="shared" si="19"/>
        <v>0</v>
      </c>
      <c r="H561" s="690"/>
      <c r="I561" s="693"/>
      <c r="J561" s="692"/>
      <c r="K561" s="692"/>
    </row>
    <row r="562" spans="1:11" ht="15" customHeight="1" x14ac:dyDescent="0.25">
      <c r="A562" s="728">
        <f t="shared" si="24"/>
        <v>87.774294670846402</v>
      </c>
      <c r="B562" s="87" t="s">
        <v>3300</v>
      </c>
      <c r="C562" s="714" t="s">
        <v>3316</v>
      </c>
      <c r="D562" s="696">
        <v>28000</v>
      </c>
      <c r="E562" s="573">
        <v>319</v>
      </c>
      <c r="F562" s="563">
        <f t="shared" si="23"/>
        <v>28000</v>
      </c>
      <c r="G562" s="87">
        <f t="shared" si="19"/>
        <v>0</v>
      </c>
      <c r="H562" s="690"/>
      <c r="I562" s="693"/>
      <c r="J562" s="692"/>
      <c r="K562" s="692"/>
    </row>
    <row r="563" spans="1:11" ht="15" customHeight="1" x14ac:dyDescent="0.25">
      <c r="A563" s="728">
        <f t="shared" si="24"/>
        <v>87.912087912087912</v>
      </c>
      <c r="B563" s="87" t="s">
        <v>3300</v>
      </c>
      <c r="C563" s="714" t="s">
        <v>3324</v>
      </c>
      <c r="D563" s="696">
        <v>16000</v>
      </c>
      <c r="E563" s="573">
        <v>182</v>
      </c>
      <c r="F563" s="563">
        <f t="shared" si="23"/>
        <v>16000</v>
      </c>
      <c r="G563" s="87">
        <f t="shared" si="19"/>
        <v>0</v>
      </c>
      <c r="H563" s="690"/>
      <c r="I563" s="693"/>
      <c r="J563" s="692"/>
      <c r="K563" s="692"/>
    </row>
    <row r="564" spans="1:11" ht="15" customHeight="1" x14ac:dyDescent="0.25">
      <c r="A564" s="728">
        <f t="shared" si="24"/>
        <v>90.909090909090907</v>
      </c>
      <c r="B564" s="87" t="s">
        <v>3300</v>
      </c>
      <c r="C564" s="714" t="s">
        <v>3317</v>
      </c>
      <c r="D564" s="696">
        <v>30000</v>
      </c>
      <c r="E564" s="573">
        <v>330</v>
      </c>
      <c r="F564" s="563">
        <f t="shared" si="23"/>
        <v>30000</v>
      </c>
      <c r="G564" s="87">
        <f t="shared" si="19"/>
        <v>0</v>
      </c>
      <c r="H564" s="690"/>
      <c r="I564" s="693"/>
      <c r="J564" s="692"/>
      <c r="K564" s="692"/>
    </row>
    <row r="565" spans="1:11" ht="15" customHeight="1" x14ac:dyDescent="0.25">
      <c r="A565" s="728">
        <f t="shared" si="24"/>
        <v>88.495575221238937</v>
      </c>
      <c r="B565" s="87" t="s">
        <v>3300</v>
      </c>
      <c r="C565" s="714" t="s">
        <v>3318</v>
      </c>
      <c r="D565" s="696">
        <v>10000</v>
      </c>
      <c r="E565" s="573">
        <v>113</v>
      </c>
      <c r="F565" s="563">
        <f t="shared" si="23"/>
        <v>10000</v>
      </c>
      <c r="G565" s="87">
        <f t="shared" si="19"/>
        <v>0</v>
      </c>
      <c r="H565" s="690"/>
      <c r="I565" s="693"/>
      <c r="J565" s="692"/>
      <c r="K565" s="692"/>
    </row>
    <row r="566" spans="1:11" ht="15" customHeight="1" x14ac:dyDescent="0.25">
      <c r="A566" s="728">
        <f t="shared" si="24"/>
        <v>88.607594936708864</v>
      </c>
      <c r="B566" s="87" t="s">
        <v>3300</v>
      </c>
      <c r="C566" s="714" t="s">
        <v>3319</v>
      </c>
      <c r="D566" s="696">
        <v>7000</v>
      </c>
      <c r="E566" s="573">
        <v>79</v>
      </c>
      <c r="F566" s="563">
        <f t="shared" si="23"/>
        <v>7000</v>
      </c>
      <c r="G566" s="87">
        <f t="shared" si="19"/>
        <v>0</v>
      </c>
      <c r="H566" s="690"/>
      <c r="I566" s="693"/>
      <c r="J566" s="692"/>
      <c r="K566" s="692"/>
    </row>
    <row r="567" spans="1:11" ht="15" customHeight="1" x14ac:dyDescent="0.25">
      <c r="A567" s="728">
        <f t="shared" si="24"/>
        <v>88.028169014084511</v>
      </c>
      <c r="B567" s="87" t="s">
        <v>3300</v>
      </c>
      <c r="C567" s="714" t="s">
        <v>3320</v>
      </c>
      <c r="D567" s="696">
        <v>25000</v>
      </c>
      <c r="E567" s="573">
        <v>284</v>
      </c>
      <c r="F567" s="563">
        <f t="shared" si="23"/>
        <v>25000</v>
      </c>
      <c r="G567" s="87">
        <f t="shared" si="19"/>
        <v>0</v>
      </c>
      <c r="H567" s="690"/>
      <c r="I567" s="693"/>
      <c r="J567" s="692"/>
      <c r="K567" s="692"/>
    </row>
    <row r="568" spans="1:11" ht="15" customHeight="1" x14ac:dyDescent="0.25">
      <c r="A568" s="728">
        <f t="shared" si="24"/>
        <v>88.105726872246692</v>
      </c>
      <c r="B568" s="87" t="s">
        <v>3300</v>
      </c>
      <c r="C568" s="714" t="s">
        <v>3321</v>
      </c>
      <c r="D568" s="696">
        <v>20000</v>
      </c>
      <c r="E568" s="573">
        <v>227</v>
      </c>
      <c r="F568" s="563">
        <f t="shared" si="23"/>
        <v>20000</v>
      </c>
      <c r="G568" s="87">
        <f t="shared" si="19"/>
        <v>0</v>
      </c>
      <c r="H568" s="690"/>
      <c r="I568" s="693"/>
      <c r="J568" s="692"/>
      <c r="K568" s="692"/>
    </row>
    <row r="569" spans="1:11" ht="15" customHeight="1" x14ac:dyDescent="0.25">
      <c r="A569" s="728">
        <f t="shared" si="24"/>
        <v>95.890410958904113</v>
      </c>
      <c r="B569" s="87" t="s">
        <v>3300</v>
      </c>
      <c r="C569" s="748" t="s">
        <v>66</v>
      </c>
      <c r="D569" s="696">
        <v>210</v>
      </c>
      <c r="E569" s="573">
        <v>2.19</v>
      </c>
      <c r="F569" s="563">
        <f t="shared" si="23"/>
        <v>210</v>
      </c>
      <c r="G569" s="87">
        <f t="shared" si="19"/>
        <v>0</v>
      </c>
      <c r="H569" s="690"/>
      <c r="I569" s="693"/>
      <c r="J569" s="692"/>
      <c r="K569" s="692"/>
    </row>
    <row r="570" spans="1:11" ht="15" customHeight="1" x14ac:dyDescent="0.25">
      <c r="A570" s="728">
        <f t="shared" si="24"/>
        <v>89.285714285714292</v>
      </c>
      <c r="B570" s="87" t="s">
        <v>3300</v>
      </c>
      <c r="C570" s="714" t="s">
        <v>3322</v>
      </c>
      <c r="D570" s="696">
        <v>5000</v>
      </c>
      <c r="E570" s="573">
        <v>56</v>
      </c>
      <c r="F570" s="563">
        <f t="shared" si="23"/>
        <v>5000</v>
      </c>
      <c r="G570" s="87">
        <f t="shared" si="19"/>
        <v>0</v>
      </c>
      <c r="H570" s="690"/>
      <c r="I570" s="693"/>
      <c r="J570" s="692"/>
      <c r="K570" s="692"/>
    </row>
    <row r="571" spans="1:11" ht="15" customHeight="1" x14ac:dyDescent="0.25">
      <c r="A571" s="728">
        <f t="shared" si="24"/>
        <v>87.774294670846402</v>
      </c>
      <c r="B571" s="87" t="s">
        <v>3300</v>
      </c>
      <c r="C571" s="714" t="s">
        <v>3323</v>
      </c>
      <c r="D571" s="696">
        <v>28000</v>
      </c>
      <c r="E571" s="573">
        <v>319</v>
      </c>
      <c r="F571" s="563">
        <f t="shared" si="23"/>
        <v>28000</v>
      </c>
      <c r="G571" s="87">
        <f t="shared" si="19"/>
        <v>0</v>
      </c>
      <c r="H571" s="690"/>
      <c r="I571" s="693"/>
      <c r="J571" s="692"/>
      <c r="K571" s="692"/>
    </row>
    <row r="572" spans="1:11" ht="15" customHeight="1" x14ac:dyDescent="0.25">
      <c r="A572" s="728">
        <f t="shared" si="24"/>
        <v>92.436974789915965</v>
      </c>
      <c r="B572" s="87" t="s">
        <v>3300</v>
      </c>
      <c r="C572" s="714" t="s">
        <v>66</v>
      </c>
      <c r="D572" s="696">
        <v>110</v>
      </c>
      <c r="E572" s="573">
        <v>1.19</v>
      </c>
      <c r="F572" s="563">
        <f t="shared" si="23"/>
        <v>110</v>
      </c>
      <c r="G572" s="87">
        <f t="shared" si="19"/>
        <v>0</v>
      </c>
      <c r="H572" s="690"/>
      <c r="I572" s="693"/>
      <c r="J572" s="692"/>
      <c r="K572" s="692"/>
    </row>
    <row r="573" spans="1:11" ht="15" customHeight="1" x14ac:dyDescent="0.25">
      <c r="A573" s="728">
        <f t="shared" si="24"/>
        <v>69.696969696969703</v>
      </c>
      <c r="B573" s="87" t="s">
        <v>3300</v>
      </c>
      <c r="C573" s="714" t="s">
        <v>2510</v>
      </c>
      <c r="D573" s="696">
        <v>23000</v>
      </c>
      <c r="E573" s="573">
        <v>330</v>
      </c>
      <c r="F573" s="563">
        <f t="shared" si="23"/>
        <v>23000</v>
      </c>
      <c r="G573" s="87">
        <f t="shared" si="19"/>
        <v>0</v>
      </c>
      <c r="H573" s="690"/>
      <c r="I573" s="693"/>
      <c r="J573" s="692"/>
      <c r="K573" s="692"/>
    </row>
    <row r="574" spans="1:11" ht="15" customHeight="1" x14ac:dyDescent="0.25">
      <c r="A574" s="728">
        <f t="shared" si="24"/>
        <v>88.495575221238937</v>
      </c>
      <c r="B574" s="87" t="s">
        <v>3327</v>
      </c>
      <c r="C574" s="714" t="s">
        <v>30</v>
      </c>
      <c r="D574" s="696">
        <v>10000</v>
      </c>
      <c r="E574" s="573">
        <v>113</v>
      </c>
      <c r="F574" s="563">
        <f t="shared" si="23"/>
        <v>10000</v>
      </c>
      <c r="G574" s="87">
        <f t="shared" si="19"/>
        <v>0</v>
      </c>
      <c r="H574" s="690"/>
      <c r="I574" s="693"/>
      <c r="J574" s="692"/>
      <c r="K574" s="692"/>
    </row>
    <row r="575" spans="1:11" ht="15" customHeight="1" x14ac:dyDescent="0.25">
      <c r="A575" s="728">
        <f t="shared" si="24"/>
        <v>90.909090909090907</v>
      </c>
      <c r="B575" s="87" t="s">
        <v>3327</v>
      </c>
      <c r="C575" s="714" t="s">
        <v>3328</v>
      </c>
      <c r="D575" s="696">
        <v>27000</v>
      </c>
      <c r="E575" s="573">
        <v>297</v>
      </c>
      <c r="F575" s="563">
        <f t="shared" si="23"/>
        <v>27000</v>
      </c>
      <c r="G575" s="87">
        <f t="shared" si="19"/>
        <v>0</v>
      </c>
      <c r="H575" s="690"/>
      <c r="I575" s="693"/>
      <c r="J575" s="692"/>
      <c r="K575" s="692"/>
    </row>
    <row r="576" spans="1:11" ht="15" customHeight="1" x14ac:dyDescent="0.25">
      <c r="A576" s="728">
        <f t="shared" si="24"/>
        <v>94.827586206896555</v>
      </c>
      <c r="B576" s="87" t="s">
        <v>3327</v>
      </c>
      <c r="C576" s="714" t="s">
        <v>3329</v>
      </c>
      <c r="D576" s="696">
        <v>22000</v>
      </c>
      <c r="E576" s="573">
        <v>232</v>
      </c>
      <c r="F576" s="563">
        <f t="shared" si="23"/>
        <v>22000</v>
      </c>
      <c r="G576" s="87">
        <f t="shared" si="19"/>
        <v>0</v>
      </c>
      <c r="H576" s="690"/>
      <c r="I576" s="693"/>
      <c r="J576" s="692"/>
      <c r="K576" s="692"/>
    </row>
    <row r="577" spans="1:11" ht="15" customHeight="1" x14ac:dyDescent="0.25">
      <c r="A577" s="728">
        <f t="shared" si="24"/>
        <v>88.235294117647058</v>
      </c>
      <c r="B577" s="87" t="s">
        <v>3327</v>
      </c>
      <c r="C577" s="714" t="s">
        <v>1990</v>
      </c>
      <c r="D577" s="696">
        <v>15000</v>
      </c>
      <c r="E577" s="573">
        <v>170</v>
      </c>
      <c r="F577" s="563">
        <f t="shared" si="23"/>
        <v>15000</v>
      </c>
      <c r="G577" s="87">
        <f t="shared" si="19"/>
        <v>0</v>
      </c>
      <c r="H577" s="690"/>
      <c r="I577" s="693"/>
      <c r="J577" s="692"/>
      <c r="K577" s="692"/>
    </row>
    <row r="578" spans="1:11" ht="15" customHeight="1" x14ac:dyDescent="0.25">
      <c r="A578" s="728">
        <f t="shared" si="24"/>
        <v>88.235294117647058</v>
      </c>
      <c r="B578" s="87" t="s">
        <v>3327</v>
      </c>
      <c r="C578" s="714" t="s">
        <v>3330</v>
      </c>
      <c r="D578" s="696">
        <v>15000</v>
      </c>
      <c r="E578" s="573">
        <v>170</v>
      </c>
      <c r="F578" s="563">
        <f t="shared" si="23"/>
        <v>15000</v>
      </c>
      <c r="G578" s="87">
        <f t="shared" si="19"/>
        <v>0</v>
      </c>
      <c r="H578" s="690"/>
      <c r="I578" s="693"/>
      <c r="J578" s="692"/>
      <c r="K578" s="692"/>
    </row>
    <row r="579" spans="1:11" ht="15" customHeight="1" x14ac:dyDescent="0.25">
      <c r="A579" s="728">
        <f t="shared" si="24"/>
        <v>92.592592592592595</v>
      </c>
      <c r="B579" s="87" t="s">
        <v>3327</v>
      </c>
      <c r="C579" s="714" t="s">
        <v>3331</v>
      </c>
      <c r="D579" s="696">
        <v>25000</v>
      </c>
      <c r="E579" s="573">
        <v>270</v>
      </c>
      <c r="F579" s="563">
        <f t="shared" si="23"/>
        <v>25000</v>
      </c>
      <c r="G579" s="87">
        <f t="shared" si="19"/>
        <v>0</v>
      </c>
      <c r="H579" s="690"/>
      <c r="I579" s="693"/>
      <c r="J579" s="692"/>
      <c r="K579" s="692"/>
    </row>
    <row r="580" spans="1:11" ht="15" customHeight="1" x14ac:dyDescent="0.25">
      <c r="A580" s="728">
        <f t="shared" si="24"/>
        <v>88.235294117647058</v>
      </c>
      <c r="B580" s="87" t="s">
        <v>3327</v>
      </c>
      <c r="C580" s="714" t="s">
        <v>3332</v>
      </c>
      <c r="D580" s="696">
        <v>15000</v>
      </c>
      <c r="E580" s="573">
        <v>170</v>
      </c>
      <c r="F580" s="563">
        <f t="shared" si="23"/>
        <v>15000</v>
      </c>
      <c r="G580" s="87">
        <f t="shared" si="19"/>
        <v>0</v>
      </c>
      <c r="H580" s="690"/>
      <c r="I580" s="693"/>
      <c r="J580" s="692"/>
      <c r="K580" s="692"/>
    </row>
    <row r="581" spans="1:11" ht="15" customHeight="1" x14ac:dyDescent="0.25">
      <c r="A581" s="728">
        <f t="shared" si="24"/>
        <v>91.872791519434628</v>
      </c>
      <c r="B581" s="87" t="s">
        <v>3327</v>
      </c>
      <c r="C581" s="714" t="s">
        <v>3333</v>
      </c>
      <c r="D581" s="696">
        <v>26000</v>
      </c>
      <c r="E581" s="573">
        <v>283</v>
      </c>
      <c r="F581" s="563">
        <f t="shared" si="23"/>
        <v>26000</v>
      </c>
      <c r="G581" s="87">
        <f t="shared" si="19"/>
        <v>0</v>
      </c>
      <c r="H581" s="690"/>
      <c r="I581" s="693"/>
      <c r="J581" s="692"/>
      <c r="K581" s="692"/>
    </row>
    <row r="582" spans="1:11" ht="15" customHeight="1" x14ac:dyDescent="0.25">
      <c r="A582" s="728">
        <f t="shared" si="24"/>
        <v>91.911764705882348</v>
      </c>
      <c r="B582" s="87" t="s">
        <v>3327</v>
      </c>
      <c r="C582" s="714">
        <v>4857</v>
      </c>
      <c r="D582" s="696">
        <v>25000</v>
      </c>
      <c r="E582" s="573">
        <v>272</v>
      </c>
      <c r="F582" s="563">
        <f t="shared" si="23"/>
        <v>25000</v>
      </c>
      <c r="G582" s="87">
        <f t="shared" si="19"/>
        <v>0</v>
      </c>
      <c r="H582" s="690"/>
      <c r="I582" s="693"/>
      <c r="J582" s="692"/>
      <c r="K582" s="692"/>
    </row>
    <row r="583" spans="1:11" ht="15" customHeight="1" x14ac:dyDescent="0.25">
      <c r="A583" s="728">
        <f t="shared" si="24"/>
        <v>88.495575221238937</v>
      </c>
      <c r="B583" s="87" t="s">
        <v>3327</v>
      </c>
      <c r="C583" s="714" t="s">
        <v>3334</v>
      </c>
      <c r="D583" s="696">
        <v>10000</v>
      </c>
      <c r="E583" s="573">
        <v>113</v>
      </c>
      <c r="F583" s="563">
        <f t="shared" si="23"/>
        <v>10000</v>
      </c>
      <c r="G583" s="87">
        <f t="shared" si="19"/>
        <v>0</v>
      </c>
      <c r="H583" s="690"/>
      <c r="I583" s="693"/>
      <c r="J583" s="692"/>
      <c r="K583" s="692"/>
    </row>
    <row r="584" spans="1:11" ht="15" customHeight="1" x14ac:dyDescent="0.25">
      <c r="A584" s="728">
        <f t="shared" si="24"/>
        <v>87.786259541984734</v>
      </c>
      <c r="B584" s="87" t="s">
        <v>3327</v>
      </c>
      <c r="C584" s="714" t="s">
        <v>2325</v>
      </c>
      <c r="D584" s="696">
        <v>23000</v>
      </c>
      <c r="E584" s="573">
        <v>262</v>
      </c>
      <c r="F584" s="563">
        <f t="shared" si="23"/>
        <v>23000</v>
      </c>
      <c r="G584" s="87">
        <f t="shared" si="19"/>
        <v>0</v>
      </c>
      <c r="H584" s="690"/>
      <c r="I584" s="693"/>
      <c r="J584" s="692"/>
      <c r="K584" s="692"/>
    </row>
    <row r="585" spans="1:11" ht="15" customHeight="1" x14ac:dyDescent="0.25">
      <c r="A585" s="728">
        <f t="shared" si="24"/>
        <v>88.028169014084511</v>
      </c>
      <c r="B585" s="87" t="s">
        <v>3327</v>
      </c>
      <c r="C585" s="696" t="s">
        <v>3335</v>
      </c>
      <c r="D585" s="696">
        <v>25000</v>
      </c>
      <c r="E585" s="573">
        <v>284</v>
      </c>
      <c r="F585" s="563">
        <f t="shared" si="23"/>
        <v>25000</v>
      </c>
      <c r="G585" s="87">
        <f t="shared" si="19"/>
        <v>0</v>
      </c>
      <c r="H585" s="690"/>
      <c r="I585" s="693"/>
      <c r="J585" s="692"/>
      <c r="K585" s="692"/>
    </row>
    <row r="586" spans="1:11" ht="15" customHeight="1" x14ac:dyDescent="0.25">
      <c r="A586" s="728">
        <f t="shared" si="24"/>
        <v>88.105726872246692</v>
      </c>
      <c r="B586" s="87" t="s">
        <v>3327</v>
      </c>
      <c r="C586" s="714" t="s">
        <v>1982</v>
      </c>
      <c r="D586" s="696">
        <v>20000</v>
      </c>
      <c r="E586" s="573">
        <v>227</v>
      </c>
      <c r="F586" s="563">
        <f t="shared" si="23"/>
        <v>20000</v>
      </c>
      <c r="G586" s="87">
        <f t="shared" si="19"/>
        <v>0</v>
      </c>
      <c r="H586" s="690"/>
      <c r="I586" s="693"/>
      <c r="J586" s="692"/>
      <c r="K586" s="692"/>
    </row>
    <row r="587" spans="1:11" ht="15" customHeight="1" x14ac:dyDescent="0.25">
      <c r="A587" s="728">
        <f t="shared" si="24"/>
        <v>88.235294117647058</v>
      </c>
      <c r="B587" s="87" t="s">
        <v>3327</v>
      </c>
      <c r="C587" s="714" t="s">
        <v>1790</v>
      </c>
      <c r="D587" s="696">
        <v>15000</v>
      </c>
      <c r="E587" s="573">
        <v>170</v>
      </c>
      <c r="F587" s="563">
        <f t="shared" si="23"/>
        <v>15000</v>
      </c>
      <c r="G587" s="87">
        <f t="shared" si="19"/>
        <v>0</v>
      </c>
      <c r="H587" s="690"/>
      <c r="I587" s="693"/>
      <c r="J587" s="692"/>
      <c r="K587" s="692"/>
    </row>
    <row r="588" spans="1:11" ht="15" customHeight="1" x14ac:dyDescent="0.25">
      <c r="A588" s="728">
        <f t="shared" si="24"/>
        <v>89.285714285714292</v>
      </c>
      <c r="B588" s="87" t="s">
        <v>3327</v>
      </c>
      <c r="C588" s="714" t="s">
        <v>3336</v>
      </c>
      <c r="D588" s="696">
        <v>5000</v>
      </c>
      <c r="E588" s="573">
        <v>56</v>
      </c>
      <c r="F588" s="563">
        <f t="shared" si="23"/>
        <v>5000</v>
      </c>
      <c r="G588" s="87">
        <f t="shared" si="19"/>
        <v>0</v>
      </c>
      <c r="H588" s="690"/>
      <c r="I588" s="693"/>
      <c r="J588" s="692"/>
      <c r="K588" s="692"/>
    </row>
    <row r="589" spans="1:11" ht="15" customHeight="1" x14ac:dyDescent="0.25">
      <c r="A589" s="728">
        <f t="shared" si="24"/>
        <v>88.028169014084511</v>
      </c>
      <c r="B589" s="87" t="s">
        <v>3327</v>
      </c>
      <c r="C589" s="714" t="s">
        <v>3337</v>
      </c>
      <c r="D589" s="696">
        <v>25000</v>
      </c>
      <c r="E589" s="573">
        <v>284</v>
      </c>
      <c r="F589" s="563">
        <f t="shared" si="23"/>
        <v>25000</v>
      </c>
      <c r="G589" s="87">
        <f t="shared" si="19"/>
        <v>0</v>
      </c>
      <c r="H589" s="690"/>
      <c r="I589" s="693"/>
      <c r="J589" s="692"/>
      <c r="K589" s="692"/>
    </row>
    <row r="590" spans="1:11" ht="15" customHeight="1" x14ac:dyDescent="0.25">
      <c r="A590" s="728">
        <f t="shared" si="24"/>
        <v>88.235294117647058</v>
      </c>
      <c r="B590" s="87" t="s">
        <v>3327</v>
      </c>
      <c r="C590" s="714" t="s">
        <v>1838</v>
      </c>
      <c r="D590" s="696">
        <v>15000</v>
      </c>
      <c r="E590" s="573">
        <v>170</v>
      </c>
      <c r="F590" s="563">
        <f t="shared" si="23"/>
        <v>15000</v>
      </c>
      <c r="G590" s="87">
        <f t="shared" si="19"/>
        <v>0</v>
      </c>
      <c r="H590" s="690"/>
      <c r="I590" s="693"/>
      <c r="J590" s="692"/>
      <c r="K590" s="692"/>
    </row>
    <row r="591" spans="1:11" ht="15" customHeight="1" x14ac:dyDescent="0.25">
      <c r="A591" s="728">
        <f t="shared" si="24"/>
        <v>88.235294117647058</v>
      </c>
      <c r="B591" s="87" t="s">
        <v>3327</v>
      </c>
      <c r="C591" s="714" t="s">
        <v>3349</v>
      </c>
      <c r="D591" s="696">
        <v>30000</v>
      </c>
      <c r="E591" s="573">
        <v>340</v>
      </c>
      <c r="F591" s="563">
        <f t="shared" si="23"/>
        <v>30000</v>
      </c>
      <c r="G591" s="87">
        <f t="shared" si="19"/>
        <v>0</v>
      </c>
      <c r="H591" s="690"/>
      <c r="I591" s="693"/>
      <c r="J591" s="692"/>
      <c r="K591" s="692"/>
    </row>
    <row r="592" spans="1:11" ht="15" customHeight="1" x14ac:dyDescent="0.25">
      <c r="A592" s="728">
        <f t="shared" si="24"/>
        <v>89.84375</v>
      </c>
      <c r="B592" s="87" t="s">
        <v>3327</v>
      </c>
      <c r="C592" s="714" t="s">
        <v>3088</v>
      </c>
      <c r="D592" s="696">
        <v>23000</v>
      </c>
      <c r="E592" s="573">
        <v>256</v>
      </c>
      <c r="F592" s="563">
        <f t="shared" ref="F592:F651" si="25">D592</f>
        <v>23000</v>
      </c>
      <c r="G592" s="87">
        <f t="shared" si="19"/>
        <v>0</v>
      </c>
      <c r="H592" s="690"/>
      <c r="I592" s="693"/>
      <c r="J592" s="692"/>
      <c r="K592" s="692"/>
    </row>
    <row r="593" spans="1:11" ht="15" customHeight="1" x14ac:dyDescent="0.25">
      <c r="A593" s="728">
        <f t="shared" si="24"/>
        <v>89.84375</v>
      </c>
      <c r="B593" s="87" t="s">
        <v>3327</v>
      </c>
      <c r="C593" s="714" t="s">
        <v>3084</v>
      </c>
      <c r="D593" s="696">
        <v>23000</v>
      </c>
      <c r="E593" s="573">
        <v>256</v>
      </c>
      <c r="F593" s="563">
        <f t="shared" si="25"/>
        <v>23000</v>
      </c>
      <c r="G593" s="87">
        <f t="shared" si="19"/>
        <v>0</v>
      </c>
      <c r="H593" s="690"/>
      <c r="I593" s="693"/>
      <c r="J593" s="692"/>
      <c r="K593" s="692"/>
    </row>
    <row r="594" spans="1:11" ht="15" customHeight="1" x14ac:dyDescent="0.25">
      <c r="A594" s="728">
        <f t="shared" si="24"/>
        <v>91.370558375634516</v>
      </c>
      <c r="B594" s="87" t="s">
        <v>3338</v>
      </c>
      <c r="C594" s="696" t="s">
        <v>3339</v>
      </c>
      <c r="D594" s="696">
        <v>18000</v>
      </c>
      <c r="E594" s="573">
        <v>197</v>
      </c>
      <c r="F594" s="563">
        <f t="shared" si="25"/>
        <v>18000</v>
      </c>
      <c r="G594" s="87">
        <f t="shared" si="19"/>
        <v>0</v>
      </c>
      <c r="H594" s="690"/>
      <c r="I594" s="693"/>
      <c r="J594" s="692"/>
      <c r="K594" s="692"/>
    </row>
    <row r="595" spans="1:11" ht="15" customHeight="1" x14ac:dyDescent="0.25">
      <c r="A595" s="728">
        <f t="shared" si="24"/>
        <v>88</v>
      </c>
      <c r="B595" s="87" t="s">
        <v>3338</v>
      </c>
      <c r="C595" s="714" t="s">
        <v>3186</v>
      </c>
      <c r="D595" s="696">
        <v>33000</v>
      </c>
      <c r="E595" s="573">
        <v>375</v>
      </c>
      <c r="F595" s="563">
        <f t="shared" si="25"/>
        <v>33000</v>
      </c>
      <c r="G595" s="87">
        <f t="shared" si="19"/>
        <v>0</v>
      </c>
      <c r="H595" s="690"/>
      <c r="I595" s="693"/>
      <c r="J595" s="692"/>
      <c r="K595" s="692"/>
    </row>
    <row r="596" spans="1:11" ht="15" customHeight="1" x14ac:dyDescent="0.25">
      <c r="A596" s="728">
        <f t="shared" si="24"/>
        <v>87.912087912087912</v>
      </c>
      <c r="B596" s="87" t="s">
        <v>3338</v>
      </c>
      <c r="C596" s="714" t="s">
        <v>3340</v>
      </c>
      <c r="D596" s="696">
        <v>8000</v>
      </c>
      <c r="E596" s="573">
        <v>91</v>
      </c>
      <c r="F596" s="563">
        <f t="shared" si="25"/>
        <v>8000</v>
      </c>
      <c r="G596" s="87">
        <f t="shared" si="19"/>
        <v>0</v>
      </c>
      <c r="H596" s="690"/>
      <c r="I596" s="693"/>
      <c r="J596" s="692"/>
      <c r="K596" s="692"/>
    </row>
    <row r="597" spans="1:11" ht="15" customHeight="1" x14ac:dyDescent="0.25">
      <c r="A597" s="728">
        <f t="shared" si="24"/>
        <v>88.235294117647058</v>
      </c>
      <c r="B597" s="87" t="s">
        <v>3338</v>
      </c>
      <c r="C597" s="714" t="s">
        <v>3341</v>
      </c>
      <c r="D597" s="696">
        <v>15000</v>
      </c>
      <c r="E597" s="573">
        <v>170</v>
      </c>
      <c r="F597" s="563">
        <f t="shared" si="25"/>
        <v>15000</v>
      </c>
      <c r="G597" s="87">
        <f t="shared" si="19"/>
        <v>0</v>
      </c>
      <c r="H597" s="690"/>
      <c r="I597" s="693"/>
      <c r="J597" s="692"/>
      <c r="K597" s="692"/>
    </row>
    <row r="598" spans="1:11" ht="15" customHeight="1" x14ac:dyDescent="0.25">
      <c r="A598" s="728">
        <f t="shared" si="24"/>
        <v>88.235294117647058</v>
      </c>
      <c r="B598" s="87" t="s">
        <v>3338</v>
      </c>
      <c r="C598" s="714" t="s">
        <v>2455</v>
      </c>
      <c r="D598" s="696">
        <v>15000</v>
      </c>
      <c r="E598" s="573">
        <v>170</v>
      </c>
      <c r="F598" s="563">
        <f t="shared" si="25"/>
        <v>15000</v>
      </c>
      <c r="G598" s="87">
        <f t="shared" si="19"/>
        <v>0</v>
      </c>
      <c r="H598" s="690"/>
      <c r="I598" s="693"/>
      <c r="J598" s="692"/>
      <c r="K598" s="692"/>
    </row>
    <row r="599" spans="1:11" ht="15" customHeight="1" x14ac:dyDescent="0.25">
      <c r="A599" s="728">
        <f t="shared" si="24"/>
        <v>88.235294117647058</v>
      </c>
      <c r="B599" s="87" t="s">
        <v>3338</v>
      </c>
      <c r="C599" s="714" t="s">
        <v>3342</v>
      </c>
      <c r="D599" s="696">
        <v>15000</v>
      </c>
      <c r="E599" s="573">
        <v>170</v>
      </c>
      <c r="F599" s="563">
        <f t="shared" si="25"/>
        <v>15000</v>
      </c>
      <c r="G599" s="87">
        <f t="shared" si="19"/>
        <v>0</v>
      </c>
      <c r="H599" s="690"/>
      <c r="I599" s="693"/>
      <c r="J599" s="692"/>
      <c r="K599" s="692"/>
    </row>
    <row r="600" spans="1:11" ht="15" customHeight="1" x14ac:dyDescent="0.25">
      <c r="A600" s="728">
        <f t="shared" si="24"/>
        <v>88.235294117647058</v>
      </c>
      <c r="B600" s="87" t="s">
        <v>3338</v>
      </c>
      <c r="C600" s="714" t="s">
        <v>3162</v>
      </c>
      <c r="D600" s="696">
        <v>15000</v>
      </c>
      <c r="E600" s="573">
        <v>170</v>
      </c>
      <c r="F600" s="563">
        <f t="shared" si="25"/>
        <v>15000</v>
      </c>
      <c r="G600" s="87">
        <f t="shared" si="19"/>
        <v>0</v>
      </c>
      <c r="H600" s="690"/>
      <c r="I600" s="693"/>
      <c r="J600" s="692"/>
      <c r="K600" s="692"/>
    </row>
    <row r="601" spans="1:11" ht="15" customHeight="1" x14ac:dyDescent="0.25">
      <c r="A601" s="728">
        <f t="shared" si="24"/>
        <v>88.105726872246692</v>
      </c>
      <c r="B601" s="87" t="s">
        <v>3338</v>
      </c>
      <c r="C601" s="714" t="s">
        <v>3350</v>
      </c>
      <c r="D601" s="696">
        <v>20000</v>
      </c>
      <c r="E601" s="573">
        <v>227</v>
      </c>
      <c r="F601" s="563">
        <f t="shared" si="25"/>
        <v>20000</v>
      </c>
      <c r="G601" s="87">
        <f t="shared" si="19"/>
        <v>0</v>
      </c>
      <c r="H601" s="690"/>
      <c r="I601" s="693"/>
      <c r="J601" s="692"/>
      <c r="K601" s="692"/>
    </row>
    <row r="602" spans="1:11" ht="15" customHeight="1" x14ac:dyDescent="0.25">
      <c r="A602" s="728">
        <f t="shared" si="24"/>
        <v>88.105726872246692</v>
      </c>
      <c r="B602" s="87" t="s">
        <v>3338</v>
      </c>
      <c r="C602" s="714" t="s">
        <v>3343</v>
      </c>
      <c r="D602" s="696">
        <v>20000</v>
      </c>
      <c r="E602" s="573">
        <v>227</v>
      </c>
      <c r="F602" s="563">
        <f t="shared" si="25"/>
        <v>20000</v>
      </c>
      <c r="G602" s="87">
        <f t="shared" si="19"/>
        <v>0</v>
      </c>
      <c r="H602" s="690"/>
      <c r="I602" s="693"/>
      <c r="J602" s="692"/>
      <c r="K602" s="692"/>
    </row>
    <row r="603" spans="1:11" ht="15" customHeight="1" x14ac:dyDescent="0.25">
      <c r="A603" s="728">
        <f t="shared" si="24"/>
        <v>95.238095238095241</v>
      </c>
      <c r="B603" s="87" t="s">
        <v>3338</v>
      </c>
      <c r="C603" s="714" t="s">
        <v>66</v>
      </c>
      <c r="D603" s="696">
        <v>100</v>
      </c>
      <c r="E603" s="573">
        <v>1.05</v>
      </c>
      <c r="F603" s="563">
        <f t="shared" si="25"/>
        <v>100</v>
      </c>
      <c r="G603" s="87">
        <f t="shared" si="19"/>
        <v>0</v>
      </c>
      <c r="H603" s="690"/>
      <c r="I603" s="693"/>
      <c r="J603" s="692"/>
      <c r="K603" s="692"/>
    </row>
    <row r="604" spans="1:11" ht="15" customHeight="1" x14ac:dyDescent="0.25">
      <c r="A604" s="728">
        <f t="shared" si="24"/>
        <v>88.028169014084511</v>
      </c>
      <c r="B604" s="87" t="s">
        <v>3338</v>
      </c>
      <c r="C604" s="714" t="s">
        <v>3351</v>
      </c>
      <c r="D604" s="696">
        <v>25000</v>
      </c>
      <c r="E604" s="573">
        <v>284</v>
      </c>
      <c r="F604" s="563">
        <f t="shared" si="25"/>
        <v>25000</v>
      </c>
      <c r="G604" s="87">
        <f t="shared" si="19"/>
        <v>0</v>
      </c>
      <c r="H604" s="690"/>
      <c r="I604" s="693"/>
      <c r="J604" s="692"/>
      <c r="K604" s="692"/>
    </row>
    <row r="605" spans="1:11" ht="15" customHeight="1" x14ac:dyDescent="0.25">
      <c r="A605" s="728">
        <f t="shared" si="24"/>
        <v>88.235294117647058</v>
      </c>
      <c r="B605" s="87" t="s">
        <v>3338</v>
      </c>
      <c r="C605" s="714" t="s">
        <v>3344</v>
      </c>
      <c r="D605" s="696">
        <v>15000</v>
      </c>
      <c r="E605" s="573">
        <v>170</v>
      </c>
      <c r="F605" s="563">
        <f t="shared" si="25"/>
        <v>15000</v>
      </c>
      <c r="G605" s="87">
        <f t="shared" si="19"/>
        <v>0</v>
      </c>
      <c r="H605" s="690"/>
      <c r="I605" s="693"/>
      <c r="J605" s="692"/>
      <c r="K605" s="692"/>
    </row>
    <row r="606" spans="1:11" ht="15" customHeight="1" x14ac:dyDescent="0.25">
      <c r="A606" s="728">
        <f t="shared" si="24"/>
        <v>88.235294117647058</v>
      </c>
      <c r="B606" s="87" t="s">
        <v>3338</v>
      </c>
      <c r="C606" s="714" t="s">
        <v>3345</v>
      </c>
      <c r="D606" s="696">
        <v>15000</v>
      </c>
      <c r="E606" s="573">
        <v>170</v>
      </c>
      <c r="F606" s="563">
        <f t="shared" si="25"/>
        <v>15000</v>
      </c>
      <c r="G606" s="87">
        <f t="shared" si="19"/>
        <v>0</v>
      </c>
      <c r="H606" s="690"/>
      <c r="I606" s="693"/>
      <c r="J606" s="692"/>
      <c r="K606" s="692"/>
    </row>
    <row r="607" spans="1:11" ht="15" customHeight="1" x14ac:dyDescent="0.25">
      <c r="A607" s="728">
        <f t="shared" si="24"/>
        <v>88.495575221238937</v>
      </c>
      <c r="B607" s="87" t="s">
        <v>3338</v>
      </c>
      <c r="C607" s="714" t="s">
        <v>3346</v>
      </c>
      <c r="D607" s="696">
        <v>10000</v>
      </c>
      <c r="E607" s="573">
        <v>113</v>
      </c>
      <c r="F607" s="563">
        <f t="shared" si="25"/>
        <v>10000</v>
      </c>
      <c r="G607" s="87">
        <f t="shared" si="19"/>
        <v>0</v>
      </c>
      <c r="H607" s="690"/>
      <c r="I607" s="693"/>
      <c r="J607" s="692"/>
      <c r="K607" s="692"/>
    </row>
    <row r="608" spans="1:11" ht="15" customHeight="1" x14ac:dyDescent="0.25">
      <c r="A608" s="728">
        <f t="shared" si="24"/>
        <v>88.495575221238937</v>
      </c>
      <c r="B608" s="87" t="s">
        <v>3338</v>
      </c>
      <c r="C608" s="714" t="s">
        <v>3347</v>
      </c>
      <c r="D608" s="696">
        <v>10000</v>
      </c>
      <c r="E608" s="573">
        <v>113</v>
      </c>
      <c r="F608" s="563">
        <f t="shared" si="25"/>
        <v>10000</v>
      </c>
      <c r="G608" s="87">
        <f t="shared" si="19"/>
        <v>0</v>
      </c>
      <c r="H608" s="690"/>
      <c r="I608" s="693"/>
      <c r="J608" s="692"/>
      <c r="K608" s="692"/>
    </row>
    <row r="609" spans="1:11" ht="15" customHeight="1" x14ac:dyDescent="0.25">
      <c r="A609" s="728">
        <f t="shared" si="24"/>
        <v>88.235294117647058</v>
      </c>
      <c r="B609" s="87" t="s">
        <v>3338</v>
      </c>
      <c r="C609" s="714" t="s">
        <v>3348</v>
      </c>
      <c r="D609" s="696">
        <v>15000</v>
      </c>
      <c r="E609" s="573">
        <v>170</v>
      </c>
      <c r="F609" s="563">
        <f t="shared" si="25"/>
        <v>15000</v>
      </c>
      <c r="G609" s="87">
        <f t="shared" si="19"/>
        <v>0</v>
      </c>
      <c r="H609" s="690"/>
      <c r="I609" s="693"/>
      <c r="J609" s="692"/>
      <c r="K609" s="692"/>
    </row>
    <row r="610" spans="1:11" ht="15" customHeight="1" x14ac:dyDescent="0.25">
      <c r="A610" s="728">
        <f t="shared" si="24"/>
        <v>88.105726872246692</v>
      </c>
      <c r="B610" s="87" t="s">
        <v>3354</v>
      </c>
      <c r="C610" s="714" t="s">
        <v>3355</v>
      </c>
      <c r="D610" s="696">
        <v>20000</v>
      </c>
      <c r="E610" s="573">
        <v>227</v>
      </c>
      <c r="F610" s="563">
        <f t="shared" si="25"/>
        <v>20000</v>
      </c>
      <c r="G610" s="87">
        <f t="shared" si="19"/>
        <v>0</v>
      </c>
      <c r="H610" s="690"/>
      <c r="I610" s="693"/>
      <c r="J610" s="692"/>
      <c r="K610" s="692"/>
    </row>
    <row r="611" spans="1:11" ht="15" customHeight="1" x14ac:dyDescent="0.25">
      <c r="A611" s="728">
        <f t="shared" si="24"/>
        <v>93.023255813953483</v>
      </c>
      <c r="B611" s="87" t="s">
        <v>3354</v>
      </c>
      <c r="C611" s="748" t="s">
        <v>3356</v>
      </c>
      <c r="D611" s="696">
        <v>20000</v>
      </c>
      <c r="E611" s="573">
        <v>215</v>
      </c>
      <c r="F611" s="563">
        <f t="shared" si="25"/>
        <v>20000</v>
      </c>
      <c r="G611" s="87">
        <f t="shared" si="19"/>
        <v>0</v>
      </c>
      <c r="H611" s="690"/>
      <c r="I611" s="693"/>
      <c r="J611" s="692"/>
      <c r="K611" s="692"/>
    </row>
    <row r="612" spans="1:11" ht="15" customHeight="1" x14ac:dyDescent="0.25">
      <c r="A612" s="728">
        <f t="shared" ref="A612:A651" si="26">D612/E612</f>
        <v>87.912087912087912</v>
      </c>
      <c r="B612" s="87" t="s">
        <v>3354</v>
      </c>
      <c r="C612" s="714" t="s">
        <v>1891</v>
      </c>
      <c r="D612" s="696">
        <v>24000</v>
      </c>
      <c r="E612" s="573">
        <v>273</v>
      </c>
      <c r="F612" s="563">
        <f t="shared" si="25"/>
        <v>24000</v>
      </c>
      <c r="G612" s="87">
        <f t="shared" si="19"/>
        <v>0</v>
      </c>
      <c r="H612" s="690"/>
      <c r="I612" s="693"/>
      <c r="J612" s="692"/>
      <c r="K612" s="692"/>
    </row>
    <row r="613" spans="1:11" ht="15" customHeight="1" x14ac:dyDescent="0.25">
      <c r="A613" s="728">
        <f t="shared" si="26"/>
        <v>87.976539589442808</v>
      </c>
      <c r="B613" s="87" t="s">
        <v>3354</v>
      </c>
      <c r="C613" s="714" t="s">
        <v>3357</v>
      </c>
      <c r="D613" s="696">
        <v>30000</v>
      </c>
      <c r="E613" s="573">
        <v>341</v>
      </c>
      <c r="F613" s="563">
        <f t="shared" si="25"/>
        <v>30000</v>
      </c>
      <c r="G613" s="87">
        <f t="shared" si="19"/>
        <v>0</v>
      </c>
      <c r="H613" s="690"/>
      <c r="I613" s="693"/>
      <c r="J613" s="692"/>
      <c r="K613" s="692"/>
    </row>
    <row r="614" spans="1:11" ht="15" customHeight="1" x14ac:dyDescent="0.25">
      <c r="A614" s="728">
        <f t="shared" si="26"/>
        <v>87.976539589442808</v>
      </c>
      <c r="B614" s="87" t="s">
        <v>3354</v>
      </c>
      <c r="C614" s="714" t="s">
        <v>2112</v>
      </c>
      <c r="D614" s="696">
        <v>30000</v>
      </c>
      <c r="E614" s="573">
        <v>341</v>
      </c>
      <c r="F614" s="563">
        <f t="shared" si="25"/>
        <v>30000</v>
      </c>
      <c r="G614" s="87">
        <f t="shared" si="19"/>
        <v>0</v>
      </c>
      <c r="H614" s="690"/>
      <c r="I614" s="693"/>
      <c r="J614" s="692"/>
      <c r="K614" s="692"/>
    </row>
    <row r="615" spans="1:11" ht="15" customHeight="1" x14ac:dyDescent="0.25">
      <c r="A615" s="728">
        <f t="shared" si="26"/>
        <v>87.804878048780495</v>
      </c>
      <c r="B615" s="87" t="s">
        <v>3354</v>
      </c>
      <c r="C615" s="696" t="s">
        <v>3186</v>
      </c>
      <c r="D615" s="696">
        <v>18000</v>
      </c>
      <c r="E615" s="573">
        <v>205</v>
      </c>
      <c r="F615" s="563">
        <f t="shared" si="25"/>
        <v>18000</v>
      </c>
      <c r="G615" s="87">
        <f t="shared" si="19"/>
        <v>0</v>
      </c>
      <c r="H615" s="690"/>
      <c r="I615" s="693"/>
      <c r="J615" s="692"/>
      <c r="K615" s="692"/>
    </row>
    <row r="616" spans="1:11" ht="15" customHeight="1" x14ac:dyDescent="0.25">
      <c r="A616" s="728">
        <f t="shared" si="26"/>
        <v>87.912087912087912</v>
      </c>
      <c r="B616" s="87" t="s">
        <v>3354</v>
      </c>
      <c r="C616" s="714" t="s">
        <v>30</v>
      </c>
      <c r="D616" s="696">
        <v>8000</v>
      </c>
      <c r="E616" s="573">
        <v>91</v>
      </c>
      <c r="F616" s="563">
        <f t="shared" si="25"/>
        <v>8000</v>
      </c>
      <c r="G616" s="87">
        <f t="shared" si="19"/>
        <v>0</v>
      </c>
      <c r="H616" s="690"/>
      <c r="I616" s="693"/>
      <c r="J616" s="692"/>
      <c r="K616" s="692"/>
    </row>
    <row r="617" spans="1:11" ht="15" customHeight="1" x14ac:dyDescent="0.25">
      <c r="A617" s="728">
        <f t="shared" si="26"/>
        <v>88.028169014084511</v>
      </c>
      <c r="B617" s="87" t="s">
        <v>3354</v>
      </c>
      <c r="C617" s="714" t="s">
        <v>2858</v>
      </c>
      <c r="D617" s="696">
        <v>25000</v>
      </c>
      <c r="E617" s="573">
        <v>284</v>
      </c>
      <c r="F617" s="563">
        <f t="shared" si="25"/>
        <v>25000</v>
      </c>
      <c r="G617" s="87">
        <f t="shared" si="19"/>
        <v>0</v>
      </c>
      <c r="H617" s="690"/>
      <c r="I617" s="693"/>
      <c r="J617" s="692"/>
      <c r="K617" s="692"/>
    </row>
    <row r="618" spans="1:11" ht="15" customHeight="1" x14ac:dyDescent="0.25">
      <c r="A618" s="728">
        <f t="shared" si="26"/>
        <v>87.837837837837839</v>
      </c>
      <c r="B618" s="87" t="s">
        <v>3354</v>
      </c>
      <c r="C618" s="714" t="s">
        <v>3358</v>
      </c>
      <c r="D618" s="696">
        <v>26000</v>
      </c>
      <c r="E618" s="573">
        <v>296</v>
      </c>
      <c r="F618" s="563">
        <f t="shared" si="25"/>
        <v>26000</v>
      </c>
      <c r="G618" s="87">
        <f t="shared" ref="G618:G651" si="27">D618-F618</f>
        <v>0</v>
      </c>
      <c r="H618" s="690"/>
      <c r="I618" s="693"/>
      <c r="J618" s="692"/>
      <c r="K618" s="692"/>
    </row>
    <row r="619" spans="1:11" ht="15" customHeight="1" x14ac:dyDescent="0.25">
      <c r="A619" s="728">
        <f t="shared" si="26"/>
        <v>88.028169014084511</v>
      </c>
      <c r="B619" s="87" t="s">
        <v>3354</v>
      </c>
      <c r="C619" s="714" t="s">
        <v>3359</v>
      </c>
      <c r="D619" s="696">
        <v>25000</v>
      </c>
      <c r="E619" s="573">
        <v>284</v>
      </c>
      <c r="F619" s="563">
        <f t="shared" si="25"/>
        <v>25000</v>
      </c>
      <c r="G619" s="87">
        <f t="shared" si="27"/>
        <v>0</v>
      </c>
      <c r="H619" s="690"/>
      <c r="I619" s="693"/>
      <c r="J619" s="692"/>
      <c r="K619" s="692"/>
    </row>
    <row r="620" spans="1:11" ht="15" customHeight="1" x14ac:dyDescent="0.25">
      <c r="A620" s="728">
        <f t="shared" si="26"/>
        <v>88.028169014084511</v>
      </c>
      <c r="B620" s="87" t="s">
        <v>3354</v>
      </c>
      <c r="C620" s="714" t="s">
        <v>3360</v>
      </c>
      <c r="D620" s="696">
        <v>25000</v>
      </c>
      <c r="E620" s="573">
        <v>284</v>
      </c>
      <c r="F620" s="563">
        <f t="shared" si="25"/>
        <v>25000</v>
      </c>
      <c r="G620" s="87">
        <f t="shared" si="27"/>
        <v>0</v>
      </c>
      <c r="H620" s="690"/>
      <c r="I620" s="693"/>
      <c r="J620" s="692"/>
      <c r="K620" s="692"/>
    </row>
    <row r="621" spans="1:11" ht="15" customHeight="1" x14ac:dyDescent="0.25">
      <c r="A621" s="728">
        <f t="shared" si="26"/>
        <v>88.028169014084511</v>
      </c>
      <c r="B621" s="87" t="s">
        <v>3354</v>
      </c>
      <c r="C621" s="714" t="s">
        <v>2939</v>
      </c>
      <c r="D621" s="696">
        <v>25000</v>
      </c>
      <c r="E621" s="573">
        <v>284</v>
      </c>
      <c r="F621" s="563">
        <f t="shared" si="25"/>
        <v>25000</v>
      </c>
      <c r="G621" s="87">
        <f t="shared" si="27"/>
        <v>0</v>
      </c>
      <c r="H621" s="690"/>
      <c r="I621" s="693"/>
      <c r="J621" s="692"/>
      <c r="K621" s="692"/>
    </row>
    <row r="622" spans="1:11" ht="15" customHeight="1" x14ac:dyDescent="0.25">
      <c r="A622" s="728">
        <f t="shared" si="26"/>
        <v>93.75</v>
      </c>
      <c r="B622" s="87" t="s">
        <v>3354</v>
      </c>
      <c r="C622" s="714" t="s">
        <v>3361</v>
      </c>
      <c r="D622" s="696">
        <v>24000</v>
      </c>
      <c r="E622" s="573">
        <v>256</v>
      </c>
      <c r="F622" s="563">
        <f t="shared" si="25"/>
        <v>24000</v>
      </c>
      <c r="G622" s="87">
        <f t="shared" si="27"/>
        <v>0</v>
      </c>
      <c r="H622" s="690"/>
      <c r="I622" s="693"/>
      <c r="J622" s="692"/>
      <c r="K622" s="692"/>
    </row>
    <row r="623" spans="1:11" ht="15" customHeight="1" x14ac:dyDescent="0.25">
      <c r="A623" s="728">
        <f t="shared" si="26"/>
        <v>88.105726872246692</v>
      </c>
      <c r="B623" s="87" t="s">
        <v>3354</v>
      </c>
      <c r="C623" s="714" t="s">
        <v>3362</v>
      </c>
      <c r="D623" s="696">
        <v>20000</v>
      </c>
      <c r="E623" s="573">
        <v>227</v>
      </c>
      <c r="F623" s="563">
        <f t="shared" si="25"/>
        <v>20000</v>
      </c>
      <c r="G623" s="87">
        <f t="shared" si="27"/>
        <v>0</v>
      </c>
      <c r="H623" s="690"/>
      <c r="I623" s="693"/>
      <c r="J623" s="692"/>
      <c r="K623" s="692"/>
    </row>
    <row r="624" spans="1:11" ht="15" customHeight="1" x14ac:dyDescent="0.25">
      <c r="A624" s="728">
        <f t="shared" si="26"/>
        <v>91.891891891891888</v>
      </c>
      <c r="B624" s="87" t="s">
        <v>3363</v>
      </c>
      <c r="C624" s="714" t="s">
        <v>1855</v>
      </c>
      <c r="D624" s="696">
        <v>17000</v>
      </c>
      <c r="E624" s="573">
        <v>185</v>
      </c>
      <c r="F624" s="563">
        <f t="shared" si="25"/>
        <v>17000</v>
      </c>
      <c r="G624" s="87">
        <f t="shared" si="27"/>
        <v>0</v>
      </c>
      <c r="H624" s="690"/>
      <c r="I624" s="693"/>
      <c r="J624" s="692"/>
      <c r="K624" s="692"/>
    </row>
    <row r="625" spans="1:11" ht="15" customHeight="1" x14ac:dyDescent="0.25">
      <c r="A625" s="728">
        <f t="shared" si="26"/>
        <v>88.235294117647058</v>
      </c>
      <c r="B625" s="87" t="s">
        <v>3363</v>
      </c>
      <c r="C625" s="714" t="s">
        <v>30</v>
      </c>
      <c r="D625" s="696">
        <v>7500</v>
      </c>
      <c r="E625" s="573">
        <v>85</v>
      </c>
      <c r="F625" s="563">
        <f t="shared" si="25"/>
        <v>7500</v>
      </c>
      <c r="G625" s="87">
        <f t="shared" si="27"/>
        <v>0</v>
      </c>
      <c r="H625" s="690"/>
      <c r="I625" s="693"/>
      <c r="J625" s="692"/>
      <c r="K625" s="692"/>
    </row>
    <row r="626" spans="1:11" ht="15" customHeight="1" x14ac:dyDescent="0.25">
      <c r="A626" s="728">
        <f t="shared" si="26"/>
        <v>88.235294117647058</v>
      </c>
      <c r="B626" s="87" t="s">
        <v>3363</v>
      </c>
      <c r="C626" s="714" t="s">
        <v>2546</v>
      </c>
      <c r="D626" s="696">
        <v>15000</v>
      </c>
      <c r="E626" s="573">
        <v>170</v>
      </c>
      <c r="F626" s="563">
        <f t="shared" si="25"/>
        <v>15000</v>
      </c>
      <c r="G626" s="87">
        <f t="shared" si="27"/>
        <v>0</v>
      </c>
      <c r="H626" s="690"/>
      <c r="I626" s="693"/>
      <c r="J626" s="692"/>
      <c r="K626" s="692"/>
    </row>
    <row r="627" spans="1:11" ht="15" customHeight="1" x14ac:dyDescent="0.25">
      <c r="A627" s="728">
        <f t="shared" si="26"/>
        <v>88.235294117647058</v>
      </c>
      <c r="B627" s="87" t="s">
        <v>3363</v>
      </c>
      <c r="C627" s="714" t="s">
        <v>17</v>
      </c>
      <c r="D627" s="696">
        <v>3000</v>
      </c>
      <c r="E627" s="573">
        <v>34</v>
      </c>
      <c r="F627" s="563">
        <f t="shared" si="25"/>
        <v>3000</v>
      </c>
      <c r="G627" s="87">
        <f t="shared" si="27"/>
        <v>0</v>
      </c>
      <c r="H627" s="690"/>
      <c r="I627" s="693"/>
      <c r="J627" s="692"/>
      <c r="K627" s="692"/>
    </row>
    <row r="628" spans="1:11" ht="15" customHeight="1" x14ac:dyDescent="0.25">
      <c r="A628" s="728">
        <f t="shared" si="26"/>
        <v>95.890410958904113</v>
      </c>
      <c r="B628" s="87" t="s">
        <v>3363</v>
      </c>
      <c r="C628" s="714" t="s">
        <v>66</v>
      </c>
      <c r="D628" s="696">
        <v>210</v>
      </c>
      <c r="E628" s="573">
        <v>2.19</v>
      </c>
      <c r="F628" s="563">
        <f t="shared" si="25"/>
        <v>210</v>
      </c>
      <c r="G628" s="87">
        <f t="shared" si="27"/>
        <v>0</v>
      </c>
      <c r="H628" s="690"/>
      <c r="I628" s="693"/>
      <c r="J628" s="692"/>
      <c r="K628" s="692"/>
    </row>
    <row r="629" spans="1:11" ht="15" customHeight="1" x14ac:dyDescent="0.25">
      <c r="A629" s="728">
        <f t="shared" si="26"/>
        <v>92.165898617511516</v>
      </c>
      <c r="B629" s="87" t="s">
        <v>3363</v>
      </c>
      <c r="C629" s="714" t="s">
        <v>2928</v>
      </c>
      <c r="D629" s="696">
        <v>20000</v>
      </c>
      <c r="E629" s="573">
        <v>217</v>
      </c>
      <c r="F629" s="563">
        <f t="shared" si="25"/>
        <v>20000</v>
      </c>
      <c r="G629" s="87">
        <f t="shared" si="27"/>
        <v>0</v>
      </c>
      <c r="H629" s="690"/>
      <c r="I629" s="693"/>
      <c r="J629" s="692"/>
      <c r="K629" s="692"/>
    </row>
    <row r="630" spans="1:11" ht="15" customHeight="1" x14ac:dyDescent="0.25">
      <c r="A630" s="728">
        <f t="shared" si="26"/>
        <v>92.165898617511516</v>
      </c>
      <c r="B630" s="87" t="s">
        <v>3363</v>
      </c>
      <c r="C630" s="714" t="s">
        <v>3365</v>
      </c>
      <c r="D630" s="696">
        <v>20000</v>
      </c>
      <c r="E630" s="573">
        <v>217</v>
      </c>
      <c r="F630" s="563">
        <f t="shared" si="25"/>
        <v>20000</v>
      </c>
      <c r="G630" s="87">
        <f t="shared" si="27"/>
        <v>0</v>
      </c>
      <c r="H630" s="690"/>
      <c r="I630" s="693"/>
      <c r="J630" s="692"/>
      <c r="K630" s="692"/>
    </row>
    <row r="631" spans="1:11" ht="15" customHeight="1" x14ac:dyDescent="0.25">
      <c r="A631" s="728">
        <f t="shared" si="26"/>
        <v>92.10526315789474</v>
      </c>
      <c r="B631" s="87" t="s">
        <v>3363</v>
      </c>
      <c r="C631" s="714" t="s">
        <v>3366</v>
      </c>
      <c r="D631" s="696">
        <v>7000</v>
      </c>
      <c r="E631" s="573">
        <v>76</v>
      </c>
      <c r="F631" s="563">
        <f t="shared" si="25"/>
        <v>7000</v>
      </c>
      <c r="G631" s="87">
        <f t="shared" si="27"/>
        <v>0</v>
      </c>
      <c r="H631" s="690"/>
      <c r="I631" s="693"/>
      <c r="J631" s="692"/>
      <c r="K631" s="692"/>
    </row>
    <row r="632" spans="1:11" ht="15" customHeight="1" x14ac:dyDescent="0.25">
      <c r="A632" s="728">
        <f t="shared" si="26"/>
        <v>92.592592592592595</v>
      </c>
      <c r="B632" s="87" t="s">
        <v>3363</v>
      </c>
      <c r="C632" s="714" t="s">
        <v>3367</v>
      </c>
      <c r="D632" s="696">
        <v>15000</v>
      </c>
      <c r="E632" s="573">
        <v>162</v>
      </c>
      <c r="F632" s="563">
        <f t="shared" si="25"/>
        <v>15000</v>
      </c>
      <c r="G632" s="87">
        <f t="shared" si="27"/>
        <v>0</v>
      </c>
      <c r="H632" s="690"/>
      <c r="I632" s="693"/>
      <c r="J632" s="692"/>
      <c r="K632" s="692"/>
    </row>
    <row r="633" spans="1:11" ht="15" customHeight="1" x14ac:dyDescent="0.25">
      <c r="A633" s="728">
        <f t="shared" si="26"/>
        <v>92.024539877300612</v>
      </c>
      <c r="B633" s="87" t="s">
        <v>3363</v>
      </c>
      <c r="C633" s="714" t="s">
        <v>3368</v>
      </c>
      <c r="D633" s="696">
        <v>15000</v>
      </c>
      <c r="E633" s="573">
        <v>163</v>
      </c>
      <c r="F633" s="563">
        <f t="shared" si="25"/>
        <v>15000</v>
      </c>
      <c r="G633" s="87">
        <f t="shared" si="27"/>
        <v>0</v>
      </c>
      <c r="H633" s="690"/>
      <c r="I633" s="693"/>
      <c r="J633" s="692"/>
      <c r="K633" s="692"/>
    </row>
    <row r="634" spans="1:11" ht="15" customHeight="1" x14ac:dyDescent="0.25">
      <c r="A634" s="728">
        <f t="shared" si="26"/>
        <v>92.024539877300612</v>
      </c>
      <c r="B634" s="87" t="s">
        <v>3363</v>
      </c>
      <c r="C634" s="714" t="s">
        <v>3258</v>
      </c>
      <c r="D634" s="696">
        <v>15000</v>
      </c>
      <c r="E634" s="573">
        <v>163</v>
      </c>
      <c r="F634" s="563">
        <f t="shared" si="25"/>
        <v>15000</v>
      </c>
      <c r="G634" s="87">
        <f t="shared" si="27"/>
        <v>0</v>
      </c>
      <c r="H634" s="690"/>
      <c r="I634" s="693"/>
      <c r="J634" s="692"/>
      <c r="K634" s="692"/>
    </row>
    <row r="635" spans="1:11" ht="15" customHeight="1" x14ac:dyDescent="0.25">
      <c r="A635" s="728">
        <f t="shared" si="26"/>
        <v>92.024539877300612</v>
      </c>
      <c r="B635" s="87" t="s">
        <v>3363</v>
      </c>
      <c r="C635" s="714" t="s">
        <v>1833</v>
      </c>
      <c r="D635" s="696">
        <v>15000</v>
      </c>
      <c r="E635" s="573">
        <v>163</v>
      </c>
      <c r="F635" s="563">
        <f t="shared" si="25"/>
        <v>15000</v>
      </c>
      <c r="G635" s="87">
        <f t="shared" si="27"/>
        <v>0</v>
      </c>
      <c r="H635" s="690"/>
      <c r="I635" s="693"/>
      <c r="J635" s="692"/>
      <c r="K635" s="692"/>
    </row>
    <row r="636" spans="1:11" ht="15" customHeight="1" x14ac:dyDescent="0.25">
      <c r="A636" s="728">
        <f t="shared" si="26"/>
        <v>88.235294117647058</v>
      </c>
      <c r="B636" s="87" t="s">
        <v>3363</v>
      </c>
      <c r="C636" s="714" t="s">
        <v>3369</v>
      </c>
      <c r="D636" s="696">
        <v>15000</v>
      </c>
      <c r="E636" s="573">
        <v>170</v>
      </c>
      <c r="F636" s="563">
        <f t="shared" si="25"/>
        <v>15000</v>
      </c>
      <c r="G636" s="87">
        <f t="shared" si="27"/>
        <v>0</v>
      </c>
      <c r="H636" s="690"/>
      <c r="I636" s="693"/>
      <c r="J636" s="692"/>
      <c r="K636" s="692"/>
    </row>
    <row r="637" spans="1:11" ht="15" customHeight="1" x14ac:dyDescent="0.25">
      <c r="A637" s="728">
        <f t="shared" si="26"/>
        <v>90.909090909090907</v>
      </c>
      <c r="B637" s="87" t="s">
        <v>3363</v>
      </c>
      <c r="C637" s="714" t="s">
        <v>3370</v>
      </c>
      <c r="D637" s="696">
        <v>30000</v>
      </c>
      <c r="E637" s="573">
        <v>330</v>
      </c>
      <c r="F637" s="563">
        <f t="shared" si="25"/>
        <v>30000</v>
      </c>
      <c r="G637" s="87">
        <f t="shared" si="27"/>
        <v>0</v>
      </c>
      <c r="H637" s="690"/>
      <c r="I637" s="693"/>
      <c r="J637" s="692"/>
      <c r="K637" s="692"/>
    </row>
    <row r="638" spans="1:11" ht="15" customHeight="1" x14ac:dyDescent="0.25">
      <c r="A638" s="728">
        <f t="shared" si="26"/>
        <v>98.540145985401466</v>
      </c>
      <c r="B638" s="87" t="s">
        <v>3363</v>
      </c>
      <c r="C638" s="714" t="s">
        <v>3371</v>
      </c>
      <c r="D638" s="696">
        <v>27000</v>
      </c>
      <c r="E638" s="573">
        <v>274</v>
      </c>
      <c r="F638" s="563">
        <f t="shared" si="25"/>
        <v>27000</v>
      </c>
      <c r="G638" s="87">
        <f t="shared" si="27"/>
        <v>0</v>
      </c>
      <c r="H638" s="690"/>
      <c r="I638" s="693"/>
      <c r="J638" s="692"/>
      <c r="K638" s="692"/>
    </row>
    <row r="639" spans="1:11" ht="15" customHeight="1" x14ac:dyDescent="0.25">
      <c r="A639" s="728">
        <f t="shared" si="26"/>
        <v>96.618357487922708</v>
      </c>
      <c r="B639" s="87" t="s">
        <v>3363</v>
      </c>
      <c r="C639" s="714" t="s">
        <v>2675</v>
      </c>
      <c r="D639" s="696">
        <v>20000</v>
      </c>
      <c r="E639" s="573">
        <v>207</v>
      </c>
      <c r="F639" s="563">
        <f t="shared" si="25"/>
        <v>20000</v>
      </c>
      <c r="G639" s="87">
        <f t="shared" si="27"/>
        <v>0</v>
      </c>
      <c r="H639" s="690"/>
      <c r="I639" s="693"/>
      <c r="J639" s="692"/>
      <c r="K639" s="692"/>
    </row>
    <row r="640" spans="1:11" ht="15" customHeight="1" x14ac:dyDescent="0.25">
      <c r="A640" s="728">
        <f t="shared" si="26"/>
        <v>88.235294117647058</v>
      </c>
      <c r="B640" s="87" t="s">
        <v>3363</v>
      </c>
      <c r="C640" s="714" t="s">
        <v>3372</v>
      </c>
      <c r="D640" s="696">
        <v>15000</v>
      </c>
      <c r="E640" s="573">
        <v>170</v>
      </c>
      <c r="F640" s="563">
        <f t="shared" si="25"/>
        <v>15000</v>
      </c>
      <c r="G640" s="87">
        <f t="shared" si="27"/>
        <v>0</v>
      </c>
      <c r="H640" s="690"/>
      <c r="I640" s="693"/>
      <c r="J640" s="692"/>
      <c r="K640" s="692"/>
    </row>
    <row r="641" spans="1:11" ht="15" customHeight="1" x14ac:dyDescent="0.25">
      <c r="A641" s="728">
        <f t="shared" si="26"/>
        <v>90.614886731391579</v>
      </c>
      <c r="B641" s="87" t="s">
        <v>3363</v>
      </c>
      <c r="C641" s="714" t="s">
        <v>3373</v>
      </c>
      <c r="D641" s="696">
        <v>28000</v>
      </c>
      <c r="E641" s="573">
        <v>309</v>
      </c>
      <c r="F641" s="563">
        <f t="shared" si="25"/>
        <v>28000</v>
      </c>
      <c r="G641" s="87">
        <f t="shared" si="27"/>
        <v>0</v>
      </c>
      <c r="H641" s="690"/>
      <c r="I641" s="693"/>
      <c r="J641" s="692"/>
      <c r="K641" s="692"/>
    </row>
    <row r="642" spans="1:11" ht="15" customHeight="1" x14ac:dyDescent="0.25">
      <c r="A642" s="728">
        <f t="shared" si="26"/>
        <v>90.090090090090087</v>
      </c>
      <c r="B642" s="87" t="s">
        <v>3363</v>
      </c>
      <c r="C642" s="714" t="s">
        <v>3257</v>
      </c>
      <c r="D642" s="696">
        <v>20000</v>
      </c>
      <c r="E642" s="573">
        <v>222</v>
      </c>
      <c r="F642" s="563">
        <f t="shared" si="25"/>
        <v>20000</v>
      </c>
      <c r="G642" s="87">
        <f t="shared" si="27"/>
        <v>0</v>
      </c>
      <c r="H642" s="690"/>
      <c r="I642" s="693"/>
      <c r="J642" s="692"/>
      <c r="K642" s="692"/>
    </row>
    <row r="643" spans="1:11" ht="15" customHeight="1" x14ac:dyDescent="0.25">
      <c r="A643" s="728">
        <f t="shared" si="26"/>
        <v>102.73972602739725</v>
      </c>
      <c r="B643" s="87" t="s">
        <v>3363</v>
      </c>
      <c r="C643" s="714" t="s">
        <v>3374</v>
      </c>
      <c r="D643" s="696">
        <v>15000</v>
      </c>
      <c r="E643" s="573">
        <v>146</v>
      </c>
      <c r="F643" s="563">
        <f t="shared" si="25"/>
        <v>15000</v>
      </c>
      <c r="G643" s="87">
        <f t="shared" si="27"/>
        <v>0</v>
      </c>
      <c r="H643" s="690"/>
      <c r="I643" s="693"/>
      <c r="J643" s="692"/>
      <c r="K643" s="692"/>
    </row>
    <row r="644" spans="1:11" ht="15" customHeight="1" x14ac:dyDescent="0.25">
      <c r="A644" s="728">
        <f t="shared" si="26"/>
        <v>94.240837696335078</v>
      </c>
      <c r="B644" s="87" t="s">
        <v>3363</v>
      </c>
      <c r="C644" s="714" t="s">
        <v>3375</v>
      </c>
      <c r="D644" s="696">
        <v>18000</v>
      </c>
      <c r="E644" s="573">
        <v>191</v>
      </c>
      <c r="F644" s="563">
        <f t="shared" si="25"/>
        <v>18000</v>
      </c>
      <c r="G644" s="87">
        <f t="shared" si="27"/>
        <v>0</v>
      </c>
      <c r="H644" s="690"/>
      <c r="I644" s="693"/>
      <c r="J644" s="692"/>
      <c r="K644" s="692"/>
    </row>
    <row r="645" spans="1:11" ht="15" customHeight="1" x14ac:dyDescent="0.25">
      <c r="A645" s="728">
        <f t="shared" si="26"/>
        <v>88</v>
      </c>
      <c r="B645" s="87" t="s">
        <v>3363</v>
      </c>
      <c r="C645" s="714" t="s">
        <v>3376</v>
      </c>
      <c r="D645" s="696">
        <v>15400</v>
      </c>
      <c r="E645" s="573">
        <v>175</v>
      </c>
      <c r="F645" s="563">
        <f t="shared" si="25"/>
        <v>15400</v>
      </c>
      <c r="G645" s="87">
        <f t="shared" si="27"/>
        <v>0</v>
      </c>
      <c r="H645" s="690"/>
      <c r="I645" s="693"/>
      <c r="J645" s="692"/>
      <c r="K645" s="692"/>
    </row>
    <row r="646" spans="1:11" ht="15" customHeight="1" x14ac:dyDescent="0.25">
      <c r="A646" s="728">
        <f t="shared" si="26"/>
        <v>98.214285714285708</v>
      </c>
      <c r="B646" s="87" t="s">
        <v>3363</v>
      </c>
      <c r="C646" s="714" t="s">
        <v>66</v>
      </c>
      <c r="D646" s="696">
        <v>110</v>
      </c>
      <c r="E646" s="573">
        <v>1.1200000000000001</v>
      </c>
      <c r="F646" s="563">
        <f t="shared" si="25"/>
        <v>110</v>
      </c>
      <c r="G646" s="87">
        <f t="shared" si="27"/>
        <v>0</v>
      </c>
      <c r="H646" s="690"/>
      <c r="I646" s="693"/>
      <c r="J646" s="692"/>
      <c r="K646" s="692"/>
    </row>
    <row r="647" spans="1:11" ht="15" customHeight="1" x14ac:dyDescent="0.25">
      <c r="A647" s="728">
        <f t="shared" si="26"/>
        <v>88.235294117647058</v>
      </c>
      <c r="B647" s="87" t="s">
        <v>3363</v>
      </c>
      <c r="C647" s="714" t="s">
        <v>3377</v>
      </c>
      <c r="D647" s="696">
        <v>15000</v>
      </c>
      <c r="E647" s="573">
        <v>170</v>
      </c>
      <c r="F647" s="563">
        <f t="shared" si="25"/>
        <v>15000</v>
      </c>
      <c r="G647" s="87">
        <f t="shared" si="27"/>
        <v>0</v>
      </c>
      <c r="H647" s="690"/>
      <c r="I647" s="693"/>
      <c r="J647" s="692"/>
      <c r="K647" s="692"/>
    </row>
    <row r="648" spans="1:11" ht="15" customHeight="1" x14ac:dyDescent="0.25">
      <c r="A648" s="728">
        <f t="shared" si="26"/>
        <v>88.105726872246692</v>
      </c>
      <c r="B648" s="87" t="s">
        <v>3363</v>
      </c>
      <c r="C648" s="714" t="s">
        <v>3378</v>
      </c>
      <c r="D648" s="696">
        <v>20000</v>
      </c>
      <c r="E648" s="573">
        <v>227</v>
      </c>
      <c r="F648" s="563">
        <f t="shared" si="25"/>
        <v>20000</v>
      </c>
      <c r="G648" s="87">
        <f t="shared" si="27"/>
        <v>0</v>
      </c>
      <c r="H648" s="690"/>
      <c r="I648" s="693"/>
      <c r="J648" s="692"/>
      <c r="K648" s="692"/>
    </row>
    <row r="649" spans="1:11" ht="15" customHeight="1" x14ac:dyDescent="0.25">
      <c r="A649" s="728">
        <f t="shared" si="26"/>
        <v>88.495575221238937</v>
      </c>
      <c r="B649" s="87" t="s">
        <v>3363</v>
      </c>
      <c r="C649" s="714" t="s">
        <v>3379</v>
      </c>
      <c r="D649" s="696">
        <v>10000</v>
      </c>
      <c r="E649" s="573">
        <v>113</v>
      </c>
      <c r="F649" s="563">
        <f t="shared" si="25"/>
        <v>10000</v>
      </c>
      <c r="G649" s="87">
        <f t="shared" si="27"/>
        <v>0</v>
      </c>
      <c r="H649" s="690"/>
      <c r="I649" s="693"/>
      <c r="J649" s="692"/>
      <c r="K649" s="692"/>
    </row>
    <row r="650" spans="1:11" ht="15" customHeight="1" x14ac:dyDescent="0.25">
      <c r="A650" s="728">
        <f t="shared" si="26"/>
        <v>88.105726872246692</v>
      </c>
      <c r="B650" s="87" t="s">
        <v>3363</v>
      </c>
      <c r="C650" s="714" t="s">
        <v>3380</v>
      </c>
      <c r="D650" s="696">
        <v>20000</v>
      </c>
      <c r="E650" s="573">
        <v>227</v>
      </c>
      <c r="F650" s="563">
        <f t="shared" si="25"/>
        <v>20000</v>
      </c>
      <c r="G650" s="87">
        <f t="shared" si="27"/>
        <v>0</v>
      </c>
      <c r="H650" s="690"/>
      <c r="I650" s="693"/>
      <c r="J650" s="692"/>
      <c r="K650" s="692"/>
    </row>
    <row r="651" spans="1:11" ht="15" customHeight="1" x14ac:dyDescent="0.25">
      <c r="A651" s="728">
        <f t="shared" si="26"/>
        <v>87.976539589442808</v>
      </c>
      <c r="B651" s="87" t="s">
        <v>3363</v>
      </c>
      <c r="C651" s="714" t="s">
        <v>3381</v>
      </c>
      <c r="D651" s="696">
        <v>30000</v>
      </c>
      <c r="E651" s="573">
        <v>341</v>
      </c>
      <c r="F651" s="563">
        <f t="shared" si="25"/>
        <v>30000</v>
      </c>
      <c r="G651" s="87">
        <f t="shared" si="27"/>
        <v>0</v>
      </c>
      <c r="H651" s="690"/>
      <c r="I651" s="693"/>
      <c r="J651" s="692"/>
      <c r="K651" s="692"/>
    </row>
    <row r="652" spans="1:11" ht="15" customHeight="1" x14ac:dyDescent="0.25">
      <c r="A652" s="1"/>
      <c r="B652" s="42"/>
      <c r="C652" s="20" t="s">
        <v>9</v>
      </c>
      <c r="D652" s="21">
        <f>SUM(D4:D651)</f>
        <v>14278607</v>
      </c>
      <c r="E652" s="23">
        <f>SUM(E5:E651)</f>
        <v>132428.43</v>
      </c>
      <c r="F652" s="21">
        <f>SUM(F4:F651)</f>
        <v>14278607</v>
      </c>
      <c r="G652" s="494"/>
      <c r="H652" s="691">
        <f>SUM(H5:H53)</f>
        <v>12200000</v>
      </c>
      <c r="I652" s="693"/>
      <c r="J652" s="692"/>
      <c r="K652" s="692"/>
    </row>
    <row r="653" spans="1:11" ht="15" customHeight="1" x14ac:dyDescent="0.25">
      <c r="A653" s="1"/>
      <c r="B653" s="42"/>
      <c r="C653" s="20" t="s">
        <v>10</v>
      </c>
      <c r="D653" s="25">
        <f>SUM(D652-H652)</f>
        <v>2078607</v>
      </c>
      <c r="E653" s="494"/>
      <c r="F653" s="26" t="s">
        <v>10</v>
      </c>
      <c r="G653" s="25">
        <f>SUM(F652-H652)</f>
        <v>2078607</v>
      </c>
      <c r="H653" s="25"/>
      <c r="I653" s="692"/>
      <c r="J653" s="692"/>
      <c r="K653" s="692"/>
    </row>
    <row r="654" spans="1:11" ht="15" thickBot="1" x14ac:dyDescent="0.25"/>
    <row r="655" spans="1:11" ht="15.75" thickBot="1" x14ac:dyDescent="0.3">
      <c r="C655" s="164" t="s">
        <v>3175</v>
      </c>
      <c r="D655" s="99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51"/>
  <sheetViews>
    <sheetView tabSelected="1" zoomScale="136" zoomScaleNormal="136" workbookViewId="0">
      <selection activeCell="C513" sqref="C513"/>
    </sheetView>
  </sheetViews>
  <sheetFormatPr defaultRowHeight="14.25" x14ac:dyDescent="0.2"/>
  <cols>
    <col min="1" max="1" width="9" style="746"/>
    <col min="2" max="2" width="14.25" style="746" customWidth="1"/>
    <col min="3" max="3" width="19" style="746" customWidth="1"/>
    <col min="4" max="4" width="17.625" style="746" customWidth="1"/>
    <col min="5" max="5" width="12" style="746" customWidth="1"/>
    <col min="6" max="6" width="13.125" style="746" customWidth="1"/>
    <col min="7" max="7" width="13" style="746" bestFit="1" customWidth="1"/>
    <col min="8" max="8" width="13.5" style="746" customWidth="1"/>
    <col min="9" max="9" width="13.75" style="746" customWidth="1"/>
    <col min="10" max="10" width="12.5" style="746" customWidth="1"/>
    <col min="11" max="11" width="13.75" style="746" customWidth="1"/>
    <col min="12" max="16384" width="9" style="746"/>
  </cols>
  <sheetData>
    <row r="1" spans="1:11" ht="21" x14ac:dyDescent="0.35">
      <c r="B1" s="772" t="s">
        <v>772</v>
      </c>
      <c r="C1" s="773"/>
      <c r="D1" s="773"/>
      <c r="E1" s="773"/>
      <c r="F1" s="773"/>
      <c r="G1" s="773"/>
      <c r="H1" s="774"/>
    </row>
    <row r="2" spans="1:11" ht="18" customHeight="1" x14ac:dyDescent="0.25">
      <c r="B2" s="510"/>
      <c r="C2" s="510"/>
      <c r="D2" s="511"/>
      <c r="E2" s="682">
        <v>45505</v>
      </c>
      <c r="F2" s="512"/>
      <c r="G2" s="510"/>
      <c r="H2" s="510"/>
    </row>
    <row r="3" spans="1:11" s="175" customFormat="1" ht="15.75" x14ac:dyDescent="0.25">
      <c r="A3" s="729" t="s">
        <v>2958</v>
      </c>
      <c r="B3" s="514" t="s">
        <v>2</v>
      </c>
      <c r="C3" s="514" t="s">
        <v>97</v>
      </c>
      <c r="D3" s="514" t="s">
        <v>4</v>
      </c>
      <c r="E3" s="514" t="s">
        <v>5</v>
      </c>
      <c r="F3" s="514" t="s">
        <v>4</v>
      </c>
      <c r="G3" s="514" t="s">
        <v>98</v>
      </c>
      <c r="H3" s="417" t="s">
        <v>8</v>
      </c>
    </row>
    <row r="4" spans="1:11" s="175" customFormat="1" ht="15.75" x14ac:dyDescent="0.25">
      <c r="A4" s="728"/>
      <c r="B4" s="663" t="s">
        <v>3363</v>
      </c>
      <c r="C4" s="707" t="s">
        <v>374</v>
      </c>
      <c r="D4" s="732">
        <f>'JULY-24'!D653</f>
        <v>2078607</v>
      </c>
      <c r="E4" s="707" t="s">
        <v>3200</v>
      </c>
      <c r="F4" s="732">
        <f>D4</f>
        <v>2078607</v>
      </c>
      <c r="G4" s="514"/>
      <c r="H4" s="733"/>
      <c r="I4" s="734"/>
    </row>
    <row r="5" spans="1:11" ht="15.75" hidden="1" x14ac:dyDescent="0.25">
      <c r="A5" s="728">
        <f>D5/E5</f>
        <v>88.235294117647058</v>
      </c>
      <c r="B5" s="87" t="s">
        <v>3364</v>
      </c>
      <c r="C5" s="754" t="s">
        <v>3383</v>
      </c>
      <c r="D5" s="563">
        <v>15000</v>
      </c>
      <c r="E5" s="573">
        <v>170</v>
      </c>
      <c r="F5" s="563">
        <f>D5</f>
        <v>15000</v>
      </c>
      <c r="G5" s="87">
        <f t="shared" ref="G5:G68" si="0">D5-F5</f>
        <v>0</v>
      </c>
      <c r="H5" s="509">
        <v>400000</v>
      </c>
      <c r="I5" s="525" t="s">
        <v>3364</v>
      </c>
      <c r="J5" s="692"/>
      <c r="K5" s="692"/>
    </row>
    <row r="6" spans="1:11" ht="15.75" hidden="1" x14ac:dyDescent="0.25">
      <c r="A6" s="728">
        <f t="shared" ref="A6:A69" si="1">D6/E6</f>
        <v>88.028169014084511</v>
      </c>
      <c r="B6" s="87" t="s">
        <v>3364</v>
      </c>
      <c r="C6" s="754" t="s">
        <v>3384</v>
      </c>
      <c r="D6" s="563">
        <v>25000</v>
      </c>
      <c r="E6" s="573">
        <v>284</v>
      </c>
      <c r="F6" s="563">
        <f t="shared" ref="F6:F69" si="2">D6</f>
        <v>25000</v>
      </c>
      <c r="G6" s="87">
        <f>D6-F6</f>
        <v>0</v>
      </c>
      <c r="H6" s="509">
        <v>500000</v>
      </c>
      <c r="I6" s="525" t="s">
        <v>3382</v>
      </c>
      <c r="J6" s="692"/>
      <c r="K6" s="692"/>
    </row>
    <row r="7" spans="1:11" ht="15.75" hidden="1" x14ac:dyDescent="0.25">
      <c r="A7" s="728">
        <f t="shared" si="1"/>
        <v>92.10526315789474</v>
      </c>
      <c r="B7" s="87" t="s">
        <v>3364</v>
      </c>
      <c r="C7" s="764" t="s">
        <v>1787</v>
      </c>
      <c r="D7" s="563">
        <v>21000</v>
      </c>
      <c r="E7" s="573">
        <v>228</v>
      </c>
      <c r="F7" s="563">
        <f t="shared" si="2"/>
        <v>21000</v>
      </c>
      <c r="G7" s="87">
        <f t="shared" si="0"/>
        <v>0</v>
      </c>
      <c r="H7" s="509">
        <v>300000</v>
      </c>
      <c r="I7" s="525" t="s">
        <v>3401</v>
      </c>
      <c r="J7" s="692"/>
      <c r="K7" s="692"/>
    </row>
    <row r="8" spans="1:11" ht="15.75" hidden="1" x14ac:dyDescent="0.25">
      <c r="A8" s="728">
        <f t="shared" si="1"/>
        <v>92.10526315789474</v>
      </c>
      <c r="B8" s="87" t="s">
        <v>3364</v>
      </c>
      <c r="C8" s="754" t="s">
        <v>3284</v>
      </c>
      <c r="D8" s="563">
        <v>28000</v>
      </c>
      <c r="E8" s="573">
        <v>304</v>
      </c>
      <c r="F8" s="563">
        <f t="shared" si="2"/>
        <v>28000</v>
      </c>
      <c r="G8" s="87">
        <f t="shared" si="0"/>
        <v>0</v>
      </c>
      <c r="H8" s="509">
        <v>900000</v>
      </c>
      <c r="I8" s="525" t="s">
        <v>3413</v>
      </c>
      <c r="J8" s="692"/>
      <c r="K8" s="692"/>
    </row>
    <row r="9" spans="1:11" ht="15.75" hidden="1" x14ac:dyDescent="0.25">
      <c r="A9" s="728">
        <f t="shared" si="1"/>
        <v>92.10526315789474</v>
      </c>
      <c r="B9" s="87" t="s">
        <v>3364</v>
      </c>
      <c r="C9" s="764" t="s">
        <v>3385</v>
      </c>
      <c r="D9" s="563">
        <v>14000</v>
      </c>
      <c r="E9" s="573">
        <v>152</v>
      </c>
      <c r="F9" s="563">
        <f t="shared" si="2"/>
        <v>14000</v>
      </c>
      <c r="G9" s="87">
        <f t="shared" si="0"/>
        <v>0</v>
      </c>
      <c r="H9" s="509">
        <v>300000</v>
      </c>
      <c r="I9" s="525" t="s">
        <v>3450</v>
      </c>
      <c r="J9" s="692"/>
      <c r="K9" s="692"/>
    </row>
    <row r="10" spans="1:11" ht="15.75" hidden="1" x14ac:dyDescent="0.25">
      <c r="A10" s="728">
        <f t="shared" si="1"/>
        <v>92.024539877300612</v>
      </c>
      <c r="B10" s="87" t="s">
        <v>3364</v>
      </c>
      <c r="C10" s="754" t="s">
        <v>2113</v>
      </c>
      <c r="D10" s="563">
        <v>15000</v>
      </c>
      <c r="E10" s="573">
        <v>163</v>
      </c>
      <c r="F10" s="563">
        <f t="shared" si="2"/>
        <v>15000</v>
      </c>
      <c r="G10" s="87">
        <f t="shared" si="0"/>
        <v>0</v>
      </c>
      <c r="H10" s="509">
        <v>700000</v>
      </c>
      <c r="I10" s="525" t="s">
        <v>3453</v>
      </c>
      <c r="J10" s="692"/>
      <c r="K10" s="692"/>
    </row>
    <row r="11" spans="1:11" ht="15.75" hidden="1" x14ac:dyDescent="0.25">
      <c r="A11" s="728">
        <f t="shared" si="1"/>
        <v>92.024539877300612</v>
      </c>
      <c r="B11" s="87" t="s">
        <v>3364</v>
      </c>
      <c r="C11" s="754" t="s">
        <v>3386</v>
      </c>
      <c r="D11" s="563">
        <v>15000</v>
      </c>
      <c r="E11" s="573">
        <v>163</v>
      </c>
      <c r="F11" s="563">
        <f t="shared" si="2"/>
        <v>15000</v>
      </c>
      <c r="G11" s="87">
        <f t="shared" si="0"/>
        <v>0</v>
      </c>
      <c r="H11" s="509">
        <v>500000</v>
      </c>
      <c r="I11" s="525" t="s">
        <v>3477</v>
      </c>
      <c r="J11" s="692"/>
      <c r="K11" s="692"/>
    </row>
    <row r="12" spans="1:11" ht="15.75" hidden="1" x14ac:dyDescent="0.25">
      <c r="A12" s="728">
        <f t="shared" si="1"/>
        <v>92.307692307692307</v>
      </c>
      <c r="B12" s="87" t="s">
        <v>3364</v>
      </c>
      <c r="C12" s="754" t="s">
        <v>3387</v>
      </c>
      <c r="D12" s="563">
        <v>18000</v>
      </c>
      <c r="E12" s="573">
        <v>195</v>
      </c>
      <c r="F12" s="563">
        <f t="shared" si="2"/>
        <v>18000</v>
      </c>
      <c r="G12" s="87">
        <f t="shared" si="0"/>
        <v>0</v>
      </c>
      <c r="H12" s="509">
        <v>600000</v>
      </c>
      <c r="I12" s="525" t="s">
        <v>3478</v>
      </c>
      <c r="J12" s="692"/>
      <c r="K12" s="692"/>
    </row>
    <row r="13" spans="1:11" ht="15.75" hidden="1" x14ac:dyDescent="0.25">
      <c r="A13" s="728">
        <f t="shared" si="1"/>
        <v>92</v>
      </c>
      <c r="B13" s="87" t="s">
        <v>3364</v>
      </c>
      <c r="C13" s="754" t="s">
        <v>3388</v>
      </c>
      <c r="D13" s="563">
        <v>23000</v>
      </c>
      <c r="E13" s="573">
        <v>250</v>
      </c>
      <c r="F13" s="563">
        <f t="shared" si="2"/>
        <v>23000</v>
      </c>
      <c r="G13" s="87">
        <f t="shared" si="0"/>
        <v>0</v>
      </c>
      <c r="H13" s="509">
        <v>300000</v>
      </c>
      <c r="I13" s="525" t="s">
        <v>3493</v>
      </c>
      <c r="J13" s="692"/>
      <c r="K13" s="692"/>
    </row>
    <row r="14" spans="1:11" ht="15.75" hidden="1" x14ac:dyDescent="0.25">
      <c r="A14" s="728">
        <f t="shared" si="1"/>
        <v>91.911764705882348</v>
      </c>
      <c r="B14" s="87" t="s">
        <v>3364</v>
      </c>
      <c r="C14" s="754" t="s">
        <v>3389</v>
      </c>
      <c r="D14" s="563">
        <v>25000</v>
      </c>
      <c r="E14" s="573">
        <v>272</v>
      </c>
      <c r="F14" s="563">
        <f t="shared" si="2"/>
        <v>25000</v>
      </c>
      <c r="G14" s="87">
        <f t="shared" si="0"/>
        <v>0</v>
      </c>
      <c r="H14" s="509">
        <v>600000</v>
      </c>
      <c r="I14" s="525" t="s">
        <v>3520</v>
      </c>
      <c r="J14" s="692"/>
      <c r="K14" s="692"/>
    </row>
    <row r="15" spans="1:11" ht="15.75" hidden="1" x14ac:dyDescent="0.25">
      <c r="A15" s="728">
        <f t="shared" si="1"/>
        <v>95.62841530054645</v>
      </c>
      <c r="B15" s="87" t="s">
        <v>3364</v>
      </c>
      <c r="C15" s="754" t="s">
        <v>3390</v>
      </c>
      <c r="D15" s="563">
        <v>35000</v>
      </c>
      <c r="E15" s="573">
        <v>366</v>
      </c>
      <c r="F15" s="563">
        <f t="shared" si="2"/>
        <v>35000</v>
      </c>
      <c r="G15" s="87">
        <f t="shared" si="0"/>
        <v>0</v>
      </c>
      <c r="H15" s="509">
        <v>150000</v>
      </c>
      <c r="I15" s="525" t="s">
        <v>3521</v>
      </c>
      <c r="J15" s="747"/>
      <c r="K15" s="747"/>
    </row>
    <row r="16" spans="1:11" ht="15.75" hidden="1" x14ac:dyDescent="0.25">
      <c r="A16" s="728">
        <f t="shared" si="1"/>
        <v>92.592592592592595</v>
      </c>
      <c r="B16" s="87" t="s">
        <v>3364</v>
      </c>
      <c r="C16" s="754" t="s">
        <v>3391</v>
      </c>
      <c r="D16" s="563">
        <v>10000</v>
      </c>
      <c r="E16" s="573">
        <v>108</v>
      </c>
      <c r="F16" s="563">
        <f t="shared" si="2"/>
        <v>10000</v>
      </c>
      <c r="G16" s="87">
        <f t="shared" si="0"/>
        <v>0</v>
      </c>
      <c r="H16" s="509">
        <v>50000</v>
      </c>
      <c r="I16" s="525" t="s">
        <v>3521</v>
      </c>
      <c r="J16" s="750" t="s">
        <v>2845</v>
      </c>
      <c r="K16" s="750"/>
    </row>
    <row r="17" spans="1:11" ht="15.75" hidden="1" x14ac:dyDescent="0.25">
      <c r="A17" s="728">
        <f t="shared" si="1"/>
        <v>98.522167487684726</v>
      </c>
      <c r="B17" s="87" t="s">
        <v>3364</v>
      </c>
      <c r="C17" s="754" t="s">
        <v>3392</v>
      </c>
      <c r="D17" s="563">
        <v>20000</v>
      </c>
      <c r="E17" s="573">
        <v>203</v>
      </c>
      <c r="F17" s="563">
        <f t="shared" si="2"/>
        <v>20000</v>
      </c>
      <c r="G17" s="87">
        <f t="shared" si="0"/>
        <v>0</v>
      </c>
      <c r="H17" s="509">
        <v>500000</v>
      </c>
      <c r="I17" s="525" t="s">
        <v>3551</v>
      </c>
      <c r="J17" s="692"/>
      <c r="K17" s="692"/>
    </row>
    <row r="18" spans="1:11" ht="15.75" hidden="1" x14ac:dyDescent="0.25">
      <c r="A18" s="728">
        <f t="shared" si="1"/>
        <v>104.29447852760737</v>
      </c>
      <c r="B18" s="87" t="s">
        <v>3364</v>
      </c>
      <c r="C18" s="754" t="s">
        <v>3393</v>
      </c>
      <c r="D18" s="563">
        <v>17000</v>
      </c>
      <c r="E18" s="573">
        <v>163</v>
      </c>
      <c r="F18" s="563">
        <f t="shared" si="2"/>
        <v>17000</v>
      </c>
      <c r="G18" s="87">
        <f t="shared" si="0"/>
        <v>0</v>
      </c>
      <c r="H18" s="509">
        <v>600000</v>
      </c>
      <c r="I18" s="525" t="s">
        <v>3570</v>
      </c>
      <c r="J18" s="692"/>
      <c r="K18" s="692"/>
    </row>
    <row r="19" spans="1:11" ht="15.75" hidden="1" x14ac:dyDescent="0.25">
      <c r="A19" s="728">
        <f t="shared" si="1"/>
        <v>88.028169014084511</v>
      </c>
      <c r="B19" s="87" t="s">
        <v>3364</v>
      </c>
      <c r="C19" s="754" t="s">
        <v>3394</v>
      </c>
      <c r="D19" s="563">
        <v>25000</v>
      </c>
      <c r="E19" s="573">
        <v>284</v>
      </c>
      <c r="F19" s="563">
        <f t="shared" si="2"/>
        <v>25000</v>
      </c>
      <c r="G19" s="87">
        <f t="shared" si="0"/>
        <v>0</v>
      </c>
      <c r="H19" s="509">
        <v>200000</v>
      </c>
      <c r="I19" s="525" t="s">
        <v>3577</v>
      </c>
      <c r="J19" s="692"/>
      <c r="K19" s="692"/>
    </row>
    <row r="20" spans="1:11" ht="15.75" hidden="1" x14ac:dyDescent="0.25">
      <c r="A20" s="728">
        <f t="shared" si="1"/>
        <v>88.028169014084511</v>
      </c>
      <c r="B20" s="87" t="s">
        <v>3364</v>
      </c>
      <c r="C20" s="754" t="s">
        <v>3395</v>
      </c>
      <c r="D20" s="563">
        <v>25000</v>
      </c>
      <c r="E20" s="573">
        <v>284</v>
      </c>
      <c r="F20" s="563">
        <f t="shared" si="2"/>
        <v>25000</v>
      </c>
      <c r="G20" s="87">
        <f t="shared" si="0"/>
        <v>0</v>
      </c>
      <c r="H20" s="509">
        <v>600000</v>
      </c>
      <c r="I20" s="525" t="s">
        <v>3595</v>
      </c>
      <c r="J20" s="692"/>
      <c r="K20" s="692"/>
    </row>
    <row r="21" spans="1:11" ht="15.75" hidden="1" x14ac:dyDescent="0.25">
      <c r="A21" s="728">
        <f t="shared" si="1"/>
        <v>85.427135678391963</v>
      </c>
      <c r="B21" s="87" t="s">
        <v>3364</v>
      </c>
      <c r="C21" s="754" t="s">
        <v>3396</v>
      </c>
      <c r="D21" s="563">
        <v>17000</v>
      </c>
      <c r="E21" s="573">
        <v>199</v>
      </c>
      <c r="F21" s="563">
        <f t="shared" si="2"/>
        <v>17000</v>
      </c>
      <c r="G21" s="87">
        <f t="shared" si="0"/>
        <v>0</v>
      </c>
      <c r="H21" s="509">
        <v>500000</v>
      </c>
      <c r="I21" s="525" t="s">
        <v>3596</v>
      </c>
      <c r="J21" s="692"/>
      <c r="K21" s="692"/>
    </row>
    <row r="22" spans="1:11" ht="15.75" hidden="1" x14ac:dyDescent="0.25">
      <c r="A22" s="728">
        <f t="shared" si="1"/>
        <v>92.948717948717942</v>
      </c>
      <c r="B22" s="87" t="s">
        <v>3364</v>
      </c>
      <c r="C22" s="754" t="s">
        <v>3397</v>
      </c>
      <c r="D22" s="563">
        <v>29000</v>
      </c>
      <c r="E22" s="573">
        <v>312</v>
      </c>
      <c r="F22" s="563">
        <f t="shared" si="2"/>
        <v>29000</v>
      </c>
      <c r="G22" s="87">
        <f t="shared" si="0"/>
        <v>0</v>
      </c>
      <c r="H22" s="509">
        <v>300000</v>
      </c>
      <c r="I22" s="525" t="s">
        <v>3597</v>
      </c>
      <c r="J22" s="692"/>
      <c r="K22" s="692"/>
    </row>
    <row r="23" spans="1:11" ht="15.75" hidden="1" x14ac:dyDescent="0.25">
      <c r="A23" s="728">
        <f t="shared" si="1"/>
        <v>87.912087912087912</v>
      </c>
      <c r="B23" s="87" t="s">
        <v>3364</v>
      </c>
      <c r="C23" s="754" t="s">
        <v>30</v>
      </c>
      <c r="D23" s="563">
        <v>8000</v>
      </c>
      <c r="E23" s="573">
        <v>91</v>
      </c>
      <c r="F23" s="563">
        <f t="shared" si="2"/>
        <v>8000</v>
      </c>
      <c r="G23" s="87">
        <f t="shared" si="0"/>
        <v>0</v>
      </c>
      <c r="H23" s="509">
        <v>200000</v>
      </c>
      <c r="I23" s="525" t="s">
        <v>3629</v>
      </c>
      <c r="J23" s="692"/>
      <c r="K23" s="692"/>
    </row>
    <row r="24" spans="1:11" ht="15.75" hidden="1" x14ac:dyDescent="0.25">
      <c r="A24" s="728">
        <f t="shared" si="1"/>
        <v>88.050314465408803</v>
      </c>
      <c r="B24" s="87" t="s">
        <v>3364</v>
      </c>
      <c r="C24" s="754" t="s">
        <v>3398</v>
      </c>
      <c r="D24" s="563">
        <v>14000</v>
      </c>
      <c r="E24" s="573">
        <v>159</v>
      </c>
      <c r="F24" s="563">
        <f t="shared" si="2"/>
        <v>14000</v>
      </c>
      <c r="G24" s="87">
        <f t="shared" si="0"/>
        <v>0</v>
      </c>
      <c r="H24" s="509">
        <v>500000</v>
      </c>
      <c r="I24" s="525" t="s">
        <v>3630</v>
      </c>
      <c r="J24" s="692"/>
      <c r="K24" s="692"/>
    </row>
    <row r="25" spans="1:11" ht="15.75" hidden="1" x14ac:dyDescent="0.25">
      <c r="A25" s="728">
        <f t="shared" si="1"/>
        <v>88.235294117647058</v>
      </c>
      <c r="B25" s="87" t="s">
        <v>3364</v>
      </c>
      <c r="C25" s="754" t="s">
        <v>2441</v>
      </c>
      <c r="D25" s="563">
        <v>15000</v>
      </c>
      <c r="E25" s="573">
        <v>170</v>
      </c>
      <c r="F25" s="563">
        <f t="shared" si="2"/>
        <v>15000</v>
      </c>
      <c r="G25" s="87">
        <f t="shared" si="0"/>
        <v>0</v>
      </c>
      <c r="H25" s="509">
        <v>1000000</v>
      </c>
      <c r="I25" s="525" t="s">
        <v>3657</v>
      </c>
      <c r="J25" s="692"/>
      <c r="K25" s="692"/>
    </row>
    <row r="26" spans="1:11" ht="15.75" hidden="1" x14ac:dyDescent="0.25">
      <c r="A26" s="728">
        <f t="shared" si="1"/>
        <v>88.105726872246692</v>
      </c>
      <c r="B26" s="87" t="s">
        <v>3364</v>
      </c>
      <c r="C26" s="754" t="s">
        <v>3077</v>
      </c>
      <c r="D26" s="563">
        <v>20000</v>
      </c>
      <c r="E26" s="573">
        <v>227</v>
      </c>
      <c r="F26" s="563">
        <f t="shared" si="2"/>
        <v>20000</v>
      </c>
      <c r="G26" s="87">
        <f t="shared" si="0"/>
        <v>0</v>
      </c>
      <c r="H26" s="509">
        <v>700000</v>
      </c>
      <c r="I26" s="525" t="s">
        <v>3658</v>
      </c>
      <c r="J26" s="692"/>
      <c r="K26" s="692"/>
    </row>
    <row r="27" spans="1:11" ht="15.75" hidden="1" x14ac:dyDescent="0.25">
      <c r="A27" s="728">
        <f t="shared" si="1"/>
        <v>92.307692307692307</v>
      </c>
      <c r="B27" s="87" t="s">
        <v>3364</v>
      </c>
      <c r="C27" s="754" t="s">
        <v>1925</v>
      </c>
      <c r="D27" s="563">
        <v>18000</v>
      </c>
      <c r="E27" s="573">
        <v>195</v>
      </c>
      <c r="F27" s="563">
        <f t="shared" si="2"/>
        <v>18000</v>
      </c>
      <c r="G27" s="87">
        <f t="shared" si="0"/>
        <v>0</v>
      </c>
      <c r="H27" s="509">
        <v>400000</v>
      </c>
      <c r="I27" s="525" t="s">
        <v>3697</v>
      </c>
      <c r="J27" s="747"/>
      <c r="K27" s="692"/>
    </row>
    <row r="28" spans="1:11" ht="15.75" hidden="1" x14ac:dyDescent="0.25">
      <c r="A28" s="728">
        <f t="shared" si="1"/>
        <v>88.082901554404145</v>
      </c>
      <c r="B28" s="87" t="s">
        <v>3364</v>
      </c>
      <c r="C28" s="754" t="s">
        <v>2044</v>
      </c>
      <c r="D28" s="563">
        <v>17000</v>
      </c>
      <c r="E28" s="573">
        <v>193</v>
      </c>
      <c r="F28" s="563">
        <f t="shared" si="2"/>
        <v>17000</v>
      </c>
      <c r="G28" s="87">
        <f t="shared" si="0"/>
        <v>0</v>
      </c>
      <c r="H28" s="509">
        <v>600000</v>
      </c>
      <c r="I28" s="525" t="s">
        <v>3745</v>
      </c>
      <c r="J28" s="692"/>
      <c r="K28" s="692"/>
    </row>
    <row r="29" spans="1:11" ht="15.75" hidden="1" x14ac:dyDescent="0.25">
      <c r="A29" s="728">
        <f t="shared" si="1"/>
        <v>88.607594936708864</v>
      </c>
      <c r="B29" s="87" t="s">
        <v>3364</v>
      </c>
      <c r="C29" s="754" t="s">
        <v>3264</v>
      </c>
      <c r="D29" s="563">
        <v>7000</v>
      </c>
      <c r="E29" s="573">
        <v>79</v>
      </c>
      <c r="F29" s="563">
        <f t="shared" si="2"/>
        <v>7000</v>
      </c>
      <c r="G29" s="87">
        <f t="shared" si="0"/>
        <v>0</v>
      </c>
      <c r="H29" s="509">
        <v>600000</v>
      </c>
      <c r="I29" s="525" t="s">
        <v>3746</v>
      </c>
      <c r="J29" s="692"/>
      <c r="K29" s="692"/>
    </row>
    <row r="30" spans="1:11" ht="15.75" hidden="1" x14ac:dyDescent="0.25">
      <c r="A30" s="728">
        <f t="shared" si="1"/>
        <v>87.86610878661088</v>
      </c>
      <c r="B30" s="87" t="s">
        <v>3364</v>
      </c>
      <c r="C30" s="754" t="s">
        <v>3399</v>
      </c>
      <c r="D30" s="563">
        <v>21000</v>
      </c>
      <c r="E30" s="573">
        <v>239</v>
      </c>
      <c r="F30" s="563">
        <f t="shared" si="2"/>
        <v>21000</v>
      </c>
      <c r="G30" s="87">
        <f t="shared" si="0"/>
        <v>0</v>
      </c>
      <c r="H30" s="509">
        <v>700000</v>
      </c>
      <c r="I30" s="525" t="s">
        <v>3749</v>
      </c>
      <c r="J30" s="692"/>
      <c r="K30" s="692"/>
    </row>
    <row r="31" spans="1:11" ht="15.75" hidden="1" x14ac:dyDescent="0.25">
      <c r="A31" s="728">
        <f t="shared" si="1"/>
        <v>88.105726872246692</v>
      </c>
      <c r="B31" s="87" t="s">
        <v>3364</v>
      </c>
      <c r="C31" s="754" t="s">
        <v>3400</v>
      </c>
      <c r="D31" s="563">
        <v>20000</v>
      </c>
      <c r="E31" s="573">
        <v>227</v>
      </c>
      <c r="F31" s="563">
        <f t="shared" si="2"/>
        <v>20000</v>
      </c>
      <c r="G31" s="87">
        <f t="shared" si="0"/>
        <v>0</v>
      </c>
      <c r="H31" s="509"/>
      <c r="I31" s="525"/>
      <c r="J31" s="692"/>
      <c r="K31" s="692"/>
    </row>
    <row r="32" spans="1:11" ht="15.75" hidden="1" x14ac:dyDescent="0.25">
      <c r="A32" s="728">
        <f t="shared" si="1"/>
        <v>95.652173913043484</v>
      </c>
      <c r="B32" s="87" t="s">
        <v>3364</v>
      </c>
      <c r="C32" s="754" t="s">
        <v>66</v>
      </c>
      <c r="D32" s="563">
        <v>110</v>
      </c>
      <c r="E32" s="573">
        <v>1.1499999999999999</v>
      </c>
      <c r="F32" s="563">
        <f t="shared" si="2"/>
        <v>110</v>
      </c>
      <c r="G32" s="87">
        <f t="shared" si="0"/>
        <v>0</v>
      </c>
      <c r="H32" s="689"/>
      <c r="I32" s="693"/>
      <c r="J32" s="692"/>
      <c r="K32" s="692"/>
    </row>
    <row r="33" spans="1:12" ht="15.75" hidden="1" customHeight="1" x14ac:dyDescent="0.25">
      <c r="A33" s="728">
        <f t="shared" si="1"/>
        <v>88.105726872246692</v>
      </c>
      <c r="B33" s="87" t="s">
        <v>3382</v>
      </c>
      <c r="C33" s="754" t="s">
        <v>3402</v>
      </c>
      <c r="D33" s="563">
        <v>20000</v>
      </c>
      <c r="E33" s="573">
        <v>227</v>
      </c>
      <c r="F33" s="563">
        <f t="shared" si="2"/>
        <v>20000</v>
      </c>
      <c r="G33" s="87">
        <f t="shared" si="0"/>
        <v>0</v>
      </c>
      <c r="H33" s="689"/>
      <c r="I33" s="693"/>
      <c r="J33" s="692"/>
      <c r="K33" s="692"/>
    </row>
    <row r="34" spans="1:12" ht="15.75" hidden="1" customHeight="1" x14ac:dyDescent="0.25">
      <c r="A34" s="728">
        <f t="shared" si="1"/>
        <v>87.86610878661088</v>
      </c>
      <c r="B34" s="87" t="s">
        <v>3382</v>
      </c>
      <c r="C34" s="754" t="s">
        <v>3082</v>
      </c>
      <c r="D34" s="563">
        <v>21000</v>
      </c>
      <c r="E34" s="573">
        <v>239</v>
      </c>
      <c r="F34" s="563">
        <f t="shared" si="2"/>
        <v>21000</v>
      </c>
      <c r="G34" s="87">
        <f t="shared" si="0"/>
        <v>0</v>
      </c>
      <c r="H34" s="689"/>
      <c r="I34" s="716" t="s">
        <v>475</v>
      </c>
      <c r="J34" s="706">
        <f>SUM(H5:H31)</f>
        <v>12700000</v>
      </c>
      <c r="K34" s="706" t="s">
        <v>475</v>
      </c>
      <c r="L34" s="706">
        <f>SUM(L5:L31)</f>
        <v>0</v>
      </c>
    </row>
    <row r="35" spans="1:12" ht="15.75" hidden="1" customHeight="1" x14ac:dyDescent="0.25">
      <c r="A35" s="728">
        <f t="shared" si="1"/>
        <v>88</v>
      </c>
      <c r="B35" s="87" t="s">
        <v>3382</v>
      </c>
      <c r="C35" s="754" t="s">
        <v>3403</v>
      </c>
      <c r="D35" s="563">
        <v>22000</v>
      </c>
      <c r="E35" s="573">
        <v>250</v>
      </c>
      <c r="F35" s="563">
        <f t="shared" si="2"/>
        <v>22000</v>
      </c>
      <c r="G35" s="87">
        <f t="shared" si="0"/>
        <v>0</v>
      </c>
      <c r="H35" s="689"/>
      <c r="I35" s="693"/>
      <c r="J35" s="692"/>
      <c r="K35" s="692"/>
    </row>
    <row r="36" spans="1:12" ht="15.75" hidden="1" customHeight="1" x14ac:dyDescent="0.25">
      <c r="A36" s="728">
        <f t="shared" si="1"/>
        <v>87.786259541984734</v>
      </c>
      <c r="B36" s="87" t="s">
        <v>3382</v>
      </c>
      <c r="C36" s="754" t="s">
        <v>2602</v>
      </c>
      <c r="D36" s="563">
        <v>23000</v>
      </c>
      <c r="E36" s="573">
        <v>262</v>
      </c>
      <c r="F36" s="563">
        <f t="shared" si="2"/>
        <v>23000</v>
      </c>
      <c r="G36" s="87">
        <f t="shared" si="0"/>
        <v>0</v>
      </c>
      <c r="H36" s="689"/>
      <c r="I36" s="693"/>
      <c r="J36" s="692"/>
      <c r="K36" s="692"/>
    </row>
    <row r="37" spans="1:12" ht="15.75" hidden="1" customHeight="1" x14ac:dyDescent="0.25">
      <c r="A37" s="728">
        <f t="shared" si="1"/>
        <v>88.028169014084511</v>
      </c>
      <c r="B37" s="87" t="s">
        <v>3382</v>
      </c>
      <c r="C37" s="754" t="s">
        <v>3316</v>
      </c>
      <c r="D37" s="563">
        <v>25000</v>
      </c>
      <c r="E37" s="573">
        <v>284</v>
      </c>
      <c r="F37" s="563">
        <f t="shared" si="2"/>
        <v>25000</v>
      </c>
      <c r="G37" s="87">
        <f t="shared" si="0"/>
        <v>0</v>
      </c>
      <c r="H37" s="689"/>
      <c r="I37" s="693"/>
      <c r="J37" s="706" t="s">
        <v>360</v>
      </c>
      <c r="K37" s="706">
        <f>L34-J34</f>
        <v>-12700000</v>
      </c>
    </row>
    <row r="38" spans="1:12" ht="15.75" hidden="1" customHeight="1" x14ac:dyDescent="0.25">
      <c r="A38" s="728">
        <f t="shared" si="1"/>
        <v>88.028169014084511</v>
      </c>
      <c r="B38" s="87" t="s">
        <v>3382</v>
      </c>
      <c r="C38" s="754" t="s">
        <v>3404</v>
      </c>
      <c r="D38" s="563">
        <v>25000</v>
      </c>
      <c r="E38" s="573">
        <v>284</v>
      </c>
      <c r="F38" s="563">
        <f t="shared" si="2"/>
        <v>25000</v>
      </c>
      <c r="G38" s="87">
        <f t="shared" si="0"/>
        <v>0</v>
      </c>
      <c r="H38" s="689"/>
      <c r="I38" s="693"/>
      <c r="J38" s="692"/>
      <c r="K38" s="692"/>
    </row>
    <row r="39" spans="1:12" ht="15.75" hidden="1" customHeight="1" x14ac:dyDescent="0.25">
      <c r="A39" s="728">
        <f t="shared" si="1"/>
        <v>88.028169014084511</v>
      </c>
      <c r="B39" s="87" t="s">
        <v>3382</v>
      </c>
      <c r="C39" s="754" t="s">
        <v>3405</v>
      </c>
      <c r="D39" s="563">
        <v>25000</v>
      </c>
      <c r="E39" s="573">
        <v>284</v>
      </c>
      <c r="F39" s="563">
        <f t="shared" si="2"/>
        <v>25000</v>
      </c>
      <c r="G39" s="87">
        <f t="shared" si="0"/>
        <v>0</v>
      </c>
      <c r="H39" s="689"/>
      <c r="I39" s="693"/>
      <c r="J39" s="692"/>
      <c r="K39" s="692"/>
    </row>
    <row r="40" spans="1:12" ht="15.75" hidden="1" customHeight="1" x14ac:dyDescent="0.25">
      <c r="A40" s="728">
        <f t="shared" si="1"/>
        <v>88.028169014084511</v>
      </c>
      <c r="B40" s="87" t="s">
        <v>3382</v>
      </c>
      <c r="C40" s="754" t="s">
        <v>3406</v>
      </c>
      <c r="D40" s="563">
        <v>25000</v>
      </c>
      <c r="E40" s="573">
        <v>284</v>
      </c>
      <c r="F40" s="563">
        <f t="shared" si="2"/>
        <v>25000</v>
      </c>
      <c r="G40" s="87">
        <f t="shared" si="0"/>
        <v>0</v>
      </c>
      <c r="H40" s="689"/>
      <c r="I40" s="693"/>
      <c r="J40" s="692"/>
      <c r="K40" s="692"/>
    </row>
    <row r="41" spans="1:12" ht="15.75" hidden="1" customHeight="1" x14ac:dyDescent="0.25">
      <c r="A41" s="728">
        <f t="shared" si="1"/>
        <v>87.774294670846402</v>
      </c>
      <c r="B41" s="87" t="s">
        <v>3382</v>
      </c>
      <c r="C41" s="740" t="s">
        <v>3407</v>
      </c>
      <c r="D41" s="563">
        <v>28000</v>
      </c>
      <c r="E41" s="573">
        <v>319</v>
      </c>
      <c r="F41" s="563">
        <f t="shared" si="2"/>
        <v>28000</v>
      </c>
      <c r="G41" s="87">
        <f t="shared" si="0"/>
        <v>0</v>
      </c>
      <c r="H41" s="689"/>
      <c r="I41" s="693"/>
      <c r="J41" s="692"/>
      <c r="K41" s="692"/>
    </row>
    <row r="42" spans="1:12" ht="15.75" hidden="1" customHeight="1" x14ac:dyDescent="0.25">
      <c r="A42" s="728">
        <f t="shared" si="1"/>
        <v>87.976539589442808</v>
      </c>
      <c r="B42" s="87" t="s">
        <v>3382</v>
      </c>
      <c r="C42" s="740" t="s">
        <v>3408</v>
      </c>
      <c r="D42" s="563">
        <v>30000</v>
      </c>
      <c r="E42" s="573">
        <v>341</v>
      </c>
      <c r="F42" s="563">
        <f t="shared" si="2"/>
        <v>30000</v>
      </c>
      <c r="G42" s="87">
        <f t="shared" si="0"/>
        <v>0</v>
      </c>
      <c r="H42" s="689"/>
      <c r="I42" s="693"/>
      <c r="J42" s="692"/>
      <c r="K42" s="692"/>
    </row>
    <row r="43" spans="1:12" ht="15.75" hidden="1" customHeight="1" x14ac:dyDescent="0.25">
      <c r="A43" s="728">
        <f t="shared" si="1"/>
        <v>97.674418604651166</v>
      </c>
      <c r="B43" s="87" t="s">
        <v>3382</v>
      </c>
      <c r="C43" s="740" t="s">
        <v>66</v>
      </c>
      <c r="D43" s="563">
        <v>210</v>
      </c>
      <c r="E43" s="573">
        <v>2.15</v>
      </c>
      <c r="F43" s="563">
        <f t="shared" si="2"/>
        <v>210</v>
      </c>
      <c r="G43" s="87">
        <f t="shared" si="0"/>
        <v>0</v>
      </c>
      <c r="H43" s="689"/>
      <c r="I43" s="693"/>
      <c r="J43" s="692"/>
      <c r="K43" s="692"/>
    </row>
    <row r="44" spans="1:12" ht="15.75" hidden="1" customHeight="1" x14ac:dyDescent="0.25">
      <c r="A44" s="728">
        <f t="shared" si="1"/>
        <v>98.214285714285708</v>
      </c>
      <c r="B44" s="87" t="s">
        <v>3382</v>
      </c>
      <c r="C44" s="740" t="s">
        <v>66</v>
      </c>
      <c r="D44" s="563">
        <v>110</v>
      </c>
      <c r="E44" s="573">
        <v>1.1200000000000001</v>
      </c>
      <c r="F44" s="563">
        <f t="shared" si="2"/>
        <v>110</v>
      </c>
      <c r="G44" s="87">
        <f t="shared" si="0"/>
        <v>0</v>
      </c>
      <c r="H44" s="689"/>
      <c r="I44" s="693"/>
      <c r="J44" s="692"/>
      <c r="K44" s="692"/>
    </row>
    <row r="45" spans="1:12" ht="15.75" hidden="1" customHeight="1" x14ac:dyDescent="0.25">
      <c r="A45" s="728">
        <f t="shared" si="1"/>
        <v>92.233009708737868</v>
      </c>
      <c r="B45" s="87" t="s">
        <v>3382</v>
      </c>
      <c r="C45" s="754" t="s">
        <v>3409</v>
      </c>
      <c r="D45" s="563">
        <v>19000</v>
      </c>
      <c r="E45" s="573">
        <v>206</v>
      </c>
      <c r="F45" s="563">
        <f t="shared" si="2"/>
        <v>19000</v>
      </c>
      <c r="G45" s="87">
        <f t="shared" si="0"/>
        <v>0</v>
      </c>
      <c r="H45" s="689"/>
      <c r="I45" s="693"/>
      <c r="J45" s="692"/>
      <c r="K45" s="692"/>
    </row>
    <row r="46" spans="1:12" ht="15.75" hidden="1" customHeight="1" x14ac:dyDescent="0.25">
      <c r="A46" s="728">
        <f t="shared" si="1"/>
        <v>87.962962962962962</v>
      </c>
      <c r="B46" s="87" t="s">
        <v>3382</v>
      </c>
      <c r="C46" s="754" t="s">
        <v>3410</v>
      </c>
      <c r="D46" s="563">
        <v>19000</v>
      </c>
      <c r="E46" s="573">
        <v>216</v>
      </c>
      <c r="F46" s="563">
        <f t="shared" si="2"/>
        <v>19000</v>
      </c>
      <c r="G46" s="87">
        <f t="shared" si="0"/>
        <v>0</v>
      </c>
      <c r="H46" s="689"/>
      <c r="I46" s="693"/>
      <c r="J46" s="692"/>
      <c r="K46" s="692"/>
    </row>
    <row r="47" spans="1:12" ht="15.75" hidden="1" customHeight="1" x14ac:dyDescent="0.25">
      <c r="A47" s="728">
        <f t="shared" si="1"/>
        <v>88.105726872246692</v>
      </c>
      <c r="B47" s="87" t="s">
        <v>3382</v>
      </c>
      <c r="C47" s="754" t="s">
        <v>3411</v>
      </c>
      <c r="D47" s="563">
        <v>20000</v>
      </c>
      <c r="E47" s="573">
        <v>227</v>
      </c>
      <c r="F47" s="563">
        <f t="shared" si="2"/>
        <v>20000</v>
      </c>
      <c r="G47" s="87">
        <f t="shared" si="0"/>
        <v>0</v>
      </c>
      <c r="H47" s="689"/>
      <c r="I47" s="693"/>
      <c r="J47" s="692"/>
      <c r="K47" s="692"/>
    </row>
    <row r="48" spans="1:12" ht="15.75" hidden="1" customHeight="1" x14ac:dyDescent="0.25">
      <c r="A48" s="728">
        <f t="shared" si="1"/>
        <v>88.235294117647058</v>
      </c>
      <c r="B48" s="87" t="s">
        <v>3382</v>
      </c>
      <c r="C48" s="754" t="s">
        <v>3412</v>
      </c>
      <c r="D48" s="563">
        <v>15000</v>
      </c>
      <c r="E48" s="573">
        <v>170</v>
      </c>
      <c r="F48" s="563">
        <f t="shared" si="2"/>
        <v>15000</v>
      </c>
      <c r="G48" s="87">
        <f t="shared" si="0"/>
        <v>0</v>
      </c>
      <c r="H48" s="689"/>
      <c r="I48" s="693"/>
      <c r="J48" s="692"/>
      <c r="K48" s="692"/>
    </row>
    <row r="49" spans="1:11" ht="15.75" hidden="1" x14ac:dyDescent="0.25">
      <c r="A49" s="728">
        <f t="shared" si="1"/>
        <v>88.038277511961724</v>
      </c>
      <c r="B49" s="87" t="s">
        <v>3401</v>
      </c>
      <c r="C49" s="754" t="s">
        <v>3414</v>
      </c>
      <c r="D49" s="563">
        <v>18400</v>
      </c>
      <c r="E49" s="573">
        <v>209</v>
      </c>
      <c r="F49" s="563">
        <f t="shared" si="2"/>
        <v>18400</v>
      </c>
      <c r="G49" s="87">
        <f t="shared" si="0"/>
        <v>0</v>
      </c>
      <c r="H49" s="689"/>
      <c r="I49" s="693"/>
      <c r="J49" s="692"/>
      <c r="K49" s="692"/>
    </row>
    <row r="50" spans="1:11" ht="15.75" hidden="1" x14ac:dyDescent="0.25">
      <c r="A50" s="728">
        <f t="shared" si="1"/>
        <v>88.235294117647058</v>
      </c>
      <c r="B50" s="87" t="s">
        <v>3401</v>
      </c>
      <c r="C50" s="754" t="s">
        <v>3415</v>
      </c>
      <c r="D50" s="563">
        <v>15000</v>
      </c>
      <c r="E50" s="573">
        <v>170</v>
      </c>
      <c r="F50" s="563">
        <f t="shared" si="2"/>
        <v>15000</v>
      </c>
      <c r="G50" s="87">
        <f t="shared" si="0"/>
        <v>0</v>
      </c>
      <c r="H50" s="689"/>
      <c r="I50" s="693"/>
      <c r="J50" s="692"/>
      <c r="K50" s="692"/>
    </row>
    <row r="51" spans="1:11" ht="15.75" hidden="1" x14ac:dyDescent="0.25">
      <c r="A51" s="728">
        <f t="shared" si="1"/>
        <v>87.947882736156359</v>
      </c>
      <c r="B51" s="87" t="s">
        <v>3401</v>
      </c>
      <c r="C51" s="754" t="s">
        <v>3416</v>
      </c>
      <c r="D51" s="563">
        <v>27000</v>
      </c>
      <c r="E51" s="573">
        <v>307</v>
      </c>
      <c r="F51" s="563">
        <f t="shared" si="2"/>
        <v>27000</v>
      </c>
      <c r="G51" s="87">
        <f t="shared" si="0"/>
        <v>0</v>
      </c>
      <c r="H51" s="689"/>
      <c r="I51" s="693"/>
      <c r="J51" s="692"/>
      <c r="K51" s="692"/>
    </row>
    <row r="52" spans="1:11" ht="15.75" hidden="1" x14ac:dyDescent="0.25">
      <c r="A52" s="728">
        <f t="shared" si="1"/>
        <v>87.912087912087912</v>
      </c>
      <c r="B52" s="87" t="s">
        <v>3401</v>
      </c>
      <c r="C52" s="754" t="s">
        <v>2190</v>
      </c>
      <c r="D52" s="563">
        <v>16000</v>
      </c>
      <c r="E52" s="573">
        <v>182</v>
      </c>
      <c r="F52" s="563">
        <f t="shared" si="2"/>
        <v>16000</v>
      </c>
      <c r="G52" s="87">
        <f t="shared" si="0"/>
        <v>0</v>
      </c>
      <c r="H52" s="689"/>
      <c r="I52" s="693"/>
      <c r="J52" s="692"/>
      <c r="K52" s="692"/>
    </row>
    <row r="53" spans="1:11" ht="15.75" hidden="1" x14ac:dyDescent="0.25">
      <c r="A53" s="728">
        <f t="shared" si="1"/>
        <v>88.607594936708864</v>
      </c>
      <c r="B53" s="87" t="s">
        <v>3401</v>
      </c>
      <c r="C53" s="754" t="s">
        <v>3266</v>
      </c>
      <c r="D53" s="563">
        <v>7000</v>
      </c>
      <c r="E53" s="573">
        <v>79</v>
      </c>
      <c r="F53" s="563">
        <f t="shared" si="2"/>
        <v>7000</v>
      </c>
      <c r="G53" s="87">
        <f t="shared" si="0"/>
        <v>0</v>
      </c>
      <c r="H53" s="689"/>
      <c r="I53" s="693"/>
      <c r="J53" s="692"/>
      <c r="K53" s="692"/>
    </row>
    <row r="54" spans="1:11" ht="15.75" hidden="1" x14ac:dyDescent="0.25">
      <c r="A54" s="728">
        <f t="shared" si="1"/>
        <v>88.967971530249116</v>
      </c>
      <c r="B54" s="87" t="s">
        <v>3401</v>
      </c>
      <c r="C54" s="754" t="s">
        <v>1956</v>
      </c>
      <c r="D54" s="563">
        <v>25000</v>
      </c>
      <c r="E54" s="573">
        <v>281</v>
      </c>
      <c r="F54" s="563">
        <f t="shared" si="2"/>
        <v>25000</v>
      </c>
      <c r="G54" s="87">
        <f t="shared" si="0"/>
        <v>0</v>
      </c>
      <c r="H54" s="689"/>
      <c r="I54" s="693"/>
      <c r="J54" s="692"/>
      <c r="K54" s="692"/>
    </row>
    <row r="55" spans="1:11" ht="15.75" hidden="1" x14ac:dyDescent="0.25">
      <c r="A55" s="728">
        <f t="shared" si="1"/>
        <v>88.028169014084511</v>
      </c>
      <c r="B55" s="87" t="s">
        <v>3401</v>
      </c>
      <c r="C55" s="754" t="s">
        <v>3323</v>
      </c>
      <c r="D55" s="563">
        <v>25000</v>
      </c>
      <c r="E55" s="573">
        <v>284</v>
      </c>
      <c r="F55" s="563">
        <f t="shared" si="2"/>
        <v>25000</v>
      </c>
      <c r="G55" s="87">
        <f t="shared" si="0"/>
        <v>0</v>
      </c>
      <c r="H55" s="689"/>
      <c r="I55" s="693"/>
      <c r="J55" s="692"/>
      <c r="K55" s="692"/>
    </row>
    <row r="56" spans="1:11" ht="15.75" hidden="1" x14ac:dyDescent="0.25">
      <c r="A56" s="728">
        <f t="shared" si="1"/>
        <v>88.028169014084511</v>
      </c>
      <c r="B56" s="87" t="s">
        <v>3401</v>
      </c>
      <c r="C56" s="754" t="s">
        <v>3417</v>
      </c>
      <c r="D56" s="563">
        <v>25000</v>
      </c>
      <c r="E56" s="573">
        <v>284</v>
      </c>
      <c r="F56" s="563">
        <f t="shared" si="2"/>
        <v>25000</v>
      </c>
      <c r="G56" s="87">
        <f t="shared" si="0"/>
        <v>0</v>
      </c>
      <c r="H56" s="689"/>
      <c r="I56" s="693"/>
      <c r="J56" s="692"/>
      <c r="K56" s="692"/>
    </row>
    <row r="57" spans="1:11" ht="15.75" hidden="1" x14ac:dyDescent="0.25">
      <c r="A57" s="728">
        <f t="shared" si="1"/>
        <v>88.495575221238937</v>
      </c>
      <c r="B57" s="87" t="s">
        <v>3401</v>
      </c>
      <c r="C57" s="754" t="s">
        <v>3418</v>
      </c>
      <c r="D57" s="563">
        <v>10000</v>
      </c>
      <c r="E57" s="573">
        <v>113</v>
      </c>
      <c r="F57" s="563">
        <f t="shared" si="2"/>
        <v>10000</v>
      </c>
      <c r="G57" s="87">
        <f t="shared" si="0"/>
        <v>0</v>
      </c>
      <c r="H57" s="689"/>
      <c r="I57" s="693"/>
      <c r="J57" s="692"/>
      <c r="K57" s="692"/>
    </row>
    <row r="58" spans="1:11" ht="15" hidden="1" x14ac:dyDescent="0.25">
      <c r="A58" s="728">
        <f t="shared" si="1"/>
        <v>88.495575221238937</v>
      </c>
      <c r="B58" s="87" t="s">
        <v>3401</v>
      </c>
      <c r="C58" s="754" t="s">
        <v>3419</v>
      </c>
      <c r="D58" s="563">
        <v>10000</v>
      </c>
      <c r="E58" s="573">
        <v>113</v>
      </c>
      <c r="F58" s="563">
        <f t="shared" si="2"/>
        <v>10000</v>
      </c>
      <c r="G58" s="87">
        <f t="shared" si="0"/>
        <v>0</v>
      </c>
      <c r="H58" s="690"/>
      <c r="I58" s="693"/>
      <c r="J58" s="692"/>
      <c r="K58" s="692"/>
    </row>
    <row r="59" spans="1:11" ht="15" hidden="1" x14ac:dyDescent="0.25">
      <c r="A59" s="728">
        <f t="shared" si="1"/>
        <v>88.495575221238937</v>
      </c>
      <c r="B59" s="87" t="s">
        <v>3401</v>
      </c>
      <c r="C59" s="754" t="s">
        <v>3420</v>
      </c>
      <c r="D59" s="563">
        <v>10000</v>
      </c>
      <c r="E59" s="573">
        <v>113</v>
      </c>
      <c r="F59" s="563">
        <f t="shared" si="2"/>
        <v>10000</v>
      </c>
      <c r="G59" s="87">
        <f t="shared" si="0"/>
        <v>0</v>
      </c>
      <c r="H59" s="690"/>
      <c r="I59" s="693"/>
      <c r="J59" s="692"/>
      <c r="K59" s="692"/>
    </row>
    <row r="60" spans="1:11" ht="15" hidden="1" x14ac:dyDescent="0.25">
      <c r="A60" s="728">
        <f t="shared" si="1"/>
        <v>88.028169014084511</v>
      </c>
      <c r="B60" s="87" t="s">
        <v>3401</v>
      </c>
      <c r="C60" s="754" t="s">
        <v>3421</v>
      </c>
      <c r="D60" s="563">
        <v>25000</v>
      </c>
      <c r="E60" s="573">
        <v>284</v>
      </c>
      <c r="F60" s="563">
        <f t="shared" si="2"/>
        <v>25000</v>
      </c>
      <c r="G60" s="87">
        <f t="shared" si="0"/>
        <v>0</v>
      </c>
      <c r="H60" s="690"/>
      <c r="I60" s="693"/>
      <c r="J60" s="692"/>
      <c r="K60" s="692"/>
    </row>
    <row r="61" spans="1:11" ht="15" hidden="1" x14ac:dyDescent="0.25">
      <c r="A61" s="728">
        <f t="shared" si="1"/>
        <v>87.976539589442808</v>
      </c>
      <c r="B61" s="87" t="s">
        <v>3401</v>
      </c>
      <c r="C61" s="755" t="s">
        <v>3422</v>
      </c>
      <c r="D61" s="563">
        <v>30000</v>
      </c>
      <c r="E61" s="573">
        <v>341</v>
      </c>
      <c r="F61" s="563">
        <f t="shared" si="2"/>
        <v>30000</v>
      </c>
      <c r="G61" s="87">
        <f t="shared" si="0"/>
        <v>0</v>
      </c>
      <c r="H61" s="690"/>
      <c r="I61" s="693"/>
      <c r="J61" s="692"/>
      <c r="K61" s="692"/>
    </row>
    <row r="62" spans="1:11" ht="15" hidden="1" x14ac:dyDescent="0.25">
      <c r="A62" s="728">
        <f t="shared" si="1"/>
        <v>87.804878048780495</v>
      </c>
      <c r="B62" s="87" t="s">
        <v>3401</v>
      </c>
      <c r="C62" s="754" t="s">
        <v>2406</v>
      </c>
      <c r="D62" s="563">
        <v>18000</v>
      </c>
      <c r="E62" s="573">
        <v>205</v>
      </c>
      <c r="F62" s="563">
        <f t="shared" si="2"/>
        <v>18000</v>
      </c>
      <c r="G62" s="87">
        <f t="shared" si="0"/>
        <v>0</v>
      </c>
      <c r="H62" s="690"/>
      <c r="I62" s="693"/>
      <c r="J62" s="692"/>
      <c r="K62" s="692"/>
    </row>
    <row r="63" spans="1:11" ht="15" hidden="1" x14ac:dyDescent="0.25">
      <c r="A63" s="728">
        <f t="shared" si="1"/>
        <v>88.495575221238937</v>
      </c>
      <c r="B63" s="87" t="s">
        <v>3401</v>
      </c>
      <c r="C63" s="754" t="s">
        <v>3443</v>
      </c>
      <c r="D63" s="563">
        <v>10000</v>
      </c>
      <c r="E63" s="573">
        <v>113</v>
      </c>
      <c r="F63" s="563">
        <f t="shared" si="2"/>
        <v>10000</v>
      </c>
      <c r="G63" s="87">
        <f t="shared" si="0"/>
        <v>0</v>
      </c>
      <c r="H63" s="690"/>
      <c r="I63" s="693"/>
      <c r="J63" s="692"/>
      <c r="K63" s="692"/>
    </row>
    <row r="64" spans="1:11" ht="15" hidden="1" x14ac:dyDescent="0.25">
      <c r="A64" s="728">
        <f t="shared" si="1"/>
        <v>88</v>
      </c>
      <c r="B64" s="87" t="s">
        <v>3401</v>
      </c>
      <c r="C64" s="754" t="s">
        <v>3423</v>
      </c>
      <c r="D64" s="563">
        <v>22000</v>
      </c>
      <c r="E64" s="573">
        <v>250</v>
      </c>
      <c r="F64" s="563">
        <f t="shared" si="2"/>
        <v>22000</v>
      </c>
      <c r="G64" s="87">
        <f t="shared" si="0"/>
        <v>0</v>
      </c>
      <c r="H64" s="690"/>
      <c r="I64" s="693"/>
      <c r="J64" s="692"/>
      <c r="K64" s="692"/>
    </row>
    <row r="65" spans="1:11" ht="15" hidden="1" x14ac:dyDescent="0.25">
      <c r="A65" s="728">
        <f t="shared" si="1"/>
        <v>87.804878048780495</v>
      </c>
      <c r="B65" s="87" t="s">
        <v>3401</v>
      </c>
      <c r="C65" s="754" t="s">
        <v>3424</v>
      </c>
      <c r="D65" s="563">
        <v>21600</v>
      </c>
      <c r="E65" s="573">
        <v>246</v>
      </c>
      <c r="F65" s="563">
        <f t="shared" si="2"/>
        <v>21600</v>
      </c>
      <c r="G65" s="87">
        <f t="shared" si="0"/>
        <v>0</v>
      </c>
      <c r="H65" s="690"/>
      <c r="I65" s="693"/>
      <c r="J65" s="692"/>
      <c r="K65" s="692"/>
    </row>
    <row r="66" spans="1:11" ht="15" hidden="1" x14ac:dyDescent="0.25">
      <c r="A66" s="728">
        <f t="shared" si="1"/>
        <v>87.837837837837839</v>
      </c>
      <c r="B66" s="87" t="s">
        <v>3401</v>
      </c>
      <c r="C66" s="754" t="s">
        <v>3425</v>
      </c>
      <c r="D66" s="563">
        <v>26000</v>
      </c>
      <c r="E66" s="573">
        <v>296</v>
      </c>
      <c r="F66" s="563">
        <f t="shared" si="2"/>
        <v>26000</v>
      </c>
      <c r="G66" s="87">
        <f t="shared" si="0"/>
        <v>0</v>
      </c>
      <c r="H66" s="690"/>
      <c r="I66" s="693"/>
      <c r="J66" s="692"/>
      <c r="K66" s="692"/>
    </row>
    <row r="67" spans="1:11" ht="15" hidden="1" x14ac:dyDescent="0.25">
      <c r="A67" s="728">
        <f t="shared" si="1"/>
        <v>98.214285714285708</v>
      </c>
      <c r="B67" s="87" t="s">
        <v>3426</v>
      </c>
      <c r="C67" s="754" t="s">
        <v>66</v>
      </c>
      <c r="D67" s="563">
        <v>110</v>
      </c>
      <c r="E67" s="573">
        <v>1.1200000000000001</v>
      </c>
      <c r="F67" s="563">
        <f t="shared" si="2"/>
        <v>110</v>
      </c>
      <c r="G67" s="87">
        <f t="shared" si="0"/>
        <v>0</v>
      </c>
      <c r="H67" s="690"/>
      <c r="I67" s="693"/>
      <c r="J67" s="692"/>
      <c r="K67" s="692"/>
    </row>
    <row r="68" spans="1:11" ht="15" hidden="1" x14ac:dyDescent="0.25">
      <c r="A68" s="728">
        <f t="shared" si="1"/>
        <v>87.912087912087912</v>
      </c>
      <c r="B68" s="87" t="s">
        <v>3426</v>
      </c>
      <c r="C68" s="754" t="s">
        <v>30</v>
      </c>
      <c r="D68" s="563">
        <v>8000</v>
      </c>
      <c r="E68" s="573">
        <v>91</v>
      </c>
      <c r="F68" s="563">
        <f t="shared" si="2"/>
        <v>8000</v>
      </c>
      <c r="G68" s="87">
        <f t="shared" si="0"/>
        <v>0</v>
      </c>
      <c r="H68" s="690"/>
      <c r="I68" s="693"/>
      <c r="J68" s="692"/>
      <c r="K68" s="692"/>
    </row>
    <row r="69" spans="1:11" ht="15" hidden="1" x14ac:dyDescent="0.25">
      <c r="A69" s="728">
        <f t="shared" si="1"/>
        <v>92.651757188498408</v>
      </c>
      <c r="B69" s="87" t="s">
        <v>3426</v>
      </c>
      <c r="C69" s="754" t="s">
        <v>3427</v>
      </c>
      <c r="D69" s="563">
        <v>29000</v>
      </c>
      <c r="E69" s="573">
        <v>313</v>
      </c>
      <c r="F69" s="563">
        <f t="shared" si="2"/>
        <v>29000</v>
      </c>
      <c r="G69" s="87">
        <f t="shared" ref="G69:G134" si="3">D69-F69</f>
        <v>0</v>
      </c>
      <c r="H69" s="690"/>
      <c r="I69" s="693"/>
      <c r="J69" s="692"/>
      <c r="K69" s="692"/>
    </row>
    <row r="70" spans="1:11" ht="15" hidden="1" x14ac:dyDescent="0.25">
      <c r="A70" s="728">
        <f t="shared" ref="A70:A133" si="4">D70/E70</f>
        <v>88.028169014084511</v>
      </c>
      <c r="B70" s="87" t="s">
        <v>3426</v>
      </c>
      <c r="C70" s="754" t="s">
        <v>3428</v>
      </c>
      <c r="D70" s="563">
        <v>25000</v>
      </c>
      <c r="E70" s="573">
        <v>284</v>
      </c>
      <c r="F70" s="563">
        <f t="shared" ref="F70:F133" si="5">D70</f>
        <v>25000</v>
      </c>
      <c r="G70" s="87">
        <f t="shared" si="3"/>
        <v>0</v>
      </c>
      <c r="H70" s="690"/>
      <c r="I70" s="693"/>
      <c r="J70" s="692"/>
      <c r="K70" s="692"/>
    </row>
    <row r="71" spans="1:11" ht="15" hidden="1" x14ac:dyDescent="0.25">
      <c r="A71" s="728">
        <f t="shared" si="4"/>
        <v>88.495575221238937</v>
      </c>
      <c r="B71" s="87" t="s">
        <v>3426</v>
      </c>
      <c r="C71" s="754" t="s">
        <v>3429</v>
      </c>
      <c r="D71" s="563">
        <v>10000</v>
      </c>
      <c r="E71" s="573">
        <v>113</v>
      </c>
      <c r="F71" s="563">
        <f t="shared" si="5"/>
        <v>10000</v>
      </c>
      <c r="G71" s="87">
        <f t="shared" si="3"/>
        <v>0</v>
      </c>
      <c r="H71" s="690"/>
      <c r="I71" s="693"/>
      <c r="J71" s="692"/>
      <c r="K71" s="692"/>
    </row>
    <row r="72" spans="1:11" ht="15" hidden="1" x14ac:dyDescent="0.25">
      <c r="A72" s="728">
        <f t="shared" si="4"/>
        <v>88.105726872246692</v>
      </c>
      <c r="B72" s="87" t="s">
        <v>3426</v>
      </c>
      <c r="C72" s="754" t="s">
        <v>3430</v>
      </c>
      <c r="D72" s="563">
        <v>20000</v>
      </c>
      <c r="E72" s="573">
        <v>227</v>
      </c>
      <c r="F72" s="563">
        <f t="shared" si="5"/>
        <v>20000</v>
      </c>
      <c r="G72" s="87">
        <f t="shared" si="3"/>
        <v>0</v>
      </c>
      <c r="H72" s="690"/>
      <c r="I72" s="693"/>
      <c r="J72" s="692"/>
      <c r="K72" s="692"/>
    </row>
    <row r="73" spans="1:11" ht="15" hidden="1" x14ac:dyDescent="0.25">
      <c r="A73" s="728">
        <f t="shared" si="4"/>
        <v>87.774294670846402</v>
      </c>
      <c r="B73" s="87" t="s">
        <v>3426</v>
      </c>
      <c r="C73" s="754" t="s">
        <v>3431</v>
      </c>
      <c r="D73" s="563">
        <v>28000</v>
      </c>
      <c r="E73" s="573">
        <v>319</v>
      </c>
      <c r="F73" s="563">
        <f t="shared" si="5"/>
        <v>28000</v>
      </c>
      <c r="G73" s="87">
        <f t="shared" si="3"/>
        <v>0</v>
      </c>
      <c r="H73" s="690"/>
      <c r="I73" s="693"/>
      <c r="J73" s="692"/>
      <c r="K73" s="692"/>
    </row>
    <row r="74" spans="1:11" ht="15" hidden="1" x14ac:dyDescent="0.25">
      <c r="A74" s="728">
        <f t="shared" si="4"/>
        <v>87.786259541984734</v>
      </c>
      <c r="B74" s="87" t="s">
        <v>3426</v>
      </c>
      <c r="C74" s="754" t="s">
        <v>3311</v>
      </c>
      <c r="D74" s="563">
        <v>23000</v>
      </c>
      <c r="E74" s="573">
        <v>262</v>
      </c>
      <c r="F74" s="563">
        <f t="shared" si="5"/>
        <v>23000</v>
      </c>
      <c r="G74" s="87">
        <f t="shared" si="3"/>
        <v>0</v>
      </c>
      <c r="H74" s="690"/>
      <c r="I74" s="693"/>
      <c r="J74" s="692"/>
      <c r="K74" s="692"/>
    </row>
    <row r="75" spans="1:11" ht="15" hidden="1" x14ac:dyDescent="0.25">
      <c r="A75" s="728">
        <f t="shared" si="4"/>
        <v>87.837837837837839</v>
      </c>
      <c r="B75" s="87" t="s">
        <v>3426</v>
      </c>
      <c r="C75" s="754" t="s">
        <v>3432</v>
      </c>
      <c r="D75" s="563">
        <v>13000</v>
      </c>
      <c r="E75" s="573">
        <v>148</v>
      </c>
      <c r="F75" s="563">
        <f t="shared" si="5"/>
        <v>13000</v>
      </c>
      <c r="G75" s="87">
        <f t="shared" si="3"/>
        <v>0</v>
      </c>
      <c r="H75" s="690"/>
      <c r="I75" s="693"/>
      <c r="J75" s="692"/>
      <c r="K75" s="692"/>
    </row>
    <row r="76" spans="1:11" ht="15" hidden="1" x14ac:dyDescent="0.25">
      <c r="A76" s="728">
        <f t="shared" si="4"/>
        <v>88.028169014084511</v>
      </c>
      <c r="B76" s="87" t="s">
        <v>3426</v>
      </c>
      <c r="C76" s="754" t="s">
        <v>3433</v>
      </c>
      <c r="D76" s="563">
        <v>25000</v>
      </c>
      <c r="E76" s="573">
        <v>284</v>
      </c>
      <c r="F76" s="563">
        <f t="shared" si="5"/>
        <v>25000</v>
      </c>
      <c r="G76" s="87">
        <f t="shared" si="3"/>
        <v>0</v>
      </c>
      <c r="H76" s="690"/>
      <c r="I76" s="693"/>
      <c r="J76" s="692"/>
      <c r="K76" s="692"/>
    </row>
    <row r="77" spans="1:11" ht="15" hidden="1" x14ac:dyDescent="0.25">
      <c r="A77" s="728">
        <f t="shared" si="4"/>
        <v>88.461538461538467</v>
      </c>
      <c r="B77" s="87" t="s">
        <v>3426</v>
      </c>
      <c r="C77" s="754" t="s">
        <v>3434</v>
      </c>
      <c r="D77" s="563">
        <v>23000</v>
      </c>
      <c r="E77" s="573">
        <v>260</v>
      </c>
      <c r="F77" s="563">
        <f t="shared" si="5"/>
        <v>23000</v>
      </c>
      <c r="G77" s="87">
        <f t="shared" si="3"/>
        <v>0</v>
      </c>
      <c r="H77" s="690"/>
      <c r="I77" s="693"/>
      <c r="J77" s="692"/>
      <c r="K77" s="692"/>
    </row>
    <row r="78" spans="1:11" ht="15" hidden="1" x14ac:dyDescent="0.25">
      <c r="A78" s="728">
        <f t="shared" si="4"/>
        <v>88</v>
      </c>
      <c r="B78" s="87" t="s">
        <v>3426</v>
      </c>
      <c r="C78" s="754" t="s">
        <v>1724</v>
      </c>
      <c r="D78" s="563">
        <v>22000</v>
      </c>
      <c r="E78" s="573">
        <v>250</v>
      </c>
      <c r="F78" s="563">
        <f t="shared" si="5"/>
        <v>22000</v>
      </c>
      <c r="G78" s="87">
        <f t="shared" si="3"/>
        <v>0</v>
      </c>
      <c r="H78" s="690"/>
      <c r="I78" s="693"/>
      <c r="J78" s="692"/>
      <c r="K78" s="692"/>
    </row>
    <row r="79" spans="1:11" ht="15" hidden="1" x14ac:dyDescent="0.25">
      <c r="A79" s="728">
        <f t="shared" si="4"/>
        <v>92.896174863387984</v>
      </c>
      <c r="B79" s="87" t="s">
        <v>3426</v>
      </c>
      <c r="C79" s="754" t="s">
        <v>3435</v>
      </c>
      <c r="D79" s="563">
        <v>34000</v>
      </c>
      <c r="E79" s="573">
        <v>366</v>
      </c>
      <c r="F79" s="563">
        <f t="shared" si="5"/>
        <v>34000</v>
      </c>
      <c r="G79" s="87">
        <f t="shared" si="3"/>
        <v>0</v>
      </c>
      <c r="H79" s="690"/>
      <c r="I79" s="693"/>
      <c r="J79" s="692"/>
      <c r="K79" s="692"/>
    </row>
    <row r="80" spans="1:11" ht="15" hidden="1" x14ac:dyDescent="0.25">
      <c r="A80" s="728">
        <f t="shared" si="4"/>
        <v>88.235294117647058</v>
      </c>
      <c r="B80" s="87" t="s">
        <v>3426</v>
      </c>
      <c r="C80" s="754" t="s">
        <v>3436</v>
      </c>
      <c r="D80" s="563">
        <v>15000</v>
      </c>
      <c r="E80" s="573">
        <v>170</v>
      </c>
      <c r="F80" s="563">
        <f t="shared" si="5"/>
        <v>15000</v>
      </c>
      <c r="G80" s="87">
        <f t="shared" si="3"/>
        <v>0</v>
      </c>
      <c r="H80" s="690"/>
      <c r="I80" s="693"/>
      <c r="J80" s="692"/>
      <c r="K80" s="692"/>
    </row>
    <row r="81" spans="1:11" ht="15" hidden="1" x14ac:dyDescent="0.25">
      <c r="A81" s="728">
        <f t="shared" si="4"/>
        <v>87.976539589442808</v>
      </c>
      <c r="B81" s="87" t="s">
        <v>3426</v>
      </c>
      <c r="C81" s="754" t="s">
        <v>3437</v>
      </c>
      <c r="D81" s="563">
        <v>30000</v>
      </c>
      <c r="E81" s="573">
        <v>341</v>
      </c>
      <c r="F81" s="563">
        <f t="shared" si="5"/>
        <v>30000</v>
      </c>
      <c r="G81" s="87">
        <f t="shared" si="3"/>
        <v>0</v>
      </c>
      <c r="H81" s="690"/>
      <c r="I81" s="693"/>
      <c r="J81" s="692"/>
      <c r="K81" s="692"/>
    </row>
    <row r="82" spans="1:11" ht="15" hidden="1" x14ac:dyDescent="0.25">
      <c r="A82" s="728">
        <f t="shared" si="4"/>
        <v>87.976539589442808</v>
      </c>
      <c r="B82" s="87" t="s">
        <v>3426</v>
      </c>
      <c r="C82" s="756" t="s">
        <v>3438</v>
      </c>
      <c r="D82" s="563">
        <v>30000</v>
      </c>
      <c r="E82" s="573">
        <v>341</v>
      </c>
      <c r="F82" s="563">
        <f t="shared" si="5"/>
        <v>30000</v>
      </c>
      <c r="G82" s="87">
        <f t="shared" si="3"/>
        <v>0</v>
      </c>
      <c r="H82" s="690"/>
      <c r="I82" s="693"/>
      <c r="J82" s="692"/>
      <c r="K82" s="692"/>
    </row>
    <row r="83" spans="1:11" ht="15" hidden="1" x14ac:dyDescent="0.25">
      <c r="A83" s="728">
        <f t="shared" si="4"/>
        <v>87.976539589442808</v>
      </c>
      <c r="B83" s="87" t="s">
        <v>3426</v>
      </c>
      <c r="C83" s="754" t="s">
        <v>1911</v>
      </c>
      <c r="D83" s="563">
        <v>30000</v>
      </c>
      <c r="E83" s="573">
        <v>341</v>
      </c>
      <c r="F83" s="563">
        <f t="shared" si="5"/>
        <v>30000</v>
      </c>
      <c r="G83" s="87">
        <f t="shared" si="3"/>
        <v>0</v>
      </c>
      <c r="H83" s="690"/>
      <c r="I83" s="693"/>
      <c r="J83" s="692"/>
      <c r="K83" s="692"/>
    </row>
    <row r="84" spans="1:11" ht="15" hidden="1" x14ac:dyDescent="0.25">
      <c r="A84" s="728">
        <f t="shared" si="4"/>
        <v>88</v>
      </c>
      <c r="B84" s="87" t="s">
        <v>3426</v>
      </c>
      <c r="C84" s="754" t="s">
        <v>3442</v>
      </c>
      <c r="D84" s="563">
        <v>22000</v>
      </c>
      <c r="E84" s="573">
        <v>250</v>
      </c>
      <c r="F84" s="563">
        <f t="shared" si="5"/>
        <v>22000</v>
      </c>
      <c r="G84" s="87">
        <f t="shared" si="3"/>
        <v>0</v>
      </c>
      <c r="H84" s="690"/>
      <c r="I84" s="693"/>
      <c r="J84" s="692"/>
      <c r="K84" s="692"/>
    </row>
    <row r="85" spans="1:11" ht="15" hidden="1" x14ac:dyDescent="0.25">
      <c r="A85" s="728">
        <f t="shared" si="4"/>
        <v>88.105726872246692</v>
      </c>
      <c r="B85" s="87" t="s">
        <v>3426</v>
      </c>
      <c r="C85" s="754" t="s">
        <v>3439</v>
      </c>
      <c r="D85" s="563">
        <v>20000</v>
      </c>
      <c r="E85" s="573">
        <v>227</v>
      </c>
      <c r="F85" s="563">
        <f t="shared" si="5"/>
        <v>20000</v>
      </c>
      <c r="G85" s="87">
        <f t="shared" si="3"/>
        <v>0</v>
      </c>
      <c r="H85" s="690"/>
      <c r="I85" s="693"/>
      <c r="J85" s="692"/>
      <c r="K85" s="692"/>
    </row>
    <row r="86" spans="1:11" ht="15" hidden="1" x14ac:dyDescent="0.25">
      <c r="A86" s="728">
        <f t="shared" si="4"/>
        <v>88.028169014084511</v>
      </c>
      <c r="B86" s="87" t="s">
        <v>3426</v>
      </c>
      <c r="C86" s="754" t="s">
        <v>2389</v>
      </c>
      <c r="D86" s="563">
        <v>25000</v>
      </c>
      <c r="E86" s="573">
        <v>284</v>
      </c>
      <c r="F86" s="563">
        <f t="shared" si="5"/>
        <v>25000</v>
      </c>
      <c r="G86" s="87">
        <f t="shared" si="3"/>
        <v>0</v>
      </c>
      <c r="H86" s="690"/>
      <c r="I86" s="693"/>
      <c r="J86" s="692"/>
      <c r="K86" s="692"/>
    </row>
    <row r="87" spans="1:11" ht="15" hidden="1" x14ac:dyDescent="0.25">
      <c r="A87" s="728">
        <f t="shared" si="4"/>
        <v>87.774294670846402</v>
      </c>
      <c r="B87" s="87" t="s">
        <v>3426</v>
      </c>
      <c r="C87" s="754" t="s">
        <v>3440</v>
      </c>
      <c r="D87" s="563">
        <v>28000</v>
      </c>
      <c r="E87" s="573">
        <v>319</v>
      </c>
      <c r="F87" s="563">
        <f t="shared" si="5"/>
        <v>28000</v>
      </c>
      <c r="G87" s="87">
        <f t="shared" si="3"/>
        <v>0</v>
      </c>
      <c r="H87" s="690"/>
      <c r="I87" s="693"/>
      <c r="J87" s="692"/>
      <c r="K87" s="692"/>
    </row>
    <row r="88" spans="1:11" ht="15" hidden="1" x14ac:dyDescent="0.25">
      <c r="A88" s="728">
        <f t="shared" si="4"/>
        <v>87.804878048780495</v>
      </c>
      <c r="B88" s="87" t="s">
        <v>3426</v>
      </c>
      <c r="C88" s="754" t="s">
        <v>3441</v>
      </c>
      <c r="D88" s="563">
        <v>18000</v>
      </c>
      <c r="E88" s="573">
        <v>205</v>
      </c>
      <c r="F88" s="563">
        <f t="shared" si="5"/>
        <v>18000</v>
      </c>
      <c r="G88" s="87">
        <f t="shared" si="3"/>
        <v>0</v>
      </c>
      <c r="H88" s="690"/>
      <c r="I88" s="693"/>
      <c r="J88" s="692"/>
      <c r="K88" s="692"/>
    </row>
    <row r="89" spans="1:11" ht="15" hidden="1" x14ac:dyDescent="0.25">
      <c r="A89" s="728">
        <f t="shared" si="4"/>
        <v>87.774294670846402</v>
      </c>
      <c r="B89" s="87" t="s">
        <v>3413</v>
      </c>
      <c r="C89" s="754" t="s">
        <v>3071</v>
      </c>
      <c r="D89" s="563">
        <v>28000</v>
      </c>
      <c r="E89" s="573">
        <v>319</v>
      </c>
      <c r="F89" s="563">
        <f t="shared" si="5"/>
        <v>28000</v>
      </c>
      <c r="G89" s="87">
        <f t="shared" si="3"/>
        <v>0</v>
      </c>
      <c r="H89" s="690"/>
      <c r="I89" s="693"/>
      <c r="J89" s="692"/>
      <c r="K89" s="692"/>
    </row>
    <row r="90" spans="1:11" ht="15" hidden="1" x14ac:dyDescent="0.25">
      <c r="A90" s="728">
        <f t="shared" si="4"/>
        <v>87.774294670846402</v>
      </c>
      <c r="B90" s="87" t="s">
        <v>3413</v>
      </c>
      <c r="C90" s="754" t="s">
        <v>3068</v>
      </c>
      <c r="D90" s="563">
        <v>28000</v>
      </c>
      <c r="E90" s="573">
        <v>319</v>
      </c>
      <c r="F90" s="563">
        <f t="shared" si="5"/>
        <v>28000</v>
      </c>
      <c r="G90" s="87">
        <f t="shared" si="3"/>
        <v>0</v>
      </c>
      <c r="H90" s="690"/>
      <c r="I90" s="693"/>
      <c r="J90" s="692"/>
      <c r="K90" s="692"/>
    </row>
    <row r="91" spans="1:11" ht="15" hidden="1" x14ac:dyDescent="0.25">
      <c r="A91" s="728">
        <f t="shared" si="4"/>
        <v>88.105726872246692</v>
      </c>
      <c r="B91" s="87" t="s">
        <v>3413</v>
      </c>
      <c r="C91" s="754" t="s">
        <v>3329</v>
      </c>
      <c r="D91" s="563">
        <v>20000</v>
      </c>
      <c r="E91" s="573">
        <v>227</v>
      </c>
      <c r="F91" s="563">
        <f t="shared" si="5"/>
        <v>20000</v>
      </c>
      <c r="G91" s="87">
        <f t="shared" si="3"/>
        <v>0</v>
      </c>
      <c r="H91" s="690"/>
      <c r="I91" s="693"/>
      <c r="J91" s="692"/>
      <c r="K91" s="692"/>
    </row>
    <row r="92" spans="1:11" ht="15" hidden="1" x14ac:dyDescent="0.25">
      <c r="A92" s="728">
        <f t="shared" si="4"/>
        <v>88.235294117647058</v>
      </c>
      <c r="B92" s="87" t="s">
        <v>3413</v>
      </c>
      <c r="C92" s="754" t="s">
        <v>3451</v>
      </c>
      <c r="D92" s="563">
        <v>15000</v>
      </c>
      <c r="E92" s="573">
        <v>170</v>
      </c>
      <c r="F92" s="563">
        <f t="shared" si="5"/>
        <v>15000</v>
      </c>
      <c r="G92" s="87">
        <f t="shared" si="3"/>
        <v>0</v>
      </c>
      <c r="H92" s="690"/>
      <c r="I92" s="693"/>
      <c r="J92" s="692"/>
      <c r="K92" s="692"/>
    </row>
    <row r="93" spans="1:11" ht="15" hidden="1" x14ac:dyDescent="0.25">
      <c r="A93" s="728">
        <f t="shared" si="4"/>
        <v>93.16770186335404</v>
      </c>
      <c r="B93" s="87" t="s">
        <v>3413</v>
      </c>
      <c r="C93" s="740" t="s">
        <v>3452</v>
      </c>
      <c r="D93" s="87">
        <v>30000</v>
      </c>
      <c r="E93" s="87">
        <v>322</v>
      </c>
      <c r="F93" s="563">
        <f t="shared" si="5"/>
        <v>30000</v>
      </c>
      <c r="G93" s="87">
        <f t="shared" si="3"/>
        <v>0</v>
      </c>
      <c r="H93" s="690"/>
      <c r="I93" s="693"/>
      <c r="J93" s="692"/>
      <c r="K93" s="692"/>
    </row>
    <row r="94" spans="1:11" ht="15" hidden="1" x14ac:dyDescent="0.25">
      <c r="A94" s="728">
        <f t="shared" si="4"/>
        <v>87.912087912087912</v>
      </c>
      <c r="B94" s="87" t="s">
        <v>3413</v>
      </c>
      <c r="C94" s="740" t="s">
        <v>30</v>
      </c>
      <c r="D94" s="87">
        <v>8000</v>
      </c>
      <c r="E94" s="87">
        <v>91</v>
      </c>
      <c r="F94" s="563">
        <f t="shared" si="5"/>
        <v>8000</v>
      </c>
      <c r="G94" s="87">
        <f t="shared" si="3"/>
        <v>0</v>
      </c>
      <c r="H94" s="690"/>
      <c r="I94" s="693"/>
      <c r="J94" s="692"/>
      <c r="K94" s="692"/>
    </row>
    <row r="95" spans="1:11" ht="15" hidden="1" x14ac:dyDescent="0.25">
      <c r="A95" s="728">
        <f t="shared" si="4"/>
        <v>87.976539589442808</v>
      </c>
      <c r="B95" s="87" t="s">
        <v>3413</v>
      </c>
      <c r="C95" s="740" t="s">
        <v>3314</v>
      </c>
      <c r="D95" s="87">
        <v>30000</v>
      </c>
      <c r="E95" s="87">
        <v>341</v>
      </c>
      <c r="F95" s="563">
        <f t="shared" si="5"/>
        <v>30000</v>
      </c>
      <c r="G95" s="87">
        <f t="shared" si="3"/>
        <v>0</v>
      </c>
      <c r="H95" s="690"/>
      <c r="I95" s="693"/>
      <c r="J95" s="692"/>
      <c r="K95" s="692"/>
    </row>
    <row r="96" spans="1:11" ht="15" hidden="1" x14ac:dyDescent="0.25">
      <c r="A96" s="728">
        <f t="shared" si="4"/>
        <v>88.235294117647058</v>
      </c>
      <c r="B96" s="87" t="s">
        <v>3413</v>
      </c>
      <c r="C96" s="740" t="s">
        <v>3345</v>
      </c>
      <c r="D96" s="87">
        <v>15000</v>
      </c>
      <c r="E96" s="87">
        <v>170</v>
      </c>
      <c r="F96" s="563">
        <f t="shared" si="5"/>
        <v>15000</v>
      </c>
      <c r="G96" s="87">
        <f t="shared" si="3"/>
        <v>0</v>
      </c>
      <c r="H96" s="690"/>
      <c r="I96" s="693"/>
      <c r="J96" s="692"/>
      <c r="K96" s="692"/>
    </row>
    <row r="97" spans="1:11" ht="15" hidden="1" x14ac:dyDescent="0.25">
      <c r="A97" s="728">
        <f t="shared" si="4"/>
        <v>88.235294117647058</v>
      </c>
      <c r="B97" s="87" t="s">
        <v>3413</v>
      </c>
      <c r="C97" s="740" t="s">
        <v>3347</v>
      </c>
      <c r="D97" s="87">
        <v>15000</v>
      </c>
      <c r="E97" s="87">
        <v>170</v>
      </c>
      <c r="F97" s="563">
        <f t="shared" si="5"/>
        <v>15000</v>
      </c>
      <c r="G97" s="87">
        <f t="shared" si="3"/>
        <v>0</v>
      </c>
      <c r="H97" s="690"/>
      <c r="I97" s="693"/>
      <c r="J97" s="692"/>
      <c r="K97" s="692"/>
    </row>
    <row r="98" spans="1:11" ht="15" hidden="1" x14ac:dyDescent="0.25">
      <c r="A98" s="728">
        <f t="shared" si="4"/>
        <v>87.976539589442808</v>
      </c>
      <c r="B98" s="87" t="s">
        <v>3413</v>
      </c>
      <c r="C98" s="740" t="s">
        <v>3444</v>
      </c>
      <c r="D98" s="87">
        <v>30000</v>
      </c>
      <c r="E98" s="87">
        <v>341</v>
      </c>
      <c r="F98" s="563">
        <f t="shared" si="5"/>
        <v>30000</v>
      </c>
      <c r="G98" s="87">
        <f t="shared" si="3"/>
        <v>0</v>
      </c>
      <c r="H98" s="690"/>
      <c r="I98" s="693"/>
      <c r="J98" s="692"/>
      <c r="K98" s="692"/>
    </row>
    <row r="99" spans="1:11" ht="15" hidden="1" x14ac:dyDescent="0.25">
      <c r="A99" s="728">
        <f t="shared" si="4"/>
        <v>89.473684210526315</v>
      </c>
      <c r="B99" s="87" t="s">
        <v>3413</v>
      </c>
      <c r="C99" s="740" t="s">
        <v>3310</v>
      </c>
      <c r="D99" s="87">
        <v>34000</v>
      </c>
      <c r="E99" s="87">
        <v>380</v>
      </c>
      <c r="F99" s="563">
        <f t="shared" si="5"/>
        <v>34000</v>
      </c>
      <c r="G99" s="87">
        <f>D99-F99</f>
        <v>0</v>
      </c>
      <c r="H99" s="690"/>
      <c r="I99" s="693"/>
      <c r="J99" s="692"/>
      <c r="K99" s="692"/>
    </row>
    <row r="100" spans="1:11" ht="15" hidden="1" x14ac:dyDescent="0.25">
      <c r="A100" s="728">
        <f t="shared" si="4"/>
        <v>88.495575221238937</v>
      </c>
      <c r="B100" s="87" t="s">
        <v>3413</v>
      </c>
      <c r="C100" s="740" t="s">
        <v>3445</v>
      </c>
      <c r="D100" s="87">
        <v>10000</v>
      </c>
      <c r="E100" s="87">
        <v>113</v>
      </c>
      <c r="F100" s="563">
        <f t="shared" si="5"/>
        <v>10000</v>
      </c>
      <c r="G100" s="87">
        <f t="shared" si="3"/>
        <v>0</v>
      </c>
      <c r="H100" s="690"/>
      <c r="I100" s="693"/>
      <c r="J100" s="692"/>
      <c r="K100" s="692"/>
    </row>
    <row r="101" spans="1:11" ht="15" hidden="1" x14ac:dyDescent="0.25">
      <c r="A101" s="728">
        <f t="shared" si="4"/>
        <v>88.105726872246692</v>
      </c>
      <c r="B101" s="87" t="s">
        <v>3413</v>
      </c>
      <c r="C101" s="740" t="s">
        <v>3446</v>
      </c>
      <c r="D101" s="87">
        <v>20000</v>
      </c>
      <c r="E101" s="87">
        <v>227</v>
      </c>
      <c r="F101" s="563">
        <f t="shared" si="5"/>
        <v>20000</v>
      </c>
      <c r="G101" s="87">
        <f t="shared" si="3"/>
        <v>0</v>
      </c>
      <c r="H101" s="690"/>
      <c r="I101" s="693"/>
      <c r="J101" s="692"/>
      <c r="K101" s="692"/>
    </row>
    <row r="102" spans="1:11" ht="15" hidden="1" x14ac:dyDescent="0.25">
      <c r="A102" s="728">
        <f t="shared" si="4"/>
        <v>88.105726872246692</v>
      </c>
      <c r="B102" s="87" t="s">
        <v>3413</v>
      </c>
      <c r="C102" s="740" t="s">
        <v>3447</v>
      </c>
      <c r="D102" s="87">
        <v>20000</v>
      </c>
      <c r="E102" s="87">
        <v>227</v>
      </c>
      <c r="F102" s="563">
        <f t="shared" si="5"/>
        <v>20000</v>
      </c>
      <c r="G102" s="87">
        <f t="shared" si="3"/>
        <v>0</v>
      </c>
      <c r="H102" s="690"/>
      <c r="I102" s="693"/>
      <c r="J102" s="692"/>
      <c r="K102" s="692"/>
    </row>
    <row r="103" spans="1:11" ht="15" hidden="1" x14ac:dyDescent="0.25">
      <c r="A103" s="728">
        <f t="shared" si="4"/>
        <v>88.028169014084511</v>
      </c>
      <c r="B103" s="87" t="s">
        <v>3413</v>
      </c>
      <c r="C103" s="740" t="s">
        <v>3448</v>
      </c>
      <c r="D103" s="87">
        <v>25000</v>
      </c>
      <c r="E103" s="87">
        <v>284</v>
      </c>
      <c r="F103" s="563">
        <f t="shared" si="5"/>
        <v>25000</v>
      </c>
      <c r="G103" s="87">
        <f t="shared" si="3"/>
        <v>0</v>
      </c>
      <c r="H103" s="690"/>
      <c r="I103" s="693"/>
      <c r="J103" s="692"/>
      <c r="K103" s="692"/>
    </row>
    <row r="104" spans="1:11" ht="15" hidden="1" x14ac:dyDescent="0.25">
      <c r="A104" s="728">
        <f t="shared" si="4"/>
        <v>87.855297157622743</v>
      </c>
      <c r="B104" s="87" t="s">
        <v>3413</v>
      </c>
      <c r="C104" s="740" t="s">
        <v>3449</v>
      </c>
      <c r="D104" s="87">
        <v>34000</v>
      </c>
      <c r="E104" s="87">
        <v>387</v>
      </c>
      <c r="F104" s="563">
        <f t="shared" si="5"/>
        <v>34000</v>
      </c>
      <c r="G104" s="87">
        <f t="shared" si="3"/>
        <v>0</v>
      </c>
      <c r="H104" s="690"/>
      <c r="I104" s="693"/>
      <c r="J104" s="692"/>
      <c r="K104" s="692"/>
    </row>
    <row r="105" spans="1:11" ht="15" hidden="1" x14ac:dyDescent="0.25">
      <c r="A105" s="728">
        <f t="shared" si="4"/>
        <v>91.891891891891888</v>
      </c>
      <c r="B105" s="87" t="s">
        <v>3450</v>
      </c>
      <c r="C105" s="740" t="s">
        <v>3454</v>
      </c>
      <c r="D105" s="87">
        <v>17000</v>
      </c>
      <c r="E105" s="87">
        <v>185</v>
      </c>
      <c r="F105" s="563">
        <f t="shared" si="5"/>
        <v>17000</v>
      </c>
      <c r="G105" s="87">
        <f t="shared" si="3"/>
        <v>0</v>
      </c>
      <c r="H105" s="690"/>
      <c r="I105" s="693"/>
      <c r="J105" s="692"/>
      <c r="K105" s="692"/>
    </row>
    <row r="106" spans="1:11" ht="15" hidden="1" x14ac:dyDescent="0.25">
      <c r="A106" s="728">
        <f t="shared" si="4"/>
        <v>88.082901554404145</v>
      </c>
      <c r="B106" s="87" t="s">
        <v>3450</v>
      </c>
      <c r="C106" s="740">
        <v>5252</v>
      </c>
      <c r="D106" s="87">
        <v>17000</v>
      </c>
      <c r="E106" s="87">
        <v>193</v>
      </c>
      <c r="F106" s="563">
        <f t="shared" si="5"/>
        <v>17000</v>
      </c>
      <c r="G106" s="87">
        <f t="shared" si="3"/>
        <v>0</v>
      </c>
      <c r="H106" s="690"/>
      <c r="I106" s="693"/>
      <c r="J106" s="692"/>
      <c r="K106" s="692"/>
    </row>
    <row r="107" spans="1:11" ht="15" hidden="1" x14ac:dyDescent="0.25">
      <c r="A107" s="728">
        <f t="shared" si="4"/>
        <v>96.15384615384616</v>
      </c>
      <c r="B107" s="87" t="s">
        <v>3450</v>
      </c>
      <c r="C107" s="740" t="s">
        <v>3117</v>
      </c>
      <c r="D107" s="87">
        <v>5000</v>
      </c>
      <c r="E107" s="87">
        <v>52</v>
      </c>
      <c r="F107" s="563">
        <f t="shared" si="5"/>
        <v>5000</v>
      </c>
      <c r="G107" s="87">
        <f t="shared" si="3"/>
        <v>0</v>
      </c>
      <c r="H107" s="690"/>
      <c r="I107" s="693"/>
      <c r="J107" s="692"/>
      <c r="K107" s="692"/>
    </row>
    <row r="108" spans="1:11" ht="15" hidden="1" x14ac:dyDescent="0.25">
      <c r="A108" s="728">
        <f t="shared" si="4"/>
        <v>87.804878048780495</v>
      </c>
      <c r="B108" s="87" t="s">
        <v>3450</v>
      </c>
      <c r="C108" s="740">
        <v>9777</v>
      </c>
      <c r="D108" s="87">
        <v>18000</v>
      </c>
      <c r="E108" s="87">
        <v>205</v>
      </c>
      <c r="F108" s="563">
        <f t="shared" si="5"/>
        <v>18000</v>
      </c>
      <c r="G108" s="87">
        <f t="shared" si="3"/>
        <v>0</v>
      </c>
      <c r="H108" s="690"/>
      <c r="I108" s="693"/>
      <c r="J108" s="692"/>
      <c r="K108" s="692"/>
    </row>
    <row r="109" spans="1:11" ht="15" hidden="1" x14ac:dyDescent="0.25">
      <c r="A109" s="728">
        <f t="shared" si="4"/>
        <v>91.911764705882348</v>
      </c>
      <c r="B109" s="87" t="s">
        <v>3450</v>
      </c>
      <c r="C109" s="740" t="s">
        <v>3455</v>
      </c>
      <c r="D109" s="87">
        <v>25000</v>
      </c>
      <c r="E109" s="87">
        <v>272</v>
      </c>
      <c r="F109" s="563">
        <f t="shared" si="5"/>
        <v>25000</v>
      </c>
      <c r="G109" s="87">
        <f t="shared" si="3"/>
        <v>0</v>
      </c>
      <c r="H109" s="690"/>
      <c r="I109" s="693"/>
      <c r="J109" s="692"/>
      <c r="K109" s="692"/>
    </row>
    <row r="110" spans="1:11" ht="15" hidden="1" x14ac:dyDescent="0.25">
      <c r="A110" s="728">
        <f t="shared" si="4"/>
        <v>88.495575221238937</v>
      </c>
      <c r="B110" s="87" t="s">
        <v>3450</v>
      </c>
      <c r="C110" s="740" t="s">
        <v>3456</v>
      </c>
      <c r="D110" s="87">
        <v>10000</v>
      </c>
      <c r="E110" s="87">
        <v>113</v>
      </c>
      <c r="F110" s="563">
        <f t="shared" si="5"/>
        <v>10000</v>
      </c>
      <c r="G110" s="87">
        <f t="shared" si="3"/>
        <v>0</v>
      </c>
      <c r="H110" s="690"/>
      <c r="I110" s="693"/>
      <c r="J110" s="692"/>
      <c r="K110" s="692"/>
    </row>
    <row r="111" spans="1:11" ht="15" hidden="1" x14ac:dyDescent="0.25">
      <c r="A111" s="728">
        <f t="shared" si="4"/>
        <v>90.909090909090907</v>
      </c>
      <c r="B111" s="87" t="s">
        <v>3450</v>
      </c>
      <c r="C111" s="740" t="s">
        <v>3457</v>
      </c>
      <c r="D111" s="87">
        <v>27000</v>
      </c>
      <c r="E111" s="87">
        <v>297</v>
      </c>
      <c r="F111" s="563">
        <f t="shared" si="5"/>
        <v>27000</v>
      </c>
      <c r="G111" s="87">
        <f t="shared" si="3"/>
        <v>0</v>
      </c>
      <c r="H111" s="690"/>
      <c r="I111" s="693"/>
      <c r="J111" s="692"/>
      <c r="K111" s="692"/>
    </row>
    <row r="112" spans="1:11" ht="15" hidden="1" x14ac:dyDescent="0.25">
      <c r="A112" s="728">
        <f t="shared" si="4"/>
        <v>88.235294117647058</v>
      </c>
      <c r="B112" s="87" t="s">
        <v>3450</v>
      </c>
      <c r="C112" s="740" t="s">
        <v>2547</v>
      </c>
      <c r="D112" s="87">
        <v>15000</v>
      </c>
      <c r="E112" s="87">
        <v>170</v>
      </c>
      <c r="F112" s="563">
        <f t="shared" si="5"/>
        <v>15000</v>
      </c>
      <c r="G112" s="87">
        <f t="shared" si="3"/>
        <v>0</v>
      </c>
      <c r="H112" s="690"/>
      <c r="I112" s="693"/>
      <c r="J112" s="692"/>
      <c r="K112" s="692"/>
    </row>
    <row r="113" spans="1:11" ht="15" hidden="1" x14ac:dyDescent="0.25">
      <c r="A113" s="728">
        <f t="shared" si="4"/>
        <v>88.235294117647058</v>
      </c>
      <c r="B113" s="87" t="s">
        <v>3450</v>
      </c>
      <c r="C113" s="740" t="s">
        <v>2133</v>
      </c>
      <c r="D113" s="87">
        <v>15000</v>
      </c>
      <c r="E113" s="87">
        <v>170</v>
      </c>
      <c r="F113" s="563">
        <f t="shared" si="5"/>
        <v>15000</v>
      </c>
      <c r="G113" s="87">
        <f t="shared" si="3"/>
        <v>0</v>
      </c>
      <c r="H113" s="690"/>
      <c r="I113" s="693"/>
      <c r="J113" s="692"/>
      <c r="K113" s="692"/>
    </row>
    <row r="114" spans="1:11" ht="15" hidden="1" x14ac:dyDescent="0.25">
      <c r="A114" s="728">
        <f t="shared" si="4"/>
        <v>90.909090909090907</v>
      </c>
      <c r="B114" s="87" t="s">
        <v>3450</v>
      </c>
      <c r="C114" s="757" t="s">
        <v>30</v>
      </c>
      <c r="D114" s="87">
        <v>2000</v>
      </c>
      <c r="E114" s="87">
        <v>22</v>
      </c>
      <c r="F114" s="563">
        <f t="shared" si="5"/>
        <v>2000</v>
      </c>
      <c r="G114" s="87">
        <f t="shared" si="3"/>
        <v>0</v>
      </c>
      <c r="H114" s="690"/>
      <c r="I114" s="693"/>
      <c r="J114" s="692"/>
      <c r="K114" s="692"/>
    </row>
    <row r="115" spans="1:11" ht="15" hidden="1" x14ac:dyDescent="0.25">
      <c r="A115" s="728">
        <f t="shared" si="4"/>
        <v>87.818696883852695</v>
      </c>
      <c r="B115" s="87" t="s">
        <v>3450</v>
      </c>
      <c r="C115" s="740" t="s">
        <v>3458</v>
      </c>
      <c r="D115" s="87">
        <v>31000</v>
      </c>
      <c r="E115" s="87">
        <v>353</v>
      </c>
      <c r="F115" s="563">
        <f t="shared" si="5"/>
        <v>31000</v>
      </c>
      <c r="G115" s="87">
        <f t="shared" si="3"/>
        <v>0</v>
      </c>
      <c r="H115" s="690"/>
      <c r="I115" s="693"/>
      <c r="J115" s="692"/>
      <c r="K115" s="692"/>
    </row>
    <row r="116" spans="1:11" ht="15" hidden="1" x14ac:dyDescent="0.25">
      <c r="A116" s="728">
        <f t="shared" si="4"/>
        <v>87.88598574821853</v>
      </c>
      <c r="B116" s="87" t="s">
        <v>3450</v>
      </c>
      <c r="C116" s="740" t="s">
        <v>3459</v>
      </c>
      <c r="D116" s="87">
        <v>37000</v>
      </c>
      <c r="E116" s="87">
        <v>421</v>
      </c>
      <c r="F116" s="563">
        <f t="shared" si="5"/>
        <v>37000</v>
      </c>
      <c r="G116" s="87">
        <f t="shared" si="3"/>
        <v>0</v>
      </c>
      <c r="H116" s="690"/>
      <c r="I116" s="693"/>
      <c r="J116" s="692"/>
      <c r="K116" s="692"/>
    </row>
    <row r="117" spans="1:11" ht="15" hidden="1" x14ac:dyDescent="0.25">
      <c r="A117" s="728">
        <f t="shared" si="4"/>
        <v>87.878787878787875</v>
      </c>
      <c r="B117" s="87" t="s">
        <v>3450</v>
      </c>
      <c r="C117" s="740" t="s">
        <v>3460</v>
      </c>
      <c r="D117" s="87">
        <v>29000</v>
      </c>
      <c r="E117" s="87">
        <v>330</v>
      </c>
      <c r="F117" s="563">
        <f t="shared" si="5"/>
        <v>29000</v>
      </c>
      <c r="G117" s="87">
        <f t="shared" si="3"/>
        <v>0</v>
      </c>
      <c r="H117" s="690"/>
      <c r="I117" s="693"/>
      <c r="J117" s="692"/>
      <c r="K117" s="692"/>
    </row>
    <row r="118" spans="1:11" ht="15" hidden="1" x14ac:dyDescent="0.25">
      <c r="A118" s="728">
        <f t="shared" si="4"/>
        <v>88</v>
      </c>
      <c r="B118" s="87" t="s">
        <v>3450</v>
      </c>
      <c r="C118" s="740" t="s">
        <v>3491</v>
      </c>
      <c r="D118" s="87">
        <v>22000</v>
      </c>
      <c r="E118" s="87">
        <v>250</v>
      </c>
      <c r="F118" s="563">
        <f t="shared" si="5"/>
        <v>22000</v>
      </c>
      <c r="G118" s="87">
        <f t="shared" si="3"/>
        <v>0</v>
      </c>
      <c r="H118" s="690"/>
      <c r="I118" s="693"/>
      <c r="J118" s="692"/>
      <c r="K118" s="692"/>
    </row>
    <row r="119" spans="1:11" ht="15" hidden="1" x14ac:dyDescent="0.25">
      <c r="A119" s="728">
        <f t="shared" si="4"/>
        <v>88.028169014084511</v>
      </c>
      <c r="B119" s="87" t="s">
        <v>3450</v>
      </c>
      <c r="C119" s="740" t="s">
        <v>3461</v>
      </c>
      <c r="D119" s="87">
        <v>25000</v>
      </c>
      <c r="E119" s="87">
        <v>284</v>
      </c>
      <c r="F119" s="563">
        <f t="shared" si="5"/>
        <v>25000</v>
      </c>
      <c r="G119" s="87">
        <f t="shared" si="3"/>
        <v>0</v>
      </c>
      <c r="H119" s="690"/>
      <c r="I119" s="693"/>
      <c r="J119" s="692"/>
      <c r="K119" s="692"/>
    </row>
    <row r="120" spans="1:11" ht="15" hidden="1" x14ac:dyDescent="0.25">
      <c r="A120" s="728">
        <f t="shared" si="4"/>
        <v>88.495575221238937</v>
      </c>
      <c r="B120" s="87" t="s">
        <v>3450</v>
      </c>
      <c r="C120" s="740" t="s">
        <v>3462</v>
      </c>
      <c r="D120" s="87">
        <v>10000</v>
      </c>
      <c r="E120" s="87">
        <v>113</v>
      </c>
      <c r="F120" s="563">
        <f t="shared" si="5"/>
        <v>10000</v>
      </c>
      <c r="G120" s="87">
        <f t="shared" si="3"/>
        <v>0</v>
      </c>
      <c r="H120" s="690"/>
      <c r="I120" s="693"/>
      <c r="J120" s="692"/>
      <c r="K120" s="692"/>
    </row>
    <row r="121" spans="1:11" ht="15" hidden="1" x14ac:dyDescent="0.25">
      <c r="A121" s="728">
        <f t="shared" si="4"/>
        <v>88.235294117647058</v>
      </c>
      <c r="B121" s="87" t="s">
        <v>3450</v>
      </c>
      <c r="C121" s="740" t="s">
        <v>2546</v>
      </c>
      <c r="D121" s="87">
        <v>15000</v>
      </c>
      <c r="E121" s="87">
        <v>170</v>
      </c>
      <c r="F121" s="563">
        <f t="shared" si="5"/>
        <v>15000</v>
      </c>
      <c r="G121" s="87">
        <f t="shared" si="3"/>
        <v>0</v>
      </c>
      <c r="H121" s="690"/>
      <c r="I121" s="693"/>
      <c r="J121" s="692"/>
      <c r="K121" s="692"/>
    </row>
    <row r="122" spans="1:11" ht="15" hidden="1" x14ac:dyDescent="0.25">
      <c r="A122" s="728">
        <f t="shared" si="4"/>
        <v>88.235294117647058</v>
      </c>
      <c r="B122" s="87" t="s">
        <v>3450</v>
      </c>
      <c r="C122" s="740" t="s">
        <v>3463</v>
      </c>
      <c r="D122" s="87">
        <v>15000</v>
      </c>
      <c r="E122" s="87">
        <v>170</v>
      </c>
      <c r="F122" s="563">
        <f t="shared" si="5"/>
        <v>15000</v>
      </c>
      <c r="G122" s="87">
        <f t="shared" si="3"/>
        <v>0</v>
      </c>
      <c r="H122" s="690"/>
      <c r="I122" s="693"/>
      <c r="J122" s="692"/>
      <c r="K122" s="692"/>
    </row>
    <row r="123" spans="1:11" ht="15" hidden="1" x14ac:dyDescent="0.25">
      <c r="A123" s="728">
        <f t="shared" si="4"/>
        <v>88.050314465408803</v>
      </c>
      <c r="B123" s="87" t="s">
        <v>3450</v>
      </c>
      <c r="C123" s="740" t="s">
        <v>2713</v>
      </c>
      <c r="D123" s="87">
        <v>14000</v>
      </c>
      <c r="E123" s="87">
        <v>159</v>
      </c>
      <c r="F123" s="563">
        <f t="shared" si="5"/>
        <v>14000</v>
      </c>
      <c r="G123" s="87">
        <f t="shared" si="3"/>
        <v>0</v>
      </c>
      <c r="H123" s="690"/>
      <c r="I123" s="693"/>
      <c r="J123" s="692"/>
      <c r="K123" s="692"/>
    </row>
    <row r="124" spans="1:11" ht="15" hidden="1" x14ac:dyDescent="0.25">
      <c r="A124" s="728">
        <f t="shared" si="4"/>
        <v>88.235294117647058</v>
      </c>
      <c r="B124" s="87" t="s">
        <v>3450</v>
      </c>
      <c r="C124" s="740" t="s">
        <v>2113</v>
      </c>
      <c r="D124" s="87">
        <v>15000</v>
      </c>
      <c r="E124" s="87">
        <v>170</v>
      </c>
      <c r="F124" s="563">
        <f t="shared" si="5"/>
        <v>15000</v>
      </c>
      <c r="G124" s="87">
        <f t="shared" si="3"/>
        <v>0</v>
      </c>
      <c r="H124" s="690"/>
      <c r="I124" s="693"/>
      <c r="J124" s="692"/>
      <c r="K124" s="692"/>
    </row>
    <row r="125" spans="1:11" ht="15" hidden="1" x14ac:dyDescent="0.25">
      <c r="A125" s="728">
        <f t="shared" si="4"/>
        <v>88.082901554404145</v>
      </c>
      <c r="B125" s="87" t="s">
        <v>3450</v>
      </c>
      <c r="C125" s="740" t="s">
        <v>3464</v>
      </c>
      <c r="D125" s="87">
        <v>17000</v>
      </c>
      <c r="E125" s="573">
        <v>193</v>
      </c>
      <c r="F125" s="563">
        <f t="shared" si="5"/>
        <v>17000</v>
      </c>
      <c r="G125" s="87">
        <f t="shared" si="3"/>
        <v>0</v>
      </c>
      <c r="H125" s="690"/>
      <c r="I125" s="693"/>
      <c r="J125" s="692"/>
      <c r="K125" s="692"/>
    </row>
    <row r="126" spans="1:11" ht="15" hidden="1" x14ac:dyDescent="0.25">
      <c r="A126" s="728">
        <f t="shared" si="4"/>
        <v>88.888888888888886</v>
      </c>
      <c r="B126" s="87" t="s">
        <v>3450</v>
      </c>
      <c r="C126" s="740" t="s">
        <v>3465</v>
      </c>
      <c r="D126" s="87">
        <v>20000</v>
      </c>
      <c r="E126" s="573">
        <v>225</v>
      </c>
      <c r="F126" s="563">
        <f t="shared" si="5"/>
        <v>20000</v>
      </c>
      <c r="G126" s="87">
        <f t="shared" si="3"/>
        <v>0</v>
      </c>
      <c r="H126" s="690"/>
      <c r="I126" s="693"/>
      <c r="J126" s="692"/>
      <c r="K126" s="692"/>
    </row>
    <row r="127" spans="1:11" ht="15" hidden="1" x14ac:dyDescent="0.25">
      <c r="A127" s="728">
        <f t="shared" si="4"/>
        <v>87.804878048780495</v>
      </c>
      <c r="B127" s="87" t="s">
        <v>3450</v>
      </c>
      <c r="C127" s="740" t="s">
        <v>3466</v>
      </c>
      <c r="D127" s="87">
        <v>18000</v>
      </c>
      <c r="E127" s="573">
        <v>205</v>
      </c>
      <c r="F127" s="563">
        <f t="shared" si="5"/>
        <v>18000</v>
      </c>
      <c r="G127" s="87">
        <f t="shared" si="3"/>
        <v>0</v>
      </c>
      <c r="H127" s="690"/>
      <c r="I127" s="693"/>
      <c r="J127" s="692"/>
      <c r="K127" s="692"/>
    </row>
    <row r="128" spans="1:11" ht="15" hidden="1" x14ac:dyDescent="0.25">
      <c r="A128" s="728">
        <f t="shared" si="4"/>
        <v>88</v>
      </c>
      <c r="B128" s="87" t="s">
        <v>3450</v>
      </c>
      <c r="C128" s="740" t="s">
        <v>3284</v>
      </c>
      <c r="D128" s="87">
        <v>22000</v>
      </c>
      <c r="E128" s="573">
        <v>250</v>
      </c>
      <c r="F128" s="563">
        <f t="shared" si="5"/>
        <v>22000</v>
      </c>
      <c r="G128" s="87">
        <f t="shared" si="3"/>
        <v>0</v>
      </c>
      <c r="H128" s="690"/>
      <c r="I128" s="693"/>
      <c r="J128" s="692"/>
      <c r="K128" s="692"/>
    </row>
    <row r="129" spans="1:11" ht="15" hidden="1" x14ac:dyDescent="0.25">
      <c r="A129" s="728">
        <f t="shared" si="4"/>
        <v>97.859327217125383</v>
      </c>
      <c r="B129" s="87" t="s">
        <v>3450</v>
      </c>
      <c r="C129" s="740" t="s">
        <v>3467</v>
      </c>
      <c r="D129" s="87">
        <v>32000</v>
      </c>
      <c r="E129" s="573">
        <v>327</v>
      </c>
      <c r="F129" s="563">
        <f t="shared" si="5"/>
        <v>32000</v>
      </c>
      <c r="G129" s="87">
        <f t="shared" si="3"/>
        <v>0</v>
      </c>
      <c r="H129" s="690"/>
      <c r="I129" s="693"/>
      <c r="J129" s="692"/>
      <c r="K129" s="692"/>
    </row>
    <row r="130" spans="1:11" ht="15" hidden="1" x14ac:dyDescent="0.25">
      <c r="A130" s="728">
        <f t="shared" si="4"/>
        <v>87.976539589442808</v>
      </c>
      <c r="B130" s="87" t="s">
        <v>3450</v>
      </c>
      <c r="C130" s="740" t="s">
        <v>3468</v>
      </c>
      <c r="D130" s="87">
        <v>30000</v>
      </c>
      <c r="E130" s="573">
        <v>341</v>
      </c>
      <c r="F130" s="563">
        <f t="shared" si="5"/>
        <v>30000</v>
      </c>
      <c r="G130" s="87">
        <f t="shared" si="3"/>
        <v>0</v>
      </c>
      <c r="H130" s="690"/>
      <c r="I130" s="693"/>
      <c r="J130" s="692"/>
      <c r="K130" s="692"/>
    </row>
    <row r="131" spans="1:11" ht="15" hidden="1" x14ac:dyDescent="0.25">
      <c r="A131" s="728">
        <f t="shared" si="4"/>
        <v>88.235294117647058</v>
      </c>
      <c r="B131" s="87" t="s">
        <v>3450</v>
      </c>
      <c r="C131" s="740" t="s">
        <v>3469</v>
      </c>
      <c r="D131" s="87">
        <v>15000</v>
      </c>
      <c r="E131" s="573">
        <v>170</v>
      </c>
      <c r="F131" s="563">
        <f t="shared" si="5"/>
        <v>15000</v>
      </c>
      <c r="G131" s="87">
        <f t="shared" si="3"/>
        <v>0</v>
      </c>
      <c r="H131" s="690"/>
      <c r="I131" s="693"/>
      <c r="J131" s="692"/>
      <c r="K131" s="692"/>
    </row>
    <row r="132" spans="1:11" ht="15" hidden="1" x14ac:dyDescent="0.25">
      <c r="A132" s="728">
        <f t="shared" si="4"/>
        <v>90</v>
      </c>
      <c r="B132" s="87" t="s">
        <v>3450</v>
      </c>
      <c r="C132" s="740" t="s">
        <v>2147</v>
      </c>
      <c r="D132" s="87">
        <v>27000</v>
      </c>
      <c r="E132" s="573">
        <v>300</v>
      </c>
      <c r="F132" s="563">
        <f t="shared" si="5"/>
        <v>27000</v>
      </c>
      <c r="G132" s="87">
        <f t="shared" si="3"/>
        <v>0</v>
      </c>
      <c r="H132" s="690"/>
      <c r="I132" s="693"/>
      <c r="J132" s="692"/>
      <c r="K132" s="692"/>
    </row>
    <row r="133" spans="1:11" ht="15" hidden="1" x14ac:dyDescent="0.25">
      <c r="A133" s="728">
        <f t="shared" si="4"/>
        <v>88.028169014084511</v>
      </c>
      <c r="B133" s="87" t="s">
        <v>3450</v>
      </c>
      <c r="C133" s="740" t="s">
        <v>3470</v>
      </c>
      <c r="D133" s="87">
        <v>25000</v>
      </c>
      <c r="E133" s="573">
        <v>284</v>
      </c>
      <c r="F133" s="563">
        <f t="shared" si="5"/>
        <v>25000</v>
      </c>
      <c r="G133" s="87">
        <f t="shared" si="3"/>
        <v>0</v>
      </c>
      <c r="H133" s="690"/>
      <c r="I133" s="693"/>
      <c r="J133" s="692"/>
      <c r="K133" s="692"/>
    </row>
    <row r="134" spans="1:11" ht="15" hidden="1" x14ac:dyDescent="0.25">
      <c r="A134" s="728">
        <f t="shared" ref="A134:A197" si="6">D134/E134</f>
        <v>87.947882736156359</v>
      </c>
      <c r="B134" s="87" t="s">
        <v>3450</v>
      </c>
      <c r="C134" s="740" t="s">
        <v>3471</v>
      </c>
      <c r="D134" s="87">
        <v>27000</v>
      </c>
      <c r="E134" s="573">
        <v>307</v>
      </c>
      <c r="F134" s="563">
        <f t="shared" ref="F134:F197" si="7">D134</f>
        <v>27000</v>
      </c>
      <c r="G134" s="87">
        <f t="shared" si="3"/>
        <v>0</v>
      </c>
      <c r="H134" s="690"/>
      <c r="I134" s="693"/>
      <c r="J134" s="692"/>
      <c r="K134" s="692"/>
    </row>
    <row r="135" spans="1:11" ht="15" hidden="1" x14ac:dyDescent="0.25">
      <c r="A135" s="728">
        <f t="shared" si="6"/>
        <v>88.495575221238937</v>
      </c>
      <c r="B135" s="87" t="s">
        <v>3450</v>
      </c>
      <c r="C135" s="740" t="s">
        <v>3472</v>
      </c>
      <c r="D135" s="87">
        <v>10000</v>
      </c>
      <c r="E135" s="573">
        <v>113</v>
      </c>
      <c r="F135" s="563">
        <f>D135</f>
        <v>10000</v>
      </c>
      <c r="G135" s="87">
        <f t="shared" ref="G135:G391" si="8">D135-F135</f>
        <v>0</v>
      </c>
      <c r="H135" s="690"/>
      <c r="I135" s="693"/>
      <c r="J135" s="692"/>
      <c r="K135" s="692"/>
    </row>
    <row r="136" spans="1:11" ht="15" hidden="1" x14ac:dyDescent="0.25">
      <c r="A136" s="728">
        <f t="shared" si="6"/>
        <v>88.105726872246692</v>
      </c>
      <c r="B136" s="87" t="s">
        <v>3450</v>
      </c>
      <c r="C136" s="740" t="s">
        <v>2340</v>
      </c>
      <c r="D136" s="87">
        <v>20000</v>
      </c>
      <c r="E136" s="573">
        <v>227</v>
      </c>
      <c r="F136" s="563">
        <f t="shared" si="7"/>
        <v>20000</v>
      </c>
      <c r="G136" s="87">
        <f t="shared" si="8"/>
        <v>0</v>
      </c>
      <c r="H136" s="690"/>
      <c r="I136" s="693"/>
      <c r="J136" s="692"/>
      <c r="K136" s="692"/>
    </row>
    <row r="137" spans="1:11" ht="15" hidden="1" x14ac:dyDescent="0.25">
      <c r="A137" s="728">
        <f t="shared" si="6"/>
        <v>87.912087912087912</v>
      </c>
      <c r="B137" s="87" t="s">
        <v>3450</v>
      </c>
      <c r="C137" s="740" t="s">
        <v>30</v>
      </c>
      <c r="D137" s="87">
        <v>8000</v>
      </c>
      <c r="E137" s="573">
        <v>91</v>
      </c>
      <c r="F137" s="563">
        <f t="shared" si="7"/>
        <v>8000</v>
      </c>
      <c r="G137" s="87">
        <f t="shared" si="8"/>
        <v>0</v>
      </c>
      <c r="H137" s="690"/>
      <c r="I137" s="693"/>
      <c r="J137" s="692"/>
      <c r="K137" s="692"/>
    </row>
    <row r="138" spans="1:11" ht="15" hidden="1" x14ac:dyDescent="0.25">
      <c r="A138" s="728">
        <f t="shared" si="6"/>
        <v>87.947882736156359</v>
      </c>
      <c r="B138" s="87" t="s">
        <v>3450</v>
      </c>
      <c r="C138" s="740" t="s">
        <v>3473</v>
      </c>
      <c r="D138" s="87">
        <v>27000</v>
      </c>
      <c r="E138" s="573">
        <v>307</v>
      </c>
      <c r="F138" s="563">
        <f t="shared" si="7"/>
        <v>27000</v>
      </c>
      <c r="G138" s="87">
        <f t="shared" si="8"/>
        <v>0</v>
      </c>
      <c r="H138" s="690"/>
      <c r="I138" s="693"/>
      <c r="J138" s="692"/>
      <c r="K138" s="692"/>
    </row>
    <row r="139" spans="1:11" ht="15" hidden="1" x14ac:dyDescent="0.25">
      <c r="A139" s="728">
        <f t="shared" si="6"/>
        <v>91.269841269841265</v>
      </c>
      <c r="B139" s="87" t="s">
        <v>3450</v>
      </c>
      <c r="C139" s="740" t="s">
        <v>3474</v>
      </c>
      <c r="D139" s="87">
        <v>23000</v>
      </c>
      <c r="E139" s="573">
        <v>252</v>
      </c>
      <c r="F139" s="563">
        <f t="shared" si="7"/>
        <v>23000</v>
      </c>
      <c r="G139" s="87">
        <f t="shared" si="8"/>
        <v>0</v>
      </c>
      <c r="H139" s="690"/>
      <c r="I139" s="693"/>
      <c r="J139" s="692"/>
      <c r="K139" s="692"/>
    </row>
    <row r="140" spans="1:11" ht="15" hidden="1" x14ac:dyDescent="0.25">
      <c r="A140" s="728">
        <f t="shared" si="6"/>
        <v>92.592592592592595</v>
      </c>
      <c r="B140" s="87" t="s">
        <v>3450</v>
      </c>
      <c r="C140" s="740" t="s">
        <v>3475</v>
      </c>
      <c r="D140" s="87">
        <v>10000</v>
      </c>
      <c r="E140" s="573">
        <v>108</v>
      </c>
      <c r="F140" s="563">
        <f t="shared" si="7"/>
        <v>10000</v>
      </c>
      <c r="G140" s="87">
        <f t="shared" si="8"/>
        <v>0</v>
      </c>
      <c r="H140" s="690"/>
      <c r="I140" s="693"/>
      <c r="J140" s="692"/>
      <c r="K140" s="692"/>
    </row>
    <row r="141" spans="1:11" ht="15" hidden="1" x14ac:dyDescent="0.25">
      <c r="A141" s="728">
        <f t="shared" si="6"/>
        <v>92.592592592592595</v>
      </c>
      <c r="B141" s="87" t="s">
        <v>3450</v>
      </c>
      <c r="C141" s="740" t="s">
        <v>3476</v>
      </c>
      <c r="D141" s="87">
        <v>10000</v>
      </c>
      <c r="E141" s="573">
        <v>108</v>
      </c>
      <c r="F141" s="563">
        <f t="shared" si="7"/>
        <v>10000</v>
      </c>
      <c r="G141" s="87">
        <f t="shared" si="8"/>
        <v>0</v>
      </c>
      <c r="H141" s="690"/>
      <c r="I141" s="693"/>
      <c r="J141" s="692"/>
      <c r="K141" s="692"/>
    </row>
    <row r="142" spans="1:11" ht="15" hidden="1" x14ac:dyDescent="0.25">
      <c r="A142" s="728">
        <f t="shared" si="6"/>
        <v>94.339622641509436</v>
      </c>
      <c r="B142" s="87" t="s">
        <v>3453</v>
      </c>
      <c r="C142" s="740" t="s">
        <v>66</v>
      </c>
      <c r="D142" s="87">
        <v>150</v>
      </c>
      <c r="E142" s="573">
        <v>1.59</v>
      </c>
      <c r="F142" s="563">
        <f t="shared" si="7"/>
        <v>150</v>
      </c>
      <c r="G142" s="87">
        <f t="shared" si="8"/>
        <v>0</v>
      </c>
      <c r="H142" s="690"/>
      <c r="I142" s="693"/>
      <c r="J142" s="692"/>
      <c r="K142" s="692"/>
    </row>
    <row r="143" spans="1:11" ht="15" hidden="1" x14ac:dyDescent="0.25">
      <c r="A143" s="728">
        <f t="shared" si="6"/>
        <v>88.105726872246692</v>
      </c>
      <c r="B143" s="87" t="s">
        <v>3453</v>
      </c>
      <c r="C143" s="740" t="s">
        <v>2543</v>
      </c>
      <c r="D143" s="87">
        <v>20000</v>
      </c>
      <c r="E143" s="573">
        <v>227</v>
      </c>
      <c r="F143" s="563">
        <f t="shared" si="7"/>
        <v>20000</v>
      </c>
      <c r="G143" s="87">
        <f t="shared" si="8"/>
        <v>0</v>
      </c>
      <c r="H143" s="690"/>
      <c r="I143" s="693"/>
      <c r="J143" s="692"/>
      <c r="K143" s="692"/>
    </row>
    <row r="144" spans="1:11" ht="15" hidden="1" x14ac:dyDescent="0.25">
      <c r="A144" s="728">
        <f t="shared" si="6"/>
        <v>88.105726872246692</v>
      </c>
      <c r="B144" s="87" t="s">
        <v>3453</v>
      </c>
      <c r="C144" s="740" t="s">
        <v>3479</v>
      </c>
      <c r="D144" s="87">
        <v>20000</v>
      </c>
      <c r="E144" s="573">
        <v>227</v>
      </c>
      <c r="F144" s="563">
        <f t="shared" si="7"/>
        <v>20000</v>
      </c>
      <c r="G144" s="87">
        <f t="shared" si="8"/>
        <v>0</v>
      </c>
      <c r="H144" s="690"/>
      <c r="I144" s="693"/>
      <c r="J144" s="692"/>
      <c r="K144" s="692"/>
    </row>
    <row r="145" spans="1:11" ht="15" hidden="1" x14ac:dyDescent="0.25">
      <c r="A145" s="728">
        <f t="shared" si="6"/>
        <v>88.495575221238937</v>
      </c>
      <c r="B145" s="87" t="s">
        <v>3453</v>
      </c>
      <c r="C145" s="740" t="s">
        <v>3480</v>
      </c>
      <c r="D145" s="87">
        <v>10000</v>
      </c>
      <c r="E145" s="573">
        <v>113</v>
      </c>
      <c r="F145" s="563">
        <f t="shared" si="7"/>
        <v>10000</v>
      </c>
      <c r="G145" s="87">
        <f t="shared" si="8"/>
        <v>0</v>
      </c>
      <c r="H145" s="690"/>
      <c r="I145" s="693"/>
      <c r="J145" s="692"/>
      <c r="K145" s="692"/>
    </row>
    <row r="146" spans="1:11" ht="15" hidden="1" x14ac:dyDescent="0.25">
      <c r="A146" s="728">
        <f t="shared" si="6"/>
        <v>91.954022988505741</v>
      </c>
      <c r="B146" s="87" t="s">
        <v>3453</v>
      </c>
      <c r="C146" s="740" t="s">
        <v>3481</v>
      </c>
      <c r="D146" s="87">
        <v>16000</v>
      </c>
      <c r="E146" s="573">
        <v>174</v>
      </c>
      <c r="F146" s="563">
        <f t="shared" si="7"/>
        <v>16000</v>
      </c>
      <c r="G146" s="87">
        <f t="shared" si="8"/>
        <v>0</v>
      </c>
      <c r="H146" s="690"/>
      <c r="I146" s="693"/>
      <c r="J146" s="692"/>
      <c r="K146" s="692"/>
    </row>
    <row r="147" spans="1:11" ht="15" hidden="1" x14ac:dyDescent="0.25">
      <c r="A147" s="728">
        <f t="shared" si="6"/>
        <v>88.235294117647058</v>
      </c>
      <c r="B147" s="87" t="s">
        <v>3453</v>
      </c>
      <c r="C147" s="740" t="s">
        <v>3180</v>
      </c>
      <c r="D147" s="87">
        <v>15000</v>
      </c>
      <c r="E147" s="573">
        <v>170</v>
      </c>
      <c r="F147" s="563">
        <f t="shared" si="7"/>
        <v>15000</v>
      </c>
      <c r="G147" s="87">
        <f t="shared" si="8"/>
        <v>0</v>
      </c>
      <c r="H147" s="690"/>
      <c r="I147" s="693"/>
      <c r="J147" s="692"/>
      <c r="K147" s="692"/>
    </row>
    <row r="148" spans="1:11" ht="15" hidden="1" x14ac:dyDescent="0.25">
      <c r="A148" s="728">
        <f t="shared" si="6"/>
        <v>88.888888888888886</v>
      </c>
      <c r="B148" s="87" t="s">
        <v>3453</v>
      </c>
      <c r="C148" s="740" t="s">
        <v>1926</v>
      </c>
      <c r="D148" s="87">
        <v>16000</v>
      </c>
      <c r="E148" s="573">
        <v>180</v>
      </c>
      <c r="F148" s="563">
        <f t="shared" si="7"/>
        <v>16000</v>
      </c>
      <c r="G148" s="87">
        <f t="shared" si="8"/>
        <v>0</v>
      </c>
      <c r="H148" s="690"/>
      <c r="I148" s="693"/>
      <c r="J148" s="692"/>
      <c r="K148" s="692"/>
    </row>
    <row r="149" spans="1:11" ht="15" hidden="1" x14ac:dyDescent="0.25">
      <c r="A149" s="728">
        <f t="shared" si="6"/>
        <v>87.804878048780495</v>
      </c>
      <c r="B149" s="87" t="s">
        <v>3453</v>
      </c>
      <c r="C149" s="740" t="s">
        <v>1855</v>
      </c>
      <c r="D149" s="87">
        <v>18000</v>
      </c>
      <c r="E149" s="573">
        <v>205</v>
      </c>
      <c r="F149" s="563">
        <f t="shared" si="7"/>
        <v>18000</v>
      </c>
      <c r="G149" s="87">
        <f t="shared" si="8"/>
        <v>0</v>
      </c>
      <c r="H149" s="690"/>
      <c r="I149" s="693"/>
      <c r="J149" s="692"/>
      <c r="K149" s="692"/>
    </row>
    <row r="150" spans="1:11" ht="15" hidden="1" x14ac:dyDescent="0.25">
      <c r="A150" s="728">
        <f t="shared" si="6"/>
        <v>87.86610878661088</v>
      </c>
      <c r="B150" s="87" t="s">
        <v>3453</v>
      </c>
      <c r="C150" s="740" t="s">
        <v>2145</v>
      </c>
      <c r="D150" s="87">
        <v>21000</v>
      </c>
      <c r="E150" s="573">
        <v>239</v>
      </c>
      <c r="F150" s="563">
        <f t="shared" si="7"/>
        <v>21000</v>
      </c>
      <c r="G150" s="87">
        <f t="shared" si="8"/>
        <v>0</v>
      </c>
      <c r="H150" s="690"/>
      <c r="I150" s="693"/>
      <c r="J150" s="692"/>
      <c r="K150" s="692"/>
    </row>
    <row r="151" spans="1:11" ht="15" hidden="1" x14ac:dyDescent="0.25">
      <c r="A151" s="728">
        <f t="shared" si="6"/>
        <v>88.028169014084511</v>
      </c>
      <c r="B151" s="87" t="s">
        <v>3453</v>
      </c>
      <c r="C151" s="740" t="s">
        <v>3482</v>
      </c>
      <c r="D151" s="87">
        <v>25000</v>
      </c>
      <c r="E151" s="573">
        <v>284</v>
      </c>
      <c r="F151" s="563">
        <f t="shared" si="7"/>
        <v>25000</v>
      </c>
      <c r="G151" s="87">
        <f t="shared" si="8"/>
        <v>0</v>
      </c>
      <c r="H151" s="690"/>
      <c r="I151" s="693"/>
      <c r="J151" s="692"/>
      <c r="K151" s="692"/>
    </row>
    <row r="152" spans="1:11" ht="15" hidden="1" x14ac:dyDescent="0.25">
      <c r="A152" s="728">
        <f t="shared" si="6"/>
        <v>88.105726872246692</v>
      </c>
      <c r="B152" s="87" t="s">
        <v>3453</v>
      </c>
      <c r="C152" s="740" t="s">
        <v>2359</v>
      </c>
      <c r="D152" s="87">
        <v>20000</v>
      </c>
      <c r="E152" s="573">
        <v>227</v>
      </c>
      <c r="F152" s="563">
        <f t="shared" si="7"/>
        <v>20000</v>
      </c>
      <c r="G152" s="87">
        <f t="shared" si="8"/>
        <v>0</v>
      </c>
      <c r="H152" s="690"/>
      <c r="I152" s="693"/>
      <c r="J152" s="692"/>
      <c r="K152" s="692"/>
    </row>
    <row r="153" spans="1:11" ht="15" hidden="1" x14ac:dyDescent="0.25">
      <c r="A153" s="728">
        <f t="shared" si="6"/>
        <v>88.028169014084511</v>
      </c>
      <c r="B153" s="87" t="s">
        <v>3453</v>
      </c>
      <c r="C153" s="740" t="s">
        <v>3089</v>
      </c>
      <c r="D153" s="87">
        <v>25000</v>
      </c>
      <c r="E153" s="573">
        <v>284</v>
      </c>
      <c r="F153" s="563">
        <f t="shared" si="7"/>
        <v>25000</v>
      </c>
      <c r="G153" s="87">
        <f t="shared" si="8"/>
        <v>0</v>
      </c>
      <c r="H153" s="690"/>
      <c r="I153" s="693"/>
      <c r="J153" s="692"/>
      <c r="K153" s="692"/>
    </row>
    <row r="154" spans="1:11" ht="15" hidden="1" x14ac:dyDescent="0.25">
      <c r="A154" s="728">
        <f t="shared" si="6"/>
        <v>87.912087912087912</v>
      </c>
      <c r="B154" s="87" t="s">
        <v>3453</v>
      </c>
      <c r="C154" s="740" t="s">
        <v>3483</v>
      </c>
      <c r="D154" s="87">
        <v>24000</v>
      </c>
      <c r="E154" s="573">
        <v>273</v>
      </c>
      <c r="F154" s="563">
        <f t="shared" si="7"/>
        <v>24000</v>
      </c>
      <c r="G154" s="87">
        <f t="shared" si="8"/>
        <v>0</v>
      </c>
      <c r="H154" s="690"/>
      <c r="I154" s="693"/>
      <c r="J154" s="692"/>
      <c r="K154" s="692"/>
    </row>
    <row r="155" spans="1:11" ht="15" hidden="1" x14ac:dyDescent="0.25">
      <c r="A155" s="728">
        <f t="shared" si="6"/>
        <v>88.105726872246692</v>
      </c>
      <c r="B155" s="87" t="s">
        <v>3453</v>
      </c>
      <c r="C155" s="740" t="s">
        <v>3484</v>
      </c>
      <c r="D155" s="87">
        <v>20000</v>
      </c>
      <c r="E155" s="573">
        <v>227</v>
      </c>
      <c r="F155" s="563">
        <f t="shared" si="7"/>
        <v>20000</v>
      </c>
      <c r="G155" s="87">
        <f t="shared" si="8"/>
        <v>0</v>
      </c>
      <c r="H155" s="690"/>
      <c r="I155" s="693"/>
      <c r="J155" s="692"/>
      <c r="K155" s="692"/>
    </row>
    <row r="156" spans="1:11" ht="15" hidden="1" x14ac:dyDescent="0.25">
      <c r="A156" s="728">
        <f t="shared" si="6"/>
        <v>88.235294117647058</v>
      </c>
      <c r="B156" s="87" t="s">
        <v>3453</v>
      </c>
      <c r="C156" s="740" t="s">
        <v>30</v>
      </c>
      <c r="D156" s="87">
        <v>9000</v>
      </c>
      <c r="E156" s="573">
        <v>102</v>
      </c>
      <c r="F156" s="563">
        <f t="shared" si="7"/>
        <v>9000</v>
      </c>
      <c r="G156" s="87">
        <f t="shared" si="8"/>
        <v>0</v>
      </c>
      <c r="H156" s="690"/>
      <c r="I156" s="693"/>
      <c r="J156" s="692"/>
      <c r="K156" s="692"/>
    </row>
    <row r="157" spans="1:11" ht="15" hidden="1" x14ac:dyDescent="0.25">
      <c r="A157" s="728">
        <f t="shared" si="6"/>
        <v>88.028169014084511</v>
      </c>
      <c r="B157" s="87" t="s">
        <v>3453</v>
      </c>
      <c r="C157" s="740" t="s">
        <v>3485</v>
      </c>
      <c r="D157" s="87">
        <v>25000</v>
      </c>
      <c r="E157" s="573">
        <v>284</v>
      </c>
      <c r="F157" s="563">
        <f t="shared" si="7"/>
        <v>25000</v>
      </c>
      <c r="G157" s="87">
        <f t="shared" si="8"/>
        <v>0</v>
      </c>
      <c r="H157" s="690"/>
      <c r="I157" s="693"/>
      <c r="J157" s="692"/>
      <c r="K157" s="692"/>
    </row>
    <row r="158" spans="1:11" ht="15" hidden="1" x14ac:dyDescent="0.25">
      <c r="A158" s="728">
        <f t="shared" si="6"/>
        <v>87.912087912087912</v>
      </c>
      <c r="B158" s="87" t="s">
        <v>3453</v>
      </c>
      <c r="C158" s="740" t="s">
        <v>3486</v>
      </c>
      <c r="D158" s="87">
        <v>24000</v>
      </c>
      <c r="E158" s="573">
        <v>273</v>
      </c>
      <c r="F158" s="563">
        <f t="shared" si="7"/>
        <v>24000</v>
      </c>
      <c r="G158" s="87">
        <f t="shared" si="8"/>
        <v>0</v>
      </c>
      <c r="H158" s="690"/>
      <c r="I158" s="693"/>
      <c r="J158" s="692"/>
      <c r="K158" s="692"/>
    </row>
    <row r="159" spans="1:11" ht="15" hidden="1" x14ac:dyDescent="0.25">
      <c r="A159" s="728">
        <f t="shared" si="6"/>
        <v>87.947882736156359</v>
      </c>
      <c r="B159" s="87" t="s">
        <v>3453</v>
      </c>
      <c r="C159" s="740" t="s">
        <v>3487</v>
      </c>
      <c r="D159" s="87">
        <v>27000</v>
      </c>
      <c r="E159" s="573">
        <v>307</v>
      </c>
      <c r="F159" s="563">
        <f t="shared" si="7"/>
        <v>27000</v>
      </c>
      <c r="G159" s="87">
        <f t="shared" si="8"/>
        <v>0</v>
      </c>
      <c r="H159" s="690"/>
      <c r="I159" s="693"/>
      <c r="J159" s="692"/>
      <c r="K159" s="692"/>
    </row>
    <row r="160" spans="1:11" ht="15" hidden="1" x14ac:dyDescent="0.25">
      <c r="A160" s="728">
        <f t="shared" si="6"/>
        <v>88.028169014084511</v>
      </c>
      <c r="B160" s="87" t="s">
        <v>3453</v>
      </c>
      <c r="C160" s="740" t="s">
        <v>3488</v>
      </c>
      <c r="D160" s="87">
        <v>25000</v>
      </c>
      <c r="E160" s="573">
        <v>284</v>
      </c>
      <c r="F160" s="563">
        <f t="shared" si="7"/>
        <v>25000</v>
      </c>
      <c r="G160" s="87">
        <f t="shared" si="8"/>
        <v>0</v>
      </c>
      <c r="H160" s="690"/>
      <c r="I160" s="693"/>
      <c r="J160" s="692"/>
      <c r="K160" s="692"/>
    </row>
    <row r="161" spans="1:11" ht="15" hidden="1" x14ac:dyDescent="0.25">
      <c r="A161" s="728">
        <f t="shared" si="6"/>
        <v>88.105726872246692</v>
      </c>
      <c r="B161" s="87" t="s">
        <v>3453</v>
      </c>
      <c r="C161" s="740" t="s">
        <v>3492</v>
      </c>
      <c r="D161" s="87">
        <v>20000</v>
      </c>
      <c r="E161" s="573">
        <v>227</v>
      </c>
      <c r="F161" s="563">
        <f t="shared" si="7"/>
        <v>20000</v>
      </c>
      <c r="G161" s="87">
        <f t="shared" si="8"/>
        <v>0</v>
      </c>
      <c r="H161" s="690"/>
      <c r="I161" s="693"/>
      <c r="J161" s="692"/>
      <c r="K161" s="692"/>
    </row>
    <row r="162" spans="1:11" ht="15" hidden="1" x14ac:dyDescent="0.25">
      <c r="A162" s="728">
        <f t="shared" si="6"/>
        <v>87.947882736156359</v>
      </c>
      <c r="B162" s="87" t="s">
        <v>3453</v>
      </c>
      <c r="C162" s="740" t="s">
        <v>2422</v>
      </c>
      <c r="D162" s="87">
        <v>27000</v>
      </c>
      <c r="E162" s="573">
        <v>307</v>
      </c>
      <c r="F162" s="563">
        <f t="shared" si="7"/>
        <v>27000</v>
      </c>
      <c r="G162" s="87">
        <f t="shared" si="8"/>
        <v>0</v>
      </c>
      <c r="H162" s="690"/>
      <c r="I162" s="693"/>
      <c r="J162" s="692"/>
      <c r="K162" s="692"/>
    </row>
    <row r="163" spans="1:11" ht="15" hidden="1" x14ac:dyDescent="0.25">
      <c r="A163" s="728">
        <f t="shared" si="6"/>
        <v>88.105726872246692</v>
      </c>
      <c r="B163" s="87" t="s">
        <v>3453</v>
      </c>
      <c r="C163" s="740" t="s">
        <v>3489</v>
      </c>
      <c r="D163" s="87">
        <v>20000</v>
      </c>
      <c r="E163" s="573">
        <v>227</v>
      </c>
      <c r="F163" s="563">
        <f t="shared" si="7"/>
        <v>20000</v>
      </c>
      <c r="G163" s="87">
        <f t="shared" si="8"/>
        <v>0</v>
      </c>
      <c r="H163" s="690"/>
      <c r="I163" s="693"/>
      <c r="J163" s="692"/>
      <c r="K163" s="692"/>
    </row>
    <row r="164" spans="1:11" ht="15" hidden="1" x14ac:dyDescent="0.25">
      <c r="A164" s="728">
        <f t="shared" si="6"/>
        <v>87.976539589442808</v>
      </c>
      <c r="B164" s="87" t="s">
        <v>3453</v>
      </c>
      <c r="C164" s="740" t="s">
        <v>3490</v>
      </c>
      <c r="D164" s="87">
        <v>30000</v>
      </c>
      <c r="E164" s="573">
        <v>341</v>
      </c>
      <c r="F164" s="563">
        <f t="shared" si="7"/>
        <v>30000</v>
      </c>
      <c r="G164" s="87">
        <f t="shared" si="8"/>
        <v>0</v>
      </c>
      <c r="H164" s="690"/>
      <c r="I164" s="693"/>
      <c r="J164" s="692"/>
      <c r="K164" s="692"/>
    </row>
    <row r="165" spans="1:11" ht="15" hidden="1" x14ac:dyDescent="0.25">
      <c r="A165" s="728">
        <f t="shared" si="6"/>
        <v>87.976539589442808</v>
      </c>
      <c r="B165" s="87" t="s">
        <v>3477</v>
      </c>
      <c r="C165" s="740" t="s">
        <v>3494</v>
      </c>
      <c r="D165" s="87">
        <v>30000</v>
      </c>
      <c r="E165" s="573">
        <v>341</v>
      </c>
      <c r="F165" s="563">
        <f t="shared" si="7"/>
        <v>30000</v>
      </c>
      <c r="G165" s="87">
        <f t="shared" si="8"/>
        <v>0</v>
      </c>
      <c r="H165" s="690"/>
      <c r="I165" s="693"/>
      <c r="J165" s="692"/>
      <c r="K165" s="692"/>
    </row>
    <row r="166" spans="1:11" ht="15" hidden="1" x14ac:dyDescent="0.25">
      <c r="A166" s="728">
        <f t="shared" si="6"/>
        <v>92.592592592592595</v>
      </c>
      <c r="B166" s="87" t="s">
        <v>3477</v>
      </c>
      <c r="C166" s="740" t="s">
        <v>3495</v>
      </c>
      <c r="D166" s="87">
        <v>10000</v>
      </c>
      <c r="E166" s="573">
        <v>108</v>
      </c>
      <c r="F166" s="563">
        <f t="shared" si="7"/>
        <v>10000</v>
      </c>
      <c r="G166" s="87">
        <f t="shared" si="8"/>
        <v>0</v>
      </c>
      <c r="H166" s="690"/>
      <c r="I166" s="693"/>
      <c r="J166" s="692"/>
      <c r="K166" s="692"/>
    </row>
    <row r="167" spans="1:11" ht="15" hidden="1" x14ac:dyDescent="0.25">
      <c r="A167" s="728">
        <f t="shared" si="6"/>
        <v>92.592592592592595</v>
      </c>
      <c r="B167" s="87" t="s">
        <v>3477</v>
      </c>
      <c r="C167" s="740" t="s">
        <v>3496</v>
      </c>
      <c r="D167" s="87">
        <v>10000</v>
      </c>
      <c r="E167" s="573">
        <v>108</v>
      </c>
      <c r="F167" s="563">
        <f t="shared" si="7"/>
        <v>10000</v>
      </c>
      <c r="G167" s="87">
        <f t="shared" si="8"/>
        <v>0</v>
      </c>
      <c r="H167" s="690"/>
      <c r="I167" s="693"/>
      <c r="J167" s="692"/>
      <c r="K167" s="692"/>
    </row>
    <row r="168" spans="1:11" ht="15" hidden="1" x14ac:dyDescent="0.25">
      <c r="A168" s="728">
        <f t="shared" si="6"/>
        <v>87.837837837837839</v>
      </c>
      <c r="B168" s="87" t="s">
        <v>3477</v>
      </c>
      <c r="C168" s="740" t="s">
        <v>2984</v>
      </c>
      <c r="D168" s="87">
        <v>26000</v>
      </c>
      <c r="E168" s="573">
        <v>296</v>
      </c>
      <c r="F168" s="563">
        <f t="shared" si="7"/>
        <v>26000</v>
      </c>
      <c r="G168" s="87">
        <f t="shared" si="8"/>
        <v>0</v>
      </c>
      <c r="H168" s="690"/>
      <c r="I168" s="693"/>
      <c r="J168" s="692"/>
      <c r="K168" s="692"/>
    </row>
    <row r="169" spans="1:11" ht="15" hidden="1" x14ac:dyDescent="0.25">
      <c r="A169" s="728">
        <f t="shared" si="6"/>
        <v>92.592592592592595</v>
      </c>
      <c r="B169" s="87" t="s">
        <v>3477</v>
      </c>
      <c r="C169" s="740" t="s">
        <v>3497</v>
      </c>
      <c r="D169" s="87">
        <v>20000</v>
      </c>
      <c r="E169" s="573">
        <v>216</v>
      </c>
      <c r="F169" s="563">
        <f t="shared" si="7"/>
        <v>20000</v>
      </c>
      <c r="G169" s="87">
        <f t="shared" si="8"/>
        <v>0</v>
      </c>
      <c r="H169" s="690"/>
      <c r="I169" s="693"/>
      <c r="J169" s="692"/>
      <c r="K169" s="692"/>
    </row>
    <row r="170" spans="1:11" ht="15" hidden="1" x14ac:dyDescent="0.25">
      <c r="A170" s="728">
        <f t="shared" si="6"/>
        <v>88.235294117647058</v>
      </c>
      <c r="B170" s="87" t="s">
        <v>3477</v>
      </c>
      <c r="C170" s="754" t="s">
        <v>1852</v>
      </c>
      <c r="D170" s="563">
        <v>12000</v>
      </c>
      <c r="E170" s="573">
        <v>136</v>
      </c>
      <c r="F170" s="563">
        <f t="shared" si="7"/>
        <v>12000</v>
      </c>
      <c r="G170" s="87">
        <f t="shared" si="8"/>
        <v>0</v>
      </c>
      <c r="H170" s="690"/>
      <c r="I170" s="693"/>
      <c r="J170" s="692"/>
      <c r="K170" s="692"/>
    </row>
    <row r="171" spans="1:11" ht="15" hidden="1" x14ac:dyDescent="0.25">
      <c r="A171" s="728">
        <f t="shared" si="6"/>
        <v>88.105726872246692</v>
      </c>
      <c r="B171" s="87" t="s">
        <v>3477</v>
      </c>
      <c r="C171" s="754" t="s">
        <v>1972</v>
      </c>
      <c r="D171" s="563">
        <v>20000</v>
      </c>
      <c r="E171" s="573">
        <v>227</v>
      </c>
      <c r="F171" s="563">
        <f t="shared" si="7"/>
        <v>20000</v>
      </c>
      <c r="G171" s="87">
        <f t="shared" si="8"/>
        <v>0</v>
      </c>
      <c r="H171" s="690"/>
      <c r="I171" s="693"/>
      <c r="J171" s="692"/>
      <c r="K171" s="692"/>
    </row>
    <row r="172" spans="1:11" ht="15" hidden="1" x14ac:dyDescent="0.25">
      <c r="A172" s="728">
        <f t="shared" si="6"/>
        <v>88.235294117647058</v>
      </c>
      <c r="B172" s="87" t="s">
        <v>3477</v>
      </c>
      <c r="C172" s="754" t="s">
        <v>2500</v>
      </c>
      <c r="D172" s="563">
        <v>15000</v>
      </c>
      <c r="E172" s="573">
        <v>170</v>
      </c>
      <c r="F172" s="563">
        <f t="shared" si="7"/>
        <v>15000</v>
      </c>
      <c r="G172" s="87">
        <f t="shared" si="8"/>
        <v>0</v>
      </c>
      <c r="H172" s="690"/>
      <c r="I172" s="693"/>
      <c r="J172" s="692"/>
      <c r="K172" s="692"/>
    </row>
    <row r="173" spans="1:11" ht="15" hidden="1" x14ac:dyDescent="0.25">
      <c r="A173" s="728">
        <f t="shared" si="6"/>
        <v>88.105726872246692</v>
      </c>
      <c r="B173" s="87" t="s">
        <v>3477</v>
      </c>
      <c r="C173" s="754" t="s">
        <v>3498</v>
      </c>
      <c r="D173" s="563">
        <v>20000</v>
      </c>
      <c r="E173" s="573">
        <v>227</v>
      </c>
      <c r="F173" s="563">
        <f t="shared" si="7"/>
        <v>20000</v>
      </c>
      <c r="G173" s="87">
        <f t="shared" si="8"/>
        <v>0</v>
      </c>
      <c r="H173" s="690"/>
      <c r="I173" s="693"/>
      <c r="J173" s="692"/>
      <c r="K173" s="692"/>
    </row>
    <row r="174" spans="1:11" ht="15" hidden="1" x14ac:dyDescent="0.25">
      <c r="A174" s="728">
        <f t="shared" si="6"/>
        <v>87.912087912087912</v>
      </c>
      <c r="B174" s="87" t="s">
        <v>3477</v>
      </c>
      <c r="C174" s="754" t="s">
        <v>30</v>
      </c>
      <c r="D174" s="563">
        <v>8000</v>
      </c>
      <c r="E174" s="573">
        <v>91</v>
      </c>
      <c r="F174" s="563">
        <f t="shared" si="7"/>
        <v>8000</v>
      </c>
      <c r="G174" s="87">
        <f t="shared" si="8"/>
        <v>0</v>
      </c>
      <c r="H174" s="690"/>
      <c r="I174" s="693"/>
      <c r="J174" s="692"/>
      <c r="K174" s="692"/>
    </row>
    <row r="175" spans="1:11" ht="15" hidden="1" x14ac:dyDescent="0.25">
      <c r="A175" s="728">
        <f t="shared" si="6"/>
        <v>88.028169014084511</v>
      </c>
      <c r="B175" s="87" t="s">
        <v>3477</v>
      </c>
      <c r="C175" s="754" t="s">
        <v>3499</v>
      </c>
      <c r="D175" s="563">
        <v>25000</v>
      </c>
      <c r="E175" s="573">
        <v>284</v>
      </c>
      <c r="F175" s="563">
        <f t="shared" si="7"/>
        <v>25000</v>
      </c>
      <c r="G175" s="87">
        <f t="shared" si="8"/>
        <v>0</v>
      </c>
      <c r="H175" s="690"/>
      <c r="I175" s="693"/>
      <c r="J175" s="692"/>
      <c r="K175" s="692"/>
    </row>
    <row r="176" spans="1:11" ht="15" hidden="1" x14ac:dyDescent="0.25">
      <c r="A176" s="728">
        <f t="shared" si="6"/>
        <v>88.235294117647058</v>
      </c>
      <c r="B176" s="87" t="s">
        <v>3477</v>
      </c>
      <c r="C176" s="754" t="s">
        <v>3342</v>
      </c>
      <c r="D176" s="563">
        <v>15000</v>
      </c>
      <c r="E176" s="573">
        <v>170</v>
      </c>
      <c r="F176" s="563">
        <f t="shared" si="7"/>
        <v>15000</v>
      </c>
      <c r="G176" s="87">
        <f t="shared" si="8"/>
        <v>0</v>
      </c>
      <c r="H176" s="690"/>
      <c r="I176" s="693"/>
      <c r="J176" s="692"/>
      <c r="K176" s="692"/>
    </row>
    <row r="177" spans="1:11" ht="15" hidden="1" x14ac:dyDescent="0.25">
      <c r="A177" s="728">
        <f t="shared" si="6"/>
        <v>88.105726872246692</v>
      </c>
      <c r="B177" s="87" t="s">
        <v>3477</v>
      </c>
      <c r="C177" s="754" t="s">
        <v>1979</v>
      </c>
      <c r="D177" s="563">
        <v>20000</v>
      </c>
      <c r="E177" s="573">
        <v>227</v>
      </c>
      <c r="F177" s="563">
        <f t="shared" si="7"/>
        <v>20000</v>
      </c>
      <c r="G177" s="87">
        <f t="shared" si="8"/>
        <v>0</v>
      </c>
      <c r="H177" s="690"/>
      <c r="I177" s="693"/>
      <c r="J177" s="692"/>
      <c r="K177" s="692"/>
    </row>
    <row r="178" spans="1:11" ht="15" hidden="1" x14ac:dyDescent="0.25">
      <c r="A178" s="728">
        <f t="shared" si="6"/>
        <v>87.912087912087912</v>
      </c>
      <c r="B178" s="87" t="s">
        <v>3477</v>
      </c>
      <c r="C178" s="754" t="s">
        <v>3500</v>
      </c>
      <c r="D178" s="563">
        <v>16000</v>
      </c>
      <c r="E178" s="574">
        <v>182</v>
      </c>
      <c r="F178" s="563">
        <f t="shared" si="7"/>
        <v>16000</v>
      </c>
      <c r="G178" s="87">
        <f t="shared" si="8"/>
        <v>0</v>
      </c>
      <c r="H178" s="690"/>
      <c r="I178" s="693"/>
      <c r="J178" s="692"/>
      <c r="K178" s="692"/>
    </row>
    <row r="179" spans="1:11" ht="15" hidden="1" x14ac:dyDescent="0.25">
      <c r="A179" s="728">
        <f t="shared" si="6"/>
        <v>92.10526315789474</v>
      </c>
      <c r="B179" s="87" t="s">
        <v>3477</v>
      </c>
      <c r="C179" s="754" t="s">
        <v>3174</v>
      </c>
      <c r="D179" s="563">
        <v>14000</v>
      </c>
      <c r="E179" s="573">
        <v>152</v>
      </c>
      <c r="F179" s="563">
        <f t="shared" si="7"/>
        <v>14000</v>
      </c>
      <c r="G179" s="87">
        <f t="shared" si="8"/>
        <v>0</v>
      </c>
      <c r="H179" s="690"/>
      <c r="I179" s="693"/>
      <c r="J179" s="692"/>
      <c r="K179" s="692"/>
    </row>
    <row r="180" spans="1:11" ht="15" hidden="1" x14ac:dyDescent="0.25">
      <c r="A180" s="728">
        <f t="shared" si="6"/>
        <v>92.024539877300612</v>
      </c>
      <c r="B180" s="87" t="s">
        <v>3477</v>
      </c>
      <c r="C180" s="754" t="s">
        <v>2986</v>
      </c>
      <c r="D180" s="563">
        <v>15000</v>
      </c>
      <c r="E180" s="573">
        <v>163</v>
      </c>
      <c r="F180" s="563">
        <f t="shared" si="7"/>
        <v>15000</v>
      </c>
      <c r="G180" s="87">
        <f t="shared" si="8"/>
        <v>0</v>
      </c>
      <c r="H180" s="690"/>
      <c r="I180" s="693"/>
      <c r="J180" s="692"/>
      <c r="K180" s="692"/>
    </row>
    <row r="181" spans="1:11" ht="15" hidden="1" x14ac:dyDescent="0.25">
      <c r="A181" s="728">
        <f t="shared" si="6"/>
        <v>95.890410958904113</v>
      </c>
      <c r="B181" s="87" t="s">
        <v>3477</v>
      </c>
      <c r="C181" s="754" t="s">
        <v>66</v>
      </c>
      <c r="D181" s="563">
        <v>210</v>
      </c>
      <c r="E181" s="573">
        <v>2.19</v>
      </c>
      <c r="F181" s="563">
        <f t="shared" si="7"/>
        <v>210</v>
      </c>
      <c r="G181" s="87">
        <f t="shared" si="8"/>
        <v>0</v>
      </c>
      <c r="H181" s="690"/>
      <c r="I181" s="693"/>
      <c r="J181" s="692"/>
      <c r="K181" s="692"/>
    </row>
    <row r="182" spans="1:11" ht="15" hidden="1" x14ac:dyDescent="0.25">
      <c r="A182" s="728">
        <f t="shared" si="6"/>
        <v>88.082901554404145</v>
      </c>
      <c r="B182" s="87" t="s">
        <v>3477</v>
      </c>
      <c r="C182" s="754" t="s">
        <v>3501</v>
      </c>
      <c r="D182" s="563">
        <v>17000</v>
      </c>
      <c r="E182" s="573">
        <v>193</v>
      </c>
      <c r="F182" s="563">
        <f t="shared" si="7"/>
        <v>17000</v>
      </c>
      <c r="G182" s="87">
        <f t="shared" si="8"/>
        <v>0</v>
      </c>
      <c r="H182" s="690"/>
      <c r="I182" s="693"/>
      <c r="J182" s="692"/>
      <c r="K182" s="692"/>
    </row>
    <row r="183" spans="1:11" ht="15" hidden="1" x14ac:dyDescent="0.25">
      <c r="A183" s="728">
        <f t="shared" si="6"/>
        <v>87.939698492462313</v>
      </c>
      <c r="B183" s="87" t="s">
        <v>3477</v>
      </c>
      <c r="C183" s="754" t="s">
        <v>3502</v>
      </c>
      <c r="D183" s="563">
        <v>35000</v>
      </c>
      <c r="E183" s="573">
        <v>398</v>
      </c>
      <c r="F183" s="563">
        <f t="shared" si="7"/>
        <v>35000</v>
      </c>
      <c r="G183" s="87">
        <f t="shared" si="8"/>
        <v>0</v>
      </c>
      <c r="H183" s="690"/>
      <c r="I183" s="693"/>
      <c r="J183" s="692"/>
      <c r="K183" s="692"/>
    </row>
    <row r="184" spans="1:11" ht="15" hidden="1" x14ac:dyDescent="0.25">
      <c r="A184" s="728">
        <f t="shared" si="6"/>
        <v>94.594594594594597</v>
      </c>
      <c r="B184" s="87" t="s">
        <v>3477</v>
      </c>
      <c r="C184" s="754" t="s">
        <v>2981</v>
      </c>
      <c r="D184" s="563">
        <v>28000</v>
      </c>
      <c r="E184" s="573">
        <v>296</v>
      </c>
      <c r="F184" s="563">
        <f t="shared" si="7"/>
        <v>28000</v>
      </c>
      <c r="G184" s="87">
        <f t="shared" si="8"/>
        <v>0</v>
      </c>
      <c r="H184" s="690"/>
      <c r="I184" s="693"/>
      <c r="J184" s="692"/>
      <c r="K184" s="692"/>
    </row>
    <row r="185" spans="1:11" ht="15" hidden="1" x14ac:dyDescent="0.25">
      <c r="A185" s="728">
        <f t="shared" si="6"/>
        <v>87.976539589442808</v>
      </c>
      <c r="B185" s="87" t="s">
        <v>3477</v>
      </c>
      <c r="C185" s="754" t="s">
        <v>3503</v>
      </c>
      <c r="D185" s="563">
        <v>30000</v>
      </c>
      <c r="E185" s="573">
        <v>341</v>
      </c>
      <c r="F185" s="563">
        <f t="shared" si="7"/>
        <v>30000</v>
      </c>
      <c r="G185" s="87">
        <f t="shared" si="8"/>
        <v>0</v>
      </c>
      <c r="H185" s="690"/>
      <c r="I185" s="693"/>
      <c r="J185" s="692"/>
      <c r="K185" s="692"/>
    </row>
    <row r="186" spans="1:11" ht="15" hidden="1" x14ac:dyDescent="0.25">
      <c r="A186" s="728">
        <f t="shared" si="6"/>
        <v>94.043887147335425</v>
      </c>
      <c r="B186" s="87" t="s">
        <v>3477</v>
      </c>
      <c r="C186" s="754" t="s">
        <v>3504</v>
      </c>
      <c r="D186" s="563">
        <v>30000</v>
      </c>
      <c r="E186" s="573">
        <v>319</v>
      </c>
      <c r="F186" s="563">
        <f t="shared" si="7"/>
        <v>30000</v>
      </c>
      <c r="G186" s="87">
        <f t="shared" si="8"/>
        <v>0</v>
      </c>
      <c r="H186" s="690"/>
      <c r="I186" s="693"/>
      <c r="J186" s="692"/>
      <c r="K186" s="692"/>
    </row>
    <row r="187" spans="1:11" ht="15" hidden="1" x14ac:dyDescent="0.25">
      <c r="A187" s="728">
        <f t="shared" si="6"/>
        <v>86.757990867579906</v>
      </c>
      <c r="B187" s="87" t="s">
        <v>3477</v>
      </c>
      <c r="C187" s="754" t="s">
        <v>3505</v>
      </c>
      <c r="D187" s="563">
        <v>19000</v>
      </c>
      <c r="E187" s="573">
        <v>219</v>
      </c>
      <c r="F187" s="563">
        <f t="shared" si="7"/>
        <v>19000</v>
      </c>
      <c r="G187" s="87">
        <f t="shared" si="8"/>
        <v>0</v>
      </c>
      <c r="H187" s="690"/>
      <c r="I187" s="693"/>
      <c r="J187" s="692"/>
      <c r="K187" s="692"/>
    </row>
    <row r="188" spans="1:11" ht="15" hidden="1" x14ac:dyDescent="0.25">
      <c r="A188" s="728">
        <f t="shared" si="6"/>
        <v>80.673366834170849</v>
      </c>
      <c r="B188" s="87" t="s">
        <v>3477</v>
      </c>
      <c r="C188" s="754" t="s">
        <v>2039</v>
      </c>
      <c r="D188" s="763">
        <v>32108</v>
      </c>
      <c r="E188" s="573">
        <v>398</v>
      </c>
      <c r="F188" s="563">
        <f t="shared" si="7"/>
        <v>32108</v>
      </c>
      <c r="G188" s="87">
        <f t="shared" si="8"/>
        <v>0</v>
      </c>
      <c r="H188" s="690"/>
      <c r="I188" s="693"/>
      <c r="J188" s="692"/>
      <c r="K188" s="692"/>
    </row>
    <row r="189" spans="1:11" ht="15" hidden="1" x14ac:dyDescent="0.25">
      <c r="A189" s="728">
        <f t="shared" si="6"/>
        <v>87.976539589442808</v>
      </c>
      <c r="B189" s="87" t="s">
        <v>3477</v>
      </c>
      <c r="C189" s="754" t="s">
        <v>3506</v>
      </c>
      <c r="D189" s="563">
        <v>30000</v>
      </c>
      <c r="E189" s="573">
        <v>341</v>
      </c>
      <c r="F189" s="563">
        <f t="shared" si="7"/>
        <v>30000</v>
      </c>
      <c r="G189" s="87">
        <f t="shared" si="8"/>
        <v>0</v>
      </c>
      <c r="H189" s="690"/>
      <c r="I189" s="693"/>
      <c r="J189" s="692"/>
      <c r="K189" s="692"/>
    </row>
    <row r="190" spans="1:11" ht="15" hidden="1" x14ac:dyDescent="0.25">
      <c r="A190" s="728">
        <f t="shared" si="6"/>
        <v>88.028169014084511</v>
      </c>
      <c r="B190" s="87" t="s">
        <v>3477</v>
      </c>
      <c r="C190" s="754" t="s">
        <v>3507</v>
      </c>
      <c r="D190" s="563">
        <v>25000</v>
      </c>
      <c r="E190" s="573">
        <v>284</v>
      </c>
      <c r="F190" s="563">
        <f t="shared" si="7"/>
        <v>25000</v>
      </c>
      <c r="G190" s="87">
        <f t="shared" si="8"/>
        <v>0</v>
      </c>
      <c r="H190" s="690"/>
      <c r="I190" s="693"/>
      <c r="J190" s="692"/>
      <c r="K190" s="692"/>
    </row>
    <row r="191" spans="1:11" ht="15" hidden="1" x14ac:dyDescent="0.25">
      <c r="A191" s="728">
        <f t="shared" si="6"/>
        <v>88.235294117647058</v>
      </c>
      <c r="B191" s="87" t="s">
        <v>3477</v>
      </c>
      <c r="C191" s="754" t="s">
        <v>2709</v>
      </c>
      <c r="D191" s="563">
        <v>15000</v>
      </c>
      <c r="E191" s="573">
        <v>170</v>
      </c>
      <c r="F191" s="563">
        <f t="shared" si="7"/>
        <v>15000</v>
      </c>
      <c r="G191" s="87">
        <f t="shared" si="8"/>
        <v>0</v>
      </c>
      <c r="H191" s="690"/>
      <c r="I191" s="693"/>
      <c r="J191" s="692"/>
      <c r="K191" s="692"/>
    </row>
    <row r="192" spans="1:11" ht="15" hidden="1" x14ac:dyDescent="0.25">
      <c r="A192" s="728">
        <f t="shared" si="6"/>
        <v>87.939698492462313</v>
      </c>
      <c r="B192" s="87" t="s">
        <v>3477</v>
      </c>
      <c r="C192" s="754" t="s">
        <v>3508</v>
      </c>
      <c r="D192" s="563">
        <v>35000</v>
      </c>
      <c r="E192" s="573">
        <v>398</v>
      </c>
      <c r="F192" s="563">
        <f t="shared" si="7"/>
        <v>35000</v>
      </c>
      <c r="G192" s="87">
        <f t="shared" si="8"/>
        <v>0</v>
      </c>
      <c r="H192" s="690"/>
      <c r="I192" s="693"/>
      <c r="J192" s="692"/>
      <c r="K192" s="692"/>
    </row>
    <row r="193" spans="1:11" ht="15" hidden="1" x14ac:dyDescent="0.25">
      <c r="A193" s="728">
        <f t="shared" si="6"/>
        <v>98.039215686274503</v>
      </c>
      <c r="B193" s="87" t="s">
        <v>3477</v>
      </c>
      <c r="C193" s="754" t="s">
        <v>66</v>
      </c>
      <c r="D193" s="563">
        <v>100</v>
      </c>
      <c r="E193" s="573">
        <v>1.02</v>
      </c>
      <c r="F193" s="563">
        <f t="shared" si="7"/>
        <v>100</v>
      </c>
      <c r="G193" s="87">
        <f t="shared" si="8"/>
        <v>0</v>
      </c>
      <c r="H193" s="690"/>
      <c r="I193" s="693"/>
      <c r="J193" s="692"/>
      <c r="K193" s="692"/>
    </row>
    <row r="194" spans="1:11" ht="15" hidden="1" x14ac:dyDescent="0.25">
      <c r="A194" s="728">
        <f t="shared" si="6"/>
        <v>88.495575221238937</v>
      </c>
      <c r="B194" s="87" t="s">
        <v>3478</v>
      </c>
      <c r="C194" s="754" t="s">
        <v>3510</v>
      </c>
      <c r="D194" s="563">
        <v>10000</v>
      </c>
      <c r="E194" s="573">
        <v>113</v>
      </c>
      <c r="F194" s="563">
        <f t="shared" si="7"/>
        <v>10000</v>
      </c>
      <c r="G194" s="87">
        <f t="shared" si="8"/>
        <v>0</v>
      </c>
      <c r="H194" s="690"/>
      <c r="I194" s="693"/>
      <c r="J194" s="692"/>
      <c r="K194" s="692"/>
    </row>
    <row r="195" spans="1:11" ht="15" hidden="1" x14ac:dyDescent="0.25">
      <c r="A195" s="728">
        <f t="shared" si="6"/>
        <v>87.912087912087912</v>
      </c>
      <c r="B195" s="87" t="s">
        <v>3478</v>
      </c>
      <c r="C195" s="754" t="s">
        <v>3011</v>
      </c>
      <c r="D195" s="563">
        <v>8000</v>
      </c>
      <c r="E195" s="573">
        <v>91</v>
      </c>
      <c r="F195" s="563">
        <f t="shared" si="7"/>
        <v>8000</v>
      </c>
      <c r="G195" s="87">
        <f t="shared" si="8"/>
        <v>0</v>
      </c>
      <c r="H195" s="690"/>
      <c r="I195" s="693"/>
      <c r="J195" s="692"/>
      <c r="K195" s="692"/>
    </row>
    <row r="196" spans="1:11" ht="15" hidden="1" x14ac:dyDescent="0.25">
      <c r="A196" s="728">
        <f t="shared" si="6"/>
        <v>88.495575221238937</v>
      </c>
      <c r="B196" s="87" t="s">
        <v>3478</v>
      </c>
      <c r="C196" s="754" t="s">
        <v>3511</v>
      </c>
      <c r="D196" s="563">
        <v>10000</v>
      </c>
      <c r="E196" s="573">
        <v>113</v>
      </c>
      <c r="F196" s="563">
        <f t="shared" si="7"/>
        <v>10000</v>
      </c>
      <c r="G196" s="87">
        <f t="shared" si="8"/>
        <v>0</v>
      </c>
      <c r="H196" s="690"/>
      <c r="I196" s="693"/>
      <c r="J196" s="692"/>
      <c r="K196" s="692"/>
    </row>
    <row r="197" spans="1:11" ht="15" hidden="1" x14ac:dyDescent="0.25">
      <c r="A197" s="728">
        <f t="shared" si="6"/>
        <v>88.235294117647058</v>
      </c>
      <c r="B197" s="87" t="s">
        <v>3478</v>
      </c>
      <c r="C197" s="754" t="s">
        <v>3512</v>
      </c>
      <c r="D197" s="563">
        <v>15000</v>
      </c>
      <c r="E197" s="573">
        <v>170</v>
      </c>
      <c r="F197" s="563">
        <f t="shared" si="7"/>
        <v>15000</v>
      </c>
      <c r="G197" s="87">
        <f t="shared" si="8"/>
        <v>0</v>
      </c>
      <c r="H197" s="690"/>
      <c r="I197" s="693"/>
      <c r="J197" s="692"/>
      <c r="K197" s="692"/>
    </row>
    <row r="198" spans="1:11" ht="15" hidden="1" x14ac:dyDescent="0.25">
      <c r="A198" s="728">
        <f t="shared" ref="A198:A262" si="9">D198/E198</f>
        <v>87.912087912087912</v>
      </c>
      <c r="B198" s="87" t="s">
        <v>3478</v>
      </c>
      <c r="C198" s="754" t="s">
        <v>3513</v>
      </c>
      <c r="D198" s="563">
        <v>16000</v>
      </c>
      <c r="E198" s="573">
        <v>182</v>
      </c>
      <c r="F198" s="563">
        <f t="shared" ref="F198:F262" si="10">D198</f>
        <v>16000</v>
      </c>
      <c r="G198" s="87">
        <f t="shared" si="8"/>
        <v>0</v>
      </c>
      <c r="H198" s="690"/>
      <c r="I198" s="693"/>
      <c r="J198" s="692"/>
      <c r="K198" s="692"/>
    </row>
    <row r="199" spans="1:11" ht="15" hidden="1" x14ac:dyDescent="0.25">
      <c r="A199" s="728">
        <f t="shared" si="9"/>
        <v>92.592592592592595</v>
      </c>
      <c r="B199" s="87" t="s">
        <v>3478</v>
      </c>
      <c r="C199" s="754" t="s">
        <v>3514</v>
      </c>
      <c r="D199" s="563">
        <v>35000</v>
      </c>
      <c r="E199" s="573">
        <v>378</v>
      </c>
      <c r="F199" s="563">
        <f t="shared" si="10"/>
        <v>35000</v>
      </c>
      <c r="G199" s="87">
        <f t="shared" si="8"/>
        <v>0</v>
      </c>
      <c r="H199" s="690"/>
      <c r="I199" s="693"/>
      <c r="J199" s="692"/>
      <c r="K199" s="692"/>
    </row>
    <row r="200" spans="1:11" ht="15" hidden="1" x14ac:dyDescent="0.25">
      <c r="A200" s="728">
        <f t="shared" si="9"/>
        <v>88.050314465408803</v>
      </c>
      <c r="B200" s="87" t="s">
        <v>3478</v>
      </c>
      <c r="C200" s="754" t="s">
        <v>3515</v>
      </c>
      <c r="D200" s="563">
        <v>14000</v>
      </c>
      <c r="E200" s="573">
        <v>159</v>
      </c>
      <c r="F200" s="563">
        <f t="shared" si="10"/>
        <v>14000</v>
      </c>
      <c r="G200" s="87">
        <f t="shared" si="8"/>
        <v>0</v>
      </c>
      <c r="H200" s="690"/>
      <c r="I200" s="693"/>
      <c r="J200" s="692"/>
      <c r="K200" s="692"/>
    </row>
    <row r="201" spans="1:11" ht="15" hidden="1" x14ac:dyDescent="0.25">
      <c r="A201" s="728">
        <f t="shared" si="9"/>
        <v>89.285714285714292</v>
      </c>
      <c r="B201" s="87" t="s">
        <v>3478</v>
      </c>
      <c r="C201" s="754" t="s">
        <v>2130</v>
      </c>
      <c r="D201" s="563">
        <v>20000</v>
      </c>
      <c r="E201" s="573">
        <v>224</v>
      </c>
      <c r="F201" s="563">
        <f t="shared" si="10"/>
        <v>20000</v>
      </c>
      <c r="G201" s="87">
        <f t="shared" si="8"/>
        <v>0</v>
      </c>
      <c r="H201" s="690"/>
      <c r="I201" s="693"/>
      <c r="J201" s="692"/>
      <c r="K201" s="692"/>
    </row>
    <row r="202" spans="1:11" ht="15" hidden="1" x14ac:dyDescent="0.25">
      <c r="A202" s="728">
        <f t="shared" si="9"/>
        <v>87.947882736156359</v>
      </c>
      <c r="B202" s="87" t="s">
        <v>3478</v>
      </c>
      <c r="C202" s="754" t="s">
        <v>3516</v>
      </c>
      <c r="D202" s="563">
        <v>27000</v>
      </c>
      <c r="E202" s="573">
        <v>307</v>
      </c>
      <c r="F202" s="563">
        <f t="shared" si="10"/>
        <v>27000</v>
      </c>
      <c r="G202" s="87">
        <f t="shared" si="8"/>
        <v>0</v>
      </c>
      <c r="H202" s="690"/>
      <c r="I202" s="693"/>
      <c r="J202" s="692"/>
      <c r="K202" s="692"/>
    </row>
    <row r="203" spans="1:11" ht="15" hidden="1" x14ac:dyDescent="0.25">
      <c r="A203" s="728">
        <f t="shared" si="9"/>
        <v>87.947882736156359</v>
      </c>
      <c r="B203" s="87" t="s">
        <v>3478</v>
      </c>
      <c r="C203" s="754" t="s">
        <v>3517</v>
      </c>
      <c r="D203" s="563">
        <v>27000</v>
      </c>
      <c r="E203" s="573">
        <v>307</v>
      </c>
      <c r="F203" s="563">
        <f t="shared" si="10"/>
        <v>27000</v>
      </c>
      <c r="G203" s="87">
        <f t="shared" si="8"/>
        <v>0</v>
      </c>
      <c r="H203" s="690"/>
      <c r="I203" s="693"/>
      <c r="J203" s="692"/>
      <c r="K203" s="692"/>
    </row>
    <row r="204" spans="1:11" ht="15" hidden="1" x14ac:dyDescent="0.25">
      <c r="A204" s="728">
        <f t="shared" si="9"/>
        <v>87.967592592592595</v>
      </c>
      <c r="B204" s="87" t="s">
        <v>3478</v>
      </c>
      <c r="C204" s="754" t="s">
        <v>3518</v>
      </c>
      <c r="D204" s="563">
        <v>19001</v>
      </c>
      <c r="E204" s="573">
        <v>216</v>
      </c>
      <c r="F204" s="563">
        <f t="shared" si="10"/>
        <v>19001</v>
      </c>
      <c r="G204" s="87">
        <f t="shared" si="8"/>
        <v>0</v>
      </c>
      <c r="H204" s="690"/>
      <c r="I204" s="693"/>
      <c r="J204" s="692"/>
      <c r="K204" s="692"/>
    </row>
    <row r="205" spans="1:11" ht="15" hidden="1" x14ac:dyDescent="0.25">
      <c r="A205" s="728">
        <f t="shared" si="9"/>
        <v>102.27272727272727</v>
      </c>
      <c r="B205" s="87" t="s">
        <v>3478</v>
      </c>
      <c r="C205" s="754" t="s">
        <v>3519</v>
      </c>
      <c r="D205" s="563">
        <v>18000</v>
      </c>
      <c r="E205" s="573">
        <v>176</v>
      </c>
      <c r="F205" s="563">
        <f t="shared" si="10"/>
        <v>18000</v>
      </c>
      <c r="G205" s="87">
        <f t="shared" si="8"/>
        <v>0</v>
      </c>
      <c r="H205" s="690"/>
      <c r="I205" s="693"/>
      <c r="J205" s="692"/>
      <c r="K205" s="692"/>
    </row>
    <row r="206" spans="1:11" ht="15" hidden="1" x14ac:dyDescent="0.25">
      <c r="A206" s="728">
        <f t="shared" si="9"/>
        <v>88.105726872246692</v>
      </c>
      <c r="B206" s="87" t="s">
        <v>3478</v>
      </c>
      <c r="C206" s="754" t="s">
        <v>2740</v>
      </c>
      <c r="D206" s="563">
        <v>20000</v>
      </c>
      <c r="E206" s="573">
        <v>227</v>
      </c>
      <c r="F206" s="563">
        <f t="shared" si="10"/>
        <v>20000</v>
      </c>
      <c r="G206" s="87">
        <f t="shared" si="8"/>
        <v>0</v>
      </c>
      <c r="H206" s="690"/>
      <c r="I206" s="693"/>
      <c r="J206" s="692"/>
      <c r="K206" s="692"/>
    </row>
    <row r="207" spans="1:11" ht="15" hidden="1" x14ac:dyDescent="0.25">
      <c r="A207" s="728">
        <f t="shared" si="9"/>
        <v>87.976539589442808</v>
      </c>
      <c r="B207" s="87" t="s">
        <v>3478</v>
      </c>
      <c r="C207" s="754" t="s">
        <v>2536</v>
      </c>
      <c r="D207" s="563">
        <v>30000</v>
      </c>
      <c r="E207" s="573">
        <v>341</v>
      </c>
      <c r="F207" s="563">
        <f t="shared" si="10"/>
        <v>30000</v>
      </c>
      <c r="G207" s="87">
        <f t="shared" si="8"/>
        <v>0</v>
      </c>
      <c r="H207" s="690"/>
      <c r="I207" s="693"/>
      <c r="J207" s="692"/>
      <c r="K207" s="692"/>
    </row>
    <row r="208" spans="1:11" ht="15" hidden="1" x14ac:dyDescent="0.25">
      <c r="A208" s="728">
        <f t="shared" si="9"/>
        <v>88.235294117647058</v>
      </c>
      <c r="B208" s="87" t="s">
        <v>3478</v>
      </c>
      <c r="C208" s="754" t="s">
        <v>30</v>
      </c>
      <c r="D208" s="563">
        <v>9000</v>
      </c>
      <c r="E208" s="573">
        <v>102</v>
      </c>
      <c r="F208" s="563">
        <f t="shared" si="10"/>
        <v>9000</v>
      </c>
      <c r="G208" s="87">
        <f t="shared" si="8"/>
        <v>0</v>
      </c>
      <c r="H208" s="690"/>
      <c r="I208" s="693"/>
      <c r="J208" s="692"/>
      <c r="K208" s="692"/>
    </row>
    <row r="209" spans="1:11" ht="15" hidden="1" x14ac:dyDescent="0.25">
      <c r="A209" s="728">
        <f t="shared" si="9"/>
        <v>88.235294117647058</v>
      </c>
      <c r="B209" s="87" t="s">
        <v>3493</v>
      </c>
      <c r="C209" s="754" t="s">
        <v>3522</v>
      </c>
      <c r="D209" s="563">
        <v>15000</v>
      </c>
      <c r="E209" s="573">
        <v>170</v>
      </c>
      <c r="F209" s="563">
        <f t="shared" si="10"/>
        <v>15000</v>
      </c>
      <c r="G209" s="87">
        <f t="shared" si="8"/>
        <v>0</v>
      </c>
      <c r="H209" s="690"/>
      <c r="I209" s="693"/>
      <c r="J209" s="692"/>
      <c r="K209" s="692"/>
    </row>
    <row r="210" spans="1:11" ht="15" hidden="1" x14ac:dyDescent="0.25">
      <c r="A210" s="728">
        <f t="shared" si="9"/>
        <v>89.10891089108911</v>
      </c>
      <c r="B210" s="87" t="s">
        <v>3493</v>
      </c>
      <c r="C210" s="754" t="s">
        <v>3523</v>
      </c>
      <c r="D210" s="563">
        <v>27000</v>
      </c>
      <c r="E210" s="573">
        <v>303</v>
      </c>
      <c r="F210" s="563">
        <f t="shared" si="10"/>
        <v>27000</v>
      </c>
      <c r="G210" s="87">
        <f t="shared" si="8"/>
        <v>0</v>
      </c>
      <c r="H210" s="690"/>
      <c r="I210" s="693"/>
      <c r="J210" s="692"/>
      <c r="K210" s="692"/>
    </row>
    <row r="211" spans="1:11" ht="15" hidden="1" x14ac:dyDescent="0.25">
      <c r="A211" s="728">
        <f t="shared" si="9"/>
        <v>88.050314465408803</v>
      </c>
      <c r="B211" s="87" t="s">
        <v>3493</v>
      </c>
      <c r="C211" s="754" t="s">
        <v>3524</v>
      </c>
      <c r="D211" s="563">
        <v>14000</v>
      </c>
      <c r="E211" s="573">
        <v>159</v>
      </c>
      <c r="F211" s="563">
        <f t="shared" si="10"/>
        <v>14000</v>
      </c>
      <c r="G211" s="87">
        <f t="shared" si="8"/>
        <v>0</v>
      </c>
      <c r="H211" s="690"/>
      <c r="I211" s="693"/>
      <c r="J211" s="692"/>
      <c r="K211" s="692"/>
    </row>
    <row r="212" spans="1:11" ht="15" hidden="1" x14ac:dyDescent="0.25">
      <c r="A212" s="728">
        <f t="shared" si="9"/>
        <v>88.495575221238937</v>
      </c>
      <c r="B212" s="87" t="s">
        <v>3493</v>
      </c>
      <c r="C212" s="754" t="s">
        <v>3476</v>
      </c>
      <c r="D212" s="563">
        <v>10000</v>
      </c>
      <c r="E212" s="573">
        <v>113</v>
      </c>
      <c r="F212" s="563">
        <f t="shared" si="10"/>
        <v>10000</v>
      </c>
      <c r="G212" s="87">
        <f t="shared" si="8"/>
        <v>0</v>
      </c>
      <c r="H212" s="690"/>
      <c r="I212" s="693"/>
      <c r="J212" s="692"/>
      <c r="K212" s="692"/>
    </row>
    <row r="213" spans="1:11" ht="15" hidden="1" x14ac:dyDescent="0.25">
      <c r="A213" s="728">
        <f t="shared" si="9"/>
        <v>87.976539589442808</v>
      </c>
      <c r="B213" s="87" t="s">
        <v>3493</v>
      </c>
      <c r="C213" s="754" t="s">
        <v>3525</v>
      </c>
      <c r="D213" s="563">
        <v>30000</v>
      </c>
      <c r="E213" s="573">
        <v>341</v>
      </c>
      <c r="F213" s="563">
        <f t="shared" si="10"/>
        <v>30000</v>
      </c>
      <c r="G213" s="87">
        <f t="shared" si="8"/>
        <v>0</v>
      </c>
      <c r="H213" s="690"/>
      <c r="I213" s="693"/>
      <c r="J213" s="692"/>
      <c r="K213" s="692"/>
    </row>
    <row r="214" spans="1:11" ht="15" hidden="1" x14ac:dyDescent="0.25">
      <c r="A214" s="728">
        <f t="shared" si="9"/>
        <v>88.235294117647058</v>
      </c>
      <c r="B214" s="87" t="s">
        <v>3493</v>
      </c>
      <c r="C214" s="754" t="s">
        <v>3526</v>
      </c>
      <c r="D214" s="563">
        <v>15000</v>
      </c>
      <c r="E214" s="573">
        <v>170</v>
      </c>
      <c r="F214" s="563">
        <f t="shared" si="10"/>
        <v>15000</v>
      </c>
      <c r="G214" s="87">
        <f t="shared" si="8"/>
        <v>0</v>
      </c>
      <c r="H214" s="690"/>
      <c r="I214" s="693"/>
      <c r="J214" s="692"/>
      <c r="K214" s="692"/>
    </row>
    <row r="215" spans="1:11" ht="15" hidden="1" x14ac:dyDescent="0.25">
      <c r="A215" s="728">
        <f t="shared" si="9"/>
        <v>88.495575221238937</v>
      </c>
      <c r="B215" s="87" t="s">
        <v>3493</v>
      </c>
      <c r="C215" s="754" t="s">
        <v>3475</v>
      </c>
      <c r="D215" s="563">
        <v>10000</v>
      </c>
      <c r="E215" s="573">
        <v>113</v>
      </c>
      <c r="F215" s="563">
        <f t="shared" si="10"/>
        <v>10000</v>
      </c>
      <c r="G215" s="87">
        <f t="shared" si="8"/>
        <v>0</v>
      </c>
      <c r="H215" s="690"/>
      <c r="I215" s="693"/>
      <c r="J215" s="692"/>
      <c r="K215" s="692"/>
    </row>
    <row r="216" spans="1:11" ht="15" hidden="1" x14ac:dyDescent="0.25">
      <c r="A216" s="728">
        <f t="shared" si="9"/>
        <v>87.912087912087912</v>
      </c>
      <c r="B216" s="87" t="s">
        <v>3493</v>
      </c>
      <c r="C216" s="754" t="s">
        <v>2190</v>
      </c>
      <c r="D216" s="563">
        <v>16000</v>
      </c>
      <c r="E216" s="573">
        <v>182</v>
      </c>
      <c r="F216" s="563">
        <f t="shared" si="10"/>
        <v>16000</v>
      </c>
      <c r="G216" s="87">
        <f t="shared" si="8"/>
        <v>0</v>
      </c>
      <c r="H216" s="690"/>
      <c r="I216" s="693"/>
      <c r="J216" s="692"/>
      <c r="K216" s="692"/>
    </row>
    <row r="217" spans="1:11" ht="15" hidden="1" x14ac:dyDescent="0.25">
      <c r="A217" s="728">
        <f t="shared" si="9"/>
        <v>88.050314465408803</v>
      </c>
      <c r="B217" s="87" t="s">
        <v>3493</v>
      </c>
      <c r="C217" s="754" t="s">
        <v>2113</v>
      </c>
      <c r="D217" s="563">
        <v>14000</v>
      </c>
      <c r="E217" s="573">
        <v>159</v>
      </c>
      <c r="F217" s="563">
        <f t="shared" si="10"/>
        <v>14000</v>
      </c>
      <c r="G217" s="87">
        <f t="shared" si="8"/>
        <v>0</v>
      </c>
      <c r="H217" s="690"/>
      <c r="I217" s="693"/>
      <c r="J217" s="692"/>
      <c r="K217" s="692"/>
    </row>
    <row r="218" spans="1:11" ht="15" hidden="1" x14ac:dyDescent="0.25">
      <c r="A218" s="728">
        <f t="shared" si="9"/>
        <v>88.235294117647058</v>
      </c>
      <c r="B218" s="87" t="s">
        <v>3493</v>
      </c>
      <c r="C218" s="754" t="s">
        <v>2133</v>
      </c>
      <c r="D218" s="563">
        <v>15000</v>
      </c>
      <c r="E218" s="573">
        <v>170</v>
      </c>
      <c r="F218" s="563">
        <f t="shared" si="10"/>
        <v>15000</v>
      </c>
      <c r="G218" s="87">
        <f t="shared" si="8"/>
        <v>0</v>
      </c>
      <c r="H218" s="690"/>
      <c r="I218" s="731"/>
      <c r="J218" s="692"/>
      <c r="K218" s="692"/>
    </row>
    <row r="219" spans="1:11" ht="15" hidden="1" x14ac:dyDescent="0.25">
      <c r="A219" s="728">
        <f t="shared" si="9"/>
        <v>94.20289855072464</v>
      </c>
      <c r="B219" s="87" t="s">
        <v>3493</v>
      </c>
      <c r="C219" s="758" t="s">
        <v>3527</v>
      </c>
      <c r="D219" s="563">
        <v>26000</v>
      </c>
      <c r="E219" s="573">
        <v>276</v>
      </c>
      <c r="F219" s="563">
        <f t="shared" si="10"/>
        <v>26000</v>
      </c>
      <c r="G219" s="87">
        <f t="shared" si="8"/>
        <v>0</v>
      </c>
      <c r="H219" s="690"/>
      <c r="I219" s="693"/>
      <c r="J219" s="692"/>
      <c r="K219" s="692"/>
    </row>
    <row r="220" spans="1:11" ht="15" hidden="1" x14ac:dyDescent="0.25">
      <c r="A220" s="728">
        <f t="shared" si="9"/>
        <v>87.818696883852695</v>
      </c>
      <c r="B220" s="87" t="s">
        <v>3493</v>
      </c>
      <c r="C220" s="754" t="s">
        <v>3528</v>
      </c>
      <c r="D220" s="563">
        <v>31000</v>
      </c>
      <c r="E220" s="573">
        <v>353</v>
      </c>
      <c r="F220" s="563">
        <f t="shared" si="10"/>
        <v>31000</v>
      </c>
      <c r="G220" s="87">
        <f t="shared" si="8"/>
        <v>0</v>
      </c>
      <c r="H220" s="690"/>
      <c r="I220" s="693"/>
      <c r="J220" s="692"/>
      <c r="K220" s="692"/>
    </row>
    <row r="221" spans="1:11" ht="15" hidden="1" x14ac:dyDescent="0.25">
      <c r="A221" s="728">
        <f t="shared" si="9"/>
        <v>96</v>
      </c>
      <c r="B221" s="87" t="s">
        <v>3493</v>
      </c>
      <c r="C221" s="758" t="s">
        <v>3529</v>
      </c>
      <c r="D221" s="563">
        <v>12000</v>
      </c>
      <c r="E221" s="573">
        <v>125</v>
      </c>
      <c r="F221" s="563">
        <f t="shared" si="10"/>
        <v>12000</v>
      </c>
      <c r="G221" s="87">
        <f t="shared" si="8"/>
        <v>0</v>
      </c>
      <c r="H221" s="690"/>
      <c r="I221" s="693"/>
      <c r="J221" s="692"/>
      <c r="K221" s="692"/>
    </row>
    <row r="222" spans="1:11" ht="15" hidden="1" x14ac:dyDescent="0.25">
      <c r="A222" s="728">
        <f t="shared" si="9"/>
        <v>88.495575221238937</v>
      </c>
      <c r="B222" s="87" t="s">
        <v>3493</v>
      </c>
      <c r="C222" s="754" t="s">
        <v>3462</v>
      </c>
      <c r="D222" s="563">
        <v>10000</v>
      </c>
      <c r="E222" s="573">
        <v>113</v>
      </c>
      <c r="F222" s="563">
        <f t="shared" si="10"/>
        <v>10000</v>
      </c>
      <c r="G222" s="87">
        <f t="shared" si="8"/>
        <v>0</v>
      </c>
      <c r="H222" s="690"/>
      <c r="I222" s="693"/>
      <c r="J222" s="692"/>
      <c r="K222" s="692"/>
    </row>
    <row r="223" spans="1:11" ht="15" hidden="1" x14ac:dyDescent="0.25">
      <c r="A223" s="728">
        <f t="shared" si="9"/>
        <v>88.495575221238937</v>
      </c>
      <c r="B223" s="87" t="s">
        <v>3493</v>
      </c>
      <c r="C223" s="754" t="s">
        <v>3456</v>
      </c>
      <c r="D223" s="563">
        <v>10000</v>
      </c>
      <c r="E223" s="573">
        <v>113</v>
      </c>
      <c r="F223" s="563">
        <f t="shared" si="10"/>
        <v>10000</v>
      </c>
      <c r="G223" s="87">
        <f t="shared" si="8"/>
        <v>0</v>
      </c>
      <c r="H223" s="690"/>
      <c r="I223" s="693"/>
      <c r="J223" s="692"/>
      <c r="K223" s="692"/>
    </row>
    <row r="224" spans="1:11" ht="15" hidden="1" x14ac:dyDescent="0.25">
      <c r="A224" s="728">
        <f t="shared" si="9"/>
        <v>88.105726872246692</v>
      </c>
      <c r="B224" s="87" t="s">
        <v>3493</v>
      </c>
      <c r="C224" s="754" t="s">
        <v>3530</v>
      </c>
      <c r="D224" s="563">
        <v>20000</v>
      </c>
      <c r="E224" s="573">
        <v>227</v>
      </c>
      <c r="F224" s="563">
        <f t="shared" si="10"/>
        <v>20000</v>
      </c>
      <c r="G224" s="87">
        <f t="shared" si="8"/>
        <v>0</v>
      </c>
      <c r="H224" s="690"/>
      <c r="I224" s="693"/>
      <c r="J224" s="692"/>
      <c r="K224" s="692"/>
    </row>
    <row r="225" spans="1:11" ht="15" hidden="1" x14ac:dyDescent="0.25">
      <c r="A225" s="728">
        <f t="shared" si="9"/>
        <v>94.594594594594597</v>
      </c>
      <c r="B225" s="87" t="s">
        <v>3493</v>
      </c>
      <c r="C225" s="754" t="s">
        <v>3531</v>
      </c>
      <c r="D225" s="563">
        <v>14000</v>
      </c>
      <c r="E225" s="573">
        <v>148</v>
      </c>
      <c r="F225" s="563">
        <f t="shared" si="10"/>
        <v>14000</v>
      </c>
      <c r="G225" s="87">
        <f t="shared" si="8"/>
        <v>0</v>
      </c>
      <c r="H225" s="690"/>
      <c r="I225" s="693"/>
      <c r="J225" s="692"/>
      <c r="K225" s="692"/>
    </row>
    <row r="226" spans="1:11" ht="15" hidden="1" x14ac:dyDescent="0.25">
      <c r="A226" s="728">
        <f t="shared" si="9"/>
        <v>88.495575221238937</v>
      </c>
      <c r="B226" s="87" t="s">
        <v>3493</v>
      </c>
      <c r="C226" s="754" t="s">
        <v>3532</v>
      </c>
      <c r="D226" s="563">
        <v>10000</v>
      </c>
      <c r="E226" s="573">
        <v>113</v>
      </c>
      <c r="F226" s="563">
        <f t="shared" si="10"/>
        <v>10000</v>
      </c>
      <c r="G226" s="87">
        <f t="shared" si="8"/>
        <v>0</v>
      </c>
      <c r="H226" s="690"/>
      <c r="I226" s="693"/>
      <c r="J226" s="692"/>
      <c r="K226" s="692"/>
    </row>
    <row r="227" spans="1:11" ht="15" hidden="1" x14ac:dyDescent="0.25">
      <c r="A227" s="728">
        <f t="shared" si="9"/>
        <v>88.495575221238937</v>
      </c>
      <c r="B227" s="87" t="s">
        <v>3493</v>
      </c>
      <c r="C227" s="758" t="s">
        <v>3533</v>
      </c>
      <c r="D227" s="563">
        <v>10000</v>
      </c>
      <c r="E227" s="573">
        <v>113</v>
      </c>
      <c r="F227" s="563">
        <f t="shared" si="10"/>
        <v>10000</v>
      </c>
      <c r="G227" s="87">
        <f t="shared" si="8"/>
        <v>0</v>
      </c>
      <c r="H227" s="690"/>
      <c r="I227" s="693"/>
      <c r="J227" s="692"/>
      <c r="K227" s="692"/>
    </row>
    <row r="228" spans="1:11" ht="15" hidden="1" x14ac:dyDescent="0.25">
      <c r="A228" s="728">
        <f t="shared" si="9"/>
        <v>88.028169014084511</v>
      </c>
      <c r="B228" s="87" t="s">
        <v>3493</v>
      </c>
      <c r="C228" s="754" t="s">
        <v>3534</v>
      </c>
      <c r="D228" s="563">
        <v>25000</v>
      </c>
      <c r="E228" s="573">
        <v>284</v>
      </c>
      <c r="F228" s="563">
        <f t="shared" si="10"/>
        <v>25000</v>
      </c>
      <c r="G228" s="87">
        <f t="shared" si="8"/>
        <v>0</v>
      </c>
      <c r="H228" s="690"/>
      <c r="I228" s="693"/>
      <c r="J228" s="692"/>
      <c r="K228" s="692"/>
    </row>
    <row r="229" spans="1:11" ht="15" hidden="1" x14ac:dyDescent="0.25">
      <c r="A229" s="728">
        <f t="shared" si="9"/>
        <v>88.028169014084511</v>
      </c>
      <c r="B229" s="87" t="s">
        <v>3493</v>
      </c>
      <c r="C229" s="758" t="s">
        <v>3535</v>
      </c>
      <c r="D229" s="563">
        <v>25000</v>
      </c>
      <c r="E229" s="573">
        <v>284</v>
      </c>
      <c r="F229" s="563">
        <f t="shared" si="10"/>
        <v>25000</v>
      </c>
      <c r="G229" s="87">
        <f t="shared" si="8"/>
        <v>0</v>
      </c>
      <c r="H229" s="690"/>
      <c r="I229" s="693"/>
      <c r="J229" s="692"/>
      <c r="K229" s="692"/>
    </row>
    <row r="230" spans="1:11" ht="15" hidden="1" x14ac:dyDescent="0.25">
      <c r="A230" s="728">
        <f t="shared" si="9"/>
        <v>88.235294117647058</v>
      </c>
      <c r="B230" s="87" t="s">
        <v>3493</v>
      </c>
      <c r="C230" s="754" t="s">
        <v>30</v>
      </c>
      <c r="D230" s="563">
        <v>9000</v>
      </c>
      <c r="E230" s="573">
        <v>102</v>
      </c>
      <c r="F230" s="563">
        <f t="shared" si="10"/>
        <v>9000</v>
      </c>
      <c r="G230" s="87">
        <f t="shared" si="8"/>
        <v>0</v>
      </c>
      <c r="H230" s="690"/>
      <c r="I230" s="693"/>
      <c r="J230" s="692"/>
      <c r="K230" s="692"/>
    </row>
    <row r="231" spans="1:11" ht="15" hidden="1" x14ac:dyDescent="0.25">
      <c r="A231" s="728">
        <f t="shared" si="9"/>
        <v>87.947882736156359</v>
      </c>
      <c r="B231" s="87" t="s">
        <v>3493</v>
      </c>
      <c r="C231" s="754" t="s">
        <v>3536</v>
      </c>
      <c r="D231" s="563">
        <v>27000</v>
      </c>
      <c r="E231" s="573">
        <v>307</v>
      </c>
      <c r="F231" s="563">
        <f t="shared" si="10"/>
        <v>27000</v>
      </c>
      <c r="G231" s="87">
        <f t="shared" si="8"/>
        <v>0</v>
      </c>
      <c r="H231" s="690"/>
      <c r="I231" s="693"/>
      <c r="J231" s="692"/>
      <c r="K231" s="692"/>
    </row>
    <row r="232" spans="1:11" ht="15" hidden="1" x14ac:dyDescent="0.25">
      <c r="A232" s="728">
        <f t="shared" si="9"/>
        <v>87.818696883852695</v>
      </c>
      <c r="B232" s="87" t="s">
        <v>3493</v>
      </c>
      <c r="C232" s="754" t="s">
        <v>3537</v>
      </c>
      <c r="D232" s="563">
        <v>31000</v>
      </c>
      <c r="E232" s="573">
        <v>353</v>
      </c>
      <c r="F232" s="563">
        <f t="shared" si="10"/>
        <v>31000</v>
      </c>
      <c r="G232" s="87">
        <f t="shared" si="8"/>
        <v>0</v>
      </c>
      <c r="H232" s="690"/>
      <c r="I232" s="693"/>
      <c r="J232" s="692"/>
      <c r="K232" s="692"/>
    </row>
    <row r="233" spans="1:11" ht="15" hidden="1" x14ac:dyDescent="0.25">
      <c r="A233" s="728">
        <f t="shared" si="9"/>
        <v>87.786259541984734</v>
      </c>
      <c r="B233" s="87" t="s">
        <v>3493</v>
      </c>
      <c r="C233" s="754" t="s">
        <v>3538</v>
      </c>
      <c r="D233" s="563">
        <v>23000</v>
      </c>
      <c r="E233" s="573">
        <v>262</v>
      </c>
      <c r="F233" s="563">
        <f t="shared" si="10"/>
        <v>23000</v>
      </c>
      <c r="G233" s="87">
        <f t="shared" si="8"/>
        <v>0</v>
      </c>
      <c r="H233" s="690"/>
      <c r="I233" s="693"/>
      <c r="J233" s="692"/>
      <c r="K233" s="692"/>
    </row>
    <row r="234" spans="1:11" ht="15" hidden="1" x14ac:dyDescent="0.25">
      <c r="A234" s="728">
        <f t="shared" si="9"/>
        <v>105.6910569105691</v>
      </c>
      <c r="B234" s="87" t="s">
        <v>3493</v>
      </c>
      <c r="C234" s="754" t="s">
        <v>3539</v>
      </c>
      <c r="D234" s="563">
        <v>26000</v>
      </c>
      <c r="E234" s="573">
        <v>246</v>
      </c>
      <c r="F234" s="563">
        <f t="shared" si="10"/>
        <v>26000</v>
      </c>
      <c r="G234" s="87">
        <f t="shared" si="8"/>
        <v>0</v>
      </c>
      <c r="H234" s="690"/>
      <c r="I234" s="693"/>
      <c r="J234" s="692"/>
      <c r="K234" s="692"/>
    </row>
    <row r="235" spans="1:11" ht="15" hidden="1" x14ac:dyDescent="0.25">
      <c r="A235" s="728">
        <f t="shared" si="9"/>
        <v>88.028169014084511</v>
      </c>
      <c r="B235" s="87" t="s">
        <v>3493</v>
      </c>
      <c r="C235" s="754" t="s">
        <v>3540</v>
      </c>
      <c r="D235" s="563">
        <v>25000</v>
      </c>
      <c r="E235" s="573">
        <v>284</v>
      </c>
      <c r="F235" s="563">
        <f t="shared" si="10"/>
        <v>25000</v>
      </c>
      <c r="G235" s="87">
        <f t="shared" si="8"/>
        <v>0</v>
      </c>
      <c r="H235" s="690"/>
      <c r="I235" s="693"/>
      <c r="J235" s="692"/>
      <c r="K235" s="692"/>
    </row>
    <row r="236" spans="1:11" ht="15" hidden="1" x14ac:dyDescent="0.25">
      <c r="A236" s="728">
        <f t="shared" si="9"/>
        <v>87.890625</v>
      </c>
      <c r="B236" s="87" t="s">
        <v>3493</v>
      </c>
      <c r="C236" s="754" t="s">
        <v>3541</v>
      </c>
      <c r="D236" s="563">
        <v>45000</v>
      </c>
      <c r="E236" s="573">
        <v>512</v>
      </c>
      <c r="F236" s="563">
        <f t="shared" si="10"/>
        <v>45000</v>
      </c>
      <c r="G236" s="87">
        <f t="shared" si="8"/>
        <v>0</v>
      </c>
      <c r="H236" s="690"/>
      <c r="I236" s="693"/>
      <c r="J236" s="692"/>
      <c r="K236" s="692"/>
    </row>
    <row r="237" spans="1:11" ht="15" hidden="1" x14ac:dyDescent="0.25">
      <c r="A237" s="728">
        <f t="shared" si="9"/>
        <v>98.039215686274503</v>
      </c>
      <c r="B237" s="87" t="s">
        <v>3493</v>
      </c>
      <c r="C237" s="754" t="s">
        <v>66</v>
      </c>
      <c r="D237" s="563">
        <v>100</v>
      </c>
      <c r="E237" s="573">
        <v>1.02</v>
      </c>
      <c r="F237" s="563">
        <f t="shared" si="10"/>
        <v>100</v>
      </c>
      <c r="G237" s="87">
        <f t="shared" si="8"/>
        <v>0</v>
      </c>
      <c r="H237" s="690"/>
      <c r="I237" s="693"/>
      <c r="J237" s="692"/>
      <c r="K237" s="692"/>
    </row>
    <row r="238" spans="1:11" ht="15" hidden="1" x14ac:dyDescent="0.25">
      <c r="A238" s="728">
        <f t="shared" si="9"/>
        <v>87.903225806451616</v>
      </c>
      <c r="B238" s="87" t="s">
        <v>3509</v>
      </c>
      <c r="C238" s="754" t="s">
        <v>3542</v>
      </c>
      <c r="D238" s="563">
        <v>21800</v>
      </c>
      <c r="E238" s="573">
        <v>248</v>
      </c>
      <c r="F238" s="563">
        <f t="shared" si="10"/>
        <v>21800</v>
      </c>
      <c r="G238" s="87">
        <f t="shared" si="8"/>
        <v>0</v>
      </c>
      <c r="H238" s="690"/>
      <c r="I238" s="693"/>
      <c r="J238" s="692"/>
      <c r="K238" s="692"/>
    </row>
    <row r="239" spans="1:11" ht="15" hidden="1" x14ac:dyDescent="0.25">
      <c r="A239" s="728">
        <f t="shared" si="9"/>
        <v>96.15384615384616</v>
      </c>
      <c r="B239" s="87" t="s">
        <v>3509</v>
      </c>
      <c r="C239" s="754" t="s">
        <v>3070</v>
      </c>
      <c r="D239" s="563">
        <v>25000</v>
      </c>
      <c r="E239" s="573">
        <v>260</v>
      </c>
      <c r="F239" s="563">
        <f t="shared" si="10"/>
        <v>25000</v>
      </c>
      <c r="G239" s="87">
        <f t="shared" si="8"/>
        <v>0</v>
      </c>
      <c r="H239" s="690"/>
      <c r="I239" s="693"/>
      <c r="J239" s="692"/>
      <c r="K239" s="692"/>
    </row>
    <row r="240" spans="1:11" ht="15" hidden="1" x14ac:dyDescent="0.25">
      <c r="A240" s="728">
        <f t="shared" si="9"/>
        <v>87.962962962962962</v>
      </c>
      <c r="B240" s="87" t="s">
        <v>3509</v>
      </c>
      <c r="C240" s="754" t="s">
        <v>3543</v>
      </c>
      <c r="D240" s="563">
        <v>19000</v>
      </c>
      <c r="E240" s="573">
        <v>216</v>
      </c>
      <c r="F240" s="563">
        <f t="shared" si="10"/>
        <v>19000</v>
      </c>
      <c r="G240" s="87">
        <f t="shared" si="8"/>
        <v>0</v>
      </c>
      <c r="H240" s="690"/>
      <c r="I240" s="693"/>
      <c r="J240" s="692"/>
      <c r="K240" s="692"/>
    </row>
    <row r="241" spans="1:11" ht="15" hidden="1" x14ac:dyDescent="0.25">
      <c r="A241" s="728">
        <f t="shared" si="9"/>
        <v>88.495575221238937</v>
      </c>
      <c r="B241" s="87" t="s">
        <v>3509</v>
      </c>
      <c r="C241" s="754" t="s">
        <v>3544</v>
      </c>
      <c r="D241" s="563">
        <v>10000</v>
      </c>
      <c r="E241" s="573">
        <v>113</v>
      </c>
      <c r="F241" s="563">
        <f t="shared" si="10"/>
        <v>10000</v>
      </c>
      <c r="G241" s="87">
        <f t="shared" si="8"/>
        <v>0</v>
      </c>
      <c r="H241" s="690"/>
      <c r="I241" s="693"/>
      <c r="J241" s="692"/>
      <c r="K241" s="692"/>
    </row>
    <row r="242" spans="1:11" ht="15" hidden="1" x14ac:dyDescent="0.25">
      <c r="A242" s="728">
        <f t="shared" si="9"/>
        <v>88.235294117647058</v>
      </c>
      <c r="B242" s="87" t="s">
        <v>3509</v>
      </c>
      <c r="C242" s="740" t="s">
        <v>3545</v>
      </c>
      <c r="D242" s="87">
        <v>15000</v>
      </c>
      <c r="E242" s="87">
        <v>170</v>
      </c>
      <c r="F242" s="563">
        <f t="shared" si="10"/>
        <v>15000</v>
      </c>
      <c r="G242" s="87">
        <f t="shared" si="8"/>
        <v>0</v>
      </c>
      <c r="H242" s="690"/>
      <c r="I242" s="693"/>
      <c r="J242" s="692"/>
      <c r="K242" s="692"/>
    </row>
    <row r="243" spans="1:11" ht="15" hidden="1" x14ac:dyDescent="0.25">
      <c r="A243" s="728">
        <f t="shared" si="9"/>
        <v>88.235294117647058</v>
      </c>
      <c r="B243" s="87" t="s">
        <v>3509</v>
      </c>
      <c r="C243" s="740" t="s">
        <v>3546</v>
      </c>
      <c r="D243" s="87">
        <v>15000</v>
      </c>
      <c r="E243" s="87">
        <v>170</v>
      </c>
      <c r="F243" s="563">
        <f t="shared" si="10"/>
        <v>15000</v>
      </c>
      <c r="G243" s="87">
        <f t="shared" si="8"/>
        <v>0</v>
      </c>
      <c r="H243" s="690"/>
      <c r="I243" s="693"/>
      <c r="J243" s="692"/>
      <c r="K243" s="692"/>
    </row>
    <row r="244" spans="1:11" ht="15" hidden="1" x14ac:dyDescent="0.25">
      <c r="A244" s="728">
        <f t="shared" si="9"/>
        <v>87.804878048780495</v>
      </c>
      <c r="B244" s="87" t="s">
        <v>3509</v>
      </c>
      <c r="C244" s="740" t="s">
        <v>3547</v>
      </c>
      <c r="D244" s="87">
        <v>18000</v>
      </c>
      <c r="E244" s="87">
        <v>205</v>
      </c>
      <c r="F244" s="563">
        <f t="shared" si="10"/>
        <v>18000</v>
      </c>
      <c r="G244" s="87">
        <f t="shared" si="8"/>
        <v>0</v>
      </c>
      <c r="H244" s="690"/>
      <c r="I244" s="693"/>
      <c r="J244" s="692"/>
      <c r="K244" s="692"/>
    </row>
    <row r="245" spans="1:11" ht="15" hidden="1" x14ac:dyDescent="0.25">
      <c r="A245" s="728">
        <f t="shared" si="9"/>
        <v>88.495575221238937</v>
      </c>
      <c r="B245" s="87" t="s">
        <v>3509</v>
      </c>
      <c r="C245" s="740" t="s">
        <v>3548</v>
      </c>
      <c r="D245" s="87">
        <v>10000</v>
      </c>
      <c r="E245" s="87">
        <v>113</v>
      </c>
      <c r="F245" s="563">
        <f t="shared" si="10"/>
        <v>10000</v>
      </c>
      <c r="G245" s="87">
        <f t="shared" si="8"/>
        <v>0</v>
      </c>
      <c r="H245" s="690"/>
      <c r="I245" s="693"/>
      <c r="J245" s="692"/>
      <c r="K245" s="692"/>
    </row>
    <row r="246" spans="1:11" ht="15" hidden="1" x14ac:dyDescent="0.25">
      <c r="A246" s="728">
        <f t="shared" si="9"/>
        <v>88.235294117647058</v>
      </c>
      <c r="B246" s="87" t="s">
        <v>3509</v>
      </c>
      <c r="C246" s="740" t="s">
        <v>3225</v>
      </c>
      <c r="D246" s="87">
        <v>15000</v>
      </c>
      <c r="E246" s="87">
        <v>170</v>
      </c>
      <c r="F246" s="563">
        <f t="shared" si="10"/>
        <v>15000</v>
      </c>
      <c r="G246" s="87">
        <f t="shared" si="8"/>
        <v>0</v>
      </c>
      <c r="H246" s="690"/>
      <c r="I246" s="693"/>
      <c r="J246" s="692"/>
      <c r="K246" s="692"/>
    </row>
    <row r="247" spans="1:11" ht="15" hidden="1" x14ac:dyDescent="0.25">
      <c r="A247" s="728">
        <f t="shared" si="9"/>
        <v>88.235294117647058</v>
      </c>
      <c r="B247" s="87" t="s">
        <v>3509</v>
      </c>
      <c r="C247" s="740" t="s">
        <v>3549</v>
      </c>
      <c r="D247" s="87">
        <v>15000</v>
      </c>
      <c r="E247" s="87">
        <v>170</v>
      </c>
      <c r="F247" s="563">
        <f t="shared" si="10"/>
        <v>15000</v>
      </c>
      <c r="G247" s="87">
        <f t="shared" si="8"/>
        <v>0</v>
      </c>
      <c r="H247" s="690"/>
      <c r="I247" s="693"/>
      <c r="J247" s="692"/>
      <c r="K247" s="692"/>
    </row>
    <row r="248" spans="1:11" ht="15" hidden="1" x14ac:dyDescent="0.25">
      <c r="A248" s="728">
        <f t="shared" si="9"/>
        <v>88.082901554404145</v>
      </c>
      <c r="B248" s="87" t="s">
        <v>3509</v>
      </c>
      <c r="C248" s="740" t="s">
        <v>2044</v>
      </c>
      <c r="D248" s="87">
        <v>17000</v>
      </c>
      <c r="E248" s="87">
        <v>193</v>
      </c>
      <c r="F248" s="563">
        <f t="shared" si="10"/>
        <v>17000</v>
      </c>
      <c r="G248" s="87">
        <f t="shared" si="8"/>
        <v>0</v>
      </c>
      <c r="H248" s="690"/>
      <c r="I248" s="693"/>
      <c r="J248" s="692"/>
      <c r="K248" s="692"/>
    </row>
    <row r="249" spans="1:11" ht="15" hidden="1" x14ac:dyDescent="0.25">
      <c r="A249" s="728">
        <f t="shared" si="9"/>
        <v>98.214285714285708</v>
      </c>
      <c r="B249" s="87" t="s">
        <v>3509</v>
      </c>
      <c r="C249" s="740" t="s">
        <v>66</v>
      </c>
      <c r="D249" s="87">
        <v>110</v>
      </c>
      <c r="E249" s="87">
        <v>1.1200000000000001</v>
      </c>
      <c r="F249" s="563">
        <f t="shared" si="10"/>
        <v>110</v>
      </c>
      <c r="G249" s="87">
        <f t="shared" si="8"/>
        <v>0</v>
      </c>
      <c r="H249" s="690"/>
      <c r="I249" s="693"/>
      <c r="J249" s="692"/>
      <c r="K249" s="692"/>
    </row>
    <row r="250" spans="1:11" ht="15" hidden="1" x14ac:dyDescent="0.25">
      <c r="A250" s="728">
        <f t="shared" si="9"/>
        <v>88.235294117647058</v>
      </c>
      <c r="B250" s="87" t="s">
        <v>3509</v>
      </c>
      <c r="C250" s="740" t="s">
        <v>3550</v>
      </c>
      <c r="D250" s="87">
        <v>12000</v>
      </c>
      <c r="E250" s="87">
        <v>136</v>
      </c>
      <c r="F250" s="563">
        <f t="shared" si="10"/>
        <v>12000</v>
      </c>
      <c r="G250" s="87">
        <f t="shared" si="8"/>
        <v>0</v>
      </c>
      <c r="H250" s="690"/>
      <c r="I250" s="693"/>
      <c r="J250" s="692"/>
      <c r="K250" s="692"/>
    </row>
    <row r="251" spans="1:11" s="749" customFormat="1" ht="15" hidden="1" x14ac:dyDescent="0.25">
      <c r="A251" s="728">
        <f t="shared" ref="A251" si="11">D251/E251</f>
        <v>98.039215686274503</v>
      </c>
      <c r="B251" s="87" t="s">
        <v>3520</v>
      </c>
      <c r="C251" s="740" t="s">
        <v>66</v>
      </c>
      <c r="D251" s="87">
        <v>100</v>
      </c>
      <c r="E251" s="87">
        <v>1.02</v>
      </c>
      <c r="F251" s="563">
        <f t="shared" ref="F251" si="12">D251</f>
        <v>100</v>
      </c>
      <c r="G251" s="87">
        <f t="shared" ref="G251" si="13">D251-F251</f>
        <v>0</v>
      </c>
      <c r="H251" s="690"/>
      <c r="I251" s="693"/>
      <c r="J251" s="692"/>
      <c r="K251" s="692"/>
    </row>
    <row r="252" spans="1:11" ht="15" hidden="1" x14ac:dyDescent="0.25">
      <c r="A252" s="728">
        <f t="shared" si="9"/>
        <v>90</v>
      </c>
      <c r="B252" s="87" t="s">
        <v>3520</v>
      </c>
      <c r="C252" s="740" t="s">
        <v>30</v>
      </c>
      <c r="D252" s="87">
        <v>900</v>
      </c>
      <c r="E252" s="87">
        <v>10</v>
      </c>
      <c r="F252" s="563">
        <f t="shared" si="10"/>
        <v>900</v>
      </c>
      <c r="G252" s="87">
        <f t="shared" si="8"/>
        <v>0</v>
      </c>
      <c r="H252" s="690"/>
      <c r="I252" s="693"/>
      <c r="J252" s="692"/>
      <c r="K252" s="692"/>
    </row>
    <row r="253" spans="1:11" ht="15" hidden="1" x14ac:dyDescent="0.25">
      <c r="A253" s="728">
        <f t="shared" si="9"/>
        <v>90</v>
      </c>
      <c r="B253" s="87" t="s">
        <v>3520</v>
      </c>
      <c r="C253" s="740" t="s">
        <v>30</v>
      </c>
      <c r="D253" s="87">
        <v>900</v>
      </c>
      <c r="E253" s="87">
        <v>10</v>
      </c>
      <c r="F253" s="563">
        <f t="shared" si="10"/>
        <v>900</v>
      </c>
      <c r="G253" s="87">
        <f t="shared" si="8"/>
        <v>0</v>
      </c>
      <c r="H253" s="690"/>
      <c r="I253" s="693"/>
      <c r="J253" s="692"/>
      <c r="K253" s="692"/>
    </row>
    <row r="254" spans="1:11" ht="15" hidden="1" x14ac:dyDescent="0.25">
      <c r="A254" s="728">
        <f t="shared" si="9"/>
        <v>88.028169014084511</v>
      </c>
      <c r="B254" s="87" t="s">
        <v>3520</v>
      </c>
      <c r="C254" s="740" t="s">
        <v>3555</v>
      </c>
      <c r="D254" s="87">
        <v>25000</v>
      </c>
      <c r="E254" s="87">
        <v>284</v>
      </c>
      <c r="F254" s="563">
        <f t="shared" si="10"/>
        <v>25000</v>
      </c>
      <c r="G254" s="87">
        <f t="shared" si="8"/>
        <v>0</v>
      </c>
      <c r="H254" s="690"/>
      <c r="I254" s="693"/>
      <c r="J254" s="692"/>
      <c r="K254" s="692"/>
    </row>
    <row r="255" spans="1:11" ht="15" hidden="1" x14ac:dyDescent="0.25">
      <c r="A255" s="728">
        <f t="shared" si="9"/>
        <v>88</v>
      </c>
      <c r="B255" s="87" t="s">
        <v>3520</v>
      </c>
      <c r="C255" s="740" t="s">
        <v>3552</v>
      </c>
      <c r="D255" s="87">
        <v>22000</v>
      </c>
      <c r="E255" s="87">
        <v>250</v>
      </c>
      <c r="F255" s="563">
        <f t="shared" si="10"/>
        <v>22000</v>
      </c>
      <c r="G255" s="87">
        <f t="shared" si="8"/>
        <v>0</v>
      </c>
      <c r="H255" s="690"/>
      <c r="I255" s="693"/>
      <c r="J255" s="692"/>
      <c r="K255" s="692"/>
    </row>
    <row r="256" spans="1:11" ht="15" hidden="1" x14ac:dyDescent="0.25">
      <c r="A256" s="728">
        <f t="shared" si="9"/>
        <v>91.370558375634516</v>
      </c>
      <c r="B256" s="87" t="s">
        <v>3520</v>
      </c>
      <c r="C256" s="740" t="s">
        <v>1925</v>
      </c>
      <c r="D256" s="87">
        <v>18000</v>
      </c>
      <c r="E256" s="87">
        <v>197</v>
      </c>
      <c r="F256" s="563">
        <f t="shared" si="10"/>
        <v>18000</v>
      </c>
      <c r="G256" s="87">
        <f t="shared" si="8"/>
        <v>0</v>
      </c>
      <c r="H256" s="690"/>
      <c r="I256" s="693"/>
      <c r="J256" s="692"/>
      <c r="K256" s="692"/>
    </row>
    <row r="257" spans="1:11" ht="15" hidden="1" x14ac:dyDescent="0.25">
      <c r="A257" s="728">
        <f t="shared" si="9"/>
        <v>87.976539589442808</v>
      </c>
      <c r="B257" s="87" t="s">
        <v>3520</v>
      </c>
      <c r="C257" s="740" t="s">
        <v>3553</v>
      </c>
      <c r="D257" s="87">
        <v>30000</v>
      </c>
      <c r="E257" s="87">
        <v>341</v>
      </c>
      <c r="F257" s="563">
        <f t="shared" si="10"/>
        <v>30000</v>
      </c>
      <c r="G257" s="87">
        <f t="shared" si="8"/>
        <v>0</v>
      </c>
      <c r="H257" s="690"/>
      <c r="I257" s="693"/>
      <c r="J257" s="692"/>
      <c r="K257" s="692"/>
    </row>
    <row r="258" spans="1:11" ht="15" hidden="1" x14ac:dyDescent="0.25">
      <c r="A258" s="728">
        <f t="shared" si="9"/>
        <v>87.976539589442808</v>
      </c>
      <c r="B258" s="87" t="s">
        <v>3520</v>
      </c>
      <c r="C258" s="740" t="s">
        <v>3554</v>
      </c>
      <c r="D258" s="87">
        <v>30000</v>
      </c>
      <c r="E258" s="87">
        <v>341</v>
      </c>
      <c r="F258" s="563">
        <f t="shared" si="10"/>
        <v>30000</v>
      </c>
      <c r="G258" s="87">
        <f t="shared" si="8"/>
        <v>0</v>
      </c>
      <c r="H258" s="690"/>
      <c r="I258" s="693"/>
      <c r="J258" s="692"/>
      <c r="K258" s="692"/>
    </row>
    <row r="259" spans="1:11" ht="15" hidden="1" x14ac:dyDescent="0.25">
      <c r="A259" s="728">
        <f t="shared" si="9"/>
        <v>96.330275229357795</v>
      </c>
      <c r="B259" s="87" t="s">
        <v>3521</v>
      </c>
      <c r="C259" s="740" t="s">
        <v>66</v>
      </c>
      <c r="D259" s="87">
        <v>210</v>
      </c>
      <c r="E259" s="87">
        <v>2.1800000000000002</v>
      </c>
      <c r="F259" s="563">
        <f t="shared" si="10"/>
        <v>210</v>
      </c>
      <c r="G259" s="87">
        <f t="shared" si="8"/>
        <v>0</v>
      </c>
      <c r="H259" s="690"/>
      <c r="I259" s="693"/>
      <c r="J259" s="692"/>
      <c r="K259" s="692"/>
    </row>
    <row r="260" spans="1:11" ht="15" hidden="1" x14ac:dyDescent="0.25">
      <c r="A260" s="728">
        <f t="shared" si="9"/>
        <v>88.235294117647058</v>
      </c>
      <c r="B260" s="87" t="s">
        <v>3521</v>
      </c>
      <c r="C260" s="740" t="s">
        <v>2546</v>
      </c>
      <c r="D260" s="87">
        <v>15000</v>
      </c>
      <c r="E260" s="87">
        <v>170</v>
      </c>
      <c r="F260" s="563">
        <f t="shared" si="10"/>
        <v>15000</v>
      </c>
      <c r="G260" s="87">
        <f t="shared" si="8"/>
        <v>0</v>
      </c>
      <c r="H260" s="690"/>
      <c r="I260" s="693"/>
      <c r="J260" s="692"/>
      <c r="K260" s="692"/>
    </row>
    <row r="261" spans="1:11" ht="15" hidden="1" x14ac:dyDescent="0.25">
      <c r="A261" s="728">
        <f t="shared" si="9"/>
        <v>93.406593406593402</v>
      </c>
      <c r="B261" s="87" t="s">
        <v>3521</v>
      </c>
      <c r="C261" s="740" t="s">
        <v>3500</v>
      </c>
      <c r="D261" s="87">
        <v>17000</v>
      </c>
      <c r="E261" s="87">
        <v>182</v>
      </c>
      <c r="F261" s="563">
        <f t="shared" si="10"/>
        <v>17000</v>
      </c>
      <c r="G261" s="87">
        <f t="shared" si="8"/>
        <v>0</v>
      </c>
      <c r="H261" s="690"/>
      <c r="I261" s="693"/>
      <c r="J261" s="692"/>
      <c r="K261" s="692"/>
    </row>
    <row r="262" spans="1:11" ht="15" hidden="1" x14ac:dyDescent="0.25">
      <c r="A262" s="728">
        <f t="shared" si="9"/>
        <v>88.082901554404145</v>
      </c>
      <c r="B262" s="87" t="s">
        <v>3521</v>
      </c>
      <c r="C262" s="740" t="s">
        <v>3556</v>
      </c>
      <c r="D262" s="87">
        <v>17000</v>
      </c>
      <c r="E262" s="87">
        <v>193</v>
      </c>
      <c r="F262" s="563">
        <f t="shared" si="10"/>
        <v>17000</v>
      </c>
      <c r="G262" s="87">
        <f t="shared" si="8"/>
        <v>0</v>
      </c>
      <c r="H262" s="690"/>
      <c r="I262" s="693"/>
      <c r="J262" s="692"/>
      <c r="K262" s="692"/>
    </row>
    <row r="263" spans="1:11" ht="15" hidden="1" x14ac:dyDescent="0.25">
      <c r="A263" s="728">
        <f t="shared" ref="A263:A338" si="14">D263/E263</f>
        <v>94.696969696969703</v>
      </c>
      <c r="B263" s="87" t="s">
        <v>3521</v>
      </c>
      <c r="C263" s="740" t="s">
        <v>3088</v>
      </c>
      <c r="D263" s="87">
        <v>25000</v>
      </c>
      <c r="E263" s="87">
        <v>264</v>
      </c>
      <c r="F263" s="563">
        <f t="shared" ref="F263:F338" si="15">D263</f>
        <v>25000</v>
      </c>
      <c r="G263" s="87">
        <f t="shared" si="8"/>
        <v>0</v>
      </c>
      <c r="H263" s="690"/>
      <c r="I263" s="693"/>
      <c r="J263" s="692"/>
      <c r="K263" s="692"/>
    </row>
    <row r="264" spans="1:11" ht="15" hidden="1" x14ac:dyDescent="0.25">
      <c r="A264" s="728">
        <f t="shared" si="14"/>
        <v>87.912087912087912</v>
      </c>
      <c r="B264" s="87" t="s">
        <v>3521</v>
      </c>
      <c r="C264" s="740" t="s">
        <v>3084</v>
      </c>
      <c r="D264" s="87">
        <v>24000</v>
      </c>
      <c r="E264" s="87">
        <v>273</v>
      </c>
      <c r="F264" s="563">
        <f t="shared" si="15"/>
        <v>24000</v>
      </c>
      <c r="G264" s="87">
        <f t="shared" si="8"/>
        <v>0</v>
      </c>
      <c r="H264" s="690"/>
      <c r="I264" s="693"/>
      <c r="J264" s="692"/>
      <c r="K264" s="692"/>
    </row>
    <row r="265" spans="1:11" ht="15" hidden="1" x14ac:dyDescent="0.25">
      <c r="A265" s="728">
        <f t="shared" si="14"/>
        <v>92</v>
      </c>
      <c r="B265" s="87" t="s">
        <v>3521</v>
      </c>
      <c r="C265" s="740" t="s">
        <v>3557</v>
      </c>
      <c r="D265" s="87">
        <v>23000</v>
      </c>
      <c r="E265" s="87">
        <v>250</v>
      </c>
      <c r="F265" s="563">
        <f t="shared" si="15"/>
        <v>23000</v>
      </c>
      <c r="G265" s="87">
        <f t="shared" si="8"/>
        <v>0</v>
      </c>
      <c r="H265" s="690"/>
      <c r="I265" s="693"/>
      <c r="J265" s="692"/>
      <c r="K265" s="692"/>
    </row>
    <row r="266" spans="1:11" ht="15" hidden="1" x14ac:dyDescent="0.25">
      <c r="A266" s="728">
        <f t="shared" si="14"/>
        <v>87.976539589442808</v>
      </c>
      <c r="B266" s="87" t="s">
        <v>3521</v>
      </c>
      <c r="C266" s="740" t="s">
        <v>3558</v>
      </c>
      <c r="D266" s="87">
        <v>30000</v>
      </c>
      <c r="E266" s="87">
        <v>341</v>
      </c>
      <c r="F266" s="563">
        <f t="shared" si="15"/>
        <v>30000</v>
      </c>
      <c r="G266" s="87">
        <f t="shared" si="8"/>
        <v>0</v>
      </c>
      <c r="H266" s="690"/>
      <c r="I266" s="693"/>
      <c r="J266" s="692"/>
      <c r="K266" s="692"/>
    </row>
    <row r="267" spans="1:11" ht="15" hidden="1" x14ac:dyDescent="0.25">
      <c r="A267" s="728">
        <f t="shared" si="14"/>
        <v>87.947882736156359</v>
      </c>
      <c r="B267" s="87" t="s">
        <v>3521</v>
      </c>
      <c r="C267" s="740" t="s">
        <v>2952</v>
      </c>
      <c r="D267" s="87">
        <v>27000</v>
      </c>
      <c r="E267" s="87">
        <v>307</v>
      </c>
      <c r="F267" s="563">
        <f t="shared" si="15"/>
        <v>27000</v>
      </c>
      <c r="G267" s="87">
        <f t="shared" si="8"/>
        <v>0</v>
      </c>
      <c r="H267" s="690"/>
      <c r="I267" s="693"/>
      <c r="J267" s="692"/>
      <c r="K267" s="692"/>
    </row>
    <row r="268" spans="1:11" ht="15" hidden="1" x14ac:dyDescent="0.25">
      <c r="A268" s="728">
        <f t="shared" si="14"/>
        <v>87.786259541984734</v>
      </c>
      <c r="B268" s="87" t="s">
        <v>3521</v>
      </c>
      <c r="C268" s="740" t="s">
        <v>2543</v>
      </c>
      <c r="D268" s="87">
        <v>23000</v>
      </c>
      <c r="E268" s="87">
        <v>262</v>
      </c>
      <c r="F268" s="563">
        <f t="shared" si="15"/>
        <v>23000</v>
      </c>
      <c r="G268" s="87">
        <f t="shared" si="8"/>
        <v>0</v>
      </c>
      <c r="H268" s="690"/>
      <c r="I268" s="693"/>
      <c r="J268" s="692"/>
      <c r="K268" s="692"/>
    </row>
    <row r="269" spans="1:11" ht="15" hidden="1" x14ac:dyDescent="0.25">
      <c r="A269" s="728">
        <f t="shared" si="14"/>
        <v>88.235294117647058</v>
      </c>
      <c r="B269" s="87" t="s">
        <v>3521</v>
      </c>
      <c r="C269" s="740" t="s">
        <v>30</v>
      </c>
      <c r="D269" s="87">
        <v>9000</v>
      </c>
      <c r="E269" s="87">
        <v>102</v>
      </c>
      <c r="F269" s="563">
        <f t="shared" si="15"/>
        <v>9000</v>
      </c>
      <c r="G269" s="87">
        <f t="shared" si="8"/>
        <v>0</v>
      </c>
      <c r="H269" s="690"/>
      <c r="I269" s="693"/>
      <c r="J269" s="692"/>
      <c r="K269" s="692"/>
    </row>
    <row r="270" spans="1:11" ht="15" hidden="1" x14ac:dyDescent="0.25">
      <c r="A270" s="728">
        <f t="shared" si="14"/>
        <v>87.804878048780495</v>
      </c>
      <c r="B270" s="87" t="s">
        <v>3521</v>
      </c>
      <c r="C270" s="740" t="s">
        <v>3559</v>
      </c>
      <c r="D270" s="87">
        <v>18000</v>
      </c>
      <c r="E270" s="87">
        <v>205</v>
      </c>
      <c r="F270" s="563">
        <f t="shared" si="15"/>
        <v>18000</v>
      </c>
      <c r="G270" s="87">
        <f t="shared" si="8"/>
        <v>0</v>
      </c>
      <c r="H270" s="690"/>
      <c r="I270" s="693"/>
      <c r="J270" s="692"/>
      <c r="K270" s="692"/>
    </row>
    <row r="271" spans="1:11" ht="15" hidden="1" x14ac:dyDescent="0.25">
      <c r="A271" s="728">
        <f t="shared" si="14"/>
        <v>88</v>
      </c>
      <c r="B271" s="87" t="s">
        <v>3521</v>
      </c>
      <c r="C271" s="740" t="s">
        <v>3568</v>
      </c>
      <c r="D271" s="87">
        <v>22000</v>
      </c>
      <c r="E271" s="87">
        <v>250</v>
      </c>
      <c r="F271" s="563">
        <f t="shared" si="15"/>
        <v>22000</v>
      </c>
      <c r="G271" s="87">
        <f t="shared" si="8"/>
        <v>0</v>
      </c>
      <c r="H271" s="690"/>
      <c r="I271" s="693"/>
      <c r="J271" s="692"/>
      <c r="K271" s="692"/>
    </row>
    <row r="272" spans="1:11" ht="15" hidden="1" x14ac:dyDescent="0.25">
      <c r="A272" s="728">
        <f t="shared" si="14"/>
        <v>87.878787878787875</v>
      </c>
      <c r="B272" s="87" t="s">
        <v>3521</v>
      </c>
      <c r="C272" s="740" t="s">
        <v>2661</v>
      </c>
      <c r="D272" s="87">
        <v>29000</v>
      </c>
      <c r="E272" s="87">
        <v>330</v>
      </c>
      <c r="F272" s="563">
        <f t="shared" si="15"/>
        <v>29000</v>
      </c>
      <c r="G272" s="87">
        <f t="shared" si="8"/>
        <v>0</v>
      </c>
      <c r="H272" s="690"/>
      <c r="I272" s="693"/>
      <c r="J272" s="692"/>
      <c r="K272" s="692"/>
    </row>
    <row r="273" spans="1:11" ht="15" hidden="1" x14ac:dyDescent="0.25">
      <c r="A273" s="728">
        <f t="shared" si="14"/>
        <v>91.575091575091577</v>
      </c>
      <c r="B273" s="87" t="s">
        <v>3521</v>
      </c>
      <c r="C273" s="740" t="s">
        <v>3560</v>
      </c>
      <c r="D273" s="87">
        <v>25000</v>
      </c>
      <c r="E273" s="87">
        <v>273</v>
      </c>
      <c r="F273" s="563">
        <f t="shared" si="15"/>
        <v>25000</v>
      </c>
      <c r="G273" s="87">
        <f t="shared" si="8"/>
        <v>0</v>
      </c>
      <c r="H273" s="690"/>
      <c r="I273" s="693"/>
      <c r="J273" s="692"/>
      <c r="K273" s="692"/>
    </row>
    <row r="274" spans="1:11" ht="15" hidden="1" x14ac:dyDescent="0.25">
      <c r="A274" s="728">
        <f t="shared" si="14"/>
        <v>88.050314465408803</v>
      </c>
      <c r="B274" s="87" t="s">
        <v>3521</v>
      </c>
      <c r="C274" s="740" t="s">
        <v>2057</v>
      </c>
      <c r="D274" s="87">
        <v>14000</v>
      </c>
      <c r="E274" s="87">
        <v>159</v>
      </c>
      <c r="F274" s="563">
        <f t="shared" si="15"/>
        <v>14000</v>
      </c>
      <c r="G274" s="87">
        <f t="shared" si="8"/>
        <v>0</v>
      </c>
      <c r="H274" s="690"/>
      <c r="I274" s="693"/>
      <c r="J274" s="692"/>
      <c r="K274" s="692"/>
    </row>
    <row r="275" spans="1:11" ht="15" hidden="1" x14ac:dyDescent="0.25">
      <c r="A275" s="728">
        <f t="shared" si="14"/>
        <v>87.912087912087912</v>
      </c>
      <c r="B275" s="87" t="s">
        <v>3521</v>
      </c>
      <c r="C275" s="740" t="s">
        <v>3561</v>
      </c>
      <c r="D275" s="87">
        <v>8000</v>
      </c>
      <c r="E275" s="87">
        <v>91</v>
      </c>
      <c r="F275" s="563">
        <f t="shared" si="15"/>
        <v>8000</v>
      </c>
      <c r="G275" s="87">
        <f t="shared" si="8"/>
        <v>0</v>
      </c>
      <c r="H275" s="690"/>
      <c r="I275" s="693"/>
      <c r="J275" s="692"/>
      <c r="K275" s="692"/>
    </row>
    <row r="276" spans="1:11" ht="15" hidden="1" x14ac:dyDescent="0.25">
      <c r="A276" s="728">
        <f t="shared" si="14"/>
        <v>88.495575221238937</v>
      </c>
      <c r="B276" s="87" t="s">
        <v>3521</v>
      </c>
      <c r="C276" s="759" t="s">
        <v>3495</v>
      </c>
      <c r="D276" s="87">
        <v>10000</v>
      </c>
      <c r="E276" s="87">
        <v>113</v>
      </c>
      <c r="F276" s="563">
        <f t="shared" si="15"/>
        <v>10000</v>
      </c>
      <c r="G276" s="87">
        <f t="shared" si="8"/>
        <v>0</v>
      </c>
      <c r="H276" s="690"/>
      <c r="I276" s="693"/>
      <c r="J276" s="692"/>
      <c r="K276" s="692"/>
    </row>
    <row r="277" spans="1:11" ht="15" hidden="1" x14ac:dyDescent="0.25">
      <c r="A277" s="728">
        <f t="shared" si="14"/>
        <v>88.082901554404145</v>
      </c>
      <c r="B277" s="87" t="s">
        <v>3521</v>
      </c>
      <c r="C277" s="759" t="s">
        <v>2134</v>
      </c>
      <c r="D277" s="87">
        <v>17000</v>
      </c>
      <c r="E277" s="87">
        <v>193</v>
      </c>
      <c r="F277" s="563">
        <f t="shared" si="15"/>
        <v>17000</v>
      </c>
      <c r="G277" s="87">
        <f t="shared" si="8"/>
        <v>0</v>
      </c>
      <c r="H277" s="690"/>
      <c r="I277" s="693"/>
      <c r="J277" s="692"/>
      <c r="K277" s="692"/>
    </row>
    <row r="278" spans="1:11" ht="15" hidden="1" x14ac:dyDescent="0.25">
      <c r="A278" s="728">
        <f t="shared" si="14"/>
        <v>88.495575221238937</v>
      </c>
      <c r="B278" s="87" t="s">
        <v>3521</v>
      </c>
      <c r="C278" s="740" t="s">
        <v>3567</v>
      </c>
      <c r="D278" s="87">
        <v>10000</v>
      </c>
      <c r="E278" s="87">
        <v>113</v>
      </c>
      <c r="F278" s="563">
        <f t="shared" si="15"/>
        <v>10000</v>
      </c>
      <c r="G278" s="87">
        <f t="shared" si="8"/>
        <v>0</v>
      </c>
      <c r="H278" s="690"/>
      <c r="I278" s="693"/>
      <c r="J278" s="692"/>
      <c r="K278" s="692"/>
    </row>
    <row r="279" spans="1:11" ht="15" hidden="1" x14ac:dyDescent="0.25">
      <c r="A279" s="728">
        <f t="shared" si="14"/>
        <v>87.912087912087912</v>
      </c>
      <c r="B279" s="87" t="s">
        <v>3521</v>
      </c>
      <c r="C279" s="740" t="s">
        <v>3562</v>
      </c>
      <c r="D279" s="87">
        <v>16000</v>
      </c>
      <c r="E279" s="87">
        <v>182</v>
      </c>
      <c r="F279" s="563">
        <f t="shared" si="15"/>
        <v>16000</v>
      </c>
      <c r="G279" s="87">
        <f t="shared" si="8"/>
        <v>0</v>
      </c>
      <c r="H279" s="690"/>
      <c r="I279" s="693"/>
      <c r="J279" s="692"/>
      <c r="K279" s="692"/>
    </row>
    <row r="280" spans="1:11" ht="15" hidden="1" x14ac:dyDescent="0.25">
      <c r="A280" s="728">
        <f t="shared" si="14"/>
        <v>88.495575221238937</v>
      </c>
      <c r="B280" s="87" t="s">
        <v>3521</v>
      </c>
      <c r="C280" s="740" t="s">
        <v>3563</v>
      </c>
      <c r="D280" s="87">
        <v>10000</v>
      </c>
      <c r="E280" s="87">
        <v>113</v>
      </c>
      <c r="F280" s="563">
        <f t="shared" si="15"/>
        <v>10000</v>
      </c>
      <c r="G280" s="87">
        <f t="shared" si="8"/>
        <v>0</v>
      </c>
      <c r="H280" s="690"/>
      <c r="I280" s="693"/>
      <c r="J280" s="692"/>
      <c r="K280" s="692"/>
    </row>
    <row r="281" spans="1:11" ht="15" hidden="1" x14ac:dyDescent="0.25">
      <c r="A281" s="728">
        <f t="shared" si="14"/>
        <v>88</v>
      </c>
      <c r="B281" s="87" t="s">
        <v>3521</v>
      </c>
      <c r="C281" s="740" t="s">
        <v>3564</v>
      </c>
      <c r="D281" s="87">
        <v>22000</v>
      </c>
      <c r="E281" s="87">
        <v>250</v>
      </c>
      <c r="F281" s="563">
        <f t="shared" si="15"/>
        <v>22000</v>
      </c>
      <c r="G281" s="87">
        <f t="shared" si="8"/>
        <v>0</v>
      </c>
      <c r="H281" s="690"/>
      <c r="I281" s="693"/>
      <c r="J281" s="692"/>
      <c r="K281" s="692"/>
    </row>
    <row r="282" spans="1:11" ht="15" hidden="1" x14ac:dyDescent="0.25">
      <c r="A282" s="728">
        <f t="shared" si="14"/>
        <v>87.947882736156359</v>
      </c>
      <c r="B282" s="87" t="s">
        <v>3521</v>
      </c>
      <c r="C282" s="740" t="s">
        <v>3565</v>
      </c>
      <c r="D282" s="87">
        <v>27000</v>
      </c>
      <c r="E282" s="87">
        <v>307</v>
      </c>
      <c r="F282" s="563">
        <f t="shared" si="15"/>
        <v>27000</v>
      </c>
      <c r="G282" s="87">
        <f t="shared" si="8"/>
        <v>0</v>
      </c>
      <c r="H282" s="690"/>
      <c r="I282" s="693"/>
      <c r="J282" s="692"/>
      <c r="K282" s="692"/>
    </row>
    <row r="283" spans="1:11" ht="15" hidden="1" x14ac:dyDescent="0.25">
      <c r="A283" s="728">
        <f t="shared" si="14"/>
        <v>88.050314465408803</v>
      </c>
      <c r="B283" s="87" t="s">
        <v>3521</v>
      </c>
      <c r="C283" s="740" t="s">
        <v>2554</v>
      </c>
      <c r="D283" s="87">
        <v>28000</v>
      </c>
      <c r="E283" s="87">
        <v>318</v>
      </c>
      <c r="F283" s="563">
        <f t="shared" si="15"/>
        <v>28000</v>
      </c>
      <c r="G283" s="87">
        <f t="shared" si="8"/>
        <v>0</v>
      </c>
      <c r="H283" s="690"/>
      <c r="I283" s="693"/>
      <c r="J283" s="692"/>
      <c r="K283" s="692"/>
    </row>
    <row r="284" spans="1:11" ht="15" hidden="1" x14ac:dyDescent="0.25">
      <c r="A284" s="728">
        <f t="shared" si="14"/>
        <v>88.050314465408803</v>
      </c>
      <c r="B284" s="87" t="s">
        <v>3521</v>
      </c>
      <c r="C284" s="740" t="s">
        <v>3566</v>
      </c>
      <c r="D284" s="87">
        <v>14000</v>
      </c>
      <c r="E284" s="87">
        <v>159</v>
      </c>
      <c r="F284" s="563">
        <f t="shared" si="15"/>
        <v>14000</v>
      </c>
      <c r="G284" s="87">
        <f t="shared" si="8"/>
        <v>0</v>
      </c>
      <c r="H284" s="690"/>
      <c r="I284" s="693"/>
      <c r="J284" s="692"/>
      <c r="K284" s="692"/>
    </row>
    <row r="285" spans="1:11" s="751" customFormat="1" ht="15" hidden="1" x14ac:dyDescent="0.25">
      <c r="A285" s="728">
        <f t="shared" si="14"/>
        <v>87.837837837837839</v>
      </c>
      <c r="B285" s="87" t="s">
        <v>3521</v>
      </c>
      <c r="C285" s="740">
        <v>3197</v>
      </c>
      <c r="D285" s="87">
        <v>13000</v>
      </c>
      <c r="E285" s="87">
        <v>148</v>
      </c>
      <c r="F285" s="563">
        <f t="shared" si="15"/>
        <v>13000</v>
      </c>
      <c r="G285" s="87">
        <f t="shared" ref="G285" si="16">D285-F285</f>
        <v>0</v>
      </c>
      <c r="H285" s="690"/>
      <c r="I285" s="693"/>
      <c r="J285" s="692"/>
      <c r="K285" s="692"/>
    </row>
    <row r="286" spans="1:11" ht="15" hidden="1" x14ac:dyDescent="0.25">
      <c r="A286" s="728">
        <f t="shared" si="14"/>
        <v>87.86610878661088</v>
      </c>
      <c r="B286" s="87" t="s">
        <v>3551</v>
      </c>
      <c r="C286" s="740" t="s">
        <v>2223</v>
      </c>
      <c r="D286" s="87">
        <v>21000</v>
      </c>
      <c r="E286" s="87">
        <v>239</v>
      </c>
      <c r="F286" s="563">
        <f t="shared" si="15"/>
        <v>21000</v>
      </c>
      <c r="G286" s="87">
        <f t="shared" si="8"/>
        <v>0</v>
      </c>
      <c r="H286" s="690"/>
      <c r="I286" s="693"/>
      <c r="J286" s="692"/>
      <c r="K286" s="692"/>
    </row>
    <row r="287" spans="1:11" ht="15" hidden="1" x14ac:dyDescent="0.25">
      <c r="A287" s="728">
        <f t="shared" si="14"/>
        <v>107.52688172043011</v>
      </c>
      <c r="B287" s="87" t="s">
        <v>3551</v>
      </c>
      <c r="C287" s="740" t="s">
        <v>3571</v>
      </c>
      <c r="D287" s="87">
        <v>20000</v>
      </c>
      <c r="E287" s="87">
        <v>186</v>
      </c>
      <c r="F287" s="563">
        <f t="shared" si="15"/>
        <v>20000</v>
      </c>
      <c r="G287" s="87">
        <f t="shared" si="8"/>
        <v>0</v>
      </c>
      <c r="H287" s="690"/>
      <c r="I287" s="693"/>
      <c r="J287" s="692"/>
      <c r="K287" s="692"/>
    </row>
    <row r="288" spans="1:11" ht="15" hidden="1" x14ac:dyDescent="0.25">
      <c r="A288" s="728">
        <f t="shared" si="14"/>
        <v>87.912087912087912</v>
      </c>
      <c r="B288" s="87" t="s">
        <v>3551</v>
      </c>
      <c r="C288" s="740" t="s">
        <v>30</v>
      </c>
      <c r="D288" s="87">
        <v>8000</v>
      </c>
      <c r="E288" s="87">
        <v>91</v>
      </c>
      <c r="F288" s="563">
        <f t="shared" si="15"/>
        <v>8000</v>
      </c>
      <c r="G288" s="87">
        <f t="shared" si="8"/>
        <v>0</v>
      </c>
      <c r="H288" s="690"/>
      <c r="I288" s="693"/>
      <c r="J288" s="692"/>
      <c r="K288" s="692"/>
    </row>
    <row r="289" spans="1:11" ht="15" hidden="1" x14ac:dyDescent="0.25">
      <c r="A289" s="728">
        <f t="shared" si="14"/>
        <v>90</v>
      </c>
      <c r="B289" s="87" t="s">
        <v>3551</v>
      </c>
      <c r="C289" s="740" t="s">
        <v>30</v>
      </c>
      <c r="D289" s="87">
        <v>900</v>
      </c>
      <c r="E289" s="87">
        <v>10</v>
      </c>
      <c r="F289" s="563">
        <f t="shared" si="15"/>
        <v>900</v>
      </c>
      <c r="G289" s="87">
        <f t="shared" si="8"/>
        <v>0</v>
      </c>
      <c r="H289" s="690"/>
      <c r="I289" s="693"/>
      <c r="J289" s="692"/>
      <c r="K289" s="692"/>
    </row>
    <row r="290" spans="1:11" ht="15" hidden="1" x14ac:dyDescent="0.25">
      <c r="A290" s="728">
        <f t="shared" si="14"/>
        <v>90</v>
      </c>
      <c r="B290" s="87" t="s">
        <v>3551</v>
      </c>
      <c r="C290" s="740" t="s">
        <v>30</v>
      </c>
      <c r="D290" s="87">
        <v>900</v>
      </c>
      <c r="E290" s="87">
        <v>10</v>
      </c>
      <c r="F290" s="563">
        <f t="shared" si="15"/>
        <v>900</v>
      </c>
      <c r="G290" s="87">
        <f t="shared" si="8"/>
        <v>0</v>
      </c>
      <c r="H290" s="690"/>
      <c r="I290" s="693"/>
      <c r="J290" s="692"/>
      <c r="K290" s="692"/>
    </row>
    <row r="291" spans="1:11" ht="15" hidden="1" x14ac:dyDescent="0.25">
      <c r="A291" s="728">
        <f t="shared" si="14"/>
        <v>87.912087912087912</v>
      </c>
      <c r="B291" s="87" t="s">
        <v>3551</v>
      </c>
      <c r="C291" s="740" t="s">
        <v>3572</v>
      </c>
      <c r="D291" s="87">
        <v>16000</v>
      </c>
      <c r="E291" s="87">
        <v>182</v>
      </c>
      <c r="F291" s="563">
        <f t="shared" si="15"/>
        <v>16000</v>
      </c>
      <c r="G291" s="87">
        <f t="shared" si="8"/>
        <v>0</v>
      </c>
      <c r="H291" s="690"/>
      <c r="I291" s="693"/>
      <c r="J291" s="692"/>
      <c r="K291" s="692"/>
    </row>
    <row r="292" spans="1:11" ht="15" hidden="1" x14ac:dyDescent="0.25">
      <c r="A292" s="728">
        <f t="shared" si="14"/>
        <v>87.86610878661088</v>
      </c>
      <c r="B292" s="87" t="s">
        <v>3551</v>
      </c>
      <c r="C292" s="740" t="s">
        <v>3588</v>
      </c>
      <c r="D292" s="87">
        <v>21000</v>
      </c>
      <c r="E292" s="87">
        <v>239</v>
      </c>
      <c r="F292" s="563">
        <f t="shared" si="15"/>
        <v>21000</v>
      </c>
      <c r="G292" s="87">
        <f t="shared" si="8"/>
        <v>0</v>
      </c>
      <c r="H292" s="690"/>
      <c r="I292" s="693"/>
      <c r="J292" s="692"/>
      <c r="K292" s="692"/>
    </row>
    <row r="293" spans="1:11" ht="15" hidden="1" x14ac:dyDescent="0.25">
      <c r="A293" s="728">
        <f t="shared" si="14"/>
        <v>94.827586206896555</v>
      </c>
      <c r="B293" s="87" t="s">
        <v>3551</v>
      </c>
      <c r="C293" s="740" t="s">
        <v>2967</v>
      </c>
      <c r="D293" s="87">
        <v>22000</v>
      </c>
      <c r="E293" s="87">
        <v>232</v>
      </c>
      <c r="F293" s="563">
        <f t="shared" si="15"/>
        <v>22000</v>
      </c>
      <c r="G293" s="87">
        <f t="shared" si="8"/>
        <v>0</v>
      </c>
      <c r="H293" s="690"/>
      <c r="I293" s="693"/>
      <c r="J293" s="692"/>
      <c r="K293" s="692"/>
    </row>
    <row r="294" spans="1:11" ht="15" hidden="1" x14ac:dyDescent="0.25">
      <c r="A294" s="728">
        <f t="shared" si="14"/>
        <v>91.575091575091577</v>
      </c>
      <c r="B294" s="87" t="s">
        <v>3551</v>
      </c>
      <c r="C294" s="740" t="s">
        <v>3016</v>
      </c>
      <c r="D294" s="87">
        <v>25000</v>
      </c>
      <c r="E294" s="87">
        <v>273</v>
      </c>
      <c r="F294" s="563">
        <f t="shared" si="15"/>
        <v>25000</v>
      </c>
      <c r="G294" s="87">
        <f t="shared" si="8"/>
        <v>0</v>
      </c>
      <c r="H294" s="690"/>
      <c r="I294" s="693"/>
      <c r="J294" s="692"/>
      <c r="K294" s="692"/>
    </row>
    <row r="295" spans="1:11" ht="15" hidden="1" x14ac:dyDescent="0.25">
      <c r="A295" s="728">
        <f t="shared" si="14"/>
        <v>87.947882736156359</v>
      </c>
      <c r="B295" s="87" t="s">
        <v>3551</v>
      </c>
      <c r="C295" s="740" t="s">
        <v>3573</v>
      </c>
      <c r="D295" s="87">
        <v>27000</v>
      </c>
      <c r="E295" s="87">
        <v>307</v>
      </c>
      <c r="F295" s="563">
        <f t="shared" si="15"/>
        <v>27000</v>
      </c>
      <c r="G295" s="87">
        <f t="shared" si="8"/>
        <v>0</v>
      </c>
      <c r="H295" s="690"/>
      <c r="I295" s="693"/>
      <c r="J295" s="692"/>
      <c r="K295" s="692"/>
    </row>
    <row r="296" spans="1:11" ht="15" hidden="1" x14ac:dyDescent="0.25">
      <c r="A296" s="728">
        <f t="shared" si="14"/>
        <v>87.912087912087912</v>
      </c>
      <c r="B296" s="87" t="s">
        <v>3551</v>
      </c>
      <c r="C296" s="740" t="s">
        <v>3574</v>
      </c>
      <c r="D296" s="87">
        <v>24000</v>
      </c>
      <c r="E296" s="87">
        <v>273</v>
      </c>
      <c r="F296" s="563">
        <f t="shared" si="15"/>
        <v>24000</v>
      </c>
      <c r="G296" s="87">
        <f t="shared" si="8"/>
        <v>0</v>
      </c>
      <c r="H296" s="690"/>
      <c r="I296" s="693"/>
      <c r="J296" s="692"/>
      <c r="K296" s="692"/>
    </row>
    <row r="297" spans="1:11" ht="15" hidden="1" x14ac:dyDescent="0.25">
      <c r="A297" s="728">
        <f t="shared" si="14"/>
        <v>87.912087912087912</v>
      </c>
      <c r="B297" s="87" t="s">
        <v>3551</v>
      </c>
      <c r="C297" s="740" t="s">
        <v>3575</v>
      </c>
      <c r="D297" s="87">
        <v>16000</v>
      </c>
      <c r="E297" s="87">
        <v>182</v>
      </c>
      <c r="F297" s="563">
        <f t="shared" si="15"/>
        <v>16000</v>
      </c>
      <c r="G297" s="87">
        <f t="shared" si="8"/>
        <v>0</v>
      </c>
      <c r="H297" s="690"/>
      <c r="I297" s="693"/>
      <c r="J297" s="692"/>
      <c r="K297" s="692"/>
    </row>
    <row r="298" spans="1:11" ht="15" hidden="1" x14ac:dyDescent="0.25">
      <c r="A298" s="728">
        <f t="shared" si="14"/>
        <v>87.890625</v>
      </c>
      <c r="B298" s="87" t="s">
        <v>3551</v>
      </c>
      <c r="C298" s="740" t="s">
        <v>3053</v>
      </c>
      <c r="D298" s="87">
        <v>22500</v>
      </c>
      <c r="E298" s="87">
        <v>256</v>
      </c>
      <c r="F298" s="563">
        <f t="shared" si="15"/>
        <v>22500</v>
      </c>
      <c r="G298" s="87">
        <f t="shared" si="8"/>
        <v>0</v>
      </c>
      <c r="H298" s="690"/>
      <c r="I298" s="693"/>
      <c r="J298" s="692"/>
      <c r="K298" s="692"/>
    </row>
    <row r="299" spans="1:11" ht="15" hidden="1" x14ac:dyDescent="0.25">
      <c r="A299" s="728">
        <f t="shared" si="14"/>
        <v>89.94708994708995</v>
      </c>
      <c r="B299" s="87" t="s">
        <v>3551</v>
      </c>
      <c r="C299" s="740" t="s">
        <v>1926</v>
      </c>
      <c r="D299" s="87">
        <v>17000</v>
      </c>
      <c r="E299" s="87">
        <v>189</v>
      </c>
      <c r="F299" s="563">
        <f t="shared" si="15"/>
        <v>17000</v>
      </c>
      <c r="G299" s="87">
        <f t="shared" si="8"/>
        <v>0</v>
      </c>
      <c r="H299" s="690"/>
      <c r="I299" s="693"/>
      <c r="J299" s="692"/>
      <c r="K299" s="692"/>
    </row>
    <row r="300" spans="1:11" ht="15" hidden="1" x14ac:dyDescent="0.25">
      <c r="A300" s="728">
        <f t="shared" si="14"/>
        <v>88.028169014084511</v>
      </c>
      <c r="B300" s="87" t="s">
        <v>3551</v>
      </c>
      <c r="C300" s="740" t="s">
        <v>3576</v>
      </c>
      <c r="D300" s="87">
        <v>25000</v>
      </c>
      <c r="E300" s="87">
        <v>284</v>
      </c>
      <c r="F300" s="563">
        <f t="shared" si="15"/>
        <v>25000</v>
      </c>
      <c r="G300" s="87">
        <f t="shared" si="8"/>
        <v>0</v>
      </c>
      <c r="H300" s="690"/>
      <c r="I300" s="693"/>
      <c r="J300" s="692"/>
      <c r="K300" s="692"/>
    </row>
    <row r="301" spans="1:11" ht="15" hidden="1" x14ac:dyDescent="0.25">
      <c r="A301" s="728">
        <f t="shared" si="14"/>
        <v>89.635854341736689</v>
      </c>
      <c r="B301" s="87" t="s">
        <v>3551</v>
      </c>
      <c r="C301" s="740" t="s">
        <v>2128</v>
      </c>
      <c r="D301" s="87">
        <v>32000</v>
      </c>
      <c r="E301" s="87">
        <v>357</v>
      </c>
      <c r="F301" s="563">
        <f t="shared" si="15"/>
        <v>32000</v>
      </c>
      <c r="G301" s="87">
        <f t="shared" si="8"/>
        <v>0</v>
      </c>
      <c r="H301" s="690"/>
      <c r="I301" s="693"/>
      <c r="J301" s="692"/>
      <c r="K301" s="692"/>
    </row>
    <row r="302" spans="1:11" ht="15" hidden="1" x14ac:dyDescent="0.25">
      <c r="A302" s="728">
        <f t="shared" si="14"/>
        <v>88.028169014084511</v>
      </c>
      <c r="B302" s="87" t="s">
        <v>3551</v>
      </c>
      <c r="C302" s="740" t="s">
        <v>2147</v>
      </c>
      <c r="D302" s="87">
        <v>25000</v>
      </c>
      <c r="E302" s="87">
        <v>284</v>
      </c>
      <c r="F302" s="563">
        <f t="shared" si="15"/>
        <v>25000</v>
      </c>
      <c r="G302" s="87">
        <f t="shared" si="8"/>
        <v>0</v>
      </c>
      <c r="H302" s="690"/>
      <c r="I302" s="693"/>
      <c r="J302" s="692"/>
      <c r="K302" s="692"/>
    </row>
    <row r="303" spans="1:11" ht="15" hidden="1" x14ac:dyDescent="0.25">
      <c r="A303" s="728">
        <f t="shared" si="14"/>
        <v>118.88111888111888</v>
      </c>
      <c r="B303" s="87" t="s">
        <v>3569</v>
      </c>
      <c r="C303" s="740" t="s">
        <v>1848</v>
      </c>
      <c r="D303" s="87">
        <v>17000</v>
      </c>
      <c r="E303" s="87">
        <v>143</v>
      </c>
      <c r="F303" s="563">
        <f t="shared" si="15"/>
        <v>17000</v>
      </c>
      <c r="G303" s="87">
        <f t="shared" si="8"/>
        <v>0</v>
      </c>
      <c r="H303" s="690"/>
      <c r="I303" s="693"/>
      <c r="J303" s="692"/>
      <c r="K303" s="692"/>
    </row>
    <row r="304" spans="1:11" ht="15" hidden="1" x14ac:dyDescent="0.25">
      <c r="A304" s="728">
        <f t="shared" si="14"/>
        <v>88.105726872246692</v>
      </c>
      <c r="B304" s="87" t="s">
        <v>3569</v>
      </c>
      <c r="C304" s="740" t="s">
        <v>2490</v>
      </c>
      <c r="D304" s="87">
        <v>20000</v>
      </c>
      <c r="E304" s="87">
        <v>227</v>
      </c>
      <c r="F304" s="563">
        <f t="shared" si="15"/>
        <v>20000</v>
      </c>
      <c r="G304" s="87">
        <f t="shared" si="8"/>
        <v>0</v>
      </c>
      <c r="H304" s="690"/>
      <c r="I304" s="693"/>
      <c r="J304" s="692"/>
      <c r="K304" s="692"/>
    </row>
    <row r="305" spans="1:11" ht="15" hidden="1" x14ac:dyDescent="0.25">
      <c r="A305" s="728">
        <f t="shared" si="14"/>
        <v>89.285714285714292</v>
      </c>
      <c r="B305" s="87" t="s">
        <v>3569</v>
      </c>
      <c r="C305" s="740" t="s">
        <v>3578</v>
      </c>
      <c r="D305" s="87">
        <v>5000</v>
      </c>
      <c r="E305" s="87">
        <v>56</v>
      </c>
      <c r="F305" s="563">
        <f t="shared" si="15"/>
        <v>5000</v>
      </c>
      <c r="G305" s="87">
        <f t="shared" si="8"/>
        <v>0</v>
      </c>
      <c r="H305" s="690"/>
      <c r="I305" s="693"/>
      <c r="J305" s="692"/>
      <c r="K305" s="692"/>
    </row>
    <row r="306" spans="1:11" ht="15" hidden="1" x14ac:dyDescent="0.25">
      <c r="A306" s="728">
        <f t="shared" si="14"/>
        <v>90.909090909090907</v>
      </c>
      <c r="B306" s="87" t="s">
        <v>3569</v>
      </c>
      <c r="C306" s="740" t="s">
        <v>30</v>
      </c>
      <c r="D306" s="87">
        <v>2000</v>
      </c>
      <c r="E306" s="87">
        <v>22</v>
      </c>
      <c r="F306" s="563">
        <f t="shared" si="15"/>
        <v>2000</v>
      </c>
      <c r="G306" s="87">
        <f t="shared" si="8"/>
        <v>0</v>
      </c>
      <c r="H306" s="690"/>
      <c r="I306" s="693"/>
      <c r="J306" s="692"/>
      <c r="K306" s="692"/>
    </row>
    <row r="307" spans="1:11" ht="15" hidden="1" x14ac:dyDescent="0.25">
      <c r="A307" s="728">
        <f t="shared" si="14"/>
        <v>88.235294117647058</v>
      </c>
      <c r="B307" s="87" t="s">
        <v>3569</v>
      </c>
      <c r="C307" s="740" t="s">
        <v>30</v>
      </c>
      <c r="D307" s="87">
        <v>9000</v>
      </c>
      <c r="E307" s="87">
        <v>102</v>
      </c>
      <c r="F307" s="563">
        <f t="shared" si="15"/>
        <v>9000</v>
      </c>
      <c r="G307" s="87">
        <f t="shared" si="8"/>
        <v>0</v>
      </c>
      <c r="H307" s="690"/>
      <c r="I307" s="693"/>
      <c r="J307" s="692"/>
      <c r="K307" s="692"/>
    </row>
    <row r="308" spans="1:11" ht="15" hidden="1" x14ac:dyDescent="0.25">
      <c r="A308" s="728">
        <f t="shared" si="14"/>
        <v>90.517241379310349</v>
      </c>
      <c r="B308" s="87" t="s">
        <v>3569</v>
      </c>
      <c r="C308" s="740" t="s">
        <v>3579</v>
      </c>
      <c r="D308" s="87">
        <v>21000</v>
      </c>
      <c r="E308" s="87">
        <v>232</v>
      </c>
      <c r="F308" s="563">
        <f t="shared" si="15"/>
        <v>21000</v>
      </c>
      <c r="G308" s="87">
        <f t="shared" si="8"/>
        <v>0</v>
      </c>
      <c r="H308" s="690"/>
      <c r="I308" s="693"/>
      <c r="J308" s="692"/>
      <c r="K308" s="692"/>
    </row>
    <row r="309" spans="1:11" ht="15" hidden="1" x14ac:dyDescent="0.25">
      <c r="A309" s="728">
        <f t="shared" si="14"/>
        <v>88.082901554404145</v>
      </c>
      <c r="B309" s="87" t="s">
        <v>3569</v>
      </c>
      <c r="C309" s="740" t="s">
        <v>1855</v>
      </c>
      <c r="D309" s="87">
        <v>17000</v>
      </c>
      <c r="E309" s="87">
        <v>193</v>
      </c>
      <c r="F309" s="563">
        <f t="shared" si="15"/>
        <v>17000</v>
      </c>
      <c r="G309" s="87">
        <f t="shared" si="8"/>
        <v>0</v>
      </c>
      <c r="H309" s="690"/>
      <c r="I309" s="693"/>
      <c r="J309" s="692"/>
      <c r="K309" s="692"/>
    </row>
    <row r="310" spans="1:11" ht="15" hidden="1" x14ac:dyDescent="0.25">
      <c r="A310" s="728">
        <f t="shared" si="14"/>
        <v>97.222222222222214</v>
      </c>
      <c r="B310" s="87" t="s">
        <v>3569</v>
      </c>
      <c r="C310" s="740" t="s">
        <v>66</v>
      </c>
      <c r="D310" s="87">
        <v>210</v>
      </c>
      <c r="E310" s="87">
        <v>2.16</v>
      </c>
      <c r="F310" s="563">
        <f t="shared" si="15"/>
        <v>210</v>
      </c>
      <c r="G310" s="87">
        <f t="shared" si="8"/>
        <v>0</v>
      </c>
      <c r="H310" s="690"/>
      <c r="I310" s="693"/>
      <c r="J310" s="692"/>
      <c r="K310" s="692"/>
    </row>
    <row r="311" spans="1:11" ht="15" hidden="1" x14ac:dyDescent="0.25">
      <c r="A311" s="728">
        <f t="shared" si="14"/>
        <v>88.028169014084511</v>
      </c>
      <c r="B311" s="87" t="s">
        <v>3569</v>
      </c>
      <c r="C311" s="740" t="s">
        <v>3580</v>
      </c>
      <c r="D311" s="87">
        <v>25000</v>
      </c>
      <c r="E311" s="87">
        <v>284</v>
      </c>
      <c r="F311" s="563">
        <f t="shared" si="15"/>
        <v>25000</v>
      </c>
      <c r="G311" s="87">
        <f t="shared" si="8"/>
        <v>0</v>
      </c>
      <c r="H311" s="690"/>
      <c r="I311" s="693"/>
      <c r="J311" s="692"/>
      <c r="K311" s="692"/>
    </row>
    <row r="312" spans="1:11" ht="15" hidden="1" x14ac:dyDescent="0.25">
      <c r="A312" s="728">
        <f t="shared" si="14"/>
        <v>87.774294670846402</v>
      </c>
      <c r="B312" s="87" t="s">
        <v>3569</v>
      </c>
      <c r="C312" s="740" t="s">
        <v>3581</v>
      </c>
      <c r="D312" s="87">
        <v>28000</v>
      </c>
      <c r="E312" s="87">
        <v>319</v>
      </c>
      <c r="F312" s="563">
        <f t="shared" si="15"/>
        <v>28000</v>
      </c>
      <c r="G312" s="87">
        <f t="shared" si="8"/>
        <v>0</v>
      </c>
      <c r="H312" s="690"/>
      <c r="I312" s="693"/>
      <c r="J312" s="692"/>
      <c r="K312" s="692"/>
    </row>
    <row r="313" spans="1:11" ht="15" hidden="1" x14ac:dyDescent="0.25">
      <c r="A313" s="728">
        <f t="shared" si="14"/>
        <v>87.78879310344827</v>
      </c>
      <c r="B313" s="87" t="s">
        <v>3569</v>
      </c>
      <c r="C313" s="740" t="s">
        <v>3582</v>
      </c>
      <c r="D313" s="87">
        <v>20367</v>
      </c>
      <c r="E313" s="87">
        <v>232</v>
      </c>
      <c r="F313" s="563">
        <f t="shared" si="15"/>
        <v>20367</v>
      </c>
      <c r="G313" s="87">
        <f t="shared" si="8"/>
        <v>0</v>
      </c>
      <c r="H313" s="690"/>
      <c r="I313" s="693"/>
      <c r="J313" s="692"/>
      <c r="K313" s="692"/>
    </row>
    <row r="314" spans="1:11" ht="15" hidden="1" x14ac:dyDescent="0.25">
      <c r="A314" s="728">
        <f t="shared" si="14"/>
        <v>87.837837837837839</v>
      </c>
      <c r="B314" s="87" t="s">
        <v>3569</v>
      </c>
      <c r="C314" s="740" t="s">
        <v>3583</v>
      </c>
      <c r="D314" s="87">
        <v>26000</v>
      </c>
      <c r="E314" s="87">
        <v>296</v>
      </c>
      <c r="F314" s="563">
        <f t="shared" si="15"/>
        <v>26000</v>
      </c>
      <c r="G314" s="87">
        <f t="shared" si="8"/>
        <v>0</v>
      </c>
      <c r="H314" s="690"/>
      <c r="I314" s="693"/>
      <c r="J314" s="692"/>
      <c r="K314" s="692"/>
    </row>
    <row r="315" spans="1:11" ht="15" hidden="1" x14ac:dyDescent="0.25">
      <c r="A315" s="728">
        <f t="shared" si="14"/>
        <v>88.014981273408239</v>
      </c>
      <c r="B315" s="87" t="s">
        <v>3569</v>
      </c>
      <c r="C315" s="740" t="s">
        <v>3584</v>
      </c>
      <c r="D315" s="87">
        <v>23500</v>
      </c>
      <c r="E315" s="87">
        <v>267</v>
      </c>
      <c r="F315" s="563">
        <f t="shared" si="15"/>
        <v>23500</v>
      </c>
      <c r="G315" s="87">
        <f t="shared" si="8"/>
        <v>0</v>
      </c>
      <c r="H315" s="690"/>
      <c r="I315" s="693"/>
      <c r="J315" s="692"/>
      <c r="K315" s="692"/>
    </row>
    <row r="316" spans="1:11" ht="15" hidden="1" x14ac:dyDescent="0.25">
      <c r="A316" s="728">
        <f t="shared" si="14"/>
        <v>88.028169014084511</v>
      </c>
      <c r="B316" s="87" t="s">
        <v>3569</v>
      </c>
      <c r="C316" s="740" t="s">
        <v>3585</v>
      </c>
      <c r="D316" s="87">
        <v>25000</v>
      </c>
      <c r="E316" s="87">
        <v>284</v>
      </c>
      <c r="F316" s="563">
        <f t="shared" si="15"/>
        <v>25000</v>
      </c>
      <c r="G316" s="87">
        <f t="shared" si="8"/>
        <v>0</v>
      </c>
      <c r="H316" s="690"/>
      <c r="I316" s="693"/>
      <c r="J316" s="692"/>
      <c r="K316" s="692"/>
    </row>
    <row r="317" spans="1:11" ht="15" hidden="1" x14ac:dyDescent="0.25">
      <c r="A317" s="728">
        <f t="shared" si="14"/>
        <v>73.963470319634709</v>
      </c>
      <c r="B317" s="87" t="s">
        <v>3569</v>
      </c>
      <c r="C317" s="740" t="s">
        <v>3586</v>
      </c>
      <c r="D317" s="87">
        <v>16198</v>
      </c>
      <c r="E317" s="87">
        <v>219</v>
      </c>
      <c r="F317" s="563">
        <f t="shared" si="15"/>
        <v>16198</v>
      </c>
      <c r="G317" s="87">
        <f t="shared" si="8"/>
        <v>0</v>
      </c>
      <c r="H317" s="690"/>
      <c r="I317" s="693"/>
      <c r="J317" s="692"/>
      <c r="K317" s="692"/>
    </row>
    <row r="318" spans="1:11" ht="15" hidden="1" x14ac:dyDescent="0.25">
      <c r="A318" s="728">
        <f t="shared" si="14"/>
        <v>88.050314465408803</v>
      </c>
      <c r="B318" s="87" t="s">
        <v>3569</v>
      </c>
      <c r="C318" s="740" t="s">
        <v>3587</v>
      </c>
      <c r="D318" s="87">
        <v>14000</v>
      </c>
      <c r="E318" s="87">
        <v>159</v>
      </c>
      <c r="F318" s="563">
        <f t="shared" si="15"/>
        <v>14000</v>
      </c>
      <c r="G318" s="87">
        <f t="shared" si="8"/>
        <v>0</v>
      </c>
      <c r="H318" s="690"/>
      <c r="I318" s="693"/>
      <c r="J318" s="692"/>
      <c r="K318" s="692"/>
    </row>
    <row r="319" spans="1:11" ht="15" hidden="1" x14ac:dyDescent="0.25">
      <c r="A319" s="728">
        <f t="shared" si="14"/>
        <v>87.795275590551185</v>
      </c>
      <c r="B319" s="87" t="s">
        <v>3570</v>
      </c>
      <c r="C319" s="740" t="s">
        <v>3306</v>
      </c>
      <c r="D319" s="87">
        <v>22300</v>
      </c>
      <c r="E319" s="87">
        <v>254</v>
      </c>
      <c r="F319" s="563">
        <f t="shared" si="15"/>
        <v>22300</v>
      </c>
      <c r="G319" s="87">
        <f t="shared" si="8"/>
        <v>0</v>
      </c>
      <c r="H319" s="690"/>
      <c r="I319" s="693"/>
      <c r="J319" s="692"/>
      <c r="K319" s="692"/>
    </row>
    <row r="320" spans="1:11" ht="15" hidden="1" x14ac:dyDescent="0.25">
      <c r="A320" s="728">
        <f t="shared" si="14"/>
        <v>87.782805429864254</v>
      </c>
      <c r="B320" s="87" t="s">
        <v>3570</v>
      </c>
      <c r="C320" s="740" t="s">
        <v>3589</v>
      </c>
      <c r="D320" s="87">
        <v>19400</v>
      </c>
      <c r="E320" s="87">
        <v>221</v>
      </c>
      <c r="F320" s="563">
        <f t="shared" si="15"/>
        <v>19400</v>
      </c>
      <c r="G320" s="87">
        <f t="shared" si="8"/>
        <v>0</v>
      </c>
      <c r="H320" s="690"/>
      <c r="I320" s="693"/>
      <c r="J320" s="692"/>
      <c r="K320" s="692"/>
    </row>
    <row r="321" spans="1:11" ht="15" hidden="1" x14ac:dyDescent="0.25">
      <c r="A321" s="728">
        <f t="shared" si="14"/>
        <v>88.235294117647058</v>
      </c>
      <c r="B321" s="87" t="s">
        <v>3570</v>
      </c>
      <c r="C321" s="759" t="s">
        <v>3590</v>
      </c>
      <c r="D321" s="87">
        <v>16500</v>
      </c>
      <c r="E321" s="87">
        <v>187</v>
      </c>
      <c r="F321" s="563">
        <f t="shared" si="15"/>
        <v>16500</v>
      </c>
      <c r="G321" s="87">
        <f t="shared" si="8"/>
        <v>0</v>
      </c>
      <c r="H321" s="690"/>
      <c r="I321" s="693"/>
      <c r="J321" s="692"/>
      <c r="K321" s="692"/>
    </row>
    <row r="322" spans="1:11" ht="15" hidden="1" x14ac:dyDescent="0.25">
      <c r="A322" s="728">
        <f t="shared" si="14"/>
        <v>88.028169014084511</v>
      </c>
      <c r="B322" s="87" t="s">
        <v>3570</v>
      </c>
      <c r="C322" s="740" t="s">
        <v>3591</v>
      </c>
      <c r="D322" s="87">
        <v>25000</v>
      </c>
      <c r="E322" s="87">
        <v>284</v>
      </c>
      <c r="F322" s="563">
        <f t="shared" si="15"/>
        <v>25000</v>
      </c>
      <c r="G322" s="87">
        <f t="shared" si="8"/>
        <v>0</v>
      </c>
      <c r="H322" s="690"/>
      <c r="I322" s="693"/>
      <c r="J322" s="692"/>
      <c r="K322" s="692"/>
    </row>
    <row r="323" spans="1:11" ht="15" hidden="1" x14ac:dyDescent="0.25">
      <c r="A323" s="728">
        <f t="shared" si="14"/>
        <v>98.214285714285708</v>
      </c>
      <c r="B323" s="87" t="s">
        <v>3570</v>
      </c>
      <c r="C323" s="740" t="s">
        <v>66</v>
      </c>
      <c r="D323" s="87">
        <v>110</v>
      </c>
      <c r="E323" s="87">
        <v>1.1200000000000001</v>
      </c>
      <c r="F323" s="563">
        <f t="shared" si="15"/>
        <v>110</v>
      </c>
      <c r="G323" s="87">
        <f t="shared" si="8"/>
        <v>0</v>
      </c>
      <c r="H323" s="690"/>
      <c r="I323" s="693"/>
      <c r="J323" s="692"/>
      <c r="K323" s="692"/>
    </row>
    <row r="324" spans="1:11" ht="15" hidden="1" x14ac:dyDescent="0.25">
      <c r="A324" s="728">
        <f t="shared" si="14"/>
        <v>88.105726872246692</v>
      </c>
      <c r="B324" s="87" t="s">
        <v>3570</v>
      </c>
      <c r="C324" s="740" t="s">
        <v>3592</v>
      </c>
      <c r="D324" s="87">
        <v>20000</v>
      </c>
      <c r="E324" s="87">
        <v>227</v>
      </c>
      <c r="F324" s="563">
        <f t="shared" si="15"/>
        <v>20000</v>
      </c>
      <c r="G324" s="87">
        <f t="shared" si="8"/>
        <v>0</v>
      </c>
      <c r="H324" s="690"/>
      <c r="I324" s="693"/>
      <c r="J324" s="692"/>
      <c r="K324" s="692"/>
    </row>
    <row r="325" spans="1:11" ht="15" hidden="1" x14ac:dyDescent="0.25">
      <c r="A325" s="728">
        <f t="shared" si="14"/>
        <v>88.105726872246692</v>
      </c>
      <c r="B325" s="87" t="s">
        <v>3570</v>
      </c>
      <c r="C325" s="740" t="s">
        <v>3593</v>
      </c>
      <c r="D325" s="87">
        <v>20000</v>
      </c>
      <c r="E325" s="87">
        <v>227</v>
      </c>
      <c r="F325" s="563">
        <f t="shared" si="15"/>
        <v>20000</v>
      </c>
      <c r="G325" s="87">
        <f t="shared" si="8"/>
        <v>0</v>
      </c>
      <c r="H325" s="690"/>
      <c r="I325" s="693"/>
      <c r="J325" s="692"/>
      <c r="K325" s="692"/>
    </row>
    <row r="326" spans="1:11" ht="15" hidden="1" x14ac:dyDescent="0.25">
      <c r="A326" s="728">
        <f t="shared" si="14"/>
        <v>88.235294117647058</v>
      </c>
      <c r="B326" s="87" t="s">
        <v>3570</v>
      </c>
      <c r="C326" s="740" t="s">
        <v>3594</v>
      </c>
      <c r="D326" s="87">
        <v>15000</v>
      </c>
      <c r="E326" s="87">
        <v>170</v>
      </c>
      <c r="F326" s="563">
        <f t="shared" si="15"/>
        <v>15000</v>
      </c>
      <c r="G326" s="87">
        <f t="shared" si="8"/>
        <v>0</v>
      </c>
      <c r="H326" s="690"/>
      <c r="I326" s="693"/>
      <c r="J326" s="692"/>
      <c r="K326" s="692"/>
    </row>
    <row r="327" spans="1:11" ht="15" hidden="1" x14ac:dyDescent="0.25">
      <c r="A327" s="728">
        <f t="shared" si="14"/>
        <v>87.912087912087912</v>
      </c>
      <c r="B327" s="87" t="s">
        <v>3577</v>
      </c>
      <c r="C327" s="740" t="s">
        <v>30</v>
      </c>
      <c r="D327" s="87">
        <v>8000</v>
      </c>
      <c r="E327" s="87">
        <v>91</v>
      </c>
      <c r="F327" s="563">
        <f t="shared" si="15"/>
        <v>8000</v>
      </c>
      <c r="G327" s="87">
        <f t="shared" si="8"/>
        <v>0</v>
      </c>
      <c r="H327" s="690"/>
      <c r="I327" s="693"/>
      <c r="J327" s="692"/>
      <c r="K327" s="692"/>
    </row>
    <row r="328" spans="1:11" ht="15" hidden="1" x14ac:dyDescent="0.25">
      <c r="A328" s="728">
        <f t="shared" si="14"/>
        <v>88.105726872246692</v>
      </c>
      <c r="B328" s="87" t="s">
        <v>3577</v>
      </c>
      <c r="C328" s="740" t="s">
        <v>2130</v>
      </c>
      <c r="D328" s="87">
        <v>20000</v>
      </c>
      <c r="E328" s="87">
        <v>227</v>
      </c>
      <c r="F328" s="563">
        <f t="shared" si="15"/>
        <v>20000</v>
      </c>
      <c r="G328" s="87">
        <f t="shared" si="8"/>
        <v>0</v>
      </c>
      <c r="H328" s="690"/>
      <c r="I328" s="693"/>
      <c r="J328" s="692"/>
      <c r="K328" s="692"/>
    </row>
    <row r="329" spans="1:11" ht="15" hidden="1" x14ac:dyDescent="0.25">
      <c r="A329" s="728">
        <f t="shared" si="14"/>
        <v>88.105726872246692</v>
      </c>
      <c r="B329" s="87" t="s">
        <v>3577</v>
      </c>
      <c r="C329" s="740" t="s">
        <v>3598</v>
      </c>
      <c r="D329" s="87">
        <v>20000</v>
      </c>
      <c r="E329" s="87">
        <v>227</v>
      </c>
      <c r="F329" s="563">
        <f t="shared" si="15"/>
        <v>20000</v>
      </c>
      <c r="G329" s="87">
        <f t="shared" si="8"/>
        <v>0</v>
      </c>
      <c r="H329" s="690"/>
      <c r="I329" s="693"/>
      <c r="J329" s="692"/>
      <c r="K329" s="692"/>
    </row>
    <row r="330" spans="1:11" ht="15" hidden="1" x14ac:dyDescent="0.25">
      <c r="A330" s="728">
        <f t="shared" si="14"/>
        <v>88.105726872246692</v>
      </c>
      <c r="B330" s="87" t="s">
        <v>3577</v>
      </c>
      <c r="C330" s="740" t="s">
        <v>3599</v>
      </c>
      <c r="D330" s="87">
        <v>20000</v>
      </c>
      <c r="E330" s="87">
        <v>227</v>
      </c>
      <c r="F330" s="563">
        <f t="shared" si="15"/>
        <v>20000</v>
      </c>
      <c r="G330" s="87">
        <f t="shared" si="8"/>
        <v>0</v>
      </c>
      <c r="H330" s="690"/>
      <c r="I330" s="693"/>
      <c r="J330" s="692"/>
      <c r="K330" s="692"/>
    </row>
    <row r="331" spans="1:11" ht="15" hidden="1" x14ac:dyDescent="0.25">
      <c r="A331" s="728">
        <f t="shared" si="14"/>
        <v>88.082901554404145</v>
      </c>
      <c r="B331" s="87" t="s">
        <v>3577</v>
      </c>
      <c r="C331" s="740" t="s">
        <v>2044</v>
      </c>
      <c r="D331" s="87">
        <v>17000</v>
      </c>
      <c r="E331" s="87">
        <v>193</v>
      </c>
      <c r="F331" s="563">
        <f t="shared" si="15"/>
        <v>17000</v>
      </c>
      <c r="G331" s="87">
        <f t="shared" si="8"/>
        <v>0</v>
      </c>
      <c r="H331" s="690"/>
      <c r="I331" s="693"/>
      <c r="J331" s="692"/>
      <c r="K331" s="692"/>
    </row>
    <row r="332" spans="1:11" ht="15" hidden="1" x14ac:dyDescent="0.25">
      <c r="A332" s="728">
        <f t="shared" si="14"/>
        <v>87.804878048780495</v>
      </c>
      <c r="B332" s="87" t="s">
        <v>3577</v>
      </c>
      <c r="C332" s="740">
        <v>9777</v>
      </c>
      <c r="D332" s="87">
        <v>18000</v>
      </c>
      <c r="E332" s="87">
        <v>205</v>
      </c>
      <c r="F332" s="563">
        <f t="shared" si="15"/>
        <v>18000</v>
      </c>
      <c r="G332" s="87">
        <f t="shared" si="8"/>
        <v>0</v>
      </c>
      <c r="H332" s="690"/>
      <c r="I332" s="693"/>
      <c r="J332" s="692"/>
      <c r="K332" s="692"/>
    </row>
    <row r="333" spans="1:11" ht="15" hidden="1" x14ac:dyDescent="0.25">
      <c r="A333" s="728">
        <f t="shared" si="14"/>
        <v>98.214285714285708</v>
      </c>
      <c r="B333" s="87" t="s">
        <v>3577</v>
      </c>
      <c r="C333" s="740" t="s">
        <v>66</v>
      </c>
      <c r="D333" s="87">
        <v>110</v>
      </c>
      <c r="E333" s="87">
        <v>1.1200000000000001</v>
      </c>
      <c r="F333" s="563">
        <f t="shared" si="15"/>
        <v>110</v>
      </c>
      <c r="G333" s="87">
        <f t="shared" si="8"/>
        <v>0</v>
      </c>
      <c r="H333" s="690"/>
      <c r="I333" s="693"/>
      <c r="J333" s="692"/>
      <c r="K333" s="692"/>
    </row>
    <row r="334" spans="1:11" ht="15" hidden="1" x14ac:dyDescent="0.25">
      <c r="A334" s="728">
        <f t="shared" si="14"/>
        <v>88.034188034188034</v>
      </c>
      <c r="B334" s="87" t="s">
        <v>3577</v>
      </c>
      <c r="C334" s="740" t="s">
        <v>3600</v>
      </c>
      <c r="D334" s="87">
        <v>20600</v>
      </c>
      <c r="E334" s="87">
        <v>234</v>
      </c>
      <c r="F334" s="563">
        <f t="shared" si="15"/>
        <v>20600</v>
      </c>
      <c r="G334" s="87">
        <f t="shared" si="8"/>
        <v>0</v>
      </c>
      <c r="H334" s="476"/>
      <c r="J334" s="692"/>
      <c r="K334" s="692"/>
    </row>
    <row r="335" spans="1:11" ht="15" hidden="1" x14ac:dyDescent="0.25">
      <c r="A335" s="728">
        <f t="shared" si="14"/>
        <v>88.010563380281695</v>
      </c>
      <c r="B335" s="87" t="s">
        <v>3577</v>
      </c>
      <c r="C335" s="740" t="s">
        <v>3601</v>
      </c>
      <c r="D335" s="87">
        <v>24995</v>
      </c>
      <c r="E335" s="87">
        <v>284</v>
      </c>
      <c r="F335" s="563">
        <f t="shared" si="15"/>
        <v>24995</v>
      </c>
      <c r="G335" s="87">
        <f t="shared" si="8"/>
        <v>0</v>
      </c>
      <c r="H335" s="690"/>
      <c r="I335" s="693"/>
      <c r="J335" s="692"/>
      <c r="K335" s="692"/>
    </row>
    <row r="336" spans="1:11" ht="15" hidden="1" x14ac:dyDescent="0.25">
      <c r="A336" s="728">
        <f t="shared" si="14"/>
        <v>87.962962962962962</v>
      </c>
      <c r="B336" s="87" t="s">
        <v>3577</v>
      </c>
      <c r="C336" s="740" t="s">
        <v>2738</v>
      </c>
      <c r="D336" s="87">
        <v>38000</v>
      </c>
      <c r="E336" s="87">
        <v>432</v>
      </c>
      <c r="F336" s="563">
        <f t="shared" si="15"/>
        <v>38000</v>
      </c>
      <c r="G336" s="87">
        <f t="shared" si="8"/>
        <v>0</v>
      </c>
      <c r="H336" s="690"/>
      <c r="I336" s="693"/>
      <c r="J336" s="692"/>
      <c r="K336" s="692"/>
    </row>
    <row r="337" spans="1:11" ht="15" hidden="1" x14ac:dyDescent="0.25">
      <c r="A337" s="728">
        <f t="shared" si="14"/>
        <v>87.947882736156359</v>
      </c>
      <c r="B337" s="87" t="s">
        <v>3577</v>
      </c>
      <c r="C337" s="740" t="s">
        <v>3602</v>
      </c>
      <c r="D337" s="87">
        <v>27000</v>
      </c>
      <c r="E337" s="87">
        <v>307</v>
      </c>
      <c r="F337" s="563">
        <f t="shared" si="15"/>
        <v>27000</v>
      </c>
      <c r="G337" s="87">
        <f t="shared" si="8"/>
        <v>0</v>
      </c>
      <c r="H337" s="690"/>
      <c r="I337" s="693"/>
      <c r="J337" s="692"/>
      <c r="K337" s="692"/>
    </row>
    <row r="338" spans="1:11" ht="15" hidden="1" x14ac:dyDescent="0.25">
      <c r="A338" s="728">
        <f t="shared" si="14"/>
        <v>87.912087912087912</v>
      </c>
      <c r="B338" s="87" t="s">
        <v>3577</v>
      </c>
      <c r="C338" s="740" t="s">
        <v>3603</v>
      </c>
      <c r="D338" s="87">
        <v>8000</v>
      </c>
      <c r="E338" s="87">
        <v>91</v>
      </c>
      <c r="F338" s="563">
        <f t="shared" si="15"/>
        <v>8000</v>
      </c>
      <c r="G338" s="87">
        <f t="shared" si="8"/>
        <v>0</v>
      </c>
      <c r="H338" s="690"/>
      <c r="I338" s="693"/>
      <c r="J338" s="692"/>
      <c r="K338" s="692"/>
    </row>
    <row r="339" spans="1:11" ht="15" hidden="1" x14ac:dyDescent="0.25">
      <c r="A339" s="728">
        <f t="shared" ref="A339:A402" si="17">D339/E339</f>
        <v>96.385542168674704</v>
      </c>
      <c r="B339" s="87" t="s">
        <v>3577</v>
      </c>
      <c r="C339" s="740" t="s">
        <v>3397</v>
      </c>
      <c r="D339" s="87">
        <v>32000</v>
      </c>
      <c r="E339" s="87">
        <v>332</v>
      </c>
      <c r="F339" s="563">
        <f t="shared" ref="F339:F402" si="18">D339</f>
        <v>32000</v>
      </c>
      <c r="G339" s="87">
        <f t="shared" si="8"/>
        <v>0</v>
      </c>
      <c r="H339" s="690"/>
      <c r="I339" s="693"/>
      <c r="J339" s="692"/>
      <c r="K339" s="692"/>
    </row>
    <row r="340" spans="1:11" ht="15" hidden="1" x14ac:dyDescent="0.25">
      <c r="A340" s="728">
        <f t="shared" si="17"/>
        <v>87.976539589442808</v>
      </c>
      <c r="B340" s="87" t="s">
        <v>3577</v>
      </c>
      <c r="C340" s="740" t="s">
        <v>3393</v>
      </c>
      <c r="D340" s="87">
        <v>30000</v>
      </c>
      <c r="E340" s="87">
        <v>341</v>
      </c>
      <c r="F340" s="563">
        <f t="shared" si="18"/>
        <v>30000</v>
      </c>
      <c r="G340" s="87">
        <f t="shared" si="8"/>
        <v>0</v>
      </c>
      <c r="H340" s="690"/>
      <c r="I340" s="693"/>
      <c r="J340" s="692"/>
      <c r="K340" s="692"/>
    </row>
    <row r="341" spans="1:11" ht="15" hidden="1" x14ac:dyDescent="0.25">
      <c r="A341" s="728">
        <f t="shared" si="17"/>
        <v>96.15384615384616</v>
      </c>
      <c r="B341" s="87" t="s">
        <v>3577</v>
      </c>
      <c r="C341" s="740" t="s">
        <v>3604</v>
      </c>
      <c r="D341" s="87">
        <v>30000</v>
      </c>
      <c r="E341" s="87">
        <v>312</v>
      </c>
      <c r="F341" s="563">
        <f t="shared" si="18"/>
        <v>30000</v>
      </c>
      <c r="G341" s="87">
        <f t="shared" si="8"/>
        <v>0</v>
      </c>
      <c r="H341" s="690"/>
      <c r="I341" s="693"/>
      <c r="J341" s="692"/>
      <c r="K341" s="692"/>
    </row>
    <row r="342" spans="1:11" ht="15" hidden="1" x14ac:dyDescent="0.25">
      <c r="A342" s="728">
        <f t="shared" si="17"/>
        <v>90.659340659340657</v>
      </c>
      <c r="B342" s="87" t="s">
        <v>3577</v>
      </c>
      <c r="C342" s="740" t="s">
        <v>3605</v>
      </c>
      <c r="D342" s="87">
        <v>33000</v>
      </c>
      <c r="E342" s="87">
        <v>364</v>
      </c>
      <c r="F342" s="563">
        <f t="shared" si="18"/>
        <v>33000</v>
      </c>
      <c r="G342" s="87">
        <f t="shared" si="8"/>
        <v>0</v>
      </c>
      <c r="H342" s="690"/>
      <c r="I342" s="693"/>
      <c r="J342" s="692"/>
      <c r="K342" s="692"/>
    </row>
    <row r="343" spans="1:11" ht="15" hidden="1" x14ac:dyDescent="0.25">
      <c r="A343" s="728">
        <f t="shared" si="17"/>
        <v>88.028169014084511</v>
      </c>
      <c r="B343" s="87" t="s">
        <v>3577</v>
      </c>
      <c r="C343" s="740" t="s">
        <v>3606</v>
      </c>
      <c r="D343" s="87">
        <v>25000</v>
      </c>
      <c r="E343" s="87">
        <v>284</v>
      </c>
      <c r="F343" s="563">
        <f t="shared" si="18"/>
        <v>25000</v>
      </c>
      <c r="G343" s="87">
        <f t="shared" si="8"/>
        <v>0</v>
      </c>
      <c r="H343" s="690"/>
      <c r="I343" s="693"/>
      <c r="J343" s="692"/>
      <c r="K343" s="692"/>
    </row>
    <row r="344" spans="1:11" ht="15" hidden="1" x14ac:dyDescent="0.25">
      <c r="A344" s="728">
        <f t="shared" si="17"/>
        <v>86.79245283018868</v>
      </c>
      <c r="B344" s="87" t="s">
        <v>3577</v>
      </c>
      <c r="C344" s="740" t="s">
        <v>3607</v>
      </c>
      <c r="D344" s="87">
        <v>23000</v>
      </c>
      <c r="E344" s="87">
        <v>265</v>
      </c>
      <c r="F344" s="563">
        <f t="shared" si="18"/>
        <v>23000</v>
      </c>
      <c r="G344" s="87">
        <f t="shared" si="8"/>
        <v>0</v>
      </c>
      <c r="H344" s="690"/>
      <c r="I344" s="693"/>
      <c r="J344" s="692"/>
      <c r="K344" s="692"/>
    </row>
    <row r="345" spans="1:11" ht="15" hidden="1" x14ac:dyDescent="0.25">
      <c r="A345" s="728">
        <f t="shared" si="17"/>
        <v>70.422535211267601</v>
      </c>
      <c r="B345" s="87" t="s">
        <v>3577</v>
      </c>
      <c r="C345" s="740" t="s">
        <v>2874</v>
      </c>
      <c r="D345" s="87">
        <v>20000</v>
      </c>
      <c r="E345" s="87">
        <v>284</v>
      </c>
      <c r="F345" s="563">
        <f t="shared" si="18"/>
        <v>20000</v>
      </c>
      <c r="G345" s="87">
        <f t="shared" si="8"/>
        <v>0</v>
      </c>
      <c r="H345" s="690"/>
      <c r="I345" s="693"/>
      <c r="J345" s="692"/>
      <c r="K345" s="692"/>
    </row>
    <row r="346" spans="1:11" ht="15" hidden="1" x14ac:dyDescent="0.25">
      <c r="A346" s="728">
        <f t="shared" si="17"/>
        <v>88</v>
      </c>
      <c r="B346" s="87" t="s">
        <v>3577</v>
      </c>
      <c r="C346" s="740" t="s">
        <v>2935</v>
      </c>
      <c r="D346" s="87">
        <v>22000</v>
      </c>
      <c r="E346" s="87">
        <v>250</v>
      </c>
      <c r="F346" s="563">
        <f t="shared" si="18"/>
        <v>22000</v>
      </c>
      <c r="G346" s="87">
        <f t="shared" si="8"/>
        <v>0</v>
      </c>
      <c r="H346" s="690"/>
      <c r="I346" s="693"/>
      <c r="J346" s="692"/>
      <c r="K346" s="692"/>
    </row>
    <row r="347" spans="1:11" ht="15" hidden="1" x14ac:dyDescent="0.25">
      <c r="A347" s="728">
        <f t="shared" si="17"/>
        <v>92.592592592592595</v>
      </c>
      <c r="B347" s="87" t="s">
        <v>3577</v>
      </c>
      <c r="C347" s="740" t="s">
        <v>3441</v>
      </c>
      <c r="D347" s="87">
        <v>20000</v>
      </c>
      <c r="E347" s="87">
        <v>216</v>
      </c>
      <c r="F347" s="563">
        <f t="shared" si="18"/>
        <v>20000</v>
      </c>
      <c r="G347" s="87">
        <f t="shared" si="8"/>
        <v>0</v>
      </c>
      <c r="H347" s="690"/>
      <c r="I347" s="693"/>
      <c r="J347" s="692"/>
      <c r="K347" s="692"/>
    </row>
    <row r="348" spans="1:11" ht="15" hidden="1" x14ac:dyDescent="0.25">
      <c r="A348" s="728">
        <f t="shared" si="17"/>
        <v>88.495575221238937</v>
      </c>
      <c r="B348" s="87" t="s">
        <v>3577</v>
      </c>
      <c r="C348" s="740" t="s">
        <v>3628</v>
      </c>
      <c r="D348" s="87">
        <v>10000</v>
      </c>
      <c r="E348" s="87">
        <v>113</v>
      </c>
      <c r="F348" s="563">
        <f t="shared" si="18"/>
        <v>10000</v>
      </c>
      <c r="G348" s="87">
        <f t="shared" si="8"/>
        <v>0</v>
      </c>
      <c r="H348" s="690"/>
      <c r="I348" s="693"/>
      <c r="J348" s="692"/>
      <c r="K348" s="692"/>
    </row>
    <row r="349" spans="1:11" ht="15" hidden="1" x14ac:dyDescent="0.25">
      <c r="A349" s="728">
        <f t="shared" si="17"/>
        <v>88.105726872246692</v>
      </c>
      <c r="B349" s="87" t="s">
        <v>3577</v>
      </c>
      <c r="C349" s="740" t="s">
        <v>3608</v>
      </c>
      <c r="D349" s="87">
        <v>20000</v>
      </c>
      <c r="E349" s="87">
        <v>227</v>
      </c>
      <c r="F349" s="563">
        <f t="shared" si="18"/>
        <v>20000</v>
      </c>
      <c r="G349" s="87">
        <f t="shared" si="8"/>
        <v>0</v>
      </c>
      <c r="H349" s="690"/>
      <c r="I349" s="693"/>
      <c r="J349" s="692"/>
      <c r="K349" s="692"/>
    </row>
    <row r="350" spans="1:11" ht="15" hidden="1" x14ac:dyDescent="0.25">
      <c r="A350" s="728">
        <f t="shared" si="17"/>
        <v>89.10891089108911</v>
      </c>
      <c r="B350" s="87" t="s">
        <v>3609</v>
      </c>
      <c r="C350" s="740" t="s">
        <v>30</v>
      </c>
      <c r="D350" s="87">
        <v>9000</v>
      </c>
      <c r="E350" s="87">
        <v>101</v>
      </c>
      <c r="F350" s="563">
        <f t="shared" si="18"/>
        <v>9000</v>
      </c>
      <c r="G350" s="87">
        <f t="shared" si="8"/>
        <v>0</v>
      </c>
      <c r="H350" s="690"/>
      <c r="I350" s="693"/>
      <c r="J350" s="692"/>
      <c r="K350" s="692"/>
    </row>
    <row r="351" spans="1:11" ht="15" hidden="1" x14ac:dyDescent="0.25">
      <c r="A351" s="728">
        <f t="shared" si="17"/>
        <v>96.774193548387103</v>
      </c>
      <c r="B351" s="87" t="s">
        <v>3609</v>
      </c>
      <c r="C351" s="740" t="s">
        <v>3610</v>
      </c>
      <c r="D351" s="87">
        <v>33000</v>
      </c>
      <c r="E351" s="87">
        <v>341</v>
      </c>
      <c r="F351" s="563">
        <f t="shared" si="18"/>
        <v>33000</v>
      </c>
      <c r="G351" s="87">
        <f t="shared" si="8"/>
        <v>0</v>
      </c>
      <c r="H351" s="690"/>
      <c r="I351" s="693"/>
      <c r="J351" s="692"/>
      <c r="K351" s="692"/>
    </row>
    <row r="352" spans="1:11" ht="15" hidden="1" x14ac:dyDescent="0.25">
      <c r="A352" s="728">
        <f t="shared" si="17"/>
        <v>87.879746835443044</v>
      </c>
      <c r="B352" s="87" t="s">
        <v>3609</v>
      </c>
      <c r="C352" s="740" t="s">
        <v>3611</v>
      </c>
      <c r="D352" s="87">
        <v>27770</v>
      </c>
      <c r="E352" s="87">
        <v>316</v>
      </c>
      <c r="F352" s="563">
        <f t="shared" si="18"/>
        <v>27770</v>
      </c>
      <c r="G352" s="87">
        <f t="shared" si="8"/>
        <v>0</v>
      </c>
      <c r="H352" s="690"/>
      <c r="I352" s="693"/>
      <c r="J352" s="692"/>
      <c r="K352" s="692"/>
    </row>
    <row r="353" spans="1:11" ht="15" hidden="1" x14ac:dyDescent="0.25">
      <c r="A353" s="728">
        <f t="shared" si="17"/>
        <v>88.028169014084511</v>
      </c>
      <c r="B353" s="87" t="s">
        <v>3609</v>
      </c>
      <c r="C353" s="740" t="s">
        <v>3627</v>
      </c>
      <c r="D353" s="87">
        <v>25000</v>
      </c>
      <c r="E353" s="87">
        <v>284</v>
      </c>
      <c r="F353" s="563">
        <f t="shared" si="18"/>
        <v>25000</v>
      </c>
      <c r="G353" s="87">
        <f t="shared" si="8"/>
        <v>0</v>
      </c>
      <c r="H353" s="690"/>
      <c r="I353" s="693"/>
      <c r="J353" s="692"/>
      <c r="K353" s="692"/>
    </row>
    <row r="354" spans="1:11" ht="15" hidden="1" x14ac:dyDescent="0.25">
      <c r="A354" s="728">
        <f t="shared" si="17"/>
        <v>88.028169014084511</v>
      </c>
      <c r="B354" s="87" t="s">
        <v>3609</v>
      </c>
      <c r="C354" s="740" t="s">
        <v>3612</v>
      </c>
      <c r="D354" s="87">
        <v>25000</v>
      </c>
      <c r="E354" s="87">
        <v>284</v>
      </c>
      <c r="F354" s="563">
        <f t="shared" si="18"/>
        <v>25000</v>
      </c>
      <c r="G354" s="87">
        <f t="shared" si="8"/>
        <v>0</v>
      </c>
      <c r="H354" s="690"/>
      <c r="I354" s="693"/>
      <c r="J354" s="692"/>
      <c r="K354" s="692"/>
    </row>
    <row r="355" spans="1:11" ht="15" hidden="1" x14ac:dyDescent="0.25">
      <c r="A355" s="728">
        <f t="shared" si="17"/>
        <v>87.786259541984734</v>
      </c>
      <c r="B355" s="87" t="s">
        <v>3609</v>
      </c>
      <c r="C355" s="740" t="s">
        <v>3613</v>
      </c>
      <c r="D355" s="87">
        <v>23000</v>
      </c>
      <c r="E355" s="87">
        <v>262</v>
      </c>
      <c r="F355" s="563">
        <f t="shared" si="18"/>
        <v>23000</v>
      </c>
      <c r="G355" s="87">
        <f t="shared" si="8"/>
        <v>0</v>
      </c>
      <c r="H355" s="690"/>
      <c r="I355" s="693"/>
      <c r="J355" s="692"/>
      <c r="K355" s="692"/>
    </row>
    <row r="356" spans="1:11" ht="15" hidden="1" x14ac:dyDescent="0.25">
      <c r="A356" s="728">
        <f t="shared" si="17"/>
        <v>88</v>
      </c>
      <c r="B356" s="87" t="s">
        <v>3609</v>
      </c>
      <c r="C356" s="740" t="s">
        <v>3614</v>
      </c>
      <c r="D356" s="87">
        <v>22000</v>
      </c>
      <c r="E356" s="87">
        <v>250</v>
      </c>
      <c r="F356" s="563">
        <f t="shared" si="18"/>
        <v>22000</v>
      </c>
      <c r="G356" s="87">
        <f t="shared" si="8"/>
        <v>0</v>
      </c>
      <c r="H356" s="690"/>
      <c r="I356" s="693"/>
      <c r="J356" s="692"/>
      <c r="K356" s="692"/>
    </row>
    <row r="357" spans="1:11" ht="15" hidden="1" x14ac:dyDescent="0.25">
      <c r="A357" s="728">
        <f t="shared" si="17"/>
        <v>88.888888888888886</v>
      </c>
      <c r="B357" s="87" t="s">
        <v>3615</v>
      </c>
      <c r="C357" s="740" t="s">
        <v>2500</v>
      </c>
      <c r="D357" s="87">
        <v>20000</v>
      </c>
      <c r="E357" s="87">
        <v>225</v>
      </c>
      <c r="F357" s="563">
        <f t="shared" si="18"/>
        <v>20000</v>
      </c>
      <c r="G357" s="87">
        <f t="shared" si="8"/>
        <v>0</v>
      </c>
      <c r="H357" s="690"/>
      <c r="I357" s="693"/>
      <c r="J357" s="692"/>
      <c r="K357" s="692"/>
    </row>
    <row r="358" spans="1:11" ht="15" hidden="1" x14ac:dyDescent="0.25">
      <c r="A358" s="728">
        <f t="shared" si="17"/>
        <v>99.056603773584897</v>
      </c>
      <c r="B358" s="87" t="s">
        <v>3615</v>
      </c>
      <c r="C358" s="740" t="s">
        <v>66</v>
      </c>
      <c r="D358" s="87">
        <v>210</v>
      </c>
      <c r="E358" s="87">
        <v>2.12</v>
      </c>
      <c r="F358" s="563">
        <f t="shared" si="18"/>
        <v>210</v>
      </c>
      <c r="G358" s="87">
        <f t="shared" si="8"/>
        <v>0</v>
      </c>
      <c r="H358" s="690"/>
      <c r="I358" s="693"/>
      <c r="J358" s="692"/>
      <c r="K358" s="692"/>
    </row>
    <row r="359" spans="1:11" ht="15" hidden="1" x14ac:dyDescent="0.25">
      <c r="A359" s="728">
        <f t="shared" si="17"/>
        <v>88.235294117647058</v>
      </c>
      <c r="B359" s="87" t="s">
        <v>3595</v>
      </c>
      <c r="C359" s="740">
        <v>8184</v>
      </c>
      <c r="D359" s="87">
        <v>15000</v>
      </c>
      <c r="E359" s="87">
        <v>170</v>
      </c>
      <c r="F359" s="563">
        <f t="shared" si="18"/>
        <v>15000</v>
      </c>
      <c r="G359" s="87">
        <f t="shared" si="8"/>
        <v>0</v>
      </c>
      <c r="H359" s="690"/>
      <c r="I359" s="693"/>
      <c r="J359" s="692"/>
      <c r="K359" s="692"/>
    </row>
    <row r="360" spans="1:11" ht="15" hidden="1" x14ac:dyDescent="0.25">
      <c r="A360" s="728">
        <f t="shared" si="17"/>
        <v>88.082901554404145</v>
      </c>
      <c r="B360" s="87" t="s">
        <v>3595</v>
      </c>
      <c r="C360" s="740">
        <v>5151</v>
      </c>
      <c r="D360" s="87">
        <v>17000</v>
      </c>
      <c r="E360" s="87">
        <v>193</v>
      </c>
      <c r="F360" s="563">
        <f t="shared" si="18"/>
        <v>17000</v>
      </c>
      <c r="G360" s="87">
        <f t="shared" si="8"/>
        <v>0</v>
      </c>
      <c r="H360" s="690"/>
      <c r="I360" s="693"/>
      <c r="J360" s="692"/>
      <c r="K360" s="692"/>
    </row>
    <row r="361" spans="1:11" ht="15" hidden="1" x14ac:dyDescent="0.25">
      <c r="A361" s="728">
        <f t="shared" si="17"/>
        <v>88</v>
      </c>
      <c r="B361" s="87" t="s">
        <v>3595</v>
      </c>
      <c r="C361" s="740">
        <v>9197</v>
      </c>
      <c r="D361" s="87">
        <v>22000</v>
      </c>
      <c r="E361" s="87">
        <v>250</v>
      </c>
      <c r="F361" s="563">
        <f t="shared" si="18"/>
        <v>22000</v>
      </c>
      <c r="G361" s="87">
        <f t="shared" si="8"/>
        <v>0</v>
      </c>
      <c r="H361" s="690"/>
      <c r="I361" s="693"/>
      <c r="J361" s="692"/>
      <c r="K361" s="692"/>
    </row>
    <row r="362" spans="1:11" ht="15" hidden="1" x14ac:dyDescent="0.25">
      <c r="A362" s="728">
        <f t="shared" si="17"/>
        <v>87.804878048780495</v>
      </c>
      <c r="B362" s="87" t="s">
        <v>3595</v>
      </c>
      <c r="C362" s="760" t="s">
        <v>3616</v>
      </c>
      <c r="D362" s="87">
        <v>18000</v>
      </c>
      <c r="E362" s="87">
        <v>205</v>
      </c>
      <c r="F362" s="563">
        <f t="shared" si="18"/>
        <v>18000</v>
      </c>
      <c r="G362" s="87">
        <f t="shared" si="8"/>
        <v>0</v>
      </c>
      <c r="H362" s="690"/>
      <c r="I362" s="693"/>
      <c r="J362" s="692"/>
      <c r="K362" s="692"/>
    </row>
    <row r="363" spans="1:11" ht="15" hidden="1" x14ac:dyDescent="0.25">
      <c r="A363" s="728">
        <f t="shared" si="17"/>
        <v>88</v>
      </c>
      <c r="B363" s="87" t="s">
        <v>3595</v>
      </c>
      <c r="C363" s="740">
        <v>2929</v>
      </c>
      <c r="D363" s="87">
        <v>22000</v>
      </c>
      <c r="E363" s="87">
        <v>250</v>
      </c>
      <c r="F363" s="563">
        <f t="shared" si="18"/>
        <v>22000</v>
      </c>
      <c r="G363" s="87">
        <f t="shared" si="8"/>
        <v>0</v>
      </c>
      <c r="H363" s="690"/>
      <c r="I363" s="693"/>
      <c r="J363" s="692"/>
      <c r="K363" s="692"/>
    </row>
    <row r="364" spans="1:11" ht="15" hidden="1" x14ac:dyDescent="0.25">
      <c r="A364" s="728">
        <f t="shared" si="17"/>
        <v>88.028169014084511</v>
      </c>
      <c r="B364" s="87" t="s">
        <v>3595</v>
      </c>
      <c r="C364" s="740" t="s">
        <v>3617</v>
      </c>
      <c r="D364" s="87">
        <v>25000</v>
      </c>
      <c r="E364" s="87">
        <v>284</v>
      </c>
      <c r="F364" s="563">
        <f t="shared" si="18"/>
        <v>25000</v>
      </c>
      <c r="G364" s="87">
        <f t="shared" si="8"/>
        <v>0</v>
      </c>
      <c r="H364" s="690"/>
      <c r="I364" s="693"/>
      <c r="J364" s="692"/>
      <c r="K364" s="692"/>
    </row>
    <row r="365" spans="1:11" ht="15" hidden="1" x14ac:dyDescent="0.25">
      <c r="A365" s="728">
        <f t="shared" si="17"/>
        <v>88.028169014084511</v>
      </c>
      <c r="B365" s="87" t="s">
        <v>3595</v>
      </c>
      <c r="C365" s="740" t="s">
        <v>3359</v>
      </c>
      <c r="D365" s="87">
        <v>25000</v>
      </c>
      <c r="E365" s="87">
        <v>284</v>
      </c>
      <c r="F365" s="563">
        <f t="shared" si="18"/>
        <v>25000</v>
      </c>
      <c r="G365" s="87">
        <f t="shared" si="8"/>
        <v>0</v>
      </c>
      <c r="H365" s="690"/>
      <c r="I365" s="693"/>
      <c r="J365" s="692"/>
      <c r="K365" s="692"/>
    </row>
    <row r="366" spans="1:11" ht="15" hidden="1" x14ac:dyDescent="0.25">
      <c r="A366" s="728">
        <f t="shared" si="17"/>
        <v>95.238095238095241</v>
      </c>
      <c r="B366" s="87" t="s">
        <v>3595</v>
      </c>
      <c r="C366" s="740" t="s">
        <v>3618</v>
      </c>
      <c r="D366" s="87">
        <v>20000</v>
      </c>
      <c r="E366" s="87">
        <v>210</v>
      </c>
      <c r="F366" s="563">
        <f t="shared" si="18"/>
        <v>20000</v>
      </c>
      <c r="G366" s="87">
        <f t="shared" si="8"/>
        <v>0</v>
      </c>
      <c r="H366" s="690"/>
      <c r="I366" s="693"/>
      <c r="J366" s="692"/>
      <c r="K366" s="692"/>
    </row>
    <row r="367" spans="1:11" ht="15" hidden="1" x14ac:dyDescent="0.25">
      <c r="A367" s="728">
        <f t="shared" si="17"/>
        <v>87.976539589442808</v>
      </c>
      <c r="B367" s="87" t="s">
        <v>3595</v>
      </c>
      <c r="C367" s="740" t="s">
        <v>3619</v>
      </c>
      <c r="D367" s="87">
        <v>30000</v>
      </c>
      <c r="E367" s="87">
        <v>341</v>
      </c>
      <c r="F367" s="563">
        <f t="shared" si="18"/>
        <v>30000</v>
      </c>
      <c r="G367" s="87">
        <f t="shared" si="8"/>
        <v>0</v>
      </c>
      <c r="H367" s="690"/>
      <c r="I367" s="693"/>
      <c r="J367" s="692"/>
      <c r="K367" s="692"/>
    </row>
    <row r="368" spans="1:11" ht="15" hidden="1" x14ac:dyDescent="0.25">
      <c r="A368" s="728">
        <f t="shared" si="17"/>
        <v>87.912087912087912</v>
      </c>
      <c r="B368" s="87" t="s">
        <v>3595</v>
      </c>
      <c r="C368" s="740" t="s">
        <v>3620</v>
      </c>
      <c r="D368" s="87">
        <v>16000</v>
      </c>
      <c r="E368" s="87">
        <v>182</v>
      </c>
      <c r="F368" s="563">
        <f t="shared" si="18"/>
        <v>16000</v>
      </c>
      <c r="G368" s="87">
        <f t="shared" si="8"/>
        <v>0</v>
      </c>
      <c r="H368" s="690"/>
      <c r="I368" s="693"/>
      <c r="J368" s="692"/>
      <c r="K368" s="692"/>
    </row>
    <row r="369" spans="1:11" ht="15" hidden="1" x14ac:dyDescent="0.25">
      <c r="A369" s="728">
        <f t="shared" si="17"/>
        <v>88.235294117647058</v>
      </c>
      <c r="B369" s="87" t="s">
        <v>3595</v>
      </c>
      <c r="C369" s="740" t="s">
        <v>30</v>
      </c>
      <c r="D369" s="87">
        <v>9000</v>
      </c>
      <c r="E369" s="87">
        <v>102</v>
      </c>
      <c r="F369" s="563">
        <f t="shared" si="18"/>
        <v>9000</v>
      </c>
      <c r="G369" s="87">
        <f t="shared" si="8"/>
        <v>0</v>
      </c>
      <c r="H369" s="690"/>
      <c r="I369" s="693"/>
      <c r="J369" s="692"/>
      <c r="K369" s="692"/>
    </row>
    <row r="370" spans="1:11" ht="15" hidden="1" x14ac:dyDescent="0.25">
      <c r="A370" s="728">
        <f t="shared" si="17"/>
        <v>88.235294117647058</v>
      </c>
      <c r="B370" s="87" t="s">
        <v>3595</v>
      </c>
      <c r="C370" s="740" t="s">
        <v>3621</v>
      </c>
      <c r="D370" s="87">
        <v>15000</v>
      </c>
      <c r="E370" s="87">
        <v>170</v>
      </c>
      <c r="F370" s="563">
        <f t="shared" si="18"/>
        <v>15000</v>
      </c>
      <c r="G370" s="87">
        <f t="shared" si="8"/>
        <v>0</v>
      </c>
      <c r="H370" s="690"/>
      <c r="I370" s="693"/>
      <c r="J370" s="692"/>
      <c r="K370" s="692"/>
    </row>
    <row r="371" spans="1:11" ht="15" hidden="1" x14ac:dyDescent="0.25">
      <c r="A371" s="728">
        <f t="shared" si="17"/>
        <v>87.774294670846402</v>
      </c>
      <c r="B371" s="87" t="s">
        <v>3595</v>
      </c>
      <c r="C371" s="740" t="s">
        <v>3622</v>
      </c>
      <c r="D371" s="87">
        <v>28000</v>
      </c>
      <c r="E371" s="87">
        <v>319</v>
      </c>
      <c r="F371" s="563">
        <f t="shared" si="18"/>
        <v>28000</v>
      </c>
      <c r="G371" s="87">
        <f t="shared" si="8"/>
        <v>0</v>
      </c>
      <c r="H371" s="690"/>
      <c r="I371" s="693"/>
      <c r="J371" s="692"/>
      <c r="K371" s="692"/>
    </row>
    <row r="372" spans="1:11" ht="15" hidden="1" x14ac:dyDescent="0.25">
      <c r="A372" s="728">
        <f t="shared" si="17"/>
        <v>90.090090090090087</v>
      </c>
      <c r="B372" s="87" t="s">
        <v>3595</v>
      </c>
      <c r="C372" s="740" t="s">
        <v>3623</v>
      </c>
      <c r="D372" s="87">
        <v>30000</v>
      </c>
      <c r="E372" s="87">
        <v>333</v>
      </c>
      <c r="F372" s="563">
        <f t="shared" si="18"/>
        <v>30000</v>
      </c>
      <c r="G372" s="87">
        <f t="shared" si="8"/>
        <v>0</v>
      </c>
      <c r="H372" s="690"/>
      <c r="I372" s="693"/>
      <c r="J372" s="692"/>
      <c r="K372" s="692"/>
    </row>
    <row r="373" spans="1:11" ht="15" hidden="1" x14ac:dyDescent="0.25">
      <c r="A373" s="728">
        <f t="shared" si="17"/>
        <v>93.023255813953483</v>
      </c>
      <c r="B373" s="87" t="s">
        <v>3595</v>
      </c>
      <c r="C373" s="740" t="s">
        <v>3624</v>
      </c>
      <c r="D373" s="87">
        <v>32000</v>
      </c>
      <c r="E373" s="87">
        <v>344</v>
      </c>
      <c r="F373" s="563">
        <f t="shared" si="18"/>
        <v>32000</v>
      </c>
      <c r="G373" s="87">
        <f t="shared" si="8"/>
        <v>0</v>
      </c>
      <c r="H373" s="690"/>
      <c r="I373" s="693"/>
      <c r="J373" s="692"/>
      <c r="K373" s="692"/>
    </row>
    <row r="374" spans="1:11" ht="15" hidden="1" x14ac:dyDescent="0.25">
      <c r="A374" s="728">
        <f t="shared" si="17"/>
        <v>91.21621621621621</v>
      </c>
      <c r="B374" s="87" t="s">
        <v>3595</v>
      </c>
      <c r="C374" s="740" t="s">
        <v>3625</v>
      </c>
      <c r="D374" s="87">
        <v>27000</v>
      </c>
      <c r="E374" s="87">
        <v>296</v>
      </c>
      <c r="F374" s="563">
        <f t="shared" si="18"/>
        <v>27000</v>
      </c>
      <c r="G374" s="87">
        <f t="shared" si="8"/>
        <v>0</v>
      </c>
      <c r="H374" s="690"/>
      <c r="I374" s="693"/>
      <c r="J374" s="692"/>
      <c r="K374" s="692"/>
    </row>
    <row r="375" spans="1:11" ht="15" hidden="1" x14ac:dyDescent="0.25">
      <c r="A375" s="728">
        <f t="shared" si="17"/>
        <v>89.189189189189193</v>
      </c>
      <c r="B375" s="87" t="s">
        <v>3595</v>
      </c>
      <c r="C375" s="740" t="s">
        <v>3078</v>
      </c>
      <c r="D375" s="87">
        <v>33000</v>
      </c>
      <c r="E375" s="87">
        <v>370</v>
      </c>
      <c r="F375" s="563">
        <f t="shared" si="18"/>
        <v>33000</v>
      </c>
      <c r="G375" s="87">
        <f t="shared" si="8"/>
        <v>0</v>
      </c>
      <c r="H375" s="690"/>
      <c r="I375" s="693"/>
      <c r="J375" s="692"/>
      <c r="K375" s="692"/>
    </row>
    <row r="376" spans="1:11" ht="15" hidden="1" x14ac:dyDescent="0.25">
      <c r="A376" s="728">
        <f t="shared" si="17"/>
        <v>87.912087912087912</v>
      </c>
      <c r="B376" s="87" t="s">
        <v>3595</v>
      </c>
      <c r="C376" s="740" t="s">
        <v>1808</v>
      </c>
      <c r="D376" s="87">
        <v>32000</v>
      </c>
      <c r="E376" s="87">
        <v>364</v>
      </c>
      <c r="F376" s="563">
        <f t="shared" si="18"/>
        <v>32000</v>
      </c>
      <c r="G376" s="87">
        <f t="shared" si="8"/>
        <v>0</v>
      </c>
      <c r="H376" s="690"/>
      <c r="I376" s="693"/>
      <c r="J376" s="692"/>
      <c r="K376" s="692"/>
    </row>
    <row r="377" spans="1:11" ht="15" hidden="1" x14ac:dyDescent="0.25">
      <c r="A377" s="728">
        <f t="shared" si="17"/>
        <v>87.765957446808514</v>
      </c>
      <c r="B377" s="87" t="s">
        <v>3595</v>
      </c>
      <c r="C377" s="740" t="s">
        <v>3626</v>
      </c>
      <c r="D377" s="87">
        <v>33000</v>
      </c>
      <c r="E377" s="87">
        <v>376</v>
      </c>
      <c r="F377" s="563">
        <f t="shared" si="18"/>
        <v>33000</v>
      </c>
      <c r="G377" s="87">
        <f t="shared" si="8"/>
        <v>0</v>
      </c>
      <c r="H377" s="690"/>
      <c r="I377" s="693"/>
      <c r="J377" s="692"/>
      <c r="K377" s="692"/>
    </row>
    <row r="378" spans="1:11" ht="15" hidden="1" x14ac:dyDescent="0.25">
      <c r="A378" s="728">
        <f t="shared" si="17"/>
        <v>88.028169014084511</v>
      </c>
      <c r="B378" s="87" t="s">
        <v>3596</v>
      </c>
      <c r="C378" s="759" t="s">
        <v>2916</v>
      </c>
      <c r="D378" s="87">
        <v>25000</v>
      </c>
      <c r="E378" s="87">
        <v>284</v>
      </c>
      <c r="F378" s="563">
        <f t="shared" si="18"/>
        <v>25000</v>
      </c>
      <c r="G378" s="87">
        <f t="shared" si="8"/>
        <v>0</v>
      </c>
      <c r="H378" s="690"/>
      <c r="I378" s="693"/>
      <c r="J378" s="692"/>
      <c r="K378" s="692"/>
    </row>
    <row r="379" spans="1:11" ht="15" hidden="1" x14ac:dyDescent="0.25">
      <c r="A379" s="728">
        <f t="shared" si="17"/>
        <v>93.896713615023472</v>
      </c>
      <c r="B379" s="87" t="s">
        <v>3596</v>
      </c>
      <c r="C379" s="740" t="s">
        <v>3497</v>
      </c>
      <c r="D379" s="87">
        <v>20000</v>
      </c>
      <c r="E379" s="87">
        <v>213</v>
      </c>
      <c r="F379" s="563">
        <f t="shared" si="18"/>
        <v>20000</v>
      </c>
      <c r="G379" s="87">
        <f t="shared" si="8"/>
        <v>0</v>
      </c>
      <c r="H379" s="690"/>
      <c r="I379" s="693"/>
      <c r="J379" s="692"/>
      <c r="K379" s="692"/>
    </row>
    <row r="380" spans="1:11" ht="15" hidden="1" x14ac:dyDescent="0.25">
      <c r="A380" s="728">
        <f t="shared" si="17"/>
        <v>91.743119266055047</v>
      </c>
      <c r="B380" s="87" t="s">
        <v>3596</v>
      </c>
      <c r="C380" s="740" t="s">
        <v>1982</v>
      </c>
      <c r="D380" s="87">
        <v>20000</v>
      </c>
      <c r="E380" s="87">
        <v>218</v>
      </c>
      <c r="F380" s="563">
        <f t="shared" si="18"/>
        <v>20000</v>
      </c>
      <c r="G380" s="87">
        <f t="shared" si="8"/>
        <v>0</v>
      </c>
      <c r="H380" s="690"/>
      <c r="I380" s="693"/>
      <c r="J380" s="692"/>
      <c r="K380" s="692"/>
    </row>
    <row r="381" spans="1:11" ht="15" hidden="1" x14ac:dyDescent="0.25">
      <c r="A381" s="728">
        <f t="shared" si="17"/>
        <v>91.891891891891888</v>
      </c>
      <c r="B381" s="87" t="s">
        <v>3596</v>
      </c>
      <c r="C381" s="740">
        <v>9876</v>
      </c>
      <c r="D381" s="87">
        <v>17000</v>
      </c>
      <c r="E381" s="87">
        <v>185</v>
      </c>
      <c r="F381" s="563">
        <f t="shared" si="18"/>
        <v>17000</v>
      </c>
      <c r="G381" s="87">
        <f t="shared" si="8"/>
        <v>0</v>
      </c>
      <c r="H381" s="690"/>
      <c r="I381" s="693"/>
      <c r="J381" s="692"/>
      <c r="K381" s="692"/>
    </row>
    <row r="382" spans="1:11" ht="15" hidden="1" x14ac:dyDescent="0.25">
      <c r="A382" s="728">
        <f t="shared" si="17"/>
        <v>88.028169014084511</v>
      </c>
      <c r="B382" s="87" t="s">
        <v>3596</v>
      </c>
      <c r="C382" s="740" t="s">
        <v>2287</v>
      </c>
      <c r="D382" s="87">
        <v>25000</v>
      </c>
      <c r="E382" s="87">
        <v>284</v>
      </c>
      <c r="F382" s="563">
        <f t="shared" si="18"/>
        <v>25000</v>
      </c>
      <c r="G382" s="87">
        <f t="shared" si="8"/>
        <v>0</v>
      </c>
      <c r="H382" s="690"/>
      <c r="I382" s="693"/>
      <c r="J382" s="692"/>
      <c r="K382" s="692"/>
    </row>
    <row r="383" spans="1:11" ht="15" hidden="1" x14ac:dyDescent="0.25">
      <c r="A383" s="728">
        <f t="shared" si="17"/>
        <v>88.105726872246692</v>
      </c>
      <c r="B383" s="87" t="s">
        <v>3596</v>
      </c>
      <c r="C383" s="740" t="s">
        <v>3631</v>
      </c>
      <c r="D383" s="87">
        <v>20000</v>
      </c>
      <c r="E383" s="87">
        <v>227</v>
      </c>
      <c r="F383" s="563">
        <f t="shared" si="18"/>
        <v>20000</v>
      </c>
      <c r="G383" s="87">
        <f t="shared" si="8"/>
        <v>0</v>
      </c>
      <c r="H383" s="690"/>
      <c r="I383" s="693"/>
      <c r="J383" s="692"/>
      <c r="K383" s="692"/>
    </row>
    <row r="384" spans="1:11" ht="15" hidden="1" x14ac:dyDescent="0.25">
      <c r="A384" s="728">
        <f t="shared" si="17"/>
        <v>89.635854341736689</v>
      </c>
      <c r="B384" s="87" t="s">
        <v>3596</v>
      </c>
      <c r="C384" s="740" t="s">
        <v>3632</v>
      </c>
      <c r="D384" s="87">
        <v>32000</v>
      </c>
      <c r="E384" s="87">
        <v>357</v>
      </c>
      <c r="F384" s="563">
        <f t="shared" si="18"/>
        <v>32000</v>
      </c>
      <c r="G384" s="87">
        <f t="shared" si="8"/>
        <v>0</v>
      </c>
      <c r="H384" s="690"/>
      <c r="I384" s="693"/>
      <c r="J384" s="692"/>
      <c r="K384" s="692"/>
    </row>
    <row r="385" spans="1:11" ht="15" hidden="1" x14ac:dyDescent="0.25">
      <c r="A385" s="728">
        <f t="shared" si="17"/>
        <v>90.395480225988706</v>
      </c>
      <c r="B385" s="87" t="s">
        <v>3596</v>
      </c>
      <c r="C385" s="740" t="s">
        <v>3396</v>
      </c>
      <c r="D385" s="87">
        <v>32000</v>
      </c>
      <c r="E385" s="87">
        <v>354</v>
      </c>
      <c r="F385" s="563">
        <f t="shared" si="18"/>
        <v>32000</v>
      </c>
      <c r="G385" s="87">
        <f t="shared" si="8"/>
        <v>0</v>
      </c>
      <c r="H385" s="690"/>
      <c r="I385" s="693"/>
      <c r="J385" s="692"/>
      <c r="K385" s="692"/>
    </row>
    <row r="386" spans="1:11" ht="15" hidden="1" x14ac:dyDescent="0.25">
      <c r="A386" s="728">
        <f t="shared" si="17"/>
        <v>88.235294117647058</v>
      </c>
      <c r="B386" s="87" t="s">
        <v>3596</v>
      </c>
      <c r="C386" s="740" t="s">
        <v>3633</v>
      </c>
      <c r="D386" s="87">
        <v>9000</v>
      </c>
      <c r="E386" s="87">
        <v>102</v>
      </c>
      <c r="F386" s="563">
        <f t="shared" si="18"/>
        <v>9000</v>
      </c>
      <c r="G386" s="87">
        <f t="shared" si="8"/>
        <v>0</v>
      </c>
      <c r="H386" s="690"/>
      <c r="I386" s="693"/>
      <c r="J386" s="692"/>
      <c r="K386" s="692"/>
    </row>
    <row r="387" spans="1:11" ht="15" hidden="1" x14ac:dyDescent="0.25">
      <c r="A387" s="728">
        <f t="shared" si="17"/>
        <v>88.028169014084511</v>
      </c>
      <c r="B387" s="87" t="s">
        <v>3596</v>
      </c>
      <c r="C387" s="740" t="s">
        <v>3014</v>
      </c>
      <c r="D387" s="87">
        <v>25000</v>
      </c>
      <c r="E387" s="87">
        <v>284</v>
      </c>
      <c r="F387" s="563">
        <f t="shared" si="18"/>
        <v>25000</v>
      </c>
      <c r="G387" s="87">
        <f t="shared" si="8"/>
        <v>0</v>
      </c>
      <c r="H387" s="690"/>
      <c r="I387" s="693"/>
      <c r="J387" s="692"/>
      <c r="K387" s="692"/>
    </row>
    <row r="388" spans="1:11" ht="15" hidden="1" x14ac:dyDescent="0.25">
      <c r="A388" s="728">
        <f t="shared" si="17"/>
        <v>88.050314465408803</v>
      </c>
      <c r="B388" s="87" t="s">
        <v>3596</v>
      </c>
      <c r="C388" s="740" t="s">
        <v>3634</v>
      </c>
      <c r="D388" s="87">
        <v>28000</v>
      </c>
      <c r="E388" s="87">
        <v>318</v>
      </c>
      <c r="F388" s="563">
        <f t="shared" si="18"/>
        <v>28000</v>
      </c>
      <c r="G388" s="87">
        <f t="shared" si="8"/>
        <v>0</v>
      </c>
      <c r="H388" s="690"/>
      <c r="I388" s="693"/>
      <c r="J388" s="692"/>
      <c r="K388" s="692"/>
    </row>
    <row r="389" spans="1:11" ht="15" hidden="1" x14ac:dyDescent="0.25">
      <c r="A389" s="728">
        <f t="shared" si="17"/>
        <v>95.419847328244273</v>
      </c>
      <c r="B389" s="87" t="s">
        <v>3596</v>
      </c>
      <c r="C389" s="740" t="s">
        <v>3361</v>
      </c>
      <c r="D389" s="87">
        <v>25000</v>
      </c>
      <c r="E389" s="87">
        <v>262</v>
      </c>
      <c r="F389" s="563">
        <f t="shared" si="18"/>
        <v>25000</v>
      </c>
      <c r="G389" s="87">
        <f t="shared" si="8"/>
        <v>0</v>
      </c>
      <c r="H389" s="690"/>
      <c r="I389" s="693"/>
      <c r="J389" s="692"/>
      <c r="K389" s="692"/>
    </row>
    <row r="390" spans="1:11" ht="15" hidden="1" x14ac:dyDescent="0.25">
      <c r="A390" s="728">
        <f t="shared" si="17"/>
        <v>88.235294117647058</v>
      </c>
      <c r="B390" s="87" t="s">
        <v>3596</v>
      </c>
      <c r="C390" s="740" t="s">
        <v>30</v>
      </c>
      <c r="D390" s="87">
        <v>9000</v>
      </c>
      <c r="E390" s="87">
        <v>102</v>
      </c>
      <c r="F390" s="563">
        <f t="shared" si="18"/>
        <v>9000</v>
      </c>
      <c r="G390" s="87">
        <f t="shared" si="8"/>
        <v>0</v>
      </c>
      <c r="H390" s="690"/>
      <c r="I390" s="693"/>
      <c r="J390" s="692"/>
      <c r="K390" s="692"/>
    </row>
    <row r="391" spans="1:11" ht="15" hidden="1" x14ac:dyDescent="0.25">
      <c r="A391" s="728">
        <f t="shared" si="17"/>
        <v>88.016528925619838</v>
      </c>
      <c r="B391" s="87" t="s">
        <v>3597</v>
      </c>
      <c r="C391" s="740" t="s">
        <v>3635</v>
      </c>
      <c r="D391" s="87">
        <v>21300</v>
      </c>
      <c r="E391" s="87">
        <v>242</v>
      </c>
      <c r="F391" s="563">
        <f t="shared" si="18"/>
        <v>21300</v>
      </c>
      <c r="G391" s="87">
        <f t="shared" si="8"/>
        <v>0</v>
      </c>
      <c r="H391" s="690"/>
      <c r="I391" s="693"/>
      <c r="J391" s="692"/>
      <c r="K391" s="692"/>
    </row>
    <row r="392" spans="1:11" ht="15" hidden="1" x14ac:dyDescent="0.25">
      <c r="A392" s="728">
        <f t="shared" si="17"/>
        <v>87.912087912087912</v>
      </c>
      <c r="B392" s="87" t="s">
        <v>3597</v>
      </c>
      <c r="C392" s="740" t="s">
        <v>3636</v>
      </c>
      <c r="D392" s="87">
        <v>24000</v>
      </c>
      <c r="E392" s="87">
        <v>273</v>
      </c>
      <c r="F392" s="563">
        <f t="shared" si="18"/>
        <v>24000</v>
      </c>
      <c r="G392" s="87">
        <f t="shared" ref="G392:G646" si="19">D392-F392</f>
        <v>0</v>
      </c>
      <c r="H392" s="690"/>
      <c r="I392" s="693"/>
      <c r="J392" s="692"/>
      <c r="K392" s="692"/>
    </row>
    <row r="393" spans="1:11" ht="15" hidden="1" x14ac:dyDescent="0.25">
      <c r="A393" s="728">
        <f t="shared" si="17"/>
        <v>88</v>
      </c>
      <c r="B393" s="87" t="s">
        <v>3597</v>
      </c>
      <c r="C393" s="740" t="s">
        <v>1724</v>
      </c>
      <c r="D393" s="87">
        <v>22000</v>
      </c>
      <c r="E393" s="87">
        <v>250</v>
      </c>
      <c r="F393" s="563">
        <f t="shared" si="18"/>
        <v>22000</v>
      </c>
      <c r="G393" s="87">
        <f t="shared" si="19"/>
        <v>0</v>
      </c>
      <c r="H393" s="690"/>
      <c r="I393" s="693"/>
      <c r="J393" s="692"/>
      <c r="K393" s="692"/>
    </row>
    <row r="394" spans="1:11" ht="15" hidden="1" x14ac:dyDescent="0.25">
      <c r="A394" s="728">
        <f t="shared" si="17"/>
        <v>87.804878048780495</v>
      </c>
      <c r="B394" s="87" t="s">
        <v>3597</v>
      </c>
      <c r="C394" s="740" t="s">
        <v>3637</v>
      </c>
      <c r="D394" s="87">
        <v>18000</v>
      </c>
      <c r="E394" s="87">
        <v>205</v>
      </c>
      <c r="F394" s="563">
        <f t="shared" si="18"/>
        <v>18000</v>
      </c>
      <c r="G394" s="87">
        <f t="shared" si="19"/>
        <v>0</v>
      </c>
      <c r="H394" s="690"/>
      <c r="I394" s="693"/>
      <c r="J394" s="692"/>
      <c r="K394" s="692"/>
    </row>
    <row r="395" spans="1:11" ht="15" hidden="1" x14ac:dyDescent="0.25">
      <c r="A395" s="728">
        <f t="shared" si="17"/>
        <v>88.028169014084511</v>
      </c>
      <c r="B395" s="87" t="s">
        <v>3597</v>
      </c>
      <c r="C395" s="740" t="s">
        <v>1959</v>
      </c>
      <c r="D395" s="87">
        <v>25000</v>
      </c>
      <c r="E395" s="87">
        <v>284</v>
      </c>
      <c r="F395" s="563">
        <f t="shared" si="18"/>
        <v>25000</v>
      </c>
      <c r="G395" s="87">
        <f t="shared" si="19"/>
        <v>0</v>
      </c>
      <c r="H395" s="690"/>
      <c r="I395" s="693"/>
      <c r="J395" s="692"/>
      <c r="K395" s="692"/>
    </row>
    <row r="396" spans="1:11" ht="15" hidden="1" x14ac:dyDescent="0.25">
      <c r="A396" s="728">
        <f t="shared" si="17"/>
        <v>87.818696883852695</v>
      </c>
      <c r="B396" s="87" t="s">
        <v>3597</v>
      </c>
      <c r="C396" s="740" t="s">
        <v>3638</v>
      </c>
      <c r="D396" s="87">
        <v>31000</v>
      </c>
      <c r="E396" s="87">
        <v>353</v>
      </c>
      <c r="F396" s="563">
        <f t="shared" si="18"/>
        <v>31000</v>
      </c>
      <c r="G396" s="87">
        <f t="shared" si="19"/>
        <v>0</v>
      </c>
      <c r="H396" s="690"/>
      <c r="I396" s="693"/>
      <c r="J396" s="692"/>
      <c r="K396" s="692"/>
    </row>
    <row r="397" spans="1:11" ht="15" hidden="1" x14ac:dyDescent="0.25">
      <c r="A397" s="728">
        <f t="shared" si="17"/>
        <v>88.571428571428569</v>
      </c>
      <c r="B397" s="87" t="s">
        <v>3597</v>
      </c>
      <c r="C397" s="740">
        <v>5376</v>
      </c>
      <c r="D397" s="87">
        <v>31000</v>
      </c>
      <c r="E397" s="87">
        <v>350</v>
      </c>
      <c r="F397" s="563">
        <f t="shared" si="18"/>
        <v>31000</v>
      </c>
      <c r="G397" s="87">
        <f t="shared" si="19"/>
        <v>0</v>
      </c>
      <c r="H397" s="690"/>
      <c r="I397" s="693"/>
      <c r="J397" s="692"/>
      <c r="K397" s="692"/>
    </row>
    <row r="398" spans="1:11" ht="15" hidden="1" x14ac:dyDescent="0.25">
      <c r="A398" s="728">
        <f t="shared" si="17"/>
        <v>87.947882736156359</v>
      </c>
      <c r="B398" s="87" t="s">
        <v>3597</v>
      </c>
      <c r="C398" s="740" t="s">
        <v>3639</v>
      </c>
      <c r="D398" s="87">
        <v>27000</v>
      </c>
      <c r="E398" s="87">
        <v>307</v>
      </c>
      <c r="F398" s="563">
        <f t="shared" si="18"/>
        <v>27000</v>
      </c>
      <c r="G398" s="87">
        <f t="shared" si="19"/>
        <v>0</v>
      </c>
      <c r="H398" s="690"/>
      <c r="I398" s="693"/>
      <c r="J398" s="692"/>
      <c r="K398" s="692"/>
    </row>
    <row r="399" spans="1:11" ht="15" hidden="1" x14ac:dyDescent="0.25">
      <c r="A399" s="728">
        <f t="shared" si="17"/>
        <v>87.976539589442808</v>
      </c>
      <c r="B399" s="87" t="s">
        <v>3597</v>
      </c>
      <c r="C399" s="740" t="s">
        <v>3640</v>
      </c>
      <c r="D399" s="87">
        <v>30000</v>
      </c>
      <c r="E399" s="87">
        <v>341</v>
      </c>
      <c r="F399" s="563">
        <f t="shared" si="18"/>
        <v>30000</v>
      </c>
      <c r="G399" s="87">
        <f t="shared" si="19"/>
        <v>0</v>
      </c>
      <c r="H399" s="690"/>
      <c r="I399" s="693"/>
      <c r="J399" s="692"/>
      <c r="K399" s="692"/>
    </row>
    <row r="400" spans="1:11" ht="15" hidden="1" x14ac:dyDescent="0.25">
      <c r="A400" s="728">
        <f t="shared" si="17"/>
        <v>101.12359550561797</v>
      </c>
      <c r="B400" s="87" t="s">
        <v>3597</v>
      </c>
      <c r="C400" s="740">
        <v>2545</v>
      </c>
      <c r="D400" s="87">
        <v>18000</v>
      </c>
      <c r="E400" s="87">
        <v>178</v>
      </c>
      <c r="F400" s="563">
        <f t="shared" si="18"/>
        <v>18000</v>
      </c>
      <c r="G400" s="87">
        <f t="shared" si="19"/>
        <v>0</v>
      </c>
      <c r="H400" s="690"/>
      <c r="I400" s="693"/>
      <c r="J400" s="692"/>
      <c r="K400" s="692"/>
    </row>
    <row r="401" spans="1:11" ht="15" hidden="1" x14ac:dyDescent="0.25">
      <c r="A401" s="728">
        <f t="shared" si="17"/>
        <v>88.105726872246692</v>
      </c>
      <c r="B401" s="87" t="s">
        <v>3629</v>
      </c>
      <c r="C401" s="740" t="s">
        <v>3641</v>
      </c>
      <c r="D401" s="87">
        <v>20000</v>
      </c>
      <c r="E401" s="87">
        <v>227</v>
      </c>
      <c r="F401" s="563">
        <f t="shared" si="18"/>
        <v>20000</v>
      </c>
      <c r="G401" s="87">
        <f t="shared" si="19"/>
        <v>0</v>
      </c>
      <c r="H401" s="690"/>
      <c r="I401" s="693"/>
      <c r="J401" s="692"/>
      <c r="K401" s="692"/>
    </row>
    <row r="402" spans="1:11" ht="15" hidden="1" x14ac:dyDescent="0.25">
      <c r="A402" s="728">
        <f t="shared" si="17"/>
        <v>89.743589743589737</v>
      </c>
      <c r="B402" s="87" t="s">
        <v>3629</v>
      </c>
      <c r="C402" s="740" t="s">
        <v>3642</v>
      </c>
      <c r="D402" s="87">
        <v>21000</v>
      </c>
      <c r="E402" s="87">
        <v>234</v>
      </c>
      <c r="F402" s="563">
        <f t="shared" si="18"/>
        <v>21000</v>
      </c>
      <c r="G402" s="87">
        <f t="shared" si="19"/>
        <v>0</v>
      </c>
      <c r="H402" s="690"/>
      <c r="I402" s="693"/>
      <c r="J402" s="692"/>
      <c r="K402" s="692"/>
    </row>
    <row r="403" spans="1:11" ht="15" hidden="1" x14ac:dyDescent="0.25">
      <c r="A403" s="728">
        <f t="shared" ref="A403:A466" si="20">D403/E403</f>
        <v>90.909090909090907</v>
      </c>
      <c r="B403" s="87" t="s">
        <v>3629</v>
      </c>
      <c r="C403" s="740" t="s">
        <v>3655</v>
      </c>
      <c r="D403" s="87">
        <v>31000</v>
      </c>
      <c r="E403" s="87">
        <v>341</v>
      </c>
      <c r="F403" s="563">
        <f t="shared" ref="F403:F466" si="21">D403</f>
        <v>31000</v>
      </c>
      <c r="G403" s="87">
        <f t="shared" si="19"/>
        <v>0</v>
      </c>
      <c r="H403" s="690"/>
      <c r="I403" s="693"/>
      <c r="J403" s="692"/>
      <c r="K403" s="692"/>
    </row>
    <row r="404" spans="1:11" ht="15" hidden="1" x14ac:dyDescent="0.25">
      <c r="A404" s="728">
        <f t="shared" si="20"/>
        <v>88.105726872246692</v>
      </c>
      <c r="B404" s="87" t="s">
        <v>3629</v>
      </c>
      <c r="C404" s="740" t="s">
        <v>3643</v>
      </c>
      <c r="D404" s="87">
        <v>20000</v>
      </c>
      <c r="E404" s="87">
        <v>227</v>
      </c>
      <c r="F404" s="563">
        <f t="shared" si="21"/>
        <v>20000</v>
      </c>
      <c r="G404" s="87">
        <f t="shared" si="19"/>
        <v>0</v>
      </c>
      <c r="H404" s="690"/>
      <c r="I404" s="693"/>
      <c r="J404" s="692"/>
      <c r="K404" s="692"/>
    </row>
    <row r="405" spans="1:11" ht="15" hidden="1" x14ac:dyDescent="0.25">
      <c r="A405" s="728">
        <f t="shared" si="20"/>
        <v>87.804878048780495</v>
      </c>
      <c r="B405" s="87" t="s">
        <v>3629</v>
      </c>
      <c r="C405" s="740" t="s">
        <v>3644</v>
      </c>
      <c r="D405" s="87">
        <v>18000</v>
      </c>
      <c r="E405" s="87">
        <v>205</v>
      </c>
      <c r="F405" s="563">
        <f t="shared" si="21"/>
        <v>18000</v>
      </c>
      <c r="G405" s="87">
        <f t="shared" si="19"/>
        <v>0</v>
      </c>
      <c r="H405" s="690"/>
      <c r="I405" s="693"/>
      <c r="J405" s="692"/>
      <c r="K405" s="692"/>
    </row>
    <row r="406" spans="1:11" ht="15" hidden="1" x14ac:dyDescent="0.25">
      <c r="A406" s="728">
        <f t="shared" si="20"/>
        <v>88.028169014084511</v>
      </c>
      <c r="B406" s="87" t="s">
        <v>3629</v>
      </c>
      <c r="C406" s="740" t="s">
        <v>3645</v>
      </c>
      <c r="D406" s="87">
        <v>25000</v>
      </c>
      <c r="E406" s="87">
        <v>284</v>
      </c>
      <c r="F406" s="563">
        <f t="shared" si="21"/>
        <v>25000</v>
      </c>
      <c r="G406" s="87">
        <f t="shared" si="19"/>
        <v>0</v>
      </c>
      <c r="H406" s="690"/>
      <c r="I406" s="693"/>
      <c r="J406" s="692"/>
      <c r="K406" s="692"/>
    </row>
    <row r="407" spans="1:11" ht="15" hidden="1" x14ac:dyDescent="0.25">
      <c r="A407" s="728">
        <f t="shared" si="20"/>
        <v>92.165898617511516</v>
      </c>
      <c r="B407" s="87" t="s">
        <v>3629</v>
      </c>
      <c r="C407" s="740" t="s">
        <v>2891</v>
      </c>
      <c r="D407" s="87">
        <v>20000</v>
      </c>
      <c r="E407" s="87">
        <v>217</v>
      </c>
      <c r="F407" s="563">
        <f t="shared" si="21"/>
        <v>20000</v>
      </c>
      <c r="G407" s="87">
        <f t="shared" si="19"/>
        <v>0</v>
      </c>
      <c r="H407" s="690"/>
      <c r="I407" s="693"/>
      <c r="J407" s="692"/>
      <c r="K407" s="692"/>
    </row>
    <row r="408" spans="1:11" ht="15" hidden="1" x14ac:dyDescent="0.25">
      <c r="A408" s="728">
        <f t="shared" si="20"/>
        <v>87.912087912087912</v>
      </c>
      <c r="B408" s="87" t="s">
        <v>3629</v>
      </c>
      <c r="C408" s="740" t="s">
        <v>30</v>
      </c>
      <c r="D408" s="87">
        <v>8000</v>
      </c>
      <c r="E408" s="87">
        <v>91</v>
      </c>
      <c r="F408" s="563">
        <f t="shared" si="21"/>
        <v>8000</v>
      </c>
      <c r="G408" s="87">
        <f t="shared" si="19"/>
        <v>0</v>
      </c>
      <c r="H408" s="690"/>
      <c r="I408" s="693"/>
      <c r="J408" s="692"/>
      <c r="K408" s="692"/>
    </row>
    <row r="409" spans="1:11" ht="15" hidden="1" x14ac:dyDescent="0.25">
      <c r="A409" s="728">
        <f t="shared" si="20"/>
        <v>98.591549295774655</v>
      </c>
      <c r="B409" s="87" t="s">
        <v>3629</v>
      </c>
      <c r="C409" s="740" t="s">
        <v>66</v>
      </c>
      <c r="D409" s="87">
        <v>210</v>
      </c>
      <c r="E409" s="87">
        <v>2.13</v>
      </c>
      <c r="F409" s="563">
        <f t="shared" si="21"/>
        <v>210</v>
      </c>
      <c r="G409" s="87">
        <f t="shared" si="19"/>
        <v>0</v>
      </c>
      <c r="H409" s="690"/>
      <c r="I409" s="693"/>
      <c r="J409" s="692"/>
      <c r="K409" s="692"/>
    </row>
    <row r="410" spans="1:11" ht="15" hidden="1" x14ac:dyDescent="0.25">
      <c r="A410" s="728">
        <f t="shared" si="20"/>
        <v>88.495575221238937</v>
      </c>
      <c r="B410" s="87" t="s">
        <v>3629</v>
      </c>
      <c r="C410" s="740" t="s">
        <v>3656</v>
      </c>
      <c r="D410" s="87">
        <v>10000</v>
      </c>
      <c r="E410" s="87">
        <v>113</v>
      </c>
      <c r="F410" s="563">
        <f t="shared" si="21"/>
        <v>10000</v>
      </c>
      <c r="G410" s="87">
        <f t="shared" si="19"/>
        <v>0</v>
      </c>
      <c r="H410" s="690"/>
      <c r="I410" s="693"/>
      <c r="J410" s="692"/>
      <c r="K410" s="692"/>
    </row>
    <row r="411" spans="1:11" ht="15" hidden="1" x14ac:dyDescent="0.25">
      <c r="A411" s="728">
        <f t="shared" si="20"/>
        <v>87.976539589442808</v>
      </c>
      <c r="B411" s="87" t="s">
        <v>3629</v>
      </c>
      <c r="C411" s="740" t="s">
        <v>3646</v>
      </c>
      <c r="D411" s="87">
        <v>30000</v>
      </c>
      <c r="E411" s="87">
        <v>341</v>
      </c>
      <c r="F411" s="563">
        <f t="shared" si="21"/>
        <v>30000</v>
      </c>
      <c r="G411" s="87">
        <f t="shared" si="19"/>
        <v>0</v>
      </c>
      <c r="H411" s="690"/>
      <c r="I411" s="693"/>
      <c r="J411" s="692"/>
      <c r="K411" s="692"/>
    </row>
    <row r="412" spans="1:11" ht="15" hidden="1" x14ac:dyDescent="0.25">
      <c r="A412" s="728">
        <f t="shared" si="20"/>
        <v>88.105726872246692</v>
      </c>
      <c r="B412" s="87" t="s">
        <v>3629</v>
      </c>
      <c r="C412" s="740" t="s">
        <v>3647</v>
      </c>
      <c r="D412" s="87">
        <v>20000</v>
      </c>
      <c r="E412" s="87">
        <v>227</v>
      </c>
      <c r="F412" s="563">
        <f t="shared" si="21"/>
        <v>20000</v>
      </c>
      <c r="G412" s="87">
        <f t="shared" si="19"/>
        <v>0</v>
      </c>
      <c r="H412" s="690"/>
      <c r="I412" s="693"/>
      <c r="J412" s="692"/>
      <c r="K412" s="692"/>
    </row>
    <row r="413" spans="1:11" ht="15" hidden="1" x14ac:dyDescent="0.25">
      <c r="A413" s="728">
        <f t="shared" si="20"/>
        <v>88.105726872246692</v>
      </c>
      <c r="B413" s="87" t="s">
        <v>3629</v>
      </c>
      <c r="C413" s="740" t="s">
        <v>3648</v>
      </c>
      <c r="D413" s="87">
        <v>20000</v>
      </c>
      <c r="E413" s="87">
        <v>227</v>
      </c>
      <c r="F413" s="563">
        <f t="shared" si="21"/>
        <v>20000</v>
      </c>
      <c r="G413" s="87">
        <f t="shared" si="19"/>
        <v>0</v>
      </c>
      <c r="H413" s="690"/>
      <c r="I413" s="693"/>
      <c r="J413" s="692"/>
      <c r="K413" s="692"/>
    </row>
    <row r="414" spans="1:11" ht="15" hidden="1" x14ac:dyDescent="0.25">
      <c r="A414" s="728">
        <f t="shared" si="20"/>
        <v>88.028169014084511</v>
      </c>
      <c r="B414" s="87" t="s">
        <v>3629</v>
      </c>
      <c r="C414" s="740" t="s">
        <v>3649</v>
      </c>
      <c r="D414" s="87">
        <v>25000</v>
      </c>
      <c r="E414" s="87">
        <v>284</v>
      </c>
      <c r="F414" s="563">
        <f t="shared" si="21"/>
        <v>25000</v>
      </c>
      <c r="G414" s="87">
        <f t="shared" si="19"/>
        <v>0</v>
      </c>
      <c r="H414" s="690"/>
      <c r="I414" s="693"/>
      <c r="J414" s="692"/>
      <c r="K414" s="692"/>
    </row>
    <row r="415" spans="1:11" ht="15" hidden="1" x14ac:dyDescent="0.25">
      <c r="A415" s="728">
        <f t="shared" si="20"/>
        <v>92.920353982300881</v>
      </c>
      <c r="B415" s="87" t="s">
        <v>3629</v>
      </c>
      <c r="C415" s="740" t="s">
        <v>2211</v>
      </c>
      <c r="D415" s="87">
        <v>21000</v>
      </c>
      <c r="E415" s="87">
        <v>226</v>
      </c>
      <c r="F415" s="563">
        <f t="shared" si="21"/>
        <v>21000</v>
      </c>
      <c r="G415" s="87">
        <f t="shared" si="19"/>
        <v>0</v>
      </c>
      <c r="H415" s="690"/>
      <c r="I415" s="693"/>
      <c r="J415" s="692"/>
      <c r="K415" s="692"/>
    </row>
    <row r="416" spans="1:11" ht="15" hidden="1" x14ac:dyDescent="0.25">
      <c r="A416" s="728">
        <f t="shared" si="20"/>
        <v>88.028169014084511</v>
      </c>
      <c r="B416" s="87" t="s">
        <v>3629</v>
      </c>
      <c r="C416" s="740" t="s">
        <v>3650</v>
      </c>
      <c r="D416" s="87">
        <v>25000</v>
      </c>
      <c r="E416" s="87">
        <v>284</v>
      </c>
      <c r="F416" s="563">
        <f t="shared" si="21"/>
        <v>25000</v>
      </c>
      <c r="G416" s="87">
        <f t="shared" si="19"/>
        <v>0</v>
      </c>
      <c r="H416" s="690"/>
      <c r="I416" s="693"/>
      <c r="J416" s="692"/>
      <c r="K416" s="692"/>
    </row>
    <row r="417" spans="1:11" ht="15" hidden="1" x14ac:dyDescent="0.25">
      <c r="A417" s="728">
        <f t="shared" si="20"/>
        <v>88.560885608856083</v>
      </c>
      <c r="B417" s="87" t="s">
        <v>3629</v>
      </c>
      <c r="C417" s="740" t="s">
        <v>2018</v>
      </c>
      <c r="D417" s="87">
        <v>24000</v>
      </c>
      <c r="E417" s="87">
        <v>271</v>
      </c>
      <c r="F417" s="563">
        <f t="shared" si="21"/>
        <v>24000</v>
      </c>
      <c r="G417" s="87">
        <f t="shared" si="19"/>
        <v>0</v>
      </c>
      <c r="H417" s="690"/>
      <c r="I417" s="693"/>
      <c r="J417" s="692"/>
      <c r="K417" s="692"/>
    </row>
    <row r="418" spans="1:11" ht="15" hidden="1" x14ac:dyDescent="0.25">
      <c r="A418" s="728">
        <f t="shared" si="20"/>
        <v>87.912087912087912</v>
      </c>
      <c r="B418" s="87" t="s">
        <v>3629</v>
      </c>
      <c r="C418" s="740" t="s">
        <v>1913</v>
      </c>
      <c r="D418" s="87">
        <v>24000</v>
      </c>
      <c r="E418" s="87">
        <v>273</v>
      </c>
      <c r="F418" s="563">
        <f t="shared" si="21"/>
        <v>24000</v>
      </c>
      <c r="G418" s="87">
        <f t="shared" si="19"/>
        <v>0</v>
      </c>
      <c r="H418" s="690"/>
      <c r="I418" s="693"/>
      <c r="J418" s="692"/>
      <c r="K418" s="692"/>
    </row>
    <row r="419" spans="1:11" ht="15" hidden="1" x14ac:dyDescent="0.25">
      <c r="A419" s="728">
        <f t="shared" si="20"/>
        <v>92.936802973977692</v>
      </c>
      <c r="B419" s="87" t="s">
        <v>3629</v>
      </c>
      <c r="C419" s="740" t="s">
        <v>3124</v>
      </c>
      <c r="D419" s="87">
        <v>25000</v>
      </c>
      <c r="E419" s="87">
        <v>269</v>
      </c>
      <c r="F419" s="563">
        <f t="shared" si="21"/>
        <v>25000</v>
      </c>
      <c r="G419" s="87">
        <f t="shared" si="19"/>
        <v>0</v>
      </c>
      <c r="H419" s="690"/>
      <c r="I419" s="693"/>
      <c r="J419" s="692"/>
      <c r="K419" s="692"/>
    </row>
    <row r="420" spans="1:11" ht="15" hidden="1" x14ac:dyDescent="0.25">
      <c r="A420" s="728">
        <f t="shared" si="20"/>
        <v>87.774294670846402</v>
      </c>
      <c r="B420" s="87" t="s">
        <v>3629</v>
      </c>
      <c r="C420" s="740" t="s">
        <v>3651</v>
      </c>
      <c r="D420" s="87">
        <v>28000</v>
      </c>
      <c r="E420" s="87">
        <v>319</v>
      </c>
      <c r="F420" s="563">
        <f t="shared" si="21"/>
        <v>28000</v>
      </c>
      <c r="G420" s="87">
        <f t="shared" si="19"/>
        <v>0</v>
      </c>
      <c r="H420" s="690"/>
      <c r="I420" s="693"/>
      <c r="J420" s="692"/>
      <c r="K420" s="692"/>
    </row>
    <row r="421" spans="1:11" ht="15" hidden="1" x14ac:dyDescent="0.25">
      <c r="A421" s="728">
        <f t="shared" si="20"/>
        <v>98.654708520179369</v>
      </c>
      <c r="B421" s="87" t="s">
        <v>3629</v>
      </c>
      <c r="C421" s="740" t="s">
        <v>3652</v>
      </c>
      <c r="D421" s="87">
        <v>22000</v>
      </c>
      <c r="E421" s="87">
        <v>223</v>
      </c>
      <c r="F421" s="563">
        <f t="shared" si="21"/>
        <v>22000</v>
      </c>
      <c r="G421" s="87">
        <f t="shared" si="19"/>
        <v>0</v>
      </c>
      <c r="H421" s="690"/>
      <c r="I421" s="693"/>
      <c r="J421" s="692"/>
      <c r="K421" s="692"/>
    </row>
    <row r="422" spans="1:11" ht="15" hidden="1" x14ac:dyDescent="0.25">
      <c r="A422" s="728">
        <f t="shared" si="20"/>
        <v>88.495575221238937</v>
      </c>
      <c r="B422" s="87" t="s">
        <v>3629</v>
      </c>
      <c r="C422" s="740" t="s">
        <v>3653</v>
      </c>
      <c r="D422" s="87">
        <v>10000</v>
      </c>
      <c r="E422" s="87">
        <v>113</v>
      </c>
      <c r="F422" s="563">
        <f t="shared" si="21"/>
        <v>10000</v>
      </c>
      <c r="G422" s="87">
        <f t="shared" si="19"/>
        <v>0</v>
      </c>
      <c r="H422" s="690"/>
      <c r="I422" s="693"/>
      <c r="J422" s="692"/>
      <c r="K422" s="692"/>
    </row>
    <row r="423" spans="1:11" ht="15" hidden="1" x14ac:dyDescent="0.25">
      <c r="A423" s="728">
        <f t="shared" si="20"/>
        <v>87.976539589442808</v>
      </c>
      <c r="B423" s="87" t="s">
        <v>3629</v>
      </c>
      <c r="C423" s="740" t="s">
        <v>3654</v>
      </c>
      <c r="D423" s="87">
        <v>30000</v>
      </c>
      <c r="E423" s="87">
        <v>341</v>
      </c>
      <c r="F423" s="563">
        <f t="shared" si="21"/>
        <v>30000</v>
      </c>
      <c r="G423" s="87">
        <f t="shared" si="19"/>
        <v>0</v>
      </c>
      <c r="H423" s="690"/>
      <c r="I423" s="693"/>
      <c r="J423" s="692"/>
      <c r="K423" s="692"/>
    </row>
    <row r="424" spans="1:11" ht="15" hidden="1" x14ac:dyDescent="0.25">
      <c r="A424" s="728">
        <f t="shared" si="20"/>
        <v>87.976539589442808</v>
      </c>
      <c r="B424" s="87" t="s">
        <v>3629</v>
      </c>
      <c r="C424" s="740" t="s">
        <v>2704</v>
      </c>
      <c r="D424" s="87">
        <v>30000</v>
      </c>
      <c r="E424" s="87">
        <v>341</v>
      </c>
      <c r="F424" s="563">
        <f t="shared" si="21"/>
        <v>30000</v>
      </c>
      <c r="G424" s="87">
        <f t="shared" si="19"/>
        <v>0</v>
      </c>
      <c r="H424" s="690"/>
      <c r="I424" s="693"/>
      <c r="J424" s="692"/>
      <c r="K424" s="692"/>
    </row>
    <row r="425" spans="1:11" ht="15" hidden="1" x14ac:dyDescent="0.25">
      <c r="A425" s="728">
        <f t="shared" si="20"/>
        <v>86.419753086419746</v>
      </c>
      <c r="B425" s="87" t="s">
        <v>3630</v>
      </c>
      <c r="C425" s="740" t="s">
        <v>30</v>
      </c>
      <c r="D425" s="87">
        <v>7000</v>
      </c>
      <c r="E425" s="87">
        <v>81</v>
      </c>
      <c r="F425" s="563">
        <f t="shared" si="21"/>
        <v>7000</v>
      </c>
      <c r="G425" s="87">
        <f t="shared" si="19"/>
        <v>0</v>
      </c>
      <c r="H425" s="690"/>
      <c r="I425" s="693"/>
      <c r="J425" s="692"/>
      <c r="K425" s="692"/>
    </row>
    <row r="426" spans="1:11" ht="15" hidden="1" x14ac:dyDescent="0.25">
      <c r="A426" s="728">
        <f t="shared" si="20"/>
        <v>91.836734693877546</v>
      </c>
      <c r="B426" s="87" t="s">
        <v>3630</v>
      </c>
      <c r="C426" s="740" t="s">
        <v>1925</v>
      </c>
      <c r="D426" s="87">
        <v>18000</v>
      </c>
      <c r="E426" s="87">
        <v>196</v>
      </c>
      <c r="F426" s="563">
        <f t="shared" si="21"/>
        <v>18000</v>
      </c>
      <c r="G426" s="87">
        <f t="shared" si="19"/>
        <v>0</v>
      </c>
      <c r="H426" s="690"/>
      <c r="I426" s="693"/>
      <c r="J426" s="692"/>
      <c r="K426" s="692"/>
    </row>
    <row r="427" spans="1:11" ht="15" hidden="1" x14ac:dyDescent="0.25">
      <c r="A427" s="728">
        <f t="shared" si="20"/>
        <v>89.743589743589737</v>
      </c>
      <c r="B427" s="87" t="s">
        <v>3630</v>
      </c>
      <c r="C427" s="740" t="s">
        <v>3215</v>
      </c>
      <c r="D427" s="87">
        <v>28000</v>
      </c>
      <c r="E427" s="87">
        <v>312</v>
      </c>
      <c r="F427" s="563">
        <f t="shared" si="21"/>
        <v>28000</v>
      </c>
      <c r="G427" s="87">
        <f t="shared" si="19"/>
        <v>0</v>
      </c>
      <c r="H427" s="690"/>
      <c r="I427" s="693"/>
      <c r="J427" s="692"/>
      <c r="K427" s="692"/>
    </row>
    <row r="428" spans="1:11" ht="15" hidden="1" x14ac:dyDescent="0.25">
      <c r="A428" s="728">
        <f t="shared" si="20"/>
        <v>88.105726872246692</v>
      </c>
      <c r="B428" s="87" t="s">
        <v>3630</v>
      </c>
      <c r="C428" s="740" t="s">
        <v>3659</v>
      </c>
      <c r="D428" s="87">
        <v>20000</v>
      </c>
      <c r="E428" s="87">
        <v>227</v>
      </c>
      <c r="F428" s="563">
        <f t="shared" si="21"/>
        <v>20000</v>
      </c>
      <c r="G428" s="87">
        <f t="shared" si="19"/>
        <v>0</v>
      </c>
      <c r="H428" s="690"/>
      <c r="I428" s="693"/>
      <c r="J428" s="692"/>
      <c r="K428" s="692"/>
    </row>
    <row r="429" spans="1:11" ht="15" hidden="1" x14ac:dyDescent="0.25">
      <c r="A429" s="728">
        <f t="shared" si="20"/>
        <v>88.757396449704146</v>
      </c>
      <c r="B429" s="87" t="s">
        <v>3630</v>
      </c>
      <c r="C429" s="740" t="s">
        <v>3206</v>
      </c>
      <c r="D429" s="87">
        <v>30000</v>
      </c>
      <c r="E429" s="87">
        <v>338</v>
      </c>
      <c r="F429" s="563">
        <f t="shared" si="21"/>
        <v>30000</v>
      </c>
      <c r="G429" s="87">
        <f t="shared" si="19"/>
        <v>0</v>
      </c>
      <c r="H429" s="690"/>
      <c r="I429" s="693"/>
      <c r="J429" s="692"/>
      <c r="K429" s="692"/>
    </row>
    <row r="430" spans="1:11" ht="15" hidden="1" x14ac:dyDescent="0.25">
      <c r="A430" s="728">
        <f t="shared" si="20"/>
        <v>87.774294670846402</v>
      </c>
      <c r="B430" s="87" t="s">
        <v>3630</v>
      </c>
      <c r="C430" s="740" t="s">
        <v>3208</v>
      </c>
      <c r="D430" s="87">
        <v>28000</v>
      </c>
      <c r="E430" s="87">
        <v>319</v>
      </c>
      <c r="F430" s="563">
        <f t="shared" si="21"/>
        <v>28000</v>
      </c>
      <c r="G430" s="87">
        <f t="shared" si="19"/>
        <v>0</v>
      </c>
      <c r="H430" s="690"/>
      <c r="I430" s="693"/>
      <c r="J430" s="692"/>
      <c r="K430" s="692"/>
    </row>
    <row r="431" spans="1:11" ht="15" hidden="1" x14ac:dyDescent="0.25">
      <c r="A431" s="728">
        <f t="shared" si="20"/>
        <v>88.235294117647058</v>
      </c>
      <c r="B431" s="87" t="s">
        <v>3630</v>
      </c>
      <c r="C431" s="740" t="s">
        <v>3660</v>
      </c>
      <c r="D431" s="87">
        <v>12000</v>
      </c>
      <c r="E431" s="87">
        <v>136</v>
      </c>
      <c r="F431" s="563">
        <f t="shared" si="21"/>
        <v>12000</v>
      </c>
      <c r="G431" s="87">
        <f t="shared" si="19"/>
        <v>0</v>
      </c>
      <c r="H431" s="690"/>
      <c r="I431" s="693"/>
      <c r="J431" s="692"/>
      <c r="K431" s="692"/>
    </row>
    <row r="432" spans="1:11" ht="15" hidden="1" x14ac:dyDescent="0.25">
      <c r="A432" s="728">
        <f t="shared" si="20"/>
        <v>89.686098654708516</v>
      </c>
      <c r="B432" s="87" t="s">
        <v>3630</v>
      </c>
      <c r="C432" s="740" t="s">
        <v>3661</v>
      </c>
      <c r="D432" s="87">
        <v>20000</v>
      </c>
      <c r="E432" s="87">
        <v>223</v>
      </c>
      <c r="F432" s="563">
        <f t="shared" si="21"/>
        <v>20000</v>
      </c>
      <c r="G432" s="87">
        <f t="shared" si="19"/>
        <v>0</v>
      </c>
      <c r="H432" s="690"/>
      <c r="I432" s="693"/>
      <c r="J432" s="692"/>
      <c r="K432" s="692"/>
    </row>
    <row r="433" spans="1:11" ht="15" hidden="1" x14ac:dyDescent="0.25">
      <c r="A433" s="728">
        <f t="shared" si="20"/>
        <v>89.686098654708516</v>
      </c>
      <c r="B433" s="87" t="s">
        <v>3630</v>
      </c>
      <c r="C433" s="740" t="s">
        <v>3662</v>
      </c>
      <c r="D433" s="87">
        <v>20000</v>
      </c>
      <c r="E433" s="87">
        <v>223</v>
      </c>
      <c r="F433" s="563">
        <f t="shared" si="21"/>
        <v>20000</v>
      </c>
      <c r="G433" s="87">
        <f t="shared" si="19"/>
        <v>0</v>
      </c>
      <c r="H433" s="690"/>
      <c r="I433" s="693"/>
      <c r="J433" s="692"/>
      <c r="K433" s="692"/>
    </row>
    <row r="434" spans="1:11" ht="15" hidden="1" x14ac:dyDescent="0.25">
      <c r="A434" s="728">
        <f t="shared" si="20"/>
        <v>87.804878048780495</v>
      </c>
      <c r="B434" s="87" t="s">
        <v>3630</v>
      </c>
      <c r="C434" s="740" t="s">
        <v>3663</v>
      </c>
      <c r="D434" s="87">
        <v>18000</v>
      </c>
      <c r="E434" s="740">
        <v>205</v>
      </c>
      <c r="F434" s="563">
        <f t="shared" si="21"/>
        <v>18000</v>
      </c>
      <c r="G434" s="87">
        <f t="shared" si="19"/>
        <v>0</v>
      </c>
      <c r="H434" s="690"/>
      <c r="I434" s="693"/>
      <c r="J434" s="692"/>
      <c r="K434" s="692"/>
    </row>
    <row r="435" spans="1:11" ht="15" hidden="1" x14ac:dyDescent="0.25">
      <c r="A435" s="728">
        <f t="shared" si="20"/>
        <v>88.105726872246692</v>
      </c>
      <c r="B435" s="87" t="s">
        <v>3630</v>
      </c>
      <c r="C435" s="740" t="s">
        <v>3664</v>
      </c>
      <c r="D435" s="87">
        <v>20000</v>
      </c>
      <c r="E435" s="87">
        <v>227</v>
      </c>
      <c r="F435" s="563">
        <f t="shared" si="21"/>
        <v>20000</v>
      </c>
      <c r="G435" s="87">
        <f t="shared" si="19"/>
        <v>0</v>
      </c>
      <c r="H435" s="690"/>
      <c r="I435" s="693"/>
      <c r="J435" s="692"/>
      <c r="K435" s="692"/>
    </row>
    <row r="436" spans="1:11" ht="15" hidden="1" x14ac:dyDescent="0.25">
      <c r="A436" s="728">
        <f t="shared" si="20"/>
        <v>88.028169014084511</v>
      </c>
      <c r="B436" s="87" t="s">
        <v>3630</v>
      </c>
      <c r="C436" s="740" t="s">
        <v>3665</v>
      </c>
      <c r="D436" s="87">
        <v>25000</v>
      </c>
      <c r="E436" s="87">
        <v>284</v>
      </c>
      <c r="F436" s="563">
        <f t="shared" si="21"/>
        <v>25000</v>
      </c>
      <c r="G436" s="87">
        <f t="shared" si="19"/>
        <v>0</v>
      </c>
      <c r="H436" s="690"/>
      <c r="I436" s="693"/>
      <c r="J436" s="692"/>
      <c r="K436" s="692"/>
    </row>
    <row r="437" spans="1:11" ht="15" hidden="1" x14ac:dyDescent="0.25">
      <c r="A437" s="728">
        <f t="shared" si="20"/>
        <v>88.028169014084511</v>
      </c>
      <c r="B437" s="87" t="s">
        <v>3630</v>
      </c>
      <c r="C437" s="740" t="s">
        <v>3666</v>
      </c>
      <c r="D437" s="87">
        <v>25000</v>
      </c>
      <c r="E437" s="87">
        <v>284</v>
      </c>
      <c r="F437" s="563">
        <f t="shared" si="21"/>
        <v>25000</v>
      </c>
      <c r="G437" s="87">
        <f t="shared" si="19"/>
        <v>0</v>
      </c>
      <c r="H437" s="690"/>
      <c r="I437" s="693"/>
      <c r="J437" s="692"/>
      <c r="K437" s="692"/>
    </row>
    <row r="438" spans="1:11" ht="15" hidden="1" x14ac:dyDescent="0.25">
      <c r="A438" s="728">
        <f t="shared" si="20"/>
        <v>88.028169014084511</v>
      </c>
      <c r="B438" s="87" t="s">
        <v>3630</v>
      </c>
      <c r="C438" s="740" t="s">
        <v>3667</v>
      </c>
      <c r="D438" s="87">
        <v>25000</v>
      </c>
      <c r="E438" s="87">
        <v>284</v>
      </c>
      <c r="F438" s="563">
        <f t="shared" si="21"/>
        <v>25000</v>
      </c>
      <c r="G438" s="87">
        <f t="shared" si="19"/>
        <v>0</v>
      </c>
      <c r="H438" s="690"/>
      <c r="I438" s="693"/>
      <c r="J438" s="692"/>
      <c r="K438" s="692"/>
    </row>
    <row r="439" spans="1:11" ht="15" hidden="1" x14ac:dyDescent="0.25">
      <c r="A439" s="728">
        <f t="shared" si="20"/>
        <v>88.652482269503551</v>
      </c>
      <c r="B439" s="87" t="s">
        <v>3630</v>
      </c>
      <c r="C439" s="740" t="s">
        <v>3668</v>
      </c>
      <c r="D439" s="87">
        <v>25000</v>
      </c>
      <c r="E439" s="87">
        <v>282</v>
      </c>
      <c r="F439" s="563">
        <f t="shared" si="21"/>
        <v>25000</v>
      </c>
      <c r="G439" s="87">
        <f t="shared" si="19"/>
        <v>0</v>
      </c>
      <c r="H439" s="690"/>
      <c r="I439" s="693"/>
      <c r="J439" s="692"/>
      <c r="K439" s="692"/>
    </row>
    <row r="440" spans="1:11" ht="15" hidden="1" x14ac:dyDescent="0.25">
      <c r="A440" s="728">
        <f t="shared" si="20"/>
        <v>87.837837837837839</v>
      </c>
      <c r="B440" s="87" t="s">
        <v>3630</v>
      </c>
      <c r="C440" s="740" t="s">
        <v>3669</v>
      </c>
      <c r="D440" s="87">
        <v>26000</v>
      </c>
      <c r="E440" s="87">
        <v>296</v>
      </c>
      <c r="F440" s="563">
        <f t="shared" si="21"/>
        <v>26000</v>
      </c>
      <c r="G440" s="87">
        <f t="shared" si="19"/>
        <v>0</v>
      </c>
      <c r="H440" s="690"/>
      <c r="I440" s="693"/>
      <c r="J440" s="692"/>
      <c r="K440" s="692"/>
    </row>
    <row r="441" spans="1:11" ht="15" hidden="1" x14ac:dyDescent="0.25">
      <c r="A441" s="728">
        <f t="shared" si="20"/>
        <v>95.070422535211264</v>
      </c>
      <c r="B441" s="87" t="s">
        <v>3630</v>
      </c>
      <c r="C441" s="740" t="s">
        <v>2028</v>
      </c>
      <c r="D441" s="87">
        <v>27000</v>
      </c>
      <c r="E441" s="87">
        <v>284</v>
      </c>
      <c r="F441" s="563">
        <f t="shared" si="21"/>
        <v>27000</v>
      </c>
      <c r="G441" s="87">
        <f t="shared" si="19"/>
        <v>0</v>
      </c>
      <c r="H441" s="690"/>
      <c r="I441" s="693"/>
      <c r="J441" s="692"/>
      <c r="K441" s="692"/>
    </row>
    <row r="442" spans="1:11" ht="15" hidden="1" x14ac:dyDescent="0.25">
      <c r="A442" s="728">
        <f t="shared" si="20"/>
        <v>87.976539589442808</v>
      </c>
      <c r="B442" s="87" t="s">
        <v>3630</v>
      </c>
      <c r="C442" s="740" t="s">
        <v>3670</v>
      </c>
      <c r="D442" s="87">
        <v>30000</v>
      </c>
      <c r="E442" s="87">
        <v>341</v>
      </c>
      <c r="F442" s="563">
        <f t="shared" si="21"/>
        <v>30000</v>
      </c>
      <c r="G442" s="87">
        <f t="shared" si="19"/>
        <v>0</v>
      </c>
      <c r="H442" s="690"/>
      <c r="I442" s="693"/>
      <c r="J442" s="692"/>
      <c r="K442" s="692"/>
    </row>
    <row r="443" spans="1:11" ht="15" hidden="1" x14ac:dyDescent="0.25">
      <c r="A443" s="728">
        <f t="shared" si="20"/>
        <v>87.786259541984734</v>
      </c>
      <c r="B443" s="87" t="s">
        <v>3630</v>
      </c>
      <c r="C443" s="740" t="s">
        <v>3671</v>
      </c>
      <c r="D443" s="87">
        <v>23000</v>
      </c>
      <c r="E443" s="87">
        <v>262</v>
      </c>
      <c r="F443" s="563">
        <f t="shared" si="21"/>
        <v>23000</v>
      </c>
      <c r="G443" s="87">
        <f t="shared" si="19"/>
        <v>0</v>
      </c>
      <c r="H443" s="690"/>
      <c r="I443" s="693"/>
      <c r="J443" s="692"/>
      <c r="K443" s="692"/>
    </row>
    <row r="444" spans="1:11" ht="15" hidden="1" x14ac:dyDescent="0.25">
      <c r="A444" s="728">
        <f t="shared" si="20"/>
        <v>91.836734693877546</v>
      </c>
      <c r="B444" s="87" t="s">
        <v>3630</v>
      </c>
      <c r="C444" s="740" t="s">
        <v>3672</v>
      </c>
      <c r="D444" s="87">
        <v>27000</v>
      </c>
      <c r="E444" s="87">
        <v>294</v>
      </c>
      <c r="F444" s="563">
        <f t="shared" si="21"/>
        <v>27000</v>
      </c>
      <c r="G444" s="87">
        <f t="shared" si="19"/>
        <v>0</v>
      </c>
      <c r="H444" s="690"/>
      <c r="I444" s="693"/>
      <c r="J444" s="692"/>
      <c r="K444" s="692"/>
    </row>
    <row r="445" spans="1:11" ht="15" hidden="1" x14ac:dyDescent="0.25">
      <c r="A445" s="728">
        <f t="shared" si="20"/>
        <v>94.117647058823536</v>
      </c>
      <c r="B445" s="87" t="s">
        <v>3630</v>
      </c>
      <c r="C445" s="757" t="s">
        <v>3673</v>
      </c>
      <c r="D445" s="87">
        <v>40000</v>
      </c>
      <c r="E445" s="87">
        <v>425</v>
      </c>
      <c r="F445" s="563">
        <f t="shared" si="21"/>
        <v>40000</v>
      </c>
      <c r="G445" s="87">
        <f t="shared" si="19"/>
        <v>0</v>
      </c>
      <c r="H445" s="690"/>
      <c r="I445" s="693">
        <v>4326</v>
      </c>
      <c r="J445" s="692"/>
      <c r="K445" s="692"/>
    </row>
    <row r="446" spans="1:11" ht="15" hidden="1" x14ac:dyDescent="0.25">
      <c r="A446" s="728">
        <f t="shared" si="20"/>
        <v>88.235294117647058</v>
      </c>
      <c r="B446" s="87" t="s">
        <v>3630</v>
      </c>
      <c r="C446" s="740" t="s">
        <v>3674</v>
      </c>
      <c r="D446" s="87">
        <v>15000</v>
      </c>
      <c r="E446" s="87">
        <v>170</v>
      </c>
      <c r="F446" s="563">
        <f t="shared" si="21"/>
        <v>15000</v>
      </c>
      <c r="G446" s="87">
        <f t="shared" si="19"/>
        <v>0</v>
      </c>
      <c r="H446" s="690"/>
      <c r="I446" s="693"/>
      <c r="J446" s="692"/>
      <c r="K446" s="692"/>
    </row>
    <row r="447" spans="1:11" ht="15" hidden="1" x14ac:dyDescent="0.25">
      <c r="A447" s="728">
        <f t="shared" si="20"/>
        <v>87.939698492462313</v>
      </c>
      <c r="B447" s="87" t="s">
        <v>3630</v>
      </c>
      <c r="C447" s="740" t="s">
        <v>3675</v>
      </c>
      <c r="D447" s="87">
        <v>35000</v>
      </c>
      <c r="E447" s="87">
        <v>398</v>
      </c>
      <c r="F447" s="563">
        <f t="shared" si="21"/>
        <v>35000</v>
      </c>
      <c r="G447" s="87">
        <f t="shared" si="19"/>
        <v>0</v>
      </c>
      <c r="H447" s="690"/>
      <c r="I447" s="693"/>
      <c r="J447" s="692"/>
      <c r="K447" s="692"/>
    </row>
    <row r="448" spans="1:11" ht="15" hidden="1" x14ac:dyDescent="0.25">
      <c r="A448" s="728">
        <f t="shared" si="20"/>
        <v>87.912087912087912</v>
      </c>
      <c r="B448" s="87" t="s">
        <v>3630</v>
      </c>
      <c r="C448" s="740" t="s">
        <v>3676</v>
      </c>
      <c r="D448" s="87">
        <v>32000</v>
      </c>
      <c r="E448" s="87">
        <v>364</v>
      </c>
      <c r="F448" s="563">
        <f t="shared" si="21"/>
        <v>32000</v>
      </c>
      <c r="G448" s="87">
        <f t="shared" si="19"/>
        <v>0</v>
      </c>
      <c r="H448" s="690"/>
      <c r="I448" s="693"/>
      <c r="J448" s="692"/>
      <c r="K448" s="692"/>
    </row>
    <row r="449" spans="1:11" ht="15" hidden="1" x14ac:dyDescent="0.25">
      <c r="A449" s="728">
        <f t="shared" si="20"/>
        <v>87.765957446808514</v>
      </c>
      <c r="B449" s="87" t="s">
        <v>3630</v>
      </c>
      <c r="C449" s="740" t="s">
        <v>3677</v>
      </c>
      <c r="D449" s="87">
        <v>16500</v>
      </c>
      <c r="E449" s="87">
        <v>188</v>
      </c>
      <c r="F449" s="563">
        <f t="shared" si="21"/>
        <v>16500</v>
      </c>
      <c r="G449" s="87">
        <f t="shared" si="19"/>
        <v>0</v>
      </c>
      <c r="H449" s="690"/>
      <c r="I449" s="693"/>
      <c r="J449" s="692"/>
      <c r="K449" s="692"/>
    </row>
    <row r="450" spans="1:11" ht="15" hidden="1" x14ac:dyDescent="0.25">
      <c r="A450" s="728">
        <f t="shared" si="20"/>
        <v>87.962962962962962</v>
      </c>
      <c r="B450" s="87" t="s">
        <v>3630</v>
      </c>
      <c r="C450" s="740" t="s">
        <v>3678</v>
      </c>
      <c r="D450" s="87">
        <v>28500</v>
      </c>
      <c r="E450" s="87">
        <v>324</v>
      </c>
      <c r="F450" s="563">
        <f t="shared" si="21"/>
        <v>28500</v>
      </c>
      <c r="G450" s="87">
        <f t="shared" si="19"/>
        <v>0</v>
      </c>
      <c r="H450" s="690"/>
      <c r="I450" s="693"/>
      <c r="J450" s="692"/>
      <c r="K450" s="692"/>
    </row>
    <row r="451" spans="1:11" ht="15" hidden="1" x14ac:dyDescent="0.25">
      <c r="A451" s="728">
        <f t="shared" si="20"/>
        <v>87.841961852861033</v>
      </c>
      <c r="B451" s="87" t="s">
        <v>3630</v>
      </c>
      <c r="C451" s="740" t="s">
        <v>3679</v>
      </c>
      <c r="D451" s="87">
        <v>32238</v>
      </c>
      <c r="E451" s="87">
        <v>367</v>
      </c>
      <c r="F451" s="563">
        <f t="shared" si="21"/>
        <v>32238</v>
      </c>
      <c r="G451" s="87">
        <f t="shared" si="19"/>
        <v>0</v>
      </c>
      <c r="H451" s="690"/>
      <c r="I451" s="693"/>
      <c r="J451" s="692"/>
      <c r="K451" s="692"/>
    </row>
    <row r="452" spans="1:11" ht="15" hidden="1" x14ac:dyDescent="0.25">
      <c r="A452" s="728">
        <f t="shared" si="20"/>
        <v>100</v>
      </c>
      <c r="B452" s="87" t="s">
        <v>3630</v>
      </c>
      <c r="C452" s="740" t="s">
        <v>66</v>
      </c>
      <c r="D452" s="87">
        <v>150</v>
      </c>
      <c r="E452" s="87">
        <v>1.5</v>
      </c>
      <c r="F452" s="563">
        <f t="shared" si="21"/>
        <v>150</v>
      </c>
      <c r="G452" s="87">
        <f t="shared" si="19"/>
        <v>0</v>
      </c>
      <c r="H452" s="690"/>
      <c r="I452" s="693"/>
      <c r="J452" s="692"/>
      <c r="K452" s="692"/>
    </row>
    <row r="453" spans="1:11" ht="15" hidden="1" x14ac:dyDescent="0.25">
      <c r="A453" s="728">
        <f t="shared" si="20"/>
        <v>88.495575221238937</v>
      </c>
      <c r="B453" s="87" t="s">
        <v>3680</v>
      </c>
      <c r="C453" s="740" t="s">
        <v>3681</v>
      </c>
      <c r="D453" s="87">
        <v>10000</v>
      </c>
      <c r="E453" s="87">
        <v>113</v>
      </c>
      <c r="F453" s="563">
        <f t="shared" si="21"/>
        <v>10000</v>
      </c>
      <c r="G453" s="87">
        <f t="shared" si="19"/>
        <v>0</v>
      </c>
      <c r="H453" s="690"/>
      <c r="I453" s="693"/>
      <c r="J453" s="692"/>
      <c r="K453" s="692"/>
    </row>
    <row r="454" spans="1:11" ht="15" hidden="1" x14ac:dyDescent="0.25">
      <c r="A454" s="728">
        <f t="shared" si="20"/>
        <v>88</v>
      </c>
      <c r="B454" s="87" t="s">
        <v>3680</v>
      </c>
      <c r="C454" s="740" t="s">
        <v>3682</v>
      </c>
      <c r="D454" s="87">
        <v>22000</v>
      </c>
      <c r="E454" s="476">
        <v>250</v>
      </c>
      <c r="F454" s="563">
        <f t="shared" si="21"/>
        <v>22000</v>
      </c>
      <c r="G454" s="87">
        <f t="shared" si="19"/>
        <v>0</v>
      </c>
      <c r="H454" s="690"/>
      <c r="I454" s="693"/>
      <c r="J454" s="692"/>
      <c r="K454" s="692"/>
    </row>
    <row r="455" spans="1:11" ht="15" hidden="1" x14ac:dyDescent="0.25">
      <c r="A455" s="728">
        <f t="shared" si="20"/>
        <v>88.105726872246692</v>
      </c>
      <c r="B455" s="87" t="s">
        <v>3680</v>
      </c>
      <c r="C455" s="740" t="s">
        <v>3683</v>
      </c>
      <c r="D455" s="87">
        <v>20000</v>
      </c>
      <c r="E455" s="87">
        <v>227</v>
      </c>
      <c r="F455" s="563">
        <f t="shared" si="21"/>
        <v>20000</v>
      </c>
      <c r="G455" s="87">
        <f t="shared" si="19"/>
        <v>0</v>
      </c>
      <c r="H455" s="690"/>
      <c r="I455" s="693"/>
      <c r="J455" s="692"/>
      <c r="K455" s="692"/>
    </row>
    <row r="456" spans="1:11" ht="15" hidden="1" x14ac:dyDescent="0.25">
      <c r="A456" s="728">
        <f t="shared" si="20"/>
        <v>87.947882736156359</v>
      </c>
      <c r="B456" s="87" t="s">
        <v>3680</v>
      </c>
      <c r="C456" s="740" t="s">
        <v>3089</v>
      </c>
      <c r="D456" s="87">
        <v>27000</v>
      </c>
      <c r="E456" s="87">
        <v>307</v>
      </c>
      <c r="F456" s="563">
        <f t="shared" si="21"/>
        <v>27000</v>
      </c>
      <c r="G456" s="87">
        <f t="shared" si="19"/>
        <v>0</v>
      </c>
      <c r="H456" s="690"/>
      <c r="I456" s="693"/>
      <c r="J456" s="692"/>
      <c r="K456" s="692"/>
    </row>
    <row r="457" spans="1:11" ht="15" hidden="1" x14ac:dyDescent="0.25">
      <c r="A457" s="728">
        <f t="shared" si="20"/>
        <v>88.235294117647058</v>
      </c>
      <c r="B457" s="87" t="s">
        <v>3680</v>
      </c>
      <c r="C457" s="740" t="s">
        <v>30</v>
      </c>
      <c r="D457" s="87">
        <v>9000</v>
      </c>
      <c r="E457" s="87">
        <v>102</v>
      </c>
      <c r="F457" s="563">
        <f t="shared" si="21"/>
        <v>9000</v>
      </c>
      <c r="G457" s="87">
        <f t="shared" si="19"/>
        <v>0</v>
      </c>
      <c r="H457" s="690"/>
      <c r="I457" s="693"/>
      <c r="J457" s="692"/>
      <c r="K457" s="692"/>
    </row>
    <row r="458" spans="1:11" ht="15" hidden="1" x14ac:dyDescent="0.25">
      <c r="A458" s="728">
        <f t="shared" si="20"/>
        <v>92.233009708737868</v>
      </c>
      <c r="B458" s="87" t="s">
        <v>3680</v>
      </c>
      <c r="C458" s="740" t="s">
        <v>3038</v>
      </c>
      <c r="D458" s="87">
        <v>19000</v>
      </c>
      <c r="E458" s="87">
        <v>206</v>
      </c>
      <c r="F458" s="563">
        <f t="shared" si="21"/>
        <v>19000</v>
      </c>
      <c r="G458" s="87">
        <f t="shared" si="19"/>
        <v>0</v>
      </c>
      <c r="H458" s="690"/>
      <c r="I458" s="693" t="s">
        <v>3696</v>
      </c>
      <c r="J458" s="692">
        <v>35000</v>
      </c>
      <c r="K458" s="692"/>
    </row>
    <row r="459" spans="1:11" ht="15" hidden="1" x14ac:dyDescent="0.25">
      <c r="A459" s="728">
        <f t="shared" si="20"/>
        <v>92.024539877300612</v>
      </c>
      <c r="B459" s="87" t="s">
        <v>3680</v>
      </c>
      <c r="C459" s="740" t="s">
        <v>3214</v>
      </c>
      <c r="D459" s="87">
        <v>30000</v>
      </c>
      <c r="E459" s="87">
        <v>326</v>
      </c>
      <c r="F459" s="563">
        <f t="shared" si="21"/>
        <v>30000</v>
      </c>
      <c r="G459" s="87">
        <f t="shared" si="19"/>
        <v>0</v>
      </c>
      <c r="H459" s="690"/>
      <c r="I459" s="693"/>
      <c r="J459" s="692"/>
      <c r="K459" s="692"/>
    </row>
    <row r="460" spans="1:11" ht="15" hidden="1" x14ac:dyDescent="0.25">
      <c r="A460" s="728">
        <f t="shared" si="20"/>
        <v>88.082901554404145</v>
      </c>
      <c r="B460" s="87" t="s">
        <v>3680</v>
      </c>
      <c r="C460" s="740" t="s">
        <v>1926</v>
      </c>
      <c r="D460" s="87">
        <v>17000</v>
      </c>
      <c r="E460" s="87">
        <v>193</v>
      </c>
      <c r="F460" s="563">
        <f t="shared" si="21"/>
        <v>17000</v>
      </c>
      <c r="G460" s="87">
        <f t="shared" si="19"/>
        <v>0</v>
      </c>
      <c r="H460" s="690"/>
      <c r="I460" s="693"/>
      <c r="J460" s="692"/>
      <c r="K460" s="692"/>
    </row>
    <row r="461" spans="1:11" ht="15" hidden="1" x14ac:dyDescent="0.25">
      <c r="A461" s="728">
        <f t="shared" si="20"/>
        <v>88.105726872246692</v>
      </c>
      <c r="B461" s="87" t="s">
        <v>3680</v>
      </c>
      <c r="C461" s="740" t="s">
        <v>3684</v>
      </c>
      <c r="D461" s="87">
        <v>20000</v>
      </c>
      <c r="E461" s="87">
        <v>227</v>
      </c>
      <c r="F461" s="563">
        <f t="shared" si="21"/>
        <v>20000</v>
      </c>
      <c r="G461" s="87">
        <f t="shared" si="19"/>
        <v>0</v>
      </c>
      <c r="H461" s="690"/>
      <c r="I461" s="693"/>
      <c r="J461" s="692"/>
      <c r="K461" s="692"/>
    </row>
    <row r="462" spans="1:11" ht="15" hidden="1" x14ac:dyDescent="0.25">
      <c r="A462" s="728">
        <f t="shared" si="20"/>
        <v>97.65625</v>
      </c>
      <c r="B462" s="87" t="s">
        <v>3680</v>
      </c>
      <c r="C462" s="740" t="s">
        <v>3685</v>
      </c>
      <c r="D462" s="87">
        <v>25000</v>
      </c>
      <c r="E462" s="87">
        <v>256</v>
      </c>
      <c r="F462" s="563">
        <f t="shared" si="21"/>
        <v>25000</v>
      </c>
      <c r="G462" s="87">
        <f t="shared" si="19"/>
        <v>0</v>
      </c>
      <c r="H462" s="690"/>
      <c r="I462" s="693"/>
      <c r="J462" s="692"/>
      <c r="K462" s="692"/>
    </row>
    <row r="463" spans="1:11" ht="15" hidden="1" x14ac:dyDescent="0.25">
      <c r="A463" s="728">
        <f t="shared" si="20"/>
        <v>88.028169014084511</v>
      </c>
      <c r="B463" s="87" t="s">
        <v>3680</v>
      </c>
      <c r="C463" s="740" t="s">
        <v>3686</v>
      </c>
      <c r="D463" s="87">
        <v>25000</v>
      </c>
      <c r="E463" s="87">
        <v>284</v>
      </c>
      <c r="F463" s="563">
        <f t="shared" si="21"/>
        <v>25000</v>
      </c>
      <c r="G463" s="87">
        <f t="shared" si="19"/>
        <v>0</v>
      </c>
      <c r="H463" s="690"/>
      <c r="I463" s="693"/>
      <c r="J463" s="692"/>
      <c r="K463" s="692"/>
    </row>
    <row r="464" spans="1:11" ht="15" hidden="1" x14ac:dyDescent="0.25">
      <c r="A464" s="728">
        <f t="shared" si="20"/>
        <v>87.912087912087912</v>
      </c>
      <c r="B464" s="87" t="s">
        <v>3680</v>
      </c>
      <c r="C464" s="740" t="s">
        <v>30</v>
      </c>
      <c r="D464" s="87">
        <v>8000</v>
      </c>
      <c r="E464" s="87">
        <v>91</v>
      </c>
      <c r="F464" s="563">
        <f t="shared" si="21"/>
        <v>8000</v>
      </c>
      <c r="G464" s="87">
        <f t="shared" si="19"/>
        <v>0</v>
      </c>
      <c r="H464" s="690"/>
      <c r="I464" s="693"/>
      <c r="J464" s="692"/>
      <c r="K464" s="692"/>
    </row>
    <row r="465" spans="1:11" ht="15" hidden="1" x14ac:dyDescent="0.25">
      <c r="A465" s="728">
        <f t="shared" si="20"/>
        <v>88.105726872246692</v>
      </c>
      <c r="B465" s="87" t="s">
        <v>3680</v>
      </c>
      <c r="C465" s="740" t="s">
        <v>1959</v>
      </c>
      <c r="D465" s="87">
        <v>20000</v>
      </c>
      <c r="E465" s="87">
        <v>227</v>
      </c>
      <c r="F465" s="563">
        <f t="shared" si="21"/>
        <v>20000</v>
      </c>
      <c r="G465" s="87">
        <f t="shared" si="19"/>
        <v>0</v>
      </c>
      <c r="H465" s="690"/>
      <c r="I465" s="693"/>
      <c r="J465" s="692"/>
      <c r="K465" s="692"/>
    </row>
    <row r="466" spans="1:11" ht="15" hidden="1" x14ac:dyDescent="0.25">
      <c r="A466" s="728">
        <f t="shared" si="20"/>
        <v>97.674418604651166</v>
      </c>
      <c r="B466" s="87" t="s">
        <v>3680</v>
      </c>
      <c r="C466" s="740" t="s">
        <v>66</v>
      </c>
      <c r="D466" s="87">
        <v>210</v>
      </c>
      <c r="E466" s="87">
        <v>2.15</v>
      </c>
      <c r="F466" s="563">
        <f t="shared" si="21"/>
        <v>210</v>
      </c>
      <c r="G466" s="87">
        <f t="shared" si="19"/>
        <v>0</v>
      </c>
      <c r="H466" s="690"/>
      <c r="I466" s="693"/>
      <c r="J466" s="692"/>
      <c r="K466" s="692"/>
    </row>
    <row r="467" spans="1:11" ht="15" hidden="1" x14ac:dyDescent="0.25">
      <c r="A467" s="728">
        <f t="shared" ref="A467:A530" si="22">D467/E467</f>
        <v>87.810126582278485</v>
      </c>
      <c r="B467" s="87" t="s">
        <v>3680</v>
      </c>
      <c r="C467" s="740" t="s">
        <v>3687</v>
      </c>
      <c r="D467" s="87">
        <v>13874</v>
      </c>
      <c r="E467" s="87">
        <v>158</v>
      </c>
      <c r="F467" s="563">
        <f t="shared" ref="F467:F530" si="23">D467</f>
        <v>13874</v>
      </c>
      <c r="G467" s="87">
        <f t="shared" si="19"/>
        <v>0</v>
      </c>
      <c r="H467" s="690"/>
      <c r="I467" s="693"/>
      <c r="J467" s="692"/>
      <c r="K467" s="692"/>
    </row>
    <row r="468" spans="1:11" ht="15" hidden="1" x14ac:dyDescent="0.25">
      <c r="A468" s="728">
        <f t="shared" si="22"/>
        <v>110.67391304347827</v>
      </c>
      <c r="B468" s="87" t="s">
        <v>3680</v>
      </c>
      <c r="C468" s="740" t="s">
        <v>3688</v>
      </c>
      <c r="D468" s="87">
        <v>25455</v>
      </c>
      <c r="E468" s="87">
        <v>230</v>
      </c>
      <c r="F468" s="563">
        <f t="shared" si="23"/>
        <v>25455</v>
      </c>
      <c r="G468" s="87">
        <f t="shared" si="19"/>
        <v>0</v>
      </c>
      <c r="H468" s="690"/>
      <c r="I468" s="693"/>
      <c r="J468" s="692"/>
      <c r="K468" s="692"/>
    </row>
    <row r="469" spans="1:11" ht="15" hidden="1" x14ac:dyDescent="0.25">
      <c r="A469" s="728">
        <f t="shared" si="22"/>
        <v>93.333333333333329</v>
      </c>
      <c r="B469" s="87" t="s">
        <v>3680</v>
      </c>
      <c r="C469" s="740" t="s">
        <v>3689</v>
      </c>
      <c r="D469" s="87">
        <v>35000</v>
      </c>
      <c r="E469" s="87">
        <v>375</v>
      </c>
      <c r="F469" s="563">
        <f t="shared" si="23"/>
        <v>35000</v>
      </c>
      <c r="G469" s="87">
        <f t="shared" si="19"/>
        <v>0</v>
      </c>
      <c r="H469" s="690"/>
      <c r="I469" s="693"/>
      <c r="J469" s="692"/>
      <c r="K469" s="692"/>
    </row>
    <row r="470" spans="1:11" ht="15" hidden="1" x14ac:dyDescent="0.25">
      <c r="A470" s="728">
        <f t="shared" si="22"/>
        <v>87.976539589442808</v>
      </c>
      <c r="B470" s="87" t="s">
        <v>3680</v>
      </c>
      <c r="C470" s="740" t="s">
        <v>3690</v>
      </c>
      <c r="D470" s="87">
        <v>30000</v>
      </c>
      <c r="E470" s="87">
        <v>341</v>
      </c>
      <c r="F470" s="563">
        <f t="shared" si="23"/>
        <v>30000</v>
      </c>
      <c r="G470" s="87">
        <f t="shared" si="19"/>
        <v>0</v>
      </c>
      <c r="H470" s="690"/>
      <c r="I470" s="693"/>
      <c r="J470" s="692"/>
      <c r="K470" s="692"/>
    </row>
    <row r="471" spans="1:11" ht="15" hidden="1" x14ac:dyDescent="0.25">
      <c r="A471" s="728">
        <f t="shared" si="22"/>
        <v>87.976539589442808</v>
      </c>
      <c r="B471" s="87" t="s">
        <v>3680</v>
      </c>
      <c r="C471" s="740" t="s">
        <v>3691</v>
      </c>
      <c r="D471" s="87">
        <v>30000</v>
      </c>
      <c r="E471" s="87">
        <v>341</v>
      </c>
      <c r="F471" s="563">
        <f t="shared" si="23"/>
        <v>30000</v>
      </c>
      <c r="G471" s="87">
        <f t="shared" si="19"/>
        <v>0</v>
      </c>
      <c r="H471" s="690"/>
      <c r="I471" s="693"/>
      <c r="J471" s="692"/>
      <c r="K471" s="692"/>
    </row>
    <row r="472" spans="1:11" ht="15" hidden="1" x14ac:dyDescent="0.25">
      <c r="A472" s="728">
        <f t="shared" si="22"/>
        <v>87.837837837837839</v>
      </c>
      <c r="B472" s="87" t="s">
        <v>3680</v>
      </c>
      <c r="C472" s="740" t="s">
        <v>3692</v>
      </c>
      <c r="D472" s="87">
        <v>13000</v>
      </c>
      <c r="E472" s="87">
        <v>148</v>
      </c>
      <c r="F472" s="563">
        <f t="shared" si="23"/>
        <v>13000</v>
      </c>
      <c r="G472" s="87">
        <f t="shared" si="19"/>
        <v>0</v>
      </c>
      <c r="H472" s="690"/>
      <c r="I472" s="693"/>
      <c r="J472" s="692"/>
      <c r="K472" s="692"/>
    </row>
    <row r="473" spans="1:11" ht="15" hidden="1" x14ac:dyDescent="0.25">
      <c r="A473" s="728">
        <f t="shared" si="22"/>
        <v>88.235294117647058</v>
      </c>
      <c r="B473" s="87" t="s">
        <v>3680</v>
      </c>
      <c r="C473" s="740" t="s">
        <v>3693</v>
      </c>
      <c r="D473" s="87">
        <v>9000</v>
      </c>
      <c r="E473" s="87">
        <v>102</v>
      </c>
      <c r="F473" s="563">
        <f t="shared" si="23"/>
        <v>9000</v>
      </c>
      <c r="G473" s="87">
        <f t="shared" si="19"/>
        <v>0</v>
      </c>
      <c r="H473" s="690"/>
      <c r="I473" s="693"/>
      <c r="J473" s="692"/>
      <c r="K473" s="692"/>
    </row>
    <row r="474" spans="1:11" ht="15" hidden="1" x14ac:dyDescent="0.25">
      <c r="A474" s="728">
        <f t="shared" si="22"/>
        <v>87.912087912087912</v>
      </c>
      <c r="B474" s="87" t="s">
        <v>3680</v>
      </c>
      <c r="C474" s="740" t="s">
        <v>3694</v>
      </c>
      <c r="D474" s="87">
        <v>32000</v>
      </c>
      <c r="E474" s="87">
        <v>364</v>
      </c>
      <c r="F474" s="563">
        <f t="shared" si="23"/>
        <v>32000</v>
      </c>
      <c r="G474" s="87">
        <f t="shared" si="19"/>
        <v>0</v>
      </c>
      <c r="H474" s="690"/>
      <c r="I474" s="693"/>
      <c r="J474" s="692"/>
      <c r="K474" s="692"/>
    </row>
    <row r="475" spans="1:11" ht="15" hidden="1" x14ac:dyDescent="0.25">
      <c r="A475" s="728">
        <f t="shared" si="22"/>
        <v>87.797619047619051</v>
      </c>
      <c r="B475" s="87" t="s">
        <v>3680</v>
      </c>
      <c r="C475" s="740" t="s">
        <v>3695</v>
      </c>
      <c r="D475" s="87">
        <v>29500</v>
      </c>
      <c r="E475" s="87">
        <v>336</v>
      </c>
      <c r="F475" s="563">
        <f t="shared" si="23"/>
        <v>29500</v>
      </c>
      <c r="G475" s="87">
        <f t="shared" si="19"/>
        <v>0</v>
      </c>
      <c r="H475" s="690"/>
      <c r="I475" s="693"/>
      <c r="J475" s="692"/>
      <c r="K475" s="692"/>
    </row>
    <row r="476" spans="1:11" ht="15" hidden="1" x14ac:dyDescent="0.25">
      <c r="A476" s="728">
        <f t="shared" si="22"/>
        <v>88.105726872246692</v>
      </c>
      <c r="B476" s="87" t="s">
        <v>3657</v>
      </c>
      <c r="C476" s="740" t="s">
        <v>3698</v>
      </c>
      <c r="D476" s="87">
        <v>20000</v>
      </c>
      <c r="E476" s="87">
        <v>227</v>
      </c>
      <c r="F476" s="563">
        <f t="shared" si="23"/>
        <v>20000</v>
      </c>
      <c r="G476" s="87">
        <f t="shared" si="19"/>
        <v>0</v>
      </c>
      <c r="H476" s="690"/>
      <c r="I476" s="693"/>
      <c r="J476" s="692"/>
      <c r="K476" s="692"/>
    </row>
    <row r="477" spans="1:11" ht="15" hidden="1" x14ac:dyDescent="0.25">
      <c r="A477" s="728">
        <f t="shared" si="22"/>
        <v>87.86610878661088</v>
      </c>
      <c r="B477" s="87" t="s">
        <v>3657</v>
      </c>
      <c r="C477" s="740" t="s">
        <v>2012</v>
      </c>
      <c r="D477" s="87">
        <v>21000</v>
      </c>
      <c r="E477" s="87">
        <v>239</v>
      </c>
      <c r="F477" s="563">
        <f t="shared" si="23"/>
        <v>21000</v>
      </c>
      <c r="G477" s="87">
        <f t="shared" si="19"/>
        <v>0</v>
      </c>
      <c r="H477" s="690"/>
      <c r="I477" s="693"/>
      <c r="J477" s="692"/>
      <c r="K477" s="692"/>
    </row>
    <row r="478" spans="1:11" ht="15" hidden="1" x14ac:dyDescent="0.25">
      <c r="A478" s="728">
        <f t="shared" si="22"/>
        <v>87.804878048780495</v>
      </c>
      <c r="B478" s="87" t="s">
        <v>3657</v>
      </c>
      <c r="C478" s="740" t="s">
        <v>3699</v>
      </c>
      <c r="D478" s="87">
        <v>18000</v>
      </c>
      <c r="E478" s="87">
        <v>205</v>
      </c>
      <c r="F478" s="563">
        <f t="shared" si="23"/>
        <v>18000</v>
      </c>
      <c r="G478" s="87">
        <f t="shared" si="19"/>
        <v>0</v>
      </c>
      <c r="H478" s="690"/>
      <c r="I478" s="693"/>
      <c r="J478" s="692"/>
      <c r="K478" s="692"/>
    </row>
    <row r="479" spans="1:11" ht="15" hidden="1" x14ac:dyDescent="0.25">
      <c r="A479" s="728">
        <f t="shared" si="22"/>
        <v>88.105726872246692</v>
      </c>
      <c r="B479" s="87" t="s">
        <v>3657</v>
      </c>
      <c r="C479" s="757" t="s">
        <v>3713</v>
      </c>
      <c r="D479" s="87">
        <v>20000</v>
      </c>
      <c r="E479" s="87">
        <v>227</v>
      </c>
      <c r="F479" s="563">
        <f t="shared" si="23"/>
        <v>20000</v>
      </c>
      <c r="G479" s="87">
        <f t="shared" si="19"/>
        <v>0</v>
      </c>
      <c r="H479" s="690"/>
      <c r="I479" s="693"/>
      <c r="J479" s="692"/>
      <c r="K479" s="692"/>
    </row>
    <row r="480" spans="1:11" ht="15" hidden="1" x14ac:dyDescent="0.25">
      <c r="A480" s="728">
        <f t="shared" si="22"/>
        <v>87.86610878661088</v>
      </c>
      <c r="B480" s="87" t="s">
        <v>3657</v>
      </c>
      <c r="C480" s="740" t="s">
        <v>3700</v>
      </c>
      <c r="D480" s="87">
        <v>21000</v>
      </c>
      <c r="E480" s="87">
        <v>239</v>
      </c>
      <c r="F480" s="563">
        <f t="shared" si="23"/>
        <v>21000</v>
      </c>
      <c r="G480" s="87">
        <f t="shared" si="19"/>
        <v>0</v>
      </c>
      <c r="H480" s="690"/>
      <c r="I480" s="693"/>
      <c r="J480" s="692"/>
      <c r="K480" s="692"/>
    </row>
    <row r="481" spans="1:11" ht="15" hidden="1" x14ac:dyDescent="0.25">
      <c r="A481" s="728">
        <f t="shared" si="22"/>
        <v>88.028169014084511</v>
      </c>
      <c r="B481" s="87" t="s">
        <v>3657</v>
      </c>
      <c r="C481" s="740" t="s">
        <v>3701</v>
      </c>
      <c r="D481" s="87">
        <v>25000</v>
      </c>
      <c r="E481" s="87">
        <v>284</v>
      </c>
      <c r="F481" s="563">
        <f t="shared" si="23"/>
        <v>25000</v>
      </c>
      <c r="G481" s="87">
        <f t="shared" si="19"/>
        <v>0</v>
      </c>
      <c r="H481" s="690"/>
      <c r="I481" s="693"/>
      <c r="J481" s="692"/>
      <c r="K481" s="692"/>
    </row>
    <row r="482" spans="1:11" ht="15" hidden="1" x14ac:dyDescent="0.25">
      <c r="A482" s="728">
        <f t="shared" si="22"/>
        <v>88.105726872246692</v>
      </c>
      <c r="B482" s="87" t="s">
        <v>3657</v>
      </c>
      <c r="C482" s="740" t="s">
        <v>3702</v>
      </c>
      <c r="D482" s="87">
        <v>20000</v>
      </c>
      <c r="E482" s="87">
        <v>227</v>
      </c>
      <c r="F482" s="563">
        <f t="shared" si="23"/>
        <v>20000</v>
      </c>
      <c r="G482" s="87">
        <f t="shared" si="19"/>
        <v>0</v>
      </c>
      <c r="H482" s="690"/>
      <c r="I482" s="693"/>
      <c r="J482" s="692"/>
      <c r="K482" s="692"/>
    </row>
    <row r="483" spans="1:11" ht="15" hidden="1" x14ac:dyDescent="0.25">
      <c r="A483" s="728">
        <f t="shared" si="22"/>
        <v>93.023255813953483</v>
      </c>
      <c r="B483" s="87" t="s">
        <v>3657</v>
      </c>
      <c r="C483" s="740" t="s">
        <v>3703</v>
      </c>
      <c r="D483" s="87">
        <v>24000</v>
      </c>
      <c r="E483" s="87">
        <v>258</v>
      </c>
      <c r="F483" s="563">
        <f t="shared" si="23"/>
        <v>24000</v>
      </c>
      <c r="G483" s="87">
        <f t="shared" si="19"/>
        <v>0</v>
      </c>
      <c r="H483" s="690"/>
      <c r="I483" s="693"/>
      <c r="J483" s="692"/>
      <c r="K483" s="692"/>
    </row>
    <row r="484" spans="1:11" ht="15" hidden="1" x14ac:dyDescent="0.25">
      <c r="A484" s="728">
        <f t="shared" si="22"/>
        <v>87.912087912087912</v>
      </c>
      <c r="B484" s="87" t="s">
        <v>3657</v>
      </c>
      <c r="C484" s="740" t="s">
        <v>30</v>
      </c>
      <c r="D484" s="87">
        <v>8000</v>
      </c>
      <c r="E484" s="87">
        <v>91</v>
      </c>
      <c r="F484" s="563">
        <f t="shared" si="23"/>
        <v>8000</v>
      </c>
      <c r="G484" s="87">
        <f t="shared" si="19"/>
        <v>0</v>
      </c>
      <c r="H484" s="690"/>
      <c r="I484" s="693"/>
      <c r="J484" s="692"/>
      <c r="K484" s="692"/>
    </row>
    <row r="485" spans="1:11" ht="15" hidden="1" x14ac:dyDescent="0.25">
      <c r="A485" s="728">
        <f t="shared" si="22"/>
        <v>87.912087912087912</v>
      </c>
      <c r="B485" s="87" t="s">
        <v>3657</v>
      </c>
      <c r="C485" s="740" t="s">
        <v>1913</v>
      </c>
      <c r="D485" s="87">
        <v>24000</v>
      </c>
      <c r="E485" s="87">
        <v>273</v>
      </c>
      <c r="F485" s="563">
        <f t="shared" si="23"/>
        <v>24000</v>
      </c>
      <c r="G485" s="87">
        <f t="shared" si="19"/>
        <v>0</v>
      </c>
      <c r="H485" s="690"/>
      <c r="I485" s="693"/>
      <c r="J485" s="692"/>
      <c r="K485" s="692"/>
    </row>
    <row r="486" spans="1:11" ht="15" hidden="1" x14ac:dyDescent="0.25">
      <c r="A486" s="728">
        <f t="shared" si="22"/>
        <v>87.962962962962962</v>
      </c>
      <c r="B486" s="87" t="s">
        <v>3657</v>
      </c>
      <c r="C486" s="740" t="s">
        <v>3704</v>
      </c>
      <c r="D486" s="87">
        <v>19000</v>
      </c>
      <c r="E486" s="87">
        <v>216</v>
      </c>
      <c r="F486" s="563">
        <f t="shared" si="23"/>
        <v>19000</v>
      </c>
      <c r="G486" s="87">
        <f t="shared" si="19"/>
        <v>0</v>
      </c>
      <c r="H486" s="690"/>
      <c r="I486" s="693"/>
      <c r="J486" s="692"/>
      <c r="K486" s="692"/>
    </row>
    <row r="487" spans="1:11" ht="15" hidden="1" x14ac:dyDescent="0.25">
      <c r="A487" s="728">
        <f t="shared" si="22"/>
        <v>87.86610878661088</v>
      </c>
      <c r="B487" s="87" t="s">
        <v>3657</v>
      </c>
      <c r="C487" s="740" t="s">
        <v>2013</v>
      </c>
      <c r="D487" s="87">
        <v>21000</v>
      </c>
      <c r="E487" s="87">
        <v>239</v>
      </c>
      <c r="F487" s="563">
        <f t="shared" si="23"/>
        <v>21000</v>
      </c>
      <c r="G487" s="87">
        <f t="shared" si="19"/>
        <v>0</v>
      </c>
      <c r="H487" s="690"/>
      <c r="I487" s="693"/>
      <c r="J487" s="692"/>
      <c r="K487" s="692"/>
    </row>
    <row r="488" spans="1:11" ht="15" hidden="1" x14ac:dyDescent="0.25">
      <c r="A488" s="728">
        <f t="shared" si="22"/>
        <v>94.650205761316869</v>
      </c>
      <c r="B488" s="87" t="s">
        <v>3657</v>
      </c>
      <c r="C488" s="740" t="s">
        <v>3239</v>
      </c>
      <c r="D488" s="87">
        <v>23000</v>
      </c>
      <c r="E488" s="87">
        <v>243</v>
      </c>
      <c r="F488" s="563">
        <f t="shared" si="23"/>
        <v>23000</v>
      </c>
      <c r="G488" s="87">
        <f t="shared" si="19"/>
        <v>0</v>
      </c>
      <c r="H488" s="690"/>
      <c r="I488" s="693"/>
      <c r="J488" s="692"/>
      <c r="K488" s="692"/>
    </row>
    <row r="489" spans="1:11" ht="15" hidden="1" x14ac:dyDescent="0.25">
      <c r="A489" s="728">
        <f t="shared" si="22"/>
        <v>92.165898617511516</v>
      </c>
      <c r="B489" s="87" t="s">
        <v>3657</v>
      </c>
      <c r="C489" s="740" t="s">
        <v>3002</v>
      </c>
      <c r="D489" s="87">
        <v>20000</v>
      </c>
      <c r="E489" s="87">
        <v>217</v>
      </c>
      <c r="F489" s="563">
        <f t="shared" si="23"/>
        <v>20000</v>
      </c>
      <c r="G489" s="87">
        <f t="shared" si="19"/>
        <v>0</v>
      </c>
      <c r="H489" s="690"/>
      <c r="I489" s="693"/>
      <c r="J489" s="692"/>
      <c r="K489" s="692"/>
    </row>
    <row r="490" spans="1:11" ht="15" hidden="1" x14ac:dyDescent="0.25">
      <c r="A490" s="728">
        <f t="shared" si="22"/>
        <v>87.837837837837839</v>
      </c>
      <c r="B490" s="87" t="s">
        <v>3657</v>
      </c>
      <c r="C490" s="740" t="s">
        <v>3705</v>
      </c>
      <c r="D490" s="87">
        <v>26000</v>
      </c>
      <c r="E490" s="87">
        <v>296</v>
      </c>
      <c r="F490" s="563">
        <f t="shared" si="23"/>
        <v>26000</v>
      </c>
      <c r="G490" s="87">
        <f t="shared" si="19"/>
        <v>0</v>
      </c>
      <c r="H490" s="690"/>
      <c r="I490" s="693"/>
      <c r="J490" s="692"/>
      <c r="K490" s="692"/>
    </row>
    <row r="491" spans="1:11" ht="15" hidden="1" x14ac:dyDescent="0.25">
      <c r="A491" s="728">
        <f t="shared" si="22"/>
        <v>88</v>
      </c>
      <c r="B491" s="87" t="s">
        <v>3657</v>
      </c>
      <c r="C491" s="740" t="s">
        <v>2935</v>
      </c>
      <c r="D491" s="87">
        <v>22000</v>
      </c>
      <c r="E491" s="87">
        <v>250</v>
      </c>
      <c r="F491" s="563">
        <f t="shared" si="23"/>
        <v>22000</v>
      </c>
      <c r="G491" s="87">
        <f t="shared" si="19"/>
        <v>0</v>
      </c>
      <c r="H491" s="690"/>
      <c r="I491" s="693"/>
      <c r="J491" s="692"/>
      <c r="K491" s="692"/>
    </row>
    <row r="492" spans="1:11" ht="15" hidden="1" x14ac:dyDescent="0.25">
      <c r="A492" s="728">
        <f t="shared" si="22"/>
        <v>91.525423728813564</v>
      </c>
      <c r="B492" s="87" t="s">
        <v>3657</v>
      </c>
      <c r="C492" s="740" t="s">
        <v>2858</v>
      </c>
      <c r="D492" s="87">
        <v>27000</v>
      </c>
      <c r="E492" s="87">
        <v>295</v>
      </c>
      <c r="F492" s="563">
        <f t="shared" si="23"/>
        <v>27000</v>
      </c>
      <c r="G492" s="87">
        <f t="shared" si="19"/>
        <v>0</v>
      </c>
      <c r="H492" s="690"/>
      <c r="I492" s="693"/>
      <c r="J492" s="692"/>
      <c r="K492" s="692"/>
    </row>
    <row r="493" spans="1:11" ht="15" hidden="1" x14ac:dyDescent="0.25">
      <c r="A493" s="728">
        <f t="shared" si="22"/>
        <v>87.804878048780495</v>
      </c>
      <c r="B493" s="87" t="s">
        <v>3657</v>
      </c>
      <c r="C493" s="740" t="s">
        <v>3706</v>
      </c>
      <c r="D493" s="87">
        <v>18000</v>
      </c>
      <c r="E493" s="87">
        <v>205</v>
      </c>
      <c r="F493" s="563">
        <f t="shared" si="23"/>
        <v>18000</v>
      </c>
      <c r="G493" s="87">
        <f t="shared" si="19"/>
        <v>0</v>
      </c>
      <c r="H493" s="690"/>
      <c r="I493" s="693"/>
      <c r="J493" s="692"/>
      <c r="K493" s="692"/>
    </row>
    <row r="494" spans="1:11" ht="15" hidden="1" x14ac:dyDescent="0.25">
      <c r="A494" s="728">
        <f t="shared" si="22"/>
        <v>87.962962962962962</v>
      </c>
      <c r="B494" s="87" t="s">
        <v>3657</v>
      </c>
      <c r="C494" s="740" t="s">
        <v>3707</v>
      </c>
      <c r="D494" s="87">
        <v>19000</v>
      </c>
      <c r="E494" s="87">
        <v>216</v>
      </c>
      <c r="F494" s="563">
        <f t="shared" si="23"/>
        <v>19000</v>
      </c>
      <c r="G494" s="87">
        <f t="shared" si="19"/>
        <v>0</v>
      </c>
      <c r="H494" s="690"/>
      <c r="I494" s="693"/>
      <c r="J494" s="692"/>
      <c r="K494" s="692"/>
    </row>
    <row r="495" spans="1:11" ht="15" hidden="1" x14ac:dyDescent="0.25">
      <c r="A495" s="728">
        <f t="shared" si="22"/>
        <v>87.947882736156359</v>
      </c>
      <c r="B495" s="87" t="s">
        <v>3657</v>
      </c>
      <c r="C495" s="740" t="s">
        <v>3708</v>
      </c>
      <c r="D495" s="87">
        <v>27000</v>
      </c>
      <c r="E495" s="87">
        <v>307</v>
      </c>
      <c r="F495" s="563">
        <f t="shared" si="23"/>
        <v>27000</v>
      </c>
      <c r="G495" s="87">
        <f t="shared" si="19"/>
        <v>0</v>
      </c>
      <c r="H495" s="690"/>
      <c r="I495" s="693"/>
      <c r="J495" s="692"/>
      <c r="K495" s="692"/>
    </row>
    <row r="496" spans="1:11" ht="15" hidden="1" x14ac:dyDescent="0.25">
      <c r="A496" s="728">
        <f t="shared" si="22"/>
        <v>87.878787878787875</v>
      </c>
      <c r="B496" s="87" t="s">
        <v>3657</v>
      </c>
      <c r="C496" s="740" t="s">
        <v>3709</v>
      </c>
      <c r="D496" s="87">
        <v>29000</v>
      </c>
      <c r="E496" s="87">
        <v>330</v>
      </c>
      <c r="F496" s="563">
        <f t="shared" si="23"/>
        <v>29000</v>
      </c>
      <c r="G496" s="87">
        <f t="shared" si="19"/>
        <v>0</v>
      </c>
      <c r="H496" s="690"/>
      <c r="I496" s="693"/>
      <c r="J496" s="692"/>
      <c r="K496" s="692"/>
    </row>
    <row r="497" spans="1:11" ht="15" hidden="1" x14ac:dyDescent="0.25">
      <c r="A497" s="728">
        <f t="shared" si="22"/>
        <v>87.774294670846402</v>
      </c>
      <c r="B497" s="87" t="s">
        <v>3657</v>
      </c>
      <c r="C497" s="740" t="s">
        <v>3712</v>
      </c>
      <c r="D497" s="87">
        <v>28000</v>
      </c>
      <c r="E497" s="87">
        <v>319</v>
      </c>
      <c r="F497" s="563">
        <f t="shared" si="23"/>
        <v>28000</v>
      </c>
      <c r="G497" s="87">
        <f t="shared" si="19"/>
        <v>0</v>
      </c>
      <c r="H497" s="690"/>
      <c r="I497" s="693"/>
      <c r="J497" s="692"/>
      <c r="K497" s="692"/>
    </row>
    <row r="498" spans="1:11" ht="15" hidden="1" x14ac:dyDescent="0.25">
      <c r="A498" s="728">
        <f t="shared" si="22"/>
        <v>88.235294117647058</v>
      </c>
      <c r="B498" s="87" t="s">
        <v>3657</v>
      </c>
      <c r="C498" s="740" t="s">
        <v>3710</v>
      </c>
      <c r="D498" s="87">
        <v>15000</v>
      </c>
      <c r="E498" s="87">
        <v>170</v>
      </c>
      <c r="F498" s="563">
        <f t="shared" si="23"/>
        <v>15000</v>
      </c>
      <c r="G498" s="87">
        <f t="shared" si="19"/>
        <v>0</v>
      </c>
      <c r="H498" s="690"/>
      <c r="I498" s="693"/>
      <c r="J498" s="692"/>
      <c r="K498" s="692"/>
    </row>
    <row r="499" spans="1:11" ht="15" hidden="1" x14ac:dyDescent="0.25">
      <c r="A499" s="728">
        <f t="shared" si="22"/>
        <v>87.939698492462313</v>
      </c>
      <c r="B499" s="87" t="s">
        <v>3657</v>
      </c>
      <c r="C499" s="740" t="s">
        <v>3711</v>
      </c>
      <c r="D499" s="87">
        <v>35000</v>
      </c>
      <c r="E499" s="87">
        <v>398</v>
      </c>
      <c r="F499" s="563">
        <f t="shared" si="23"/>
        <v>35000</v>
      </c>
      <c r="G499" s="87">
        <f t="shared" si="19"/>
        <v>0</v>
      </c>
      <c r="H499" s="690"/>
      <c r="I499" s="693"/>
      <c r="J499" s="692"/>
      <c r="K499" s="692"/>
    </row>
    <row r="500" spans="1:11" ht="15" x14ac:dyDescent="0.25">
      <c r="A500" s="728">
        <f t="shared" si="22"/>
        <v>100.59171597633136</v>
      </c>
      <c r="B500" s="87" t="s">
        <v>3658</v>
      </c>
      <c r="C500" s="514" t="s">
        <v>2044</v>
      </c>
      <c r="D500" s="87">
        <v>17000</v>
      </c>
      <c r="E500" s="87">
        <v>169</v>
      </c>
      <c r="F500" s="563">
        <f t="shared" si="23"/>
        <v>17000</v>
      </c>
      <c r="G500" s="87">
        <f t="shared" si="19"/>
        <v>0</v>
      </c>
      <c r="H500" s="690"/>
      <c r="I500" s="693"/>
      <c r="J500" s="692"/>
      <c r="K500" s="692"/>
    </row>
    <row r="501" spans="1:11" ht="15" x14ac:dyDescent="0.25">
      <c r="A501" s="728">
        <f t="shared" si="22"/>
        <v>100</v>
      </c>
      <c r="B501" s="87" t="s">
        <v>3658</v>
      </c>
      <c r="C501" s="514" t="s">
        <v>1855</v>
      </c>
      <c r="D501" s="87">
        <v>17000</v>
      </c>
      <c r="E501" s="87">
        <v>170</v>
      </c>
      <c r="F501" s="563">
        <f t="shared" si="23"/>
        <v>17000</v>
      </c>
      <c r="G501" s="87">
        <f t="shared" si="19"/>
        <v>0</v>
      </c>
      <c r="H501" s="690"/>
      <c r="I501" s="693"/>
      <c r="J501" s="692"/>
      <c r="K501" s="692"/>
    </row>
    <row r="502" spans="1:11" ht="15" x14ac:dyDescent="0.25">
      <c r="A502" s="728">
        <f t="shared" si="22"/>
        <v>87.962962962962962</v>
      </c>
      <c r="B502" s="87" t="s">
        <v>3658</v>
      </c>
      <c r="C502" s="514" t="s">
        <v>3641</v>
      </c>
      <c r="D502" s="87">
        <v>19000</v>
      </c>
      <c r="E502" s="87">
        <v>216</v>
      </c>
      <c r="F502" s="563">
        <f t="shared" si="23"/>
        <v>19000</v>
      </c>
      <c r="G502" s="87">
        <f t="shared" si="19"/>
        <v>0</v>
      </c>
      <c r="H502" s="690"/>
      <c r="I502" s="693"/>
      <c r="J502" s="692"/>
      <c r="K502" s="692"/>
    </row>
    <row r="503" spans="1:11" ht="15" x14ac:dyDescent="0.25">
      <c r="A503" s="728">
        <f t="shared" si="22"/>
        <v>87.976539589442808</v>
      </c>
      <c r="B503" s="87" t="s">
        <v>3658</v>
      </c>
      <c r="C503" s="491" t="s">
        <v>3727</v>
      </c>
      <c r="D503" s="87">
        <v>30000</v>
      </c>
      <c r="E503" s="87">
        <v>341</v>
      </c>
      <c r="F503" s="563">
        <f t="shared" si="23"/>
        <v>30000</v>
      </c>
      <c r="G503" s="87">
        <f t="shared" si="19"/>
        <v>0</v>
      </c>
      <c r="H503" s="690"/>
      <c r="I503" s="693"/>
      <c r="J503" s="692"/>
      <c r="K503" s="692"/>
    </row>
    <row r="504" spans="1:11" ht="15" x14ac:dyDescent="0.25">
      <c r="A504" s="728">
        <f t="shared" si="22"/>
        <v>88</v>
      </c>
      <c r="B504" s="87" t="s">
        <v>3658</v>
      </c>
      <c r="C504" s="514" t="s">
        <v>3714</v>
      </c>
      <c r="D504" s="87">
        <v>22000</v>
      </c>
      <c r="E504" s="87">
        <v>250</v>
      </c>
      <c r="F504" s="563">
        <f t="shared" si="23"/>
        <v>22000</v>
      </c>
      <c r="G504" s="87">
        <f t="shared" si="19"/>
        <v>0</v>
      </c>
      <c r="H504" s="690"/>
      <c r="I504" s="693"/>
      <c r="J504" s="692"/>
      <c r="K504" s="692"/>
    </row>
    <row r="505" spans="1:11" ht="15" x14ac:dyDescent="0.25">
      <c r="A505" s="728">
        <f t="shared" si="22"/>
        <v>90.551181102362207</v>
      </c>
      <c r="B505" s="87" t="s">
        <v>3658</v>
      </c>
      <c r="C505" s="514" t="s">
        <v>3715</v>
      </c>
      <c r="D505" s="87">
        <v>23000</v>
      </c>
      <c r="E505" s="87">
        <v>254</v>
      </c>
      <c r="F505" s="563">
        <f t="shared" si="23"/>
        <v>23000</v>
      </c>
      <c r="G505" s="87">
        <f t="shared" si="19"/>
        <v>0</v>
      </c>
      <c r="H505" s="690"/>
      <c r="I505" s="693"/>
      <c r="J505" s="692"/>
      <c r="K505" s="692"/>
    </row>
    <row r="506" spans="1:11" ht="15" x14ac:dyDescent="0.25">
      <c r="A506" s="728">
        <f t="shared" si="22"/>
        <v>88</v>
      </c>
      <c r="B506" s="87" t="s">
        <v>3658</v>
      </c>
      <c r="C506" s="491" t="s">
        <v>3728</v>
      </c>
      <c r="D506" s="87">
        <v>22000</v>
      </c>
      <c r="E506" s="87">
        <v>250</v>
      </c>
      <c r="F506" s="563">
        <f t="shared" si="23"/>
        <v>22000</v>
      </c>
      <c r="G506" s="87">
        <f t="shared" si="19"/>
        <v>0</v>
      </c>
      <c r="H506" s="690"/>
      <c r="I506" s="693"/>
      <c r="J506" s="692"/>
      <c r="K506" s="692"/>
    </row>
    <row r="507" spans="1:11" ht="15" x14ac:dyDescent="0.25">
      <c r="A507" s="728">
        <f t="shared" si="22"/>
        <v>88</v>
      </c>
      <c r="B507" s="87" t="s">
        <v>3658</v>
      </c>
      <c r="C507" s="514" t="s">
        <v>3639</v>
      </c>
      <c r="D507" s="87">
        <v>22000</v>
      </c>
      <c r="E507" s="87">
        <v>250</v>
      </c>
      <c r="F507" s="563">
        <f t="shared" si="23"/>
        <v>22000</v>
      </c>
      <c r="G507" s="87">
        <f t="shared" si="19"/>
        <v>0</v>
      </c>
      <c r="H507" s="690"/>
      <c r="I507" s="693"/>
      <c r="J507" s="692"/>
      <c r="K507" s="692"/>
    </row>
    <row r="508" spans="1:11" ht="15" x14ac:dyDescent="0.25">
      <c r="A508" s="728">
        <f t="shared" si="22"/>
        <v>98.360655737704917</v>
      </c>
      <c r="B508" s="87" t="s">
        <v>3658</v>
      </c>
      <c r="C508" s="514" t="s">
        <v>3716</v>
      </c>
      <c r="D508" s="87">
        <v>24000</v>
      </c>
      <c r="E508" s="87">
        <v>244</v>
      </c>
      <c r="F508" s="563">
        <f t="shared" si="23"/>
        <v>24000</v>
      </c>
      <c r="G508" s="87">
        <f t="shared" si="19"/>
        <v>0</v>
      </c>
      <c r="H508" s="690"/>
      <c r="I508" s="693"/>
      <c r="J508" s="692"/>
      <c r="K508" s="692"/>
    </row>
    <row r="509" spans="1:11" ht="15" x14ac:dyDescent="0.25">
      <c r="A509" s="728">
        <f t="shared" si="22"/>
        <v>88.004000000000005</v>
      </c>
      <c r="B509" s="87" t="s">
        <v>3658</v>
      </c>
      <c r="C509" s="514" t="s">
        <v>3717</v>
      </c>
      <c r="D509" s="87">
        <v>22001</v>
      </c>
      <c r="E509" s="87">
        <v>250</v>
      </c>
      <c r="F509" s="563">
        <f t="shared" si="23"/>
        <v>22001</v>
      </c>
      <c r="G509" s="87">
        <f t="shared" si="19"/>
        <v>0</v>
      </c>
      <c r="H509" s="690"/>
      <c r="I509" s="693" t="s">
        <v>1724</v>
      </c>
      <c r="J509" s="692">
        <v>30000</v>
      </c>
      <c r="K509" s="692"/>
    </row>
    <row r="510" spans="1:11" ht="15" x14ac:dyDescent="0.25">
      <c r="A510" s="728">
        <f t="shared" si="22"/>
        <v>88.034188034188034</v>
      </c>
      <c r="B510" s="87" t="s">
        <v>3658</v>
      </c>
      <c r="C510" s="514" t="s">
        <v>3215</v>
      </c>
      <c r="D510" s="87">
        <v>20600</v>
      </c>
      <c r="E510" s="87">
        <v>234</v>
      </c>
      <c r="F510" s="563">
        <f t="shared" si="23"/>
        <v>20600</v>
      </c>
      <c r="G510" s="87">
        <f t="shared" si="19"/>
        <v>0</v>
      </c>
      <c r="H510" s="690"/>
      <c r="I510" s="693" t="s">
        <v>3655</v>
      </c>
      <c r="J510" s="692">
        <v>22000</v>
      </c>
      <c r="K510" s="692"/>
    </row>
    <row r="511" spans="1:11" ht="15" x14ac:dyDescent="0.25">
      <c r="A511" s="728">
        <f t="shared" si="22"/>
        <v>89.605734767025083</v>
      </c>
      <c r="B511" s="87" t="s">
        <v>3658</v>
      </c>
      <c r="C511" s="514" t="s">
        <v>3718</v>
      </c>
      <c r="D511" s="87">
        <v>25000</v>
      </c>
      <c r="E511" s="87">
        <v>279</v>
      </c>
      <c r="F511" s="563">
        <f t="shared" si="23"/>
        <v>25000</v>
      </c>
      <c r="G511" s="87">
        <f t="shared" si="19"/>
        <v>0</v>
      </c>
      <c r="H511" s="690"/>
      <c r="I511" s="693" t="s">
        <v>1959</v>
      </c>
      <c r="J511" s="692">
        <v>24000</v>
      </c>
      <c r="K511" s="692"/>
    </row>
    <row r="512" spans="1:11" ht="15" x14ac:dyDescent="0.25">
      <c r="A512" s="728">
        <f t="shared" si="22"/>
        <v>87.982832618025753</v>
      </c>
      <c r="B512" s="87" t="s">
        <v>3658</v>
      </c>
      <c r="C512" s="514" t="s">
        <v>3719</v>
      </c>
      <c r="D512" s="87">
        <v>20500</v>
      </c>
      <c r="E512" s="87">
        <v>233</v>
      </c>
      <c r="F512" s="563">
        <f t="shared" si="23"/>
        <v>20500</v>
      </c>
      <c r="G512" s="87">
        <f t="shared" si="19"/>
        <v>0</v>
      </c>
      <c r="H512" s="476"/>
      <c r="K512" s="692"/>
    </row>
    <row r="513" spans="1:11" ht="15" x14ac:dyDescent="0.25">
      <c r="A513" s="728">
        <f t="shared" si="22"/>
        <v>88.235294117647058</v>
      </c>
      <c r="B513" s="87" t="s">
        <v>3658</v>
      </c>
      <c r="C513" s="514" t="s">
        <v>17</v>
      </c>
      <c r="D513" s="87">
        <v>3000</v>
      </c>
      <c r="E513" s="87">
        <v>34</v>
      </c>
      <c r="F513" s="563">
        <f t="shared" si="23"/>
        <v>3000</v>
      </c>
      <c r="G513" s="87">
        <f t="shared" si="19"/>
        <v>0</v>
      </c>
      <c r="H513" s="690"/>
      <c r="I513" s="693"/>
      <c r="J513" s="692"/>
      <c r="K513" s="692"/>
    </row>
    <row r="514" spans="1:11" ht="15" x14ac:dyDescent="0.25">
      <c r="A514" s="728">
        <f t="shared" si="22"/>
        <v>97.222222222222214</v>
      </c>
      <c r="B514" s="87" t="s">
        <v>3658</v>
      </c>
      <c r="C514" s="514" t="s">
        <v>66</v>
      </c>
      <c r="D514" s="87">
        <v>210</v>
      </c>
      <c r="E514" s="87">
        <v>2.16</v>
      </c>
      <c r="F514" s="563">
        <f t="shared" si="23"/>
        <v>210</v>
      </c>
      <c r="G514" s="87">
        <f t="shared" si="19"/>
        <v>0</v>
      </c>
      <c r="H514" s="690"/>
      <c r="I514" s="693"/>
      <c r="J514" s="692"/>
      <c r="K514" s="692"/>
    </row>
    <row r="515" spans="1:11" ht="15" x14ac:dyDescent="0.25">
      <c r="A515" s="728">
        <f t="shared" si="22"/>
        <v>96.153846153846146</v>
      </c>
      <c r="B515" s="87" t="s">
        <v>3658</v>
      </c>
      <c r="C515" s="514" t="s">
        <v>66</v>
      </c>
      <c r="D515" s="87">
        <v>150</v>
      </c>
      <c r="E515" s="87">
        <v>1.56</v>
      </c>
      <c r="F515" s="563">
        <f t="shared" si="23"/>
        <v>150</v>
      </c>
      <c r="G515" s="87">
        <f t="shared" si="19"/>
        <v>0</v>
      </c>
      <c r="H515" s="690"/>
      <c r="I515" s="693"/>
      <c r="J515" s="692"/>
      <c r="K515" s="692"/>
    </row>
    <row r="516" spans="1:11" ht="15" x14ac:dyDescent="0.25">
      <c r="A516" s="728">
        <f t="shared" si="22"/>
        <v>88.105726872246692</v>
      </c>
      <c r="B516" s="87" t="s">
        <v>3658</v>
      </c>
      <c r="C516" s="514" t="s">
        <v>3720</v>
      </c>
      <c r="D516" s="87">
        <v>20000</v>
      </c>
      <c r="E516" s="87">
        <v>227</v>
      </c>
      <c r="F516" s="563">
        <f t="shared" si="23"/>
        <v>20000</v>
      </c>
      <c r="G516" s="87">
        <f t="shared" si="19"/>
        <v>0</v>
      </c>
      <c r="H516" s="690"/>
      <c r="I516" s="693"/>
      <c r="J516" s="692"/>
      <c r="K516" s="692"/>
    </row>
    <row r="517" spans="1:11" ht="15" x14ac:dyDescent="0.25">
      <c r="A517" s="728">
        <f t="shared" si="22"/>
        <v>90.909090909090907</v>
      </c>
      <c r="B517" s="87" t="s">
        <v>3658</v>
      </c>
      <c r="C517" s="491" t="s">
        <v>3729</v>
      </c>
      <c r="D517" s="87">
        <v>24000</v>
      </c>
      <c r="E517" s="87">
        <v>264</v>
      </c>
      <c r="F517" s="563">
        <f t="shared" si="23"/>
        <v>24000</v>
      </c>
      <c r="G517" s="87">
        <f t="shared" si="19"/>
        <v>0</v>
      </c>
      <c r="H517" s="690"/>
      <c r="I517" s="693"/>
      <c r="J517" s="692"/>
      <c r="K517" s="692"/>
    </row>
    <row r="518" spans="1:11" ht="15" x14ac:dyDescent="0.25">
      <c r="A518" s="728">
        <f t="shared" si="22"/>
        <v>87.912087912087912</v>
      </c>
      <c r="B518" s="87" t="s">
        <v>3658</v>
      </c>
      <c r="C518" s="514" t="s">
        <v>3685</v>
      </c>
      <c r="D518" s="87">
        <v>24000</v>
      </c>
      <c r="E518" s="87">
        <v>273</v>
      </c>
      <c r="F518" s="563">
        <f t="shared" si="23"/>
        <v>24000</v>
      </c>
      <c r="G518" s="87">
        <f t="shared" si="19"/>
        <v>0</v>
      </c>
      <c r="H518" s="690"/>
      <c r="I518" s="693"/>
      <c r="J518" s="692"/>
      <c r="K518" s="692"/>
    </row>
    <row r="519" spans="1:11" ht="15" x14ac:dyDescent="0.25">
      <c r="A519" s="728">
        <f t="shared" si="22"/>
        <v>88.105726872246692</v>
      </c>
      <c r="B519" s="87" t="s">
        <v>3658</v>
      </c>
      <c r="C519" s="514" t="s">
        <v>2288</v>
      </c>
      <c r="D519" s="87">
        <v>20000</v>
      </c>
      <c r="E519" s="87">
        <v>227</v>
      </c>
      <c r="F519" s="563">
        <f t="shared" si="23"/>
        <v>20000</v>
      </c>
      <c r="G519" s="87">
        <f t="shared" si="19"/>
        <v>0</v>
      </c>
      <c r="H519" s="690"/>
      <c r="I519" s="693"/>
      <c r="J519" s="692"/>
      <c r="K519" s="692"/>
    </row>
    <row r="520" spans="1:11" ht="15" x14ac:dyDescent="0.25">
      <c r="A520" s="728">
        <f t="shared" si="22"/>
        <v>88.495575221238937</v>
      </c>
      <c r="B520" s="87" t="s">
        <v>3658</v>
      </c>
      <c r="C520" s="514" t="s">
        <v>3721</v>
      </c>
      <c r="D520" s="87">
        <v>10000</v>
      </c>
      <c r="E520" s="87">
        <v>113</v>
      </c>
      <c r="F520" s="563">
        <f t="shared" si="23"/>
        <v>10000</v>
      </c>
      <c r="G520" s="87">
        <f t="shared" si="19"/>
        <v>0</v>
      </c>
      <c r="H520" s="690"/>
      <c r="I520" s="693"/>
      <c r="J520" s="692"/>
      <c r="K520" s="692"/>
    </row>
    <row r="521" spans="1:11" ht="15" x14ac:dyDescent="0.25">
      <c r="A521" s="728">
        <f t="shared" si="22"/>
        <v>88.235294117647058</v>
      </c>
      <c r="B521" s="87" t="s">
        <v>3658</v>
      </c>
      <c r="C521" s="739" t="s">
        <v>3722</v>
      </c>
      <c r="D521" s="752">
        <v>15000</v>
      </c>
      <c r="E521" s="87">
        <v>170</v>
      </c>
      <c r="F521" s="563">
        <f t="shared" si="23"/>
        <v>15000</v>
      </c>
      <c r="G521" s="87">
        <f t="shared" si="19"/>
        <v>0</v>
      </c>
      <c r="H521" s="690"/>
      <c r="I521" s="693"/>
      <c r="J521" s="692"/>
      <c r="K521" s="692"/>
    </row>
    <row r="522" spans="1:11" ht="15" x14ac:dyDescent="0.25">
      <c r="A522" s="728">
        <f t="shared" si="22"/>
        <v>87.86610878661088</v>
      </c>
      <c r="B522" s="87" t="s">
        <v>3658</v>
      </c>
      <c r="C522" s="514" t="s">
        <v>3723</v>
      </c>
      <c r="D522" s="87">
        <v>21000</v>
      </c>
      <c r="E522" s="87">
        <v>239</v>
      </c>
      <c r="F522" s="563">
        <f t="shared" si="23"/>
        <v>21000</v>
      </c>
      <c r="G522" s="87">
        <f t="shared" si="19"/>
        <v>0</v>
      </c>
      <c r="H522" s="690"/>
      <c r="I522" s="693"/>
      <c r="J522" s="692"/>
      <c r="K522" s="692"/>
    </row>
    <row r="523" spans="1:11" ht="15" x14ac:dyDescent="0.25">
      <c r="A523" s="728">
        <f t="shared" si="22"/>
        <v>87.912087912087912</v>
      </c>
      <c r="B523" s="87" t="s">
        <v>3658</v>
      </c>
      <c r="C523" s="514" t="s">
        <v>3724</v>
      </c>
      <c r="D523" s="87">
        <v>16000</v>
      </c>
      <c r="E523" s="87">
        <v>182</v>
      </c>
      <c r="F523" s="563">
        <f t="shared" si="23"/>
        <v>16000</v>
      </c>
      <c r="G523" s="87">
        <f t="shared" si="19"/>
        <v>0</v>
      </c>
      <c r="H523" s="690"/>
      <c r="I523" s="693"/>
      <c r="J523" s="692"/>
      <c r="K523" s="692"/>
    </row>
    <row r="524" spans="1:11" ht="15" x14ac:dyDescent="0.25">
      <c r="A524" s="728">
        <f t="shared" si="22"/>
        <v>93.264248704663217</v>
      </c>
      <c r="B524" s="87" t="s">
        <v>3658</v>
      </c>
      <c r="C524" s="514" t="s">
        <v>3725</v>
      </c>
      <c r="D524" s="87">
        <v>18000</v>
      </c>
      <c r="E524" s="87">
        <v>193</v>
      </c>
      <c r="F524" s="563">
        <f t="shared" si="23"/>
        <v>18000</v>
      </c>
      <c r="G524" s="87">
        <f t="shared" si="19"/>
        <v>0</v>
      </c>
      <c r="H524" s="690"/>
      <c r="I524" s="693"/>
      <c r="J524" s="692"/>
      <c r="K524" s="692"/>
    </row>
    <row r="525" spans="1:11" ht="15" x14ac:dyDescent="0.25">
      <c r="A525" s="728">
        <f t="shared" si="22"/>
        <v>87.912087912087912</v>
      </c>
      <c r="B525" s="87" t="s">
        <v>3658</v>
      </c>
      <c r="C525" s="514" t="s">
        <v>3726</v>
      </c>
      <c r="D525" s="87">
        <v>24000</v>
      </c>
      <c r="E525" s="87">
        <v>273</v>
      </c>
      <c r="F525" s="563">
        <f t="shared" si="23"/>
        <v>24000</v>
      </c>
      <c r="G525" s="87">
        <f t="shared" si="19"/>
        <v>0</v>
      </c>
      <c r="H525" s="690"/>
      <c r="I525" s="693"/>
      <c r="J525" s="692"/>
      <c r="K525" s="692"/>
    </row>
    <row r="526" spans="1:11" ht="15" x14ac:dyDescent="0.25">
      <c r="A526" s="728">
        <f t="shared" si="22"/>
        <v>88.607594936708864</v>
      </c>
      <c r="B526" s="87" t="s">
        <v>3697</v>
      </c>
      <c r="C526" s="514" t="s">
        <v>30</v>
      </c>
      <c r="D526" s="87">
        <v>7000</v>
      </c>
      <c r="E526" s="87">
        <v>79</v>
      </c>
      <c r="F526" s="563">
        <f t="shared" si="23"/>
        <v>7000</v>
      </c>
      <c r="G526" s="87">
        <f t="shared" si="19"/>
        <v>0</v>
      </c>
      <c r="H526" s="690"/>
      <c r="I526" s="693"/>
      <c r="J526" s="692"/>
      <c r="K526" s="692"/>
    </row>
    <row r="527" spans="1:11" ht="15" x14ac:dyDescent="0.25">
      <c r="A527" s="728">
        <f t="shared" si="22"/>
        <v>88.105726872246692</v>
      </c>
      <c r="B527" s="87" t="s">
        <v>3697</v>
      </c>
      <c r="C527" s="514" t="s">
        <v>2891</v>
      </c>
      <c r="D527" s="87">
        <v>20000</v>
      </c>
      <c r="E527" s="87">
        <v>227</v>
      </c>
      <c r="F527" s="563">
        <f t="shared" si="23"/>
        <v>20000</v>
      </c>
      <c r="G527" s="87">
        <f t="shared" si="19"/>
        <v>0</v>
      </c>
      <c r="H527" s="690"/>
      <c r="I527" s="693"/>
      <c r="J527" s="692"/>
      <c r="K527" s="692"/>
    </row>
    <row r="528" spans="1:11" ht="15" x14ac:dyDescent="0.25">
      <c r="A528" s="728">
        <f t="shared" si="22"/>
        <v>88.028169014084511</v>
      </c>
      <c r="B528" s="87" t="s">
        <v>3697</v>
      </c>
      <c r="C528" s="514" t="s">
        <v>3730</v>
      </c>
      <c r="D528" s="87">
        <v>25000</v>
      </c>
      <c r="E528" s="87">
        <v>284</v>
      </c>
      <c r="F528" s="563">
        <f t="shared" si="23"/>
        <v>25000</v>
      </c>
      <c r="G528" s="87">
        <f t="shared" si="19"/>
        <v>0</v>
      </c>
      <c r="H528" s="690"/>
      <c r="I528" s="693"/>
      <c r="J528" s="692"/>
      <c r="K528" s="692"/>
    </row>
    <row r="529" spans="1:11" ht="15" x14ac:dyDescent="0.25">
      <c r="A529" s="728">
        <f t="shared" si="22"/>
        <v>96.916299559471369</v>
      </c>
      <c r="B529" s="87" t="s">
        <v>3697</v>
      </c>
      <c r="C529" s="514" t="s">
        <v>3731</v>
      </c>
      <c r="D529" s="87">
        <v>22000</v>
      </c>
      <c r="E529" s="87">
        <v>227</v>
      </c>
      <c r="F529" s="563">
        <f t="shared" si="23"/>
        <v>22000</v>
      </c>
      <c r="G529" s="87">
        <f t="shared" si="19"/>
        <v>0</v>
      </c>
      <c r="H529" s="690"/>
      <c r="I529" s="693"/>
      <c r="J529" s="692"/>
      <c r="K529" s="692"/>
    </row>
    <row r="530" spans="1:11" ht="15" x14ac:dyDescent="0.25">
      <c r="A530" s="728">
        <f t="shared" si="22"/>
        <v>88.105726872246692</v>
      </c>
      <c r="B530" s="87" t="s">
        <v>3697</v>
      </c>
      <c r="C530" s="514" t="s">
        <v>3732</v>
      </c>
      <c r="D530" s="87">
        <v>20000</v>
      </c>
      <c r="E530" s="87">
        <v>227</v>
      </c>
      <c r="F530" s="563">
        <f t="shared" si="23"/>
        <v>20000</v>
      </c>
      <c r="G530" s="87">
        <f t="shared" si="19"/>
        <v>0</v>
      </c>
      <c r="H530" s="690"/>
      <c r="I530" s="693"/>
      <c r="J530" s="692"/>
      <c r="K530" s="692"/>
    </row>
    <row r="531" spans="1:11" ht="15" x14ac:dyDescent="0.25">
      <c r="A531" s="728">
        <f t="shared" ref="A531:A594" si="24">D531/E531</f>
        <v>88.105726872246692</v>
      </c>
      <c r="B531" s="87" t="s">
        <v>3697</v>
      </c>
      <c r="C531" s="514" t="s">
        <v>3124</v>
      </c>
      <c r="D531" s="87">
        <v>20000</v>
      </c>
      <c r="E531" s="87">
        <v>227</v>
      </c>
      <c r="F531" s="563">
        <f t="shared" ref="F531:F594" si="25">D531</f>
        <v>20000</v>
      </c>
      <c r="G531" s="87">
        <f t="shared" si="19"/>
        <v>0</v>
      </c>
      <c r="H531" s="690"/>
      <c r="I531" s="693"/>
      <c r="J531" s="692"/>
      <c r="K531" s="692"/>
    </row>
    <row r="532" spans="1:11" ht="15" x14ac:dyDescent="0.25">
      <c r="A532" s="728">
        <f t="shared" si="24"/>
        <v>94.339622641509436</v>
      </c>
      <c r="B532" s="87" t="s">
        <v>3697</v>
      </c>
      <c r="C532" s="514" t="s">
        <v>3534</v>
      </c>
      <c r="D532" s="87">
        <v>25000</v>
      </c>
      <c r="E532" s="87">
        <v>265</v>
      </c>
      <c r="F532" s="563">
        <f t="shared" si="25"/>
        <v>25000</v>
      </c>
      <c r="G532" s="87">
        <f t="shared" si="19"/>
        <v>0</v>
      </c>
      <c r="H532" s="690"/>
      <c r="I532" s="693"/>
      <c r="J532" s="692"/>
      <c r="K532" s="692"/>
    </row>
    <row r="533" spans="1:11" ht="15" x14ac:dyDescent="0.25">
      <c r="A533" s="728">
        <f t="shared" si="24"/>
        <v>88.028169014084511</v>
      </c>
      <c r="B533" s="87" t="s">
        <v>3697</v>
      </c>
      <c r="C533" s="514" t="s">
        <v>3733</v>
      </c>
      <c r="D533" s="87">
        <v>25000</v>
      </c>
      <c r="E533" s="87">
        <v>284</v>
      </c>
      <c r="F533" s="563">
        <f t="shared" si="25"/>
        <v>25000</v>
      </c>
      <c r="G533" s="87">
        <f t="shared" si="19"/>
        <v>0</v>
      </c>
      <c r="H533" s="690"/>
      <c r="I533" s="693"/>
      <c r="J533" s="692"/>
      <c r="K533" s="692"/>
    </row>
    <row r="534" spans="1:11" ht="15" x14ac:dyDescent="0.25">
      <c r="A534" s="728">
        <f t="shared" si="24"/>
        <v>88.235294117647058</v>
      </c>
      <c r="B534" s="87" t="s">
        <v>3697</v>
      </c>
      <c r="C534" s="514" t="s">
        <v>30</v>
      </c>
      <c r="D534" s="87">
        <v>9000</v>
      </c>
      <c r="E534" s="87">
        <v>102</v>
      </c>
      <c r="F534" s="563">
        <f t="shared" si="25"/>
        <v>9000</v>
      </c>
      <c r="G534" s="87">
        <f t="shared" si="19"/>
        <v>0</v>
      </c>
      <c r="H534" s="690"/>
      <c r="I534" s="693"/>
      <c r="J534" s="692"/>
      <c r="K534" s="692"/>
    </row>
    <row r="535" spans="1:11" ht="15" x14ac:dyDescent="0.25">
      <c r="A535" s="728">
        <f t="shared" si="24"/>
        <v>89.673913043478265</v>
      </c>
      <c r="B535" s="87" t="s">
        <v>3697</v>
      </c>
      <c r="C535" s="514" t="s">
        <v>3734</v>
      </c>
      <c r="D535" s="87">
        <v>33000</v>
      </c>
      <c r="E535" s="87">
        <v>368</v>
      </c>
      <c r="F535" s="563">
        <f t="shared" si="25"/>
        <v>33000</v>
      </c>
      <c r="G535" s="87">
        <f t="shared" si="19"/>
        <v>0</v>
      </c>
      <c r="H535" s="690"/>
      <c r="I535" s="693"/>
      <c r="J535" s="692"/>
      <c r="K535" s="692"/>
    </row>
    <row r="536" spans="1:11" ht="15" x14ac:dyDescent="0.25">
      <c r="A536" s="728">
        <f t="shared" si="24"/>
        <v>96.23430962343096</v>
      </c>
      <c r="B536" s="87" t="s">
        <v>3697</v>
      </c>
      <c r="C536" s="514" t="s">
        <v>3214</v>
      </c>
      <c r="D536" s="87">
        <v>23000</v>
      </c>
      <c r="E536" s="87">
        <v>239</v>
      </c>
      <c r="F536" s="563">
        <f t="shared" si="25"/>
        <v>23000</v>
      </c>
      <c r="G536" s="87">
        <f t="shared" si="19"/>
        <v>0</v>
      </c>
      <c r="H536" s="690"/>
      <c r="I536" s="693"/>
      <c r="J536" s="692"/>
      <c r="K536" s="692"/>
    </row>
    <row r="537" spans="1:11" ht="15" x14ac:dyDescent="0.25">
      <c r="A537" s="728">
        <f t="shared" si="24"/>
        <v>92.592592592592595</v>
      </c>
      <c r="B537" s="87" t="s">
        <v>3697</v>
      </c>
      <c r="C537" s="514" t="s">
        <v>3735</v>
      </c>
      <c r="D537" s="87">
        <v>20000</v>
      </c>
      <c r="E537" s="87">
        <v>216</v>
      </c>
      <c r="F537" s="563">
        <f t="shared" si="25"/>
        <v>20000</v>
      </c>
      <c r="G537" s="87">
        <f t="shared" si="19"/>
        <v>0</v>
      </c>
      <c r="H537" s="690"/>
      <c r="I537" s="693"/>
      <c r="J537" s="692"/>
      <c r="K537" s="692"/>
    </row>
    <row r="538" spans="1:11" ht="15" x14ac:dyDescent="0.25">
      <c r="A538" s="728">
        <f t="shared" si="24"/>
        <v>88.028169014084511</v>
      </c>
      <c r="B538" s="87" t="s">
        <v>3697</v>
      </c>
      <c r="C538" s="514" t="s">
        <v>3736</v>
      </c>
      <c r="D538" s="87">
        <v>25000</v>
      </c>
      <c r="E538" s="87">
        <v>284</v>
      </c>
      <c r="F538" s="563">
        <f t="shared" si="25"/>
        <v>25000</v>
      </c>
      <c r="G538" s="87">
        <f t="shared" si="19"/>
        <v>0</v>
      </c>
      <c r="H538" s="690"/>
      <c r="I538" s="693"/>
      <c r="J538" s="692"/>
      <c r="K538" s="692"/>
    </row>
    <row r="539" spans="1:11" ht="15" x14ac:dyDescent="0.25">
      <c r="A539" s="728">
        <f t="shared" si="24"/>
        <v>89.456869009584665</v>
      </c>
      <c r="B539" s="87" t="s">
        <v>3697</v>
      </c>
      <c r="C539" s="514" t="s">
        <v>2981</v>
      </c>
      <c r="D539" s="87">
        <v>28000</v>
      </c>
      <c r="E539" s="87">
        <v>313</v>
      </c>
      <c r="F539" s="563">
        <f t="shared" si="25"/>
        <v>28000</v>
      </c>
      <c r="G539" s="87">
        <f t="shared" si="19"/>
        <v>0</v>
      </c>
      <c r="H539" s="690"/>
      <c r="I539" s="693"/>
      <c r="J539" s="692"/>
      <c r="K539" s="692"/>
    </row>
    <row r="540" spans="1:11" ht="15" x14ac:dyDescent="0.25">
      <c r="A540" s="728">
        <f t="shared" si="24"/>
        <v>97.65625</v>
      </c>
      <c r="B540" s="87" t="s">
        <v>3697</v>
      </c>
      <c r="C540" s="514" t="s">
        <v>3737</v>
      </c>
      <c r="D540" s="87">
        <v>25000</v>
      </c>
      <c r="E540" s="87">
        <v>256</v>
      </c>
      <c r="F540" s="563">
        <f t="shared" si="25"/>
        <v>25000</v>
      </c>
      <c r="G540" s="87">
        <f t="shared" si="19"/>
        <v>0</v>
      </c>
      <c r="H540" s="690"/>
      <c r="I540" s="693"/>
      <c r="J540" s="692"/>
      <c r="K540" s="692"/>
    </row>
    <row r="541" spans="1:11" ht="15" x14ac:dyDescent="0.25">
      <c r="A541" s="728">
        <f t="shared" si="24"/>
        <v>87.774294670846402</v>
      </c>
      <c r="B541" s="87" t="s">
        <v>3697</v>
      </c>
      <c r="C541" s="514" t="s">
        <v>2638</v>
      </c>
      <c r="D541" s="87">
        <v>28000</v>
      </c>
      <c r="E541" s="87">
        <v>319</v>
      </c>
      <c r="F541" s="563">
        <f t="shared" si="25"/>
        <v>28000</v>
      </c>
      <c r="G541" s="87">
        <f t="shared" si="19"/>
        <v>0</v>
      </c>
      <c r="H541" s="690"/>
      <c r="I541" s="693"/>
      <c r="J541" s="692"/>
      <c r="K541" s="692"/>
    </row>
    <row r="542" spans="1:11" ht="15" x14ac:dyDescent="0.25">
      <c r="A542" s="728">
        <f t="shared" si="24"/>
        <v>91.954022988505741</v>
      </c>
      <c r="B542" s="87" t="s">
        <v>3697</v>
      </c>
      <c r="C542" s="514" t="s">
        <v>3738</v>
      </c>
      <c r="D542" s="87">
        <v>32000</v>
      </c>
      <c r="E542" s="87">
        <v>348</v>
      </c>
      <c r="F542" s="563">
        <f t="shared" si="25"/>
        <v>32000</v>
      </c>
      <c r="G542" s="87">
        <f t="shared" si="19"/>
        <v>0</v>
      </c>
      <c r="H542" s="690"/>
      <c r="I542" s="693"/>
      <c r="J542" s="692"/>
      <c r="K542" s="692"/>
    </row>
    <row r="543" spans="1:11" ht="15" x14ac:dyDescent="0.25">
      <c r="A543" s="728">
        <f t="shared" si="24"/>
        <v>88.082901554404145</v>
      </c>
      <c r="B543" s="87" t="s">
        <v>3697</v>
      </c>
      <c r="C543" s="491" t="s">
        <v>3748</v>
      </c>
      <c r="D543" s="87">
        <v>17000</v>
      </c>
      <c r="E543" s="87">
        <v>193</v>
      </c>
      <c r="F543" s="563">
        <f t="shared" si="25"/>
        <v>17000</v>
      </c>
      <c r="G543" s="87">
        <f t="shared" si="19"/>
        <v>0</v>
      </c>
      <c r="H543" s="690"/>
      <c r="I543" s="693" t="s">
        <v>3747</v>
      </c>
      <c r="J543" s="692">
        <v>17000</v>
      </c>
      <c r="K543" s="692"/>
    </row>
    <row r="544" spans="1:11" ht="15" x14ac:dyDescent="0.25">
      <c r="A544" s="728">
        <f t="shared" si="24"/>
        <v>91.21621621621621</v>
      </c>
      <c r="B544" s="87" t="s">
        <v>3697</v>
      </c>
      <c r="C544" s="514" t="s">
        <v>2430</v>
      </c>
      <c r="D544" s="87">
        <v>27000</v>
      </c>
      <c r="E544" s="87">
        <v>296</v>
      </c>
      <c r="F544" s="563">
        <f t="shared" si="25"/>
        <v>27000</v>
      </c>
      <c r="G544" s="87">
        <f t="shared" si="19"/>
        <v>0</v>
      </c>
      <c r="H544" s="690"/>
      <c r="I544" s="693"/>
      <c r="J544" s="692"/>
      <c r="K544" s="692"/>
    </row>
    <row r="545" spans="1:11" ht="15" x14ac:dyDescent="0.25">
      <c r="A545" s="728">
        <f t="shared" si="24"/>
        <v>87.976539589442808</v>
      </c>
      <c r="B545" s="87" t="s">
        <v>3697</v>
      </c>
      <c r="C545" s="514" t="s">
        <v>3739</v>
      </c>
      <c r="D545" s="87">
        <v>30000</v>
      </c>
      <c r="E545" s="87">
        <v>341</v>
      </c>
      <c r="F545" s="563">
        <f t="shared" si="25"/>
        <v>30000</v>
      </c>
      <c r="G545" s="87">
        <f t="shared" si="19"/>
        <v>0</v>
      </c>
      <c r="H545" s="690"/>
      <c r="I545" s="693"/>
      <c r="J545" s="692"/>
      <c r="K545" s="692"/>
    </row>
    <row r="546" spans="1:11" ht="15" x14ac:dyDescent="0.25">
      <c r="A546" s="728">
        <f t="shared" si="24"/>
        <v>87.987012987012989</v>
      </c>
      <c r="B546" s="87" t="s">
        <v>3697</v>
      </c>
      <c r="C546" s="514" t="s">
        <v>3740</v>
      </c>
      <c r="D546" s="87">
        <v>27100</v>
      </c>
      <c r="E546" s="87">
        <v>308</v>
      </c>
      <c r="F546" s="563">
        <f t="shared" si="25"/>
        <v>27100</v>
      </c>
      <c r="G546" s="87">
        <f t="shared" si="19"/>
        <v>0</v>
      </c>
      <c r="H546" s="690"/>
      <c r="I546" s="693"/>
      <c r="J546" s="692"/>
      <c r="K546" s="692"/>
    </row>
    <row r="547" spans="1:11" ht="15" x14ac:dyDescent="0.25">
      <c r="A547" s="728">
        <f t="shared" si="24"/>
        <v>87.909604519774007</v>
      </c>
      <c r="B547" s="87" t="s">
        <v>3697</v>
      </c>
      <c r="C547" s="514" t="s">
        <v>3741</v>
      </c>
      <c r="D547" s="87">
        <v>31120</v>
      </c>
      <c r="E547" s="87">
        <v>354</v>
      </c>
      <c r="F547" s="563">
        <f t="shared" si="25"/>
        <v>31120</v>
      </c>
      <c r="G547" s="87">
        <f t="shared" si="19"/>
        <v>0</v>
      </c>
      <c r="H547" s="690"/>
      <c r="I547" s="693"/>
      <c r="J547" s="692"/>
      <c r="K547" s="692"/>
    </row>
    <row r="548" spans="1:11" ht="15" x14ac:dyDescent="0.25">
      <c r="A548" s="728">
        <f t="shared" si="24"/>
        <v>87.890625</v>
      </c>
      <c r="B548" s="87" t="s">
        <v>3697</v>
      </c>
      <c r="C548" s="714" t="s">
        <v>3742</v>
      </c>
      <c r="D548" s="696">
        <v>22500</v>
      </c>
      <c r="E548" s="573">
        <v>256</v>
      </c>
      <c r="F548" s="563">
        <f t="shared" si="25"/>
        <v>22500</v>
      </c>
      <c r="G548" s="87">
        <f t="shared" si="19"/>
        <v>0</v>
      </c>
      <c r="H548" s="690"/>
      <c r="I548" s="693"/>
      <c r="J548" s="692"/>
      <c r="K548" s="692"/>
    </row>
    <row r="549" spans="1:11" ht="15" x14ac:dyDescent="0.25">
      <c r="A549" s="728">
        <f t="shared" si="24"/>
        <v>88.105726872246692</v>
      </c>
      <c r="B549" s="87" t="s">
        <v>3697</v>
      </c>
      <c r="C549" s="714" t="s">
        <v>3743</v>
      </c>
      <c r="D549" s="696">
        <v>20000</v>
      </c>
      <c r="E549" s="573">
        <v>227</v>
      </c>
      <c r="F549" s="563">
        <f t="shared" si="25"/>
        <v>20000</v>
      </c>
      <c r="G549" s="87">
        <f t="shared" si="19"/>
        <v>0</v>
      </c>
      <c r="H549" s="690"/>
      <c r="I549" s="693"/>
      <c r="J549" s="692"/>
      <c r="K549" s="692"/>
    </row>
    <row r="550" spans="1:11" ht="15" x14ac:dyDescent="0.25">
      <c r="A550" s="728">
        <f t="shared" si="24"/>
        <v>88.235294117647058</v>
      </c>
      <c r="B550" s="87" t="s">
        <v>3697</v>
      </c>
      <c r="C550" s="714" t="s">
        <v>3744</v>
      </c>
      <c r="D550" s="696">
        <v>12000</v>
      </c>
      <c r="E550" s="573">
        <v>136</v>
      </c>
      <c r="F550" s="563">
        <f t="shared" si="25"/>
        <v>12000</v>
      </c>
      <c r="G550" s="87">
        <f t="shared" si="19"/>
        <v>0</v>
      </c>
      <c r="H550" s="690"/>
      <c r="I550" s="693"/>
      <c r="J550" s="692"/>
      <c r="K550" s="692"/>
    </row>
    <row r="551" spans="1:11" ht="15" x14ac:dyDescent="0.25">
      <c r="A551" s="728">
        <f t="shared" si="24"/>
        <v>96.153846153846146</v>
      </c>
      <c r="B551" s="87" t="s">
        <v>3697</v>
      </c>
      <c r="C551" s="714" t="s">
        <v>66</v>
      </c>
      <c r="D551" s="696">
        <v>150</v>
      </c>
      <c r="E551" s="573">
        <v>1.56</v>
      </c>
      <c r="F551" s="563">
        <f t="shared" si="25"/>
        <v>150</v>
      </c>
      <c r="G551" s="87">
        <f t="shared" si="19"/>
        <v>0</v>
      </c>
      <c r="H551" s="690"/>
      <c r="I551" s="693"/>
      <c r="J551" s="692"/>
      <c r="K551" s="692"/>
    </row>
    <row r="552" spans="1:11" ht="15" x14ac:dyDescent="0.25">
      <c r="A552" s="728">
        <f t="shared" si="24"/>
        <v>88.028169014084511</v>
      </c>
      <c r="B552" s="87" t="s">
        <v>3745</v>
      </c>
      <c r="C552" s="714" t="s">
        <v>2916</v>
      </c>
      <c r="D552" s="696">
        <v>25000</v>
      </c>
      <c r="E552" s="573">
        <v>284</v>
      </c>
      <c r="F552" s="563">
        <f t="shared" si="25"/>
        <v>25000</v>
      </c>
      <c r="G552" s="87">
        <f t="shared" si="19"/>
        <v>0</v>
      </c>
      <c r="H552" s="690"/>
      <c r="I552" s="693"/>
      <c r="J552" s="692"/>
      <c r="K552" s="692"/>
    </row>
    <row r="553" spans="1:11" ht="15" x14ac:dyDescent="0.25">
      <c r="A553" s="728">
        <f t="shared" si="24"/>
        <v>88.235294117647058</v>
      </c>
      <c r="B553" s="87" t="s">
        <v>3745</v>
      </c>
      <c r="C553" s="714" t="s">
        <v>2019</v>
      </c>
      <c r="D553" s="696">
        <v>15000</v>
      </c>
      <c r="E553" s="573">
        <v>170</v>
      </c>
      <c r="F553" s="563">
        <f t="shared" si="25"/>
        <v>15000</v>
      </c>
      <c r="G553" s="87">
        <f t="shared" si="19"/>
        <v>0</v>
      </c>
      <c r="H553" s="690"/>
      <c r="I553" s="693"/>
      <c r="J553" s="692"/>
      <c r="K553" s="692"/>
    </row>
    <row r="554" spans="1:11" ht="15" x14ac:dyDescent="0.25">
      <c r="A554" s="728">
        <f t="shared" si="24"/>
        <v>88.461538461538467</v>
      </c>
      <c r="B554" s="87" t="s">
        <v>3745</v>
      </c>
      <c r="C554" s="714" t="s">
        <v>2018</v>
      </c>
      <c r="D554" s="696">
        <v>23000</v>
      </c>
      <c r="E554" s="573">
        <v>260</v>
      </c>
      <c r="F554" s="563">
        <f t="shared" si="25"/>
        <v>23000</v>
      </c>
      <c r="G554" s="87">
        <f t="shared" si="19"/>
        <v>0</v>
      </c>
      <c r="H554" s="690"/>
      <c r="I554" s="693"/>
      <c r="J554" s="692"/>
      <c r="K554" s="692"/>
    </row>
    <row r="555" spans="1:11" ht="15" x14ac:dyDescent="0.25">
      <c r="A555" s="728">
        <f t="shared" si="24"/>
        <v>87.804878048780495</v>
      </c>
      <c r="B555" s="87" t="s">
        <v>3745</v>
      </c>
      <c r="C555" s="714" t="s">
        <v>3038</v>
      </c>
      <c r="D555" s="696">
        <v>18000</v>
      </c>
      <c r="E555" s="573">
        <v>205</v>
      </c>
      <c r="F555" s="563">
        <f t="shared" si="25"/>
        <v>18000</v>
      </c>
      <c r="G555" s="87">
        <f t="shared" si="19"/>
        <v>0</v>
      </c>
      <c r="H555" s="690"/>
      <c r="I555" s="693"/>
      <c r="J555" s="692"/>
      <c r="K555" s="692"/>
    </row>
    <row r="556" spans="1:11" ht="15" x14ac:dyDescent="0.25">
      <c r="A556" s="728">
        <f t="shared" si="24"/>
        <v>88.105726872246692</v>
      </c>
      <c r="B556" s="87" t="s">
        <v>3745</v>
      </c>
      <c r="C556" s="714" t="s">
        <v>1913</v>
      </c>
      <c r="D556" s="696">
        <v>20000</v>
      </c>
      <c r="E556" s="573">
        <v>227</v>
      </c>
      <c r="F556" s="563">
        <f t="shared" si="25"/>
        <v>20000</v>
      </c>
      <c r="G556" s="87">
        <f t="shared" si="19"/>
        <v>0</v>
      </c>
      <c r="H556" s="690"/>
      <c r="I556" s="693"/>
      <c r="J556" s="692"/>
      <c r="K556" s="692"/>
    </row>
    <row r="557" spans="1:11" ht="15" x14ac:dyDescent="0.25">
      <c r="A557" s="728">
        <f t="shared" si="24"/>
        <v>87.962962962962962</v>
      </c>
      <c r="B557" s="87" t="s">
        <v>3745</v>
      </c>
      <c r="C557" s="714" t="s">
        <v>3637</v>
      </c>
      <c r="D557" s="696">
        <v>19000</v>
      </c>
      <c r="E557" s="573">
        <v>216</v>
      </c>
      <c r="F557" s="563">
        <f t="shared" si="25"/>
        <v>19000</v>
      </c>
      <c r="G557" s="87">
        <f t="shared" si="19"/>
        <v>0</v>
      </c>
      <c r="H557" s="690"/>
      <c r="I557" s="693"/>
      <c r="J557" s="692"/>
      <c r="K557" s="692"/>
    </row>
    <row r="558" spans="1:11" ht="15" x14ac:dyDescent="0.25">
      <c r="A558" s="728">
        <f t="shared" si="24"/>
        <v>87.804878048780495</v>
      </c>
      <c r="B558" s="87" t="s">
        <v>3745</v>
      </c>
      <c r="C558" s="714" t="s">
        <v>1925</v>
      </c>
      <c r="D558" s="696">
        <v>18000</v>
      </c>
      <c r="E558" s="573">
        <v>205</v>
      </c>
      <c r="F558" s="563">
        <f t="shared" si="25"/>
        <v>18000</v>
      </c>
      <c r="G558" s="87">
        <f t="shared" si="19"/>
        <v>0</v>
      </c>
      <c r="H558" s="690"/>
      <c r="I558" s="693"/>
      <c r="J558" s="692"/>
      <c r="K558" s="692"/>
    </row>
    <row r="559" spans="1:11" ht="15" x14ac:dyDescent="0.25">
      <c r="A559" s="728">
        <f t="shared" si="24"/>
        <v>87.912087912087912</v>
      </c>
      <c r="B559" s="87" t="s">
        <v>3745</v>
      </c>
      <c r="C559" s="714" t="s">
        <v>1926</v>
      </c>
      <c r="D559" s="696">
        <v>16000</v>
      </c>
      <c r="E559" s="573">
        <v>182</v>
      </c>
      <c r="F559" s="563">
        <f t="shared" si="25"/>
        <v>16000</v>
      </c>
      <c r="G559" s="87">
        <f t="shared" si="19"/>
        <v>0</v>
      </c>
      <c r="H559" s="690"/>
      <c r="I559" s="693"/>
      <c r="J559" s="692"/>
      <c r="K559" s="692"/>
    </row>
    <row r="560" spans="1:11" ht="15" x14ac:dyDescent="0.25">
      <c r="A560" s="728">
        <f t="shared" si="24"/>
        <v>88.028169014084511</v>
      </c>
      <c r="B560" s="87" t="s">
        <v>3745</v>
      </c>
      <c r="C560" s="714" t="s">
        <v>3750</v>
      </c>
      <c r="D560" s="696">
        <v>25000</v>
      </c>
      <c r="E560" s="573">
        <v>284</v>
      </c>
      <c r="F560" s="563">
        <f t="shared" si="25"/>
        <v>25000</v>
      </c>
      <c r="G560" s="87">
        <f t="shared" si="19"/>
        <v>0</v>
      </c>
      <c r="H560" s="690"/>
      <c r="I560" s="693"/>
      <c r="J560" s="692"/>
      <c r="K560" s="692"/>
    </row>
    <row r="561" spans="1:11" ht="15" x14ac:dyDescent="0.25">
      <c r="A561" s="728">
        <f t="shared" si="24"/>
        <v>87.912087912087912</v>
      </c>
      <c r="B561" s="87" t="s">
        <v>3745</v>
      </c>
      <c r="C561" s="714" t="s">
        <v>3751</v>
      </c>
      <c r="D561" s="696">
        <v>8000</v>
      </c>
      <c r="E561" s="573">
        <v>91</v>
      </c>
      <c r="F561" s="563">
        <f t="shared" si="25"/>
        <v>8000</v>
      </c>
      <c r="G561" s="87">
        <f t="shared" si="19"/>
        <v>0</v>
      </c>
      <c r="H561" s="690"/>
      <c r="I561" s="693"/>
      <c r="J561" s="692"/>
      <c r="K561" s="692"/>
    </row>
    <row r="562" spans="1:11" ht="15" x14ac:dyDescent="0.25">
      <c r="A562" s="728">
        <f t="shared" si="24"/>
        <v>63.192182410423456</v>
      </c>
      <c r="B562" s="87" t="s">
        <v>3745</v>
      </c>
      <c r="C562" s="714" t="s">
        <v>3752</v>
      </c>
      <c r="D562" s="696">
        <v>19400</v>
      </c>
      <c r="E562" s="573">
        <v>307</v>
      </c>
      <c r="F562" s="563">
        <f t="shared" si="25"/>
        <v>19400</v>
      </c>
      <c r="G562" s="87">
        <f t="shared" si="19"/>
        <v>0</v>
      </c>
      <c r="H562" s="690"/>
      <c r="I562" s="693"/>
      <c r="J562" s="692"/>
      <c r="K562" s="692"/>
    </row>
    <row r="563" spans="1:11" ht="15" x14ac:dyDescent="0.25">
      <c r="A563" s="728">
        <f t="shared" si="24"/>
        <v>88</v>
      </c>
      <c r="B563" s="87" t="s">
        <v>3745</v>
      </c>
      <c r="C563" s="714" t="s">
        <v>3753</v>
      </c>
      <c r="D563" s="696">
        <v>22000</v>
      </c>
      <c r="E563" s="573">
        <v>250</v>
      </c>
      <c r="F563" s="563">
        <f t="shared" si="25"/>
        <v>22000</v>
      </c>
      <c r="G563" s="87">
        <f t="shared" si="19"/>
        <v>0</v>
      </c>
      <c r="H563" s="690"/>
      <c r="I563" s="693"/>
      <c r="J563" s="692"/>
      <c r="K563" s="692"/>
    </row>
    <row r="564" spans="1:11" ht="15" x14ac:dyDescent="0.25">
      <c r="A564" s="728">
        <f t="shared" si="24"/>
        <v>87.912087912087912</v>
      </c>
      <c r="B564" s="87" t="s">
        <v>3745</v>
      </c>
      <c r="C564" s="714" t="s">
        <v>30</v>
      </c>
      <c r="D564" s="696">
        <v>8000</v>
      </c>
      <c r="E564" s="573">
        <v>91</v>
      </c>
      <c r="F564" s="563">
        <f t="shared" si="25"/>
        <v>8000</v>
      </c>
      <c r="G564" s="87">
        <f t="shared" si="19"/>
        <v>0</v>
      </c>
      <c r="H564" s="690"/>
      <c r="I564" s="693"/>
      <c r="J564" s="692"/>
      <c r="K564" s="692"/>
    </row>
    <row r="565" spans="1:11" ht="15" x14ac:dyDescent="0.25">
      <c r="A565" s="728">
        <f t="shared" si="24"/>
        <v>89.820359281437121</v>
      </c>
      <c r="B565" s="87" t="s">
        <v>3745</v>
      </c>
      <c r="C565" s="714" t="s">
        <v>3765</v>
      </c>
      <c r="D565" s="696">
        <v>30000</v>
      </c>
      <c r="E565" s="573">
        <v>334</v>
      </c>
      <c r="F565" s="563">
        <f t="shared" si="25"/>
        <v>30000</v>
      </c>
      <c r="G565" s="87">
        <f t="shared" si="19"/>
        <v>0</v>
      </c>
      <c r="H565" s="690"/>
      <c r="I565" s="693"/>
      <c r="J565" s="692"/>
      <c r="K565" s="692"/>
    </row>
    <row r="566" spans="1:11" ht="15" x14ac:dyDescent="0.25">
      <c r="A566" s="728">
        <f t="shared" si="24"/>
        <v>87.976539589442808</v>
      </c>
      <c r="B566" s="87" t="s">
        <v>3745</v>
      </c>
      <c r="C566" s="714" t="s">
        <v>3754</v>
      </c>
      <c r="D566" s="696">
        <v>30000</v>
      </c>
      <c r="E566" s="573">
        <v>341</v>
      </c>
      <c r="F566" s="563">
        <f t="shared" si="25"/>
        <v>30000</v>
      </c>
      <c r="G566" s="87">
        <f t="shared" si="19"/>
        <v>0</v>
      </c>
      <c r="H566" s="690"/>
      <c r="I566" s="693"/>
      <c r="J566" s="692"/>
      <c r="K566" s="692"/>
    </row>
    <row r="567" spans="1:11" ht="15" x14ac:dyDescent="0.25">
      <c r="A567" s="728">
        <f t="shared" si="24"/>
        <v>90.634441087613297</v>
      </c>
      <c r="B567" s="87" t="s">
        <v>3745</v>
      </c>
      <c r="C567" s="714" t="s">
        <v>3764</v>
      </c>
      <c r="D567" s="696">
        <v>30000</v>
      </c>
      <c r="E567" s="573">
        <v>331</v>
      </c>
      <c r="F567" s="563">
        <f t="shared" si="25"/>
        <v>30000</v>
      </c>
      <c r="G567" s="87">
        <f t="shared" si="19"/>
        <v>0</v>
      </c>
      <c r="H567" s="690"/>
      <c r="I567" s="693"/>
      <c r="J567" s="692"/>
      <c r="K567" s="692"/>
    </row>
    <row r="568" spans="1:11" ht="15" x14ac:dyDescent="0.25">
      <c r="A568" s="728">
        <f t="shared" si="24"/>
        <v>87.912087912087912</v>
      </c>
      <c r="B568" s="87" t="s">
        <v>3745</v>
      </c>
      <c r="C568" s="714" t="s">
        <v>3755</v>
      </c>
      <c r="D568" s="696">
        <v>32000</v>
      </c>
      <c r="E568" s="573">
        <v>364</v>
      </c>
      <c r="F568" s="563">
        <f t="shared" si="25"/>
        <v>32000</v>
      </c>
      <c r="G568" s="87">
        <f t="shared" si="19"/>
        <v>0</v>
      </c>
      <c r="H568" s="690"/>
      <c r="I568" s="693"/>
      <c r="J568" s="692"/>
      <c r="K568" s="692"/>
    </row>
    <row r="569" spans="1:11" ht="15" x14ac:dyDescent="0.25">
      <c r="A569" s="728">
        <f t="shared" si="24"/>
        <v>88.495575221238937</v>
      </c>
      <c r="B569" s="87" t="s">
        <v>3745</v>
      </c>
      <c r="C569" s="714" t="s">
        <v>3756</v>
      </c>
      <c r="D569" s="696">
        <v>10000</v>
      </c>
      <c r="E569" s="573">
        <v>113</v>
      </c>
      <c r="F569" s="563">
        <f t="shared" si="25"/>
        <v>10000</v>
      </c>
      <c r="G569" s="87">
        <f t="shared" si="19"/>
        <v>0</v>
      </c>
      <c r="H569" s="690"/>
      <c r="I569" s="693"/>
      <c r="J569" s="692"/>
      <c r="K569" s="692"/>
    </row>
    <row r="570" spans="1:11" ht="15" x14ac:dyDescent="0.25">
      <c r="A570" s="728">
        <f t="shared" si="24"/>
        <v>88.050314465408803</v>
      </c>
      <c r="B570" s="87" t="s">
        <v>3745</v>
      </c>
      <c r="C570" s="714" t="s">
        <v>3766</v>
      </c>
      <c r="D570" s="696">
        <v>14000</v>
      </c>
      <c r="E570" s="573">
        <v>159</v>
      </c>
      <c r="F570" s="563">
        <f t="shared" si="25"/>
        <v>14000</v>
      </c>
      <c r="G570" s="87">
        <f t="shared" si="19"/>
        <v>0</v>
      </c>
      <c r="H570" s="690"/>
      <c r="I570" s="693"/>
      <c r="J570" s="692"/>
      <c r="K570" s="692"/>
    </row>
    <row r="571" spans="1:11" ht="15" x14ac:dyDescent="0.25">
      <c r="A571" s="728">
        <f t="shared" si="24"/>
        <v>88.028169014084511</v>
      </c>
      <c r="B571" s="87" t="s">
        <v>3745</v>
      </c>
      <c r="C571" s="714" t="s">
        <v>3757</v>
      </c>
      <c r="D571" s="696">
        <v>25000</v>
      </c>
      <c r="E571" s="573">
        <v>284</v>
      </c>
      <c r="F571" s="563">
        <f t="shared" si="25"/>
        <v>25000</v>
      </c>
      <c r="G571" s="87">
        <f t="shared" si="19"/>
        <v>0</v>
      </c>
      <c r="H571" s="690"/>
      <c r="I571" s="693"/>
      <c r="J571" s="692"/>
      <c r="K571" s="692"/>
    </row>
    <row r="572" spans="1:11" ht="15" x14ac:dyDescent="0.25">
      <c r="A572" s="728">
        <f t="shared" si="24"/>
        <v>88.495575221238937</v>
      </c>
      <c r="B572" s="87" t="s">
        <v>3745</v>
      </c>
      <c r="C572" s="714" t="s">
        <v>3758</v>
      </c>
      <c r="D572" s="696">
        <v>10000</v>
      </c>
      <c r="E572" s="573">
        <v>113</v>
      </c>
      <c r="F572" s="563">
        <f t="shared" si="25"/>
        <v>10000</v>
      </c>
      <c r="G572" s="87">
        <f t="shared" si="19"/>
        <v>0</v>
      </c>
      <c r="H572" s="690"/>
      <c r="I572" s="693"/>
      <c r="J572" s="692"/>
      <c r="K572" s="692"/>
    </row>
    <row r="573" spans="1:11" ht="15" x14ac:dyDescent="0.25">
      <c r="A573" s="728">
        <f t="shared" si="24"/>
        <v>92.592592592592595</v>
      </c>
      <c r="B573" s="87" t="s">
        <v>3745</v>
      </c>
      <c r="C573" s="714" t="s">
        <v>3759</v>
      </c>
      <c r="D573" s="696">
        <v>30000</v>
      </c>
      <c r="E573" s="573">
        <v>324</v>
      </c>
      <c r="F573" s="563">
        <f t="shared" si="25"/>
        <v>30000</v>
      </c>
      <c r="G573" s="87">
        <f t="shared" si="19"/>
        <v>0</v>
      </c>
      <c r="H573" s="690"/>
      <c r="I573" s="693"/>
      <c r="J573" s="692"/>
      <c r="K573" s="692"/>
    </row>
    <row r="574" spans="1:11" ht="15" x14ac:dyDescent="0.25">
      <c r="A574" s="728">
        <f t="shared" si="24"/>
        <v>88.235294117647058</v>
      </c>
      <c r="B574" s="87" t="s">
        <v>3745</v>
      </c>
      <c r="C574" s="714" t="s">
        <v>30</v>
      </c>
      <c r="D574" s="696">
        <v>9000</v>
      </c>
      <c r="E574" s="573">
        <v>102</v>
      </c>
      <c r="F574" s="563">
        <f t="shared" si="25"/>
        <v>9000</v>
      </c>
      <c r="G574" s="87">
        <f t="shared" si="19"/>
        <v>0</v>
      </c>
      <c r="H574" s="690"/>
      <c r="I574" s="693"/>
      <c r="J574" s="692"/>
      <c r="K574" s="692"/>
    </row>
    <row r="575" spans="1:11" ht="15" x14ac:dyDescent="0.25">
      <c r="A575" s="728">
        <f t="shared" si="24"/>
        <v>87.774294670846402</v>
      </c>
      <c r="B575" s="87" t="s">
        <v>3745</v>
      </c>
      <c r="C575" s="714" t="s">
        <v>3760</v>
      </c>
      <c r="D575" s="696">
        <v>28000</v>
      </c>
      <c r="E575" s="573">
        <v>319</v>
      </c>
      <c r="F575" s="563">
        <f t="shared" si="25"/>
        <v>28000</v>
      </c>
      <c r="G575" s="87">
        <f t="shared" si="19"/>
        <v>0</v>
      </c>
      <c r="H575" s="690"/>
      <c r="I575" s="693"/>
      <c r="J575" s="692"/>
      <c r="K575" s="692"/>
    </row>
    <row r="576" spans="1:11" ht="15" x14ac:dyDescent="0.25">
      <c r="A576" s="728">
        <f t="shared" si="24"/>
        <v>93.61702127659575</v>
      </c>
      <c r="B576" s="87" t="s">
        <v>3745</v>
      </c>
      <c r="C576" s="714" t="s">
        <v>3761</v>
      </c>
      <c r="D576" s="696">
        <v>22000</v>
      </c>
      <c r="E576" s="573">
        <v>235</v>
      </c>
      <c r="F576" s="563">
        <f t="shared" si="25"/>
        <v>22000</v>
      </c>
      <c r="G576" s="87">
        <f t="shared" si="19"/>
        <v>0</v>
      </c>
      <c r="H576" s="690"/>
      <c r="I576" s="693"/>
      <c r="J576" s="692"/>
      <c r="K576" s="692"/>
    </row>
    <row r="577" spans="1:11" ht="15" x14ac:dyDescent="0.25">
      <c r="A577" s="728">
        <f t="shared" si="24"/>
        <v>97.435897435897431</v>
      </c>
      <c r="B577" s="87" t="s">
        <v>3745</v>
      </c>
      <c r="C577" s="714" t="s">
        <v>3767</v>
      </c>
      <c r="D577" s="696">
        <v>19000</v>
      </c>
      <c r="E577" s="573">
        <v>195</v>
      </c>
      <c r="F577" s="563">
        <f t="shared" si="25"/>
        <v>19000</v>
      </c>
      <c r="G577" s="87">
        <f t="shared" si="19"/>
        <v>0</v>
      </c>
      <c r="H577" s="690"/>
      <c r="I577" s="693"/>
      <c r="J577" s="692"/>
      <c r="K577" s="692"/>
    </row>
    <row r="578" spans="1:11" ht="15" x14ac:dyDescent="0.25">
      <c r="A578" s="728">
        <f t="shared" si="24"/>
        <v>88.105726872246692</v>
      </c>
      <c r="B578" s="87" t="s">
        <v>3745</v>
      </c>
      <c r="C578" s="714" t="s">
        <v>3762</v>
      </c>
      <c r="D578" s="696">
        <v>20000</v>
      </c>
      <c r="E578" s="573">
        <v>227</v>
      </c>
      <c r="F578" s="563">
        <f t="shared" si="25"/>
        <v>20000</v>
      </c>
      <c r="G578" s="87">
        <f t="shared" si="19"/>
        <v>0</v>
      </c>
      <c r="H578" s="690"/>
      <c r="I578" s="693"/>
      <c r="J578" s="692"/>
      <c r="K578" s="692"/>
    </row>
    <row r="579" spans="1:11" ht="15" x14ac:dyDescent="0.25">
      <c r="A579" s="728">
        <f t="shared" si="24"/>
        <v>88.495575221238937</v>
      </c>
      <c r="B579" s="87" t="s">
        <v>3745</v>
      </c>
      <c r="C579" s="714" t="s">
        <v>3763</v>
      </c>
      <c r="D579" s="696">
        <v>10000</v>
      </c>
      <c r="E579" s="573">
        <v>113</v>
      </c>
      <c r="F579" s="563">
        <f t="shared" si="25"/>
        <v>10000</v>
      </c>
      <c r="G579" s="87">
        <f t="shared" si="19"/>
        <v>0</v>
      </c>
      <c r="H579" s="690"/>
      <c r="I579" s="693"/>
      <c r="J579" s="692"/>
      <c r="K579" s="692"/>
    </row>
    <row r="580" spans="1:11" ht="15" x14ac:dyDescent="0.25">
      <c r="A580" s="728">
        <f t="shared" si="24"/>
        <v>97.222222222222214</v>
      </c>
      <c r="B580" s="87" t="s">
        <v>3746</v>
      </c>
      <c r="C580" s="714" t="s">
        <v>66</v>
      </c>
      <c r="D580" s="696">
        <v>210</v>
      </c>
      <c r="E580" s="573">
        <v>2.16</v>
      </c>
      <c r="F580" s="563">
        <f t="shared" si="25"/>
        <v>210</v>
      </c>
      <c r="G580" s="87">
        <f t="shared" si="19"/>
        <v>0</v>
      </c>
      <c r="H580" s="690"/>
      <c r="I580" s="693"/>
      <c r="J580" s="692"/>
      <c r="K580" s="692"/>
    </row>
    <row r="581" spans="1:11" ht="15" x14ac:dyDescent="0.25">
      <c r="A581" s="728">
        <f t="shared" si="24"/>
        <v>84.21052631578948</v>
      </c>
      <c r="B581" s="87" t="s">
        <v>3746</v>
      </c>
      <c r="C581" s="714" t="s">
        <v>3768</v>
      </c>
      <c r="D581" s="696">
        <v>24000</v>
      </c>
      <c r="E581" s="573">
        <v>285</v>
      </c>
      <c r="F581" s="563">
        <f t="shared" si="25"/>
        <v>24000</v>
      </c>
      <c r="G581" s="87">
        <f t="shared" si="19"/>
        <v>0</v>
      </c>
      <c r="H581" s="690"/>
      <c r="I581" s="693"/>
      <c r="J581" s="692"/>
      <c r="K581" s="692"/>
    </row>
    <row r="582" spans="1:11" ht="15" x14ac:dyDescent="0.25">
      <c r="A582" s="728">
        <f t="shared" si="24"/>
        <v>87.786259541984734</v>
      </c>
      <c r="B582" s="87" t="s">
        <v>3746</v>
      </c>
      <c r="C582" s="714" t="s">
        <v>3638</v>
      </c>
      <c r="D582" s="696">
        <v>23000</v>
      </c>
      <c r="E582" s="573">
        <v>262</v>
      </c>
      <c r="F582" s="563">
        <f t="shared" si="25"/>
        <v>23000</v>
      </c>
      <c r="G582" s="87">
        <f t="shared" si="19"/>
        <v>0</v>
      </c>
      <c r="H582" s="690"/>
      <c r="I582" s="693"/>
      <c r="J582" s="692"/>
      <c r="K582" s="692"/>
    </row>
    <row r="583" spans="1:11" ht="15" x14ac:dyDescent="0.25">
      <c r="A583" s="728">
        <f t="shared" si="24"/>
        <v>87.786259541984734</v>
      </c>
      <c r="B583" s="87" t="s">
        <v>3746</v>
      </c>
      <c r="C583" s="714" t="s">
        <v>3639</v>
      </c>
      <c r="D583" s="696">
        <v>23000</v>
      </c>
      <c r="E583" s="573">
        <v>262</v>
      </c>
      <c r="F583" s="563">
        <f t="shared" si="25"/>
        <v>23000</v>
      </c>
      <c r="G583" s="87">
        <f t="shared" si="19"/>
        <v>0</v>
      </c>
      <c r="H583" s="690"/>
      <c r="I583" s="693"/>
      <c r="J583" s="692"/>
      <c r="K583" s="692"/>
    </row>
    <row r="584" spans="1:11" ht="15" x14ac:dyDescent="0.25">
      <c r="A584" s="728">
        <f t="shared" si="24"/>
        <v>88</v>
      </c>
      <c r="B584" s="87" t="s">
        <v>3746</v>
      </c>
      <c r="C584" s="714" t="s">
        <v>2013</v>
      </c>
      <c r="D584" s="696">
        <v>22000</v>
      </c>
      <c r="E584" s="573">
        <v>250</v>
      </c>
      <c r="F584" s="563">
        <f t="shared" si="25"/>
        <v>22000</v>
      </c>
      <c r="G584" s="87">
        <f t="shared" si="19"/>
        <v>0</v>
      </c>
      <c r="H584" s="690"/>
      <c r="I584" s="693"/>
      <c r="J584" s="692"/>
      <c r="K584" s="692"/>
    </row>
    <row r="585" spans="1:11" ht="15" x14ac:dyDescent="0.25">
      <c r="A585" s="728">
        <f t="shared" si="24"/>
        <v>87.786259541984734</v>
      </c>
      <c r="B585" s="87" t="s">
        <v>3746</v>
      </c>
      <c r="C585" s="714" t="s">
        <v>3701</v>
      </c>
      <c r="D585" s="696">
        <v>23000</v>
      </c>
      <c r="E585" s="573">
        <v>262</v>
      </c>
      <c r="F585" s="563">
        <f t="shared" si="25"/>
        <v>23000</v>
      </c>
      <c r="G585" s="87">
        <f t="shared" si="19"/>
        <v>0</v>
      </c>
      <c r="H585" s="690"/>
      <c r="I585" s="693"/>
      <c r="J585" s="692"/>
      <c r="K585" s="692"/>
    </row>
    <row r="586" spans="1:11" ht="15" x14ac:dyDescent="0.25">
      <c r="A586" s="728">
        <f t="shared" si="24"/>
        <v>88</v>
      </c>
      <c r="B586" s="87" t="s">
        <v>3746</v>
      </c>
      <c r="C586" s="714" t="s">
        <v>3769</v>
      </c>
      <c r="D586" s="696">
        <v>22000</v>
      </c>
      <c r="E586" s="573">
        <v>250</v>
      </c>
      <c r="F586" s="563">
        <f t="shared" si="25"/>
        <v>22000</v>
      </c>
      <c r="G586" s="87">
        <f t="shared" si="19"/>
        <v>0</v>
      </c>
      <c r="H586" s="690"/>
      <c r="I586" s="693"/>
      <c r="J586" s="692"/>
      <c r="K586" s="692"/>
    </row>
    <row r="587" spans="1:11" ht="15" x14ac:dyDescent="0.25">
      <c r="A587" s="728">
        <f t="shared" si="24"/>
        <v>88.105726872246692</v>
      </c>
      <c r="B587" s="87" t="s">
        <v>3746</v>
      </c>
      <c r="C587" s="714" t="s">
        <v>1982</v>
      </c>
      <c r="D587" s="696">
        <v>20000</v>
      </c>
      <c r="E587" s="573">
        <v>227</v>
      </c>
      <c r="F587" s="563">
        <f t="shared" si="25"/>
        <v>20000</v>
      </c>
      <c r="G587" s="87">
        <f t="shared" si="19"/>
        <v>0</v>
      </c>
      <c r="H587" s="690"/>
      <c r="I587" s="693"/>
      <c r="J587" s="692"/>
      <c r="K587" s="692"/>
    </row>
    <row r="588" spans="1:11" ht="15" x14ac:dyDescent="0.25">
      <c r="A588" s="728">
        <f t="shared" si="24"/>
        <v>88.105726872246692</v>
      </c>
      <c r="B588" s="87" t="s">
        <v>3746</v>
      </c>
      <c r="C588" s="714" t="s">
        <v>3497</v>
      </c>
      <c r="D588" s="696">
        <v>20000</v>
      </c>
      <c r="E588" s="573">
        <v>227</v>
      </c>
      <c r="F588" s="563">
        <f t="shared" si="25"/>
        <v>20000</v>
      </c>
      <c r="G588" s="87">
        <f t="shared" si="19"/>
        <v>0</v>
      </c>
      <c r="H588" s="690"/>
      <c r="I588" s="693"/>
      <c r="J588" s="692"/>
      <c r="K588" s="692"/>
    </row>
    <row r="589" spans="1:11" ht="15" x14ac:dyDescent="0.25">
      <c r="A589" s="728">
        <f t="shared" si="24"/>
        <v>87.962962962962962</v>
      </c>
      <c r="B589" s="87" t="s">
        <v>3746</v>
      </c>
      <c r="C589" s="714" t="s">
        <v>3699</v>
      </c>
      <c r="D589" s="696">
        <v>19000</v>
      </c>
      <c r="E589" s="573">
        <v>216</v>
      </c>
      <c r="F589" s="563">
        <f t="shared" si="25"/>
        <v>19000</v>
      </c>
      <c r="G589" s="87">
        <f t="shared" si="19"/>
        <v>0</v>
      </c>
      <c r="H589" s="690"/>
      <c r="I589" s="693"/>
      <c r="J589" s="692"/>
      <c r="K589" s="692"/>
    </row>
    <row r="590" spans="1:11" ht="15" x14ac:dyDescent="0.25">
      <c r="A590" s="728">
        <f t="shared" si="24"/>
        <v>88</v>
      </c>
      <c r="B590" s="87" t="s">
        <v>3746</v>
      </c>
      <c r="C590" s="714" t="s">
        <v>3655</v>
      </c>
      <c r="D590" s="696">
        <v>22000</v>
      </c>
      <c r="E590" s="573">
        <v>250</v>
      </c>
      <c r="F590" s="563">
        <f t="shared" si="25"/>
        <v>22000</v>
      </c>
      <c r="G590" s="87">
        <f t="shared" si="19"/>
        <v>0</v>
      </c>
      <c r="H590" s="690"/>
      <c r="I590" s="693"/>
      <c r="J590" s="692"/>
      <c r="K590" s="692"/>
    </row>
    <row r="591" spans="1:11" ht="15" x14ac:dyDescent="0.25">
      <c r="A591" s="728">
        <f t="shared" si="24"/>
        <v>87.912087912087912</v>
      </c>
      <c r="B591" s="87" t="s">
        <v>3746</v>
      </c>
      <c r="C591" s="714" t="s">
        <v>3770</v>
      </c>
      <c r="D591" s="696">
        <v>16000</v>
      </c>
      <c r="E591" s="573">
        <v>182</v>
      </c>
      <c r="F591" s="563">
        <f t="shared" si="25"/>
        <v>16000</v>
      </c>
      <c r="G591" s="87">
        <f t="shared" si="19"/>
        <v>0</v>
      </c>
      <c r="H591" s="690"/>
      <c r="I591" s="693"/>
      <c r="J591" s="692"/>
      <c r="K591" s="692"/>
    </row>
    <row r="592" spans="1:11" ht="15" x14ac:dyDescent="0.25">
      <c r="A592" s="728">
        <f t="shared" si="24"/>
        <v>89.285714285714292</v>
      </c>
      <c r="B592" s="87" t="s">
        <v>3746</v>
      </c>
      <c r="C592" s="714" t="s">
        <v>3771</v>
      </c>
      <c r="D592" s="696">
        <v>25000</v>
      </c>
      <c r="E592" s="573">
        <v>280</v>
      </c>
      <c r="F592" s="563">
        <f t="shared" si="25"/>
        <v>25000</v>
      </c>
      <c r="G592" s="87">
        <f t="shared" si="19"/>
        <v>0</v>
      </c>
      <c r="H592" s="690"/>
      <c r="I592" s="693"/>
      <c r="J592" s="692"/>
      <c r="K592" s="692"/>
    </row>
    <row r="593" spans="1:11" ht="15" x14ac:dyDescent="0.25">
      <c r="A593" s="728">
        <f t="shared" si="24"/>
        <v>96.385542168674704</v>
      </c>
      <c r="B593" s="87" t="s">
        <v>3746</v>
      </c>
      <c r="C593" s="714" t="s">
        <v>3782</v>
      </c>
      <c r="D593" s="696">
        <v>32000</v>
      </c>
      <c r="E593" s="573">
        <v>332</v>
      </c>
      <c r="F593" s="563">
        <f t="shared" si="25"/>
        <v>32000</v>
      </c>
      <c r="G593" s="87">
        <f t="shared" si="19"/>
        <v>0</v>
      </c>
      <c r="H593" s="690"/>
      <c r="I593" s="693"/>
      <c r="J593" s="692"/>
      <c r="K593" s="692"/>
    </row>
    <row r="594" spans="1:11" ht="15" x14ac:dyDescent="0.25">
      <c r="A594" s="728">
        <f t="shared" si="24"/>
        <v>93.495934959349597</v>
      </c>
      <c r="B594" s="87" t="s">
        <v>3746</v>
      </c>
      <c r="C594" s="714" t="s">
        <v>3207</v>
      </c>
      <c r="D594" s="696">
        <v>23000</v>
      </c>
      <c r="E594" s="573">
        <v>246</v>
      </c>
      <c r="F594" s="563">
        <f t="shared" si="25"/>
        <v>23000</v>
      </c>
      <c r="G594" s="87">
        <f t="shared" si="19"/>
        <v>0</v>
      </c>
      <c r="H594" s="690"/>
      <c r="I594" s="693"/>
      <c r="J594" s="692"/>
      <c r="K594" s="692"/>
    </row>
    <row r="595" spans="1:11" ht="15" x14ac:dyDescent="0.25">
      <c r="A595" s="728">
        <f t="shared" ref="A595:A647" si="26">D595/E595</f>
        <v>88.105726872246692</v>
      </c>
      <c r="B595" s="87" t="s">
        <v>3746</v>
      </c>
      <c r="C595" s="714" t="s">
        <v>3772</v>
      </c>
      <c r="D595" s="696">
        <v>20000</v>
      </c>
      <c r="E595" s="573">
        <v>227</v>
      </c>
      <c r="F595" s="563">
        <f t="shared" ref="F595:F647" si="27">D595</f>
        <v>20000</v>
      </c>
      <c r="G595" s="87">
        <f t="shared" si="19"/>
        <v>0</v>
      </c>
      <c r="H595" s="690"/>
      <c r="I595" s="693"/>
      <c r="J595" s="692"/>
      <c r="K595" s="692"/>
    </row>
    <row r="596" spans="1:11" ht="15" x14ac:dyDescent="0.25">
      <c r="A596" s="728">
        <f t="shared" si="26"/>
        <v>87.912087912087912</v>
      </c>
      <c r="B596" s="87" t="s">
        <v>3746</v>
      </c>
      <c r="C596" s="714" t="s">
        <v>3685</v>
      </c>
      <c r="D596" s="696">
        <v>24000</v>
      </c>
      <c r="E596" s="573">
        <v>273</v>
      </c>
      <c r="F596" s="563">
        <f t="shared" si="27"/>
        <v>24000</v>
      </c>
      <c r="G596" s="87">
        <f t="shared" si="19"/>
        <v>0</v>
      </c>
      <c r="H596" s="690"/>
      <c r="I596" s="693"/>
      <c r="J596" s="692"/>
      <c r="K596" s="692"/>
    </row>
    <row r="597" spans="1:11" ht="15" x14ac:dyDescent="0.25">
      <c r="A597" s="728">
        <f t="shared" si="26"/>
        <v>87.896253602305478</v>
      </c>
      <c r="B597" s="87" t="s">
        <v>3746</v>
      </c>
      <c r="C597" s="714" t="s">
        <v>3773</v>
      </c>
      <c r="D597" s="696">
        <v>30500</v>
      </c>
      <c r="E597" s="573">
        <v>347</v>
      </c>
      <c r="F597" s="563">
        <f t="shared" si="27"/>
        <v>30500</v>
      </c>
      <c r="G597" s="87">
        <f t="shared" si="19"/>
        <v>0</v>
      </c>
      <c r="H597" s="690"/>
      <c r="I597" s="693"/>
      <c r="J597" s="692"/>
      <c r="K597" s="692"/>
    </row>
    <row r="598" spans="1:11" ht="15" x14ac:dyDescent="0.25">
      <c r="A598" s="728">
        <f t="shared" si="26"/>
        <v>87.922360248447205</v>
      </c>
      <c r="B598" s="87" t="s">
        <v>3746</v>
      </c>
      <c r="C598" s="714" t="s">
        <v>2596</v>
      </c>
      <c r="D598" s="696">
        <v>28311</v>
      </c>
      <c r="E598" s="573">
        <v>322</v>
      </c>
      <c r="F598" s="563">
        <f t="shared" si="27"/>
        <v>28311</v>
      </c>
      <c r="G598" s="87">
        <f t="shared" si="19"/>
        <v>0</v>
      </c>
      <c r="H598" s="690"/>
      <c r="I598" s="693"/>
      <c r="J598" s="692"/>
      <c r="K598" s="692"/>
    </row>
    <row r="599" spans="1:11" ht="15" x14ac:dyDescent="0.25">
      <c r="A599" s="728">
        <f t="shared" si="26"/>
        <v>88.033112582781456</v>
      </c>
      <c r="B599" s="87" t="s">
        <v>3746</v>
      </c>
      <c r="C599" s="714" t="s">
        <v>3774</v>
      </c>
      <c r="D599" s="696">
        <v>26586</v>
      </c>
      <c r="E599" s="573">
        <v>302</v>
      </c>
      <c r="F599" s="563">
        <f t="shared" si="27"/>
        <v>26586</v>
      </c>
      <c r="G599" s="87">
        <f t="shared" si="19"/>
        <v>0</v>
      </c>
      <c r="H599" s="690"/>
      <c r="I599" s="693"/>
      <c r="J599" s="692"/>
      <c r="K599" s="692"/>
    </row>
    <row r="600" spans="1:11" ht="15" x14ac:dyDescent="0.25">
      <c r="A600" s="728">
        <f t="shared" si="26"/>
        <v>87.931034482758619</v>
      </c>
      <c r="B600" s="87" t="s">
        <v>3746</v>
      </c>
      <c r="C600" s="714" t="s">
        <v>3775</v>
      </c>
      <c r="D600" s="696">
        <v>30600</v>
      </c>
      <c r="E600" s="573">
        <v>348</v>
      </c>
      <c r="F600" s="563">
        <f t="shared" si="27"/>
        <v>30600</v>
      </c>
      <c r="G600" s="87">
        <f t="shared" si="19"/>
        <v>0</v>
      </c>
      <c r="H600" s="690"/>
      <c r="I600" s="693"/>
      <c r="J600" s="692"/>
      <c r="K600" s="692"/>
    </row>
    <row r="601" spans="1:11" ht="15" x14ac:dyDescent="0.25">
      <c r="A601" s="728">
        <f t="shared" si="26"/>
        <v>87.947882736156359</v>
      </c>
      <c r="B601" s="87" t="s">
        <v>3746</v>
      </c>
      <c r="C601" s="714" t="s">
        <v>3776</v>
      </c>
      <c r="D601" s="696">
        <v>27000</v>
      </c>
      <c r="E601" s="573">
        <v>307</v>
      </c>
      <c r="F601" s="563">
        <f t="shared" si="27"/>
        <v>27000</v>
      </c>
      <c r="G601" s="87">
        <f t="shared" si="19"/>
        <v>0</v>
      </c>
      <c r="H601" s="690"/>
      <c r="I601" s="693"/>
      <c r="J601" s="692"/>
      <c r="K601" s="692"/>
    </row>
    <row r="602" spans="1:11" ht="15" x14ac:dyDescent="0.25">
      <c r="A602" s="728">
        <f t="shared" si="26"/>
        <v>87.786259541984734</v>
      </c>
      <c r="B602" s="87" t="s">
        <v>3746</v>
      </c>
      <c r="C602" s="714" t="s">
        <v>3777</v>
      </c>
      <c r="D602" s="696">
        <v>23000</v>
      </c>
      <c r="E602" s="573">
        <v>262</v>
      </c>
      <c r="F602" s="563">
        <f t="shared" si="27"/>
        <v>23000</v>
      </c>
      <c r="G602" s="87">
        <f t="shared" si="19"/>
        <v>0</v>
      </c>
      <c r="H602" s="690"/>
      <c r="I602" s="693"/>
      <c r="J602" s="692"/>
      <c r="K602" s="692"/>
    </row>
    <row r="603" spans="1:11" ht="15" x14ac:dyDescent="0.25">
      <c r="A603" s="728">
        <f t="shared" si="26"/>
        <v>88.122605363984675</v>
      </c>
      <c r="B603" s="87" t="s">
        <v>3746</v>
      </c>
      <c r="C603" s="714" t="s">
        <v>3778</v>
      </c>
      <c r="D603" s="696">
        <v>23000</v>
      </c>
      <c r="E603" s="573">
        <v>261</v>
      </c>
      <c r="F603" s="563">
        <f t="shared" si="27"/>
        <v>23000</v>
      </c>
      <c r="G603" s="87">
        <f t="shared" si="19"/>
        <v>0</v>
      </c>
      <c r="H603" s="690"/>
      <c r="I603" s="693"/>
      <c r="J603" s="692"/>
      <c r="K603" s="692"/>
    </row>
    <row r="604" spans="1:11" ht="15" x14ac:dyDescent="0.25">
      <c r="A604" s="728">
        <f t="shared" si="26"/>
        <v>98.039215686274503</v>
      </c>
      <c r="B604" s="87" t="s">
        <v>3746</v>
      </c>
      <c r="C604" s="714" t="s">
        <v>66</v>
      </c>
      <c r="D604" s="696">
        <v>100</v>
      </c>
      <c r="E604" s="573">
        <v>1.02</v>
      </c>
      <c r="F604" s="563">
        <f t="shared" si="27"/>
        <v>100</v>
      </c>
      <c r="G604" s="87">
        <f t="shared" si="19"/>
        <v>0</v>
      </c>
      <c r="H604" s="690"/>
      <c r="I604" s="693"/>
      <c r="J604" s="692"/>
      <c r="K604" s="692"/>
    </row>
    <row r="605" spans="1:11" ht="15" x14ac:dyDescent="0.25">
      <c r="A605" s="728">
        <f t="shared" si="26"/>
        <v>91.228070175438603</v>
      </c>
      <c r="B605" s="87" t="s">
        <v>3746</v>
      </c>
      <c r="C605" s="714" t="s">
        <v>3539</v>
      </c>
      <c r="D605" s="696">
        <v>26000</v>
      </c>
      <c r="E605" s="573">
        <v>285</v>
      </c>
      <c r="F605" s="563">
        <f t="shared" si="27"/>
        <v>26000</v>
      </c>
      <c r="G605" s="87">
        <f t="shared" si="19"/>
        <v>0</v>
      </c>
      <c r="H605" s="690"/>
      <c r="I605" s="693"/>
      <c r="J605" s="692"/>
      <c r="K605" s="692"/>
    </row>
    <row r="606" spans="1:11" ht="15" x14ac:dyDescent="0.25">
      <c r="A606" s="728">
        <f t="shared" si="26"/>
        <v>88</v>
      </c>
      <c r="B606" s="87" t="s">
        <v>3746</v>
      </c>
      <c r="C606" s="714" t="s">
        <v>3084</v>
      </c>
      <c r="D606" s="696">
        <v>22000</v>
      </c>
      <c r="E606" s="573">
        <v>250</v>
      </c>
      <c r="F606" s="563">
        <f t="shared" si="27"/>
        <v>22000</v>
      </c>
      <c r="G606" s="87">
        <f t="shared" si="19"/>
        <v>0</v>
      </c>
      <c r="H606" s="690"/>
      <c r="I606" s="693"/>
      <c r="J606" s="692"/>
      <c r="K606" s="692"/>
    </row>
    <row r="607" spans="1:11" ht="15" x14ac:dyDescent="0.25">
      <c r="A607" s="728">
        <f t="shared" si="26"/>
        <v>87.837837837837839</v>
      </c>
      <c r="B607" s="87" t="s">
        <v>3746</v>
      </c>
      <c r="C607" s="714" t="s">
        <v>3360</v>
      </c>
      <c r="D607" s="696">
        <v>26000</v>
      </c>
      <c r="E607" s="573">
        <v>296</v>
      </c>
      <c r="F607" s="563">
        <f t="shared" si="27"/>
        <v>26000</v>
      </c>
      <c r="G607" s="87">
        <f t="shared" si="19"/>
        <v>0</v>
      </c>
      <c r="H607" s="690"/>
      <c r="I607" s="693"/>
      <c r="J607" s="692"/>
      <c r="K607" s="692"/>
    </row>
    <row r="608" spans="1:11" ht="15" x14ac:dyDescent="0.25">
      <c r="A608" s="728">
        <f t="shared" si="26"/>
        <v>92.936802973977692</v>
      </c>
      <c r="B608" s="87" t="s">
        <v>3746</v>
      </c>
      <c r="C608" s="714" t="s">
        <v>3507</v>
      </c>
      <c r="D608" s="696">
        <v>25000</v>
      </c>
      <c r="E608" s="573">
        <v>269</v>
      </c>
      <c r="F608" s="563">
        <f t="shared" si="27"/>
        <v>25000</v>
      </c>
      <c r="G608" s="87">
        <f t="shared" si="19"/>
        <v>0</v>
      </c>
      <c r="H608" s="690"/>
      <c r="I608" s="693"/>
      <c r="J608" s="692"/>
      <c r="K608" s="692"/>
    </row>
    <row r="609" spans="1:11" ht="15" x14ac:dyDescent="0.25">
      <c r="A609" s="728">
        <f t="shared" si="26"/>
        <v>87.922600619195052</v>
      </c>
      <c r="B609" s="87" t="s">
        <v>3746</v>
      </c>
      <c r="C609" s="714" t="s">
        <v>3779</v>
      </c>
      <c r="D609" s="696">
        <v>28399</v>
      </c>
      <c r="E609" s="573">
        <v>323</v>
      </c>
      <c r="F609" s="563">
        <f t="shared" si="27"/>
        <v>28399</v>
      </c>
      <c r="G609" s="87">
        <f t="shared" si="19"/>
        <v>0</v>
      </c>
      <c r="H609" s="690"/>
      <c r="I609" s="693"/>
      <c r="J609" s="692"/>
      <c r="K609" s="692"/>
    </row>
    <row r="610" spans="1:11" ht="15" x14ac:dyDescent="0.25">
      <c r="A610" s="728">
        <f t="shared" si="26"/>
        <v>87.995999999999995</v>
      </c>
      <c r="B610" s="87" t="s">
        <v>3746</v>
      </c>
      <c r="C610" s="714" t="s">
        <v>2984</v>
      </c>
      <c r="D610" s="696">
        <v>21999</v>
      </c>
      <c r="E610" s="573">
        <v>250</v>
      </c>
      <c r="F610" s="563">
        <f t="shared" si="27"/>
        <v>21999</v>
      </c>
      <c r="G610" s="87">
        <f t="shared" si="19"/>
        <v>0</v>
      </c>
      <c r="H610" s="690"/>
      <c r="I610" s="693"/>
      <c r="J610" s="692"/>
      <c r="K610" s="692"/>
    </row>
    <row r="611" spans="1:11" ht="15" x14ac:dyDescent="0.25">
      <c r="A611" s="728">
        <f t="shared" si="26"/>
        <v>88.6426592797784</v>
      </c>
      <c r="B611" s="87" t="s">
        <v>3746</v>
      </c>
      <c r="C611" s="714" t="s">
        <v>3780</v>
      </c>
      <c r="D611" s="696">
        <v>32000</v>
      </c>
      <c r="E611" s="573">
        <v>361</v>
      </c>
      <c r="F611" s="563">
        <f t="shared" si="27"/>
        <v>32000</v>
      </c>
      <c r="G611" s="87">
        <f t="shared" si="19"/>
        <v>0</v>
      </c>
      <c r="H611" s="690"/>
      <c r="I611" s="693"/>
      <c r="J611" s="692"/>
      <c r="K611" s="692"/>
    </row>
    <row r="612" spans="1:11" ht="15" x14ac:dyDescent="0.25">
      <c r="A612" s="728">
        <f t="shared" si="26"/>
        <v>87.774294670846402</v>
      </c>
      <c r="B612" s="87" t="s">
        <v>3746</v>
      </c>
      <c r="C612" s="714" t="s">
        <v>3573</v>
      </c>
      <c r="D612" s="696">
        <v>28000</v>
      </c>
      <c r="E612" s="573">
        <v>319</v>
      </c>
      <c r="F612" s="563">
        <f t="shared" si="27"/>
        <v>28000</v>
      </c>
      <c r="G612" s="87">
        <f t="shared" si="19"/>
        <v>0</v>
      </c>
      <c r="H612" s="690"/>
      <c r="I612" s="693"/>
      <c r="J612" s="692"/>
      <c r="K612" s="692"/>
    </row>
    <row r="613" spans="1:11" ht="15" x14ac:dyDescent="0.25">
      <c r="A613" s="728">
        <f t="shared" si="26"/>
        <v>87.804878048780495</v>
      </c>
      <c r="B613" s="87" t="s">
        <v>3746</v>
      </c>
      <c r="C613" s="714" t="s">
        <v>3781</v>
      </c>
      <c r="D613" s="696">
        <v>18000</v>
      </c>
      <c r="E613" s="573">
        <v>205</v>
      </c>
      <c r="F613" s="563">
        <f t="shared" si="27"/>
        <v>18000</v>
      </c>
      <c r="G613" s="87">
        <f t="shared" si="19"/>
        <v>0</v>
      </c>
      <c r="H613" s="690"/>
      <c r="I613" s="693"/>
      <c r="J613" s="692"/>
      <c r="K613" s="692"/>
    </row>
    <row r="614" spans="1:11" ht="15" x14ac:dyDescent="0.25">
      <c r="A614" s="728">
        <f t="shared" si="26"/>
        <v>87.982832618025753</v>
      </c>
      <c r="B614" s="87" t="s">
        <v>3749</v>
      </c>
      <c r="C614" s="714" t="s">
        <v>3214</v>
      </c>
      <c r="D614" s="696">
        <v>20500</v>
      </c>
      <c r="E614" s="573">
        <v>233</v>
      </c>
      <c r="F614" s="563">
        <f t="shared" si="27"/>
        <v>20500</v>
      </c>
      <c r="G614" s="87">
        <f t="shared" si="19"/>
        <v>0</v>
      </c>
      <c r="H614" s="690"/>
      <c r="I614" s="693"/>
      <c r="J614" s="692"/>
      <c r="K614" s="692"/>
    </row>
    <row r="615" spans="1:11" ht="15" x14ac:dyDescent="0.25">
      <c r="A615" s="728">
        <f t="shared" si="26"/>
        <v>88.607594936708864</v>
      </c>
      <c r="B615" s="87" t="s">
        <v>3749</v>
      </c>
      <c r="C615" s="761" t="s">
        <v>30</v>
      </c>
      <c r="D615" s="696">
        <v>7000</v>
      </c>
      <c r="E615" s="573">
        <v>79</v>
      </c>
      <c r="F615" s="563">
        <f t="shared" si="27"/>
        <v>7000</v>
      </c>
      <c r="G615" s="87">
        <f t="shared" si="19"/>
        <v>0</v>
      </c>
      <c r="H615" s="690"/>
      <c r="I615" s="693" t="s">
        <v>3831</v>
      </c>
      <c r="J615" s="692"/>
      <c r="K615" s="692"/>
    </row>
    <row r="616" spans="1:11" ht="15" x14ac:dyDescent="0.25">
      <c r="A616" s="728">
        <f t="shared" si="26"/>
        <v>87.966197183098586</v>
      </c>
      <c r="B616" s="87" t="s">
        <v>3749</v>
      </c>
      <c r="C616" s="714" t="s">
        <v>3784</v>
      </c>
      <c r="D616" s="696">
        <v>31228</v>
      </c>
      <c r="E616" s="573">
        <v>355</v>
      </c>
      <c r="F616" s="563">
        <f t="shared" si="27"/>
        <v>31228</v>
      </c>
      <c r="G616" s="87">
        <f t="shared" si="19"/>
        <v>0</v>
      </c>
      <c r="H616" s="690"/>
      <c r="I616" s="693"/>
      <c r="J616" s="692"/>
      <c r="K616" s="692"/>
    </row>
    <row r="617" spans="1:11" ht="15" x14ac:dyDescent="0.25">
      <c r="A617" s="728">
        <f t="shared" si="26"/>
        <v>88.028169014084511</v>
      </c>
      <c r="B617" s="87" t="s">
        <v>3749</v>
      </c>
      <c r="C617" s="714" t="s">
        <v>3785</v>
      </c>
      <c r="D617" s="696">
        <v>25000</v>
      </c>
      <c r="E617" s="573">
        <v>284</v>
      </c>
      <c r="F617" s="563">
        <f t="shared" si="27"/>
        <v>25000</v>
      </c>
      <c r="G617" s="87">
        <f t="shared" si="19"/>
        <v>0</v>
      </c>
      <c r="H617" s="690"/>
      <c r="I617" s="693"/>
      <c r="J617" s="692"/>
      <c r="K617" s="692"/>
    </row>
    <row r="618" spans="1:11" ht="15" x14ac:dyDescent="0.25">
      <c r="A618" s="728">
        <f t="shared" si="26"/>
        <v>88.028169014084511</v>
      </c>
      <c r="B618" s="87" t="s">
        <v>3749</v>
      </c>
      <c r="C618" s="714" t="s">
        <v>3555</v>
      </c>
      <c r="D618" s="696">
        <v>25000</v>
      </c>
      <c r="E618" s="573">
        <v>284</v>
      </c>
      <c r="F618" s="563">
        <f t="shared" si="27"/>
        <v>25000</v>
      </c>
      <c r="G618" s="87">
        <f t="shared" si="19"/>
        <v>0</v>
      </c>
      <c r="H618" s="690"/>
      <c r="I618" s="693"/>
      <c r="J618" s="692"/>
      <c r="K618" s="692"/>
    </row>
    <row r="619" spans="1:11" ht="15" x14ac:dyDescent="0.25">
      <c r="A619" s="728">
        <f t="shared" si="26"/>
        <v>87.976539589442808</v>
      </c>
      <c r="B619" s="87" t="s">
        <v>3749</v>
      </c>
      <c r="C619" s="714" t="s">
        <v>3643</v>
      </c>
      <c r="D619" s="696">
        <v>30000</v>
      </c>
      <c r="E619" s="573">
        <v>341</v>
      </c>
      <c r="F619" s="563">
        <f t="shared" si="27"/>
        <v>30000</v>
      </c>
      <c r="G619" s="87">
        <f t="shared" si="19"/>
        <v>0</v>
      </c>
      <c r="H619" s="690"/>
      <c r="I619" s="693"/>
      <c r="J619" s="692"/>
      <c r="K619" s="692"/>
    </row>
    <row r="620" spans="1:11" ht="15" x14ac:dyDescent="0.25">
      <c r="A620" s="728">
        <f t="shared" si="26"/>
        <v>88.105726872246692</v>
      </c>
      <c r="B620" s="87" t="s">
        <v>3749</v>
      </c>
      <c r="C620" s="714" t="s">
        <v>3641</v>
      </c>
      <c r="D620" s="696">
        <v>20000</v>
      </c>
      <c r="E620" s="573">
        <v>227</v>
      </c>
      <c r="F620" s="563">
        <f t="shared" si="27"/>
        <v>20000</v>
      </c>
      <c r="G620" s="87">
        <f t="shared" si="19"/>
        <v>0</v>
      </c>
      <c r="H620" s="690"/>
      <c r="I620" s="693"/>
      <c r="J620" s="692"/>
      <c r="K620" s="692"/>
    </row>
    <row r="621" spans="1:11" ht="15" x14ac:dyDescent="0.25">
      <c r="A621" s="728">
        <f t="shared" si="26"/>
        <v>87.947882736156359</v>
      </c>
      <c r="B621" s="87" t="s">
        <v>3749</v>
      </c>
      <c r="C621" s="714" t="s">
        <v>3786</v>
      </c>
      <c r="D621" s="696">
        <v>27000</v>
      </c>
      <c r="E621" s="573">
        <v>307</v>
      </c>
      <c r="F621" s="563">
        <f t="shared" si="27"/>
        <v>27000</v>
      </c>
      <c r="G621" s="87">
        <f t="shared" si="19"/>
        <v>0</v>
      </c>
      <c r="H621" s="690"/>
      <c r="I621" s="693"/>
      <c r="J621" s="692"/>
      <c r="K621" s="692"/>
    </row>
    <row r="622" spans="1:11" ht="15" x14ac:dyDescent="0.25">
      <c r="A622" s="728">
        <f t="shared" si="26"/>
        <v>87.86610878661088</v>
      </c>
      <c r="B622" s="87" t="s">
        <v>3749</v>
      </c>
      <c r="C622" s="714" t="s">
        <v>3787</v>
      </c>
      <c r="D622" s="696">
        <v>21000</v>
      </c>
      <c r="E622" s="573">
        <v>239</v>
      </c>
      <c r="F622" s="563">
        <f t="shared" si="27"/>
        <v>21000</v>
      </c>
      <c r="G622" s="87">
        <f t="shared" si="19"/>
        <v>0</v>
      </c>
      <c r="H622" s="690"/>
      <c r="I622" s="693"/>
      <c r="J622" s="692"/>
      <c r="K622" s="692"/>
    </row>
    <row r="623" spans="1:11" ht="15" x14ac:dyDescent="0.25">
      <c r="A623" s="728">
        <f t="shared" si="26"/>
        <v>87.912087912087912</v>
      </c>
      <c r="B623" s="87" t="s">
        <v>3749</v>
      </c>
      <c r="C623" s="714" t="s">
        <v>3788</v>
      </c>
      <c r="D623" s="696">
        <v>16000</v>
      </c>
      <c r="E623" s="573">
        <v>182</v>
      </c>
      <c r="F623" s="563">
        <f t="shared" si="27"/>
        <v>16000</v>
      </c>
      <c r="G623" s="87">
        <f t="shared" si="19"/>
        <v>0</v>
      </c>
      <c r="H623" s="690"/>
      <c r="I623" s="693"/>
      <c r="J623" s="692"/>
      <c r="K623" s="692"/>
    </row>
    <row r="624" spans="1:11" ht="15" x14ac:dyDescent="0.25">
      <c r="A624" s="728">
        <f t="shared" si="26"/>
        <v>87.912087912087912</v>
      </c>
      <c r="B624" s="87" t="s">
        <v>3749</v>
      </c>
      <c r="C624" s="714" t="s">
        <v>3789</v>
      </c>
      <c r="D624" s="696">
        <v>8000</v>
      </c>
      <c r="E624" s="573">
        <v>91</v>
      </c>
      <c r="F624" s="563">
        <f t="shared" si="27"/>
        <v>8000</v>
      </c>
      <c r="G624" s="87">
        <f t="shared" si="19"/>
        <v>0</v>
      </c>
      <c r="H624" s="690"/>
      <c r="I624" s="693"/>
      <c r="J624" s="692"/>
      <c r="K624" s="692"/>
    </row>
    <row r="625" spans="1:11" ht="15" x14ac:dyDescent="0.25">
      <c r="A625" s="728">
        <f t="shared" si="26"/>
        <v>87.912087912087912</v>
      </c>
      <c r="B625" s="87" t="s">
        <v>3749</v>
      </c>
      <c r="C625" s="714" t="s">
        <v>3790</v>
      </c>
      <c r="D625" s="696">
        <v>16000</v>
      </c>
      <c r="E625" s="573">
        <v>182</v>
      </c>
      <c r="F625" s="563">
        <f t="shared" si="27"/>
        <v>16000</v>
      </c>
      <c r="G625" s="87">
        <f t="shared" si="19"/>
        <v>0</v>
      </c>
      <c r="H625" s="690"/>
      <c r="I625" s="693"/>
      <c r="J625" s="692"/>
      <c r="K625" s="692"/>
    </row>
    <row r="626" spans="1:11" ht="15" x14ac:dyDescent="0.25">
      <c r="A626" s="728">
        <f t="shared" si="26"/>
        <v>61.88925081433225</v>
      </c>
      <c r="B626" s="87" t="s">
        <v>3749</v>
      </c>
      <c r="C626" s="714" t="s">
        <v>3791</v>
      </c>
      <c r="D626" s="696">
        <v>19000</v>
      </c>
      <c r="E626" s="573">
        <v>307</v>
      </c>
      <c r="F626" s="563">
        <f t="shared" si="27"/>
        <v>19000</v>
      </c>
      <c r="G626" s="87">
        <f t="shared" si="19"/>
        <v>0</v>
      </c>
      <c r="H626" s="690"/>
      <c r="I626" s="693"/>
      <c r="J626" s="692"/>
      <c r="K626" s="692"/>
    </row>
    <row r="627" spans="1:11" ht="15" x14ac:dyDescent="0.25">
      <c r="A627" s="728">
        <f t="shared" si="26"/>
        <v>87.837837837837839</v>
      </c>
      <c r="B627" s="87" t="s">
        <v>3749</v>
      </c>
      <c r="C627" s="714" t="s">
        <v>3818</v>
      </c>
      <c r="D627" s="696">
        <v>26000</v>
      </c>
      <c r="E627" s="573">
        <v>296</v>
      </c>
      <c r="F627" s="563">
        <f t="shared" si="27"/>
        <v>26000</v>
      </c>
      <c r="G627" s="87">
        <f t="shared" si="19"/>
        <v>0</v>
      </c>
      <c r="H627" s="690"/>
      <c r="I627" s="693"/>
      <c r="J627" s="692"/>
      <c r="K627" s="692"/>
    </row>
    <row r="628" spans="1:11" ht="15" x14ac:dyDescent="0.25">
      <c r="A628" s="728">
        <f t="shared" si="26"/>
        <v>88.105726872246692</v>
      </c>
      <c r="B628" s="87" t="s">
        <v>3749</v>
      </c>
      <c r="C628" s="714" t="s">
        <v>2012</v>
      </c>
      <c r="D628" s="696">
        <v>20000</v>
      </c>
      <c r="E628" s="573">
        <v>227</v>
      </c>
      <c r="F628" s="563">
        <f t="shared" si="27"/>
        <v>20000</v>
      </c>
      <c r="G628" s="87">
        <f t="shared" si="19"/>
        <v>0</v>
      </c>
      <c r="H628" s="690"/>
      <c r="I628" s="693"/>
      <c r="J628" s="692"/>
      <c r="K628" s="692"/>
    </row>
    <row r="629" spans="1:11" ht="15" x14ac:dyDescent="0.25">
      <c r="A629" s="728">
        <f t="shared" si="26"/>
        <v>87.912087912087912</v>
      </c>
      <c r="B629" s="87" t="s">
        <v>3749</v>
      </c>
      <c r="C629" s="714" t="s">
        <v>3715</v>
      </c>
      <c r="D629" s="696">
        <v>24000</v>
      </c>
      <c r="E629" s="573">
        <v>273</v>
      </c>
      <c r="F629" s="563">
        <f t="shared" si="27"/>
        <v>24000</v>
      </c>
      <c r="G629" s="87">
        <f t="shared" si="19"/>
        <v>0</v>
      </c>
      <c r="H629" s="690"/>
      <c r="I629" s="693"/>
      <c r="J629" s="692"/>
      <c r="K629" s="692"/>
    </row>
    <row r="630" spans="1:11" ht="15" x14ac:dyDescent="0.25">
      <c r="A630" s="728">
        <f t="shared" si="26"/>
        <v>88</v>
      </c>
      <c r="B630" s="87" t="s">
        <v>3749</v>
      </c>
      <c r="C630" s="714" t="s">
        <v>3792</v>
      </c>
      <c r="D630" s="696">
        <v>22000</v>
      </c>
      <c r="E630" s="573">
        <v>250</v>
      </c>
      <c r="F630" s="563">
        <f t="shared" si="27"/>
        <v>22000</v>
      </c>
      <c r="G630" s="87">
        <f t="shared" si="19"/>
        <v>0</v>
      </c>
      <c r="H630" s="690"/>
      <c r="I630" s="693"/>
      <c r="J630" s="692"/>
      <c r="K630" s="692"/>
    </row>
    <row r="631" spans="1:11" ht="15" x14ac:dyDescent="0.25">
      <c r="A631" s="728">
        <f t="shared" si="26"/>
        <v>87.786259541984734</v>
      </c>
      <c r="B631" s="87" t="s">
        <v>3749</v>
      </c>
      <c r="C631" s="714" t="s">
        <v>3022</v>
      </c>
      <c r="D631" s="696">
        <v>23000</v>
      </c>
      <c r="E631" s="573">
        <v>262</v>
      </c>
      <c r="F631" s="563">
        <f t="shared" si="27"/>
        <v>23000</v>
      </c>
      <c r="G631" s="87">
        <f t="shared" si="19"/>
        <v>0</v>
      </c>
      <c r="H631" s="690"/>
      <c r="I631" s="693"/>
      <c r="J631" s="692"/>
      <c r="K631" s="692"/>
    </row>
    <row r="632" spans="1:11" ht="15" x14ac:dyDescent="0.25">
      <c r="A632" s="728">
        <f t="shared" si="26"/>
        <v>87.786259541984734</v>
      </c>
      <c r="B632" s="87" t="s">
        <v>3749</v>
      </c>
      <c r="C632" s="714" t="s">
        <v>3206</v>
      </c>
      <c r="D632" s="696">
        <v>23000</v>
      </c>
      <c r="E632" s="573">
        <v>262</v>
      </c>
      <c r="F632" s="563">
        <f t="shared" si="27"/>
        <v>23000</v>
      </c>
      <c r="G632" s="87">
        <f t="shared" si="19"/>
        <v>0</v>
      </c>
      <c r="H632" s="690"/>
      <c r="I632" s="693"/>
      <c r="J632" s="692"/>
      <c r="K632" s="692"/>
    </row>
    <row r="633" spans="1:11" ht="15" x14ac:dyDescent="0.25">
      <c r="A633" s="728">
        <f t="shared" si="26"/>
        <v>88.235294117647058</v>
      </c>
      <c r="B633" s="87" t="s">
        <v>3749</v>
      </c>
      <c r="C633" s="714" t="s">
        <v>30</v>
      </c>
      <c r="D633" s="696">
        <v>9000</v>
      </c>
      <c r="E633" s="573">
        <v>102</v>
      </c>
      <c r="F633" s="563">
        <f t="shared" si="27"/>
        <v>9000</v>
      </c>
      <c r="G633" s="87">
        <f t="shared" si="19"/>
        <v>0</v>
      </c>
      <c r="H633" s="690"/>
      <c r="I633" s="693"/>
      <c r="J633" s="692"/>
      <c r="K633" s="692"/>
    </row>
    <row r="634" spans="1:11" ht="15" x14ac:dyDescent="0.25">
      <c r="A634" s="728">
        <f t="shared" si="26"/>
        <v>91.633466135458164</v>
      </c>
      <c r="B634" s="87" t="s">
        <v>3749</v>
      </c>
      <c r="C634" s="714" t="s">
        <v>3793</v>
      </c>
      <c r="D634" s="696">
        <v>23000</v>
      </c>
      <c r="E634" s="573">
        <v>251</v>
      </c>
      <c r="F634" s="563">
        <f t="shared" si="27"/>
        <v>23000</v>
      </c>
      <c r="G634" s="87">
        <f t="shared" si="19"/>
        <v>0</v>
      </c>
      <c r="H634" s="690"/>
      <c r="I634" s="693"/>
      <c r="J634" s="692"/>
      <c r="K634" s="692"/>
    </row>
    <row r="635" spans="1:11" ht="15" x14ac:dyDescent="0.25">
      <c r="A635" s="728">
        <f t="shared" si="26"/>
        <v>95.238095238095241</v>
      </c>
      <c r="B635" s="87" t="s">
        <v>3749</v>
      </c>
      <c r="C635" s="714" t="s">
        <v>3794</v>
      </c>
      <c r="D635" s="696">
        <v>22000</v>
      </c>
      <c r="E635" s="573">
        <v>231</v>
      </c>
      <c r="F635" s="563">
        <f t="shared" si="27"/>
        <v>22000</v>
      </c>
      <c r="G635" s="87">
        <f t="shared" si="19"/>
        <v>0</v>
      </c>
      <c r="H635" s="690"/>
      <c r="I635" s="693"/>
      <c r="J635" s="692"/>
      <c r="K635" s="692"/>
    </row>
    <row r="636" spans="1:11" ht="15" x14ac:dyDescent="0.25">
      <c r="A636" s="728">
        <f t="shared" si="26"/>
        <v>97.560975609756099</v>
      </c>
      <c r="B636" s="87" t="s">
        <v>3749</v>
      </c>
      <c r="C636" s="714" t="s">
        <v>3795</v>
      </c>
      <c r="D636" s="696">
        <v>20000</v>
      </c>
      <c r="E636" s="573">
        <v>205</v>
      </c>
      <c r="F636" s="563">
        <f t="shared" si="27"/>
        <v>20000</v>
      </c>
      <c r="G636" s="87">
        <f t="shared" si="19"/>
        <v>0</v>
      </c>
      <c r="H636" s="690"/>
      <c r="I636" s="693"/>
      <c r="J636" s="692"/>
      <c r="K636" s="692"/>
    </row>
    <row r="637" spans="1:11" ht="15" x14ac:dyDescent="0.25">
      <c r="A637" s="728">
        <f t="shared" si="26"/>
        <v>90</v>
      </c>
      <c r="B637" s="87" t="s">
        <v>3749</v>
      </c>
      <c r="C637" s="714" t="s">
        <v>2147</v>
      </c>
      <c r="D637" s="696">
        <v>27000</v>
      </c>
      <c r="E637" s="573">
        <v>300</v>
      </c>
      <c r="F637" s="563">
        <f t="shared" si="27"/>
        <v>27000</v>
      </c>
      <c r="G637" s="87">
        <f t="shared" si="19"/>
        <v>0</v>
      </c>
      <c r="H637" s="690"/>
      <c r="I637" s="693"/>
      <c r="J637" s="692"/>
      <c r="K637" s="692"/>
    </row>
    <row r="638" spans="1:11" ht="15" x14ac:dyDescent="0.25">
      <c r="A638" s="728">
        <f t="shared" si="26"/>
        <v>87.976539589442808</v>
      </c>
      <c r="B638" s="87" t="s">
        <v>3749</v>
      </c>
      <c r="C638" s="714" t="s">
        <v>3796</v>
      </c>
      <c r="D638" s="696">
        <v>30000</v>
      </c>
      <c r="E638" s="573">
        <v>341</v>
      </c>
      <c r="F638" s="563">
        <f t="shared" si="27"/>
        <v>30000</v>
      </c>
      <c r="G638" s="87">
        <f t="shared" si="19"/>
        <v>0</v>
      </c>
      <c r="H638" s="690"/>
      <c r="I638" s="693"/>
      <c r="J638" s="692"/>
      <c r="K638" s="692"/>
    </row>
    <row r="639" spans="1:11" ht="15" x14ac:dyDescent="0.25">
      <c r="A639" s="728">
        <f t="shared" si="26"/>
        <v>87.837837837837839</v>
      </c>
      <c r="B639" s="87" t="s">
        <v>3749</v>
      </c>
      <c r="C639" s="714" t="s">
        <v>3797</v>
      </c>
      <c r="D639" s="696">
        <v>26000</v>
      </c>
      <c r="E639" s="573">
        <v>296</v>
      </c>
      <c r="F639" s="563">
        <f t="shared" si="27"/>
        <v>26000</v>
      </c>
      <c r="G639" s="87">
        <f t="shared" si="19"/>
        <v>0</v>
      </c>
      <c r="H639" s="690"/>
      <c r="I639" s="693"/>
      <c r="J639" s="692"/>
      <c r="K639" s="692"/>
    </row>
    <row r="640" spans="1:11" ht="15" x14ac:dyDescent="0.25">
      <c r="A640" s="728">
        <f t="shared" si="26"/>
        <v>88.105726872246692</v>
      </c>
      <c r="B640" s="87" t="s">
        <v>3749</v>
      </c>
      <c r="C640" s="714" t="s">
        <v>3798</v>
      </c>
      <c r="D640" s="696">
        <v>20000</v>
      </c>
      <c r="E640" s="573">
        <v>227</v>
      </c>
      <c r="F640" s="563">
        <f t="shared" si="27"/>
        <v>20000</v>
      </c>
      <c r="G640" s="87">
        <f t="shared" si="19"/>
        <v>0</v>
      </c>
      <c r="H640" s="690"/>
      <c r="I640" s="693"/>
      <c r="J640" s="692"/>
      <c r="K640" s="692"/>
    </row>
    <row r="641" spans="1:11" ht="15" x14ac:dyDescent="0.25">
      <c r="A641" s="728">
        <f t="shared" si="26"/>
        <v>87.837837837837839</v>
      </c>
      <c r="B641" s="87" t="s">
        <v>3749</v>
      </c>
      <c r="C641" s="714" t="s">
        <v>3799</v>
      </c>
      <c r="D641" s="696">
        <v>13000</v>
      </c>
      <c r="E641" s="573">
        <v>148</v>
      </c>
      <c r="F641" s="563">
        <f t="shared" si="27"/>
        <v>13000</v>
      </c>
      <c r="G641" s="87">
        <f t="shared" si="19"/>
        <v>0</v>
      </c>
      <c r="H641" s="690"/>
      <c r="I641" s="693"/>
      <c r="J641" s="692"/>
      <c r="K641" s="692"/>
    </row>
    <row r="642" spans="1:11" ht="15" x14ac:dyDescent="0.25">
      <c r="A642" s="728">
        <f t="shared" si="26"/>
        <v>87.912087912087912</v>
      </c>
      <c r="B642" s="87" t="s">
        <v>3749</v>
      </c>
      <c r="C642" s="714" t="s">
        <v>3800</v>
      </c>
      <c r="D642" s="696">
        <v>32000</v>
      </c>
      <c r="E642" s="573">
        <v>364</v>
      </c>
      <c r="F642" s="563">
        <f t="shared" si="27"/>
        <v>32000</v>
      </c>
      <c r="G642" s="87">
        <f t="shared" si="19"/>
        <v>0</v>
      </c>
      <c r="H642" s="690"/>
      <c r="I642" s="693"/>
      <c r="J642" s="692"/>
      <c r="K642" s="692"/>
    </row>
    <row r="643" spans="1:11" ht="15" x14ac:dyDescent="0.25">
      <c r="A643" s="728">
        <f t="shared" si="26"/>
        <v>87.912087912087912</v>
      </c>
      <c r="B643" s="87" t="s">
        <v>3749</v>
      </c>
      <c r="C643" s="714" t="s">
        <v>3801</v>
      </c>
      <c r="D643" s="696">
        <v>32000</v>
      </c>
      <c r="E643" s="573">
        <v>364</v>
      </c>
      <c r="F643" s="563">
        <f t="shared" si="27"/>
        <v>32000</v>
      </c>
      <c r="G643" s="87">
        <f t="shared" si="19"/>
        <v>0</v>
      </c>
      <c r="H643" s="690"/>
      <c r="I643" s="693"/>
      <c r="J643" s="692"/>
      <c r="K643" s="692"/>
    </row>
    <row r="644" spans="1:11" ht="15" x14ac:dyDescent="0.25">
      <c r="A644" s="728">
        <f t="shared" si="26"/>
        <v>87.836363636363643</v>
      </c>
      <c r="B644" s="87" t="s">
        <v>3749</v>
      </c>
      <c r="C644" s="714" t="s">
        <v>3802</v>
      </c>
      <c r="D644" s="696">
        <v>28986</v>
      </c>
      <c r="E644" s="573">
        <v>330</v>
      </c>
      <c r="F644" s="563">
        <f t="shared" si="27"/>
        <v>28986</v>
      </c>
      <c r="G644" s="87">
        <f t="shared" si="19"/>
        <v>0</v>
      </c>
      <c r="H644" s="690"/>
      <c r="I644" s="693"/>
      <c r="J644" s="692"/>
      <c r="K644" s="692"/>
    </row>
    <row r="645" spans="1:11" ht="15" x14ac:dyDescent="0.25">
      <c r="A645" s="728">
        <f t="shared" si="26"/>
        <v>87.89473684210526</v>
      </c>
      <c r="B645" s="87" t="s">
        <v>3749</v>
      </c>
      <c r="C645" s="714" t="s">
        <v>3088</v>
      </c>
      <c r="D645" s="696">
        <v>16700</v>
      </c>
      <c r="E645" s="573">
        <v>190</v>
      </c>
      <c r="F645" s="563">
        <f t="shared" si="27"/>
        <v>16700</v>
      </c>
      <c r="G645" s="87">
        <f t="shared" si="19"/>
        <v>0</v>
      </c>
      <c r="H645" s="690"/>
      <c r="I645" s="693"/>
      <c r="J645" s="692"/>
      <c r="K645" s="692"/>
    </row>
    <row r="646" spans="1:11" ht="15" x14ac:dyDescent="0.25">
      <c r="A646" s="728">
        <f t="shared" si="26"/>
        <v>87.905213270142184</v>
      </c>
      <c r="B646" s="87" t="s">
        <v>3749</v>
      </c>
      <c r="C646" s="714" t="s">
        <v>3803</v>
      </c>
      <c r="D646" s="696">
        <v>18548</v>
      </c>
      <c r="E646" s="573">
        <v>211</v>
      </c>
      <c r="F646" s="563">
        <f t="shared" si="27"/>
        <v>18548</v>
      </c>
      <c r="G646" s="87">
        <f t="shared" si="19"/>
        <v>0</v>
      </c>
      <c r="H646" s="690"/>
      <c r="I646" s="693"/>
      <c r="J646" s="692"/>
      <c r="K646" s="692"/>
    </row>
    <row r="647" spans="1:11" ht="15" x14ac:dyDescent="0.25">
      <c r="A647" s="728">
        <f t="shared" si="26"/>
        <v>87.822878228782287</v>
      </c>
      <c r="B647" s="87" t="s">
        <v>3749</v>
      </c>
      <c r="C647" s="714" t="s">
        <v>3804</v>
      </c>
      <c r="D647" s="696">
        <v>23800</v>
      </c>
      <c r="E647" s="573">
        <v>271</v>
      </c>
      <c r="F647" s="563">
        <f t="shared" si="27"/>
        <v>23800</v>
      </c>
      <c r="G647" s="87">
        <f t="shared" ref="G647" si="28">D647-F647</f>
        <v>0</v>
      </c>
      <c r="H647" s="690"/>
      <c r="I647" s="693"/>
      <c r="J647" s="692"/>
      <c r="K647" s="692"/>
    </row>
    <row r="648" spans="1:11" ht="15" hidden="1" x14ac:dyDescent="0.25">
      <c r="A648" s="1"/>
      <c r="B648" s="42"/>
      <c r="C648" s="20" t="s">
        <v>9</v>
      </c>
      <c r="D648" s="21">
        <f>SUM(D4:D647)</f>
        <v>15140541</v>
      </c>
      <c r="E648" s="23">
        <f>SUM(E5:E647)</f>
        <v>146810.43999999997</v>
      </c>
      <c r="F648" s="21">
        <f>SUM(F4:F647)</f>
        <v>15140541</v>
      </c>
      <c r="G648" s="494"/>
      <c r="H648" s="691">
        <f>SUM(H5:H53)</f>
        <v>12700000</v>
      </c>
      <c r="I648" s="693"/>
      <c r="J648" s="692"/>
      <c r="K648" s="692"/>
    </row>
    <row r="649" spans="1:11" ht="15" hidden="1" x14ac:dyDescent="0.25">
      <c r="A649" s="1"/>
      <c r="B649" s="42"/>
      <c r="C649" s="20" t="s">
        <v>10</v>
      </c>
      <c r="D649" s="25">
        <f>SUM(D648-H648)</f>
        <v>2440541</v>
      </c>
      <c r="E649" s="494"/>
      <c r="F649" s="26" t="s">
        <v>10</v>
      </c>
      <c r="G649" s="25">
        <f>SUM(F648-H648)</f>
        <v>2440541</v>
      </c>
      <c r="H649" s="25"/>
      <c r="I649" s="692"/>
      <c r="J649" s="692"/>
      <c r="K649" s="692"/>
    </row>
    <row r="650" spans="1:11" ht="15" thickBot="1" x14ac:dyDescent="0.25"/>
    <row r="651" spans="1:11" ht="15.75" thickBot="1" x14ac:dyDescent="0.3">
      <c r="C651" s="164" t="s">
        <v>3175</v>
      </c>
      <c r="D651" s="99"/>
    </row>
  </sheetData>
  <autoFilter ref="A4:L649">
    <filterColumn colId="1">
      <filters>
        <filter val="27.08.24"/>
        <filter val="28.08.24"/>
        <filter val="29.08.24"/>
        <filter val="30.08.24"/>
        <filter val="31.08.24"/>
      </filters>
    </filterColumn>
  </autoFilter>
  <mergeCells count="1">
    <mergeCell ref="B1:H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9"/>
  <sheetViews>
    <sheetView zoomScale="130" zoomScaleNormal="130" workbookViewId="0">
      <selection activeCell="H7" sqref="H7"/>
    </sheetView>
  </sheetViews>
  <sheetFormatPr defaultRowHeight="14.25" x14ac:dyDescent="0.2"/>
  <cols>
    <col min="1" max="1" width="9" style="753"/>
    <col min="2" max="2" width="14.25" style="753" customWidth="1"/>
    <col min="3" max="3" width="19" style="753" customWidth="1"/>
    <col min="4" max="4" width="17.625" style="753" customWidth="1"/>
    <col min="5" max="5" width="12" style="753" customWidth="1"/>
    <col min="6" max="6" width="13.125" style="753" customWidth="1"/>
    <col min="7" max="7" width="13" style="753" bestFit="1" customWidth="1"/>
    <col min="8" max="8" width="13.5" style="753" customWidth="1"/>
    <col min="9" max="9" width="13.75" style="753" customWidth="1"/>
    <col min="10" max="10" width="12.5" style="753" customWidth="1"/>
    <col min="11" max="11" width="13.75" style="753" customWidth="1"/>
    <col min="12" max="16384" width="9" style="753"/>
  </cols>
  <sheetData>
    <row r="1" spans="1:11" ht="21" x14ac:dyDescent="0.35">
      <c r="B1" s="772" t="s">
        <v>772</v>
      </c>
      <c r="C1" s="773"/>
      <c r="D1" s="773"/>
      <c r="E1" s="773"/>
      <c r="F1" s="773"/>
      <c r="G1" s="773"/>
      <c r="H1" s="774"/>
    </row>
    <row r="2" spans="1:11" ht="15" x14ac:dyDescent="0.25">
      <c r="B2" s="510"/>
      <c r="C2" s="510"/>
      <c r="D2" s="511"/>
      <c r="E2" s="682">
        <v>45536</v>
      </c>
      <c r="F2" s="512"/>
      <c r="G2" s="510"/>
      <c r="H2" s="510"/>
    </row>
    <row r="3" spans="1:11" s="175" customFormat="1" ht="15.75" x14ac:dyDescent="0.25">
      <c r="A3" s="729" t="s">
        <v>2958</v>
      </c>
      <c r="B3" s="514" t="s">
        <v>2</v>
      </c>
      <c r="C3" s="514" t="s">
        <v>97</v>
      </c>
      <c r="D3" s="514" t="s">
        <v>4</v>
      </c>
      <c r="E3" s="514" t="s">
        <v>5</v>
      </c>
      <c r="F3" s="514" t="s">
        <v>4</v>
      </c>
      <c r="G3" s="514" t="s">
        <v>98</v>
      </c>
      <c r="H3" s="417" t="s">
        <v>8</v>
      </c>
    </row>
    <row r="4" spans="1:11" s="175" customFormat="1" ht="15.75" x14ac:dyDescent="0.25">
      <c r="A4" s="728"/>
      <c r="B4" s="663" t="s">
        <v>3363</v>
      </c>
      <c r="C4" s="707" t="s">
        <v>374</v>
      </c>
      <c r="D4" s="732">
        <f>'AUG-24'!D649</f>
        <v>2440541</v>
      </c>
      <c r="E4" s="707" t="s">
        <v>3200</v>
      </c>
      <c r="F4" s="732">
        <f>D4</f>
        <v>2440541</v>
      </c>
      <c r="G4" s="514"/>
      <c r="H4" s="733"/>
      <c r="I4" s="734"/>
    </row>
    <row r="5" spans="1:11" ht="15.75" x14ac:dyDescent="0.25">
      <c r="A5" s="728">
        <f>D5/E5</f>
        <v>88.105726872246692</v>
      </c>
      <c r="B5" s="87" t="s">
        <v>3783</v>
      </c>
      <c r="C5" s="662" t="s">
        <v>3806</v>
      </c>
      <c r="D5" s="563">
        <v>20000</v>
      </c>
      <c r="E5" s="573">
        <v>227</v>
      </c>
      <c r="F5" s="563">
        <f>D5</f>
        <v>20000</v>
      </c>
      <c r="G5" s="87">
        <f t="shared" ref="G5:G68" si="0">D5-F5</f>
        <v>0</v>
      </c>
      <c r="H5" s="509">
        <v>1000000</v>
      </c>
      <c r="I5" s="525" t="s">
        <v>3805</v>
      </c>
      <c r="J5" s="692"/>
      <c r="K5" s="692"/>
    </row>
    <row r="6" spans="1:11" ht="15.75" x14ac:dyDescent="0.25">
      <c r="A6" s="728">
        <f t="shared" ref="A6:A69" si="1">D6/E6</f>
        <v>88.235294117647058</v>
      </c>
      <c r="B6" s="87" t="s">
        <v>3783</v>
      </c>
      <c r="C6" s="662" t="s">
        <v>3807</v>
      </c>
      <c r="D6" s="563">
        <v>15000</v>
      </c>
      <c r="E6" s="573">
        <v>170</v>
      </c>
      <c r="F6" s="563">
        <f t="shared" ref="F6:F69" si="2">D6</f>
        <v>15000</v>
      </c>
      <c r="G6" s="87">
        <f>D6-F6</f>
        <v>0</v>
      </c>
      <c r="H6" s="509">
        <v>700000</v>
      </c>
      <c r="I6" s="525" t="s">
        <v>3830</v>
      </c>
      <c r="J6" s="692"/>
      <c r="K6" s="692"/>
    </row>
    <row r="7" spans="1:11" ht="15.75" x14ac:dyDescent="0.25">
      <c r="A7" s="728">
        <f t="shared" si="1"/>
        <v>87.912087912087912</v>
      </c>
      <c r="B7" s="87" t="s">
        <v>3783</v>
      </c>
      <c r="C7" s="725" t="s">
        <v>3667</v>
      </c>
      <c r="D7" s="563">
        <v>32000</v>
      </c>
      <c r="E7" s="573">
        <v>364</v>
      </c>
      <c r="F7" s="563">
        <f t="shared" si="2"/>
        <v>32000</v>
      </c>
      <c r="G7" s="87">
        <f t="shared" si="0"/>
        <v>0</v>
      </c>
      <c r="H7" s="509"/>
      <c r="I7" s="525"/>
      <c r="J7" s="692"/>
      <c r="K7" s="692"/>
    </row>
    <row r="8" spans="1:11" ht="15.75" x14ac:dyDescent="0.25">
      <c r="A8" s="728">
        <f t="shared" si="1"/>
        <v>89.285714285714292</v>
      </c>
      <c r="B8" s="87" t="s">
        <v>3783</v>
      </c>
      <c r="C8" s="662" t="s">
        <v>3819</v>
      </c>
      <c r="D8" s="563">
        <v>25000</v>
      </c>
      <c r="E8" s="573">
        <v>280</v>
      </c>
      <c r="F8" s="563">
        <f t="shared" si="2"/>
        <v>25000</v>
      </c>
      <c r="G8" s="87">
        <f t="shared" si="0"/>
        <v>0</v>
      </c>
      <c r="H8" s="509"/>
      <c r="I8" s="525"/>
      <c r="J8" s="692"/>
      <c r="K8" s="692"/>
    </row>
    <row r="9" spans="1:11" ht="15.75" x14ac:dyDescent="0.25">
      <c r="A9" s="728">
        <f t="shared" si="1"/>
        <v>89.201877934272304</v>
      </c>
      <c r="B9" s="87" t="s">
        <v>3783</v>
      </c>
      <c r="C9" s="725" t="s">
        <v>3002</v>
      </c>
      <c r="D9" s="563">
        <v>19000</v>
      </c>
      <c r="E9" s="573">
        <v>213</v>
      </c>
      <c r="F9" s="563">
        <f t="shared" si="2"/>
        <v>19000</v>
      </c>
      <c r="G9" s="87">
        <f t="shared" si="0"/>
        <v>0</v>
      </c>
      <c r="H9" s="509"/>
      <c r="I9" s="525"/>
      <c r="J9" s="692"/>
      <c r="K9" s="692"/>
    </row>
    <row r="10" spans="1:11" ht="15.75" x14ac:dyDescent="0.25">
      <c r="A10" s="728">
        <f t="shared" si="1"/>
        <v>88</v>
      </c>
      <c r="B10" s="87" t="s">
        <v>3783</v>
      </c>
      <c r="C10" s="662" t="s">
        <v>3808</v>
      </c>
      <c r="D10" s="563">
        <v>22000</v>
      </c>
      <c r="E10" s="573">
        <v>250</v>
      </c>
      <c r="F10" s="563">
        <f t="shared" si="2"/>
        <v>22000</v>
      </c>
      <c r="G10" s="87">
        <f t="shared" si="0"/>
        <v>0</v>
      </c>
      <c r="H10" s="509"/>
      <c r="I10" s="525"/>
      <c r="J10" s="692"/>
      <c r="K10" s="692"/>
    </row>
    <row r="11" spans="1:11" ht="15.75" x14ac:dyDescent="0.25">
      <c r="A11" s="728">
        <f t="shared" si="1"/>
        <v>89.285714285714292</v>
      </c>
      <c r="B11" s="87" t="s">
        <v>3783</v>
      </c>
      <c r="C11" s="662" t="s">
        <v>3732</v>
      </c>
      <c r="D11" s="563">
        <v>20000</v>
      </c>
      <c r="E11" s="573">
        <v>224</v>
      </c>
      <c r="F11" s="563">
        <f t="shared" si="2"/>
        <v>20000</v>
      </c>
      <c r="G11" s="87">
        <f t="shared" si="0"/>
        <v>0</v>
      </c>
      <c r="H11" s="509"/>
      <c r="I11" s="525"/>
      <c r="J11" s="692"/>
      <c r="K11" s="692"/>
    </row>
    <row r="12" spans="1:11" ht="15.75" x14ac:dyDescent="0.25">
      <c r="A12" s="728">
        <f t="shared" si="1"/>
        <v>88.607594936708864</v>
      </c>
      <c r="B12" s="87" t="s">
        <v>3783</v>
      </c>
      <c r="C12" s="662" t="s">
        <v>3809</v>
      </c>
      <c r="D12" s="563">
        <v>21000</v>
      </c>
      <c r="E12" s="573">
        <v>237</v>
      </c>
      <c r="F12" s="563">
        <f t="shared" si="2"/>
        <v>21000</v>
      </c>
      <c r="G12" s="87">
        <f t="shared" si="0"/>
        <v>0</v>
      </c>
      <c r="H12" s="509"/>
      <c r="I12" s="525"/>
      <c r="J12" s="692"/>
      <c r="K12" s="692"/>
    </row>
    <row r="13" spans="1:11" ht="15.75" x14ac:dyDescent="0.25">
      <c r="A13" s="728">
        <f t="shared" si="1"/>
        <v>88.607594936708864</v>
      </c>
      <c r="B13" s="87" t="s">
        <v>3783</v>
      </c>
      <c r="C13" s="662" t="s">
        <v>30</v>
      </c>
      <c r="D13" s="563">
        <v>7000</v>
      </c>
      <c r="E13" s="573">
        <v>79</v>
      </c>
      <c r="F13" s="563">
        <f t="shared" si="2"/>
        <v>7000</v>
      </c>
      <c r="G13" s="87">
        <f t="shared" si="0"/>
        <v>0</v>
      </c>
      <c r="H13" s="509"/>
      <c r="I13" s="525"/>
      <c r="J13" s="692"/>
      <c r="K13" s="692"/>
    </row>
    <row r="14" spans="1:11" ht="15.75" x14ac:dyDescent="0.25">
      <c r="A14" s="728">
        <f t="shared" si="1"/>
        <v>87.804878048780495</v>
      </c>
      <c r="B14" s="87" t="s">
        <v>3783</v>
      </c>
      <c r="C14" s="662" t="s">
        <v>3731</v>
      </c>
      <c r="D14" s="563">
        <v>18000</v>
      </c>
      <c r="E14" s="573">
        <v>205</v>
      </c>
      <c r="F14" s="563">
        <f t="shared" si="2"/>
        <v>18000</v>
      </c>
      <c r="G14" s="87">
        <f t="shared" si="0"/>
        <v>0</v>
      </c>
      <c r="H14" s="509"/>
      <c r="I14" s="525"/>
      <c r="J14" s="762"/>
      <c r="K14" s="762"/>
    </row>
    <row r="15" spans="1:11" ht="15.75" x14ac:dyDescent="0.25">
      <c r="A15" s="728">
        <f t="shared" si="1"/>
        <v>87.813620071684582</v>
      </c>
      <c r="B15" s="87" t="s">
        <v>3783</v>
      </c>
      <c r="C15" s="662" t="s">
        <v>3810</v>
      </c>
      <c r="D15" s="563">
        <v>24500</v>
      </c>
      <c r="E15" s="573">
        <v>279</v>
      </c>
      <c r="F15" s="563">
        <f t="shared" si="2"/>
        <v>24500</v>
      </c>
      <c r="G15" s="87">
        <f t="shared" si="0"/>
        <v>0</v>
      </c>
      <c r="H15" s="509"/>
      <c r="I15" s="525"/>
      <c r="J15" s="762"/>
      <c r="K15" s="762"/>
    </row>
    <row r="16" spans="1:11" ht="15.75" x14ac:dyDescent="0.25">
      <c r="A16" s="728">
        <f t="shared" si="1"/>
        <v>87.937743190661479</v>
      </c>
      <c r="B16" s="87" t="s">
        <v>3783</v>
      </c>
      <c r="C16" s="662" t="s">
        <v>3811</v>
      </c>
      <c r="D16" s="563">
        <v>22600</v>
      </c>
      <c r="E16" s="573">
        <v>257</v>
      </c>
      <c r="F16" s="563">
        <f t="shared" si="2"/>
        <v>22600</v>
      </c>
      <c r="G16" s="87">
        <f t="shared" si="0"/>
        <v>0</v>
      </c>
      <c r="H16" s="509"/>
      <c r="I16" s="525"/>
      <c r="J16" s="762"/>
      <c r="K16" s="762"/>
    </row>
    <row r="17" spans="1:11" ht="15.75" x14ac:dyDescent="0.25">
      <c r="A17" s="728">
        <f t="shared" si="1"/>
        <v>87.774193548387103</v>
      </c>
      <c r="B17" s="87" t="s">
        <v>3783</v>
      </c>
      <c r="C17" s="662" t="s">
        <v>3812</v>
      </c>
      <c r="D17" s="563">
        <v>27210</v>
      </c>
      <c r="E17" s="573">
        <v>310</v>
      </c>
      <c r="F17" s="563">
        <f t="shared" si="2"/>
        <v>27210</v>
      </c>
      <c r="G17" s="87">
        <f t="shared" si="0"/>
        <v>0</v>
      </c>
      <c r="H17" s="509"/>
      <c r="I17" s="525"/>
      <c r="J17" s="692"/>
      <c r="K17" s="692"/>
    </row>
    <row r="18" spans="1:11" ht="15.75" x14ac:dyDescent="0.25">
      <c r="A18" s="728">
        <f t="shared" si="1"/>
        <v>88.105726872246692</v>
      </c>
      <c r="B18" s="87" t="s">
        <v>3783</v>
      </c>
      <c r="C18" s="662" t="s">
        <v>3813</v>
      </c>
      <c r="D18" s="563">
        <v>20000</v>
      </c>
      <c r="E18" s="573">
        <v>227</v>
      </c>
      <c r="F18" s="563">
        <f t="shared" si="2"/>
        <v>20000</v>
      </c>
      <c r="G18" s="87">
        <f t="shared" si="0"/>
        <v>0</v>
      </c>
      <c r="H18" s="509"/>
      <c r="I18" s="525"/>
      <c r="J18" s="692"/>
      <c r="K18" s="692"/>
    </row>
    <row r="19" spans="1:11" ht="15.75" x14ac:dyDescent="0.25">
      <c r="A19" s="728">
        <f t="shared" si="1"/>
        <v>87.947882736156359</v>
      </c>
      <c r="B19" s="87" t="s">
        <v>3783</v>
      </c>
      <c r="C19" s="662" t="s">
        <v>3814</v>
      </c>
      <c r="D19" s="563">
        <v>27000</v>
      </c>
      <c r="E19" s="573">
        <v>307</v>
      </c>
      <c r="F19" s="563">
        <f t="shared" si="2"/>
        <v>27000</v>
      </c>
      <c r="G19" s="87">
        <f t="shared" si="0"/>
        <v>0</v>
      </c>
      <c r="H19" s="509"/>
      <c r="I19" s="525"/>
      <c r="J19" s="692"/>
      <c r="K19" s="692"/>
    </row>
    <row r="20" spans="1:11" ht="15.75" x14ac:dyDescent="0.25">
      <c r="A20" s="728">
        <f t="shared" si="1"/>
        <v>87.947882736156359</v>
      </c>
      <c r="B20" s="87" t="s">
        <v>3783</v>
      </c>
      <c r="C20" s="662" t="s">
        <v>3815</v>
      </c>
      <c r="D20" s="563">
        <v>27000</v>
      </c>
      <c r="E20" s="573">
        <v>307</v>
      </c>
      <c r="F20" s="563">
        <f t="shared" si="2"/>
        <v>27000</v>
      </c>
      <c r="G20" s="87">
        <f t="shared" si="0"/>
        <v>0</v>
      </c>
      <c r="H20" s="509"/>
      <c r="I20" s="525"/>
      <c r="J20" s="692"/>
      <c r="K20" s="692"/>
    </row>
    <row r="21" spans="1:11" ht="15.75" x14ac:dyDescent="0.25">
      <c r="A21" s="728">
        <f t="shared" si="1"/>
        <v>89.285714285714292</v>
      </c>
      <c r="B21" s="87" t="s">
        <v>3783</v>
      </c>
      <c r="C21" s="662" t="s">
        <v>3816</v>
      </c>
      <c r="D21" s="563">
        <v>5000</v>
      </c>
      <c r="E21" s="573">
        <v>56</v>
      </c>
      <c r="F21" s="563">
        <f t="shared" si="2"/>
        <v>5000</v>
      </c>
      <c r="G21" s="87">
        <f t="shared" si="0"/>
        <v>0</v>
      </c>
      <c r="H21" s="509"/>
      <c r="I21" s="525"/>
      <c r="J21" s="692"/>
      <c r="K21" s="692"/>
    </row>
    <row r="22" spans="1:11" ht="15.75" x14ac:dyDescent="0.25">
      <c r="A22" s="728">
        <f t="shared" si="1"/>
        <v>94.444444444444443</v>
      </c>
      <c r="B22" s="87" t="s">
        <v>3783</v>
      </c>
      <c r="C22" s="662" t="s">
        <v>2426</v>
      </c>
      <c r="D22" s="563">
        <v>17000</v>
      </c>
      <c r="E22" s="573">
        <v>180</v>
      </c>
      <c r="F22" s="563">
        <f t="shared" si="2"/>
        <v>17000</v>
      </c>
      <c r="G22" s="87">
        <f t="shared" si="0"/>
        <v>0</v>
      </c>
      <c r="H22" s="509"/>
      <c r="I22" s="525"/>
      <c r="J22" s="692"/>
      <c r="K22" s="692"/>
    </row>
    <row r="23" spans="1:11" ht="15.75" x14ac:dyDescent="0.25">
      <c r="A23" s="728">
        <f t="shared" si="1"/>
        <v>89.403973509933778</v>
      </c>
      <c r="B23" s="87" t="s">
        <v>3783</v>
      </c>
      <c r="C23" s="662" t="s">
        <v>1732</v>
      </c>
      <c r="D23" s="563">
        <v>27000</v>
      </c>
      <c r="E23" s="573">
        <v>302</v>
      </c>
      <c r="F23" s="563">
        <f t="shared" si="2"/>
        <v>27000</v>
      </c>
      <c r="G23" s="87">
        <f t="shared" si="0"/>
        <v>0</v>
      </c>
      <c r="H23" s="509"/>
      <c r="I23" s="525"/>
      <c r="J23" s="692"/>
      <c r="K23" s="692"/>
    </row>
    <row r="24" spans="1:11" ht="15.75" x14ac:dyDescent="0.25">
      <c r="A24" s="728">
        <f t="shared" si="1"/>
        <v>90.322580645161295</v>
      </c>
      <c r="B24" s="87" t="s">
        <v>3783</v>
      </c>
      <c r="C24" s="662" t="s">
        <v>3817</v>
      </c>
      <c r="D24" s="563">
        <v>28000</v>
      </c>
      <c r="E24" s="573">
        <v>310</v>
      </c>
      <c r="F24" s="563">
        <f t="shared" si="2"/>
        <v>28000</v>
      </c>
      <c r="G24" s="87">
        <f t="shared" si="0"/>
        <v>0</v>
      </c>
      <c r="H24" s="509"/>
      <c r="I24" s="525"/>
      <c r="J24" s="692"/>
      <c r="K24" s="692"/>
    </row>
    <row r="25" spans="1:11" ht="15.75" x14ac:dyDescent="0.25">
      <c r="A25" s="728">
        <f t="shared" si="1"/>
        <v>97.087378640776691</v>
      </c>
      <c r="B25" s="87" t="s">
        <v>3783</v>
      </c>
      <c r="C25" s="662" t="s">
        <v>66</v>
      </c>
      <c r="D25" s="563">
        <v>100</v>
      </c>
      <c r="E25" s="573">
        <v>1.03</v>
      </c>
      <c r="F25" s="563">
        <f t="shared" si="2"/>
        <v>100</v>
      </c>
      <c r="G25" s="87">
        <f t="shared" si="0"/>
        <v>0</v>
      </c>
      <c r="H25" s="509"/>
      <c r="I25" s="525"/>
      <c r="J25" s="692"/>
      <c r="K25" s="692"/>
    </row>
    <row r="26" spans="1:11" ht="15.75" x14ac:dyDescent="0.25">
      <c r="A26" s="728">
        <f t="shared" si="1"/>
        <v>88.082901554404145</v>
      </c>
      <c r="B26" s="87" t="s">
        <v>3805</v>
      </c>
      <c r="C26" s="662" t="s">
        <v>1926</v>
      </c>
      <c r="D26" s="563">
        <v>17000</v>
      </c>
      <c r="E26" s="573">
        <v>193</v>
      </c>
      <c r="F26" s="563">
        <f t="shared" si="2"/>
        <v>17000</v>
      </c>
      <c r="G26" s="87">
        <f t="shared" si="0"/>
        <v>0</v>
      </c>
      <c r="H26" s="509"/>
      <c r="I26" s="525"/>
      <c r="J26" s="762"/>
      <c r="K26" s="692"/>
    </row>
    <row r="27" spans="1:11" ht="15.75" x14ac:dyDescent="0.25">
      <c r="A27" s="728">
        <f t="shared" si="1"/>
        <v>87.912087912087912</v>
      </c>
      <c r="B27" s="87" t="s">
        <v>3805</v>
      </c>
      <c r="C27" s="662" t="s">
        <v>1855</v>
      </c>
      <c r="D27" s="563">
        <v>16000</v>
      </c>
      <c r="E27" s="573">
        <v>182</v>
      </c>
      <c r="F27" s="563">
        <f t="shared" si="2"/>
        <v>16000</v>
      </c>
      <c r="G27" s="87">
        <f t="shared" si="0"/>
        <v>0</v>
      </c>
      <c r="H27" s="509"/>
      <c r="I27" s="525"/>
      <c r="J27" s="762"/>
      <c r="K27" s="692"/>
    </row>
    <row r="28" spans="1:11" ht="15.75" x14ac:dyDescent="0.25">
      <c r="A28" s="728">
        <f t="shared" si="1"/>
        <v>87.804878048780495</v>
      </c>
      <c r="B28" s="87" t="s">
        <v>3805</v>
      </c>
      <c r="C28" s="662" t="s">
        <v>1925</v>
      </c>
      <c r="D28" s="563">
        <v>18000</v>
      </c>
      <c r="E28" s="573">
        <v>205</v>
      </c>
      <c r="F28" s="563">
        <f t="shared" si="2"/>
        <v>18000</v>
      </c>
      <c r="G28" s="87">
        <f t="shared" si="0"/>
        <v>0</v>
      </c>
      <c r="H28" s="509"/>
      <c r="I28" s="525"/>
      <c r="J28" s="762"/>
      <c r="K28" s="692"/>
    </row>
    <row r="29" spans="1:11" ht="15.75" x14ac:dyDescent="0.25">
      <c r="A29" s="728">
        <f t="shared" si="1"/>
        <v>91.703056768558952</v>
      </c>
      <c r="B29" s="87" t="s">
        <v>3805</v>
      </c>
      <c r="C29" s="662" t="s">
        <v>3225</v>
      </c>
      <c r="D29" s="563">
        <v>21000</v>
      </c>
      <c r="E29" s="573">
        <v>229</v>
      </c>
      <c r="F29" s="563">
        <f t="shared" si="2"/>
        <v>21000</v>
      </c>
      <c r="G29" s="87">
        <f t="shared" si="0"/>
        <v>0</v>
      </c>
      <c r="H29" s="509"/>
      <c r="I29" s="525"/>
      <c r="J29" s="692"/>
      <c r="K29" s="692"/>
    </row>
    <row r="30" spans="1:11" ht="15.75" x14ac:dyDescent="0.25">
      <c r="A30" s="728">
        <f t="shared" si="1"/>
        <v>87.912087912087912</v>
      </c>
      <c r="B30" s="87" t="s">
        <v>3805</v>
      </c>
      <c r="C30" s="662" t="s">
        <v>3820</v>
      </c>
      <c r="D30" s="563">
        <v>24000</v>
      </c>
      <c r="E30" s="573">
        <v>273</v>
      </c>
      <c r="F30" s="563">
        <f t="shared" si="2"/>
        <v>24000</v>
      </c>
      <c r="G30" s="87">
        <f t="shared" si="0"/>
        <v>0</v>
      </c>
      <c r="H30" s="509"/>
      <c r="I30" s="525"/>
      <c r="J30" s="692"/>
      <c r="K30" s="692"/>
    </row>
    <row r="31" spans="1:11" ht="15.75" x14ac:dyDescent="0.25">
      <c r="A31" s="728">
        <f t="shared" si="1"/>
        <v>89.041095890410958</v>
      </c>
      <c r="B31" s="87" t="s">
        <v>3805</v>
      </c>
      <c r="C31" s="662" t="s">
        <v>3829</v>
      </c>
      <c r="D31" s="563">
        <v>26000</v>
      </c>
      <c r="E31" s="573">
        <v>292</v>
      </c>
      <c r="F31" s="563">
        <f t="shared" si="2"/>
        <v>26000</v>
      </c>
      <c r="G31" s="87">
        <f t="shared" si="0"/>
        <v>0</v>
      </c>
      <c r="H31" s="509"/>
      <c r="I31" s="525"/>
      <c r="J31" s="692"/>
      <c r="K31" s="692"/>
    </row>
    <row r="32" spans="1:11" ht="15.75" x14ac:dyDescent="0.25">
      <c r="A32" s="728">
        <f t="shared" si="1"/>
        <v>88.028169014084511</v>
      </c>
      <c r="B32" s="87" t="s">
        <v>3805</v>
      </c>
      <c r="C32" s="662" t="s">
        <v>2019</v>
      </c>
      <c r="D32" s="563">
        <v>25000</v>
      </c>
      <c r="E32" s="573">
        <v>284</v>
      </c>
      <c r="F32" s="563">
        <f t="shared" si="2"/>
        <v>25000</v>
      </c>
      <c r="G32" s="87">
        <f t="shared" si="0"/>
        <v>0</v>
      </c>
      <c r="H32" s="689"/>
      <c r="I32" s="693"/>
      <c r="J32" s="692"/>
      <c r="K32" s="692"/>
    </row>
    <row r="33" spans="1:12" ht="15.75" customHeight="1" x14ac:dyDescent="0.25">
      <c r="A33" s="728">
        <f t="shared" si="1"/>
        <v>88.105726872246692</v>
      </c>
      <c r="B33" s="87" t="s">
        <v>3805</v>
      </c>
      <c r="C33" s="662" t="s">
        <v>2891</v>
      </c>
      <c r="D33" s="563">
        <v>20000</v>
      </c>
      <c r="E33" s="573">
        <v>227</v>
      </c>
      <c r="F33" s="563">
        <f t="shared" si="2"/>
        <v>20000</v>
      </c>
      <c r="G33" s="87">
        <f t="shared" si="0"/>
        <v>0</v>
      </c>
      <c r="H33" s="689"/>
      <c r="I33" s="693"/>
      <c r="J33" s="692"/>
      <c r="K33" s="692"/>
    </row>
    <row r="34" spans="1:12" ht="15.75" customHeight="1" x14ac:dyDescent="0.25">
      <c r="A34" s="728">
        <f t="shared" si="1"/>
        <v>87.962962962962962</v>
      </c>
      <c r="B34" s="87" t="s">
        <v>3805</v>
      </c>
      <c r="C34" s="662" t="s">
        <v>3009</v>
      </c>
      <c r="D34" s="563">
        <v>19000</v>
      </c>
      <c r="E34" s="573">
        <v>216</v>
      </c>
      <c r="F34" s="563">
        <f t="shared" si="2"/>
        <v>19000</v>
      </c>
      <c r="G34" s="87">
        <f t="shared" si="0"/>
        <v>0</v>
      </c>
      <c r="H34" s="689"/>
      <c r="I34" s="716" t="s">
        <v>475</v>
      </c>
      <c r="J34" s="706">
        <f>SUM(H5:H31)</f>
        <v>1700000</v>
      </c>
      <c r="K34" s="706" t="s">
        <v>475</v>
      </c>
      <c r="L34" s="706">
        <f>SUM(L5:L31)</f>
        <v>0</v>
      </c>
    </row>
    <row r="35" spans="1:12" ht="15.75" customHeight="1" x14ac:dyDescent="0.25">
      <c r="A35" s="728">
        <f t="shared" si="1"/>
        <v>88.105726872246692</v>
      </c>
      <c r="B35" s="87" t="s">
        <v>3805</v>
      </c>
      <c r="C35" s="662" t="s">
        <v>3821</v>
      </c>
      <c r="D35" s="563">
        <v>20000</v>
      </c>
      <c r="E35" s="573">
        <v>227</v>
      </c>
      <c r="F35" s="563">
        <f t="shared" si="2"/>
        <v>20000</v>
      </c>
      <c r="G35" s="87">
        <f t="shared" si="0"/>
        <v>0</v>
      </c>
      <c r="H35" s="689"/>
      <c r="I35" s="693"/>
      <c r="J35" s="692"/>
      <c r="K35" s="692"/>
    </row>
    <row r="36" spans="1:12" ht="15.75" customHeight="1" x14ac:dyDescent="0.25">
      <c r="A36" s="728">
        <f t="shared" si="1"/>
        <v>88.105726872246692</v>
      </c>
      <c r="B36" s="87" t="s">
        <v>3805</v>
      </c>
      <c r="C36" s="662" t="s">
        <v>3822</v>
      </c>
      <c r="D36" s="563">
        <v>20000</v>
      </c>
      <c r="E36" s="573">
        <v>227</v>
      </c>
      <c r="F36" s="563">
        <f t="shared" si="2"/>
        <v>20000</v>
      </c>
      <c r="G36" s="87">
        <f t="shared" si="0"/>
        <v>0</v>
      </c>
      <c r="H36" s="689"/>
      <c r="I36" s="693"/>
      <c r="J36" s="692"/>
      <c r="K36" s="692"/>
    </row>
    <row r="37" spans="1:12" ht="15.75" customHeight="1" x14ac:dyDescent="0.25">
      <c r="A37" s="728">
        <f t="shared" si="1"/>
        <v>87.804878048780495</v>
      </c>
      <c r="B37" s="87" t="s">
        <v>3805</v>
      </c>
      <c r="C37" s="662" t="s">
        <v>3823</v>
      </c>
      <c r="D37" s="563">
        <v>18000</v>
      </c>
      <c r="E37" s="573">
        <v>205</v>
      </c>
      <c r="F37" s="563">
        <f t="shared" si="2"/>
        <v>18000</v>
      </c>
      <c r="G37" s="87">
        <f t="shared" si="0"/>
        <v>0</v>
      </c>
      <c r="H37" s="689"/>
      <c r="I37" s="693"/>
      <c r="J37" s="706" t="s">
        <v>360</v>
      </c>
      <c r="K37" s="706">
        <f>L34-J34</f>
        <v>-1700000</v>
      </c>
    </row>
    <row r="38" spans="1:12" ht="15.75" customHeight="1" x14ac:dyDescent="0.25">
      <c r="A38" s="728">
        <f t="shared" si="1"/>
        <v>88.607594936708864</v>
      </c>
      <c r="B38" s="87" t="s">
        <v>3805</v>
      </c>
      <c r="C38" s="662" t="s">
        <v>30</v>
      </c>
      <c r="D38" s="563">
        <v>7000</v>
      </c>
      <c r="E38" s="573">
        <v>79</v>
      </c>
      <c r="F38" s="563">
        <f t="shared" si="2"/>
        <v>7000</v>
      </c>
      <c r="G38" s="87">
        <f t="shared" si="0"/>
        <v>0</v>
      </c>
      <c r="H38" s="689"/>
      <c r="I38" s="693"/>
      <c r="J38" s="692"/>
      <c r="K38" s="692"/>
    </row>
    <row r="39" spans="1:12" ht="15.75" customHeight="1" x14ac:dyDescent="0.25">
      <c r="A39" s="728">
        <f t="shared" si="1"/>
        <v>87.804878048780495</v>
      </c>
      <c r="B39" s="87" t="s">
        <v>3805</v>
      </c>
      <c r="C39" s="662" t="s">
        <v>3038</v>
      </c>
      <c r="D39" s="563">
        <v>18000</v>
      </c>
      <c r="E39" s="573">
        <v>205</v>
      </c>
      <c r="F39" s="563">
        <f t="shared" si="2"/>
        <v>18000</v>
      </c>
      <c r="G39" s="87">
        <f t="shared" si="0"/>
        <v>0</v>
      </c>
      <c r="H39" s="689"/>
      <c r="I39" s="693"/>
      <c r="J39" s="692"/>
      <c r="K39" s="692"/>
    </row>
    <row r="40" spans="1:12" ht="15.75" customHeight="1" x14ac:dyDescent="0.25">
      <c r="A40" s="728">
        <f t="shared" si="1"/>
        <v>88.235294117647058</v>
      </c>
      <c r="B40" s="87" t="s">
        <v>3805</v>
      </c>
      <c r="C40" s="662" t="s">
        <v>3824</v>
      </c>
      <c r="D40" s="563">
        <v>9000</v>
      </c>
      <c r="E40" s="573">
        <v>102</v>
      </c>
      <c r="F40" s="563">
        <f t="shared" si="2"/>
        <v>9000</v>
      </c>
      <c r="G40" s="87">
        <f t="shared" si="0"/>
        <v>0</v>
      </c>
      <c r="H40" s="689"/>
      <c r="I40" s="693"/>
      <c r="J40" s="692"/>
      <c r="K40" s="692"/>
    </row>
    <row r="41" spans="1:12" ht="15.75" customHeight="1" x14ac:dyDescent="0.25">
      <c r="A41" s="728">
        <f t="shared" si="1"/>
        <v>96.153846153846146</v>
      </c>
      <c r="B41" s="87" t="s">
        <v>3805</v>
      </c>
      <c r="C41" s="514" t="s">
        <v>66</v>
      </c>
      <c r="D41" s="563">
        <v>150</v>
      </c>
      <c r="E41" s="573">
        <v>1.56</v>
      </c>
      <c r="F41" s="563">
        <f t="shared" si="2"/>
        <v>150</v>
      </c>
      <c r="G41" s="87">
        <f t="shared" si="0"/>
        <v>0</v>
      </c>
      <c r="H41" s="689"/>
      <c r="I41" s="693"/>
      <c r="J41" s="692"/>
      <c r="K41" s="692"/>
    </row>
    <row r="42" spans="1:12" ht="15.75" customHeight="1" x14ac:dyDescent="0.25">
      <c r="A42" s="728">
        <f t="shared" si="1"/>
        <v>97.222222222222214</v>
      </c>
      <c r="B42" s="87" t="s">
        <v>3805</v>
      </c>
      <c r="C42" s="514" t="s">
        <v>66</v>
      </c>
      <c r="D42" s="563">
        <v>210</v>
      </c>
      <c r="E42" s="573">
        <v>2.16</v>
      </c>
      <c r="F42" s="563">
        <f t="shared" si="2"/>
        <v>210</v>
      </c>
      <c r="G42" s="87">
        <f t="shared" si="0"/>
        <v>0</v>
      </c>
      <c r="H42" s="689"/>
      <c r="I42" s="693"/>
      <c r="J42" s="692"/>
      <c r="K42" s="692"/>
    </row>
    <row r="43" spans="1:12" ht="15.75" customHeight="1" x14ac:dyDescent="0.25">
      <c r="A43" s="728">
        <f t="shared" si="1"/>
        <v>97.222222222222214</v>
      </c>
      <c r="B43" s="87" t="s">
        <v>3805</v>
      </c>
      <c r="C43" s="514" t="s">
        <v>66</v>
      </c>
      <c r="D43" s="563">
        <v>210</v>
      </c>
      <c r="E43" s="573">
        <v>2.16</v>
      </c>
      <c r="F43" s="563">
        <f t="shared" si="2"/>
        <v>210</v>
      </c>
      <c r="G43" s="87">
        <f t="shared" si="0"/>
        <v>0</v>
      </c>
      <c r="H43" s="689"/>
      <c r="I43" s="693"/>
      <c r="J43" s="692"/>
      <c r="K43" s="692"/>
    </row>
    <row r="44" spans="1:12" ht="15.75" customHeight="1" x14ac:dyDescent="0.25">
      <c r="A44" s="728">
        <f t="shared" si="1"/>
        <v>87.985865724381625</v>
      </c>
      <c r="B44" s="87" t="s">
        <v>3805</v>
      </c>
      <c r="C44" s="514" t="s">
        <v>3825</v>
      </c>
      <c r="D44" s="563">
        <v>24900</v>
      </c>
      <c r="E44" s="573">
        <v>283</v>
      </c>
      <c r="F44" s="563">
        <f t="shared" si="2"/>
        <v>24900</v>
      </c>
      <c r="G44" s="87">
        <f t="shared" si="0"/>
        <v>0</v>
      </c>
      <c r="H44" s="689"/>
      <c r="I44" s="693"/>
      <c r="J44" s="692"/>
      <c r="K44" s="692"/>
    </row>
    <row r="45" spans="1:12" ht="15.75" customHeight="1" x14ac:dyDescent="0.25">
      <c r="A45" s="728">
        <f t="shared" si="1"/>
        <v>87.912087912087912</v>
      </c>
      <c r="B45" s="87" t="s">
        <v>3805</v>
      </c>
      <c r="C45" s="662" t="s">
        <v>30</v>
      </c>
      <c r="D45" s="563">
        <v>8000</v>
      </c>
      <c r="E45" s="573">
        <v>91</v>
      </c>
      <c r="F45" s="563">
        <f t="shared" si="2"/>
        <v>8000</v>
      </c>
      <c r="G45" s="87">
        <f t="shared" si="0"/>
        <v>0</v>
      </c>
      <c r="H45" s="689"/>
      <c r="I45" s="693"/>
      <c r="J45" s="692"/>
      <c r="K45" s="692"/>
    </row>
    <row r="46" spans="1:12" ht="15.75" customHeight="1" x14ac:dyDescent="0.25">
      <c r="A46" s="728">
        <f t="shared" si="1"/>
        <v>88.235294117647058</v>
      </c>
      <c r="B46" s="87" t="s">
        <v>3805</v>
      </c>
      <c r="C46" s="662" t="s">
        <v>3826</v>
      </c>
      <c r="D46" s="563">
        <v>12000</v>
      </c>
      <c r="E46" s="573">
        <v>136</v>
      </c>
      <c r="F46" s="563">
        <f t="shared" si="2"/>
        <v>12000</v>
      </c>
      <c r="G46" s="87">
        <f t="shared" si="0"/>
        <v>0</v>
      </c>
      <c r="H46" s="689"/>
      <c r="I46" s="693"/>
      <c r="J46" s="692"/>
      <c r="K46" s="692"/>
    </row>
    <row r="47" spans="1:12" ht="15.75" customHeight="1" x14ac:dyDescent="0.25">
      <c r="A47" s="728">
        <f t="shared" si="1"/>
        <v>93.61702127659575</v>
      </c>
      <c r="B47" s="87" t="s">
        <v>3805</v>
      </c>
      <c r="C47" s="662" t="s">
        <v>3361</v>
      </c>
      <c r="D47" s="563">
        <v>22000</v>
      </c>
      <c r="E47" s="573">
        <v>235</v>
      </c>
      <c r="F47" s="563">
        <f t="shared" si="2"/>
        <v>22000</v>
      </c>
      <c r="G47" s="87">
        <f t="shared" si="0"/>
        <v>0</v>
      </c>
      <c r="H47" s="689"/>
      <c r="I47" s="693"/>
      <c r="J47" s="692"/>
      <c r="K47" s="692"/>
    </row>
    <row r="48" spans="1:12" ht="15.75" customHeight="1" x14ac:dyDescent="0.25">
      <c r="A48" s="728">
        <f t="shared" si="1"/>
        <v>91.228070175438603</v>
      </c>
      <c r="B48" s="87" t="s">
        <v>3805</v>
      </c>
      <c r="C48" s="662" t="s">
        <v>3016</v>
      </c>
      <c r="D48" s="563">
        <v>26000</v>
      </c>
      <c r="E48" s="573">
        <v>285</v>
      </c>
      <c r="F48" s="563">
        <f t="shared" si="2"/>
        <v>26000</v>
      </c>
      <c r="G48" s="87">
        <f t="shared" si="0"/>
        <v>0</v>
      </c>
      <c r="H48" s="689"/>
      <c r="I48" s="693"/>
      <c r="J48" s="692"/>
      <c r="K48" s="692"/>
    </row>
    <row r="49" spans="1:11" ht="15.75" x14ac:dyDescent="0.25">
      <c r="A49" s="728">
        <f t="shared" si="1"/>
        <v>87.912087912087912</v>
      </c>
      <c r="B49" s="87" t="s">
        <v>3805</v>
      </c>
      <c r="C49" s="662" t="s">
        <v>2620</v>
      </c>
      <c r="D49" s="563">
        <v>24000</v>
      </c>
      <c r="E49" s="573">
        <v>273</v>
      </c>
      <c r="F49" s="563">
        <f t="shared" si="2"/>
        <v>24000</v>
      </c>
      <c r="G49" s="87">
        <f t="shared" si="0"/>
        <v>0</v>
      </c>
      <c r="H49" s="689"/>
      <c r="I49" s="693"/>
      <c r="J49" s="692"/>
      <c r="K49" s="692"/>
    </row>
    <row r="50" spans="1:11" ht="15.75" x14ac:dyDescent="0.25">
      <c r="A50" s="728">
        <f t="shared" si="1"/>
        <v>90.604026845637577</v>
      </c>
      <c r="B50" s="87" t="s">
        <v>3805</v>
      </c>
      <c r="C50" s="662" t="s">
        <v>2525</v>
      </c>
      <c r="D50" s="563">
        <v>27000</v>
      </c>
      <c r="E50" s="573">
        <v>298</v>
      </c>
      <c r="F50" s="563">
        <f t="shared" si="2"/>
        <v>27000</v>
      </c>
      <c r="G50" s="87">
        <f t="shared" si="0"/>
        <v>0</v>
      </c>
      <c r="H50" s="689"/>
      <c r="I50" s="693"/>
      <c r="J50" s="692"/>
      <c r="K50" s="692"/>
    </row>
    <row r="51" spans="1:11" ht="15.75" x14ac:dyDescent="0.25">
      <c r="A51" s="728">
        <f t="shared" si="1"/>
        <v>87.837837837837839</v>
      </c>
      <c r="B51" s="87" t="s">
        <v>3805</v>
      </c>
      <c r="C51" s="662" t="s">
        <v>3557</v>
      </c>
      <c r="D51" s="563">
        <v>26000</v>
      </c>
      <c r="E51" s="573">
        <v>296</v>
      </c>
      <c r="F51" s="563">
        <f t="shared" si="2"/>
        <v>26000</v>
      </c>
      <c r="G51" s="87">
        <f t="shared" si="0"/>
        <v>0</v>
      </c>
      <c r="H51" s="689"/>
      <c r="I51" s="693"/>
      <c r="J51" s="692"/>
      <c r="K51" s="692"/>
    </row>
    <row r="52" spans="1:11" ht="15.75" x14ac:dyDescent="0.25">
      <c r="A52" s="728">
        <f t="shared" si="1"/>
        <v>88.028169014084511</v>
      </c>
      <c r="B52" s="87" t="s">
        <v>3805</v>
      </c>
      <c r="C52" s="662" t="s">
        <v>3827</v>
      </c>
      <c r="D52" s="563">
        <v>25000</v>
      </c>
      <c r="E52" s="573">
        <v>284</v>
      </c>
      <c r="F52" s="563">
        <f t="shared" si="2"/>
        <v>25000</v>
      </c>
      <c r="G52" s="87">
        <f t="shared" si="0"/>
        <v>0</v>
      </c>
      <c r="H52" s="689"/>
      <c r="I52" s="693"/>
      <c r="J52" s="692"/>
      <c r="K52" s="692"/>
    </row>
    <row r="53" spans="1:11" ht="15.75" x14ac:dyDescent="0.25">
      <c r="A53" s="728">
        <f t="shared" si="1"/>
        <v>91.503267973856211</v>
      </c>
      <c r="B53" s="87" t="s">
        <v>3805</v>
      </c>
      <c r="C53" s="662" t="s">
        <v>3828</v>
      </c>
      <c r="D53" s="563">
        <v>14000</v>
      </c>
      <c r="E53" s="573">
        <v>153</v>
      </c>
      <c r="F53" s="563">
        <f t="shared" si="2"/>
        <v>14000</v>
      </c>
      <c r="G53" s="87">
        <f t="shared" si="0"/>
        <v>0</v>
      </c>
      <c r="H53" s="689"/>
      <c r="I53" s="693"/>
      <c r="J53" s="692"/>
      <c r="K53" s="692"/>
    </row>
    <row r="54" spans="1:11" ht="15.75" x14ac:dyDescent="0.25">
      <c r="A54" s="728" t="e">
        <f t="shared" si="1"/>
        <v>#DIV/0!</v>
      </c>
      <c r="B54" s="87" t="s">
        <v>3830</v>
      </c>
      <c r="C54" s="754"/>
      <c r="D54" s="563"/>
      <c r="E54" s="573"/>
      <c r="F54" s="563">
        <f t="shared" si="2"/>
        <v>0</v>
      </c>
      <c r="G54" s="87">
        <f t="shared" si="0"/>
        <v>0</v>
      </c>
      <c r="H54" s="689"/>
      <c r="I54" s="693"/>
      <c r="J54" s="692"/>
      <c r="K54" s="692"/>
    </row>
    <row r="55" spans="1:11" ht="15.75" x14ac:dyDescent="0.25">
      <c r="A55" s="728" t="e">
        <f t="shared" si="1"/>
        <v>#DIV/0!</v>
      </c>
      <c r="B55" s="87" t="s">
        <v>3830</v>
      </c>
      <c r="C55" s="754"/>
      <c r="D55" s="563"/>
      <c r="E55" s="573"/>
      <c r="F55" s="563">
        <f t="shared" si="2"/>
        <v>0</v>
      </c>
      <c r="G55" s="87">
        <f t="shared" si="0"/>
        <v>0</v>
      </c>
      <c r="H55" s="689"/>
      <c r="I55" s="693"/>
      <c r="J55" s="692"/>
      <c r="K55" s="692"/>
    </row>
    <row r="56" spans="1:11" ht="15.75" x14ac:dyDescent="0.25">
      <c r="A56" s="728" t="e">
        <f t="shared" si="1"/>
        <v>#DIV/0!</v>
      </c>
      <c r="B56" s="87" t="s">
        <v>3830</v>
      </c>
      <c r="C56" s="754"/>
      <c r="D56" s="563"/>
      <c r="E56" s="573"/>
      <c r="F56" s="563">
        <f t="shared" si="2"/>
        <v>0</v>
      </c>
      <c r="G56" s="87">
        <f t="shared" si="0"/>
        <v>0</v>
      </c>
      <c r="H56" s="689"/>
      <c r="I56" s="693"/>
      <c r="J56" s="692"/>
      <c r="K56" s="692"/>
    </row>
    <row r="57" spans="1:11" ht="15.75" x14ac:dyDescent="0.25">
      <c r="A57" s="728" t="e">
        <f t="shared" si="1"/>
        <v>#DIV/0!</v>
      </c>
      <c r="B57" s="87" t="s">
        <v>3830</v>
      </c>
      <c r="C57" s="754"/>
      <c r="D57" s="563"/>
      <c r="E57" s="573"/>
      <c r="F57" s="563">
        <f t="shared" si="2"/>
        <v>0</v>
      </c>
      <c r="G57" s="87">
        <f t="shared" si="0"/>
        <v>0</v>
      </c>
      <c r="H57" s="689"/>
      <c r="I57" s="693"/>
      <c r="J57" s="692"/>
      <c r="K57" s="692"/>
    </row>
    <row r="58" spans="1:11" ht="15" x14ac:dyDescent="0.25">
      <c r="A58" s="728" t="e">
        <f t="shared" si="1"/>
        <v>#DIV/0!</v>
      </c>
      <c r="B58" s="87" t="s">
        <v>3830</v>
      </c>
      <c r="C58" s="754"/>
      <c r="D58" s="563"/>
      <c r="E58" s="573"/>
      <c r="F58" s="563">
        <f t="shared" si="2"/>
        <v>0</v>
      </c>
      <c r="G58" s="87">
        <f t="shared" si="0"/>
        <v>0</v>
      </c>
      <c r="H58" s="690"/>
      <c r="I58" s="693"/>
      <c r="J58" s="692"/>
      <c r="K58" s="692"/>
    </row>
    <row r="59" spans="1:11" ht="15" x14ac:dyDescent="0.25">
      <c r="A59" s="728" t="e">
        <f t="shared" si="1"/>
        <v>#DIV/0!</v>
      </c>
      <c r="B59" s="87" t="s">
        <v>3830</v>
      </c>
      <c r="C59" s="754"/>
      <c r="D59" s="563"/>
      <c r="E59" s="573"/>
      <c r="F59" s="563">
        <f t="shared" si="2"/>
        <v>0</v>
      </c>
      <c r="G59" s="87">
        <f t="shared" si="0"/>
        <v>0</v>
      </c>
      <c r="H59" s="690"/>
      <c r="I59" s="693"/>
      <c r="J59" s="692"/>
      <c r="K59" s="692"/>
    </row>
    <row r="60" spans="1:11" ht="15" x14ac:dyDescent="0.25">
      <c r="A60" s="728" t="e">
        <f t="shared" si="1"/>
        <v>#DIV/0!</v>
      </c>
      <c r="B60" s="87" t="s">
        <v>3830</v>
      </c>
      <c r="C60" s="754"/>
      <c r="D60" s="563"/>
      <c r="E60" s="573"/>
      <c r="F60" s="563">
        <f t="shared" si="2"/>
        <v>0</v>
      </c>
      <c r="G60" s="87">
        <f t="shared" si="0"/>
        <v>0</v>
      </c>
      <c r="H60" s="690"/>
      <c r="I60" s="693"/>
      <c r="J60" s="692"/>
      <c r="K60" s="692"/>
    </row>
    <row r="61" spans="1:11" ht="15" x14ac:dyDescent="0.25">
      <c r="A61" s="728" t="e">
        <f t="shared" si="1"/>
        <v>#DIV/0!</v>
      </c>
      <c r="B61" s="87" t="s">
        <v>3830</v>
      </c>
      <c r="C61" s="755"/>
      <c r="D61" s="563"/>
      <c r="E61" s="573"/>
      <c r="F61" s="563">
        <f t="shared" si="2"/>
        <v>0</v>
      </c>
      <c r="G61" s="87">
        <f t="shared" si="0"/>
        <v>0</v>
      </c>
      <c r="H61" s="690"/>
      <c r="I61" s="693"/>
      <c r="J61" s="692"/>
      <c r="K61" s="692"/>
    </row>
    <row r="62" spans="1:11" ht="15" x14ac:dyDescent="0.25">
      <c r="A62" s="728" t="e">
        <f t="shared" si="1"/>
        <v>#DIV/0!</v>
      </c>
      <c r="B62" s="87" t="s">
        <v>3830</v>
      </c>
      <c r="C62" s="754"/>
      <c r="D62" s="563"/>
      <c r="E62" s="573"/>
      <c r="F62" s="563">
        <f t="shared" si="2"/>
        <v>0</v>
      </c>
      <c r="G62" s="87">
        <f t="shared" si="0"/>
        <v>0</v>
      </c>
      <c r="H62" s="690"/>
      <c r="I62" s="693"/>
      <c r="J62" s="692"/>
      <c r="K62" s="692"/>
    </row>
    <row r="63" spans="1:11" ht="15" x14ac:dyDescent="0.25">
      <c r="A63" s="728" t="e">
        <f t="shared" si="1"/>
        <v>#DIV/0!</v>
      </c>
      <c r="B63" s="87" t="s">
        <v>3830</v>
      </c>
      <c r="C63" s="754"/>
      <c r="D63" s="563"/>
      <c r="E63" s="573"/>
      <c r="F63" s="563">
        <f t="shared" si="2"/>
        <v>0</v>
      </c>
      <c r="G63" s="87">
        <f t="shared" si="0"/>
        <v>0</v>
      </c>
      <c r="H63" s="690"/>
      <c r="I63" s="693"/>
      <c r="J63" s="692"/>
      <c r="K63" s="692"/>
    </row>
    <row r="64" spans="1:11" ht="15" x14ac:dyDescent="0.25">
      <c r="A64" s="728" t="e">
        <f t="shared" si="1"/>
        <v>#DIV/0!</v>
      </c>
      <c r="B64" s="87" t="s">
        <v>3830</v>
      </c>
      <c r="C64" s="754"/>
      <c r="D64" s="563"/>
      <c r="E64" s="573"/>
      <c r="F64" s="563">
        <f t="shared" si="2"/>
        <v>0</v>
      </c>
      <c r="G64" s="87">
        <f t="shared" si="0"/>
        <v>0</v>
      </c>
      <c r="H64" s="690"/>
      <c r="I64" s="693"/>
      <c r="J64" s="692"/>
      <c r="K64" s="692"/>
    </row>
    <row r="65" spans="1:11" ht="15" x14ac:dyDescent="0.25">
      <c r="A65" s="728" t="e">
        <f t="shared" si="1"/>
        <v>#DIV/0!</v>
      </c>
      <c r="B65" s="87" t="s">
        <v>3830</v>
      </c>
      <c r="C65" s="754"/>
      <c r="D65" s="563"/>
      <c r="E65" s="573"/>
      <c r="F65" s="563">
        <f t="shared" si="2"/>
        <v>0</v>
      </c>
      <c r="G65" s="87">
        <f t="shared" si="0"/>
        <v>0</v>
      </c>
      <c r="H65" s="690"/>
      <c r="I65" s="693"/>
      <c r="J65" s="692"/>
      <c r="K65" s="692"/>
    </row>
    <row r="66" spans="1:11" ht="15" x14ac:dyDescent="0.25">
      <c r="A66" s="728" t="e">
        <f t="shared" si="1"/>
        <v>#DIV/0!</v>
      </c>
      <c r="B66" s="87" t="s">
        <v>3830</v>
      </c>
      <c r="C66" s="754"/>
      <c r="D66" s="563"/>
      <c r="E66" s="573"/>
      <c r="F66" s="563">
        <f t="shared" si="2"/>
        <v>0</v>
      </c>
      <c r="G66" s="87">
        <f t="shared" si="0"/>
        <v>0</v>
      </c>
      <c r="H66" s="690"/>
      <c r="I66" s="693"/>
      <c r="J66" s="692"/>
      <c r="K66" s="692"/>
    </row>
    <row r="67" spans="1:11" ht="15" x14ac:dyDescent="0.25">
      <c r="A67" s="728" t="e">
        <f t="shared" si="1"/>
        <v>#DIV/0!</v>
      </c>
      <c r="B67" s="87" t="s">
        <v>3830</v>
      </c>
      <c r="C67" s="754"/>
      <c r="D67" s="563"/>
      <c r="E67" s="573"/>
      <c r="F67" s="563">
        <f t="shared" si="2"/>
        <v>0</v>
      </c>
      <c r="G67" s="87">
        <f t="shared" si="0"/>
        <v>0</v>
      </c>
      <c r="H67" s="690"/>
      <c r="I67" s="693"/>
      <c r="J67" s="692"/>
      <c r="K67" s="692"/>
    </row>
    <row r="68" spans="1:11" ht="15" x14ac:dyDescent="0.25">
      <c r="A68" s="728" t="e">
        <f t="shared" si="1"/>
        <v>#DIV/0!</v>
      </c>
      <c r="B68" s="87" t="s">
        <v>3830</v>
      </c>
      <c r="C68" s="754"/>
      <c r="D68" s="563"/>
      <c r="E68" s="573"/>
      <c r="F68" s="563">
        <f t="shared" si="2"/>
        <v>0</v>
      </c>
      <c r="G68" s="87">
        <f t="shared" si="0"/>
        <v>0</v>
      </c>
      <c r="H68" s="690"/>
      <c r="I68" s="693"/>
      <c r="J68" s="692"/>
      <c r="K68" s="692"/>
    </row>
    <row r="69" spans="1:11" ht="15" x14ac:dyDescent="0.25">
      <c r="A69" s="728" t="e">
        <f t="shared" si="1"/>
        <v>#DIV/0!</v>
      </c>
      <c r="B69" s="87" t="s">
        <v>3830</v>
      </c>
      <c r="C69" s="754"/>
      <c r="D69" s="563"/>
      <c r="E69" s="573"/>
      <c r="F69" s="563">
        <f t="shared" si="2"/>
        <v>0</v>
      </c>
      <c r="G69" s="87">
        <f t="shared" ref="G69:G134" si="3">D69-F69</f>
        <v>0</v>
      </c>
      <c r="H69" s="690"/>
      <c r="I69" s="693"/>
      <c r="J69" s="692"/>
      <c r="K69" s="692"/>
    </row>
    <row r="70" spans="1:11" ht="15" x14ac:dyDescent="0.25">
      <c r="A70" s="728" t="e">
        <f t="shared" ref="A70:A133" si="4">D70/E70</f>
        <v>#DIV/0!</v>
      </c>
      <c r="B70" s="87"/>
      <c r="C70" s="754"/>
      <c r="D70" s="563"/>
      <c r="E70" s="573"/>
      <c r="F70" s="563">
        <f t="shared" ref="F70:F133" si="5">D70</f>
        <v>0</v>
      </c>
      <c r="G70" s="87">
        <f t="shared" si="3"/>
        <v>0</v>
      </c>
      <c r="H70" s="690"/>
      <c r="I70" s="693"/>
      <c r="J70" s="692"/>
      <c r="K70" s="692"/>
    </row>
    <row r="71" spans="1:11" ht="15" x14ac:dyDescent="0.25">
      <c r="A71" s="728" t="e">
        <f t="shared" si="4"/>
        <v>#DIV/0!</v>
      </c>
      <c r="B71" s="87"/>
      <c r="C71" s="754"/>
      <c r="D71" s="563"/>
      <c r="E71" s="573"/>
      <c r="F71" s="563">
        <f t="shared" si="5"/>
        <v>0</v>
      </c>
      <c r="G71" s="87">
        <f t="shared" si="3"/>
        <v>0</v>
      </c>
      <c r="H71" s="690"/>
      <c r="I71" s="693"/>
      <c r="J71" s="692"/>
      <c r="K71" s="692"/>
    </row>
    <row r="72" spans="1:11" ht="15" x14ac:dyDescent="0.25">
      <c r="A72" s="728" t="e">
        <f t="shared" si="4"/>
        <v>#DIV/0!</v>
      </c>
      <c r="B72" s="87"/>
      <c r="C72" s="754"/>
      <c r="D72" s="563"/>
      <c r="E72" s="573"/>
      <c r="F72" s="563">
        <f t="shared" si="5"/>
        <v>0</v>
      </c>
      <c r="G72" s="87">
        <f t="shared" si="3"/>
        <v>0</v>
      </c>
      <c r="H72" s="690"/>
      <c r="I72" s="693"/>
      <c r="J72" s="692"/>
      <c r="K72" s="692"/>
    </row>
    <row r="73" spans="1:11" ht="15" x14ac:dyDescent="0.25">
      <c r="A73" s="728" t="e">
        <f t="shared" si="4"/>
        <v>#DIV/0!</v>
      </c>
      <c r="B73" s="87"/>
      <c r="C73" s="754"/>
      <c r="D73" s="563"/>
      <c r="E73" s="573"/>
      <c r="F73" s="563">
        <f t="shared" si="5"/>
        <v>0</v>
      </c>
      <c r="G73" s="87">
        <f t="shared" si="3"/>
        <v>0</v>
      </c>
      <c r="H73" s="690"/>
      <c r="I73" s="693"/>
      <c r="J73" s="692"/>
      <c r="K73" s="692"/>
    </row>
    <row r="74" spans="1:11" ht="15" x14ac:dyDescent="0.25">
      <c r="A74" s="728" t="e">
        <f t="shared" si="4"/>
        <v>#DIV/0!</v>
      </c>
      <c r="B74" s="87"/>
      <c r="C74" s="754"/>
      <c r="D74" s="563"/>
      <c r="E74" s="573"/>
      <c r="F74" s="563">
        <f t="shared" si="5"/>
        <v>0</v>
      </c>
      <c r="G74" s="87">
        <f t="shared" si="3"/>
        <v>0</v>
      </c>
      <c r="H74" s="690"/>
      <c r="I74" s="693"/>
      <c r="J74" s="692"/>
      <c r="K74" s="692"/>
    </row>
    <row r="75" spans="1:11" ht="15" x14ac:dyDescent="0.25">
      <c r="A75" s="728" t="e">
        <f t="shared" si="4"/>
        <v>#DIV/0!</v>
      </c>
      <c r="B75" s="87"/>
      <c r="C75" s="754"/>
      <c r="D75" s="563"/>
      <c r="E75" s="573"/>
      <c r="F75" s="563">
        <f t="shared" si="5"/>
        <v>0</v>
      </c>
      <c r="G75" s="87">
        <f t="shared" si="3"/>
        <v>0</v>
      </c>
      <c r="H75" s="690"/>
      <c r="I75" s="693"/>
      <c r="J75" s="692"/>
      <c r="K75" s="692"/>
    </row>
    <row r="76" spans="1:11" ht="15" x14ac:dyDescent="0.25">
      <c r="A76" s="728" t="e">
        <f t="shared" si="4"/>
        <v>#DIV/0!</v>
      </c>
      <c r="B76" s="87"/>
      <c r="C76" s="754"/>
      <c r="D76" s="563"/>
      <c r="E76" s="573"/>
      <c r="F76" s="563">
        <f t="shared" si="5"/>
        <v>0</v>
      </c>
      <c r="G76" s="87">
        <f t="shared" si="3"/>
        <v>0</v>
      </c>
      <c r="H76" s="690"/>
      <c r="I76" s="693"/>
      <c r="J76" s="692"/>
      <c r="K76" s="692"/>
    </row>
    <row r="77" spans="1:11" ht="15" x14ac:dyDescent="0.25">
      <c r="A77" s="728" t="e">
        <f t="shared" si="4"/>
        <v>#DIV/0!</v>
      </c>
      <c r="B77" s="87"/>
      <c r="C77" s="754"/>
      <c r="D77" s="563"/>
      <c r="E77" s="573"/>
      <c r="F77" s="563">
        <f t="shared" si="5"/>
        <v>0</v>
      </c>
      <c r="G77" s="87">
        <f t="shared" si="3"/>
        <v>0</v>
      </c>
      <c r="H77" s="690"/>
      <c r="I77" s="693"/>
      <c r="J77" s="692"/>
      <c r="K77" s="692"/>
    </row>
    <row r="78" spans="1:11" ht="15" x14ac:dyDescent="0.25">
      <c r="A78" s="728" t="e">
        <f t="shared" si="4"/>
        <v>#DIV/0!</v>
      </c>
      <c r="B78" s="87"/>
      <c r="C78" s="754"/>
      <c r="D78" s="563"/>
      <c r="E78" s="573"/>
      <c r="F78" s="563">
        <f t="shared" si="5"/>
        <v>0</v>
      </c>
      <c r="G78" s="87">
        <f t="shared" si="3"/>
        <v>0</v>
      </c>
      <c r="H78" s="690"/>
      <c r="I78" s="693"/>
      <c r="J78" s="692"/>
      <c r="K78" s="692"/>
    </row>
    <row r="79" spans="1:11" ht="15" x14ac:dyDescent="0.25">
      <c r="A79" s="728" t="e">
        <f t="shared" si="4"/>
        <v>#DIV/0!</v>
      </c>
      <c r="B79" s="87"/>
      <c r="C79" s="754"/>
      <c r="D79" s="563"/>
      <c r="E79" s="573"/>
      <c r="F79" s="563">
        <f t="shared" si="5"/>
        <v>0</v>
      </c>
      <c r="G79" s="87">
        <f t="shared" si="3"/>
        <v>0</v>
      </c>
      <c r="H79" s="690"/>
      <c r="I79" s="693"/>
      <c r="J79" s="692"/>
      <c r="K79" s="692"/>
    </row>
    <row r="80" spans="1:11" ht="15" x14ac:dyDescent="0.25">
      <c r="A80" s="728" t="e">
        <f t="shared" si="4"/>
        <v>#DIV/0!</v>
      </c>
      <c r="B80" s="87"/>
      <c r="C80" s="754"/>
      <c r="D80" s="563"/>
      <c r="E80" s="573"/>
      <c r="F80" s="563">
        <f t="shared" si="5"/>
        <v>0</v>
      </c>
      <c r="G80" s="87">
        <f t="shared" si="3"/>
        <v>0</v>
      </c>
      <c r="H80" s="690"/>
      <c r="I80" s="693"/>
      <c r="J80" s="692"/>
      <c r="K80" s="692"/>
    </row>
    <row r="81" spans="1:11" ht="15" x14ac:dyDescent="0.25">
      <c r="A81" s="728" t="e">
        <f t="shared" si="4"/>
        <v>#DIV/0!</v>
      </c>
      <c r="B81" s="87"/>
      <c r="C81" s="754"/>
      <c r="D81" s="563"/>
      <c r="E81" s="573"/>
      <c r="F81" s="563">
        <f t="shared" si="5"/>
        <v>0</v>
      </c>
      <c r="G81" s="87">
        <f t="shared" si="3"/>
        <v>0</v>
      </c>
      <c r="H81" s="690"/>
      <c r="I81" s="693"/>
      <c r="J81" s="692"/>
      <c r="K81" s="692"/>
    </row>
    <row r="82" spans="1:11" ht="15" x14ac:dyDescent="0.25">
      <c r="A82" s="728" t="e">
        <f t="shared" si="4"/>
        <v>#DIV/0!</v>
      </c>
      <c r="B82" s="87"/>
      <c r="C82" s="756"/>
      <c r="D82" s="563"/>
      <c r="E82" s="573"/>
      <c r="F82" s="563">
        <f t="shared" si="5"/>
        <v>0</v>
      </c>
      <c r="G82" s="87">
        <f t="shared" si="3"/>
        <v>0</v>
      </c>
      <c r="H82" s="690"/>
      <c r="I82" s="693"/>
      <c r="J82" s="692"/>
      <c r="K82" s="692"/>
    </row>
    <row r="83" spans="1:11" ht="15" x14ac:dyDescent="0.25">
      <c r="A83" s="728" t="e">
        <f t="shared" si="4"/>
        <v>#DIV/0!</v>
      </c>
      <c r="B83" s="87"/>
      <c r="C83" s="754"/>
      <c r="D83" s="563"/>
      <c r="E83" s="573"/>
      <c r="F83" s="563">
        <f t="shared" si="5"/>
        <v>0</v>
      </c>
      <c r="G83" s="87">
        <f t="shared" si="3"/>
        <v>0</v>
      </c>
      <c r="H83" s="690"/>
      <c r="I83" s="693"/>
      <c r="J83" s="692"/>
      <c r="K83" s="692"/>
    </row>
    <row r="84" spans="1:11" ht="15" x14ac:dyDescent="0.25">
      <c r="A84" s="728" t="e">
        <f t="shared" si="4"/>
        <v>#DIV/0!</v>
      </c>
      <c r="B84" s="87"/>
      <c r="C84" s="754"/>
      <c r="D84" s="563"/>
      <c r="E84" s="573"/>
      <c r="F84" s="563">
        <f t="shared" si="5"/>
        <v>0</v>
      </c>
      <c r="G84" s="87">
        <f t="shared" si="3"/>
        <v>0</v>
      </c>
      <c r="H84" s="690"/>
      <c r="I84" s="693"/>
      <c r="J84" s="692"/>
      <c r="K84" s="692"/>
    </row>
    <row r="85" spans="1:11" ht="15" x14ac:dyDescent="0.25">
      <c r="A85" s="728" t="e">
        <f t="shared" si="4"/>
        <v>#DIV/0!</v>
      </c>
      <c r="B85" s="87"/>
      <c r="C85" s="754"/>
      <c r="D85" s="563"/>
      <c r="E85" s="573"/>
      <c r="F85" s="563">
        <f t="shared" si="5"/>
        <v>0</v>
      </c>
      <c r="G85" s="87">
        <f t="shared" si="3"/>
        <v>0</v>
      </c>
      <c r="H85" s="690"/>
      <c r="I85" s="693"/>
      <c r="J85" s="692"/>
      <c r="K85" s="692"/>
    </row>
    <row r="86" spans="1:11" ht="15" x14ac:dyDescent="0.25">
      <c r="A86" s="728" t="e">
        <f t="shared" si="4"/>
        <v>#DIV/0!</v>
      </c>
      <c r="B86" s="87"/>
      <c r="C86" s="754"/>
      <c r="D86" s="563"/>
      <c r="E86" s="573"/>
      <c r="F86" s="563">
        <f t="shared" si="5"/>
        <v>0</v>
      </c>
      <c r="G86" s="87">
        <f t="shared" si="3"/>
        <v>0</v>
      </c>
      <c r="H86" s="690"/>
      <c r="I86" s="693"/>
      <c r="J86" s="692"/>
      <c r="K86" s="692"/>
    </row>
    <row r="87" spans="1:11" ht="15" x14ac:dyDescent="0.25">
      <c r="A87" s="728" t="e">
        <f t="shared" si="4"/>
        <v>#DIV/0!</v>
      </c>
      <c r="B87" s="87"/>
      <c r="C87" s="754"/>
      <c r="D87" s="563"/>
      <c r="E87" s="573"/>
      <c r="F87" s="563">
        <f t="shared" si="5"/>
        <v>0</v>
      </c>
      <c r="G87" s="87">
        <f t="shared" si="3"/>
        <v>0</v>
      </c>
      <c r="H87" s="690"/>
      <c r="I87" s="693"/>
      <c r="J87" s="692"/>
      <c r="K87" s="692"/>
    </row>
    <row r="88" spans="1:11" ht="15" x14ac:dyDescent="0.25">
      <c r="A88" s="728" t="e">
        <f t="shared" si="4"/>
        <v>#DIV/0!</v>
      </c>
      <c r="B88" s="87"/>
      <c r="C88" s="754"/>
      <c r="D88" s="563"/>
      <c r="E88" s="573"/>
      <c r="F88" s="563">
        <f t="shared" si="5"/>
        <v>0</v>
      </c>
      <c r="G88" s="87">
        <f t="shared" si="3"/>
        <v>0</v>
      </c>
      <c r="H88" s="690"/>
      <c r="I88" s="693"/>
      <c r="J88" s="692"/>
      <c r="K88" s="692"/>
    </row>
    <row r="89" spans="1:11" ht="15" x14ac:dyDescent="0.25">
      <c r="A89" s="728" t="e">
        <f t="shared" si="4"/>
        <v>#DIV/0!</v>
      </c>
      <c r="B89" s="87"/>
      <c r="C89" s="754"/>
      <c r="D89" s="563"/>
      <c r="E89" s="573"/>
      <c r="F89" s="563">
        <f t="shared" si="5"/>
        <v>0</v>
      </c>
      <c r="G89" s="87">
        <f t="shared" si="3"/>
        <v>0</v>
      </c>
      <c r="H89" s="690"/>
      <c r="I89" s="693"/>
      <c r="J89" s="692"/>
      <c r="K89" s="692"/>
    </row>
    <row r="90" spans="1:11" ht="15" x14ac:dyDescent="0.25">
      <c r="A90" s="728" t="e">
        <f t="shared" si="4"/>
        <v>#DIV/0!</v>
      </c>
      <c r="B90" s="87"/>
      <c r="C90" s="754"/>
      <c r="D90" s="563"/>
      <c r="E90" s="573"/>
      <c r="F90" s="563">
        <f t="shared" si="5"/>
        <v>0</v>
      </c>
      <c r="G90" s="87">
        <f t="shared" si="3"/>
        <v>0</v>
      </c>
      <c r="H90" s="690"/>
      <c r="I90" s="693"/>
      <c r="J90" s="692"/>
      <c r="K90" s="692"/>
    </row>
    <row r="91" spans="1:11" ht="15" x14ac:dyDescent="0.25">
      <c r="A91" s="728" t="e">
        <f t="shared" si="4"/>
        <v>#DIV/0!</v>
      </c>
      <c r="B91" s="87"/>
      <c r="C91" s="754"/>
      <c r="D91" s="563"/>
      <c r="E91" s="573"/>
      <c r="F91" s="563">
        <f t="shared" si="5"/>
        <v>0</v>
      </c>
      <c r="G91" s="87">
        <f t="shared" si="3"/>
        <v>0</v>
      </c>
      <c r="H91" s="690"/>
      <c r="I91" s="693"/>
      <c r="J91" s="692"/>
      <c r="K91" s="692"/>
    </row>
    <row r="92" spans="1:11" ht="15" x14ac:dyDescent="0.25">
      <c r="A92" s="728" t="e">
        <f t="shared" si="4"/>
        <v>#DIV/0!</v>
      </c>
      <c r="B92" s="87"/>
      <c r="C92" s="754"/>
      <c r="D92" s="563"/>
      <c r="E92" s="573"/>
      <c r="F92" s="563">
        <f t="shared" si="5"/>
        <v>0</v>
      </c>
      <c r="G92" s="87">
        <f t="shared" si="3"/>
        <v>0</v>
      </c>
      <c r="H92" s="690"/>
      <c r="I92" s="693"/>
      <c r="J92" s="692"/>
      <c r="K92" s="692"/>
    </row>
    <row r="93" spans="1:11" ht="15" x14ac:dyDescent="0.25">
      <c r="A93" s="728" t="e">
        <f t="shared" si="4"/>
        <v>#DIV/0!</v>
      </c>
      <c r="B93" s="87"/>
      <c r="C93" s="740"/>
      <c r="D93" s="87"/>
      <c r="E93" s="87"/>
      <c r="F93" s="563">
        <f t="shared" si="5"/>
        <v>0</v>
      </c>
      <c r="G93" s="87">
        <f t="shared" si="3"/>
        <v>0</v>
      </c>
      <c r="H93" s="690"/>
      <c r="I93" s="693"/>
      <c r="J93" s="692"/>
      <c r="K93" s="692"/>
    </row>
    <row r="94" spans="1:11" ht="15" x14ac:dyDescent="0.25">
      <c r="A94" s="728" t="e">
        <f t="shared" si="4"/>
        <v>#DIV/0!</v>
      </c>
      <c r="B94" s="87"/>
      <c r="C94" s="740"/>
      <c r="D94" s="87"/>
      <c r="E94" s="87"/>
      <c r="F94" s="563">
        <f t="shared" si="5"/>
        <v>0</v>
      </c>
      <c r="G94" s="87">
        <f t="shared" si="3"/>
        <v>0</v>
      </c>
      <c r="H94" s="690"/>
      <c r="I94" s="693"/>
      <c r="J94" s="692"/>
      <c r="K94" s="692"/>
    </row>
    <row r="95" spans="1:11" ht="15" x14ac:dyDescent="0.25">
      <c r="A95" s="728" t="e">
        <f t="shared" si="4"/>
        <v>#DIV/0!</v>
      </c>
      <c r="B95" s="87"/>
      <c r="C95" s="740"/>
      <c r="D95" s="87"/>
      <c r="E95" s="87"/>
      <c r="F95" s="563">
        <f t="shared" si="5"/>
        <v>0</v>
      </c>
      <c r="G95" s="87">
        <f t="shared" si="3"/>
        <v>0</v>
      </c>
      <c r="H95" s="690"/>
      <c r="I95" s="693"/>
      <c r="J95" s="692"/>
      <c r="K95" s="692"/>
    </row>
    <row r="96" spans="1:11" ht="15" x14ac:dyDescent="0.25">
      <c r="A96" s="728" t="e">
        <f t="shared" si="4"/>
        <v>#DIV/0!</v>
      </c>
      <c r="B96" s="87"/>
      <c r="C96" s="740"/>
      <c r="D96" s="87"/>
      <c r="E96" s="87"/>
      <c r="F96" s="563">
        <f t="shared" si="5"/>
        <v>0</v>
      </c>
      <c r="G96" s="87">
        <f t="shared" si="3"/>
        <v>0</v>
      </c>
      <c r="H96" s="690"/>
      <c r="I96" s="693"/>
      <c r="J96" s="692"/>
      <c r="K96" s="692"/>
    </row>
    <row r="97" spans="1:11" ht="15" x14ac:dyDescent="0.25">
      <c r="A97" s="728" t="e">
        <f t="shared" si="4"/>
        <v>#DIV/0!</v>
      </c>
      <c r="B97" s="87"/>
      <c r="C97" s="740"/>
      <c r="D97" s="87"/>
      <c r="E97" s="87"/>
      <c r="F97" s="563">
        <f t="shared" si="5"/>
        <v>0</v>
      </c>
      <c r="G97" s="87">
        <f t="shared" si="3"/>
        <v>0</v>
      </c>
      <c r="H97" s="690"/>
      <c r="I97" s="693"/>
      <c r="J97" s="692"/>
      <c r="K97" s="692"/>
    </row>
    <row r="98" spans="1:11" ht="15" x14ac:dyDescent="0.25">
      <c r="A98" s="728" t="e">
        <f t="shared" si="4"/>
        <v>#DIV/0!</v>
      </c>
      <c r="B98" s="87"/>
      <c r="C98" s="740"/>
      <c r="D98" s="87"/>
      <c r="E98" s="87"/>
      <c r="F98" s="563">
        <f t="shared" si="5"/>
        <v>0</v>
      </c>
      <c r="G98" s="87">
        <f t="shared" si="3"/>
        <v>0</v>
      </c>
      <c r="H98" s="690"/>
      <c r="I98" s="693"/>
      <c r="J98" s="692"/>
      <c r="K98" s="692"/>
    </row>
    <row r="99" spans="1:11" ht="15" x14ac:dyDescent="0.25">
      <c r="A99" s="728" t="e">
        <f t="shared" si="4"/>
        <v>#DIV/0!</v>
      </c>
      <c r="B99" s="87"/>
      <c r="C99" s="740"/>
      <c r="D99" s="87"/>
      <c r="E99" s="87"/>
      <c r="F99" s="563">
        <f t="shared" si="5"/>
        <v>0</v>
      </c>
      <c r="G99" s="87">
        <f>D99-F99</f>
        <v>0</v>
      </c>
      <c r="H99" s="690"/>
      <c r="I99" s="693"/>
      <c r="J99" s="692"/>
      <c r="K99" s="692"/>
    </row>
    <row r="100" spans="1:11" ht="15" x14ac:dyDescent="0.25">
      <c r="A100" s="728" t="e">
        <f t="shared" si="4"/>
        <v>#DIV/0!</v>
      </c>
      <c r="B100" s="87"/>
      <c r="C100" s="740"/>
      <c r="D100" s="87"/>
      <c r="E100" s="87"/>
      <c r="F100" s="563">
        <f t="shared" si="5"/>
        <v>0</v>
      </c>
      <c r="G100" s="87">
        <f t="shared" si="3"/>
        <v>0</v>
      </c>
      <c r="H100" s="690"/>
      <c r="I100" s="693"/>
      <c r="J100" s="692"/>
      <c r="K100" s="692"/>
    </row>
    <row r="101" spans="1:11" ht="15" x14ac:dyDescent="0.25">
      <c r="A101" s="728" t="e">
        <f t="shared" si="4"/>
        <v>#DIV/0!</v>
      </c>
      <c r="B101" s="87"/>
      <c r="C101" s="740"/>
      <c r="D101" s="87"/>
      <c r="E101" s="87"/>
      <c r="F101" s="563">
        <f t="shared" si="5"/>
        <v>0</v>
      </c>
      <c r="G101" s="87">
        <f t="shared" si="3"/>
        <v>0</v>
      </c>
      <c r="H101" s="690"/>
      <c r="I101" s="693"/>
      <c r="J101" s="692"/>
      <c r="K101" s="692"/>
    </row>
    <row r="102" spans="1:11" ht="15" x14ac:dyDescent="0.25">
      <c r="A102" s="728" t="e">
        <f t="shared" si="4"/>
        <v>#DIV/0!</v>
      </c>
      <c r="B102" s="87"/>
      <c r="C102" s="740"/>
      <c r="D102" s="87"/>
      <c r="E102" s="87"/>
      <c r="F102" s="563">
        <f t="shared" si="5"/>
        <v>0</v>
      </c>
      <c r="G102" s="87">
        <f t="shared" si="3"/>
        <v>0</v>
      </c>
      <c r="H102" s="690"/>
      <c r="I102" s="693"/>
      <c r="J102" s="692"/>
      <c r="K102" s="692"/>
    </row>
    <row r="103" spans="1:11" ht="15" x14ac:dyDescent="0.25">
      <c r="A103" s="728" t="e">
        <f t="shared" si="4"/>
        <v>#DIV/0!</v>
      </c>
      <c r="B103" s="87"/>
      <c r="C103" s="740"/>
      <c r="D103" s="87"/>
      <c r="E103" s="87"/>
      <c r="F103" s="563">
        <f t="shared" si="5"/>
        <v>0</v>
      </c>
      <c r="G103" s="87">
        <f t="shared" si="3"/>
        <v>0</v>
      </c>
      <c r="H103" s="690"/>
      <c r="I103" s="693"/>
      <c r="J103" s="692"/>
      <c r="K103" s="692"/>
    </row>
    <row r="104" spans="1:11" ht="15" x14ac:dyDescent="0.25">
      <c r="A104" s="728" t="e">
        <f t="shared" si="4"/>
        <v>#DIV/0!</v>
      </c>
      <c r="B104" s="87"/>
      <c r="C104" s="740"/>
      <c r="D104" s="87"/>
      <c r="E104" s="87"/>
      <c r="F104" s="563">
        <f t="shared" si="5"/>
        <v>0</v>
      </c>
      <c r="G104" s="87">
        <f t="shared" si="3"/>
        <v>0</v>
      </c>
      <c r="H104" s="690"/>
      <c r="I104" s="693"/>
      <c r="J104" s="692"/>
      <c r="K104" s="692"/>
    </row>
    <row r="105" spans="1:11" ht="15" x14ac:dyDescent="0.25">
      <c r="A105" s="728" t="e">
        <f t="shared" si="4"/>
        <v>#DIV/0!</v>
      </c>
      <c r="B105" s="87"/>
      <c r="C105" s="740"/>
      <c r="D105" s="87"/>
      <c r="E105" s="87"/>
      <c r="F105" s="563">
        <f t="shared" si="5"/>
        <v>0</v>
      </c>
      <c r="G105" s="87">
        <f t="shared" si="3"/>
        <v>0</v>
      </c>
      <c r="H105" s="690"/>
      <c r="I105" s="693"/>
      <c r="J105" s="692"/>
      <c r="K105" s="692"/>
    </row>
    <row r="106" spans="1:11" ht="15" x14ac:dyDescent="0.25">
      <c r="A106" s="728" t="e">
        <f t="shared" si="4"/>
        <v>#DIV/0!</v>
      </c>
      <c r="B106" s="87"/>
      <c r="C106" s="740"/>
      <c r="D106" s="87"/>
      <c r="E106" s="87"/>
      <c r="F106" s="563">
        <f t="shared" si="5"/>
        <v>0</v>
      </c>
      <c r="G106" s="87">
        <f t="shared" si="3"/>
        <v>0</v>
      </c>
      <c r="H106" s="690"/>
      <c r="I106" s="693"/>
      <c r="J106" s="692"/>
      <c r="K106" s="692"/>
    </row>
    <row r="107" spans="1:11" ht="15" x14ac:dyDescent="0.25">
      <c r="A107" s="728" t="e">
        <f t="shared" si="4"/>
        <v>#DIV/0!</v>
      </c>
      <c r="B107" s="87"/>
      <c r="C107" s="740"/>
      <c r="D107" s="87"/>
      <c r="E107" s="87"/>
      <c r="F107" s="563">
        <f t="shared" si="5"/>
        <v>0</v>
      </c>
      <c r="G107" s="87">
        <f t="shared" si="3"/>
        <v>0</v>
      </c>
      <c r="H107" s="690"/>
      <c r="I107" s="693"/>
      <c r="J107" s="692"/>
      <c r="K107" s="692"/>
    </row>
    <row r="108" spans="1:11" ht="15" x14ac:dyDescent="0.25">
      <c r="A108" s="728" t="e">
        <f t="shared" si="4"/>
        <v>#DIV/0!</v>
      </c>
      <c r="B108" s="87"/>
      <c r="C108" s="740"/>
      <c r="D108" s="87"/>
      <c r="E108" s="87"/>
      <c r="F108" s="563">
        <f t="shared" si="5"/>
        <v>0</v>
      </c>
      <c r="G108" s="87">
        <f t="shared" si="3"/>
        <v>0</v>
      </c>
      <c r="H108" s="690"/>
      <c r="I108" s="693"/>
      <c r="J108" s="692"/>
      <c r="K108" s="692"/>
    </row>
    <row r="109" spans="1:11" ht="15" x14ac:dyDescent="0.25">
      <c r="A109" s="728" t="e">
        <f t="shared" si="4"/>
        <v>#DIV/0!</v>
      </c>
      <c r="B109" s="87"/>
      <c r="C109" s="740"/>
      <c r="D109" s="87"/>
      <c r="E109" s="87"/>
      <c r="F109" s="563">
        <f t="shared" si="5"/>
        <v>0</v>
      </c>
      <c r="G109" s="87">
        <f t="shared" si="3"/>
        <v>0</v>
      </c>
      <c r="H109" s="690"/>
      <c r="I109" s="693"/>
      <c r="J109" s="692"/>
      <c r="K109" s="692"/>
    </row>
    <row r="110" spans="1:11" ht="15" x14ac:dyDescent="0.25">
      <c r="A110" s="728" t="e">
        <f t="shared" si="4"/>
        <v>#DIV/0!</v>
      </c>
      <c r="B110" s="87"/>
      <c r="C110" s="740"/>
      <c r="D110" s="87"/>
      <c r="E110" s="87"/>
      <c r="F110" s="563">
        <f t="shared" si="5"/>
        <v>0</v>
      </c>
      <c r="G110" s="87">
        <f t="shared" si="3"/>
        <v>0</v>
      </c>
      <c r="H110" s="690"/>
      <c r="I110" s="693"/>
      <c r="J110" s="692"/>
      <c r="K110" s="692"/>
    </row>
    <row r="111" spans="1:11" ht="15" x14ac:dyDescent="0.25">
      <c r="A111" s="728" t="e">
        <f t="shared" si="4"/>
        <v>#DIV/0!</v>
      </c>
      <c r="B111" s="87"/>
      <c r="C111" s="740"/>
      <c r="D111" s="87"/>
      <c r="E111" s="87"/>
      <c r="F111" s="563">
        <f t="shared" si="5"/>
        <v>0</v>
      </c>
      <c r="G111" s="87">
        <f t="shared" si="3"/>
        <v>0</v>
      </c>
      <c r="H111" s="690"/>
      <c r="I111" s="693"/>
      <c r="J111" s="692"/>
      <c r="K111" s="692"/>
    </row>
    <row r="112" spans="1:11" ht="15" x14ac:dyDescent="0.25">
      <c r="A112" s="728" t="e">
        <f t="shared" si="4"/>
        <v>#DIV/0!</v>
      </c>
      <c r="B112" s="87"/>
      <c r="C112" s="740"/>
      <c r="D112" s="87"/>
      <c r="E112" s="87"/>
      <c r="F112" s="563">
        <f t="shared" si="5"/>
        <v>0</v>
      </c>
      <c r="G112" s="87">
        <f t="shared" si="3"/>
        <v>0</v>
      </c>
      <c r="H112" s="690"/>
      <c r="I112" s="693"/>
      <c r="J112" s="692"/>
      <c r="K112" s="692"/>
    </row>
    <row r="113" spans="1:11" ht="15" x14ac:dyDescent="0.25">
      <c r="A113" s="728" t="e">
        <f t="shared" si="4"/>
        <v>#DIV/0!</v>
      </c>
      <c r="B113" s="87"/>
      <c r="C113" s="740"/>
      <c r="D113" s="87"/>
      <c r="E113" s="87"/>
      <c r="F113" s="563">
        <f t="shared" si="5"/>
        <v>0</v>
      </c>
      <c r="G113" s="87">
        <f t="shared" si="3"/>
        <v>0</v>
      </c>
      <c r="H113" s="690"/>
      <c r="I113" s="693"/>
      <c r="J113" s="692"/>
      <c r="K113" s="692"/>
    </row>
    <row r="114" spans="1:11" ht="15" x14ac:dyDescent="0.25">
      <c r="A114" s="728" t="e">
        <f t="shared" si="4"/>
        <v>#DIV/0!</v>
      </c>
      <c r="B114" s="87"/>
      <c r="C114" s="757"/>
      <c r="D114" s="87"/>
      <c r="E114" s="87"/>
      <c r="F114" s="563">
        <f t="shared" si="5"/>
        <v>0</v>
      </c>
      <c r="G114" s="87">
        <f t="shared" si="3"/>
        <v>0</v>
      </c>
      <c r="H114" s="690"/>
      <c r="I114" s="693"/>
      <c r="J114" s="692"/>
      <c r="K114" s="692"/>
    </row>
    <row r="115" spans="1:11" ht="15" x14ac:dyDescent="0.25">
      <c r="A115" s="728" t="e">
        <f t="shared" si="4"/>
        <v>#DIV/0!</v>
      </c>
      <c r="B115" s="87"/>
      <c r="C115" s="740"/>
      <c r="D115" s="87"/>
      <c r="E115" s="87"/>
      <c r="F115" s="563">
        <f t="shared" si="5"/>
        <v>0</v>
      </c>
      <c r="G115" s="87">
        <f t="shared" si="3"/>
        <v>0</v>
      </c>
      <c r="H115" s="690"/>
      <c r="I115" s="693"/>
      <c r="J115" s="692"/>
      <c r="K115" s="692"/>
    </row>
    <row r="116" spans="1:11" ht="15" x14ac:dyDescent="0.25">
      <c r="A116" s="728" t="e">
        <f t="shared" si="4"/>
        <v>#DIV/0!</v>
      </c>
      <c r="B116" s="87"/>
      <c r="C116" s="740"/>
      <c r="D116" s="87"/>
      <c r="E116" s="87"/>
      <c r="F116" s="563">
        <f t="shared" si="5"/>
        <v>0</v>
      </c>
      <c r="G116" s="87">
        <f t="shared" si="3"/>
        <v>0</v>
      </c>
      <c r="H116" s="690"/>
      <c r="I116" s="693"/>
      <c r="J116" s="692"/>
      <c r="K116" s="692"/>
    </row>
    <row r="117" spans="1:11" ht="15" x14ac:dyDescent="0.25">
      <c r="A117" s="728" t="e">
        <f t="shared" si="4"/>
        <v>#DIV/0!</v>
      </c>
      <c r="B117" s="87"/>
      <c r="C117" s="740"/>
      <c r="D117" s="87"/>
      <c r="E117" s="87"/>
      <c r="F117" s="563">
        <f t="shared" si="5"/>
        <v>0</v>
      </c>
      <c r="G117" s="87">
        <f t="shared" si="3"/>
        <v>0</v>
      </c>
      <c r="H117" s="690"/>
      <c r="I117" s="693"/>
      <c r="J117" s="692"/>
      <c r="K117" s="692"/>
    </row>
    <row r="118" spans="1:11" ht="15" x14ac:dyDescent="0.25">
      <c r="A118" s="728" t="e">
        <f t="shared" si="4"/>
        <v>#DIV/0!</v>
      </c>
      <c r="B118" s="87"/>
      <c r="C118" s="740"/>
      <c r="D118" s="87"/>
      <c r="E118" s="87"/>
      <c r="F118" s="563">
        <f t="shared" si="5"/>
        <v>0</v>
      </c>
      <c r="G118" s="87">
        <f t="shared" si="3"/>
        <v>0</v>
      </c>
      <c r="H118" s="690"/>
      <c r="I118" s="693"/>
      <c r="J118" s="692"/>
      <c r="K118" s="692"/>
    </row>
    <row r="119" spans="1:11" ht="15" x14ac:dyDescent="0.25">
      <c r="A119" s="728" t="e">
        <f t="shared" si="4"/>
        <v>#DIV/0!</v>
      </c>
      <c r="B119" s="87"/>
      <c r="C119" s="740"/>
      <c r="D119" s="87"/>
      <c r="E119" s="87"/>
      <c r="F119" s="563">
        <f t="shared" si="5"/>
        <v>0</v>
      </c>
      <c r="G119" s="87">
        <f t="shared" si="3"/>
        <v>0</v>
      </c>
      <c r="H119" s="690"/>
      <c r="I119" s="693"/>
      <c r="J119" s="692"/>
      <c r="K119" s="692"/>
    </row>
    <row r="120" spans="1:11" ht="15" x14ac:dyDescent="0.25">
      <c r="A120" s="728" t="e">
        <f t="shared" si="4"/>
        <v>#DIV/0!</v>
      </c>
      <c r="B120" s="87"/>
      <c r="C120" s="740"/>
      <c r="D120" s="87"/>
      <c r="E120" s="87"/>
      <c r="F120" s="563">
        <f t="shared" si="5"/>
        <v>0</v>
      </c>
      <c r="G120" s="87">
        <f t="shared" si="3"/>
        <v>0</v>
      </c>
      <c r="H120" s="690"/>
      <c r="I120" s="693"/>
      <c r="J120" s="692"/>
      <c r="K120" s="692"/>
    </row>
    <row r="121" spans="1:11" ht="15" x14ac:dyDescent="0.25">
      <c r="A121" s="728" t="e">
        <f t="shared" si="4"/>
        <v>#DIV/0!</v>
      </c>
      <c r="B121" s="87"/>
      <c r="C121" s="740"/>
      <c r="D121" s="87"/>
      <c r="E121" s="87"/>
      <c r="F121" s="563">
        <f t="shared" si="5"/>
        <v>0</v>
      </c>
      <c r="G121" s="87">
        <f t="shared" si="3"/>
        <v>0</v>
      </c>
      <c r="H121" s="690"/>
      <c r="I121" s="693"/>
      <c r="J121" s="692"/>
      <c r="K121" s="692"/>
    </row>
    <row r="122" spans="1:11" ht="15" x14ac:dyDescent="0.25">
      <c r="A122" s="728" t="e">
        <f t="shared" si="4"/>
        <v>#DIV/0!</v>
      </c>
      <c r="B122" s="87"/>
      <c r="C122" s="740"/>
      <c r="D122" s="87"/>
      <c r="E122" s="87"/>
      <c r="F122" s="563">
        <f t="shared" si="5"/>
        <v>0</v>
      </c>
      <c r="G122" s="87">
        <f t="shared" si="3"/>
        <v>0</v>
      </c>
      <c r="H122" s="690"/>
      <c r="I122" s="693"/>
      <c r="J122" s="692"/>
      <c r="K122" s="692"/>
    </row>
    <row r="123" spans="1:11" ht="15" x14ac:dyDescent="0.25">
      <c r="A123" s="728" t="e">
        <f t="shared" si="4"/>
        <v>#DIV/0!</v>
      </c>
      <c r="B123" s="87"/>
      <c r="C123" s="740"/>
      <c r="D123" s="87"/>
      <c r="E123" s="87"/>
      <c r="F123" s="563">
        <f t="shared" si="5"/>
        <v>0</v>
      </c>
      <c r="G123" s="87">
        <f t="shared" si="3"/>
        <v>0</v>
      </c>
      <c r="H123" s="690"/>
      <c r="I123" s="693"/>
      <c r="J123" s="692"/>
      <c r="K123" s="692"/>
    </row>
    <row r="124" spans="1:11" ht="15" x14ac:dyDescent="0.25">
      <c r="A124" s="728" t="e">
        <f t="shared" si="4"/>
        <v>#DIV/0!</v>
      </c>
      <c r="B124" s="87"/>
      <c r="C124" s="740"/>
      <c r="D124" s="87"/>
      <c r="E124" s="87"/>
      <c r="F124" s="563">
        <f t="shared" si="5"/>
        <v>0</v>
      </c>
      <c r="G124" s="87">
        <f t="shared" si="3"/>
        <v>0</v>
      </c>
      <c r="H124" s="690"/>
      <c r="I124" s="693"/>
      <c r="J124" s="692"/>
      <c r="K124" s="692"/>
    </row>
    <row r="125" spans="1:11" ht="15" x14ac:dyDescent="0.25">
      <c r="A125" s="728" t="e">
        <f t="shared" si="4"/>
        <v>#DIV/0!</v>
      </c>
      <c r="B125" s="87"/>
      <c r="C125" s="740"/>
      <c r="D125" s="87"/>
      <c r="E125" s="573"/>
      <c r="F125" s="563">
        <f t="shared" si="5"/>
        <v>0</v>
      </c>
      <c r="G125" s="87">
        <f t="shared" si="3"/>
        <v>0</v>
      </c>
      <c r="H125" s="690"/>
      <c r="I125" s="693"/>
      <c r="J125" s="692"/>
      <c r="K125" s="692"/>
    </row>
    <row r="126" spans="1:11" ht="15" x14ac:dyDescent="0.25">
      <c r="A126" s="728" t="e">
        <f t="shared" si="4"/>
        <v>#DIV/0!</v>
      </c>
      <c r="B126" s="87"/>
      <c r="C126" s="740"/>
      <c r="D126" s="87"/>
      <c r="E126" s="573"/>
      <c r="F126" s="563">
        <f t="shared" si="5"/>
        <v>0</v>
      </c>
      <c r="G126" s="87">
        <f t="shared" si="3"/>
        <v>0</v>
      </c>
      <c r="H126" s="690"/>
      <c r="I126" s="693"/>
      <c r="J126" s="692"/>
      <c r="K126" s="692"/>
    </row>
    <row r="127" spans="1:11" ht="15" x14ac:dyDescent="0.25">
      <c r="A127" s="728" t="e">
        <f t="shared" si="4"/>
        <v>#DIV/0!</v>
      </c>
      <c r="B127" s="87"/>
      <c r="C127" s="740"/>
      <c r="D127" s="87"/>
      <c r="E127" s="573"/>
      <c r="F127" s="563">
        <f t="shared" si="5"/>
        <v>0</v>
      </c>
      <c r="G127" s="87">
        <f t="shared" si="3"/>
        <v>0</v>
      </c>
      <c r="H127" s="690"/>
      <c r="I127" s="693"/>
      <c r="J127" s="692"/>
      <c r="K127" s="692"/>
    </row>
    <row r="128" spans="1:11" ht="15" x14ac:dyDescent="0.25">
      <c r="A128" s="728" t="e">
        <f t="shared" si="4"/>
        <v>#DIV/0!</v>
      </c>
      <c r="B128" s="87"/>
      <c r="C128" s="740"/>
      <c r="D128" s="87"/>
      <c r="E128" s="573"/>
      <c r="F128" s="563">
        <f t="shared" si="5"/>
        <v>0</v>
      </c>
      <c r="G128" s="87">
        <f t="shared" si="3"/>
        <v>0</v>
      </c>
      <c r="H128" s="690"/>
      <c r="I128" s="693"/>
      <c r="J128" s="692"/>
      <c r="K128" s="692"/>
    </row>
    <row r="129" spans="1:11" ht="15" x14ac:dyDescent="0.25">
      <c r="A129" s="728" t="e">
        <f t="shared" si="4"/>
        <v>#DIV/0!</v>
      </c>
      <c r="B129" s="87"/>
      <c r="C129" s="740"/>
      <c r="D129" s="87"/>
      <c r="E129" s="573"/>
      <c r="F129" s="563">
        <f t="shared" si="5"/>
        <v>0</v>
      </c>
      <c r="G129" s="87">
        <f t="shared" si="3"/>
        <v>0</v>
      </c>
      <c r="H129" s="690"/>
      <c r="I129" s="693"/>
      <c r="J129" s="692"/>
      <c r="K129" s="692"/>
    </row>
    <row r="130" spans="1:11" ht="15" x14ac:dyDescent="0.25">
      <c r="A130" s="728" t="e">
        <f t="shared" si="4"/>
        <v>#DIV/0!</v>
      </c>
      <c r="B130" s="87"/>
      <c r="C130" s="740"/>
      <c r="D130" s="87"/>
      <c r="E130" s="573"/>
      <c r="F130" s="563">
        <f t="shared" si="5"/>
        <v>0</v>
      </c>
      <c r="G130" s="87">
        <f t="shared" si="3"/>
        <v>0</v>
      </c>
      <c r="H130" s="690"/>
      <c r="I130" s="693"/>
      <c r="J130" s="692"/>
      <c r="K130" s="692"/>
    </row>
    <row r="131" spans="1:11" ht="15" x14ac:dyDescent="0.25">
      <c r="A131" s="728" t="e">
        <f t="shared" si="4"/>
        <v>#DIV/0!</v>
      </c>
      <c r="B131" s="87"/>
      <c r="C131" s="740"/>
      <c r="D131" s="87"/>
      <c r="E131" s="573"/>
      <c r="F131" s="563">
        <f t="shared" si="5"/>
        <v>0</v>
      </c>
      <c r="G131" s="87">
        <f t="shared" si="3"/>
        <v>0</v>
      </c>
      <c r="H131" s="690"/>
      <c r="I131" s="693"/>
      <c r="J131" s="692"/>
      <c r="K131" s="692"/>
    </row>
    <row r="132" spans="1:11" ht="15" x14ac:dyDescent="0.25">
      <c r="A132" s="728" t="e">
        <f t="shared" si="4"/>
        <v>#DIV/0!</v>
      </c>
      <c r="B132" s="87"/>
      <c r="C132" s="740"/>
      <c r="D132" s="87"/>
      <c r="E132" s="573"/>
      <c r="F132" s="563">
        <f t="shared" si="5"/>
        <v>0</v>
      </c>
      <c r="G132" s="87">
        <f t="shared" si="3"/>
        <v>0</v>
      </c>
      <c r="H132" s="690"/>
      <c r="I132" s="693"/>
      <c r="J132" s="692"/>
      <c r="K132" s="692"/>
    </row>
    <row r="133" spans="1:11" ht="15" x14ac:dyDescent="0.25">
      <c r="A133" s="728" t="e">
        <f t="shared" si="4"/>
        <v>#DIV/0!</v>
      </c>
      <c r="B133" s="87"/>
      <c r="C133" s="740"/>
      <c r="D133" s="87"/>
      <c r="E133" s="573"/>
      <c r="F133" s="563">
        <f t="shared" si="5"/>
        <v>0</v>
      </c>
      <c r="G133" s="87">
        <f t="shared" si="3"/>
        <v>0</v>
      </c>
      <c r="H133" s="690"/>
      <c r="I133" s="693"/>
      <c r="J133" s="692"/>
      <c r="K133" s="692"/>
    </row>
    <row r="134" spans="1:11" ht="15" x14ac:dyDescent="0.25">
      <c r="A134" s="728" t="e">
        <f t="shared" ref="A134:A197" si="6">D134/E134</f>
        <v>#DIV/0!</v>
      </c>
      <c r="B134" s="87"/>
      <c r="C134" s="740"/>
      <c r="D134" s="87"/>
      <c r="E134" s="573"/>
      <c r="F134" s="563">
        <f t="shared" ref="F134:F197" si="7">D134</f>
        <v>0</v>
      </c>
      <c r="G134" s="87">
        <f t="shared" si="3"/>
        <v>0</v>
      </c>
      <c r="H134" s="690"/>
      <c r="I134" s="693"/>
      <c r="J134" s="692"/>
      <c r="K134" s="692"/>
    </row>
    <row r="135" spans="1:11" ht="15" x14ac:dyDescent="0.25">
      <c r="A135" s="728" t="e">
        <f t="shared" si="6"/>
        <v>#DIV/0!</v>
      </c>
      <c r="B135" s="87"/>
      <c r="C135" s="740"/>
      <c r="D135" s="87"/>
      <c r="E135" s="573"/>
      <c r="F135" s="563">
        <f>D135</f>
        <v>0</v>
      </c>
      <c r="G135" s="87">
        <f t="shared" ref="G135:G389" si="8">D135-F135</f>
        <v>0</v>
      </c>
      <c r="H135" s="690"/>
      <c r="I135" s="693"/>
      <c r="J135" s="692"/>
      <c r="K135" s="692"/>
    </row>
    <row r="136" spans="1:11" ht="15" x14ac:dyDescent="0.25">
      <c r="A136" s="728" t="e">
        <f t="shared" si="6"/>
        <v>#DIV/0!</v>
      </c>
      <c r="B136" s="87"/>
      <c r="C136" s="740"/>
      <c r="D136" s="87"/>
      <c r="E136" s="573"/>
      <c r="F136" s="563">
        <f t="shared" si="7"/>
        <v>0</v>
      </c>
      <c r="G136" s="87">
        <f t="shared" si="8"/>
        <v>0</v>
      </c>
      <c r="H136" s="690"/>
      <c r="I136" s="693"/>
      <c r="J136" s="692"/>
      <c r="K136" s="692"/>
    </row>
    <row r="137" spans="1:11" ht="15" x14ac:dyDescent="0.25">
      <c r="A137" s="728" t="e">
        <f t="shared" si="6"/>
        <v>#DIV/0!</v>
      </c>
      <c r="B137" s="87"/>
      <c r="C137" s="740"/>
      <c r="D137" s="87"/>
      <c r="E137" s="573"/>
      <c r="F137" s="563">
        <f t="shared" si="7"/>
        <v>0</v>
      </c>
      <c r="G137" s="87">
        <f t="shared" si="8"/>
        <v>0</v>
      </c>
      <c r="H137" s="690"/>
      <c r="I137" s="693"/>
      <c r="J137" s="692"/>
      <c r="K137" s="692"/>
    </row>
    <row r="138" spans="1:11" ht="15" x14ac:dyDescent="0.25">
      <c r="A138" s="728" t="e">
        <f t="shared" si="6"/>
        <v>#DIV/0!</v>
      </c>
      <c r="B138" s="87"/>
      <c r="C138" s="740"/>
      <c r="D138" s="87"/>
      <c r="E138" s="573"/>
      <c r="F138" s="563">
        <f t="shared" si="7"/>
        <v>0</v>
      </c>
      <c r="G138" s="87">
        <f t="shared" si="8"/>
        <v>0</v>
      </c>
      <c r="H138" s="690"/>
      <c r="I138" s="693"/>
      <c r="J138" s="692"/>
      <c r="K138" s="692"/>
    </row>
    <row r="139" spans="1:11" ht="15" x14ac:dyDescent="0.25">
      <c r="A139" s="728" t="e">
        <f t="shared" si="6"/>
        <v>#DIV/0!</v>
      </c>
      <c r="B139" s="87"/>
      <c r="C139" s="740"/>
      <c r="D139" s="87"/>
      <c r="E139" s="573"/>
      <c r="F139" s="563">
        <f t="shared" si="7"/>
        <v>0</v>
      </c>
      <c r="G139" s="87">
        <f t="shared" si="8"/>
        <v>0</v>
      </c>
      <c r="H139" s="690"/>
      <c r="I139" s="693"/>
      <c r="J139" s="692"/>
      <c r="K139" s="692"/>
    </row>
    <row r="140" spans="1:11" ht="15" x14ac:dyDescent="0.25">
      <c r="A140" s="728" t="e">
        <f t="shared" si="6"/>
        <v>#DIV/0!</v>
      </c>
      <c r="B140" s="87"/>
      <c r="C140" s="740"/>
      <c r="D140" s="87"/>
      <c r="E140" s="573"/>
      <c r="F140" s="563">
        <f t="shared" si="7"/>
        <v>0</v>
      </c>
      <c r="G140" s="87">
        <f t="shared" si="8"/>
        <v>0</v>
      </c>
      <c r="H140" s="690"/>
      <c r="I140" s="693"/>
      <c r="J140" s="692"/>
      <c r="K140" s="692"/>
    </row>
    <row r="141" spans="1:11" ht="15" x14ac:dyDescent="0.25">
      <c r="A141" s="728" t="e">
        <f t="shared" si="6"/>
        <v>#DIV/0!</v>
      </c>
      <c r="B141" s="87"/>
      <c r="C141" s="740"/>
      <c r="D141" s="87"/>
      <c r="E141" s="573"/>
      <c r="F141" s="563">
        <f t="shared" si="7"/>
        <v>0</v>
      </c>
      <c r="G141" s="87">
        <f t="shared" si="8"/>
        <v>0</v>
      </c>
      <c r="H141" s="690"/>
      <c r="I141" s="693"/>
      <c r="J141" s="692"/>
      <c r="K141" s="692"/>
    </row>
    <row r="142" spans="1:11" ht="15" x14ac:dyDescent="0.25">
      <c r="A142" s="728" t="e">
        <f t="shared" si="6"/>
        <v>#DIV/0!</v>
      </c>
      <c r="B142" s="87"/>
      <c r="C142" s="740"/>
      <c r="D142" s="87"/>
      <c r="E142" s="573"/>
      <c r="F142" s="563">
        <f t="shared" si="7"/>
        <v>0</v>
      </c>
      <c r="G142" s="87">
        <f t="shared" si="8"/>
        <v>0</v>
      </c>
      <c r="H142" s="690"/>
      <c r="I142" s="693"/>
      <c r="J142" s="692"/>
      <c r="K142" s="692"/>
    </row>
    <row r="143" spans="1:11" ht="15" x14ac:dyDescent="0.25">
      <c r="A143" s="728" t="e">
        <f t="shared" si="6"/>
        <v>#DIV/0!</v>
      </c>
      <c r="B143" s="87"/>
      <c r="C143" s="740"/>
      <c r="D143" s="87"/>
      <c r="E143" s="573"/>
      <c r="F143" s="563">
        <f t="shared" si="7"/>
        <v>0</v>
      </c>
      <c r="G143" s="87">
        <f t="shared" si="8"/>
        <v>0</v>
      </c>
      <c r="H143" s="690"/>
      <c r="I143" s="693"/>
      <c r="J143" s="692"/>
      <c r="K143" s="692"/>
    </row>
    <row r="144" spans="1:11" ht="15" x14ac:dyDescent="0.25">
      <c r="A144" s="728" t="e">
        <f t="shared" si="6"/>
        <v>#DIV/0!</v>
      </c>
      <c r="B144" s="87"/>
      <c r="C144" s="740"/>
      <c r="D144" s="87"/>
      <c r="E144" s="573"/>
      <c r="F144" s="563">
        <f t="shared" si="7"/>
        <v>0</v>
      </c>
      <c r="G144" s="87">
        <f t="shared" si="8"/>
        <v>0</v>
      </c>
      <c r="H144" s="690"/>
      <c r="I144" s="693"/>
      <c r="J144" s="692"/>
      <c r="K144" s="692"/>
    </row>
    <row r="145" spans="1:11" ht="15" x14ac:dyDescent="0.25">
      <c r="A145" s="728" t="e">
        <f t="shared" si="6"/>
        <v>#DIV/0!</v>
      </c>
      <c r="B145" s="87"/>
      <c r="C145" s="740"/>
      <c r="D145" s="87"/>
      <c r="E145" s="573"/>
      <c r="F145" s="563">
        <f t="shared" si="7"/>
        <v>0</v>
      </c>
      <c r="G145" s="87">
        <f t="shared" si="8"/>
        <v>0</v>
      </c>
      <c r="H145" s="690"/>
      <c r="I145" s="693"/>
      <c r="J145" s="692"/>
      <c r="K145" s="692"/>
    </row>
    <row r="146" spans="1:11" ht="15" x14ac:dyDescent="0.25">
      <c r="A146" s="728" t="e">
        <f t="shared" si="6"/>
        <v>#DIV/0!</v>
      </c>
      <c r="B146" s="87"/>
      <c r="C146" s="740"/>
      <c r="D146" s="87"/>
      <c r="E146" s="573"/>
      <c r="F146" s="563">
        <f t="shared" si="7"/>
        <v>0</v>
      </c>
      <c r="G146" s="87">
        <f t="shared" si="8"/>
        <v>0</v>
      </c>
      <c r="H146" s="690"/>
      <c r="I146" s="693"/>
      <c r="J146" s="692"/>
      <c r="K146" s="692"/>
    </row>
    <row r="147" spans="1:11" ht="15" x14ac:dyDescent="0.25">
      <c r="A147" s="728" t="e">
        <f t="shared" si="6"/>
        <v>#DIV/0!</v>
      </c>
      <c r="B147" s="87"/>
      <c r="C147" s="740"/>
      <c r="D147" s="87"/>
      <c r="E147" s="573"/>
      <c r="F147" s="563">
        <f t="shared" si="7"/>
        <v>0</v>
      </c>
      <c r="G147" s="87">
        <f t="shared" si="8"/>
        <v>0</v>
      </c>
      <c r="H147" s="690"/>
      <c r="I147" s="693"/>
      <c r="J147" s="692"/>
      <c r="K147" s="692"/>
    </row>
    <row r="148" spans="1:11" ht="15" x14ac:dyDescent="0.25">
      <c r="A148" s="728" t="e">
        <f t="shared" si="6"/>
        <v>#DIV/0!</v>
      </c>
      <c r="B148" s="87"/>
      <c r="C148" s="740"/>
      <c r="D148" s="87"/>
      <c r="E148" s="573"/>
      <c r="F148" s="563">
        <f t="shared" si="7"/>
        <v>0</v>
      </c>
      <c r="G148" s="87">
        <f t="shared" si="8"/>
        <v>0</v>
      </c>
      <c r="H148" s="690"/>
      <c r="I148" s="693"/>
      <c r="J148" s="692"/>
      <c r="K148" s="692"/>
    </row>
    <row r="149" spans="1:11" ht="15" x14ac:dyDescent="0.25">
      <c r="A149" s="728" t="e">
        <f t="shared" si="6"/>
        <v>#DIV/0!</v>
      </c>
      <c r="B149" s="87"/>
      <c r="C149" s="740"/>
      <c r="D149" s="87"/>
      <c r="E149" s="573"/>
      <c r="F149" s="563">
        <f t="shared" si="7"/>
        <v>0</v>
      </c>
      <c r="G149" s="87">
        <f t="shared" si="8"/>
        <v>0</v>
      </c>
      <c r="H149" s="690"/>
      <c r="I149" s="693"/>
      <c r="J149" s="692"/>
      <c r="K149" s="692"/>
    </row>
    <row r="150" spans="1:11" ht="15" x14ac:dyDescent="0.25">
      <c r="A150" s="728" t="e">
        <f t="shared" si="6"/>
        <v>#DIV/0!</v>
      </c>
      <c r="B150" s="87"/>
      <c r="C150" s="740"/>
      <c r="D150" s="87"/>
      <c r="E150" s="573"/>
      <c r="F150" s="563">
        <f t="shared" si="7"/>
        <v>0</v>
      </c>
      <c r="G150" s="87">
        <f t="shared" si="8"/>
        <v>0</v>
      </c>
      <c r="H150" s="690"/>
      <c r="I150" s="693"/>
      <c r="J150" s="692"/>
      <c r="K150" s="692"/>
    </row>
    <row r="151" spans="1:11" ht="15" x14ac:dyDescent="0.25">
      <c r="A151" s="728" t="e">
        <f t="shared" si="6"/>
        <v>#DIV/0!</v>
      </c>
      <c r="B151" s="87"/>
      <c r="C151" s="740"/>
      <c r="D151" s="87"/>
      <c r="E151" s="573"/>
      <c r="F151" s="563">
        <f t="shared" si="7"/>
        <v>0</v>
      </c>
      <c r="G151" s="87">
        <f t="shared" si="8"/>
        <v>0</v>
      </c>
      <c r="H151" s="690"/>
      <c r="I151" s="693"/>
      <c r="J151" s="692"/>
      <c r="K151" s="692"/>
    </row>
    <row r="152" spans="1:11" ht="15" x14ac:dyDescent="0.25">
      <c r="A152" s="728" t="e">
        <f t="shared" si="6"/>
        <v>#DIV/0!</v>
      </c>
      <c r="B152" s="87"/>
      <c r="C152" s="740"/>
      <c r="D152" s="87"/>
      <c r="E152" s="573"/>
      <c r="F152" s="563">
        <f t="shared" si="7"/>
        <v>0</v>
      </c>
      <c r="G152" s="87">
        <f t="shared" si="8"/>
        <v>0</v>
      </c>
      <c r="H152" s="690"/>
      <c r="I152" s="693"/>
      <c r="J152" s="692"/>
      <c r="K152" s="692"/>
    </row>
    <row r="153" spans="1:11" ht="15" x14ac:dyDescent="0.25">
      <c r="A153" s="728" t="e">
        <f t="shared" si="6"/>
        <v>#DIV/0!</v>
      </c>
      <c r="B153" s="87"/>
      <c r="C153" s="740"/>
      <c r="D153" s="87"/>
      <c r="E153" s="573"/>
      <c r="F153" s="563">
        <f t="shared" si="7"/>
        <v>0</v>
      </c>
      <c r="G153" s="87">
        <f t="shared" si="8"/>
        <v>0</v>
      </c>
      <c r="H153" s="690"/>
      <c r="I153" s="693"/>
      <c r="J153" s="692"/>
      <c r="K153" s="692"/>
    </row>
    <row r="154" spans="1:11" ht="15" x14ac:dyDescent="0.25">
      <c r="A154" s="728" t="e">
        <f t="shared" si="6"/>
        <v>#DIV/0!</v>
      </c>
      <c r="B154" s="87"/>
      <c r="C154" s="740"/>
      <c r="D154" s="87"/>
      <c r="E154" s="573"/>
      <c r="F154" s="563">
        <f t="shared" si="7"/>
        <v>0</v>
      </c>
      <c r="G154" s="87">
        <f t="shared" si="8"/>
        <v>0</v>
      </c>
      <c r="H154" s="690"/>
      <c r="I154" s="693"/>
      <c r="J154" s="692"/>
      <c r="K154" s="692"/>
    </row>
    <row r="155" spans="1:11" ht="15" x14ac:dyDescent="0.25">
      <c r="A155" s="728" t="e">
        <f t="shared" si="6"/>
        <v>#DIV/0!</v>
      </c>
      <c r="B155" s="87"/>
      <c r="C155" s="740"/>
      <c r="D155" s="87"/>
      <c r="E155" s="573"/>
      <c r="F155" s="563">
        <f t="shared" si="7"/>
        <v>0</v>
      </c>
      <c r="G155" s="87">
        <f t="shared" si="8"/>
        <v>0</v>
      </c>
      <c r="H155" s="690"/>
      <c r="I155" s="693"/>
      <c r="J155" s="692"/>
      <c r="K155" s="692"/>
    </row>
    <row r="156" spans="1:11" ht="15" x14ac:dyDescent="0.25">
      <c r="A156" s="728" t="e">
        <f t="shared" si="6"/>
        <v>#DIV/0!</v>
      </c>
      <c r="B156" s="87"/>
      <c r="C156" s="740"/>
      <c r="D156" s="87"/>
      <c r="E156" s="573"/>
      <c r="F156" s="563">
        <f t="shared" si="7"/>
        <v>0</v>
      </c>
      <c r="G156" s="87">
        <f t="shared" si="8"/>
        <v>0</v>
      </c>
      <c r="H156" s="690"/>
      <c r="I156" s="693"/>
      <c r="J156" s="692"/>
      <c r="K156" s="692"/>
    </row>
    <row r="157" spans="1:11" ht="15" x14ac:dyDescent="0.25">
      <c r="A157" s="728" t="e">
        <f t="shared" si="6"/>
        <v>#DIV/0!</v>
      </c>
      <c r="B157" s="87"/>
      <c r="C157" s="740"/>
      <c r="D157" s="87"/>
      <c r="E157" s="573"/>
      <c r="F157" s="563">
        <f t="shared" si="7"/>
        <v>0</v>
      </c>
      <c r="G157" s="87">
        <f t="shared" si="8"/>
        <v>0</v>
      </c>
      <c r="H157" s="690"/>
      <c r="I157" s="693"/>
      <c r="J157" s="692"/>
      <c r="K157" s="692"/>
    </row>
    <row r="158" spans="1:11" ht="15" x14ac:dyDescent="0.25">
      <c r="A158" s="728" t="e">
        <f t="shared" si="6"/>
        <v>#DIV/0!</v>
      </c>
      <c r="B158" s="87"/>
      <c r="C158" s="740"/>
      <c r="D158" s="87"/>
      <c r="E158" s="573"/>
      <c r="F158" s="563">
        <f t="shared" si="7"/>
        <v>0</v>
      </c>
      <c r="G158" s="87">
        <f t="shared" si="8"/>
        <v>0</v>
      </c>
      <c r="H158" s="690"/>
      <c r="I158" s="693"/>
      <c r="J158" s="692"/>
      <c r="K158" s="692"/>
    </row>
    <row r="159" spans="1:11" ht="15" x14ac:dyDescent="0.25">
      <c r="A159" s="728" t="e">
        <f t="shared" si="6"/>
        <v>#DIV/0!</v>
      </c>
      <c r="B159" s="87"/>
      <c r="C159" s="740"/>
      <c r="D159" s="87"/>
      <c r="E159" s="573"/>
      <c r="F159" s="563">
        <f t="shared" si="7"/>
        <v>0</v>
      </c>
      <c r="G159" s="87">
        <f t="shared" si="8"/>
        <v>0</v>
      </c>
      <c r="H159" s="690"/>
      <c r="I159" s="693"/>
      <c r="J159" s="692"/>
      <c r="K159" s="692"/>
    </row>
    <row r="160" spans="1:11" ht="15" x14ac:dyDescent="0.25">
      <c r="A160" s="728" t="e">
        <f t="shared" si="6"/>
        <v>#DIV/0!</v>
      </c>
      <c r="B160" s="87"/>
      <c r="C160" s="740"/>
      <c r="D160" s="87"/>
      <c r="E160" s="573"/>
      <c r="F160" s="563">
        <f t="shared" si="7"/>
        <v>0</v>
      </c>
      <c r="G160" s="87">
        <f t="shared" si="8"/>
        <v>0</v>
      </c>
      <c r="H160" s="690"/>
      <c r="I160" s="693"/>
      <c r="J160" s="692"/>
      <c r="K160" s="692"/>
    </row>
    <row r="161" spans="1:11" ht="15" x14ac:dyDescent="0.25">
      <c r="A161" s="728" t="e">
        <f t="shared" si="6"/>
        <v>#DIV/0!</v>
      </c>
      <c r="B161" s="87"/>
      <c r="C161" s="740"/>
      <c r="D161" s="87"/>
      <c r="E161" s="573"/>
      <c r="F161" s="563">
        <f t="shared" si="7"/>
        <v>0</v>
      </c>
      <c r="G161" s="87">
        <f t="shared" si="8"/>
        <v>0</v>
      </c>
      <c r="H161" s="690"/>
      <c r="I161" s="693"/>
      <c r="J161" s="692"/>
      <c r="K161" s="692"/>
    </row>
    <row r="162" spans="1:11" ht="15" x14ac:dyDescent="0.25">
      <c r="A162" s="728" t="e">
        <f t="shared" si="6"/>
        <v>#DIV/0!</v>
      </c>
      <c r="B162" s="87"/>
      <c r="C162" s="740"/>
      <c r="D162" s="87"/>
      <c r="E162" s="573"/>
      <c r="F162" s="563">
        <f t="shared" si="7"/>
        <v>0</v>
      </c>
      <c r="G162" s="87">
        <f t="shared" si="8"/>
        <v>0</v>
      </c>
      <c r="H162" s="690"/>
      <c r="I162" s="693"/>
      <c r="J162" s="692"/>
      <c r="K162" s="692"/>
    </row>
    <row r="163" spans="1:11" ht="15" x14ac:dyDescent="0.25">
      <c r="A163" s="728" t="e">
        <f t="shared" si="6"/>
        <v>#DIV/0!</v>
      </c>
      <c r="B163" s="87"/>
      <c r="C163" s="740"/>
      <c r="D163" s="87"/>
      <c r="E163" s="573"/>
      <c r="F163" s="563">
        <f t="shared" si="7"/>
        <v>0</v>
      </c>
      <c r="G163" s="87">
        <f t="shared" si="8"/>
        <v>0</v>
      </c>
      <c r="H163" s="690"/>
      <c r="I163" s="693"/>
      <c r="J163" s="692"/>
      <c r="K163" s="692"/>
    </row>
    <row r="164" spans="1:11" ht="15" x14ac:dyDescent="0.25">
      <c r="A164" s="728" t="e">
        <f t="shared" si="6"/>
        <v>#DIV/0!</v>
      </c>
      <c r="B164" s="87"/>
      <c r="C164" s="740"/>
      <c r="D164" s="87"/>
      <c r="E164" s="573"/>
      <c r="F164" s="563">
        <f t="shared" si="7"/>
        <v>0</v>
      </c>
      <c r="G164" s="87">
        <f t="shared" si="8"/>
        <v>0</v>
      </c>
      <c r="H164" s="690"/>
      <c r="I164" s="693"/>
      <c r="J164" s="692"/>
      <c r="K164" s="692"/>
    </row>
    <row r="165" spans="1:11" ht="15" x14ac:dyDescent="0.25">
      <c r="A165" s="728" t="e">
        <f t="shared" si="6"/>
        <v>#DIV/0!</v>
      </c>
      <c r="B165" s="87"/>
      <c r="C165" s="740"/>
      <c r="D165" s="87"/>
      <c r="E165" s="573"/>
      <c r="F165" s="563">
        <f t="shared" si="7"/>
        <v>0</v>
      </c>
      <c r="G165" s="87">
        <f t="shared" si="8"/>
        <v>0</v>
      </c>
      <c r="H165" s="690"/>
      <c r="I165" s="693"/>
      <c r="J165" s="692"/>
      <c r="K165" s="692"/>
    </row>
    <row r="166" spans="1:11" ht="15" x14ac:dyDescent="0.25">
      <c r="A166" s="728" t="e">
        <f t="shared" si="6"/>
        <v>#DIV/0!</v>
      </c>
      <c r="B166" s="87"/>
      <c r="C166" s="740"/>
      <c r="D166" s="87"/>
      <c r="E166" s="573"/>
      <c r="F166" s="563">
        <f t="shared" si="7"/>
        <v>0</v>
      </c>
      <c r="G166" s="87">
        <f t="shared" si="8"/>
        <v>0</v>
      </c>
      <c r="H166" s="690"/>
      <c r="I166" s="693"/>
      <c r="J166" s="692"/>
      <c r="K166" s="692"/>
    </row>
    <row r="167" spans="1:11" ht="15" x14ac:dyDescent="0.25">
      <c r="A167" s="728" t="e">
        <f t="shared" si="6"/>
        <v>#DIV/0!</v>
      </c>
      <c r="B167" s="87"/>
      <c r="C167" s="740"/>
      <c r="D167" s="87"/>
      <c r="E167" s="573"/>
      <c r="F167" s="563">
        <f t="shared" si="7"/>
        <v>0</v>
      </c>
      <c r="G167" s="87">
        <f t="shared" si="8"/>
        <v>0</v>
      </c>
      <c r="H167" s="690"/>
      <c r="I167" s="693"/>
      <c r="J167" s="692"/>
      <c r="K167" s="692"/>
    </row>
    <row r="168" spans="1:11" ht="15" x14ac:dyDescent="0.25">
      <c r="A168" s="728" t="e">
        <f t="shared" si="6"/>
        <v>#DIV/0!</v>
      </c>
      <c r="B168" s="87"/>
      <c r="C168" s="740"/>
      <c r="D168" s="87"/>
      <c r="E168" s="573"/>
      <c r="F168" s="563">
        <f t="shared" si="7"/>
        <v>0</v>
      </c>
      <c r="G168" s="87">
        <f t="shared" si="8"/>
        <v>0</v>
      </c>
      <c r="H168" s="690"/>
      <c r="I168" s="693"/>
      <c r="J168" s="692"/>
      <c r="K168" s="692"/>
    </row>
    <row r="169" spans="1:11" ht="15" x14ac:dyDescent="0.25">
      <c r="A169" s="728" t="e">
        <f t="shared" si="6"/>
        <v>#DIV/0!</v>
      </c>
      <c r="B169" s="87"/>
      <c r="C169" s="740"/>
      <c r="D169" s="87"/>
      <c r="E169" s="573"/>
      <c r="F169" s="563">
        <f t="shared" si="7"/>
        <v>0</v>
      </c>
      <c r="G169" s="87">
        <f t="shared" si="8"/>
        <v>0</v>
      </c>
      <c r="H169" s="690"/>
      <c r="I169" s="693"/>
      <c r="J169" s="692"/>
      <c r="K169" s="692"/>
    </row>
    <row r="170" spans="1:11" ht="15" x14ac:dyDescent="0.25">
      <c r="A170" s="728" t="e">
        <f t="shared" si="6"/>
        <v>#DIV/0!</v>
      </c>
      <c r="B170" s="87"/>
      <c r="C170" s="754"/>
      <c r="D170" s="563"/>
      <c r="E170" s="573"/>
      <c r="F170" s="563">
        <f t="shared" si="7"/>
        <v>0</v>
      </c>
      <c r="G170" s="87">
        <f t="shared" si="8"/>
        <v>0</v>
      </c>
      <c r="H170" s="690"/>
      <c r="I170" s="693"/>
      <c r="J170" s="692"/>
      <c r="K170" s="692"/>
    </row>
    <row r="171" spans="1:11" ht="15" x14ac:dyDescent="0.25">
      <c r="A171" s="728" t="e">
        <f t="shared" si="6"/>
        <v>#DIV/0!</v>
      </c>
      <c r="B171" s="87"/>
      <c r="C171" s="754"/>
      <c r="D171" s="563"/>
      <c r="E171" s="573"/>
      <c r="F171" s="563">
        <f t="shared" si="7"/>
        <v>0</v>
      </c>
      <c r="G171" s="87">
        <f t="shared" si="8"/>
        <v>0</v>
      </c>
      <c r="H171" s="690"/>
      <c r="I171" s="693"/>
      <c r="J171" s="692"/>
      <c r="K171" s="692"/>
    </row>
    <row r="172" spans="1:11" ht="15" x14ac:dyDescent="0.25">
      <c r="A172" s="728" t="e">
        <f t="shared" si="6"/>
        <v>#DIV/0!</v>
      </c>
      <c r="B172" s="87"/>
      <c r="C172" s="754"/>
      <c r="D172" s="563"/>
      <c r="E172" s="573"/>
      <c r="F172" s="563">
        <f t="shared" si="7"/>
        <v>0</v>
      </c>
      <c r="G172" s="87">
        <f t="shared" si="8"/>
        <v>0</v>
      </c>
      <c r="H172" s="690"/>
      <c r="I172" s="693"/>
      <c r="J172" s="692"/>
      <c r="K172" s="692"/>
    </row>
    <row r="173" spans="1:11" ht="15" x14ac:dyDescent="0.25">
      <c r="A173" s="728" t="e">
        <f t="shared" si="6"/>
        <v>#DIV/0!</v>
      </c>
      <c r="B173" s="87"/>
      <c r="C173" s="754"/>
      <c r="D173" s="563"/>
      <c r="E173" s="573"/>
      <c r="F173" s="563">
        <f t="shared" si="7"/>
        <v>0</v>
      </c>
      <c r="G173" s="87">
        <f t="shared" si="8"/>
        <v>0</v>
      </c>
      <c r="H173" s="690"/>
      <c r="I173" s="693"/>
      <c r="J173" s="692"/>
      <c r="K173" s="692"/>
    </row>
    <row r="174" spans="1:11" ht="15" x14ac:dyDescent="0.25">
      <c r="A174" s="728" t="e">
        <f t="shared" si="6"/>
        <v>#DIV/0!</v>
      </c>
      <c r="B174" s="87"/>
      <c r="C174" s="754"/>
      <c r="D174" s="563"/>
      <c r="E174" s="573"/>
      <c r="F174" s="563">
        <f t="shared" si="7"/>
        <v>0</v>
      </c>
      <c r="G174" s="87">
        <f t="shared" si="8"/>
        <v>0</v>
      </c>
      <c r="H174" s="690"/>
      <c r="I174" s="693"/>
      <c r="J174" s="692"/>
      <c r="K174" s="692"/>
    </row>
    <row r="175" spans="1:11" ht="15" x14ac:dyDescent="0.25">
      <c r="A175" s="728" t="e">
        <f t="shared" si="6"/>
        <v>#DIV/0!</v>
      </c>
      <c r="B175" s="87"/>
      <c r="C175" s="754"/>
      <c r="D175" s="563"/>
      <c r="E175" s="573"/>
      <c r="F175" s="563">
        <f t="shared" si="7"/>
        <v>0</v>
      </c>
      <c r="G175" s="87">
        <f t="shared" si="8"/>
        <v>0</v>
      </c>
      <c r="H175" s="690"/>
      <c r="I175" s="693"/>
      <c r="J175" s="692"/>
      <c r="K175" s="692"/>
    </row>
    <row r="176" spans="1:11" ht="15" x14ac:dyDescent="0.25">
      <c r="A176" s="728" t="e">
        <f t="shared" si="6"/>
        <v>#DIV/0!</v>
      </c>
      <c r="B176" s="87"/>
      <c r="C176" s="754"/>
      <c r="D176" s="563"/>
      <c r="E176" s="573"/>
      <c r="F176" s="563">
        <f t="shared" si="7"/>
        <v>0</v>
      </c>
      <c r="G176" s="87">
        <f t="shared" si="8"/>
        <v>0</v>
      </c>
      <c r="H176" s="690"/>
      <c r="I176" s="693"/>
      <c r="J176" s="692"/>
      <c r="K176" s="692"/>
    </row>
    <row r="177" spans="1:11" ht="15" x14ac:dyDescent="0.25">
      <c r="A177" s="728" t="e">
        <f t="shared" si="6"/>
        <v>#DIV/0!</v>
      </c>
      <c r="B177" s="87"/>
      <c r="C177" s="754"/>
      <c r="D177" s="563"/>
      <c r="E177" s="573"/>
      <c r="F177" s="563">
        <f t="shared" si="7"/>
        <v>0</v>
      </c>
      <c r="G177" s="87">
        <f t="shared" si="8"/>
        <v>0</v>
      </c>
      <c r="H177" s="690"/>
      <c r="I177" s="693"/>
      <c r="J177" s="692"/>
      <c r="K177" s="692"/>
    </row>
    <row r="178" spans="1:11" ht="15" x14ac:dyDescent="0.25">
      <c r="A178" s="728" t="e">
        <f t="shared" si="6"/>
        <v>#DIV/0!</v>
      </c>
      <c r="B178" s="87"/>
      <c r="C178" s="754"/>
      <c r="D178" s="563"/>
      <c r="E178" s="574"/>
      <c r="F178" s="563">
        <f t="shared" si="7"/>
        <v>0</v>
      </c>
      <c r="G178" s="87">
        <f t="shared" si="8"/>
        <v>0</v>
      </c>
      <c r="H178" s="690"/>
      <c r="I178" s="693"/>
      <c r="J178" s="692"/>
      <c r="K178" s="692"/>
    </row>
    <row r="179" spans="1:11" ht="15" x14ac:dyDescent="0.25">
      <c r="A179" s="728" t="e">
        <f t="shared" si="6"/>
        <v>#DIV/0!</v>
      </c>
      <c r="B179" s="87"/>
      <c r="C179" s="754"/>
      <c r="D179" s="563"/>
      <c r="E179" s="573"/>
      <c r="F179" s="563">
        <f t="shared" si="7"/>
        <v>0</v>
      </c>
      <c r="G179" s="87">
        <f t="shared" si="8"/>
        <v>0</v>
      </c>
      <c r="H179" s="690"/>
      <c r="I179" s="693"/>
      <c r="J179" s="692"/>
      <c r="K179" s="692"/>
    </row>
    <row r="180" spans="1:11" ht="15" x14ac:dyDescent="0.25">
      <c r="A180" s="728" t="e">
        <f t="shared" si="6"/>
        <v>#DIV/0!</v>
      </c>
      <c r="B180" s="87"/>
      <c r="C180" s="754"/>
      <c r="D180" s="563"/>
      <c r="E180" s="573"/>
      <c r="F180" s="563">
        <f t="shared" si="7"/>
        <v>0</v>
      </c>
      <c r="G180" s="87">
        <f t="shared" si="8"/>
        <v>0</v>
      </c>
      <c r="H180" s="690"/>
      <c r="I180" s="693"/>
      <c r="J180" s="692"/>
      <c r="K180" s="692"/>
    </row>
    <row r="181" spans="1:11" ht="15" x14ac:dyDescent="0.25">
      <c r="A181" s="728" t="e">
        <f t="shared" si="6"/>
        <v>#DIV/0!</v>
      </c>
      <c r="B181" s="87"/>
      <c r="C181" s="754"/>
      <c r="D181" s="563"/>
      <c r="E181" s="573"/>
      <c r="F181" s="563">
        <f t="shared" si="7"/>
        <v>0</v>
      </c>
      <c r="G181" s="87">
        <f t="shared" si="8"/>
        <v>0</v>
      </c>
      <c r="H181" s="690"/>
      <c r="I181" s="693"/>
      <c r="J181" s="692"/>
      <c r="K181" s="692"/>
    </row>
    <row r="182" spans="1:11" ht="15" x14ac:dyDescent="0.25">
      <c r="A182" s="728" t="e">
        <f t="shared" si="6"/>
        <v>#DIV/0!</v>
      </c>
      <c r="B182" s="87"/>
      <c r="C182" s="754"/>
      <c r="D182" s="563"/>
      <c r="E182" s="573"/>
      <c r="F182" s="563">
        <f t="shared" si="7"/>
        <v>0</v>
      </c>
      <c r="G182" s="87">
        <f t="shared" si="8"/>
        <v>0</v>
      </c>
      <c r="H182" s="690"/>
      <c r="I182" s="693"/>
      <c r="J182" s="692"/>
      <c r="K182" s="692"/>
    </row>
    <row r="183" spans="1:11" ht="15" x14ac:dyDescent="0.25">
      <c r="A183" s="728" t="e">
        <f t="shared" si="6"/>
        <v>#DIV/0!</v>
      </c>
      <c r="B183" s="87"/>
      <c r="C183" s="754"/>
      <c r="D183" s="563"/>
      <c r="E183" s="573"/>
      <c r="F183" s="563">
        <f t="shared" si="7"/>
        <v>0</v>
      </c>
      <c r="G183" s="87">
        <f t="shared" si="8"/>
        <v>0</v>
      </c>
      <c r="H183" s="690"/>
      <c r="I183" s="693"/>
      <c r="J183" s="692"/>
      <c r="K183" s="692"/>
    </row>
    <row r="184" spans="1:11" ht="15" x14ac:dyDescent="0.25">
      <c r="A184" s="728" t="e">
        <f t="shared" si="6"/>
        <v>#DIV/0!</v>
      </c>
      <c r="B184" s="87"/>
      <c r="C184" s="754"/>
      <c r="D184" s="563"/>
      <c r="E184" s="573"/>
      <c r="F184" s="563">
        <f t="shared" si="7"/>
        <v>0</v>
      </c>
      <c r="G184" s="87">
        <f t="shared" si="8"/>
        <v>0</v>
      </c>
      <c r="H184" s="690"/>
      <c r="I184" s="693"/>
      <c r="J184" s="692"/>
      <c r="K184" s="692"/>
    </row>
    <row r="185" spans="1:11" ht="15" x14ac:dyDescent="0.25">
      <c r="A185" s="728" t="e">
        <f t="shared" si="6"/>
        <v>#DIV/0!</v>
      </c>
      <c r="B185" s="87"/>
      <c r="C185" s="754"/>
      <c r="D185" s="563"/>
      <c r="E185" s="573"/>
      <c r="F185" s="563">
        <f t="shared" si="7"/>
        <v>0</v>
      </c>
      <c r="G185" s="87">
        <f t="shared" si="8"/>
        <v>0</v>
      </c>
      <c r="H185" s="690"/>
      <c r="I185" s="693"/>
      <c r="J185" s="692"/>
      <c r="K185" s="692"/>
    </row>
    <row r="186" spans="1:11" ht="15" x14ac:dyDescent="0.25">
      <c r="A186" s="728" t="e">
        <f t="shared" si="6"/>
        <v>#DIV/0!</v>
      </c>
      <c r="B186" s="87"/>
      <c r="C186" s="754"/>
      <c r="D186" s="563"/>
      <c r="E186" s="573"/>
      <c r="F186" s="563">
        <f t="shared" si="7"/>
        <v>0</v>
      </c>
      <c r="G186" s="87">
        <f t="shared" si="8"/>
        <v>0</v>
      </c>
      <c r="H186" s="690"/>
      <c r="I186" s="693"/>
      <c r="J186" s="692"/>
      <c r="K186" s="692"/>
    </row>
    <row r="187" spans="1:11" ht="15" x14ac:dyDescent="0.25">
      <c r="A187" s="728" t="e">
        <f t="shared" si="6"/>
        <v>#DIV/0!</v>
      </c>
      <c r="B187" s="87"/>
      <c r="C187" s="754"/>
      <c r="D187" s="563"/>
      <c r="E187" s="573"/>
      <c r="F187" s="563">
        <f t="shared" si="7"/>
        <v>0</v>
      </c>
      <c r="G187" s="87">
        <f t="shared" si="8"/>
        <v>0</v>
      </c>
      <c r="H187" s="690"/>
      <c r="I187" s="693"/>
      <c r="J187" s="692"/>
      <c r="K187" s="692"/>
    </row>
    <row r="188" spans="1:11" ht="15" x14ac:dyDescent="0.25">
      <c r="A188" s="728" t="e">
        <f t="shared" si="6"/>
        <v>#DIV/0!</v>
      </c>
      <c r="B188" s="87"/>
      <c r="C188" s="754"/>
      <c r="D188" s="563"/>
      <c r="E188" s="573"/>
      <c r="F188" s="563">
        <f t="shared" si="7"/>
        <v>0</v>
      </c>
      <c r="G188" s="87">
        <f t="shared" si="8"/>
        <v>0</v>
      </c>
      <c r="H188" s="690"/>
      <c r="I188" s="693"/>
      <c r="J188" s="692"/>
      <c r="K188" s="692"/>
    </row>
    <row r="189" spans="1:11" ht="15" x14ac:dyDescent="0.25">
      <c r="A189" s="728" t="e">
        <f t="shared" si="6"/>
        <v>#DIV/0!</v>
      </c>
      <c r="B189" s="87"/>
      <c r="C189" s="754"/>
      <c r="D189" s="563"/>
      <c r="E189" s="573"/>
      <c r="F189" s="563">
        <f t="shared" si="7"/>
        <v>0</v>
      </c>
      <c r="G189" s="87">
        <f t="shared" si="8"/>
        <v>0</v>
      </c>
      <c r="H189" s="690"/>
      <c r="I189" s="693"/>
      <c r="J189" s="692"/>
      <c r="K189" s="692"/>
    </row>
    <row r="190" spans="1:11" ht="15" x14ac:dyDescent="0.25">
      <c r="A190" s="728" t="e">
        <f t="shared" si="6"/>
        <v>#DIV/0!</v>
      </c>
      <c r="B190" s="87"/>
      <c r="C190" s="754"/>
      <c r="D190" s="563"/>
      <c r="E190" s="573"/>
      <c r="F190" s="563">
        <f t="shared" si="7"/>
        <v>0</v>
      </c>
      <c r="G190" s="87">
        <f t="shared" si="8"/>
        <v>0</v>
      </c>
      <c r="H190" s="690"/>
      <c r="I190" s="693"/>
      <c r="J190" s="692"/>
      <c r="K190" s="692"/>
    </row>
    <row r="191" spans="1:11" ht="15" x14ac:dyDescent="0.25">
      <c r="A191" s="728" t="e">
        <f t="shared" si="6"/>
        <v>#DIV/0!</v>
      </c>
      <c r="B191" s="87"/>
      <c r="C191" s="754"/>
      <c r="D191" s="563"/>
      <c r="E191" s="573"/>
      <c r="F191" s="563">
        <f t="shared" si="7"/>
        <v>0</v>
      </c>
      <c r="G191" s="87">
        <f t="shared" si="8"/>
        <v>0</v>
      </c>
      <c r="H191" s="690"/>
      <c r="I191" s="693"/>
      <c r="J191" s="692"/>
      <c r="K191" s="692"/>
    </row>
    <row r="192" spans="1:11" ht="15" x14ac:dyDescent="0.25">
      <c r="A192" s="728" t="e">
        <f t="shared" si="6"/>
        <v>#DIV/0!</v>
      </c>
      <c r="B192" s="87"/>
      <c r="C192" s="754"/>
      <c r="D192" s="563"/>
      <c r="E192" s="573"/>
      <c r="F192" s="563">
        <f t="shared" si="7"/>
        <v>0</v>
      </c>
      <c r="G192" s="87">
        <f t="shared" si="8"/>
        <v>0</v>
      </c>
      <c r="H192" s="690"/>
      <c r="I192" s="693"/>
      <c r="J192" s="692"/>
      <c r="K192" s="692"/>
    </row>
    <row r="193" spans="1:11" ht="15" x14ac:dyDescent="0.25">
      <c r="A193" s="728" t="e">
        <f t="shared" si="6"/>
        <v>#DIV/0!</v>
      </c>
      <c r="B193" s="87"/>
      <c r="C193" s="754"/>
      <c r="D193" s="563"/>
      <c r="E193" s="573"/>
      <c r="F193" s="563">
        <f t="shared" si="7"/>
        <v>0</v>
      </c>
      <c r="G193" s="87">
        <f t="shared" si="8"/>
        <v>0</v>
      </c>
      <c r="H193" s="690"/>
      <c r="I193" s="693"/>
      <c r="J193" s="692"/>
      <c r="K193" s="692"/>
    </row>
    <row r="194" spans="1:11" ht="15" x14ac:dyDescent="0.25">
      <c r="A194" s="728" t="e">
        <f t="shared" si="6"/>
        <v>#DIV/0!</v>
      </c>
      <c r="B194" s="87"/>
      <c r="C194" s="754"/>
      <c r="D194" s="563"/>
      <c r="E194" s="573"/>
      <c r="F194" s="563">
        <f t="shared" si="7"/>
        <v>0</v>
      </c>
      <c r="G194" s="87">
        <f t="shared" si="8"/>
        <v>0</v>
      </c>
      <c r="H194" s="690"/>
      <c r="I194" s="693"/>
      <c r="J194" s="692"/>
      <c r="K194" s="692"/>
    </row>
    <row r="195" spans="1:11" ht="15" x14ac:dyDescent="0.25">
      <c r="A195" s="728" t="e">
        <f t="shared" si="6"/>
        <v>#DIV/0!</v>
      </c>
      <c r="B195" s="87"/>
      <c r="C195" s="754"/>
      <c r="D195" s="563"/>
      <c r="E195" s="573"/>
      <c r="F195" s="563">
        <f t="shared" si="7"/>
        <v>0</v>
      </c>
      <c r="G195" s="87">
        <f t="shared" si="8"/>
        <v>0</v>
      </c>
      <c r="H195" s="690"/>
      <c r="I195" s="693"/>
      <c r="J195" s="692"/>
      <c r="K195" s="692"/>
    </row>
    <row r="196" spans="1:11" ht="15" x14ac:dyDescent="0.25">
      <c r="A196" s="728" t="e">
        <f t="shared" si="6"/>
        <v>#DIV/0!</v>
      </c>
      <c r="B196" s="87"/>
      <c r="C196" s="754"/>
      <c r="D196" s="563"/>
      <c r="E196" s="573"/>
      <c r="F196" s="563">
        <f t="shared" si="7"/>
        <v>0</v>
      </c>
      <c r="G196" s="87">
        <f t="shared" si="8"/>
        <v>0</v>
      </c>
      <c r="H196" s="690"/>
      <c r="I196" s="693"/>
      <c r="J196" s="692"/>
      <c r="K196" s="692"/>
    </row>
    <row r="197" spans="1:11" ht="15" x14ac:dyDescent="0.25">
      <c r="A197" s="728" t="e">
        <f t="shared" si="6"/>
        <v>#DIV/0!</v>
      </c>
      <c r="B197" s="87"/>
      <c r="C197" s="754"/>
      <c r="D197" s="563"/>
      <c r="E197" s="573"/>
      <c r="F197" s="563">
        <f t="shared" si="7"/>
        <v>0</v>
      </c>
      <c r="G197" s="87">
        <f t="shared" si="8"/>
        <v>0</v>
      </c>
      <c r="H197" s="690"/>
      <c r="I197" s="693"/>
      <c r="J197" s="692"/>
      <c r="K197" s="692"/>
    </row>
    <row r="198" spans="1:11" ht="15" x14ac:dyDescent="0.25">
      <c r="A198" s="728" t="e">
        <f t="shared" ref="A198:A262" si="9">D198/E198</f>
        <v>#DIV/0!</v>
      </c>
      <c r="B198" s="87"/>
      <c r="C198" s="754"/>
      <c r="D198" s="563"/>
      <c r="E198" s="573"/>
      <c r="F198" s="563">
        <f t="shared" ref="F198:F262" si="10">D198</f>
        <v>0</v>
      </c>
      <c r="G198" s="87">
        <f t="shared" si="8"/>
        <v>0</v>
      </c>
      <c r="H198" s="690"/>
      <c r="I198" s="693"/>
      <c r="J198" s="692"/>
      <c r="K198" s="692"/>
    </row>
    <row r="199" spans="1:11" ht="15" x14ac:dyDescent="0.25">
      <c r="A199" s="728" t="e">
        <f t="shared" si="9"/>
        <v>#DIV/0!</v>
      </c>
      <c r="B199" s="87"/>
      <c r="C199" s="754"/>
      <c r="D199" s="563"/>
      <c r="E199" s="573"/>
      <c r="F199" s="563">
        <f t="shared" si="10"/>
        <v>0</v>
      </c>
      <c r="G199" s="87">
        <f t="shared" si="8"/>
        <v>0</v>
      </c>
      <c r="H199" s="690"/>
      <c r="I199" s="693"/>
      <c r="J199" s="692"/>
      <c r="K199" s="692"/>
    </row>
    <row r="200" spans="1:11" ht="15" x14ac:dyDescent="0.25">
      <c r="A200" s="728" t="e">
        <f t="shared" si="9"/>
        <v>#DIV/0!</v>
      </c>
      <c r="B200" s="87"/>
      <c r="C200" s="754"/>
      <c r="D200" s="563"/>
      <c r="E200" s="573"/>
      <c r="F200" s="563">
        <f t="shared" si="10"/>
        <v>0</v>
      </c>
      <c r="G200" s="87">
        <f t="shared" si="8"/>
        <v>0</v>
      </c>
      <c r="H200" s="690"/>
      <c r="I200" s="693"/>
      <c r="J200" s="692"/>
      <c r="K200" s="692"/>
    </row>
    <row r="201" spans="1:11" ht="15" x14ac:dyDescent="0.25">
      <c r="A201" s="728" t="e">
        <f t="shared" si="9"/>
        <v>#DIV/0!</v>
      </c>
      <c r="B201" s="87"/>
      <c r="C201" s="754"/>
      <c r="D201" s="563"/>
      <c r="E201" s="573"/>
      <c r="F201" s="563">
        <f t="shared" si="10"/>
        <v>0</v>
      </c>
      <c r="G201" s="87">
        <f t="shared" si="8"/>
        <v>0</v>
      </c>
      <c r="H201" s="690"/>
      <c r="I201" s="693"/>
      <c r="J201" s="692"/>
      <c r="K201" s="692"/>
    </row>
    <row r="202" spans="1:11" ht="15" x14ac:dyDescent="0.25">
      <c r="A202" s="728" t="e">
        <f t="shared" si="9"/>
        <v>#DIV/0!</v>
      </c>
      <c r="B202" s="87"/>
      <c r="C202" s="754"/>
      <c r="D202" s="563"/>
      <c r="E202" s="573"/>
      <c r="F202" s="563">
        <f t="shared" si="10"/>
        <v>0</v>
      </c>
      <c r="G202" s="87">
        <f t="shared" si="8"/>
        <v>0</v>
      </c>
      <c r="H202" s="690"/>
      <c r="I202" s="693"/>
      <c r="J202" s="692"/>
      <c r="K202" s="692"/>
    </row>
    <row r="203" spans="1:11" ht="15" x14ac:dyDescent="0.25">
      <c r="A203" s="728" t="e">
        <f t="shared" si="9"/>
        <v>#DIV/0!</v>
      </c>
      <c r="B203" s="87"/>
      <c r="C203" s="754"/>
      <c r="D203" s="563"/>
      <c r="E203" s="573"/>
      <c r="F203" s="563">
        <f t="shared" si="10"/>
        <v>0</v>
      </c>
      <c r="G203" s="87">
        <f t="shared" si="8"/>
        <v>0</v>
      </c>
      <c r="H203" s="690"/>
      <c r="I203" s="693"/>
      <c r="J203" s="692"/>
      <c r="K203" s="692"/>
    </row>
    <row r="204" spans="1:11" ht="15" x14ac:dyDescent="0.25">
      <c r="A204" s="728" t="e">
        <f t="shared" si="9"/>
        <v>#DIV/0!</v>
      </c>
      <c r="B204" s="87"/>
      <c r="C204" s="754"/>
      <c r="D204" s="563"/>
      <c r="E204" s="573"/>
      <c r="F204" s="563">
        <f t="shared" si="10"/>
        <v>0</v>
      </c>
      <c r="G204" s="87">
        <f t="shared" si="8"/>
        <v>0</v>
      </c>
      <c r="H204" s="690"/>
      <c r="I204" s="693"/>
      <c r="J204" s="692"/>
      <c r="K204" s="692"/>
    </row>
    <row r="205" spans="1:11" ht="15" x14ac:dyDescent="0.25">
      <c r="A205" s="728" t="e">
        <f t="shared" si="9"/>
        <v>#DIV/0!</v>
      </c>
      <c r="B205" s="87"/>
      <c r="C205" s="754"/>
      <c r="D205" s="563"/>
      <c r="E205" s="573"/>
      <c r="F205" s="563">
        <f t="shared" si="10"/>
        <v>0</v>
      </c>
      <c r="G205" s="87">
        <f t="shared" si="8"/>
        <v>0</v>
      </c>
      <c r="H205" s="690"/>
      <c r="I205" s="693"/>
      <c r="J205" s="692"/>
      <c r="K205" s="692"/>
    </row>
    <row r="206" spans="1:11" ht="15" x14ac:dyDescent="0.25">
      <c r="A206" s="728" t="e">
        <f t="shared" si="9"/>
        <v>#DIV/0!</v>
      </c>
      <c r="B206" s="87"/>
      <c r="C206" s="754"/>
      <c r="D206" s="563"/>
      <c r="E206" s="573"/>
      <c r="F206" s="563">
        <f t="shared" si="10"/>
        <v>0</v>
      </c>
      <c r="G206" s="87">
        <f t="shared" si="8"/>
        <v>0</v>
      </c>
      <c r="H206" s="690"/>
      <c r="I206" s="693"/>
      <c r="J206" s="692"/>
      <c r="K206" s="692"/>
    </row>
    <row r="207" spans="1:11" ht="15" x14ac:dyDescent="0.25">
      <c r="A207" s="728" t="e">
        <f t="shared" si="9"/>
        <v>#DIV/0!</v>
      </c>
      <c r="B207" s="87"/>
      <c r="C207" s="754"/>
      <c r="D207" s="563"/>
      <c r="E207" s="573"/>
      <c r="F207" s="563">
        <f t="shared" si="10"/>
        <v>0</v>
      </c>
      <c r="G207" s="87">
        <f t="shared" si="8"/>
        <v>0</v>
      </c>
      <c r="H207" s="690"/>
      <c r="I207" s="693"/>
      <c r="J207" s="692"/>
      <c r="K207" s="692"/>
    </row>
    <row r="208" spans="1:11" ht="15" x14ac:dyDescent="0.25">
      <c r="A208" s="728" t="e">
        <f t="shared" si="9"/>
        <v>#DIV/0!</v>
      </c>
      <c r="B208" s="87"/>
      <c r="C208" s="754"/>
      <c r="D208" s="563"/>
      <c r="E208" s="573"/>
      <c r="F208" s="563">
        <f t="shared" si="10"/>
        <v>0</v>
      </c>
      <c r="G208" s="87">
        <f t="shared" si="8"/>
        <v>0</v>
      </c>
      <c r="H208" s="690"/>
      <c r="I208" s="693"/>
      <c r="J208" s="692"/>
      <c r="K208" s="692"/>
    </row>
    <row r="209" spans="1:11" ht="15" x14ac:dyDescent="0.25">
      <c r="A209" s="728" t="e">
        <f t="shared" si="9"/>
        <v>#DIV/0!</v>
      </c>
      <c r="B209" s="87"/>
      <c r="C209" s="754"/>
      <c r="D209" s="563"/>
      <c r="E209" s="573"/>
      <c r="F209" s="563">
        <f t="shared" si="10"/>
        <v>0</v>
      </c>
      <c r="G209" s="87">
        <f t="shared" si="8"/>
        <v>0</v>
      </c>
      <c r="H209" s="690"/>
      <c r="I209" s="693"/>
      <c r="J209" s="692"/>
      <c r="K209" s="692"/>
    </row>
    <row r="210" spans="1:11" ht="15" x14ac:dyDescent="0.25">
      <c r="A210" s="728" t="e">
        <f t="shared" si="9"/>
        <v>#DIV/0!</v>
      </c>
      <c r="B210" s="87"/>
      <c r="C210" s="754"/>
      <c r="D210" s="563"/>
      <c r="E210" s="573"/>
      <c r="F210" s="563">
        <f t="shared" si="10"/>
        <v>0</v>
      </c>
      <c r="G210" s="87">
        <f t="shared" si="8"/>
        <v>0</v>
      </c>
      <c r="H210" s="690"/>
      <c r="I210" s="693"/>
      <c r="J210" s="692"/>
      <c r="K210" s="692"/>
    </row>
    <row r="211" spans="1:11" ht="15" x14ac:dyDescent="0.25">
      <c r="A211" s="728" t="e">
        <f t="shared" si="9"/>
        <v>#DIV/0!</v>
      </c>
      <c r="B211" s="87"/>
      <c r="C211" s="754"/>
      <c r="D211" s="563"/>
      <c r="E211" s="573"/>
      <c r="F211" s="563">
        <f t="shared" si="10"/>
        <v>0</v>
      </c>
      <c r="G211" s="87">
        <f t="shared" si="8"/>
        <v>0</v>
      </c>
      <c r="H211" s="690"/>
      <c r="I211" s="693"/>
      <c r="J211" s="692"/>
      <c r="K211" s="692"/>
    </row>
    <row r="212" spans="1:11" ht="15" x14ac:dyDescent="0.25">
      <c r="A212" s="728" t="e">
        <f t="shared" si="9"/>
        <v>#DIV/0!</v>
      </c>
      <c r="B212" s="87"/>
      <c r="C212" s="754"/>
      <c r="D212" s="563"/>
      <c r="E212" s="573"/>
      <c r="F212" s="563">
        <f t="shared" si="10"/>
        <v>0</v>
      </c>
      <c r="G212" s="87">
        <f t="shared" si="8"/>
        <v>0</v>
      </c>
      <c r="H212" s="690"/>
      <c r="I212" s="693"/>
      <c r="J212" s="692"/>
      <c r="K212" s="692"/>
    </row>
    <row r="213" spans="1:11" ht="15" x14ac:dyDescent="0.25">
      <c r="A213" s="728" t="e">
        <f t="shared" si="9"/>
        <v>#DIV/0!</v>
      </c>
      <c r="B213" s="87"/>
      <c r="C213" s="754"/>
      <c r="D213" s="563"/>
      <c r="E213" s="573"/>
      <c r="F213" s="563">
        <f t="shared" si="10"/>
        <v>0</v>
      </c>
      <c r="G213" s="87">
        <f t="shared" si="8"/>
        <v>0</v>
      </c>
      <c r="H213" s="690"/>
      <c r="I213" s="693"/>
      <c r="J213" s="692"/>
      <c r="K213" s="692"/>
    </row>
    <row r="214" spans="1:11" ht="15" x14ac:dyDescent="0.25">
      <c r="A214" s="728" t="e">
        <f t="shared" si="9"/>
        <v>#DIV/0!</v>
      </c>
      <c r="B214" s="87"/>
      <c r="C214" s="754"/>
      <c r="D214" s="563"/>
      <c r="E214" s="573"/>
      <c r="F214" s="563">
        <f t="shared" si="10"/>
        <v>0</v>
      </c>
      <c r="G214" s="87">
        <f t="shared" si="8"/>
        <v>0</v>
      </c>
      <c r="H214" s="690"/>
      <c r="I214" s="693"/>
      <c r="J214" s="692"/>
      <c r="K214" s="692"/>
    </row>
    <row r="215" spans="1:11" ht="15" x14ac:dyDescent="0.25">
      <c r="A215" s="728" t="e">
        <f t="shared" si="9"/>
        <v>#DIV/0!</v>
      </c>
      <c r="B215" s="87"/>
      <c r="C215" s="754"/>
      <c r="D215" s="563"/>
      <c r="E215" s="573"/>
      <c r="F215" s="563">
        <f t="shared" si="10"/>
        <v>0</v>
      </c>
      <c r="G215" s="87">
        <f t="shared" si="8"/>
        <v>0</v>
      </c>
      <c r="H215" s="690"/>
      <c r="I215" s="693"/>
      <c r="J215" s="692"/>
      <c r="K215" s="692"/>
    </row>
    <row r="216" spans="1:11" ht="15" x14ac:dyDescent="0.25">
      <c r="A216" s="728" t="e">
        <f t="shared" si="9"/>
        <v>#DIV/0!</v>
      </c>
      <c r="B216" s="87"/>
      <c r="C216" s="754"/>
      <c r="D216" s="563"/>
      <c r="E216" s="573"/>
      <c r="F216" s="563">
        <f t="shared" si="10"/>
        <v>0</v>
      </c>
      <c r="G216" s="87">
        <f t="shared" si="8"/>
        <v>0</v>
      </c>
      <c r="H216" s="690"/>
      <c r="I216" s="693"/>
      <c r="J216" s="692"/>
      <c r="K216" s="692"/>
    </row>
    <row r="217" spans="1:11" ht="15" x14ac:dyDescent="0.25">
      <c r="A217" s="728" t="e">
        <f t="shared" si="9"/>
        <v>#DIV/0!</v>
      </c>
      <c r="B217" s="87"/>
      <c r="C217" s="754"/>
      <c r="D217" s="563"/>
      <c r="E217" s="573"/>
      <c r="F217" s="563">
        <f t="shared" si="10"/>
        <v>0</v>
      </c>
      <c r="G217" s="87">
        <f t="shared" si="8"/>
        <v>0</v>
      </c>
      <c r="H217" s="690"/>
      <c r="I217" s="693"/>
      <c r="J217" s="692"/>
      <c r="K217" s="692"/>
    </row>
    <row r="218" spans="1:11" ht="15" x14ac:dyDescent="0.25">
      <c r="A218" s="728" t="e">
        <f t="shared" si="9"/>
        <v>#DIV/0!</v>
      </c>
      <c r="B218" s="87"/>
      <c r="C218" s="754"/>
      <c r="D218" s="563"/>
      <c r="E218" s="573"/>
      <c r="F218" s="563">
        <f t="shared" si="10"/>
        <v>0</v>
      </c>
      <c r="G218" s="87">
        <f t="shared" si="8"/>
        <v>0</v>
      </c>
      <c r="H218" s="690"/>
      <c r="I218" s="731"/>
      <c r="J218" s="692"/>
      <c r="K218" s="692"/>
    </row>
    <row r="219" spans="1:11" ht="15" x14ac:dyDescent="0.25">
      <c r="A219" s="728" t="e">
        <f t="shared" si="9"/>
        <v>#DIV/0!</v>
      </c>
      <c r="B219" s="87"/>
      <c r="C219" s="758"/>
      <c r="D219" s="563"/>
      <c r="E219" s="573"/>
      <c r="F219" s="563">
        <f t="shared" si="10"/>
        <v>0</v>
      </c>
      <c r="G219" s="87">
        <f t="shared" si="8"/>
        <v>0</v>
      </c>
      <c r="H219" s="690"/>
      <c r="I219" s="693"/>
      <c r="J219" s="692"/>
      <c r="K219" s="692"/>
    </row>
    <row r="220" spans="1:11" ht="15" x14ac:dyDescent="0.25">
      <c r="A220" s="728" t="e">
        <f t="shared" si="9"/>
        <v>#DIV/0!</v>
      </c>
      <c r="B220" s="87"/>
      <c r="C220" s="754"/>
      <c r="D220" s="563"/>
      <c r="E220" s="573"/>
      <c r="F220" s="563">
        <f t="shared" si="10"/>
        <v>0</v>
      </c>
      <c r="G220" s="87">
        <f t="shared" si="8"/>
        <v>0</v>
      </c>
      <c r="H220" s="690"/>
      <c r="I220" s="693"/>
      <c r="J220" s="692"/>
      <c r="K220" s="692"/>
    </row>
    <row r="221" spans="1:11" ht="15" x14ac:dyDescent="0.25">
      <c r="A221" s="728" t="e">
        <f t="shared" si="9"/>
        <v>#DIV/0!</v>
      </c>
      <c r="B221" s="87"/>
      <c r="C221" s="758"/>
      <c r="D221" s="563"/>
      <c r="E221" s="573"/>
      <c r="F221" s="563">
        <f t="shared" si="10"/>
        <v>0</v>
      </c>
      <c r="G221" s="87">
        <f t="shared" si="8"/>
        <v>0</v>
      </c>
      <c r="H221" s="690"/>
      <c r="I221" s="693"/>
      <c r="J221" s="692"/>
      <c r="K221" s="692"/>
    </row>
    <row r="222" spans="1:11" ht="15" x14ac:dyDescent="0.25">
      <c r="A222" s="728" t="e">
        <f t="shared" si="9"/>
        <v>#DIV/0!</v>
      </c>
      <c r="B222" s="87"/>
      <c r="C222" s="754"/>
      <c r="D222" s="563"/>
      <c r="E222" s="573"/>
      <c r="F222" s="563">
        <f t="shared" si="10"/>
        <v>0</v>
      </c>
      <c r="G222" s="87">
        <f t="shared" si="8"/>
        <v>0</v>
      </c>
      <c r="H222" s="690"/>
      <c r="I222" s="693"/>
      <c r="J222" s="692"/>
      <c r="K222" s="692"/>
    </row>
    <row r="223" spans="1:11" ht="15" x14ac:dyDescent="0.25">
      <c r="A223" s="728" t="e">
        <f t="shared" si="9"/>
        <v>#DIV/0!</v>
      </c>
      <c r="B223" s="87"/>
      <c r="C223" s="754"/>
      <c r="D223" s="563"/>
      <c r="E223" s="573"/>
      <c r="F223" s="563">
        <f t="shared" si="10"/>
        <v>0</v>
      </c>
      <c r="G223" s="87">
        <f t="shared" si="8"/>
        <v>0</v>
      </c>
      <c r="H223" s="690"/>
      <c r="I223" s="693"/>
      <c r="J223" s="692"/>
      <c r="K223" s="692"/>
    </row>
    <row r="224" spans="1:11" ht="15" x14ac:dyDescent="0.25">
      <c r="A224" s="728" t="e">
        <f t="shared" si="9"/>
        <v>#DIV/0!</v>
      </c>
      <c r="B224" s="87"/>
      <c r="C224" s="754"/>
      <c r="D224" s="563"/>
      <c r="E224" s="573"/>
      <c r="F224" s="563">
        <f t="shared" si="10"/>
        <v>0</v>
      </c>
      <c r="G224" s="87">
        <f t="shared" si="8"/>
        <v>0</v>
      </c>
      <c r="H224" s="690"/>
      <c r="I224" s="693"/>
      <c r="J224" s="692"/>
      <c r="K224" s="692"/>
    </row>
    <row r="225" spans="1:11" ht="15" x14ac:dyDescent="0.25">
      <c r="A225" s="728" t="e">
        <f t="shared" si="9"/>
        <v>#DIV/0!</v>
      </c>
      <c r="B225" s="87"/>
      <c r="C225" s="754"/>
      <c r="D225" s="563"/>
      <c r="E225" s="573"/>
      <c r="F225" s="563">
        <f t="shared" si="10"/>
        <v>0</v>
      </c>
      <c r="G225" s="87">
        <f t="shared" si="8"/>
        <v>0</v>
      </c>
      <c r="H225" s="690"/>
      <c r="I225" s="693"/>
      <c r="J225" s="692"/>
      <c r="K225" s="692"/>
    </row>
    <row r="226" spans="1:11" ht="15" x14ac:dyDescent="0.25">
      <c r="A226" s="728" t="e">
        <f t="shared" si="9"/>
        <v>#DIV/0!</v>
      </c>
      <c r="B226" s="87"/>
      <c r="C226" s="754"/>
      <c r="D226" s="563"/>
      <c r="E226" s="573"/>
      <c r="F226" s="563">
        <f t="shared" si="10"/>
        <v>0</v>
      </c>
      <c r="G226" s="87">
        <f t="shared" si="8"/>
        <v>0</v>
      </c>
      <c r="H226" s="690"/>
      <c r="I226" s="693"/>
      <c r="J226" s="692"/>
      <c r="K226" s="692"/>
    </row>
    <row r="227" spans="1:11" ht="15" x14ac:dyDescent="0.25">
      <c r="A227" s="728" t="e">
        <f t="shared" si="9"/>
        <v>#DIV/0!</v>
      </c>
      <c r="B227" s="87"/>
      <c r="C227" s="758"/>
      <c r="D227" s="563"/>
      <c r="E227" s="573"/>
      <c r="F227" s="563">
        <f t="shared" si="10"/>
        <v>0</v>
      </c>
      <c r="G227" s="87">
        <f t="shared" si="8"/>
        <v>0</v>
      </c>
      <c r="H227" s="690"/>
      <c r="I227" s="693"/>
      <c r="J227" s="692"/>
      <c r="K227" s="692"/>
    </row>
    <row r="228" spans="1:11" ht="15" x14ac:dyDescent="0.25">
      <c r="A228" s="728" t="e">
        <f t="shared" si="9"/>
        <v>#DIV/0!</v>
      </c>
      <c r="B228" s="87"/>
      <c r="C228" s="754"/>
      <c r="D228" s="563"/>
      <c r="E228" s="573"/>
      <c r="F228" s="563">
        <f t="shared" si="10"/>
        <v>0</v>
      </c>
      <c r="G228" s="87">
        <f t="shared" si="8"/>
        <v>0</v>
      </c>
      <c r="H228" s="690"/>
      <c r="I228" s="693"/>
      <c r="J228" s="692"/>
      <c r="K228" s="692"/>
    </row>
    <row r="229" spans="1:11" ht="15" x14ac:dyDescent="0.25">
      <c r="A229" s="728" t="e">
        <f t="shared" si="9"/>
        <v>#DIV/0!</v>
      </c>
      <c r="B229" s="87"/>
      <c r="C229" s="758"/>
      <c r="D229" s="563"/>
      <c r="E229" s="573"/>
      <c r="F229" s="563">
        <f t="shared" si="10"/>
        <v>0</v>
      </c>
      <c r="G229" s="87">
        <f t="shared" si="8"/>
        <v>0</v>
      </c>
      <c r="H229" s="690"/>
      <c r="I229" s="693"/>
      <c r="J229" s="692"/>
      <c r="K229" s="692"/>
    </row>
    <row r="230" spans="1:11" ht="15" x14ac:dyDescent="0.25">
      <c r="A230" s="728" t="e">
        <f t="shared" si="9"/>
        <v>#DIV/0!</v>
      </c>
      <c r="B230" s="87"/>
      <c r="C230" s="754"/>
      <c r="D230" s="563"/>
      <c r="E230" s="573"/>
      <c r="F230" s="563">
        <f t="shared" si="10"/>
        <v>0</v>
      </c>
      <c r="G230" s="87">
        <f t="shared" si="8"/>
        <v>0</v>
      </c>
      <c r="H230" s="690"/>
      <c r="I230" s="693"/>
      <c r="J230" s="692"/>
      <c r="K230" s="692"/>
    </row>
    <row r="231" spans="1:11" ht="15" x14ac:dyDescent="0.25">
      <c r="A231" s="728" t="e">
        <f t="shared" si="9"/>
        <v>#DIV/0!</v>
      </c>
      <c r="B231" s="87"/>
      <c r="C231" s="754"/>
      <c r="D231" s="563"/>
      <c r="E231" s="573"/>
      <c r="F231" s="563">
        <f t="shared" si="10"/>
        <v>0</v>
      </c>
      <c r="G231" s="87">
        <f t="shared" si="8"/>
        <v>0</v>
      </c>
      <c r="H231" s="690"/>
      <c r="I231" s="693"/>
      <c r="J231" s="692"/>
      <c r="K231" s="692"/>
    </row>
    <row r="232" spans="1:11" ht="15" x14ac:dyDescent="0.25">
      <c r="A232" s="728" t="e">
        <f t="shared" si="9"/>
        <v>#DIV/0!</v>
      </c>
      <c r="B232" s="87"/>
      <c r="C232" s="754"/>
      <c r="D232" s="563"/>
      <c r="E232" s="573"/>
      <c r="F232" s="563">
        <f t="shared" si="10"/>
        <v>0</v>
      </c>
      <c r="G232" s="87">
        <f t="shared" si="8"/>
        <v>0</v>
      </c>
      <c r="H232" s="690"/>
      <c r="I232" s="693"/>
      <c r="J232" s="692"/>
      <c r="K232" s="692"/>
    </row>
    <row r="233" spans="1:11" ht="15" x14ac:dyDescent="0.25">
      <c r="A233" s="728" t="e">
        <f t="shared" si="9"/>
        <v>#DIV/0!</v>
      </c>
      <c r="B233" s="87"/>
      <c r="C233" s="754"/>
      <c r="D233" s="563"/>
      <c r="E233" s="573"/>
      <c r="F233" s="563">
        <f t="shared" si="10"/>
        <v>0</v>
      </c>
      <c r="G233" s="87">
        <f t="shared" si="8"/>
        <v>0</v>
      </c>
      <c r="H233" s="690"/>
      <c r="I233" s="693"/>
      <c r="J233" s="692"/>
      <c r="K233" s="692"/>
    </row>
    <row r="234" spans="1:11" ht="15" x14ac:dyDescent="0.25">
      <c r="A234" s="728" t="e">
        <f t="shared" si="9"/>
        <v>#DIV/0!</v>
      </c>
      <c r="B234" s="87"/>
      <c r="C234" s="754"/>
      <c r="D234" s="563"/>
      <c r="E234" s="573"/>
      <c r="F234" s="563">
        <f t="shared" si="10"/>
        <v>0</v>
      </c>
      <c r="G234" s="87">
        <f t="shared" si="8"/>
        <v>0</v>
      </c>
      <c r="H234" s="690"/>
      <c r="I234" s="693"/>
      <c r="J234" s="692"/>
      <c r="K234" s="692"/>
    </row>
    <row r="235" spans="1:11" ht="15" x14ac:dyDescent="0.25">
      <c r="A235" s="728" t="e">
        <f t="shared" si="9"/>
        <v>#DIV/0!</v>
      </c>
      <c r="B235" s="87"/>
      <c r="C235" s="754"/>
      <c r="D235" s="563"/>
      <c r="E235" s="573"/>
      <c r="F235" s="563">
        <f t="shared" si="10"/>
        <v>0</v>
      </c>
      <c r="G235" s="87">
        <f t="shared" si="8"/>
        <v>0</v>
      </c>
      <c r="H235" s="690"/>
      <c r="I235" s="693"/>
      <c r="J235" s="692"/>
      <c r="K235" s="692"/>
    </row>
    <row r="236" spans="1:11" ht="15" x14ac:dyDescent="0.25">
      <c r="A236" s="728" t="e">
        <f t="shared" si="9"/>
        <v>#DIV/0!</v>
      </c>
      <c r="B236" s="87"/>
      <c r="C236" s="754"/>
      <c r="D236" s="563"/>
      <c r="E236" s="573"/>
      <c r="F236" s="563">
        <f t="shared" si="10"/>
        <v>0</v>
      </c>
      <c r="G236" s="87">
        <f t="shared" si="8"/>
        <v>0</v>
      </c>
      <c r="H236" s="690"/>
      <c r="I236" s="693"/>
      <c r="J236" s="692"/>
      <c r="K236" s="692"/>
    </row>
    <row r="237" spans="1:11" ht="15" x14ac:dyDescent="0.25">
      <c r="A237" s="728" t="e">
        <f t="shared" si="9"/>
        <v>#DIV/0!</v>
      </c>
      <c r="B237" s="87"/>
      <c r="C237" s="754"/>
      <c r="D237" s="563"/>
      <c r="E237" s="573"/>
      <c r="F237" s="563">
        <f t="shared" si="10"/>
        <v>0</v>
      </c>
      <c r="G237" s="87">
        <f t="shared" si="8"/>
        <v>0</v>
      </c>
      <c r="H237" s="690"/>
      <c r="I237" s="693"/>
      <c r="J237" s="692"/>
      <c r="K237" s="692"/>
    </row>
    <row r="238" spans="1:11" ht="15" x14ac:dyDescent="0.25">
      <c r="A238" s="728" t="e">
        <f t="shared" si="9"/>
        <v>#DIV/0!</v>
      </c>
      <c r="B238" s="87"/>
      <c r="C238" s="754"/>
      <c r="D238" s="563"/>
      <c r="E238" s="573"/>
      <c r="F238" s="563">
        <f t="shared" si="10"/>
        <v>0</v>
      </c>
      <c r="G238" s="87">
        <f t="shared" si="8"/>
        <v>0</v>
      </c>
      <c r="H238" s="690"/>
      <c r="I238" s="693"/>
      <c r="J238" s="692"/>
      <c r="K238" s="692"/>
    </row>
    <row r="239" spans="1:11" ht="15" x14ac:dyDescent="0.25">
      <c r="A239" s="728" t="e">
        <f t="shared" si="9"/>
        <v>#DIV/0!</v>
      </c>
      <c r="B239" s="87"/>
      <c r="C239" s="754"/>
      <c r="D239" s="563"/>
      <c r="E239" s="573"/>
      <c r="F239" s="563">
        <f t="shared" si="10"/>
        <v>0</v>
      </c>
      <c r="G239" s="87">
        <f t="shared" si="8"/>
        <v>0</v>
      </c>
      <c r="H239" s="690"/>
      <c r="I239" s="693"/>
      <c r="J239" s="692"/>
      <c r="K239" s="692"/>
    </row>
    <row r="240" spans="1:11" ht="15" x14ac:dyDescent="0.25">
      <c r="A240" s="728" t="e">
        <f t="shared" si="9"/>
        <v>#DIV/0!</v>
      </c>
      <c r="B240" s="87"/>
      <c r="C240" s="754"/>
      <c r="D240" s="563"/>
      <c r="E240" s="573"/>
      <c r="F240" s="563">
        <f t="shared" si="10"/>
        <v>0</v>
      </c>
      <c r="G240" s="87">
        <f t="shared" si="8"/>
        <v>0</v>
      </c>
      <c r="H240" s="690"/>
      <c r="I240" s="693"/>
      <c r="J240" s="692"/>
      <c r="K240" s="692"/>
    </row>
    <row r="241" spans="1:11" ht="15" x14ac:dyDescent="0.25">
      <c r="A241" s="728" t="e">
        <f t="shared" si="9"/>
        <v>#DIV/0!</v>
      </c>
      <c r="B241" s="87"/>
      <c r="C241" s="754"/>
      <c r="D241" s="563"/>
      <c r="E241" s="573"/>
      <c r="F241" s="563">
        <f t="shared" si="10"/>
        <v>0</v>
      </c>
      <c r="G241" s="87">
        <f t="shared" si="8"/>
        <v>0</v>
      </c>
      <c r="H241" s="690"/>
      <c r="I241" s="693"/>
      <c r="J241" s="692"/>
      <c r="K241" s="692"/>
    </row>
    <row r="242" spans="1:11" ht="15" x14ac:dyDescent="0.25">
      <c r="A242" s="728" t="e">
        <f t="shared" si="9"/>
        <v>#DIV/0!</v>
      </c>
      <c r="B242" s="87"/>
      <c r="C242" s="740"/>
      <c r="D242" s="87"/>
      <c r="E242" s="87"/>
      <c r="F242" s="563">
        <f t="shared" si="10"/>
        <v>0</v>
      </c>
      <c r="G242" s="87">
        <f t="shared" si="8"/>
        <v>0</v>
      </c>
      <c r="H242" s="690"/>
      <c r="I242" s="693"/>
      <c r="J242" s="692"/>
      <c r="K242" s="692"/>
    </row>
    <row r="243" spans="1:11" ht="15" x14ac:dyDescent="0.25">
      <c r="A243" s="728" t="e">
        <f t="shared" si="9"/>
        <v>#DIV/0!</v>
      </c>
      <c r="B243" s="87"/>
      <c r="C243" s="740"/>
      <c r="D243" s="87"/>
      <c r="E243" s="87"/>
      <c r="F243" s="563">
        <f t="shared" si="10"/>
        <v>0</v>
      </c>
      <c r="G243" s="87">
        <f t="shared" si="8"/>
        <v>0</v>
      </c>
      <c r="H243" s="690"/>
      <c r="I243" s="693"/>
      <c r="J243" s="692"/>
      <c r="K243" s="692"/>
    </row>
    <row r="244" spans="1:11" ht="15" x14ac:dyDescent="0.25">
      <c r="A244" s="728" t="e">
        <f t="shared" si="9"/>
        <v>#DIV/0!</v>
      </c>
      <c r="B244" s="87"/>
      <c r="C244" s="740"/>
      <c r="D244" s="87"/>
      <c r="E244" s="87"/>
      <c r="F244" s="563">
        <f t="shared" si="10"/>
        <v>0</v>
      </c>
      <c r="G244" s="87">
        <f t="shared" si="8"/>
        <v>0</v>
      </c>
      <c r="H244" s="690"/>
      <c r="I244" s="693"/>
      <c r="J244" s="692"/>
      <c r="K244" s="692"/>
    </row>
    <row r="245" spans="1:11" ht="15" x14ac:dyDescent="0.25">
      <c r="A245" s="728" t="e">
        <f t="shared" si="9"/>
        <v>#DIV/0!</v>
      </c>
      <c r="B245" s="87"/>
      <c r="C245" s="740"/>
      <c r="D245" s="87"/>
      <c r="E245" s="87"/>
      <c r="F245" s="563">
        <f t="shared" si="10"/>
        <v>0</v>
      </c>
      <c r="G245" s="87">
        <f t="shared" si="8"/>
        <v>0</v>
      </c>
      <c r="H245" s="690"/>
      <c r="I245" s="693"/>
      <c r="J245" s="692"/>
      <c r="K245" s="692"/>
    </row>
    <row r="246" spans="1:11" ht="15" x14ac:dyDescent="0.25">
      <c r="A246" s="728" t="e">
        <f t="shared" si="9"/>
        <v>#DIV/0!</v>
      </c>
      <c r="B246" s="87"/>
      <c r="C246" s="740"/>
      <c r="D246" s="87"/>
      <c r="E246" s="87"/>
      <c r="F246" s="563">
        <f t="shared" si="10"/>
        <v>0</v>
      </c>
      <c r="G246" s="87">
        <f t="shared" si="8"/>
        <v>0</v>
      </c>
      <c r="H246" s="690"/>
      <c r="I246" s="693"/>
      <c r="J246" s="692"/>
      <c r="K246" s="692"/>
    </row>
    <row r="247" spans="1:11" ht="15" x14ac:dyDescent="0.25">
      <c r="A247" s="728" t="e">
        <f t="shared" si="9"/>
        <v>#DIV/0!</v>
      </c>
      <c r="B247" s="87"/>
      <c r="C247" s="740"/>
      <c r="D247" s="87"/>
      <c r="E247" s="87"/>
      <c r="F247" s="563">
        <f t="shared" si="10"/>
        <v>0</v>
      </c>
      <c r="G247" s="87">
        <f t="shared" si="8"/>
        <v>0</v>
      </c>
      <c r="H247" s="690"/>
      <c r="I247" s="693"/>
      <c r="J247" s="692"/>
      <c r="K247" s="692"/>
    </row>
    <row r="248" spans="1:11" ht="15" x14ac:dyDescent="0.25">
      <c r="A248" s="728" t="e">
        <f t="shared" si="9"/>
        <v>#DIV/0!</v>
      </c>
      <c r="B248" s="87"/>
      <c r="C248" s="740"/>
      <c r="D248" s="87"/>
      <c r="E248" s="87"/>
      <c r="F248" s="563">
        <f t="shared" si="10"/>
        <v>0</v>
      </c>
      <c r="G248" s="87">
        <f t="shared" si="8"/>
        <v>0</v>
      </c>
      <c r="H248" s="690"/>
      <c r="I248" s="693"/>
      <c r="J248" s="692"/>
      <c r="K248" s="692"/>
    </row>
    <row r="249" spans="1:11" ht="15" x14ac:dyDescent="0.25">
      <c r="A249" s="728" t="e">
        <f t="shared" si="9"/>
        <v>#DIV/0!</v>
      </c>
      <c r="B249" s="87"/>
      <c r="C249" s="740"/>
      <c r="D249" s="87"/>
      <c r="E249" s="87"/>
      <c r="F249" s="563">
        <f t="shared" si="10"/>
        <v>0</v>
      </c>
      <c r="G249" s="87">
        <f t="shared" si="8"/>
        <v>0</v>
      </c>
      <c r="H249" s="690"/>
      <c r="I249" s="693"/>
      <c r="J249" s="692"/>
      <c r="K249" s="692"/>
    </row>
    <row r="250" spans="1:11" ht="15" x14ac:dyDescent="0.25">
      <c r="A250" s="728" t="e">
        <f t="shared" si="9"/>
        <v>#DIV/0!</v>
      </c>
      <c r="B250" s="87"/>
      <c r="C250" s="740"/>
      <c r="D250" s="87"/>
      <c r="E250" s="87"/>
      <c r="F250" s="563">
        <f t="shared" si="10"/>
        <v>0</v>
      </c>
      <c r="G250" s="87">
        <f t="shared" si="8"/>
        <v>0</v>
      </c>
      <c r="H250" s="690"/>
      <c r="I250" s="693"/>
      <c r="J250" s="692"/>
      <c r="K250" s="692"/>
    </row>
    <row r="251" spans="1:11" ht="15" x14ac:dyDescent="0.25">
      <c r="A251" s="728" t="e">
        <f t="shared" si="9"/>
        <v>#DIV/0!</v>
      </c>
      <c r="B251" s="87"/>
      <c r="C251" s="740"/>
      <c r="D251" s="87"/>
      <c r="E251" s="87"/>
      <c r="F251" s="563">
        <f t="shared" si="10"/>
        <v>0</v>
      </c>
      <c r="G251" s="87">
        <f t="shared" si="8"/>
        <v>0</v>
      </c>
      <c r="H251" s="690"/>
      <c r="I251" s="693"/>
      <c r="J251" s="692"/>
      <c r="K251" s="692"/>
    </row>
    <row r="252" spans="1:11" ht="15" x14ac:dyDescent="0.25">
      <c r="A252" s="728" t="e">
        <f t="shared" si="9"/>
        <v>#DIV/0!</v>
      </c>
      <c r="B252" s="87"/>
      <c r="C252" s="740"/>
      <c r="D252" s="87"/>
      <c r="E252" s="87"/>
      <c r="F252" s="563">
        <f t="shared" si="10"/>
        <v>0</v>
      </c>
      <c r="G252" s="87">
        <f t="shared" si="8"/>
        <v>0</v>
      </c>
      <c r="H252" s="690"/>
      <c r="I252" s="693"/>
      <c r="J252" s="692"/>
      <c r="K252" s="692"/>
    </row>
    <row r="253" spans="1:11" ht="15" x14ac:dyDescent="0.25">
      <c r="A253" s="728" t="e">
        <f t="shared" si="9"/>
        <v>#DIV/0!</v>
      </c>
      <c r="B253" s="87"/>
      <c r="C253" s="740"/>
      <c r="D253" s="87"/>
      <c r="E253" s="87"/>
      <c r="F253" s="563">
        <f t="shared" si="10"/>
        <v>0</v>
      </c>
      <c r="G253" s="87">
        <f t="shared" si="8"/>
        <v>0</v>
      </c>
      <c r="H253" s="690"/>
      <c r="I253" s="693"/>
      <c r="J253" s="692"/>
      <c r="K253" s="692"/>
    </row>
    <row r="254" spans="1:11" ht="15" x14ac:dyDescent="0.25">
      <c r="A254" s="728" t="e">
        <f t="shared" si="9"/>
        <v>#DIV/0!</v>
      </c>
      <c r="B254" s="87"/>
      <c r="C254" s="740"/>
      <c r="D254" s="87"/>
      <c r="E254" s="87"/>
      <c r="F254" s="563">
        <f t="shared" si="10"/>
        <v>0</v>
      </c>
      <c r="G254" s="87">
        <f t="shared" si="8"/>
        <v>0</v>
      </c>
      <c r="H254" s="690"/>
      <c r="I254" s="693"/>
      <c r="J254" s="692"/>
      <c r="K254" s="692"/>
    </row>
    <row r="255" spans="1:11" ht="15" x14ac:dyDescent="0.25">
      <c r="A255" s="728" t="e">
        <f t="shared" si="9"/>
        <v>#DIV/0!</v>
      </c>
      <c r="B255" s="87"/>
      <c r="C255" s="740"/>
      <c r="D255" s="87"/>
      <c r="E255" s="87"/>
      <c r="F255" s="563">
        <f t="shared" si="10"/>
        <v>0</v>
      </c>
      <c r="G255" s="87">
        <f t="shared" si="8"/>
        <v>0</v>
      </c>
      <c r="H255" s="690"/>
      <c r="I255" s="693"/>
      <c r="J255" s="692"/>
      <c r="K255" s="692"/>
    </row>
    <row r="256" spans="1:11" ht="15" x14ac:dyDescent="0.25">
      <c r="A256" s="728" t="e">
        <f t="shared" si="9"/>
        <v>#DIV/0!</v>
      </c>
      <c r="B256" s="87"/>
      <c r="C256" s="740"/>
      <c r="D256" s="87"/>
      <c r="E256" s="87"/>
      <c r="F256" s="563">
        <f t="shared" si="10"/>
        <v>0</v>
      </c>
      <c r="G256" s="87">
        <f t="shared" si="8"/>
        <v>0</v>
      </c>
      <c r="H256" s="690"/>
      <c r="I256" s="693"/>
      <c r="J256" s="692"/>
      <c r="K256" s="692"/>
    </row>
    <row r="257" spans="1:11" ht="15" x14ac:dyDescent="0.25">
      <c r="A257" s="728" t="e">
        <f t="shared" si="9"/>
        <v>#DIV/0!</v>
      </c>
      <c r="B257" s="87"/>
      <c r="C257" s="740"/>
      <c r="D257" s="87"/>
      <c r="E257" s="87"/>
      <c r="F257" s="563">
        <f t="shared" si="10"/>
        <v>0</v>
      </c>
      <c r="G257" s="87">
        <f t="shared" si="8"/>
        <v>0</v>
      </c>
      <c r="H257" s="690"/>
      <c r="I257" s="693"/>
      <c r="J257" s="692"/>
      <c r="K257" s="692"/>
    </row>
    <row r="258" spans="1:11" ht="15" x14ac:dyDescent="0.25">
      <c r="A258" s="728" t="e">
        <f t="shared" si="9"/>
        <v>#DIV/0!</v>
      </c>
      <c r="B258" s="87"/>
      <c r="C258" s="740"/>
      <c r="D258" s="87"/>
      <c r="E258" s="87"/>
      <c r="F258" s="563">
        <f t="shared" si="10"/>
        <v>0</v>
      </c>
      <c r="G258" s="87">
        <f t="shared" si="8"/>
        <v>0</v>
      </c>
      <c r="H258" s="690"/>
      <c r="I258" s="693"/>
      <c r="J258" s="692"/>
      <c r="K258" s="692"/>
    </row>
    <row r="259" spans="1:11" ht="15" x14ac:dyDescent="0.25">
      <c r="A259" s="728" t="e">
        <f t="shared" si="9"/>
        <v>#DIV/0!</v>
      </c>
      <c r="B259" s="87"/>
      <c r="C259" s="740"/>
      <c r="D259" s="87"/>
      <c r="E259" s="87"/>
      <c r="F259" s="563">
        <f t="shared" si="10"/>
        <v>0</v>
      </c>
      <c r="G259" s="87">
        <f t="shared" si="8"/>
        <v>0</v>
      </c>
      <c r="H259" s="690"/>
      <c r="I259" s="693"/>
      <c r="J259" s="692"/>
      <c r="K259" s="692"/>
    </row>
    <row r="260" spans="1:11" ht="15" x14ac:dyDescent="0.25">
      <c r="A260" s="728" t="e">
        <f t="shared" si="9"/>
        <v>#DIV/0!</v>
      </c>
      <c r="B260" s="87"/>
      <c r="C260" s="740"/>
      <c r="D260" s="87"/>
      <c r="E260" s="87"/>
      <c r="F260" s="563">
        <f t="shared" si="10"/>
        <v>0</v>
      </c>
      <c r="G260" s="87">
        <f t="shared" si="8"/>
        <v>0</v>
      </c>
      <c r="H260" s="690"/>
      <c r="I260" s="693"/>
      <c r="J260" s="692"/>
      <c r="K260" s="692"/>
    </row>
    <row r="261" spans="1:11" ht="15" x14ac:dyDescent="0.25">
      <c r="A261" s="728" t="e">
        <f t="shared" si="9"/>
        <v>#DIV/0!</v>
      </c>
      <c r="B261" s="87"/>
      <c r="C261" s="740"/>
      <c r="D261" s="87"/>
      <c r="E261" s="87"/>
      <c r="F261" s="563">
        <f t="shared" si="10"/>
        <v>0</v>
      </c>
      <c r="G261" s="87">
        <f t="shared" si="8"/>
        <v>0</v>
      </c>
      <c r="H261" s="690"/>
      <c r="I261" s="693"/>
      <c r="J261" s="692"/>
      <c r="K261" s="692"/>
    </row>
    <row r="262" spans="1:11" ht="15" x14ac:dyDescent="0.25">
      <c r="A262" s="728" t="e">
        <f t="shared" si="9"/>
        <v>#DIV/0!</v>
      </c>
      <c r="B262" s="87"/>
      <c r="C262" s="740"/>
      <c r="D262" s="87"/>
      <c r="E262" s="87"/>
      <c r="F262" s="563">
        <f t="shared" si="10"/>
        <v>0</v>
      </c>
      <c r="G262" s="87">
        <f t="shared" si="8"/>
        <v>0</v>
      </c>
      <c r="H262" s="690"/>
      <c r="I262" s="693"/>
      <c r="J262" s="692"/>
      <c r="K262" s="692"/>
    </row>
    <row r="263" spans="1:11" ht="15" x14ac:dyDescent="0.25">
      <c r="A263" s="728" t="e">
        <f t="shared" ref="A263:A338" si="11">D263/E263</f>
        <v>#DIV/0!</v>
      </c>
      <c r="B263" s="87"/>
      <c r="C263" s="740"/>
      <c r="D263" s="87"/>
      <c r="E263" s="87"/>
      <c r="F263" s="563">
        <f t="shared" ref="F263:F338" si="12">D263</f>
        <v>0</v>
      </c>
      <c r="G263" s="87">
        <f t="shared" si="8"/>
        <v>0</v>
      </c>
      <c r="H263" s="690"/>
      <c r="I263" s="693"/>
      <c r="J263" s="692"/>
      <c r="K263" s="692"/>
    </row>
    <row r="264" spans="1:11" ht="15" x14ac:dyDescent="0.25">
      <c r="A264" s="728" t="e">
        <f t="shared" si="11"/>
        <v>#DIV/0!</v>
      </c>
      <c r="B264" s="87"/>
      <c r="C264" s="740"/>
      <c r="D264" s="87"/>
      <c r="E264" s="87"/>
      <c r="F264" s="563">
        <f t="shared" si="12"/>
        <v>0</v>
      </c>
      <c r="G264" s="87">
        <f t="shared" si="8"/>
        <v>0</v>
      </c>
      <c r="H264" s="690"/>
      <c r="I264" s="693"/>
      <c r="J264" s="692"/>
      <c r="K264" s="692"/>
    </row>
    <row r="265" spans="1:11" ht="15" x14ac:dyDescent="0.25">
      <c r="A265" s="728" t="e">
        <f t="shared" si="11"/>
        <v>#DIV/0!</v>
      </c>
      <c r="B265" s="87"/>
      <c r="C265" s="740"/>
      <c r="D265" s="87"/>
      <c r="E265" s="87"/>
      <c r="F265" s="563">
        <f t="shared" si="12"/>
        <v>0</v>
      </c>
      <c r="G265" s="87">
        <f t="shared" si="8"/>
        <v>0</v>
      </c>
      <c r="H265" s="690"/>
      <c r="I265" s="693"/>
      <c r="J265" s="692"/>
      <c r="K265" s="692"/>
    </row>
    <row r="266" spans="1:11" ht="15" x14ac:dyDescent="0.25">
      <c r="A266" s="728" t="e">
        <f t="shared" si="11"/>
        <v>#DIV/0!</v>
      </c>
      <c r="B266" s="87"/>
      <c r="C266" s="740"/>
      <c r="D266" s="87"/>
      <c r="E266" s="87"/>
      <c r="F266" s="563">
        <f t="shared" si="12"/>
        <v>0</v>
      </c>
      <c r="G266" s="87">
        <f t="shared" si="8"/>
        <v>0</v>
      </c>
      <c r="H266" s="690"/>
      <c r="I266" s="693"/>
      <c r="J266" s="692"/>
      <c r="K266" s="692"/>
    </row>
    <row r="267" spans="1:11" ht="15" x14ac:dyDescent="0.25">
      <c r="A267" s="728" t="e">
        <f t="shared" si="11"/>
        <v>#DIV/0!</v>
      </c>
      <c r="B267" s="87"/>
      <c r="C267" s="740"/>
      <c r="D267" s="87"/>
      <c r="E267" s="87"/>
      <c r="F267" s="563">
        <f t="shared" si="12"/>
        <v>0</v>
      </c>
      <c r="G267" s="87">
        <f t="shared" si="8"/>
        <v>0</v>
      </c>
      <c r="H267" s="690"/>
      <c r="I267" s="693"/>
      <c r="J267" s="692"/>
      <c r="K267" s="692"/>
    </row>
    <row r="268" spans="1:11" ht="15" x14ac:dyDescent="0.25">
      <c r="A268" s="728" t="e">
        <f t="shared" si="11"/>
        <v>#DIV/0!</v>
      </c>
      <c r="B268" s="87"/>
      <c r="C268" s="740"/>
      <c r="D268" s="87"/>
      <c r="E268" s="87"/>
      <c r="F268" s="563">
        <f t="shared" si="12"/>
        <v>0</v>
      </c>
      <c r="G268" s="87">
        <f t="shared" si="8"/>
        <v>0</v>
      </c>
      <c r="H268" s="690"/>
      <c r="I268" s="693"/>
      <c r="J268" s="692"/>
      <c r="K268" s="692"/>
    </row>
    <row r="269" spans="1:11" ht="15" x14ac:dyDescent="0.25">
      <c r="A269" s="728" t="e">
        <f t="shared" si="11"/>
        <v>#DIV/0!</v>
      </c>
      <c r="B269" s="87"/>
      <c r="C269" s="740"/>
      <c r="D269" s="87"/>
      <c r="E269" s="87"/>
      <c r="F269" s="563">
        <f t="shared" si="12"/>
        <v>0</v>
      </c>
      <c r="G269" s="87">
        <f t="shared" si="8"/>
        <v>0</v>
      </c>
      <c r="H269" s="690"/>
      <c r="I269" s="693"/>
      <c r="J269" s="692"/>
      <c r="K269" s="692"/>
    </row>
    <row r="270" spans="1:11" ht="15" x14ac:dyDescent="0.25">
      <c r="A270" s="728" t="e">
        <f t="shared" si="11"/>
        <v>#DIV/0!</v>
      </c>
      <c r="B270" s="87"/>
      <c r="C270" s="740"/>
      <c r="D270" s="87"/>
      <c r="E270" s="87"/>
      <c r="F270" s="563">
        <f t="shared" si="12"/>
        <v>0</v>
      </c>
      <c r="G270" s="87">
        <f t="shared" si="8"/>
        <v>0</v>
      </c>
      <c r="H270" s="690"/>
      <c r="I270" s="693"/>
      <c r="J270" s="692"/>
      <c r="K270" s="692"/>
    </row>
    <row r="271" spans="1:11" ht="15" x14ac:dyDescent="0.25">
      <c r="A271" s="728" t="e">
        <f t="shared" si="11"/>
        <v>#DIV/0!</v>
      </c>
      <c r="B271" s="87"/>
      <c r="C271" s="740"/>
      <c r="D271" s="87"/>
      <c r="E271" s="87"/>
      <c r="F271" s="563">
        <f t="shared" si="12"/>
        <v>0</v>
      </c>
      <c r="G271" s="87">
        <f t="shared" si="8"/>
        <v>0</v>
      </c>
      <c r="H271" s="690"/>
      <c r="I271" s="693"/>
      <c r="J271" s="692"/>
      <c r="K271" s="692"/>
    </row>
    <row r="272" spans="1:11" ht="15" x14ac:dyDescent="0.25">
      <c r="A272" s="728" t="e">
        <f t="shared" si="11"/>
        <v>#DIV/0!</v>
      </c>
      <c r="B272" s="87"/>
      <c r="C272" s="740"/>
      <c r="D272" s="87"/>
      <c r="E272" s="87"/>
      <c r="F272" s="563">
        <f t="shared" si="12"/>
        <v>0</v>
      </c>
      <c r="G272" s="87">
        <f t="shared" si="8"/>
        <v>0</v>
      </c>
      <c r="H272" s="690"/>
      <c r="I272" s="693"/>
      <c r="J272" s="692"/>
      <c r="K272" s="692"/>
    </row>
    <row r="273" spans="1:11" ht="15" x14ac:dyDescent="0.25">
      <c r="A273" s="728" t="e">
        <f t="shared" si="11"/>
        <v>#DIV/0!</v>
      </c>
      <c r="B273" s="87"/>
      <c r="C273" s="740"/>
      <c r="D273" s="87"/>
      <c r="E273" s="87"/>
      <c r="F273" s="563">
        <f t="shared" si="12"/>
        <v>0</v>
      </c>
      <c r="G273" s="87">
        <f t="shared" si="8"/>
        <v>0</v>
      </c>
      <c r="H273" s="690"/>
      <c r="I273" s="693"/>
      <c r="J273" s="692"/>
      <c r="K273" s="692"/>
    </row>
    <row r="274" spans="1:11" ht="15" x14ac:dyDescent="0.25">
      <c r="A274" s="728" t="e">
        <f t="shared" si="11"/>
        <v>#DIV/0!</v>
      </c>
      <c r="B274" s="87"/>
      <c r="C274" s="740"/>
      <c r="D274" s="87"/>
      <c r="E274" s="87"/>
      <c r="F274" s="563">
        <f t="shared" si="12"/>
        <v>0</v>
      </c>
      <c r="G274" s="87">
        <f t="shared" si="8"/>
        <v>0</v>
      </c>
      <c r="H274" s="690"/>
      <c r="I274" s="693"/>
      <c r="J274" s="692"/>
      <c r="K274" s="692"/>
    </row>
    <row r="275" spans="1:11" ht="15" x14ac:dyDescent="0.25">
      <c r="A275" s="728" t="e">
        <f t="shared" si="11"/>
        <v>#DIV/0!</v>
      </c>
      <c r="B275" s="87"/>
      <c r="C275" s="740"/>
      <c r="D275" s="87"/>
      <c r="E275" s="87"/>
      <c r="F275" s="563">
        <f t="shared" si="12"/>
        <v>0</v>
      </c>
      <c r="G275" s="87">
        <f t="shared" si="8"/>
        <v>0</v>
      </c>
      <c r="H275" s="690"/>
      <c r="I275" s="693"/>
      <c r="J275" s="692"/>
      <c r="K275" s="692"/>
    </row>
    <row r="276" spans="1:11" ht="15" x14ac:dyDescent="0.25">
      <c r="A276" s="728" t="e">
        <f t="shared" si="11"/>
        <v>#DIV/0!</v>
      </c>
      <c r="B276" s="87"/>
      <c r="C276" s="759"/>
      <c r="D276" s="87"/>
      <c r="E276" s="87"/>
      <c r="F276" s="563">
        <f t="shared" si="12"/>
        <v>0</v>
      </c>
      <c r="G276" s="87">
        <f t="shared" si="8"/>
        <v>0</v>
      </c>
      <c r="H276" s="690"/>
      <c r="I276" s="693"/>
      <c r="J276" s="692"/>
      <c r="K276" s="692"/>
    </row>
    <row r="277" spans="1:11" ht="15" x14ac:dyDescent="0.25">
      <c r="A277" s="728" t="e">
        <f t="shared" si="11"/>
        <v>#DIV/0!</v>
      </c>
      <c r="B277" s="87"/>
      <c r="C277" s="759"/>
      <c r="D277" s="87"/>
      <c r="E277" s="87"/>
      <c r="F277" s="563">
        <f t="shared" si="12"/>
        <v>0</v>
      </c>
      <c r="G277" s="87">
        <f t="shared" si="8"/>
        <v>0</v>
      </c>
      <c r="H277" s="690"/>
      <c r="I277" s="693"/>
      <c r="J277" s="692"/>
      <c r="K277" s="692"/>
    </row>
    <row r="278" spans="1:11" ht="15" x14ac:dyDescent="0.25">
      <c r="A278" s="728" t="e">
        <f t="shared" si="11"/>
        <v>#DIV/0!</v>
      </c>
      <c r="B278" s="87"/>
      <c r="C278" s="740"/>
      <c r="D278" s="87"/>
      <c r="E278" s="87"/>
      <c r="F278" s="563">
        <f t="shared" si="12"/>
        <v>0</v>
      </c>
      <c r="G278" s="87">
        <f t="shared" si="8"/>
        <v>0</v>
      </c>
      <c r="H278" s="690"/>
      <c r="I278" s="693"/>
      <c r="J278" s="692"/>
      <c r="K278" s="692"/>
    </row>
    <row r="279" spans="1:11" ht="15" x14ac:dyDescent="0.25">
      <c r="A279" s="728" t="e">
        <f t="shared" si="11"/>
        <v>#DIV/0!</v>
      </c>
      <c r="B279" s="87"/>
      <c r="C279" s="740"/>
      <c r="D279" s="87"/>
      <c r="E279" s="87"/>
      <c r="F279" s="563">
        <f t="shared" si="12"/>
        <v>0</v>
      </c>
      <c r="G279" s="87">
        <f t="shared" si="8"/>
        <v>0</v>
      </c>
      <c r="H279" s="690"/>
      <c r="I279" s="693"/>
      <c r="J279" s="692"/>
      <c r="K279" s="692"/>
    </row>
    <row r="280" spans="1:11" ht="15" x14ac:dyDescent="0.25">
      <c r="A280" s="728" t="e">
        <f t="shared" si="11"/>
        <v>#DIV/0!</v>
      </c>
      <c r="B280" s="87"/>
      <c r="C280" s="740"/>
      <c r="D280" s="87"/>
      <c r="E280" s="87"/>
      <c r="F280" s="563">
        <f t="shared" si="12"/>
        <v>0</v>
      </c>
      <c r="G280" s="87">
        <f t="shared" si="8"/>
        <v>0</v>
      </c>
      <c r="H280" s="690"/>
      <c r="I280" s="693"/>
      <c r="J280" s="692"/>
      <c r="K280" s="692"/>
    </row>
    <row r="281" spans="1:11" ht="15" x14ac:dyDescent="0.25">
      <c r="A281" s="728" t="e">
        <f t="shared" si="11"/>
        <v>#DIV/0!</v>
      </c>
      <c r="B281" s="87"/>
      <c r="C281" s="740"/>
      <c r="D281" s="87"/>
      <c r="E281" s="87"/>
      <c r="F281" s="563">
        <f t="shared" si="12"/>
        <v>0</v>
      </c>
      <c r="G281" s="87">
        <f t="shared" si="8"/>
        <v>0</v>
      </c>
      <c r="H281" s="690"/>
      <c r="I281" s="693"/>
      <c r="J281" s="692"/>
      <c r="K281" s="692"/>
    </row>
    <row r="282" spans="1:11" ht="15" x14ac:dyDescent="0.25">
      <c r="A282" s="728" t="e">
        <f t="shared" si="11"/>
        <v>#DIV/0!</v>
      </c>
      <c r="B282" s="87"/>
      <c r="C282" s="740"/>
      <c r="D282" s="87"/>
      <c r="E282" s="87"/>
      <c r="F282" s="563">
        <f t="shared" si="12"/>
        <v>0</v>
      </c>
      <c r="G282" s="87">
        <f t="shared" si="8"/>
        <v>0</v>
      </c>
      <c r="H282" s="690"/>
      <c r="I282" s="693"/>
      <c r="J282" s="692"/>
      <c r="K282" s="692"/>
    </row>
    <row r="283" spans="1:11" ht="15" x14ac:dyDescent="0.25">
      <c r="A283" s="728" t="e">
        <f t="shared" si="11"/>
        <v>#DIV/0!</v>
      </c>
      <c r="B283" s="87"/>
      <c r="C283" s="740"/>
      <c r="D283" s="87"/>
      <c r="E283" s="87"/>
      <c r="F283" s="563">
        <f t="shared" si="12"/>
        <v>0</v>
      </c>
      <c r="G283" s="87">
        <f t="shared" si="8"/>
        <v>0</v>
      </c>
      <c r="H283" s="690"/>
      <c r="I283" s="693"/>
      <c r="J283" s="692"/>
      <c r="K283" s="692"/>
    </row>
    <row r="284" spans="1:11" ht="15" x14ac:dyDescent="0.25">
      <c r="A284" s="728" t="e">
        <f t="shared" si="11"/>
        <v>#DIV/0!</v>
      </c>
      <c r="B284" s="87"/>
      <c r="C284" s="740"/>
      <c r="D284" s="87"/>
      <c r="E284" s="87"/>
      <c r="F284" s="563">
        <f t="shared" si="12"/>
        <v>0</v>
      </c>
      <c r="G284" s="87">
        <f t="shared" si="8"/>
        <v>0</v>
      </c>
      <c r="H284" s="690"/>
      <c r="I284" s="693"/>
      <c r="J284" s="692"/>
      <c r="K284" s="692"/>
    </row>
    <row r="285" spans="1:11" ht="15" x14ac:dyDescent="0.25">
      <c r="A285" s="728" t="e">
        <f t="shared" si="11"/>
        <v>#DIV/0!</v>
      </c>
      <c r="B285" s="87"/>
      <c r="C285" s="740"/>
      <c r="D285" s="87"/>
      <c r="E285" s="87"/>
      <c r="F285" s="563">
        <f t="shared" si="12"/>
        <v>0</v>
      </c>
      <c r="G285" s="87">
        <f t="shared" si="8"/>
        <v>0</v>
      </c>
      <c r="H285" s="690"/>
      <c r="I285" s="693"/>
      <c r="J285" s="692"/>
      <c r="K285" s="692"/>
    </row>
    <row r="286" spans="1:11" ht="15" x14ac:dyDescent="0.25">
      <c r="A286" s="728" t="e">
        <f t="shared" si="11"/>
        <v>#DIV/0!</v>
      </c>
      <c r="B286" s="87"/>
      <c r="C286" s="740"/>
      <c r="D286" s="87"/>
      <c r="E286" s="87"/>
      <c r="F286" s="563">
        <f t="shared" si="12"/>
        <v>0</v>
      </c>
      <c r="G286" s="87">
        <f t="shared" si="8"/>
        <v>0</v>
      </c>
      <c r="H286" s="690"/>
      <c r="I286" s="693"/>
      <c r="J286" s="692"/>
      <c r="K286" s="692"/>
    </row>
    <row r="287" spans="1:11" ht="15" x14ac:dyDescent="0.25">
      <c r="A287" s="728" t="e">
        <f t="shared" si="11"/>
        <v>#DIV/0!</v>
      </c>
      <c r="B287" s="87"/>
      <c r="C287" s="740"/>
      <c r="D287" s="87"/>
      <c r="E287" s="87"/>
      <c r="F287" s="563">
        <f t="shared" si="12"/>
        <v>0</v>
      </c>
      <c r="G287" s="87">
        <f t="shared" si="8"/>
        <v>0</v>
      </c>
      <c r="H287" s="690"/>
      <c r="I287" s="693"/>
      <c r="J287" s="692"/>
      <c r="K287" s="692"/>
    </row>
    <row r="288" spans="1:11" ht="15" x14ac:dyDescent="0.25">
      <c r="A288" s="728" t="e">
        <f t="shared" si="11"/>
        <v>#DIV/0!</v>
      </c>
      <c r="B288" s="87"/>
      <c r="C288" s="740"/>
      <c r="D288" s="87"/>
      <c r="E288" s="87"/>
      <c r="F288" s="563">
        <f t="shared" si="12"/>
        <v>0</v>
      </c>
      <c r="G288" s="87">
        <f t="shared" si="8"/>
        <v>0</v>
      </c>
      <c r="H288" s="690"/>
      <c r="I288" s="693"/>
      <c r="J288" s="692"/>
      <c r="K288" s="692"/>
    </row>
    <row r="289" spans="1:11" ht="15" x14ac:dyDescent="0.25">
      <c r="A289" s="728" t="e">
        <f t="shared" si="11"/>
        <v>#DIV/0!</v>
      </c>
      <c r="B289" s="87"/>
      <c r="C289" s="740"/>
      <c r="D289" s="87"/>
      <c r="E289" s="87"/>
      <c r="F289" s="563">
        <f t="shared" si="12"/>
        <v>0</v>
      </c>
      <c r="G289" s="87">
        <f t="shared" si="8"/>
        <v>0</v>
      </c>
      <c r="H289" s="690"/>
      <c r="I289" s="693"/>
      <c r="J289" s="692"/>
      <c r="K289" s="692"/>
    </row>
    <row r="290" spans="1:11" ht="15" x14ac:dyDescent="0.25">
      <c r="A290" s="728" t="e">
        <f t="shared" si="11"/>
        <v>#DIV/0!</v>
      </c>
      <c r="B290" s="87"/>
      <c r="C290" s="740"/>
      <c r="D290" s="87"/>
      <c r="E290" s="87"/>
      <c r="F290" s="563">
        <f t="shared" si="12"/>
        <v>0</v>
      </c>
      <c r="G290" s="87">
        <f t="shared" si="8"/>
        <v>0</v>
      </c>
      <c r="H290" s="690"/>
      <c r="I290" s="693"/>
      <c r="J290" s="692"/>
      <c r="K290" s="692"/>
    </row>
    <row r="291" spans="1:11" ht="15" x14ac:dyDescent="0.25">
      <c r="A291" s="728" t="e">
        <f t="shared" si="11"/>
        <v>#DIV/0!</v>
      </c>
      <c r="B291" s="87"/>
      <c r="C291" s="740"/>
      <c r="D291" s="87"/>
      <c r="E291" s="87"/>
      <c r="F291" s="563">
        <f t="shared" si="12"/>
        <v>0</v>
      </c>
      <c r="G291" s="87">
        <f t="shared" si="8"/>
        <v>0</v>
      </c>
      <c r="H291" s="690"/>
      <c r="I291" s="693"/>
      <c r="J291" s="692"/>
      <c r="K291" s="692"/>
    </row>
    <row r="292" spans="1:11" ht="15" x14ac:dyDescent="0.25">
      <c r="A292" s="728" t="e">
        <f t="shared" si="11"/>
        <v>#DIV/0!</v>
      </c>
      <c r="B292" s="87"/>
      <c r="C292" s="740"/>
      <c r="D292" s="87"/>
      <c r="E292" s="87"/>
      <c r="F292" s="563">
        <f t="shared" si="12"/>
        <v>0</v>
      </c>
      <c r="G292" s="87">
        <f t="shared" si="8"/>
        <v>0</v>
      </c>
      <c r="H292" s="690"/>
      <c r="I292" s="693"/>
      <c r="J292" s="692"/>
      <c r="K292" s="692"/>
    </row>
    <row r="293" spans="1:11" ht="15" x14ac:dyDescent="0.25">
      <c r="A293" s="728" t="e">
        <f t="shared" si="11"/>
        <v>#DIV/0!</v>
      </c>
      <c r="B293" s="87"/>
      <c r="C293" s="740"/>
      <c r="D293" s="87"/>
      <c r="E293" s="87"/>
      <c r="F293" s="563">
        <f t="shared" si="12"/>
        <v>0</v>
      </c>
      <c r="G293" s="87">
        <f t="shared" si="8"/>
        <v>0</v>
      </c>
      <c r="H293" s="690"/>
      <c r="I293" s="693"/>
      <c r="J293" s="692"/>
      <c r="K293" s="692"/>
    </row>
    <row r="294" spans="1:11" ht="15" x14ac:dyDescent="0.25">
      <c r="A294" s="728" t="e">
        <f t="shared" si="11"/>
        <v>#DIV/0!</v>
      </c>
      <c r="B294" s="87"/>
      <c r="C294" s="740"/>
      <c r="D294" s="87"/>
      <c r="E294" s="87"/>
      <c r="F294" s="563">
        <f t="shared" si="12"/>
        <v>0</v>
      </c>
      <c r="G294" s="87">
        <f t="shared" si="8"/>
        <v>0</v>
      </c>
      <c r="H294" s="690"/>
      <c r="I294" s="693"/>
      <c r="J294" s="692"/>
      <c r="K294" s="692"/>
    </row>
    <row r="295" spans="1:11" ht="15" x14ac:dyDescent="0.25">
      <c r="A295" s="728" t="e">
        <f t="shared" si="11"/>
        <v>#DIV/0!</v>
      </c>
      <c r="B295" s="87"/>
      <c r="C295" s="740"/>
      <c r="D295" s="87"/>
      <c r="E295" s="87"/>
      <c r="F295" s="563">
        <f t="shared" si="12"/>
        <v>0</v>
      </c>
      <c r="G295" s="87">
        <f t="shared" si="8"/>
        <v>0</v>
      </c>
      <c r="H295" s="690"/>
      <c r="I295" s="693"/>
      <c r="J295" s="692"/>
      <c r="K295" s="692"/>
    </row>
    <row r="296" spans="1:11" ht="15" x14ac:dyDescent="0.25">
      <c r="A296" s="728" t="e">
        <f t="shared" si="11"/>
        <v>#DIV/0!</v>
      </c>
      <c r="B296" s="87"/>
      <c r="C296" s="740"/>
      <c r="D296" s="87"/>
      <c r="E296" s="87"/>
      <c r="F296" s="563">
        <f t="shared" si="12"/>
        <v>0</v>
      </c>
      <c r="G296" s="87">
        <f t="shared" si="8"/>
        <v>0</v>
      </c>
      <c r="H296" s="690"/>
      <c r="I296" s="693"/>
      <c r="J296" s="692"/>
      <c r="K296" s="692"/>
    </row>
    <row r="297" spans="1:11" ht="15" x14ac:dyDescent="0.25">
      <c r="A297" s="728" t="e">
        <f t="shared" si="11"/>
        <v>#DIV/0!</v>
      </c>
      <c r="B297" s="87"/>
      <c r="C297" s="740"/>
      <c r="D297" s="87"/>
      <c r="E297" s="87"/>
      <c r="F297" s="563">
        <f t="shared" si="12"/>
        <v>0</v>
      </c>
      <c r="G297" s="87">
        <f t="shared" si="8"/>
        <v>0</v>
      </c>
      <c r="H297" s="690"/>
      <c r="I297" s="693"/>
      <c r="J297" s="692"/>
      <c r="K297" s="692"/>
    </row>
    <row r="298" spans="1:11" ht="15" x14ac:dyDescent="0.25">
      <c r="A298" s="728" t="e">
        <f t="shared" si="11"/>
        <v>#DIV/0!</v>
      </c>
      <c r="B298" s="87"/>
      <c r="C298" s="740"/>
      <c r="D298" s="87"/>
      <c r="E298" s="87"/>
      <c r="F298" s="563">
        <f t="shared" si="12"/>
        <v>0</v>
      </c>
      <c r="G298" s="87">
        <f t="shared" si="8"/>
        <v>0</v>
      </c>
      <c r="H298" s="690"/>
      <c r="I298" s="693"/>
      <c r="J298" s="692"/>
      <c r="K298" s="692"/>
    </row>
    <row r="299" spans="1:11" ht="15" x14ac:dyDescent="0.25">
      <c r="A299" s="728" t="e">
        <f t="shared" si="11"/>
        <v>#DIV/0!</v>
      </c>
      <c r="B299" s="87"/>
      <c r="C299" s="740"/>
      <c r="D299" s="87"/>
      <c r="E299" s="87"/>
      <c r="F299" s="563">
        <f t="shared" si="12"/>
        <v>0</v>
      </c>
      <c r="G299" s="87">
        <f t="shared" si="8"/>
        <v>0</v>
      </c>
      <c r="H299" s="690"/>
      <c r="I299" s="693"/>
      <c r="J299" s="692"/>
      <c r="K299" s="692"/>
    </row>
    <row r="300" spans="1:11" ht="15" x14ac:dyDescent="0.25">
      <c r="A300" s="728" t="e">
        <f t="shared" si="11"/>
        <v>#DIV/0!</v>
      </c>
      <c r="B300" s="87"/>
      <c r="C300" s="740"/>
      <c r="D300" s="87"/>
      <c r="E300" s="87"/>
      <c r="F300" s="563">
        <f t="shared" si="12"/>
        <v>0</v>
      </c>
      <c r="G300" s="87">
        <f t="shared" si="8"/>
        <v>0</v>
      </c>
      <c r="H300" s="690"/>
      <c r="I300" s="693"/>
      <c r="J300" s="692"/>
      <c r="K300" s="692"/>
    </row>
    <row r="301" spans="1:11" ht="15" x14ac:dyDescent="0.25">
      <c r="A301" s="728" t="e">
        <f t="shared" si="11"/>
        <v>#DIV/0!</v>
      </c>
      <c r="B301" s="87"/>
      <c r="C301" s="740"/>
      <c r="D301" s="87"/>
      <c r="E301" s="87"/>
      <c r="F301" s="563">
        <f t="shared" si="12"/>
        <v>0</v>
      </c>
      <c r="G301" s="87">
        <f t="shared" si="8"/>
        <v>0</v>
      </c>
      <c r="H301" s="690"/>
      <c r="I301" s="693"/>
      <c r="J301" s="692"/>
      <c r="K301" s="692"/>
    </row>
    <row r="302" spans="1:11" ht="15" x14ac:dyDescent="0.25">
      <c r="A302" s="728" t="e">
        <f t="shared" si="11"/>
        <v>#DIV/0!</v>
      </c>
      <c r="B302" s="87"/>
      <c r="C302" s="740"/>
      <c r="D302" s="87"/>
      <c r="E302" s="87"/>
      <c r="F302" s="563">
        <f t="shared" si="12"/>
        <v>0</v>
      </c>
      <c r="G302" s="87">
        <f t="shared" si="8"/>
        <v>0</v>
      </c>
      <c r="H302" s="690"/>
      <c r="I302" s="693"/>
      <c r="J302" s="692"/>
      <c r="K302" s="692"/>
    </row>
    <row r="303" spans="1:11" ht="15" x14ac:dyDescent="0.25">
      <c r="A303" s="728" t="e">
        <f t="shared" si="11"/>
        <v>#DIV/0!</v>
      </c>
      <c r="B303" s="87"/>
      <c r="C303" s="740"/>
      <c r="D303" s="87"/>
      <c r="E303" s="87"/>
      <c r="F303" s="563">
        <f t="shared" si="12"/>
        <v>0</v>
      </c>
      <c r="G303" s="87">
        <f t="shared" si="8"/>
        <v>0</v>
      </c>
      <c r="H303" s="690"/>
      <c r="I303" s="693"/>
      <c r="J303" s="692"/>
      <c r="K303" s="692"/>
    </row>
    <row r="304" spans="1:11" ht="15" x14ac:dyDescent="0.25">
      <c r="A304" s="728" t="e">
        <f t="shared" si="11"/>
        <v>#DIV/0!</v>
      </c>
      <c r="B304" s="87"/>
      <c r="C304" s="740"/>
      <c r="D304" s="87"/>
      <c r="E304" s="87"/>
      <c r="F304" s="563">
        <f t="shared" si="12"/>
        <v>0</v>
      </c>
      <c r="G304" s="87">
        <f t="shared" si="8"/>
        <v>0</v>
      </c>
      <c r="H304" s="690"/>
      <c r="I304" s="693"/>
      <c r="J304" s="692"/>
      <c r="K304" s="692"/>
    </row>
    <row r="305" spans="1:11" ht="15" x14ac:dyDescent="0.25">
      <c r="A305" s="728" t="e">
        <f t="shared" si="11"/>
        <v>#DIV/0!</v>
      </c>
      <c r="B305" s="87"/>
      <c r="C305" s="740"/>
      <c r="D305" s="87"/>
      <c r="E305" s="87"/>
      <c r="F305" s="563">
        <f t="shared" si="12"/>
        <v>0</v>
      </c>
      <c r="G305" s="87">
        <f t="shared" si="8"/>
        <v>0</v>
      </c>
      <c r="H305" s="690"/>
      <c r="I305" s="693"/>
      <c r="J305" s="692"/>
      <c r="K305" s="692"/>
    </row>
    <row r="306" spans="1:11" ht="15" x14ac:dyDescent="0.25">
      <c r="A306" s="728" t="e">
        <f t="shared" si="11"/>
        <v>#DIV/0!</v>
      </c>
      <c r="B306" s="87"/>
      <c r="C306" s="740"/>
      <c r="D306" s="87"/>
      <c r="E306" s="87"/>
      <c r="F306" s="563">
        <f t="shared" si="12"/>
        <v>0</v>
      </c>
      <c r="G306" s="87">
        <f t="shared" si="8"/>
        <v>0</v>
      </c>
      <c r="H306" s="690"/>
      <c r="I306" s="693"/>
      <c r="J306" s="692"/>
      <c r="K306" s="692"/>
    </row>
    <row r="307" spans="1:11" ht="15" x14ac:dyDescent="0.25">
      <c r="A307" s="728" t="e">
        <f t="shared" si="11"/>
        <v>#DIV/0!</v>
      </c>
      <c r="B307" s="87"/>
      <c r="C307" s="740"/>
      <c r="D307" s="87"/>
      <c r="E307" s="87"/>
      <c r="F307" s="563">
        <f t="shared" si="12"/>
        <v>0</v>
      </c>
      <c r="G307" s="87">
        <f t="shared" si="8"/>
        <v>0</v>
      </c>
      <c r="H307" s="690"/>
      <c r="I307" s="693"/>
      <c r="J307" s="692"/>
      <c r="K307" s="692"/>
    </row>
    <row r="308" spans="1:11" ht="15" x14ac:dyDescent="0.25">
      <c r="A308" s="728" t="e">
        <f t="shared" si="11"/>
        <v>#DIV/0!</v>
      </c>
      <c r="B308" s="87"/>
      <c r="C308" s="740"/>
      <c r="D308" s="87"/>
      <c r="E308" s="87"/>
      <c r="F308" s="563">
        <f t="shared" si="12"/>
        <v>0</v>
      </c>
      <c r="G308" s="87">
        <f t="shared" si="8"/>
        <v>0</v>
      </c>
      <c r="H308" s="690"/>
      <c r="I308" s="693"/>
      <c r="J308" s="692"/>
      <c r="K308" s="692"/>
    </row>
    <row r="309" spans="1:11" ht="15" x14ac:dyDescent="0.25">
      <c r="A309" s="728" t="e">
        <f t="shared" si="11"/>
        <v>#DIV/0!</v>
      </c>
      <c r="B309" s="87"/>
      <c r="C309" s="740"/>
      <c r="D309" s="87"/>
      <c r="E309" s="87"/>
      <c r="F309" s="563">
        <f t="shared" si="12"/>
        <v>0</v>
      </c>
      <c r="G309" s="87">
        <f t="shared" si="8"/>
        <v>0</v>
      </c>
      <c r="H309" s="690"/>
      <c r="I309" s="693"/>
      <c r="J309" s="692"/>
      <c r="K309" s="692"/>
    </row>
    <row r="310" spans="1:11" ht="15" x14ac:dyDescent="0.25">
      <c r="A310" s="728" t="e">
        <f t="shared" si="11"/>
        <v>#DIV/0!</v>
      </c>
      <c r="B310" s="87"/>
      <c r="C310" s="740"/>
      <c r="D310" s="87"/>
      <c r="E310" s="87"/>
      <c r="F310" s="563">
        <f t="shared" si="12"/>
        <v>0</v>
      </c>
      <c r="G310" s="87">
        <f t="shared" si="8"/>
        <v>0</v>
      </c>
      <c r="H310" s="690"/>
      <c r="I310" s="693"/>
      <c r="J310" s="692"/>
      <c r="K310" s="692"/>
    </row>
    <row r="311" spans="1:11" ht="15" x14ac:dyDescent="0.25">
      <c r="A311" s="728" t="e">
        <f t="shared" si="11"/>
        <v>#DIV/0!</v>
      </c>
      <c r="B311" s="87"/>
      <c r="C311" s="740"/>
      <c r="D311" s="87"/>
      <c r="E311" s="87"/>
      <c r="F311" s="563">
        <f t="shared" si="12"/>
        <v>0</v>
      </c>
      <c r="G311" s="87">
        <f t="shared" si="8"/>
        <v>0</v>
      </c>
      <c r="H311" s="690"/>
      <c r="I311" s="693"/>
      <c r="J311" s="692"/>
      <c r="K311" s="692"/>
    </row>
    <row r="312" spans="1:11" ht="15" x14ac:dyDescent="0.25">
      <c r="A312" s="728" t="e">
        <f t="shared" si="11"/>
        <v>#DIV/0!</v>
      </c>
      <c r="B312" s="87"/>
      <c r="C312" s="740"/>
      <c r="D312" s="87"/>
      <c r="E312" s="87"/>
      <c r="F312" s="563">
        <f t="shared" si="12"/>
        <v>0</v>
      </c>
      <c r="G312" s="87">
        <f t="shared" si="8"/>
        <v>0</v>
      </c>
      <c r="H312" s="690"/>
      <c r="I312" s="693"/>
      <c r="J312" s="692"/>
      <c r="K312" s="692"/>
    </row>
    <row r="313" spans="1:11" ht="15" x14ac:dyDescent="0.25">
      <c r="A313" s="728" t="e">
        <f t="shared" si="11"/>
        <v>#DIV/0!</v>
      </c>
      <c r="B313" s="87"/>
      <c r="C313" s="740"/>
      <c r="D313" s="87"/>
      <c r="E313" s="87"/>
      <c r="F313" s="563">
        <f t="shared" si="12"/>
        <v>0</v>
      </c>
      <c r="G313" s="87">
        <f t="shared" si="8"/>
        <v>0</v>
      </c>
      <c r="H313" s="690"/>
      <c r="I313" s="693"/>
      <c r="J313" s="692"/>
      <c r="K313" s="692"/>
    </row>
    <row r="314" spans="1:11" ht="15" x14ac:dyDescent="0.25">
      <c r="A314" s="728" t="e">
        <f t="shared" si="11"/>
        <v>#DIV/0!</v>
      </c>
      <c r="B314" s="87"/>
      <c r="C314" s="740"/>
      <c r="D314" s="87"/>
      <c r="E314" s="87"/>
      <c r="F314" s="563">
        <f t="shared" si="12"/>
        <v>0</v>
      </c>
      <c r="G314" s="87">
        <f t="shared" si="8"/>
        <v>0</v>
      </c>
      <c r="H314" s="690"/>
      <c r="I314" s="693"/>
      <c r="J314" s="692"/>
      <c r="K314" s="692"/>
    </row>
    <row r="315" spans="1:11" ht="15" x14ac:dyDescent="0.25">
      <c r="A315" s="728" t="e">
        <f t="shared" si="11"/>
        <v>#DIV/0!</v>
      </c>
      <c r="B315" s="87"/>
      <c r="C315" s="740"/>
      <c r="D315" s="87"/>
      <c r="E315" s="87"/>
      <c r="F315" s="563">
        <f t="shared" si="12"/>
        <v>0</v>
      </c>
      <c r="G315" s="87">
        <f t="shared" si="8"/>
        <v>0</v>
      </c>
      <c r="H315" s="690"/>
      <c r="I315" s="693"/>
      <c r="J315" s="692"/>
      <c r="K315" s="692"/>
    </row>
    <row r="316" spans="1:11" ht="15" x14ac:dyDescent="0.25">
      <c r="A316" s="728" t="e">
        <f t="shared" si="11"/>
        <v>#DIV/0!</v>
      </c>
      <c r="B316" s="87"/>
      <c r="C316" s="740"/>
      <c r="D316" s="87"/>
      <c r="E316" s="87"/>
      <c r="F316" s="563">
        <f t="shared" si="12"/>
        <v>0</v>
      </c>
      <c r="G316" s="87">
        <f t="shared" si="8"/>
        <v>0</v>
      </c>
      <c r="H316" s="690"/>
      <c r="I316" s="693"/>
      <c r="J316" s="692"/>
      <c r="K316" s="692"/>
    </row>
    <row r="317" spans="1:11" ht="15" x14ac:dyDescent="0.25">
      <c r="A317" s="728" t="e">
        <f t="shared" si="11"/>
        <v>#DIV/0!</v>
      </c>
      <c r="B317" s="87"/>
      <c r="C317" s="740"/>
      <c r="D317" s="87"/>
      <c r="E317" s="87"/>
      <c r="F317" s="563">
        <f t="shared" si="12"/>
        <v>0</v>
      </c>
      <c r="G317" s="87">
        <f t="shared" si="8"/>
        <v>0</v>
      </c>
      <c r="H317" s="690"/>
      <c r="I317" s="693"/>
      <c r="J317" s="692"/>
      <c r="K317" s="692"/>
    </row>
    <row r="318" spans="1:11" ht="15" x14ac:dyDescent="0.25">
      <c r="A318" s="728" t="e">
        <f t="shared" si="11"/>
        <v>#DIV/0!</v>
      </c>
      <c r="B318" s="87"/>
      <c r="C318" s="740"/>
      <c r="D318" s="87"/>
      <c r="E318" s="87"/>
      <c r="F318" s="563">
        <f t="shared" si="12"/>
        <v>0</v>
      </c>
      <c r="G318" s="87">
        <f t="shared" si="8"/>
        <v>0</v>
      </c>
      <c r="H318" s="690"/>
      <c r="I318" s="693"/>
      <c r="J318" s="692"/>
      <c r="K318" s="692"/>
    </row>
    <row r="319" spans="1:11" ht="15" x14ac:dyDescent="0.25">
      <c r="A319" s="728" t="e">
        <f t="shared" si="11"/>
        <v>#DIV/0!</v>
      </c>
      <c r="B319" s="87"/>
      <c r="C319" s="740"/>
      <c r="D319" s="87"/>
      <c r="E319" s="87"/>
      <c r="F319" s="563">
        <f t="shared" si="12"/>
        <v>0</v>
      </c>
      <c r="G319" s="87">
        <f t="shared" si="8"/>
        <v>0</v>
      </c>
      <c r="H319" s="690"/>
      <c r="I319" s="693"/>
      <c r="J319" s="692"/>
      <c r="K319" s="692"/>
    </row>
    <row r="320" spans="1:11" ht="15" x14ac:dyDescent="0.25">
      <c r="A320" s="728" t="e">
        <f t="shared" si="11"/>
        <v>#DIV/0!</v>
      </c>
      <c r="B320" s="87"/>
      <c r="C320" s="740"/>
      <c r="D320" s="87"/>
      <c r="E320" s="87"/>
      <c r="F320" s="563">
        <f t="shared" si="12"/>
        <v>0</v>
      </c>
      <c r="G320" s="87">
        <f t="shared" si="8"/>
        <v>0</v>
      </c>
      <c r="H320" s="690"/>
      <c r="I320" s="693"/>
      <c r="J320" s="692"/>
      <c r="K320" s="692"/>
    </row>
    <row r="321" spans="1:11" ht="15" x14ac:dyDescent="0.25">
      <c r="A321" s="728" t="e">
        <f t="shared" si="11"/>
        <v>#DIV/0!</v>
      </c>
      <c r="B321" s="87"/>
      <c r="C321" s="759"/>
      <c r="D321" s="87"/>
      <c r="E321" s="87"/>
      <c r="F321" s="563">
        <f t="shared" si="12"/>
        <v>0</v>
      </c>
      <c r="G321" s="87">
        <f t="shared" si="8"/>
        <v>0</v>
      </c>
      <c r="H321" s="690"/>
      <c r="I321" s="693"/>
      <c r="J321" s="692"/>
      <c r="K321" s="692"/>
    </row>
    <row r="322" spans="1:11" ht="15" x14ac:dyDescent="0.25">
      <c r="A322" s="728" t="e">
        <f t="shared" si="11"/>
        <v>#DIV/0!</v>
      </c>
      <c r="B322" s="87"/>
      <c r="C322" s="740"/>
      <c r="D322" s="87"/>
      <c r="E322" s="87"/>
      <c r="F322" s="563">
        <f t="shared" si="12"/>
        <v>0</v>
      </c>
      <c r="G322" s="87">
        <f t="shared" si="8"/>
        <v>0</v>
      </c>
      <c r="H322" s="690"/>
      <c r="I322" s="693"/>
      <c r="J322" s="692"/>
      <c r="K322" s="692"/>
    </row>
    <row r="323" spans="1:11" ht="15" x14ac:dyDescent="0.25">
      <c r="A323" s="728" t="e">
        <f t="shared" si="11"/>
        <v>#DIV/0!</v>
      </c>
      <c r="B323" s="87"/>
      <c r="C323" s="740"/>
      <c r="D323" s="87"/>
      <c r="E323" s="87"/>
      <c r="F323" s="563">
        <f t="shared" si="12"/>
        <v>0</v>
      </c>
      <c r="G323" s="87">
        <f t="shared" si="8"/>
        <v>0</v>
      </c>
      <c r="H323" s="690"/>
      <c r="I323" s="693"/>
      <c r="J323" s="692"/>
      <c r="K323" s="692"/>
    </row>
    <row r="324" spans="1:11" ht="15" x14ac:dyDescent="0.25">
      <c r="A324" s="728" t="e">
        <f t="shared" si="11"/>
        <v>#DIV/0!</v>
      </c>
      <c r="B324" s="87"/>
      <c r="C324" s="740"/>
      <c r="D324" s="87"/>
      <c r="E324" s="87"/>
      <c r="F324" s="563">
        <f t="shared" si="12"/>
        <v>0</v>
      </c>
      <c r="G324" s="87">
        <f t="shared" si="8"/>
        <v>0</v>
      </c>
      <c r="H324" s="690"/>
      <c r="I324" s="693"/>
      <c r="J324" s="692"/>
      <c r="K324" s="692"/>
    </row>
    <row r="325" spans="1:11" ht="15" x14ac:dyDescent="0.25">
      <c r="A325" s="728" t="e">
        <f t="shared" si="11"/>
        <v>#DIV/0!</v>
      </c>
      <c r="B325" s="87"/>
      <c r="C325" s="740"/>
      <c r="D325" s="87"/>
      <c r="E325" s="87"/>
      <c r="F325" s="563">
        <f t="shared" si="12"/>
        <v>0</v>
      </c>
      <c r="G325" s="87">
        <f t="shared" si="8"/>
        <v>0</v>
      </c>
      <c r="H325" s="690"/>
      <c r="I325" s="693"/>
      <c r="J325" s="692"/>
      <c r="K325" s="692"/>
    </row>
    <row r="326" spans="1:11" ht="15" x14ac:dyDescent="0.25">
      <c r="A326" s="728" t="e">
        <f t="shared" si="11"/>
        <v>#DIV/0!</v>
      </c>
      <c r="B326" s="87"/>
      <c r="C326" s="740"/>
      <c r="D326" s="87"/>
      <c r="E326" s="87"/>
      <c r="F326" s="563">
        <f t="shared" si="12"/>
        <v>0</v>
      </c>
      <c r="G326" s="87">
        <f t="shared" si="8"/>
        <v>0</v>
      </c>
      <c r="H326" s="690"/>
      <c r="I326" s="693"/>
      <c r="J326" s="692"/>
      <c r="K326" s="692"/>
    </row>
    <row r="327" spans="1:11" ht="15" x14ac:dyDescent="0.25">
      <c r="A327" s="728" t="e">
        <f t="shared" si="11"/>
        <v>#DIV/0!</v>
      </c>
      <c r="B327" s="87"/>
      <c r="C327" s="740"/>
      <c r="D327" s="87"/>
      <c r="E327" s="87"/>
      <c r="F327" s="563">
        <f t="shared" si="12"/>
        <v>0</v>
      </c>
      <c r="G327" s="87">
        <f t="shared" si="8"/>
        <v>0</v>
      </c>
      <c r="H327" s="690"/>
      <c r="I327" s="693"/>
      <c r="J327" s="692"/>
      <c r="K327" s="692"/>
    </row>
    <row r="328" spans="1:11" ht="15" x14ac:dyDescent="0.25">
      <c r="A328" s="728" t="e">
        <f t="shared" si="11"/>
        <v>#DIV/0!</v>
      </c>
      <c r="B328" s="87"/>
      <c r="C328" s="740"/>
      <c r="D328" s="87"/>
      <c r="E328" s="87"/>
      <c r="F328" s="563">
        <f t="shared" si="12"/>
        <v>0</v>
      </c>
      <c r="G328" s="87">
        <f t="shared" si="8"/>
        <v>0</v>
      </c>
      <c r="H328" s="690"/>
      <c r="I328" s="693"/>
      <c r="J328" s="692"/>
      <c r="K328" s="692"/>
    </row>
    <row r="329" spans="1:11" ht="15" x14ac:dyDescent="0.25">
      <c r="A329" s="728" t="e">
        <f t="shared" si="11"/>
        <v>#DIV/0!</v>
      </c>
      <c r="B329" s="87"/>
      <c r="C329" s="740"/>
      <c r="D329" s="87"/>
      <c r="E329" s="87"/>
      <c r="F329" s="563">
        <f t="shared" si="12"/>
        <v>0</v>
      </c>
      <c r="G329" s="87">
        <f t="shared" si="8"/>
        <v>0</v>
      </c>
      <c r="H329" s="690"/>
      <c r="I329" s="693"/>
      <c r="J329" s="692"/>
      <c r="K329" s="692"/>
    </row>
    <row r="330" spans="1:11" ht="15" x14ac:dyDescent="0.25">
      <c r="A330" s="728" t="e">
        <f t="shared" si="11"/>
        <v>#DIV/0!</v>
      </c>
      <c r="B330" s="87"/>
      <c r="C330" s="740"/>
      <c r="D330" s="87"/>
      <c r="E330" s="87"/>
      <c r="F330" s="563">
        <f t="shared" si="12"/>
        <v>0</v>
      </c>
      <c r="G330" s="87">
        <f t="shared" si="8"/>
        <v>0</v>
      </c>
      <c r="H330" s="690"/>
      <c r="I330" s="693"/>
      <c r="J330" s="692"/>
      <c r="K330" s="692"/>
    </row>
    <row r="331" spans="1:11" ht="15" x14ac:dyDescent="0.25">
      <c r="A331" s="728" t="e">
        <f t="shared" si="11"/>
        <v>#DIV/0!</v>
      </c>
      <c r="B331" s="87"/>
      <c r="C331" s="740"/>
      <c r="D331" s="87"/>
      <c r="E331" s="87"/>
      <c r="F331" s="563">
        <f t="shared" si="12"/>
        <v>0</v>
      </c>
      <c r="G331" s="87">
        <f t="shared" si="8"/>
        <v>0</v>
      </c>
      <c r="H331" s="690"/>
      <c r="I331" s="693"/>
      <c r="J331" s="692"/>
      <c r="K331" s="692"/>
    </row>
    <row r="332" spans="1:11" ht="15" x14ac:dyDescent="0.25">
      <c r="A332" s="728" t="e">
        <f t="shared" si="11"/>
        <v>#DIV/0!</v>
      </c>
      <c r="B332" s="87"/>
      <c r="C332" s="740"/>
      <c r="D332" s="87"/>
      <c r="E332" s="87"/>
      <c r="F332" s="563">
        <f t="shared" si="12"/>
        <v>0</v>
      </c>
      <c r="G332" s="87">
        <f t="shared" si="8"/>
        <v>0</v>
      </c>
      <c r="H332" s="690"/>
      <c r="I332" s="693"/>
      <c r="J332" s="692"/>
      <c r="K332" s="692"/>
    </row>
    <row r="333" spans="1:11" ht="15" x14ac:dyDescent="0.25">
      <c r="A333" s="728" t="e">
        <f t="shared" si="11"/>
        <v>#DIV/0!</v>
      </c>
      <c r="B333" s="87"/>
      <c r="C333" s="740"/>
      <c r="D333" s="87"/>
      <c r="E333" s="87"/>
      <c r="F333" s="563">
        <f t="shared" si="12"/>
        <v>0</v>
      </c>
      <c r="G333" s="87">
        <f t="shared" si="8"/>
        <v>0</v>
      </c>
      <c r="H333" s="690"/>
      <c r="I333" s="693"/>
      <c r="J333" s="692"/>
      <c r="K333" s="692"/>
    </row>
    <row r="334" spans="1:11" ht="15" x14ac:dyDescent="0.25">
      <c r="A334" s="728" t="e">
        <f t="shared" si="11"/>
        <v>#DIV/0!</v>
      </c>
      <c r="B334" s="87"/>
      <c r="C334" s="740"/>
      <c r="D334" s="87"/>
      <c r="E334" s="87"/>
      <c r="F334" s="563">
        <f t="shared" si="12"/>
        <v>0</v>
      </c>
      <c r="G334" s="87">
        <f t="shared" si="8"/>
        <v>0</v>
      </c>
      <c r="H334" s="476"/>
      <c r="J334" s="692"/>
      <c r="K334" s="692"/>
    </row>
    <row r="335" spans="1:11" ht="15" x14ac:dyDescent="0.25">
      <c r="A335" s="728" t="e">
        <f t="shared" si="11"/>
        <v>#DIV/0!</v>
      </c>
      <c r="B335" s="87"/>
      <c r="C335" s="740"/>
      <c r="D335" s="87"/>
      <c r="E335" s="87"/>
      <c r="F335" s="563">
        <f t="shared" si="12"/>
        <v>0</v>
      </c>
      <c r="G335" s="87">
        <f t="shared" si="8"/>
        <v>0</v>
      </c>
      <c r="H335" s="690"/>
      <c r="I335" s="693"/>
      <c r="J335" s="692"/>
      <c r="K335" s="692"/>
    </row>
    <row r="336" spans="1:11" ht="15" x14ac:dyDescent="0.25">
      <c r="A336" s="728" t="e">
        <f t="shared" si="11"/>
        <v>#DIV/0!</v>
      </c>
      <c r="B336" s="87"/>
      <c r="C336" s="740"/>
      <c r="D336" s="87"/>
      <c r="E336" s="87"/>
      <c r="F336" s="563">
        <f t="shared" si="12"/>
        <v>0</v>
      </c>
      <c r="G336" s="87">
        <f t="shared" si="8"/>
        <v>0</v>
      </c>
      <c r="H336" s="690"/>
      <c r="I336" s="693"/>
      <c r="J336" s="692"/>
      <c r="K336" s="692"/>
    </row>
    <row r="337" spans="1:11" ht="15" x14ac:dyDescent="0.25">
      <c r="A337" s="728" t="e">
        <f t="shared" si="11"/>
        <v>#DIV/0!</v>
      </c>
      <c r="B337" s="87"/>
      <c r="C337" s="740"/>
      <c r="D337" s="87"/>
      <c r="E337" s="87"/>
      <c r="F337" s="563">
        <f t="shared" si="12"/>
        <v>0</v>
      </c>
      <c r="G337" s="87">
        <f t="shared" si="8"/>
        <v>0</v>
      </c>
      <c r="H337" s="690"/>
      <c r="I337" s="693"/>
      <c r="J337" s="692"/>
      <c r="K337" s="692"/>
    </row>
    <row r="338" spans="1:11" ht="15" x14ac:dyDescent="0.25">
      <c r="A338" s="728" t="e">
        <f t="shared" si="11"/>
        <v>#DIV/0!</v>
      </c>
      <c r="B338" s="87"/>
      <c r="C338" s="740"/>
      <c r="D338" s="87"/>
      <c r="E338" s="87"/>
      <c r="F338" s="563">
        <f t="shared" si="12"/>
        <v>0</v>
      </c>
      <c r="G338" s="87">
        <f t="shared" si="8"/>
        <v>0</v>
      </c>
      <c r="H338" s="690"/>
      <c r="I338" s="693"/>
      <c r="J338" s="692"/>
      <c r="K338" s="692"/>
    </row>
    <row r="339" spans="1:11" ht="15" x14ac:dyDescent="0.25">
      <c r="A339" s="728" t="e">
        <f t="shared" ref="A339:A402" si="13">D339/E339</f>
        <v>#DIV/0!</v>
      </c>
      <c r="B339" s="87"/>
      <c r="C339" s="740"/>
      <c r="D339" s="87"/>
      <c r="E339" s="87"/>
      <c r="F339" s="563">
        <f t="shared" ref="F339:F402" si="14">D339</f>
        <v>0</v>
      </c>
      <c r="G339" s="87">
        <f t="shared" si="8"/>
        <v>0</v>
      </c>
      <c r="H339" s="690"/>
      <c r="I339" s="693"/>
      <c r="J339" s="692"/>
      <c r="K339" s="692"/>
    </row>
    <row r="340" spans="1:11" ht="15" x14ac:dyDescent="0.25">
      <c r="A340" s="728" t="e">
        <f t="shared" si="13"/>
        <v>#DIV/0!</v>
      </c>
      <c r="B340" s="87"/>
      <c r="C340" s="740"/>
      <c r="D340" s="87"/>
      <c r="E340" s="87"/>
      <c r="F340" s="563">
        <f t="shared" si="14"/>
        <v>0</v>
      </c>
      <c r="G340" s="87">
        <f t="shared" si="8"/>
        <v>0</v>
      </c>
      <c r="H340" s="690"/>
      <c r="I340" s="693"/>
      <c r="J340" s="692"/>
      <c r="K340" s="692"/>
    </row>
    <row r="341" spans="1:11" ht="15" x14ac:dyDescent="0.25">
      <c r="A341" s="728" t="e">
        <f t="shared" si="13"/>
        <v>#DIV/0!</v>
      </c>
      <c r="B341" s="87"/>
      <c r="C341" s="740"/>
      <c r="D341" s="87"/>
      <c r="E341" s="87"/>
      <c r="F341" s="563">
        <f t="shared" si="14"/>
        <v>0</v>
      </c>
      <c r="G341" s="87">
        <f t="shared" si="8"/>
        <v>0</v>
      </c>
      <c r="H341" s="690"/>
      <c r="I341" s="693"/>
      <c r="J341" s="692"/>
      <c r="K341" s="692"/>
    </row>
    <row r="342" spans="1:11" ht="15" x14ac:dyDescent="0.25">
      <c r="A342" s="728" t="e">
        <f t="shared" si="13"/>
        <v>#DIV/0!</v>
      </c>
      <c r="B342" s="87"/>
      <c r="C342" s="740"/>
      <c r="D342" s="87"/>
      <c r="E342" s="87"/>
      <c r="F342" s="563">
        <f t="shared" si="14"/>
        <v>0</v>
      </c>
      <c r="G342" s="87">
        <f t="shared" si="8"/>
        <v>0</v>
      </c>
      <c r="H342" s="690"/>
      <c r="I342" s="693"/>
      <c r="J342" s="692"/>
      <c r="K342" s="692"/>
    </row>
    <row r="343" spans="1:11" ht="15" x14ac:dyDescent="0.25">
      <c r="A343" s="728" t="e">
        <f t="shared" si="13"/>
        <v>#DIV/0!</v>
      </c>
      <c r="B343" s="87"/>
      <c r="C343" s="740"/>
      <c r="D343" s="87"/>
      <c r="E343" s="87"/>
      <c r="F343" s="563">
        <f t="shared" si="14"/>
        <v>0</v>
      </c>
      <c r="G343" s="87">
        <f t="shared" si="8"/>
        <v>0</v>
      </c>
      <c r="H343" s="690"/>
      <c r="I343" s="693"/>
      <c r="J343" s="692"/>
      <c r="K343" s="692"/>
    </row>
    <row r="344" spans="1:11" ht="15" x14ac:dyDescent="0.25">
      <c r="A344" s="728" t="e">
        <f t="shared" si="13"/>
        <v>#DIV/0!</v>
      </c>
      <c r="B344" s="87"/>
      <c r="C344" s="740"/>
      <c r="D344" s="87"/>
      <c r="E344" s="87"/>
      <c r="F344" s="563">
        <f t="shared" si="14"/>
        <v>0</v>
      </c>
      <c r="G344" s="87">
        <f t="shared" si="8"/>
        <v>0</v>
      </c>
      <c r="H344" s="690"/>
      <c r="I344" s="693"/>
      <c r="J344" s="692"/>
      <c r="K344" s="692"/>
    </row>
    <row r="345" spans="1:11" ht="15" x14ac:dyDescent="0.25">
      <c r="A345" s="728" t="e">
        <f t="shared" si="13"/>
        <v>#DIV/0!</v>
      </c>
      <c r="B345" s="87"/>
      <c r="C345" s="740"/>
      <c r="D345" s="87"/>
      <c r="E345" s="87"/>
      <c r="F345" s="563">
        <f t="shared" si="14"/>
        <v>0</v>
      </c>
      <c r="G345" s="87">
        <f t="shared" si="8"/>
        <v>0</v>
      </c>
      <c r="H345" s="690"/>
      <c r="I345" s="693"/>
      <c r="J345" s="692"/>
      <c r="K345" s="692"/>
    </row>
    <row r="346" spans="1:11" ht="15" x14ac:dyDescent="0.25">
      <c r="A346" s="728" t="e">
        <f t="shared" si="13"/>
        <v>#DIV/0!</v>
      </c>
      <c r="B346" s="87"/>
      <c r="C346" s="740"/>
      <c r="D346" s="87"/>
      <c r="E346" s="87"/>
      <c r="F346" s="563">
        <f t="shared" si="14"/>
        <v>0</v>
      </c>
      <c r="G346" s="87">
        <f t="shared" si="8"/>
        <v>0</v>
      </c>
      <c r="H346" s="690"/>
      <c r="I346" s="693"/>
      <c r="J346" s="692"/>
      <c r="K346" s="692"/>
    </row>
    <row r="347" spans="1:11" ht="15" x14ac:dyDescent="0.25">
      <c r="A347" s="728" t="e">
        <f t="shared" si="13"/>
        <v>#DIV/0!</v>
      </c>
      <c r="B347" s="87"/>
      <c r="C347" s="740"/>
      <c r="D347" s="87"/>
      <c r="E347" s="87"/>
      <c r="F347" s="563">
        <f t="shared" si="14"/>
        <v>0</v>
      </c>
      <c r="G347" s="87">
        <f t="shared" si="8"/>
        <v>0</v>
      </c>
      <c r="H347" s="690"/>
      <c r="I347" s="693"/>
      <c r="J347" s="692"/>
      <c r="K347" s="692"/>
    </row>
    <row r="348" spans="1:11" ht="15" x14ac:dyDescent="0.25">
      <c r="A348" s="728" t="e">
        <f t="shared" si="13"/>
        <v>#DIV/0!</v>
      </c>
      <c r="B348" s="87"/>
      <c r="C348" s="740"/>
      <c r="D348" s="87"/>
      <c r="E348" s="87"/>
      <c r="F348" s="563">
        <f t="shared" si="14"/>
        <v>0</v>
      </c>
      <c r="G348" s="87">
        <f t="shared" si="8"/>
        <v>0</v>
      </c>
      <c r="H348" s="690"/>
      <c r="I348" s="693"/>
      <c r="J348" s="692"/>
      <c r="K348" s="692"/>
    </row>
    <row r="349" spans="1:11" ht="15" x14ac:dyDescent="0.25">
      <c r="A349" s="728" t="e">
        <f t="shared" si="13"/>
        <v>#DIV/0!</v>
      </c>
      <c r="B349" s="87"/>
      <c r="C349" s="740"/>
      <c r="D349" s="87"/>
      <c r="E349" s="87"/>
      <c r="F349" s="563">
        <f t="shared" si="14"/>
        <v>0</v>
      </c>
      <c r="G349" s="87">
        <f t="shared" si="8"/>
        <v>0</v>
      </c>
      <c r="H349" s="690"/>
      <c r="I349" s="693"/>
      <c r="J349" s="692"/>
      <c r="K349" s="692"/>
    </row>
    <row r="350" spans="1:11" ht="15" x14ac:dyDescent="0.25">
      <c r="A350" s="728" t="e">
        <f t="shared" si="13"/>
        <v>#DIV/0!</v>
      </c>
      <c r="B350" s="87"/>
      <c r="C350" s="740"/>
      <c r="D350" s="87"/>
      <c r="E350" s="87"/>
      <c r="F350" s="563">
        <f t="shared" si="14"/>
        <v>0</v>
      </c>
      <c r="G350" s="87">
        <f t="shared" si="8"/>
        <v>0</v>
      </c>
      <c r="H350" s="690"/>
      <c r="I350" s="693"/>
      <c r="J350" s="692"/>
      <c r="K350" s="692"/>
    </row>
    <row r="351" spans="1:11" ht="15" x14ac:dyDescent="0.25">
      <c r="A351" s="728" t="e">
        <f t="shared" si="13"/>
        <v>#DIV/0!</v>
      </c>
      <c r="B351" s="87"/>
      <c r="C351" s="740"/>
      <c r="D351" s="87"/>
      <c r="E351" s="87"/>
      <c r="F351" s="563">
        <f t="shared" si="14"/>
        <v>0</v>
      </c>
      <c r="G351" s="87">
        <f t="shared" si="8"/>
        <v>0</v>
      </c>
      <c r="H351" s="690"/>
      <c r="I351" s="693"/>
      <c r="J351" s="692"/>
      <c r="K351" s="692"/>
    </row>
    <row r="352" spans="1:11" ht="15" x14ac:dyDescent="0.25">
      <c r="A352" s="728" t="e">
        <f t="shared" si="13"/>
        <v>#DIV/0!</v>
      </c>
      <c r="B352" s="87"/>
      <c r="C352" s="740"/>
      <c r="D352" s="87"/>
      <c r="E352" s="87"/>
      <c r="F352" s="563">
        <f t="shared" si="14"/>
        <v>0</v>
      </c>
      <c r="G352" s="87">
        <f t="shared" si="8"/>
        <v>0</v>
      </c>
      <c r="H352" s="690"/>
      <c r="I352" s="693"/>
      <c r="J352" s="692"/>
      <c r="K352" s="692"/>
    </row>
    <row r="353" spans="1:11" ht="15" x14ac:dyDescent="0.25">
      <c r="A353" s="728" t="e">
        <f t="shared" si="13"/>
        <v>#DIV/0!</v>
      </c>
      <c r="B353" s="87"/>
      <c r="C353" s="740"/>
      <c r="D353" s="87"/>
      <c r="E353" s="87"/>
      <c r="F353" s="563">
        <f t="shared" si="14"/>
        <v>0</v>
      </c>
      <c r="G353" s="87">
        <f t="shared" si="8"/>
        <v>0</v>
      </c>
      <c r="H353" s="690"/>
      <c r="I353" s="693"/>
      <c r="J353" s="692"/>
      <c r="K353" s="692"/>
    </row>
    <row r="354" spans="1:11" ht="15" x14ac:dyDescent="0.25">
      <c r="A354" s="728" t="e">
        <f t="shared" si="13"/>
        <v>#DIV/0!</v>
      </c>
      <c r="B354" s="87"/>
      <c r="C354" s="740"/>
      <c r="D354" s="87"/>
      <c r="E354" s="87"/>
      <c r="F354" s="563">
        <f t="shared" si="14"/>
        <v>0</v>
      </c>
      <c r="G354" s="87">
        <f t="shared" si="8"/>
        <v>0</v>
      </c>
      <c r="H354" s="690"/>
      <c r="I354" s="693"/>
      <c r="J354" s="692"/>
      <c r="K354" s="692"/>
    </row>
    <row r="355" spans="1:11" ht="15" x14ac:dyDescent="0.25">
      <c r="A355" s="728" t="e">
        <f t="shared" si="13"/>
        <v>#DIV/0!</v>
      </c>
      <c r="B355" s="87"/>
      <c r="C355" s="740"/>
      <c r="D355" s="87"/>
      <c r="E355" s="87"/>
      <c r="F355" s="563">
        <f t="shared" si="14"/>
        <v>0</v>
      </c>
      <c r="G355" s="87">
        <f t="shared" si="8"/>
        <v>0</v>
      </c>
      <c r="H355" s="690"/>
      <c r="I355" s="693"/>
      <c r="J355" s="692"/>
      <c r="K355" s="692"/>
    </row>
    <row r="356" spans="1:11" ht="15" x14ac:dyDescent="0.25">
      <c r="A356" s="728" t="e">
        <f t="shared" si="13"/>
        <v>#DIV/0!</v>
      </c>
      <c r="B356" s="87"/>
      <c r="C356" s="740"/>
      <c r="D356" s="87"/>
      <c r="E356" s="87"/>
      <c r="F356" s="563">
        <f t="shared" si="14"/>
        <v>0</v>
      </c>
      <c r="G356" s="87">
        <f t="shared" si="8"/>
        <v>0</v>
      </c>
      <c r="H356" s="690"/>
      <c r="I356" s="693"/>
      <c r="J356" s="692"/>
      <c r="K356" s="692"/>
    </row>
    <row r="357" spans="1:11" ht="15" x14ac:dyDescent="0.25">
      <c r="A357" s="728" t="e">
        <f t="shared" si="13"/>
        <v>#DIV/0!</v>
      </c>
      <c r="B357" s="87"/>
      <c r="C357" s="740"/>
      <c r="D357" s="87"/>
      <c r="E357" s="87"/>
      <c r="F357" s="563">
        <f t="shared" si="14"/>
        <v>0</v>
      </c>
      <c r="G357" s="87">
        <f t="shared" si="8"/>
        <v>0</v>
      </c>
      <c r="H357" s="690"/>
      <c r="I357" s="693"/>
      <c r="J357" s="692"/>
      <c r="K357" s="692"/>
    </row>
    <row r="358" spans="1:11" ht="15" x14ac:dyDescent="0.25">
      <c r="A358" s="728" t="e">
        <f t="shared" si="13"/>
        <v>#DIV/0!</v>
      </c>
      <c r="B358" s="87"/>
      <c r="C358" s="740"/>
      <c r="D358" s="87"/>
      <c r="E358" s="87"/>
      <c r="F358" s="563">
        <f t="shared" si="14"/>
        <v>0</v>
      </c>
      <c r="G358" s="87">
        <f t="shared" si="8"/>
        <v>0</v>
      </c>
      <c r="H358" s="690"/>
      <c r="I358" s="693"/>
      <c r="J358" s="692"/>
      <c r="K358" s="692"/>
    </row>
    <row r="359" spans="1:11" ht="15" x14ac:dyDescent="0.25">
      <c r="A359" s="728" t="e">
        <f t="shared" si="13"/>
        <v>#DIV/0!</v>
      </c>
      <c r="B359" s="87"/>
      <c r="C359" s="740"/>
      <c r="D359" s="87"/>
      <c r="E359" s="87"/>
      <c r="F359" s="563">
        <f t="shared" si="14"/>
        <v>0</v>
      </c>
      <c r="G359" s="87">
        <f t="shared" si="8"/>
        <v>0</v>
      </c>
      <c r="H359" s="690"/>
      <c r="I359" s="693"/>
      <c r="J359" s="692"/>
      <c r="K359" s="692"/>
    </row>
    <row r="360" spans="1:11" ht="15" x14ac:dyDescent="0.25">
      <c r="A360" s="728" t="e">
        <f t="shared" si="13"/>
        <v>#DIV/0!</v>
      </c>
      <c r="B360" s="87"/>
      <c r="C360" s="740"/>
      <c r="D360" s="87"/>
      <c r="E360" s="87"/>
      <c r="F360" s="563">
        <f t="shared" si="14"/>
        <v>0</v>
      </c>
      <c r="G360" s="87">
        <f t="shared" si="8"/>
        <v>0</v>
      </c>
      <c r="H360" s="690"/>
      <c r="I360" s="693"/>
      <c r="J360" s="692"/>
      <c r="K360" s="692"/>
    </row>
    <row r="361" spans="1:11" ht="15" x14ac:dyDescent="0.25">
      <c r="A361" s="728" t="e">
        <f t="shared" si="13"/>
        <v>#DIV/0!</v>
      </c>
      <c r="B361" s="87"/>
      <c r="C361" s="740"/>
      <c r="D361" s="87"/>
      <c r="E361" s="87"/>
      <c r="F361" s="563">
        <f t="shared" si="14"/>
        <v>0</v>
      </c>
      <c r="G361" s="87">
        <f t="shared" si="8"/>
        <v>0</v>
      </c>
      <c r="H361" s="690"/>
      <c r="I361" s="693"/>
      <c r="J361" s="692"/>
      <c r="K361" s="692"/>
    </row>
    <row r="362" spans="1:11" ht="15" x14ac:dyDescent="0.25">
      <c r="A362" s="728" t="e">
        <f t="shared" si="13"/>
        <v>#DIV/0!</v>
      </c>
      <c r="B362" s="87"/>
      <c r="C362" s="760"/>
      <c r="D362" s="87"/>
      <c r="E362" s="87"/>
      <c r="F362" s="563">
        <f t="shared" si="14"/>
        <v>0</v>
      </c>
      <c r="G362" s="87">
        <f t="shared" si="8"/>
        <v>0</v>
      </c>
      <c r="H362" s="690"/>
      <c r="I362" s="693"/>
      <c r="J362" s="692"/>
      <c r="K362" s="692"/>
    </row>
    <row r="363" spans="1:11" ht="15" x14ac:dyDescent="0.25">
      <c r="A363" s="728" t="e">
        <f t="shared" si="13"/>
        <v>#DIV/0!</v>
      </c>
      <c r="B363" s="87"/>
      <c r="C363" s="740"/>
      <c r="D363" s="87"/>
      <c r="E363" s="87"/>
      <c r="F363" s="563">
        <f t="shared" si="14"/>
        <v>0</v>
      </c>
      <c r="G363" s="87">
        <f t="shared" si="8"/>
        <v>0</v>
      </c>
      <c r="H363" s="690"/>
      <c r="I363" s="693"/>
      <c r="J363" s="692"/>
      <c r="K363" s="692"/>
    </row>
    <row r="364" spans="1:11" ht="15" x14ac:dyDescent="0.25">
      <c r="A364" s="728" t="e">
        <f t="shared" si="13"/>
        <v>#DIV/0!</v>
      </c>
      <c r="B364" s="87"/>
      <c r="C364" s="740"/>
      <c r="D364" s="87"/>
      <c r="E364" s="87"/>
      <c r="F364" s="563">
        <f t="shared" si="14"/>
        <v>0</v>
      </c>
      <c r="G364" s="87">
        <f t="shared" si="8"/>
        <v>0</v>
      </c>
      <c r="H364" s="690"/>
      <c r="I364" s="693"/>
      <c r="J364" s="692"/>
      <c r="K364" s="692"/>
    </row>
    <row r="365" spans="1:11" ht="15" x14ac:dyDescent="0.25">
      <c r="A365" s="728" t="e">
        <f t="shared" si="13"/>
        <v>#DIV/0!</v>
      </c>
      <c r="B365" s="87"/>
      <c r="C365" s="740"/>
      <c r="D365" s="87"/>
      <c r="E365" s="87"/>
      <c r="F365" s="563">
        <f t="shared" si="14"/>
        <v>0</v>
      </c>
      <c r="G365" s="87">
        <f t="shared" si="8"/>
        <v>0</v>
      </c>
      <c r="H365" s="690"/>
      <c r="I365" s="693"/>
      <c r="J365" s="692"/>
      <c r="K365" s="692"/>
    </row>
    <row r="366" spans="1:11" ht="15" x14ac:dyDescent="0.25">
      <c r="A366" s="728" t="e">
        <f t="shared" si="13"/>
        <v>#DIV/0!</v>
      </c>
      <c r="B366" s="87"/>
      <c r="C366" s="740"/>
      <c r="D366" s="87"/>
      <c r="E366" s="87"/>
      <c r="F366" s="563">
        <f t="shared" si="14"/>
        <v>0</v>
      </c>
      <c r="G366" s="87">
        <f t="shared" si="8"/>
        <v>0</v>
      </c>
      <c r="H366" s="690"/>
      <c r="I366" s="693"/>
      <c r="J366" s="692"/>
      <c r="K366" s="692"/>
    </row>
    <row r="367" spans="1:11" ht="15" x14ac:dyDescent="0.25">
      <c r="A367" s="728" t="e">
        <f t="shared" si="13"/>
        <v>#DIV/0!</v>
      </c>
      <c r="B367" s="87"/>
      <c r="C367" s="740"/>
      <c r="D367" s="87"/>
      <c r="E367" s="87"/>
      <c r="F367" s="563">
        <f t="shared" si="14"/>
        <v>0</v>
      </c>
      <c r="G367" s="87">
        <f t="shared" si="8"/>
        <v>0</v>
      </c>
      <c r="H367" s="690"/>
      <c r="I367" s="693"/>
      <c r="J367" s="692"/>
      <c r="K367" s="692"/>
    </row>
    <row r="368" spans="1:11" ht="15" x14ac:dyDescent="0.25">
      <c r="A368" s="728" t="e">
        <f t="shared" si="13"/>
        <v>#DIV/0!</v>
      </c>
      <c r="B368" s="87"/>
      <c r="C368" s="740"/>
      <c r="D368" s="87"/>
      <c r="E368" s="87"/>
      <c r="F368" s="563">
        <f t="shared" si="14"/>
        <v>0</v>
      </c>
      <c r="G368" s="87">
        <f t="shared" si="8"/>
        <v>0</v>
      </c>
      <c r="H368" s="690"/>
      <c r="I368" s="693"/>
      <c r="J368" s="692"/>
      <c r="K368" s="692"/>
    </row>
    <row r="369" spans="1:11" ht="15" x14ac:dyDescent="0.25">
      <c r="A369" s="728" t="e">
        <f t="shared" si="13"/>
        <v>#DIV/0!</v>
      </c>
      <c r="B369" s="87"/>
      <c r="C369" s="740"/>
      <c r="D369" s="87"/>
      <c r="E369" s="87"/>
      <c r="F369" s="563">
        <f t="shared" si="14"/>
        <v>0</v>
      </c>
      <c r="G369" s="87">
        <f t="shared" si="8"/>
        <v>0</v>
      </c>
      <c r="H369" s="690"/>
      <c r="I369" s="693"/>
      <c r="J369" s="692"/>
      <c r="K369" s="692"/>
    </row>
    <row r="370" spans="1:11" ht="15" x14ac:dyDescent="0.25">
      <c r="A370" s="728" t="e">
        <f t="shared" si="13"/>
        <v>#DIV/0!</v>
      </c>
      <c r="B370" s="87"/>
      <c r="C370" s="740"/>
      <c r="D370" s="87"/>
      <c r="E370" s="87"/>
      <c r="F370" s="563">
        <f t="shared" si="14"/>
        <v>0</v>
      </c>
      <c r="G370" s="87">
        <f t="shared" si="8"/>
        <v>0</v>
      </c>
      <c r="H370" s="690"/>
      <c r="I370" s="693"/>
      <c r="J370" s="692"/>
      <c r="K370" s="692"/>
    </row>
    <row r="371" spans="1:11" ht="15" x14ac:dyDescent="0.25">
      <c r="A371" s="728" t="e">
        <f t="shared" si="13"/>
        <v>#DIV/0!</v>
      </c>
      <c r="B371" s="87"/>
      <c r="C371" s="740"/>
      <c r="D371" s="87"/>
      <c r="E371" s="87"/>
      <c r="F371" s="563">
        <f t="shared" si="14"/>
        <v>0</v>
      </c>
      <c r="G371" s="87">
        <f t="shared" si="8"/>
        <v>0</v>
      </c>
      <c r="H371" s="690"/>
      <c r="I371" s="693"/>
      <c r="J371" s="692"/>
      <c r="K371" s="692"/>
    </row>
    <row r="372" spans="1:11" ht="15" x14ac:dyDescent="0.25">
      <c r="A372" s="728" t="e">
        <f t="shared" si="13"/>
        <v>#DIV/0!</v>
      </c>
      <c r="B372" s="87"/>
      <c r="C372" s="740"/>
      <c r="D372" s="87"/>
      <c r="E372" s="87"/>
      <c r="F372" s="563">
        <f t="shared" si="14"/>
        <v>0</v>
      </c>
      <c r="G372" s="87">
        <f t="shared" si="8"/>
        <v>0</v>
      </c>
      <c r="H372" s="690"/>
      <c r="I372" s="693"/>
      <c r="J372" s="692"/>
      <c r="K372" s="692"/>
    </row>
    <row r="373" spans="1:11" ht="15" x14ac:dyDescent="0.25">
      <c r="A373" s="728" t="e">
        <f t="shared" si="13"/>
        <v>#DIV/0!</v>
      </c>
      <c r="B373" s="87"/>
      <c r="C373" s="740"/>
      <c r="D373" s="87"/>
      <c r="E373" s="87"/>
      <c r="F373" s="563">
        <f t="shared" si="14"/>
        <v>0</v>
      </c>
      <c r="G373" s="87">
        <f t="shared" si="8"/>
        <v>0</v>
      </c>
      <c r="H373" s="690"/>
      <c r="I373" s="693"/>
      <c r="J373" s="692"/>
      <c r="K373" s="692"/>
    </row>
    <row r="374" spans="1:11" ht="15" x14ac:dyDescent="0.25">
      <c r="A374" s="728" t="e">
        <f t="shared" si="13"/>
        <v>#DIV/0!</v>
      </c>
      <c r="B374" s="87"/>
      <c r="C374" s="740"/>
      <c r="D374" s="87"/>
      <c r="E374" s="87"/>
      <c r="F374" s="563">
        <f t="shared" si="14"/>
        <v>0</v>
      </c>
      <c r="G374" s="87">
        <f t="shared" si="8"/>
        <v>0</v>
      </c>
      <c r="H374" s="690"/>
      <c r="I374" s="693"/>
      <c r="J374" s="692"/>
      <c r="K374" s="692"/>
    </row>
    <row r="375" spans="1:11" ht="15" x14ac:dyDescent="0.25">
      <c r="A375" s="728" t="e">
        <f t="shared" si="13"/>
        <v>#DIV/0!</v>
      </c>
      <c r="B375" s="87"/>
      <c r="C375" s="740"/>
      <c r="D375" s="87"/>
      <c r="E375" s="87"/>
      <c r="F375" s="563">
        <f t="shared" si="14"/>
        <v>0</v>
      </c>
      <c r="G375" s="87">
        <f t="shared" si="8"/>
        <v>0</v>
      </c>
      <c r="H375" s="690"/>
      <c r="I375" s="693"/>
      <c r="J375" s="692"/>
      <c r="K375" s="692"/>
    </row>
    <row r="376" spans="1:11" ht="15" x14ac:dyDescent="0.25">
      <c r="A376" s="728" t="e">
        <f t="shared" si="13"/>
        <v>#DIV/0!</v>
      </c>
      <c r="B376" s="87"/>
      <c r="C376" s="740"/>
      <c r="D376" s="87"/>
      <c r="E376" s="87"/>
      <c r="F376" s="563">
        <f t="shared" si="14"/>
        <v>0</v>
      </c>
      <c r="G376" s="87">
        <f t="shared" si="8"/>
        <v>0</v>
      </c>
      <c r="H376" s="690"/>
      <c r="I376" s="693"/>
      <c r="J376" s="692"/>
      <c r="K376" s="692"/>
    </row>
    <row r="377" spans="1:11" ht="15" x14ac:dyDescent="0.25">
      <c r="A377" s="728" t="e">
        <f t="shared" si="13"/>
        <v>#DIV/0!</v>
      </c>
      <c r="B377" s="87"/>
      <c r="C377" s="740"/>
      <c r="D377" s="87"/>
      <c r="E377" s="87"/>
      <c r="F377" s="563">
        <f t="shared" si="14"/>
        <v>0</v>
      </c>
      <c r="G377" s="87">
        <f t="shared" si="8"/>
        <v>0</v>
      </c>
      <c r="H377" s="690"/>
      <c r="I377" s="693"/>
      <c r="J377" s="692"/>
      <c r="K377" s="692"/>
    </row>
    <row r="378" spans="1:11" ht="15" x14ac:dyDescent="0.25">
      <c r="A378" s="728" t="e">
        <f t="shared" si="13"/>
        <v>#DIV/0!</v>
      </c>
      <c r="B378" s="87"/>
      <c r="C378" s="759"/>
      <c r="D378" s="87"/>
      <c r="E378" s="87"/>
      <c r="F378" s="563">
        <f t="shared" si="14"/>
        <v>0</v>
      </c>
      <c r="G378" s="87">
        <f t="shared" si="8"/>
        <v>0</v>
      </c>
      <c r="H378" s="690"/>
      <c r="I378" s="693"/>
      <c r="J378" s="692"/>
      <c r="K378" s="692"/>
    </row>
    <row r="379" spans="1:11" ht="15" x14ac:dyDescent="0.25">
      <c r="A379" s="728" t="e">
        <f t="shared" si="13"/>
        <v>#DIV/0!</v>
      </c>
      <c r="B379" s="87"/>
      <c r="C379" s="740"/>
      <c r="D379" s="87"/>
      <c r="E379" s="87"/>
      <c r="F379" s="563">
        <f t="shared" si="14"/>
        <v>0</v>
      </c>
      <c r="G379" s="87">
        <f t="shared" si="8"/>
        <v>0</v>
      </c>
      <c r="H379" s="690"/>
      <c r="I379" s="693"/>
      <c r="J379" s="692"/>
      <c r="K379" s="692"/>
    </row>
    <row r="380" spans="1:11" ht="15" x14ac:dyDescent="0.25">
      <c r="A380" s="728" t="e">
        <f t="shared" si="13"/>
        <v>#DIV/0!</v>
      </c>
      <c r="B380" s="87"/>
      <c r="C380" s="740"/>
      <c r="D380" s="87"/>
      <c r="E380" s="87"/>
      <c r="F380" s="563">
        <f t="shared" si="14"/>
        <v>0</v>
      </c>
      <c r="G380" s="87">
        <f t="shared" si="8"/>
        <v>0</v>
      </c>
      <c r="H380" s="690"/>
      <c r="I380" s="693"/>
      <c r="J380" s="692"/>
      <c r="K380" s="692"/>
    </row>
    <row r="381" spans="1:11" ht="15" x14ac:dyDescent="0.25">
      <c r="A381" s="728" t="e">
        <f t="shared" si="13"/>
        <v>#DIV/0!</v>
      </c>
      <c r="B381" s="87"/>
      <c r="C381" s="740"/>
      <c r="D381" s="87"/>
      <c r="E381" s="87"/>
      <c r="F381" s="563">
        <f t="shared" si="14"/>
        <v>0</v>
      </c>
      <c r="G381" s="87">
        <f t="shared" si="8"/>
        <v>0</v>
      </c>
      <c r="H381" s="690"/>
      <c r="I381" s="693"/>
      <c r="J381" s="692"/>
      <c r="K381" s="692"/>
    </row>
    <row r="382" spans="1:11" ht="15" x14ac:dyDescent="0.25">
      <c r="A382" s="728" t="e">
        <f t="shared" si="13"/>
        <v>#DIV/0!</v>
      </c>
      <c r="B382" s="87"/>
      <c r="C382" s="740"/>
      <c r="D382" s="87"/>
      <c r="E382" s="87"/>
      <c r="F382" s="563">
        <f t="shared" si="14"/>
        <v>0</v>
      </c>
      <c r="G382" s="87">
        <f t="shared" si="8"/>
        <v>0</v>
      </c>
      <c r="H382" s="690"/>
      <c r="I382" s="693"/>
      <c r="J382" s="692"/>
      <c r="K382" s="692"/>
    </row>
    <row r="383" spans="1:11" ht="15" x14ac:dyDescent="0.25">
      <c r="A383" s="728" t="e">
        <f t="shared" si="13"/>
        <v>#DIV/0!</v>
      </c>
      <c r="B383" s="87"/>
      <c r="C383" s="740"/>
      <c r="D383" s="87"/>
      <c r="E383" s="87"/>
      <c r="F383" s="563">
        <f t="shared" si="14"/>
        <v>0</v>
      </c>
      <c r="G383" s="87">
        <f t="shared" si="8"/>
        <v>0</v>
      </c>
      <c r="H383" s="690"/>
      <c r="I383" s="693"/>
      <c r="J383" s="692"/>
      <c r="K383" s="692"/>
    </row>
    <row r="384" spans="1:11" ht="15" x14ac:dyDescent="0.25">
      <c r="A384" s="728" t="e">
        <f t="shared" si="13"/>
        <v>#DIV/0!</v>
      </c>
      <c r="B384" s="87"/>
      <c r="C384" s="740"/>
      <c r="D384" s="87"/>
      <c r="E384" s="87"/>
      <c r="F384" s="563">
        <f t="shared" si="14"/>
        <v>0</v>
      </c>
      <c r="G384" s="87">
        <f t="shared" si="8"/>
        <v>0</v>
      </c>
      <c r="H384" s="690"/>
      <c r="I384" s="693"/>
      <c r="J384" s="692"/>
      <c r="K384" s="692"/>
    </row>
    <row r="385" spans="1:11" ht="15" x14ac:dyDescent="0.25">
      <c r="A385" s="728" t="e">
        <f t="shared" si="13"/>
        <v>#DIV/0!</v>
      </c>
      <c r="B385" s="87"/>
      <c r="C385" s="740"/>
      <c r="D385" s="87"/>
      <c r="E385" s="87"/>
      <c r="F385" s="563">
        <f t="shared" si="14"/>
        <v>0</v>
      </c>
      <c r="G385" s="87">
        <f t="shared" si="8"/>
        <v>0</v>
      </c>
      <c r="H385" s="690"/>
      <c r="I385" s="693"/>
      <c r="J385" s="692"/>
      <c r="K385" s="692"/>
    </row>
    <row r="386" spans="1:11" ht="15" x14ac:dyDescent="0.25">
      <c r="A386" s="728" t="e">
        <f t="shared" si="13"/>
        <v>#DIV/0!</v>
      </c>
      <c r="B386" s="87"/>
      <c r="C386" s="740"/>
      <c r="D386" s="87"/>
      <c r="E386" s="87"/>
      <c r="F386" s="563">
        <f t="shared" si="14"/>
        <v>0</v>
      </c>
      <c r="G386" s="87">
        <f t="shared" si="8"/>
        <v>0</v>
      </c>
      <c r="H386" s="690"/>
      <c r="I386" s="693"/>
      <c r="J386" s="692"/>
      <c r="K386" s="692"/>
    </row>
    <row r="387" spans="1:11" ht="15" x14ac:dyDescent="0.25">
      <c r="A387" s="728" t="e">
        <f t="shared" si="13"/>
        <v>#DIV/0!</v>
      </c>
      <c r="B387" s="87"/>
      <c r="C387" s="740"/>
      <c r="D387" s="87"/>
      <c r="E387" s="87"/>
      <c r="F387" s="563">
        <f t="shared" si="14"/>
        <v>0</v>
      </c>
      <c r="G387" s="87">
        <f t="shared" si="8"/>
        <v>0</v>
      </c>
      <c r="H387" s="690"/>
      <c r="I387" s="693"/>
      <c r="J387" s="692"/>
      <c r="K387" s="692"/>
    </row>
    <row r="388" spans="1:11" ht="15" x14ac:dyDescent="0.25">
      <c r="A388" s="728" t="e">
        <f t="shared" si="13"/>
        <v>#DIV/0!</v>
      </c>
      <c r="B388" s="87"/>
      <c r="C388" s="740"/>
      <c r="D388" s="87"/>
      <c r="E388" s="87"/>
      <c r="F388" s="563">
        <f t="shared" si="14"/>
        <v>0</v>
      </c>
      <c r="G388" s="87">
        <f t="shared" si="8"/>
        <v>0</v>
      </c>
      <c r="H388" s="690"/>
      <c r="I388" s="693"/>
      <c r="J388" s="692"/>
      <c r="K388" s="692"/>
    </row>
    <row r="389" spans="1:11" ht="15" x14ac:dyDescent="0.25">
      <c r="A389" s="728" t="e">
        <f t="shared" si="13"/>
        <v>#DIV/0!</v>
      </c>
      <c r="B389" s="87"/>
      <c r="C389" s="740"/>
      <c r="D389" s="87"/>
      <c r="E389" s="87"/>
      <c r="F389" s="563">
        <f t="shared" si="14"/>
        <v>0</v>
      </c>
      <c r="G389" s="87">
        <f t="shared" si="8"/>
        <v>0</v>
      </c>
      <c r="H389" s="690"/>
      <c r="I389" s="693"/>
      <c r="J389" s="692"/>
      <c r="K389" s="692"/>
    </row>
    <row r="390" spans="1:11" ht="15" x14ac:dyDescent="0.25">
      <c r="A390" s="728" t="e">
        <f t="shared" si="13"/>
        <v>#DIV/0!</v>
      </c>
      <c r="B390" s="87"/>
      <c r="C390" s="740"/>
      <c r="D390" s="87"/>
      <c r="E390" s="87"/>
      <c r="F390" s="563">
        <f t="shared" si="14"/>
        <v>0</v>
      </c>
      <c r="G390" s="87">
        <f t="shared" ref="G390:G644" si="15">D390-F390</f>
        <v>0</v>
      </c>
      <c r="H390" s="690"/>
      <c r="I390" s="693"/>
      <c r="J390" s="692"/>
      <c r="K390" s="692"/>
    </row>
    <row r="391" spans="1:11" ht="15" x14ac:dyDescent="0.25">
      <c r="A391" s="728" t="e">
        <f t="shared" si="13"/>
        <v>#DIV/0!</v>
      </c>
      <c r="B391" s="87"/>
      <c r="C391" s="740"/>
      <c r="D391" s="87"/>
      <c r="E391" s="87"/>
      <c r="F391" s="563">
        <f t="shared" si="14"/>
        <v>0</v>
      </c>
      <c r="G391" s="87">
        <f t="shared" si="15"/>
        <v>0</v>
      </c>
      <c r="H391" s="690"/>
      <c r="I391" s="693"/>
      <c r="J391" s="692"/>
      <c r="K391" s="692"/>
    </row>
    <row r="392" spans="1:11" ht="15" x14ac:dyDescent="0.25">
      <c r="A392" s="728" t="e">
        <f t="shared" si="13"/>
        <v>#DIV/0!</v>
      </c>
      <c r="B392" s="87"/>
      <c r="C392" s="740"/>
      <c r="D392" s="87"/>
      <c r="E392" s="87"/>
      <c r="F392" s="563">
        <f t="shared" si="14"/>
        <v>0</v>
      </c>
      <c r="G392" s="87">
        <f t="shared" si="15"/>
        <v>0</v>
      </c>
      <c r="H392" s="690"/>
      <c r="I392" s="693"/>
      <c r="J392" s="692"/>
      <c r="K392" s="692"/>
    </row>
    <row r="393" spans="1:11" ht="15" x14ac:dyDescent="0.25">
      <c r="A393" s="728" t="e">
        <f t="shared" si="13"/>
        <v>#DIV/0!</v>
      </c>
      <c r="B393" s="87"/>
      <c r="C393" s="740"/>
      <c r="D393" s="87"/>
      <c r="E393" s="87"/>
      <c r="F393" s="563">
        <f t="shared" si="14"/>
        <v>0</v>
      </c>
      <c r="G393" s="87">
        <f t="shared" si="15"/>
        <v>0</v>
      </c>
      <c r="H393" s="690"/>
      <c r="I393" s="693"/>
      <c r="J393" s="692"/>
      <c r="K393" s="692"/>
    </row>
    <row r="394" spans="1:11" ht="15" x14ac:dyDescent="0.25">
      <c r="A394" s="728" t="e">
        <f t="shared" si="13"/>
        <v>#DIV/0!</v>
      </c>
      <c r="B394" s="87"/>
      <c r="C394" s="740"/>
      <c r="D394" s="87"/>
      <c r="E394" s="87"/>
      <c r="F394" s="563">
        <f t="shared" si="14"/>
        <v>0</v>
      </c>
      <c r="G394" s="87">
        <f t="shared" si="15"/>
        <v>0</v>
      </c>
      <c r="H394" s="690"/>
      <c r="I394" s="693"/>
      <c r="J394" s="692"/>
      <c r="K394" s="692"/>
    </row>
    <row r="395" spans="1:11" ht="15" x14ac:dyDescent="0.25">
      <c r="A395" s="728" t="e">
        <f t="shared" si="13"/>
        <v>#DIV/0!</v>
      </c>
      <c r="B395" s="87"/>
      <c r="C395" s="740"/>
      <c r="D395" s="87"/>
      <c r="E395" s="87"/>
      <c r="F395" s="563">
        <f t="shared" si="14"/>
        <v>0</v>
      </c>
      <c r="G395" s="87">
        <f t="shared" si="15"/>
        <v>0</v>
      </c>
      <c r="H395" s="690"/>
      <c r="I395" s="693"/>
      <c r="J395" s="692"/>
      <c r="K395" s="692"/>
    </row>
    <row r="396" spans="1:11" ht="15" x14ac:dyDescent="0.25">
      <c r="A396" s="728" t="e">
        <f t="shared" si="13"/>
        <v>#DIV/0!</v>
      </c>
      <c r="B396" s="87"/>
      <c r="C396" s="740"/>
      <c r="D396" s="87"/>
      <c r="E396" s="87"/>
      <c r="F396" s="563">
        <f t="shared" si="14"/>
        <v>0</v>
      </c>
      <c r="G396" s="87">
        <f t="shared" si="15"/>
        <v>0</v>
      </c>
      <c r="H396" s="690"/>
      <c r="I396" s="693"/>
      <c r="J396" s="692"/>
      <c r="K396" s="692"/>
    </row>
    <row r="397" spans="1:11" ht="15" x14ac:dyDescent="0.25">
      <c r="A397" s="728" t="e">
        <f t="shared" si="13"/>
        <v>#DIV/0!</v>
      </c>
      <c r="B397" s="87"/>
      <c r="C397" s="740"/>
      <c r="D397" s="87"/>
      <c r="E397" s="87"/>
      <c r="F397" s="563">
        <f t="shared" si="14"/>
        <v>0</v>
      </c>
      <c r="G397" s="87">
        <f t="shared" si="15"/>
        <v>0</v>
      </c>
      <c r="H397" s="690"/>
      <c r="I397" s="693"/>
      <c r="J397" s="692"/>
      <c r="K397" s="692"/>
    </row>
    <row r="398" spans="1:11" ht="15" x14ac:dyDescent="0.25">
      <c r="A398" s="728" t="e">
        <f t="shared" si="13"/>
        <v>#DIV/0!</v>
      </c>
      <c r="B398" s="87"/>
      <c r="C398" s="740"/>
      <c r="D398" s="87"/>
      <c r="E398" s="87"/>
      <c r="F398" s="563">
        <f t="shared" si="14"/>
        <v>0</v>
      </c>
      <c r="G398" s="87">
        <f t="shared" si="15"/>
        <v>0</v>
      </c>
      <c r="H398" s="690"/>
      <c r="I398" s="693"/>
      <c r="J398" s="692"/>
      <c r="K398" s="692"/>
    </row>
    <row r="399" spans="1:11" ht="15" x14ac:dyDescent="0.25">
      <c r="A399" s="728" t="e">
        <f t="shared" si="13"/>
        <v>#DIV/0!</v>
      </c>
      <c r="B399" s="87"/>
      <c r="C399" s="740"/>
      <c r="D399" s="87"/>
      <c r="E399" s="87"/>
      <c r="F399" s="563">
        <f t="shared" si="14"/>
        <v>0</v>
      </c>
      <c r="G399" s="87">
        <f t="shared" si="15"/>
        <v>0</v>
      </c>
      <c r="H399" s="690"/>
      <c r="I399" s="693"/>
      <c r="J399" s="692"/>
      <c r="K399" s="692"/>
    </row>
    <row r="400" spans="1:11" ht="15" x14ac:dyDescent="0.25">
      <c r="A400" s="728" t="e">
        <f t="shared" si="13"/>
        <v>#DIV/0!</v>
      </c>
      <c r="B400" s="87"/>
      <c r="C400" s="740"/>
      <c r="D400" s="87"/>
      <c r="E400" s="87"/>
      <c r="F400" s="563">
        <f t="shared" si="14"/>
        <v>0</v>
      </c>
      <c r="G400" s="87">
        <f t="shared" si="15"/>
        <v>0</v>
      </c>
      <c r="H400" s="690"/>
      <c r="I400" s="693"/>
      <c r="J400" s="692"/>
      <c r="K400" s="692"/>
    </row>
    <row r="401" spans="1:11" ht="15" x14ac:dyDescent="0.25">
      <c r="A401" s="728" t="e">
        <f t="shared" si="13"/>
        <v>#DIV/0!</v>
      </c>
      <c r="B401" s="87"/>
      <c r="C401" s="740"/>
      <c r="D401" s="87"/>
      <c r="E401" s="87"/>
      <c r="F401" s="563">
        <f t="shared" si="14"/>
        <v>0</v>
      </c>
      <c r="G401" s="87">
        <f t="shared" si="15"/>
        <v>0</v>
      </c>
      <c r="H401" s="690"/>
      <c r="I401" s="693"/>
      <c r="J401" s="692"/>
      <c r="K401" s="692"/>
    </row>
    <row r="402" spans="1:11" ht="15" x14ac:dyDescent="0.25">
      <c r="A402" s="728" t="e">
        <f t="shared" si="13"/>
        <v>#DIV/0!</v>
      </c>
      <c r="B402" s="87"/>
      <c r="C402" s="740"/>
      <c r="D402" s="87"/>
      <c r="E402" s="87"/>
      <c r="F402" s="563">
        <f t="shared" si="14"/>
        <v>0</v>
      </c>
      <c r="G402" s="87">
        <f t="shared" si="15"/>
        <v>0</v>
      </c>
      <c r="H402" s="690"/>
      <c r="I402" s="693"/>
      <c r="J402" s="692"/>
      <c r="K402" s="692"/>
    </row>
    <row r="403" spans="1:11" ht="15" x14ac:dyDescent="0.25">
      <c r="A403" s="728" t="e">
        <f t="shared" ref="A403:A466" si="16">D403/E403</f>
        <v>#DIV/0!</v>
      </c>
      <c r="B403" s="87"/>
      <c r="C403" s="740"/>
      <c r="D403" s="87"/>
      <c r="E403" s="87"/>
      <c r="F403" s="563">
        <f t="shared" ref="F403:F466" si="17">D403</f>
        <v>0</v>
      </c>
      <c r="G403" s="87">
        <f t="shared" si="15"/>
        <v>0</v>
      </c>
      <c r="H403" s="690"/>
      <c r="I403" s="693"/>
      <c r="J403" s="692"/>
      <c r="K403" s="692"/>
    </row>
    <row r="404" spans="1:11" ht="15" x14ac:dyDescent="0.25">
      <c r="A404" s="728" t="e">
        <f t="shared" si="16"/>
        <v>#DIV/0!</v>
      </c>
      <c r="B404" s="87"/>
      <c r="C404" s="740"/>
      <c r="D404" s="87"/>
      <c r="E404" s="87"/>
      <c r="F404" s="563">
        <f t="shared" si="17"/>
        <v>0</v>
      </c>
      <c r="G404" s="87">
        <f t="shared" si="15"/>
        <v>0</v>
      </c>
      <c r="H404" s="690"/>
      <c r="I404" s="693"/>
      <c r="J404" s="692"/>
      <c r="K404" s="692"/>
    </row>
    <row r="405" spans="1:11" ht="15" x14ac:dyDescent="0.25">
      <c r="A405" s="728" t="e">
        <f t="shared" si="16"/>
        <v>#DIV/0!</v>
      </c>
      <c r="B405" s="87"/>
      <c r="C405" s="740"/>
      <c r="D405" s="87"/>
      <c r="E405" s="87"/>
      <c r="F405" s="563">
        <f t="shared" si="17"/>
        <v>0</v>
      </c>
      <c r="G405" s="87">
        <f t="shared" si="15"/>
        <v>0</v>
      </c>
      <c r="H405" s="690"/>
      <c r="I405" s="693"/>
      <c r="J405" s="692"/>
      <c r="K405" s="692"/>
    </row>
    <row r="406" spans="1:11" ht="15" x14ac:dyDescent="0.25">
      <c r="A406" s="728" t="e">
        <f t="shared" si="16"/>
        <v>#DIV/0!</v>
      </c>
      <c r="B406" s="87"/>
      <c r="C406" s="740"/>
      <c r="D406" s="87"/>
      <c r="E406" s="87"/>
      <c r="F406" s="563">
        <f t="shared" si="17"/>
        <v>0</v>
      </c>
      <c r="G406" s="87">
        <f t="shared" si="15"/>
        <v>0</v>
      </c>
      <c r="H406" s="690"/>
      <c r="I406" s="693"/>
      <c r="J406" s="692"/>
      <c r="K406" s="692"/>
    </row>
    <row r="407" spans="1:11" ht="15" x14ac:dyDescent="0.25">
      <c r="A407" s="728" t="e">
        <f t="shared" si="16"/>
        <v>#DIV/0!</v>
      </c>
      <c r="B407" s="87"/>
      <c r="C407" s="740"/>
      <c r="D407" s="87"/>
      <c r="E407" s="87"/>
      <c r="F407" s="563">
        <f t="shared" si="17"/>
        <v>0</v>
      </c>
      <c r="G407" s="87">
        <f t="shared" si="15"/>
        <v>0</v>
      </c>
      <c r="H407" s="690"/>
      <c r="I407" s="693"/>
      <c r="J407" s="692"/>
      <c r="K407" s="692"/>
    </row>
    <row r="408" spans="1:11" ht="15" x14ac:dyDescent="0.25">
      <c r="A408" s="728" t="e">
        <f t="shared" si="16"/>
        <v>#DIV/0!</v>
      </c>
      <c r="B408" s="87"/>
      <c r="C408" s="740"/>
      <c r="D408" s="87"/>
      <c r="E408" s="87"/>
      <c r="F408" s="563">
        <f t="shared" si="17"/>
        <v>0</v>
      </c>
      <c r="G408" s="87">
        <f t="shared" si="15"/>
        <v>0</v>
      </c>
      <c r="H408" s="690"/>
      <c r="I408" s="693"/>
      <c r="J408" s="692"/>
      <c r="K408" s="692"/>
    </row>
    <row r="409" spans="1:11" ht="15" x14ac:dyDescent="0.25">
      <c r="A409" s="728" t="e">
        <f t="shared" si="16"/>
        <v>#DIV/0!</v>
      </c>
      <c r="B409" s="87"/>
      <c r="C409" s="740"/>
      <c r="D409" s="87"/>
      <c r="E409" s="87"/>
      <c r="F409" s="563">
        <f t="shared" si="17"/>
        <v>0</v>
      </c>
      <c r="G409" s="87">
        <f t="shared" si="15"/>
        <v>0</v>
      </c>
      <c r="H409" s="690"/>
      <c r="I409" s="693"/>
      <c r="J409" s="692"/>
      <c r="K409" s="692"/>
    </row>
    <row r="410" spans="1:11" ht="15" x14ac:dyDescent="0.25">
      <c r="A410" s="728" t="e">
        <f t="shared" si="16"/>
        <v>#DIV/0!</v>
      </c>
      <c r="B410" s="87"/>
      <c r="C410" s="740"/>
      <c r="D410" s="87"/>
      <c r="E410" s="87"/>
      <c r="F410" s="563">
        <f t="shared" si="17"/>
        <v>0</v>
      </c>
      <c r="G410" s="87">
        <f t="shared" si="15"/>
        <v>0</v>
      </c>
      <c r="H410" s="690"/>
      <c r="I410" s="693"/>
      <c r="J410" s="692"/>
      <c r="K410" s="692"/>
    </row>
    <row r="411" spans="1:11" ht="15" x14ac:dyDescent="0.25">
      <c r="A411" s="728" t="e">
        <f t="shared" si="16"/>
        <v>#DIV/0!</v>
      </c>
      <c r="B411" s="87"/>
      <c r="C411" s="740"/>
      <c r="D411" s="87"/>
      <c r="E411" s="87"/>
      <c r="F411" s="563">
        <f t="shared" si="17"/>
        <v>0</v>
      </c>
      <c r="G411" s="87">
        <f t="shared" si="15"/>
        <v>0</v>
      </c>
      <c r="H411" s="690"/>
      <c r="I411" s="693"/>
      <c r="J411" s="692"/>
      <c r="K411" s="692"/>
    </row>
    <row r="412" spans="1:11" ht="15" x14ac:dyDescent="0.25">
      <c r="A412" s="728" t="e">
        <f t="shared" si="16"/>
        <v>#DIV/0!</v>
      </c>
      <c r="B412" s="87"/>
      <c r="C412" s="740"/>
      <c r="D412" s="87"/>
      <c r="E412" s="87"/>
      <c r="F412" s="563">
        <f t="shared" si="17"/>
        <v>0</v>
      </c>
      <c r="G412" s="87">
        <f t="shared" si="15"/>
        <v>0</v>
      </c>
      <c r="H412" s="690"/>
      <c r="I412" s="693"/>
      <c r="J412" s="692"/>
      <c r="K412" s="692"/>
    </row>
    <row r="413" spans="1:11" ht="15" x14ac:dyDescent="0.25">
      <c r="A413" s="728" t="e">
        <f t="shared" si="16"/>
        <v>#DIV/0!</v>
      </c>
      <c r="B413" s="87"/>
      <c r="C413" s="740"/>
      <c r="D413" s="87"/>
      <c r="E413" s="87"/>
      <c r="F413" s="563">
        <f t="shared" si="17"/>
        <v>0</v>
      </c>
      <c r="G413" s="87">
        <f t="shared" si="15"/>
        <v>0</v>
      </c>
      <c r="H413" s="690"/>
      <c r="I413" s="693"/>
      <c r="J413" s="692"/>
      <c r="K413" s="692"/>
    </row>
    <row r="414" spans="1:11" ht="15" x14ac:dyDescent="0.25">
      <c r="A414" s="728" t="e">
        <f t="shared" si="16"/>
        <v>#DIV/0!</v>
      </c>
      <c r="B414" s="87"/>
      <c r="C414" s="740"/>
      <c r="D414" s="87"/>
      <c r="E414" s="87"/>
      <c r="F414" s="563">
        <f t="shared" si="17"/>
        <v>0</v>
      </c>
      <c r="G414" s="87">
        <f t="shared" si="15"/>
        <v>0</v>
      </c>
      <c r="H414" s="690"/>
      <c r="I414" s="693"/>
      <c r="J414" s="692"/>
      <c r="K414" s="692"/>
    </row>
    <row r="415" spans="1:11" ht="15" x14ac:dyDescent="0.25">
      <c r="A415" s="728" t="e">
        <f t="shared" si="16"/>
        <v>#DIV/0!</v>
      </c>
      <c r="B415" s="87"/>
      <c r="C415" s="740"/>
      <c r="D415" s="87"/>
      <c r="E415" s="87"/>
      <c r="F415" s="563">
        <f t="shared" si="17"/>
        <v>0</v>
      </c>
      <c r="G415" s="87">
        <f t="shared" si="15"/>
        <v>0</v>
      </c>
      <c r="H415" s="690"/>
      <c r="I415" s="693"/>
      <c r="J415" s="692"/>
      <c r="K415" s="692"/>
    </row>
    <row r="416" spans="1:11" ht="15" x14ac:dyDescent="0.25">
      <c r="A416" s="728" t="e">
        <f t="shared" si="16"/>
        <v>#DIV/0!</v>
      </c>
      <c r="B416" s="87"/>
      <c r="C416" s="740"/>
      <c r="D416" s="87"/>
      <c r="E416" s="87"/>
      <c r="F416" s="563">
        <f t="shared" si="17"/>
        <v>0</v>
      </c>
      <c r="G416" s="87">
        <f t="shared" si="15"/>
        <v>0</v>
      </c>
      <c r="H416" s="690"/>
      <c r="I416" s="693"/>
      <c r="J416" s="692"/>
      <c r="K416" s="692"/>
    </row>
    <row r="417" spans="1:11" ht="15" x14ac:dyDescent="0.25">
      <c r="A417" s="728" t="e">
        <f t="shared" si="16"/>
        <v>#DIV/0!</v>
      </c>
      <c r="B417" s="87"/>
      <c r="C417" s="740"/>
      <c r="D417" s="87"/>
      <c r="E417" s="87"/>
      <c r="F417" s="563">
        <f t="shared" si="17"/>
        <v>0</v>
      </c>
      <c r="G417" s="87">
        <f t="shared" si="15"/>
        <v>0</v>
      </c>
      <c r="H417" s="690"/>
      <c r="I417" s="693"/>
      <c r="J417" s="692"/>
      <c r="K417" s="692"/>
    </row>
    <row r="418" spans="1:11" ht="15" x14ac:dyDescent="0.25">
      <c r="A418" s="728" t="e">
        <f t="shared" si="16"/>
        <v>#DIV/0!</v>
      </c>
      <c r="B418" s="87"/>
      <c r="C418" s="740"/>
      <c r="D418" s="87"/>
      <c r="E418" s="87"/>
      <c r="F418" s="563">
        <f t="shared" si="17"/>
        <v>0</v>
      </c>
      <c r="G418" s="87">
        <f t="shared" si="15"/>
        <v>0</v>
      </c>
      <c r="H418" s="690"/>
      <c r="I418" s="693"/>
      <c r="J418" s="692"/>
      <c r="K418" s="692"/>
    </row>
    <row r="419" spans="1:11" ht="15" x14ac:dyDescent="0.25">
      <c r="A419" s="728" t="e">
        <f t="shared" si="16"/>
        <v>#DIV/0!</v>
      </c>
      <c r="B419" s="87"/>
      <c r="C419" s="740"/>
      <c r="D419" s="87"/>
      <c r="E419" s="87"/>
      <c r="F419" s="563">
        <f t="shared" si="17"/>
        <v>0</v>
      </c>
      <c r="G419" s="87">
        <f t="shared" si="15"/>
        <v>0</v>
      </c>
      <c r="H419" s="690"/>
      <c r="I419" s="693"/>
      <c r="J419" s="692"/>
      <c r="K419" s="692"/>
    </row>
    <row r="420" spans="1:11" ht="15" x14ac:dyDescent="0.25">
      <c r="A420" s="728" t="e">
        <f t="shared" si="16"/>
        <v>#DIV/0!</v>
      </c>
      <c r="B420" s="87"/>
      <c r="C420" s="740"/>
      <c r="D420" s="87"/>
      <c r="E420" s="87"/>
      <c r="F420" s="563">
        <f t="shared" si="17"/>
        <v>0</v>
      </c>
      <c r="G420" s="87">
        <f t="shared" si="15"/>
        <v>0</v>
      </c>
      <c r="H420" s="690"/>
      <c r="I420" s="693"/>
      <c r="J420" s="692"/>
      <c r="K420" s="692"/>
    </row>
    <row r="421" spans="1:11" ht="15" x14ac:dyDescent="0.25">
      <c r="A421" s="728" t="e">
        <f t="shared" si="16"/>
        <v>#DIV/0!</v>
      </c>
      <c r="B421" s="87"/>
      <c r="C421" s="740"/>
      <c r="D421" s="87"/>
      <c r="E421" s="87"/>
      <c r="F421" s="563">
        <f t="shared" si="17"/>
        <v>0</v>
      </c>
      <c r="G421" s="87">
        <f t="shared" si="15"/>
        <v>0</v>
      </c>
      <c r="H421" s="690"/>
      <c r="I421" s="693"/>
      <c r="J421" s="692"/>
      <c r="K421" s="692"/>
    </row>
    <row r="422" spans="1:11" ht="15" x14ac:dyDescent="0.25">
      <c r="A422" s="728" t="e">
        <f t="shared" si="16"/>
        <v>#DIV/0!</v>
      </c>
      <c r="B422" s="87"/>
      <c r="C422" s="740"/>
      <c r="D422" s="87"/>
      <c r="E422" s="87"/>
      <c r="F422" s="563">
        <f t="shared" si="17"/>
        <v>0</v>
      </c>
      <c r="G422" s="87">
        <f t="shared" si="15"/>
        <v>0</v>
      </c>
      <c r="H422" s="690"/>
      <c r="I422" s="693"/>
      <c r="J422" s="692"/>
      <c r="K422" s="692"/>
    </row>
    <row r="423" spans="1:11" ht="15" x14ac:dyDescent="0.25">
      <c r="A423" s="728" t="e">
        <f t="shared" si="16"/>
        <v>#DIV/0!</v>
      </c>
      <c r="B423" s="87"/>
      <c r="C423" s="740"/>
      <c r="D423" s="87"/>
      <c r="E423" s="87"/>
      <c r="F423" s="563">
        <f t="shared" si="17"/>
        <v>0</v>
      </c>
      <c r="G423" s="87">
        <f t="shared" si="15"/>
        <v>0</v>
      </c>
      <c r="H423" s="690"/>
      <c r="I423" s="693"/>
      <c r="J423" s="692"/>
      <c r="K423" s="692"/>
    </row>
    <row r="424" spans="1:11" ht="15" x14ac:dyDescent="0.25">
      <c r="A424" s="728" t="e">
        <f t="shared" si="16"/>
        <v>#DIV/0!</v>
      </c>
      <c r="B424" s="87"/>
      <c r="C424" s="740"/>
      <c r="D424" s="87"/>
      <c r="E424" s="87"/>
      <c r="F424" s="563">
        <f t="shared" si="17"/>
        <v>0</v>
      </c>
      <c r="G424" s="87">
        <f t="shared" si="15"/>
        <v>0</v>
      </c>
      <c r="H424" s="690"/>
      <c r="I424" s="693"/>
      <c r="J424" s="692"/>
      <c r="K424" s="692"/>
    </row>
    <row r="425" spans="1:11" ht="15" x14ac:dyDescent="0.25">
      <c r="A425" s="728" t="e">
        <f t="shared" si="16"/>
        <v>#DIV/0!</v>
      </c>
      <c r="B425" s="87"/>
      <c r="C425" s="740"/>
      <c r="D425" s="87"/>
      <c r="E425" s="87"/>
      <c r="F425" s="563">
        <f t="shared" si="17"/>
        <v>0</v>
      </c>
      <c r="G425" s="87">
        <f t="shared" si="15"/>
        <v>0</v>
      </c>
      <c r="H425" s="690"/>
      <c r="I425" s="693"/>
      <c r="J425" s="692"/>
      <c r="K425" s="692"/>
    </row>
    <row r="426" spans="1:11" ht="15" x14ac:dyDescent="0.25">
      <c r="A426" s="728" t="e">
        <f t="shared" si="16"/>
        <v>#DIV/0!</v>
      </c>
      <c r="B426" s="87"/>
      <c r="C426" s="740"/>
      <c r="D426" s="87"/>
      <c r="E426" s="87"/>
      <c r="F426" s="563">
        <f t="shared" si="17"/>
        <v>0</v>
      </c>
      <c r="G426" s="87">
        <f t="shared" si="15"/>
        <v>0</v>
      </c>
      <c r="H426" s="690"/>
      <c r="I426" s="693"/>
      <c r="J426" s="692"/>
      <c r="K426" s="692"/>
    </row>
    <row r="427" spans="1:11" ht="15" x14ac:dyDescent="0.25">
      <c r="A427" s="728" t="e">
        <f t="shared" si="16"/>
        <v>#DIV/0!</v>
      </c>
      <c r="B427" s="87"/>
      <c r="C427" s="740"/>
      <c r="D427" s="87"/>
      <c r="E427" s="87"/>
      <c r="F427" s="563">
        <f t="shared" si="17"/>
        <v>0</v>
      </c>
      <c r="G427" s="87">
        <f t="shared" si="15"/>
        <v>0</v>
      </c>
      <c r="H427" s="690"/>
      <c r="I427" s="693"/>
      <c r="J427" s="692"/>
      <c r="K427" s="692"/>
    </row>
    <row r="428" spans="1:11" ht="15" x14ac:dyDescent="0.25">
      <c r="A428" s="728" t="e">
        <f t="shared" si="16"/>
        <v>#DIV/0!</v>
      </c>
      <c r="B428" s="87"/>
      <c r="C428" s="740"/>
      <c r="D428" s="87"/>
      <c r="E428" s="87"/>
      <c r="F428" s="563">
        <f t="shared" si="17"/>
        <v>0</v>
      </c>
      <c r="G428" s="87">
        <f t="shared" si="15"/>
        <v>0</v>
      </c>
      <c r="H428" s="690"/>
      <c r="I428" s="693"/>
      <c r="J428" s="692"/>
      <c r="K428" s="692"/>
    </row>
    <row r="429" spans="1:11" ht="15" x14ac:dyDescent="0.25">
      <c r="A429" s="728" t="e">
        <f t="shared" si="16"/>
        <v>#DIV/0!</v>
      </c>
      <c r="B429" s="87"/>
      <c r="C429" s="740"/>
      <c r="D429" s="87"/>
      <c r="E429" s="87"/>
      <c r="F429" s="563">
        <f t="shared" si="17"/>
        <v>0</v>
      </c>
      <c r="G429" s="87">
        <f t="shared" si="15"/>
        <v>0</v>
      </c>
      <c r="H429" s="690"/>
      <c r="I429" s="693"/>
      <c r="J429" s="692"/>
      <c r="K429" s="692"/>
    </row>
    <row r="430" spans="1:11" ht="15" x14ac:dyDescent="0.25">
      <c r="A430" s="728" t="e">
        <f t="shared" si="16"/>
        <v>#DIV/0!</v>
      </c>
      <c r="B430" s="87"/>
      <c r="C430" s="740"/>
      <c r="D430" s="87"/>
      <c r="E430" s="87"/>
      <c r="F430" s="563">
        <f t="shared" si="17"/>
        <v>0</v>
      </c>
      <c r="G430" s="87">
        <f t="shared" si="15"/>
        <v>0</v>
      </c>
      <c r="H430" s="690"/>
      <c r="I430" s="693"/>
      <c r="J430" s="692"/>
      <c r="K430" s="692"/>
    </row>
    <row r="431" spans="1:11" ht="15" x14ac:dyDescent="0.25">
      <c r="A431" s="728" t="e">
        <f t="shared" si="16"/>
        <v>#DIV/0!</v>
      </c>
      <c r="B431" s="87"/>
      <c r="C431" s="740"/>
      <c r="D431" s="87"/>
      <c r="E431" s="87"/>
      <c r="F431" s="563">
        <f t="shared" si="17"/>
        <v>0</v>
      </c>
      <c r="G431" s="87">
        <f t="shared" si="15"/>
        <v>0</v>
      </c>
      <c r="H431" s="690"/>
      <c r="I431" s="693"/>
      <c r="J431" s="692"/>
      <c r="K431" s="692"/>
    </row>
    <row r="432" spans="1:11" ht="15" x14ac:dyDescent="0.25">
      <c r="A432" s="728" t="e">
        <f t="shared" si="16"/>
        <v>#DIV/0!</v>
      </c>
      <c r="B432" s="87"/>
      <c r="C432" s="740"/>
      <c r="D432" s="87"/>
      <c r="E432" s="87"/>
      <c r="F432" s="563">
        <f t="shared" si="17"/>
        <v>0</v>
      </c>
      <c r="G432" s="87">
        <f t="shared" si="15"/>
        <v>0</v>
      </c>
      <c r="H432" s="690"/>
      <c r="I432" s="693"/>
      <c r="J432" s="692"/>
      <c r="K432" s="692"/>
    </row>
    <row r="433" spans="1:11" ht="15" x14ac:dyDescent="0.25">
      <c r="A433" s="728" t="e">
        <f t="shared" si="16"/>
        <v>#DIV/0!</v>
      </c>
      <c r="B433" s="87"/>
      <c r="C433" s="740"/>
      <c r="D433" s="87"/>
      <c r="E433" s="87"/>
      <c r="F433" s="563">
        <f t="shared" si="17"/>
        <v>0</v>
      </c>
      <c r="G433" s="87">
        <f t="shared" si="15"/>
        <v>0</v>
      </c>
      <c r="H433" s="690"/>
      <c r="I433" s="693"/>
      <c r="J433" s="692"/>
      <c r="K433" s="692"/>
    </row>
    <row r="434" spans="1:11" ht="15" x14ac:dyDescent="0.25">
      <c r="A434" s="728" t="e">
        <f t="shared" si="16"/>
        <v>#DIV/0!</v>
      </c>
      <c r="B434" s="87"/>
      <c r="C434" s="740"/>
      <c r="D434" s="87"/>
      <c r="E434" s="740"/>
      <c r="F434" s="563">
        <f t="shared" si="17"/>
        <v>0</v>
      </c>
      <c r="G434" s="87">
        <f t="shared" si="15"/>
        <v>0</v>
      </c>
      <c r="H434" s="690"/>
      <c r="I434" s="693"/>
      <c r="J434" s="692"/>
      <c r="K434" s="692"/>
    </row>
    <row r="435" spans="1:11" ht="15" x14ac:dyDescent="0.25">
      <c r="A435" s="728" t="e">
        <f t="shared" si="16"/>
        <v>#DIV/0!</v>
      </c>
      <c r="B435" s="87"/>
      <c r="C435" s="740"/>
      <c r="D435" s="87"/>
      <c r="E435" s="87"/>
      <c r="F435" s="563">
        <f t="shared" si="17"/>
        <v>0</v>
      </c>
      <c r="G435" s="87">
        <f t="shared" si="15"/>
        <v>0</v>
      </c>
      <c r="H435" s="690"/>
      <c r="I435" s="693"/>
      <c r="J435" s="692"/>
      <c r="K435" s="692"/>
    </row>
    <row r="436" spans="1:11" ht="15" x14ac:dyDescent="0.25">
      <c r="A436" s="728" t="e">
        <f t="shared" si="16"/>
        <v>#DIV/0!</v>
      </c>
      <c r="B436" s="87"/>
      <c r="C436" s="740"/>
      <c r="D436" s="87"/>
      <c r="E436" s="87"/>
      <c r="F436" s="563">
        <f t="shared" si="17"/>
        <v>0</v>
      </c>
      <c r="G436" s="87">
        <f t="shared" si="15"/>
        <v>0</v>
      </c>
      <c r="H436" s="690"/>
      <c r="I436" s="693"/>
      <c r="J436" s="692"/>
      <c r="K436" s="692"/>
    </row>
    <row r="437" spans="1:11" ht="15" x14ac:dyDescent="0.25">
      <c r="A437" s="728" t="e">
        <f t="shared" si="16"/>
        <v>#DIV/0!</v>
      </c>
      <c r="B437" s="87"/>
      <c r="C437" s="740"/>
      <c r="D437" s="87"/>
      <c r="E437" s="87"/>
      <c r="F437" s="563">
        <f t="shared" si="17"/>
        <v>0</v>
      </c>
      <c r="G437" s="87">
        <f t="shared" si="15"/>
        <v>0</v>
      </c>
      <c r="H437" s="690"/>
      <c r="I437" s="693"/>
      <c r="J437" s="692"/>
      <c r="K437" s="692"/>
    </row>
    <row r="438" spans="1:11" ht="15" x14ac:dyDescent="0.25">
      <c r="A438" s="728" t="e">
        <f t="shared" si="16"/>
        <v>#DIV/0!</v>
      </c>
      <c r="B438" s="87"/>
      <c r="C438" s="740"/>
      <c r="D438" s="87"/>
      <c r="E438" s="87"/>
      <c r="F438" s="563">
        <f t="shared" si="17"/>
        <v>0</v>
      </c>
      <c r="G438" s="87">
        <f t="shared" si="15"/>
        <v>0</v>
      </c>
      <c r="H438" s="690"/>
      <c r="I438" s="693"/>
      <c r="J438" s="692"/>
      <c r="K438" s="692"/>
    </row>
    <row r="439" spans="1:11" ht="15" x14ac:dyDescent="0.25">
      <c r="A439" s="728" t="e">
        <f t="shared" si="16"/>
        <v>#DIV/0!</v>
      </c>
      <c r="B439" s="87"/>
      <c r="C439" s="740"/>
      <c r="D439" s="87"/>
      <c r="E439" s="87"/>
      <c r="F439" s="563">
        <f t="shared" si="17"/>
        <v>0</v>
      </c>
      <c r="G439" s="87">
        <f t="shared" si="15"/>
        <v>0</v>
      </c>
      <c r="H439" s="690"/>
      <c r="I439" s="693"/>
      <c r="J439" s="692"/>
      <c r="K439" s="692"/>
    </row>
    <row r="440" spans="1:11" ht="15" x14ac:dyDescent="0.25">
      <c r="A440" s="728" t="e">
        <f t="shared" si="16"/>
        <v>#DIV/0!</v>
      </c>
      <c r="B440" s="87"/>
      <c r="C440" s="740"/>
      <c r="D440" s="87"/>
      <c r="E440" s="87"/>
      <c r="F440" s="563">
        <f t="shared" si="17"/>
        <v>0</v>
      </c>
      <c r="G440" s="87">
        <f t="shared" si="15"/>
        <v>0</v>
      </c>
      <c r="H440" s="690"/>
      <c r="I440" s="693"/>
      <c r="J440" s="692"/>
      <c r="K440" s="692"/>
    </row>
    <row r="441" spans="1:11" ht="15" x14ac:dyDescent="0.25">
      <c r="A441" s="728" t="e">
        <f t="shared" si="16"/>
        <v>#DIV/0!</v>
      </c>
      <c r="B441" s="87"/>
      <c r="C441" s="740"/>
      <c r="D441" s="87"/>
      <c r="E441" s="87"/>
      <c r="F441" s="563">
        <f t="shared" si="17"/>
        <v>0</v>
      </c>
      <c r="G441" s="87">
        <f t="shared" si="15"/>
        <v>0</v>
      </c>
      <c r="H441" s="690"/>
      <c r="I441" s="693"/>
      <c r="J441" s="692"/>
      <c r="K441" s="692"/>
    </row>
    <row r="442" spans="1:11" ht="15" x14ac:dyDescent="0.25">
      <c r="A442" s="728" t="e">
        <f t="shared" si="16"/>
        <v>#DIV/0!</v>
      </c>
      <c r="B442" s="87"/>
      <c r="C442" s="740"/>
      <c r="D442" s="87"/>
      <c r="E442" s="87"/>
      <c r="F442" s="563">
        <f t="shared" si="17"/>
        <v>0</v>
      </c>
      <c r="G442" s="87">
        <f t="shared" si="15"/>
        <v>0</v>
      </c>
      <c r="H442" s="690"/>
      <c r="I442" s="693"/>
      <c r="J442" s="692"/>
      <c r="K442" s="692"/>
    </row>
    <row r="443" spans="1:11" ht="15" x14ac:dyDescent="0.25">
      <c r="A443" s="728" t="e">
        <f t="shared" si="16"/>
        <v>#DIV/0!</v>
      </c>
      <c r="B443" s="87"/>
      <c r="C443" s="740"/>
      <c r="D443" s="87"/>
      <c r="E443" s="87"/>
      <c r="F443" s="563">
        <f t="shared" si="17"/>
        <v>0</v>
      </c>
      <c r="G443" s="87">
        <f t="shared" si="15"/>
        <v>0</v>
      </c>
      <c r="H443" s="690"/>
      <c r="I443" s="693"/>
      <c r="J443" s="692"/>
      <c r="K443" s="692"/>
    </row>
    <row r="444" spans="1:11" ht="15" x14ac:dyDescent="0.25">
      <c r="A444" s="728" t="e">
        <f t="shared" si="16"/>
        <v>#DIV/0!</v>
      </c>
      <c r="B444" s="87"/>
      <c r="C444" s="740"/>
      <c r="D444" s="87"/>
      <c r="E444" s="87"/>
      <c r="F444" s="563">
        <f t="shared" si="17"/>
        <v>0</v>
      </c>
      <c r="G444" s="87">
        <f t="shared" si="15"/>
        <v>0</v>
      </c>
      <c r="H444" s="690"/>
      <c r="I444" s="693"/>
      <c r="J444" s="692"/>
      <c r="K444" s="692"/>
    </row>
    <row r="445" spans="1:11" ht="15" x14ac:dyDescent="0.25">
      <c r="A445" s="728" t="e">
        <f t="shared" si="16"/>
        <v>#DIV/0!</v>
      </c>
      <c r="B445" s="87"/>
      <c r="C445" s="757"/>
      <c r="D445" s="87"/>
      <c r="E445" s="87"/>
      <c r="F445" s="563">
        <f t="shared" si="17"/>
        <v>0</v>
      </c>
      <c r="G445" s="87">
        <f t="shared" si="15"/>
        <v>0</v>
      </c>
      <c r="H445" s="690"/>
      <c r="I445" s="693"/>
      <c r="J445" s="692"/>
      <c r="K445" s="692"/>
    </row>
    <row r="446" spans="1:11" ht="15" x14ac:dyDescent="0.25">
      <c r="A446" s="728" t="e">
        <f t="shared" si="16"/>
        <v>#DIV/0!</v>
      </c>
      <c r="B446" s="87"/>
      <c r="C446" s="740"/>
      <c r="D446" s="87"/>
      <c r="E446" s="87"/>
      <c r="F446" s="563">
        <f t="shared" si="17"/>
        <v>0</v>
      </c>
      <c r="G446" s="87">
        <f t="shared" si="15"/>
        <v>0</v>
      </c>
      <c r="H446" s="690"/>
      <c r="I446" s="693"/>
      <c r="J446" s="692"/>
      <c r="K446" s="692"/>
    </row>
    <row r="447" spans="1:11" ht="15" x14ac:dyDescent="0.25">
      <c r="A447" s="728" t="e">
        <f t="shared" si="16"/>
        <v>#DIV/0!</v>
      </c>
      <c r="B447" s="87"/>
      <c r="C447" s="740"/>
      <c r="D447" s="87"/>
      <c r="E447" s="87"/>
      <c r="F447" s="563">
        <f t="shared" si="17"/>
        <v>0</v>
      </c>
      <c r="G447" s="87">
        <f t="shared" si="15"/>
        <v>0</v>
      </c>
      <c r="H447" s="690"/>
      <c r="I447" s="693"/>
      <c r="J447" s="692"/>
      <c r="K447" s="692"/>
    </row>
    <row r="448" spans="1:11" ht="15" x14ac:dyDescent="0.25">
      <c r="A448" s="728" t="e">
        <f t="shared" si="16"/>
        <v>#DIV/0!</v>
      </c>
      <c r="B448" s="87"/>
      <c r="C448" s="740"/>
      <c r="D448" s="87"/>
      <c r="E448" s="87"/>
      <c r="F448" s="563">
        <f t="shared" si="17"/>
        <v>0</v>
      </c>
      <c r="G448" s="87">
        <f t="shared" si="15"/>
        <v>0</v>
      </c>
      <c r="H448" s="690"/>
      <c r="I448" s="693"/>
      <c r="J448" s="692"/>
      <c r="K448" s="692"/>
    </row>
    <row r="449" spans="1:11" ht="15" x14ac:dyDescent="0.25">
      <c r="A449" s="728" t="e">
        <f t="shared" si="16"/>
        <v>#DIV/0!</v>
      </c>
      <c r="B449" s="87"/>
      <c r="C449" s="740"/>
      <c r="D449" s="87"/>
      <c r="E449" s="87"/>
      <c r="F449" s="563">
        <f t="shared" si="17"/>
        <v>0</v>
      </c>
      <c r="G449" s="87">
        <f t="shared" si="15"/>
        <v>0</v>
      </c>
      <c r="H449" s="690"/>
      <c r="I449" s="693"/>
      <c r="J449" s="692"/>
      <c r="K449" s="692"/>
    </row>
    <row r="450" spans="1:11" ht="15" x14ac:dyDescent="0.25">
      <c r="A450" s="728" t="e">
        <f t="shared" si="16"/>
        <v>#DIV/0!</v>
      </c>
      <c r="B450" s="87"/>
      <c r="C450" s="740"/>
      <c r="D450" s="87"/>
      <c r="E450" s="87"/>
      <c r="F450" s="563">
        <f t="shared" si="17"/>
        <v>0</v>
      </c>
      <c r="G450" s="87">
        <f t="shared" si="15"/>
        <v>0</v>
      </c>
      <c r="H450" s="690"/>
      <c r="I450" s="693"/>
      <c r="J450" s="692"/>
      <c r="K450" s="692"/>
    </row>
    <row r="451" spans="1:11" ht="15" x14ac:dyDescent="0.25">
      <c r="A451" s="728" t="e">
        <f t="shared" si="16"/>
        <v>#DIV/0!</v>
      </c>
      <c r="B451" s="87"/>
      <c r="C451" s="740"/>
      <c r="D451" s="87"/>
      <c r="E451" s="87"/>
      <c r="F451" s="563">
        <f t="shared" si="17"/>
        <v>0</v>
      </c>
      <c r="G451" s="87">
        <f t="shared" si="15"/>
        <v>0</v>
      </c>
      <c r="H451" s="690"/>
      <c r="I451" s="693"/>
      <c r="J451" s="692"/>
      <c r="K451" s="692"/>
    </row>
    <row r="452" spans="1:11" ht="15" x14ac:dyDescent="0.25">
      <c r="A452" s="728" t="e">
        <f t="shared" si="16"/>
        <v>#DIV/0!</v>
      </c>
      <c r="B452" s="87"/>
      <c r="C452" s="740"/>
      <c r="D452" s="87"/>
      <c r="E452" s="87"/>
      <c r="F452" s="563">
        <f t="shared" si="17"/>
        <v>0</v>
      </c>
      <c r="G452" s="87">
        <f t="shared" si="15"/>
        <v>0</v>
      </c>
      <c r="H452" s="690"/>
      <c r="I452" s="693"/>
      <c r="J452" s="692"/>
      <c r="K452" s="692"/>
    </row>
    <row r="453" spans="1:11" ht="15" x14ac:dyDescent="0.25">
      <c r="A453" s="728" t="e">
        <f t="shared" si="16"/>
        <v>#DIV/0!</v>
      </c>
      <c r="B453" s="87"/>
      <c r="C453" s="740"/>
      <c r="D453" s="87"/>
      <c r="E453" s="87"/>
      <c r="F453" s="563">
        <f t="shared" si="17"/>
        <v>0</v>
      </c>
      <c r="G453" s="87">
        <f t="shared" si="15"/>
        <v>0</v>
      </c>
      <c r="H453" s="690"/>
      <c r="I453" s="693"/>
      <c r="J453" s="692"/>
      <c r="K453" s="692"/>
    </row>
    <row r="454" spans="1:11" ht="15" x14ac:dyDescent="0.25">
      <c r="A454" s="728" t="e">
        <f t="shared" si="16"/>
        <v>#DIV/0!</v>
      </c>
      <c r="B454" s="87"/>
      <c r="C454" s="740"/>
      <c r="D454" s="87"/>
      <c r="E454" s="476"/>
      <c r="F454" s="563">
        <f t="shared" si="17"/>
        <v>0</v>
      </c>
      <c r="G454" s="87">
        <f t="shared" si="15"/>
        <v>0</v>
      </c>
      <c r="H454" s="690"/>
      <c r="I454" s="693"/>
      <c r="J454" s="692"/>
      <c r="K454" s="692"/>
    </row>
    <row r="455" spans="1:11" ht="15" x14ac:dyDescent="0.25">
      <c r="A455" s="728" t="e">
        <f t="shared" si="16"/>
        <v>#DIV/0!</v>
      </c>
      <c r="B455" s="87"/>
      <c r="C455" s="740"/>
      <c r="D455" s="87"/>
      <c r="E455" s="87"/>
      <c r="F455" s="563">
        <f t="shared" si="17"/>
        <v>0</v>
      </c>
      <c r="G455" s="87">
        <f t="shared" si="15"/>
        <v>0</v>
      </c>
      <c r="H455" s="690"/>
      <c r="I455" s="693"/>
      <c r="J455" s="692"/>
      <c r="K455" s="692"/>
    </row>
    <row r="456" spans="1:11" ht="15" x14ac:dyDescent="0.25">
      <c r="A456" s="728" t="e">
        <f t="shared" si="16"/>
        <v>#DIV/0!</v>
      </c>
      <c r="B456" s="87"/>
      <c r="C456" s="740"/>
      <c r="D456" s="87"/>
      <c r="E456" s="87"/>
      <c r="F456" s="563">
        <f t="shared" si="17"/>
        <v>0</v>
      </c>
      <c r="G456" s="87">
        <f t="shared" si="15"/>
        <v>0</v>
      </c>
      <c r="H456" s="690"/>
      <c r="I456" s="693"/>
      <c r="J456" s="692"/>
      <c r="K456" s="692"/>
    </row>
    <row r="457" spans="1:11" ht="15" x14ac:dyDescent="0.25">
      <c r="A457" s="728" t="e">
        <f t="shared" si="16"/>
        <v>#DIV/0!</v>
      </c>
      <c r="B457" s="87"/>
      <c r="C457" s="740"/>
      <c r="D457" s="87"/>
      <c r="E457" s="87"/>
      <c r="F457" s="563">
        <f t="shared" si="17"/>
        <v>0</v>
      </c>
      <c r="G457" s="87">
        <f t="shared" si="15"/>
        <v>0</v>
      </c>
      <c r="H457" s="690"/>
      <c r="I457" s="693"/>
      <c r="J457" s="692"/>
      <c r="K457" s="692"/>
    </row>
    <row r="458" spans="1:11" ht="15" x14ac:dyDescent="0.25">
      <c r="A458" s="728" t="e">
        <f t="shared" si="16"/>
        <v>#DIV/0!</v>
      </c>
      <c r="B458" s="87"/>
      <c r="C458" s="740"/>
      <c r="D458" s="87"/>
      <c r="E458" s="87"/>
      <c r="F458" s="563">
        <f t="shared" si="17"/>
        <v>0</v>
      </c>
      <c r="G458" s="87">
        <f t="shared" si="15"/>
        <v>0</v>
      </c>
      <c r="H458" s="690"/>
      <c r="I458" s="693"/>
      <c r="J458" s="692"/>
      <c r="K458" s="692"/>
    </row>
    <row r="459" spans="1:11" ht="15" x14ac:dyDescent="0.25">
      <c r="A459" s="728" t="e">
        <f t="shared" si="16"/>
        <v>#DIV/0!</v>
      </c>
      <c r="B459" s="87"/>
      <c r="C459" s="740"/>
      <c r="D459" s="87"/>
      <c r="E459" s="87"/>
      <c r="F459" s="563">
        <f t="shared" si="17"/>
        <v>0</v>
      </c>
      <c r="G459" s="87">
        <f t="shared" si="15"/>
        <v>0</v>
      </c>
      <c r="H459" s="690"/>
      <c r="I459" s="693"/>
      <c r="J459" s="692"/>
      <c r="K459" s="692"/>
    </row>
    <row r="460" spans="1:11" ht="15" x14ac:dyDescent="0.25">
      <c r="A460" s="728" t="e">
        <f t="shared" si="16"/>
        <v>#DIV/0!</v>
      </c>
      <c r="B460" s="87"/>
      <c r="C460" s="740"/>
      <c r="D460" s="87"/>
      <c r="E460" s="87"/>
      <c r="F460" s="563">
        <f t="shared" si="17"/>
        <v>0</v>
      </c>
      <c r="G460" s="87">
        <f t="shared" si="15"/>
        <v>0</v>
      </c>
      <c r="H460" s="690"/>
      <c r="I460" s="693"/>
      <c r="J460" s="692"/>
      <c r="K460" s="692"/>
    </row>
    <row r="461" spans="1:11" ht="15" x14ac:dyDescent="0.25">
      <c r="A461" s="728" t="e">
        <f t="shared" si="16"/>
        <v>#DIV/0!</v>
      </c>
      <c r="B461" s="87"/>
      <c r="C461" s="740"/>
      <c r="D461" s="87"/>
      <c r="E461" s="87"/>
      <c r="F461" s="563">
        <f t="shared" si="17"/>
        <v>0</v>
      </c>
      <c r="G461" s="87">
        <f t="shared" si="15"/>
        <v>0</v>
      </c>
      <c r="H461" s="690"/>
      <c r="I461" s="693"/>
      <c r="J461" s="692"/>
      <c r="K461" s="692"/>
    </row>
    <row r="462" spans="1:11" ht="15" x14ac:dyDescent="0.25">
      <c r="A462" s="728" t="e">
        <f t="shared" si="16"/>
        <v>#DIV/0!</v>
      </c>
      <c r="B462" s="87"/>
      <c r="C462" s="740"/>
      <c r="D462" s="87"/>
      <c r="E462" s="87"/>
      <c r="F462" s="563">
        <f t="shared" si="17"/>
        <v>0</v>
      </c>
      <c r="G462" s="87">
        <f t="shared" si="15"/>
        <v>0</v>
      </c>
      <c r="H462" s="690"/>
      <c r="I462" s="693"/>
      <c r="J462" s="692"/>
      <c r="K462" s="692"/>
    </row>
    <row r="463" spans="1:11" ht="15" x14ac:dyDescent="0.25">
      <c r="A463" s="728" t="e">
        <f t="shared" si="16"/>
        <v>#DIV/0!</v>
      </c>
      <c r="B463" s="87"/>
      <c r="C463" s="740"/>
      <c r="D463" s="87"/>
      <c r="E463" s="87"/>
      <c r="F463" s="563">
        <f t="shared" si="17"/>
        <v>0</v>
      </c>
      <c r="G463" s="87">
        <f t="shared" si="15"/>
        <v>0</v>
      </c>
      <c r="H463" s="690"/>
      <c r="I463" s="693"/>
      <c r="J463" s="692"/>
      <c r="K463" s="692"/>
    </row>
    <row r="464" spans="1:11" ht="15" x14ac:dyDescent="0.25">
      <c r="A464" s="728" t="e">
        <f t="shared" si="16"/>
        <v>#DIV/0!</v>
      </c>
      <c r="B464" s="87"/>
      <c r="C464" s="740"/>
      <c r="D464" s="87"/>
      <c r="E464" s="87"/>
      <c r="F464" s="563">
        <f t="shared" si="17"/>
        <v>0</v>
      </c>
      <c r="G464" s="87">
        <f t="shared" si="15"/>
        <v>0</v>
      </c>
      <c r="H464" s="690"/>
      <c r="I464" s="693"/>
      <c r="J464" s="692"/>
      <c r="K464" s="692"/>
    </row>
    <row r="465" spans="1:11" ht="15" x14ac:dyDescent="0.25">
      <c r="A465" s="728" t="e">
        <f t="shared" si="16"/>
        <v>#DIV/0!</v>
      </c>
      <c r="B465" s="87"/>
      <c r="C465" s="740"/>
      <c r="D465" s="87"/>
      <c r="E465" s="87"/>
      <c r="F465" s="563">
        <f t="shared" si="17"/>
        <v>0</v>
      </c>
      <c r="G465" s="87">
        <f t="shared" si="15"/>
        <v>0</v>
      </c>
      <c r="H465" s="690"/>
      <c r="I465" s="693"/>
      <c r="J465" s="692"/>
      <c r="K465" s="692"/>
    </row>
    <row r="466" spans="1:11" ht="15" x14ac:dyDescent="0.25">
      <c r="A466" s="728" t="e">
        <f t="shared" si="16"/>
        <v>#DIV/0!</v>
      </c>
      <c r="B466" s="87"/>
      <c r="C466" s="740"/>
      <c r="D466" s="87"/>
      <c r="E466" s="87"/>
      <c r="F466" s="563">
        <f t="shared" si="17"/>
        <v>0</v>
      </c>
      <c r="G466" s="87">
        <f t="shared" si="15"/>
        <v>0</v>
      </c>
      <c r="H466" s="690"/>
      <c r="I466" s="693"/>
      <c r="J466" s="692"/>
      <c r="K466" s="692"/>
    </row>
    <row r="467" spans="1:11" ht="15" x14ac:dyDescent="0.25">
      <c r="A467" s="728" t="e">
        <f t="shared" ref="A467:A530" si="18">D467/E467</f>
        <v>#DIV/0!</v>
      </c>
      <c r="B467" s="87"/>
      <c r="C467" s="740"/>
      <c r="D467" s="87"/>
      <c r="E467" s="87"/>
      <c r="F467" s="563">
        <f t="shared" ref="F467:F530" si="19">D467</f>
        <v>0</v>
      </c>
      <c r="G467" s="87">
        <f t="shared" si="15"/>
        <v>0</v>
      </c>
      <c r="H467" s="690"/>
      <c r="I467" s="693"/>
      <c r="J467" s="692"/>
      <c r="K467" s="692"/>
    </row>
    <row r="468" spans="1:11" ht="15" x14ac:dyDescent="0.25">
      <c r="A468" s="728" t="e">
        <f t="shared" si="18"/>
        <v>#DIV/0!</v>
      </c>
      <c r="B468" s="87"/>
      <c r="C468" s="740"/>
      <c r="D468" s="87"/>
      <c r="E468" s="87"/>
      <c r="F468" s="563">
        <f t="shared" si="19"/>
        <v>0</v>
      </c>
      <c r="G468" s="87">
        <f t="shared" si="15"/>
        <v>0</v>
      </c>
      <c r="H468" s="690"/>
      <c r="I468" s="693"/>
      <c r="J468" s="692"/>
      <c r="K468" s="692"/>
    </row>
    <row r="469" spans="1:11" ht="15" x14ac:dyDescent="0.25">
      <c r="A469" s="728" t="e">
        <f t="shared" si="18"/>
        <v>#DIV/0!</v>
      </c>
      <c r="B469" s="87"/>
      <c r="C469" s="740"/>
      <c r="D469" s="87"/>
      <c r="E469" s="87"/>
      <c r="F469" s="563">
        <f t="shared" si="19"/>
        <v>0</v>
      </c>
      <c r="G469" s="87">
        <f t="shared" si="15"/>
        <v>0</v>
      </c>
      <c r="H469" s="690"/>
      <c r="I469" s="693"/>
      <c r="J469" s="692"/>
      <c r="K469" s="692"/>
    </row>
    <row r="470" spans="1:11" ht="15" x14ac:dyDescent="0.25">
      <c r="A470" s="728" t="e">
        <f t="shared" si="18"/>
        <v>#DIV/0!</v>
      </c>
      <c r="B470" s="87"/>
      <c r="C470" s="740"/>
      <c r="D470" s="87"/>
      <c r="E470" s="87"/>
      <c r="F470" s="563">
        <f t="shared" si="19"/>
        <v>0</v>
      </c>
      <c r="G470" s="87">
        <f t="shared" si="15"/>
        <v>0</v>
      </c>
      <c r="H470" s="690"/>
      <c r="I470" s="693"/>
      <c r="J470" s="692"/>
      <c r="K470" s="692"/>
    </row>
    <row r="471" spans="1:11" ht="15" x14ac:dyDescent="0.25">
      <c r="A471" s="728" t="e">
        <f t="shared" si="18"/>
        <v>#DIV/0!</v>
      </c>
      <c r="B471" s="87"/>
      <c r="C471" s="740"/>
      <c r="D471" s="87"/>
      <c r="E471" s="87"/>
      <c r="F471" s="563">
        <f t="shared" si="19"/>
        <v>0</v>
      </c>
      <c r="G471" s="87">
        <f t="shared" si="15"/>
        <v>0</v>
      </c>
      <c r="H471" s="690"/>
      <c r="I471" s="693"/>
      <c r="J471" s="692"/>
      <c r="K471" s="692"/>
    </row>
    <row r="472" spans="1:11" ht="15" x14ac:dyDescent="0.25">
      <c r="A472" s="728" t="e">
        <f t="shared" si="18"/>
        <v>#DIV/0!</v>
      </c>
      <c r="B472" s="87"/>
      <c r="C472" s="740"/>
      <c r="D472" s="87"/>
      <c r="E472" s="87"/>
      <c r="F472" s="563">
        <f t="shared" si="19"/>
        <v>0</v>
      </c>
      <c r="G472" s="87">
        <f t="shared" si="15"/>
        <v>0</v>
      </c>
      <c r="H472" s="690"/>
      <c r="I472" s="693"/>
      <c r="J472" s="692"/>
      <c r="K472" s="692"/>
    </row>
    <row r="473" spans="1:11" ht="15" x14ac:dyDescent="0.25">
      <c r="A473" s="728" t="e">
        <f t="shared" si="18"/>
        <v>#DIV/0!</v>
      </c>
      <c r="B473" s="87"/>
      <c r="C473" s="740"/>
      <c r="D473" s="87"/>
      <c r="E473" s="87"/>
      <c r="F473" s="563">
        <f t="shared" si="19"/>
        <v>0</v>
      </c>
      <c r="G473" s="87">
        <f t="shared" si="15"/>
        <v>0</v>
      </c>
      <c r="H473" s="690"/>
      <c r="I473" s="693"/>
      <c r="J473" s="692"/>
      <c r="K473" s="692"/>
    </row>
    <row r="474" spans="1:11" ht="15" x14ac:dyDescent="0.25">
      <c r="A474" s="728" t="e">
        <f t="shared" si="18"/>
        <v>#DIV/0!</v>
      </c>
      <c r="B474" s="87"/>
      <c r="C474" s="740"/>
      <c r="D474" s="87"/>
      <c r="E474" s="87"/>
      <c r="F474" s="563">
        <f t="shared" si="19"/>
        <v>0</v>
      </c>
      <c r="G474" s="87">
        <f t="shared" si="15"/>
        <v>0</v>
      </c>
      <c r="H474" s="690"/>
      <c r="I474" s="693"/>
      <c r="J474" s="692"/>
      <c r="K474" s="692"/>
    </row>
    <row r="475" spans="1:11" ht="15" x14ac:dyDescent="0.25">
      <c r="A475" s="728" t="e">
        <f t="shared" si="18"/>
        <v>#DIV/0!</v>
      </c>
      <c r="B475" s="87"/>
      <c r="C475" s="740"/>
      <c r="D475" s="87"/>
      <c r="E475" s="87"/>
      <c r="F475" s="563">
        <f t="shared" si="19"/>
        <v>0</v>
      </c>
      <c r="G475" s="87">
        <f t="shared" si="15"/>
        <v>0</v>
      </c>
      <c r="H475" s="690"/>
      <c r="I475" s="693"/>
      <c r="J475" s="692"/>
      <c r="K475" s="692"/>
    </row>
    <row r="476" spans="1:11" ht="15" x14ac:dyDescent="0.25">
      <c r="A476" s="728" t="e">
        <f t="shared" si="18"/>
        <v>#DIV/0!</v>
      </c>
      <c r="B476" s="87"/>
      <c r="C476" s="740"/>
      <c r="D476" s="87"/>
      <c r="E476" s="87"/>
      <c r="F476" s="563">
        <f t="shared" si="19"/>
        <v>0</v>
      </c>
      <c r="G476" s="87">
        <f t="shared" si="15"/>
        <v>0</v>
      </c>
      <c r="H476" s="690"/>
      <c r="I476" s="693"/>
      <c r="J476" s="692"/>
      <c r="K476" s="692"/>
    </row>
    <row r="477" spans="1:11" ht="15" x14ac:dyDescent="0.25">
      <c r="A477" s="728" t="e">
        <f t="shared" si="18"/>
        <v>#DIV/0!</v>
      </c>
      <c r="B477" s="87"/>
      <c r="C477" s="740"/>
      <c r="D477" s="87"/>
      <c r="E477" s="87"/>
      <c r="F477" s="563">
        <f t="shared" si="19"/>
        <v>0</v>
      </c>
      <c r="G477" s="87">
        <f t="shared" si="15"/>
        <v>0</v>
      </c>
      <c r="H477" s="690"/>
      <c r="I477" s="693"/>
      <c r="J477" s="692"/>
      <c r="K477" s="692"/>
    </row>
    <row r="478" spans="1:11" ht="15" x14ac:dyDescent="0.25">
      <c r="A478" s="728" t="e">
        <f t="shared" si="18"/>
        <v>#DIV/0!</v>
      </c>
      <c r="B478" s="87"/>
      <c r="C478" s="740"/>
      <c r="D478" s="87"/>
      <c r="E478" s="87"/>
      <c r="F478" s="563">
        <f t="shared" si="19"/>
        <v>0</v>
      </c>
      <c r="G478" s="87">
        <f t="shared" si="15"/>
        <v>0</v>
      </c>
      <c r="H478" s="690"/>
      <c r="I478" s="693"/>
      <c r="J478" s="692"/>
      <c r="K478" s="692"/>
    </row>
    <row r="479" spans="1:11" ht="15" x14ac:dyDescent="0.25">
      <c r="A479" s="728" t="e">
        <f t="shared" si="18"/>
        <v>#DIV/0!</v>
      </c>
      <c r="B479" s="87"/>
      <c r="C479" s="757"/>
      <c r="D479" s="87"/>
      <c r="E479" s="87"/>
      <c r="F479" s="563">
        <f t="shared" si="19"/>
        <v>0</v>
      </c>
      <c r="G479" s="87">
        <f t="shared" si="15"/>
        <v>0</v>
      </c>
      <c r="H479" s="690"/>
      <c r="I479" s="693"/>
      <c r="J479" s="692"/>
      <c r="K479" s="692"/>
    </row>
    <row r="480" spans="1:11" ht="15" x14ac:dyDescent="0.25">
      <c r="A480" s="728" t="e">
        <f t="shared" si="18"/>
        <v>#DIV/0!</v>
      </c>
      <c r="B480" s="87"/>
      <c r="C480" s="740"/>
      <c r="D480" s="87"/>
      <c r="E480" s="87"/>
      <c r="F480" s="563">
        <f t="shared" si="19"/>
        <v>0</v>
      </c>
      <c r="G480" s="87">
        <f t="shared" si="15"/>
        <v>0</v>
      </c>
      <c r="H480" s="690"/>
      <c r="I480" s="693"/>
      <c r="J480" s="692"/>
      <c r="K480" s="692"/>
    </row>
    <row r="481" spans="1:11" ht="15" x14ac:dyDescent="0.25">
      <c r="A481" s="728" t="e">
        <f t="shared" si="18"/>
        <v>#DIV/0!</v>
      </c>
      <c r="B481" s="87"/>
      <c r="C481" s="740"/>
      <c r="D481" s="87"/>
      <c r="E481" s="87"/>
      <c r="F481" s="563">
        <f t="shared" si="19"/>
        <v>0</v>
      </c>
      <c r="G481" s="87">
        <f t="shared" si="15"/>
        <v>0</v>
      </c>
      <c r="H481" s="690"/>
      <c r="I481" s="693"/>
      <c r="J481" s="692"/>
      <c r="K481" s="692"/>
    </row>
    <row r="482" spans="1:11" ht="15" x14ac:dyDescent="0.25">
      <c r="A482" s="728" t="e">
        <f t="shared" si="18"/>
        <v>#DIV/0!</v>
      </c>
      <c r="B482" s="87"/>
      <c r="C482" s="740"/>
      <c r="D482" s="87"/>
      <c r="E482" s="87"/>
      <c r="F482" s="563">
        <f t="shared" si="19"/>
        <v>0</v>
      </c>
      <c r="G482" s="87">
        <f t="shared" si="15"/>
        <v>0</v>
      </c>
      <c r="H482" s="690"/>
      <c r="I482" s="693"/>
      <c r="J482" s="692"/>
      <c r="K482" s="692"/>
    </row>
    <row r="483" spans="1:11" ht="15" x14ac:dyDescent="0.25">
      <c r="A483" s="728" t="e">
        <f t="shared" si="18"/>
        <v>#DIV/0!</v>
      </c>
      <c r="B483" s="87"/>
      <c r="C483" s="740"/>
      <c r="D483" s="87"/>
      <c r="E483" s="87"/>
      <c r="F483" s="563">
        <f t="shared" si="19"/>
        <v>0</v>
      </c>
      <c r="G483" s="87">
        <f t="shared" si="15"/>
        <v>0</v>
      </c>
      <c r="H483" s="690"/>
      <c r="I483" s="693"/>
      <c r="J483" s="692"/>
      <c r="K483" s="692"/>
    </row>
    <row r="484" spans="1:11" ht="15" x14ac:dyDescent="0.25">
      <c r="A484" s="728" t="e">
        <f t="shared" si="18"/>
        <v>#DIV/0!</v>
      </c>
      <c r="B484" s="87"/>
      <c r="C484" s="740"/>
      <c r="D484" s="87"/>
      <c r="E484" s="87"/>
      <c r="F484" s="563">
        <f t="shared" si="19"/>
        <v>0</v>
      </c>
      <c r="G484" s="87">
        <f t="shared" si="15"/>
        <v>0</v>
      </c>
      <c r="H484" s="690"/>
      <c r="I484" s="693"/>
      <c r="J484" s="692"/>
      <c r="K484" s="692"/>
    </row>
    <row r="485" spans="1:11" ht="15" x14ac:dyDescent="0.25">
      <c r="A485" s="728" t="e">
        <f t="shared" si="18"/>
        <v>#DIV/0!</v>
      </c>
      <c r="B485" s="87"/>
      <c r="C485" s="740"/>
      <c r="D485" s="87"/>
      <c r="E485" s="87"/>
      <c r="F485" s="563">
        <f t="shared" si="19"/>
        <v>0</v>
      </c>
      <c r="G485" s="87">
        <f t="shared" si="15"/>
        <v>0</v>
      </c>
      <c r="H485" s="690"/>
      <c r="I485" s="693"/>
      <c r="J485" s="692"/>
      <c r="K485" s="692"/>
    </row>
    <row r="486" spans="1:11" ht="15" x14ac:dyDescent="0.25">
      <c r="A486" s="728" t="e">
        <f t="shared" si="18"/>
        <v>#DIV/0!</v>
      </c>
      <c r="B486" s="87"/>
      <c r="C486" s="740"/>
      <c r="D486" s="87"/>
      <c r="E486" s="87"/>
      <c r="F486" s="563">
        <f t="shared" si="19"/>
        <v>0</v>
      </c>
      <c r="G486" s="87">
        <f t="shared" si="15"/>
        <v>0</v>
      </c>
      <c r="H486" s="690"/>
      <c r="I486" s="693"/>
      <c r="J486" s="692"/>
      <c r="K486" s="692"/>
    </row>
    <row r="487" spans="1:11" ht="15" x14ac:dyDescent="0.25">
      <c r="A487" s="728" t="e">
        <f t="shared" si="18"/>
        <v>#DIV/0!</v>
      </c>
      <c r="B487" s="87"/>
      <c r="C487" s="740"/>
      <c r="D487" s="87"/>
      <c r="E487" s="87"/>
      <c r="F487" s="563">
        <f t="shared" si="19"/>
        <v>0</v>
      </c>
      <c r="G487" s="87">
        <f t="shared" si="15"/>
        <v>0</v>
      </c>
      <c r="H487" s="690"/>
      <c r="I487" s="693"/>
      <c r="J487" s="692"/>
      <c r="K487" s="692"/>
    </row>
    <row r="488" spans="1:11" ht="15" x14ac:dyDescent="0.25">
      <c r="A488" s="728" t="e">
        <f t="shared" si="18"/>
        <v>#DIV/0!</v>
      </c>
      <c r="B488" s="87"/>
      <c r="C488" s="740"/>
      <c r="D488" s="87"/>
      <c r="E488" s="87"/>
      <c r="F488" s="563">
        <f t="shared" si="19"/>
        <v>0</v>
      </c>
      <c r="G488" s="87">
        <f t="shared" si="15"/>
        <v>0</v>
      </c>
      <c r="H488" s="690"/>
      <c r="I488" s="693"/>
      <c r="J488" s="692"/>
      <c r="K488" s="692"/>
    </row>
    <row r="489" spans="1:11" ht="15" x14ac:dyDescent="0.25">
      <c r="A489" s="728" t="e">
        <f t="shared" si="18"/>
        <v>#DIV/0!</v>
      </c>
      <c r="B489" s="87"/>
      <c r="C489" s="740"/>
      <c r="D489" s="87"/>
      <c r="E489" s="87"/>
      <c r="F489" s="563">
        <f t="shared" si="19"/>
        <v>0</v>
      </c>
      <c r="G489" s="87">
        <f t="shared" si="15"/>
        <v>0</v>
      </c>
      <c r="H489" s="690"/>
      <c r="I489" s="693"/>
      <c r="J489" s="692"/>
      <c r="K489" s="692"/>
    </row>
    <row r="490" spans="1:11" ht="15" x14ac:dyDescent="0.25">
      <c r="A490" s="728" t="e">
        <f t="shared" si="18"/>
        <v>#DIV/0!</v>
      </c>
      <c r="B490" s="87"/>
      <c r="C490" s="740"/>
      <c r="D490" s="87"/>
      <c r="E490" s="87"/>
      <c r="F490" s="563">
        <f t="shared" si="19"/>
        <v>0</v>
      </c>
      <c r="G490" s="87">
        <f t="shared" si="15"/>
        <v>0</v>
      </c>
      <c r="H490" s="690"/>
      <c r="I490" s="693"/>
      <c r="J490" s="692"/>
      <c r="K490" s="692"/>
    </row>
    <row r="491" spans="1:11" ht="15" x14ac:dyDescent="0.25">
      <c r="A491" s="728" t="e">
        <f t="shared" si="18"/>
        <v>#DIV/0!</v>
      </c>
      <c r="B491" s="87"/>
      <c r="C491" s="740"/>
      <c r="D491" s="87"/>
      <c r="E491" s="87"/>
      <c r="F491" s="563">
        <f t="shared" si="19"/>
        <v>0</v>
      </c>
      <c r="G491" s="87">
        <f t="shared" si="15"/>
        <v>0</v>
      </c>
      <c r="H491" s="690"/>
      <c r="I491" s="693"/>
      <c r="J491" s="692"/>
      <c r="K491" s="692"/>
    </row>
    <row r="492" spans="1:11" ht="15" x14ac:dyDescent="0.25">
      <c r="A492" s="728" t="e">
        <f t="shared" si="18"/>
        <v>#DIV/0!</v>
      </c>
      <c r="B492" s="87"/>
      <c r="C492" s="740"/>
      <c r="D492" s="87"/>
      <c r="E492" s="87"/>
      <c r="F492" s="563">
        <f t="shared" si="19"/>
        <v>0</v>
      </c>
      <c r="G492" s="87">
        <f t="shared" si="15"/>
        <v>0</v>
      </c>
      <c r="H492" s="690"/>
      <c r="I492" s="693"/>
      <c r="J492" s="692"/>
      <c r="K492" s="692"/>
    </row>
    <row r="493" spans="1:11" ht="15" x14ac:dyDescent="0.25">
      <c r="A493" s="728" t="e">
        <f t="shared" si="18"/>
        <v>#DIV/0!</v>
      </c>
      <c r="B493" s="87"/>
      <c r="C493" s="740"/>
      <c r="D493" s="87"/>
      <c r="E493" s="87"/>
      <c r="F493" s="563">
        <f t="shared" si="19"/>
        <v>0</v>
      </c>
      <c r="G493" s="87">
        <f t="shared" si="15"/>
        <v>0</v>
      </c>
      <c r="H493" s="690"/>
      <c r="I493" s="693"/>
      <c r="J493" s="692"/>
      <c r="K493" s="692"/>
    </row>
    <row r="494" spans="1:11" ht="15" x14ac:dyDescent="0.25">
      <c r="A494" s="728" t="e">
        <f t="shared" si="18"/>
        <v>#DIV/0!</v>
      </c>
      <c r="B494" s="87"/>
      <c r="C494" s="740"/>
      <c r="D494" s="87"/>
      <c r="E494" s="87"/>
      <c r="F494" s="563">
        <f t="shared" si="19"/>
        <v>0</v>
      </c>
      <c r="G494" s="87">
        <f t="shared" si="15"/>
        <v>0</v>
      </c>
      <c r="H494" s="690"/>
      <c r="I494" s="693"/>
      <c r="J494" s="692"/>
      <c r="K494" s="692"/>
    </row>
    <row r="495" spans="1:11" ht="15" x14ac:dyDescent="0.25">
      <c r="A495" s="728" t="e">
        <f t="shared" si="18"/>
        <v>#DIV/0!</v>
      </c>
      <c r="B495" s="87"/>
      <c r="C495" s="740"/>
      <c r="D495" s="87"/>
      <c r="E495" s="87"/>
      <c r="F495" s="563">
        <f t="shared" si="19"/>
        <v>0</v>
      </c>
      <c r="G495" s="87">
        <f t="shared" si="15"/>
        <v>0</v>
      </c>
      <c r="H495" s="690"/>
      <c r="I495" s="693"/>
      <c r="J495" s="692"/>
      <c r="K495" s="692"/>
    </row>
    <row r="496" spans="1:11" ht="15" x14ac:dyDescent="0.25">
      <c r="A496" s="728" t="e">
        <f t="shared" si="18"/>
        <v>#DIV/0!</v>
      </c>
      <c r="B496" s="87"/>
      <c r="C496" s="740"/>
      <c r="D496" s="87"/>
      <c r="E496" s="87"/>
      <c r="F496" s="563">
        <f t="shared" si="19"/>
        <v>0</v>
      </c>
      <c r="G496" s="87">
        <f t="shared" si="15"/>
        <v>0</v>
      </c>
      <c r="H496" s="690"/>
      <c r="I496" s="693"/>
      <c r="J496" s="692"/>
      <c r="K496" s="692"/>
    </row>
    <row r="497" spans="1:11" ht="15" x14ac:dyDescent="0.25">
      <c r="A497" s="728" t="e">
        <f t="shared" si="18"/>
        <v>#DIV/0!</v>
      </c>
      <c r="B497" s="87"/>
      <c r="C497" s="740"/>
      <c r="D497" s="87"/>
      <c r="E497" s="87"/>
      <c r="F497" s="563">
        <f t="shared" si="19"/>
        <v>0</v>
      </c>
      <c r="G497" s="87">
        <f t="shared" si="15"/>
        <v>0</v>
      </c>
      <c r="H497" s="690"/>
      <c r="I497" s="693"/>
      <c r="J497" s="692"/>
      <c r="K497" s="692"/>
    </row>
    <row r="498" spans="1:11" ht="15" x14ac:dyDescent="0.25">
      <c r="A498" s="728" t="e">
        <f t="shared" si="18"/>
        <v>#DIV/0!</v>
      </c>
      <c r="B498" s="87"/>
      <c r="C498" s="740"/>
      <c r="D498" s="87"/>
      <c r="E498" s="87"/>
      <c r="F498" s="563">
        <f t="shared" si="19"/>
        <v>0</v>
      </c>
      <c r="G498" s="87">
        <f t="shared" si="15"/>
        <v>0</v>
      </c>
      <c r="H498" s="690"/>
      <c r="I498" s="693"/>
      <c r="J498" s="692"/>
      <c r="K498" s="692"/>
    </row>
    <row r="499" spans="1:11" ht="15" x14ac:dyDescent="0.25">
      <c r="A499" s="728" t="e">
        <f t="shared" si="18"/>
        <v>#DIV/0!</v>
      </c>
      <c r="B499" s="87"/>
      <c r="C499" s="740"/>
      <c r="D499" s="87"/>
      <c r="E499" s="87"/>
      <c r="F499" s="563">
        <f t="shared" si="19"/>
        <v>0</v>
      </c>
      <c r="G499" s="87">
        <f t="shared" si="15"/>
        <v>0</v>
      </c>
      <c r="H499" s="690"/>
      <c r="I499" s="693"/>
      <c r="J499" s="692"/>
      <c r="K499" s="692"/>
    </row>
    <row r="500" spans="1:11" ht="15" x14ac:dyDescent="0.25">
      <c r="A500" s="728" t="e">
        <f t="shared" si="18"/>
        <v>#DIV/0!</v>
      </c>
      <c r="B500" s="87"/>
      <c r="C500" s="740"/>
      <c r="D500" s="87"/>
      <c r="E500" s="87"/>
      <c r="F500" s="563">
        <f t="shared" si="19"/>
        <v>0</v>
      </c>
      <c r="G500" s="87">
        <f t="shared" si="15"/>
        <v>0</v>
      </c>
      <c r="H500" s="690"/>
      <c r="I500" s="693"/>
      <c r="J500" s="692"/>
      <c r="K500" s="692"/>
    </row>
    <row r="501" spans="1:11" ht="15" x14ac:dyDescent="0.25">
      <c r="A501" s="728" t="e">
        <f t="shared" si="18"/>
        <v>#DIV/0!</v>
      </c>
      <c r="B501" s="87"/>
      <c r="C501" s="740"/>
      <c r="D501" s="87"/>
      <c r="E501" s="87"/>
      <c r="F501" s="563">
        <f t="shared" si="19"/>
        <v>0</v>
      </c>
      <c r="G501" s="87">
        <f t="shared" si="15"/>
        <v>0</v>
      </c>
      <c r="H501" s="690"/>
      <c r="I501" s="693"/>
      <c r="J501" s="692"/>
      <c r="K501" s="692"/>
    </row>
    <row r="502" spans="1:11" ht="15" x14ac:dyDescent="0.25">
      <c r="A502" s="728" t="e">
        <f t="shared" si="18"/>
        <v>#DIV/0!</v>
      </c>
      <c r="B502" s="87"/>
      <c r="C502" s="740"/>
      <c r="D502" s="87"/>
      <c r="E502" s="87"/>
      <c r="F502" s="563">
        <f t="shared" si="19"/>
        <v>0</v>
      </c>
      <c r="G502" s="87">
        <f t="shared" si="15"/>
        <v>0</v>
      </c>
      <c r="H502" s="690"/>
      <c r="I502" s="693"/>
      <c r="J502" s="692"/>
      <c r="K502" s="692"/>
    </row>
    <row r="503" spans="1:11" ht="15" x14ac:dyDescent="0.25">
      <c r="A503" s="728" t="e">
        <f t="shared" si="18"/>
        <v>#DIV/0!</v>
      </c>
      <c r="B503" s="87"/>
      <c r="C503" s="757"/>
      <c r="D503" s="87"/>
      <c r="E503" s="87"/>
      <c r="F503" s="563">
        <f t="shared" si="19"/>
        <v>0</v>
      </c>
      <c r="G503" s="87">
        <f t="shared" si="15"/>
        <v>0</v>
      </c>
      <c r="H503" s="690"/>
      <c r="I503" s="693"/>
      <c r="J503" s="692"/>
      <c r="K503" s="692"/>
    </row>
    <row r="504" spans="1:11" ht="15" x14ac:dyDescent="0.25">
      <c r="A504" s="728" t="e">
        <f t="shared" si="18"/>
        <v>#DIV/0!</v>
      </c>
      <c r="B504" s="87"/>
      <c r="C504" s="740"/>
      <c r="D504" s="87"/>
      <c r="E504" s="87"/>
      <c r="F504" s="563">
        <f t="shared" si="19"/>
        <v>0</v>
      </c>
      <c r="G504" s="87">
        <f t="shared" si="15"/>
        <v>0</v>
      </c>
      <c r="H504" s="690"/>
      <c r="I504" s="693"/>
      <c r="J504" s="692"/>
      <c r="K504" s="692"/>
    </row>
    <row r="505" spans="1:11" ht="15" x14ac:dyDescent="0.25">
      <c r="A505" s="728" t="e">
        <f t="shared" si="18"/>
        <v>#DIV/0!</v>
      </c>
      <c r="B505" s="87"/>
      <c r="C505" s="740"/>
      <c r="D505" s="87"/>
      <c r="E505" s="87"/>
      <c r="F505" s="563">
        <f t="shared" si="19"/>
        <v>0</v>
      </c>
      <c r="G505" s="87">
        <f t="shared" si="15"/>
        <v>0</v>
      </c>
      <c r="H505" s="690"/>
      <c r="I505" s="693"/>
      <c r="J505" s="692"/>
      <c r="K505" s="692"/>
    </row>
    <row r="506" spans="1:11" ht="15" x14ac:dyDescent="0.25">
      <c r="A506" s="728" t="e">
        <f t="shared" si="18"/>
        <v>#DIV/0!</v>
      </c>
      <c r="B506" s="87"/>
      <c r="C506" s="757"/>
      <c r="D506" s="87"/>
      <c r="E506" s="87"/>
      <c r="F506" s="563">
        <f t="shared" si="19"/>
        <v>0</v>
      </c>
      <c r="G506" s="87">
        <f t="shared" si="15"/>
        <v>0</v>
      </c>
      <c r="H506" s="690"/>
      <c r="I506" s="693"/>
      <c r="J506" s="692"/>
      <c r="K506" s="692"/>
    </row>
    <row r="507" spans="1:11" ht="15" x14ac:dyDescent="0.25">
      <c r="A507" s="728" t="e">
        <f t="shared" si="18"/>
        <v>#DIV/0!</v>
      </c>
      <c r="B507" s="87"/>
      <c r="C507" s="740"/>
      <c r="D507" s="87"/>
      <c r="E507" s="87"/>
      <c r="F507" s="563">
        <f t="shared" si="19"/>
        <v>0</v>
      </c>
      <c r="G507" s="87">
        <f t="shared" si="15"/>
        <v>0</v>
      </c>
      <c r="H507" s="690"/>
      <c r="I507" s="693"/>
      <c r="J507" s="692"/>
      <c r="K507" s="692"/>
    </row>
    <row r="508" spans="1:11" ht="15" x14ac:dyDescent="0.25">
      <c r="A508" s="728" t="e">
        <f t="shared" si="18"/>
        <v>#DIV/0!</v>
      </c>
      <c r="B508" s="87"/>
      <c r="C508" s="740"/>
      <c r="D508" s="87"/>
      <c r="E508" s="87"/>
      <c r="F508" s="563">
        <f t="shared" si="19"/>
        <v>0</v>
      </c>
      <c r="G508" s="87">
        <f t="shared" si="15"/>
        <v>0</v>
      </c>
      <c r="H508" s="690"/>
      <c r="I508" s="693"/>
      <c r="J508" s="692"/>
      <c r="K508" s="692"/>
    </row>
    <row r="509" spans="1:11" ht="15" x14ac:dyDescent="0.25">
      <c r="A509" s="728" t="e">
        <f t="shared" si="18"/>
        <v>#DIV/0!</v>
      </c>
      <c r="B509" s="87"/>
      <c r="C509" s="740"/>
      <c r="D509" s="87"/>
      <c r="E509" s="87"/>
      <c r="F509" s="563">
        <f t="shared" si="19"/>
        <v>0</v>
      </c>
      <c r="G509" s="87">
        <f t="shared" si="15"/>
        <v>0</v>
      </c>
      <c r="H509" s="690"/>
      <c r="I509" s="693"/>
      <c r="J509" s="692"/>
      <c r="K509" s="692"/>
    </row>
    <row r="510" spans="1:11" ht="15" x14ac:dyDescent="0.25">
      <c r="A510" s="728" t="e">
        <f t="shared" si="18"/>
        <v>#DIV/0!</v>
      </c>
      <c r="B510" s="87"/>
      <c r="C510" s="740"/>
      <c r="D510" s="87"/>
      <c r="E510" s="87"/>
      <c r="F510" s="563">
        <f t="shared" si="19"/>
        <v>0</v>
      </c>
      <c r="G510" s="87">
        <f t="shared" si="15"/>
        <v>0</v>
      </c>
      <c r="H510" s="690"/>
      <c r="I510" s="693"/>
      <c r="J510" s="692"/>
      <c r="K510" s="692"/>
    </row>
    <row r="511" spans="1:11" ht="15" x14ac:dyDescent="0.25">
      <c r="A511" s="728" t="e">
        <f t="shared" si="18"/>
        <v>#DIV/0!</v>
      </c>
      <c r="B511" s="87"/>
      <c r="C511" s="740"/>
      <c r="D511" s="87"/>
      <c r="E511" s="87"/>
      <c r="F511" s="563">
        <f t="shared" si="19"/>
        <v>0</v>
      </c>
      <c r="G511" s="87">
        <f t="shared" si="15"/>
        <v>0</v>
      </c>
      <c r="H511" s="690"/>
      <c r="I511" s="693"/>
      <c r="J511" s="692"/>
      <c r="K511" s="692"/>
    </row>
    <row r="512" spans="1:11" ht="15" x14ac:dyDescent="0.25">
      <c r="A512" s="728" t="e">
        <f t="shared" si="18"/>
        <v>#DIV/0!</v>
      </c>
      <c r="B512" s="87"/>
      <c r="C512" s="740"/>
      <c r="D512" s="87"/>
      <c r="E512" s="87"/>
      <c r="F512" s="563">
        <f t="shared" si="19"/>
        <v>0</v>
      </c>
      <c r="G512" s="87">
        <f t="shared" si="15"/>
        <v>0</v>
      </c>
      <c r="H512" s="476"/>
      <c r="K512" s="692"/>
    </row>
    <row r="513" spans="1:11" ht="15" x14ac:dyDescent="0.25">
      <c r="A513" s="728" t="e">
        <f t="shared" si="18"/>
        <v>#DIV/0!</v>
      </c>
      <c r="B513" s="87"/>
      <c r="C513" s="740"/>
      <c r="D513" s="87"/>
      <c r="E513" s="87"/>
      <c r="F513" s="563">
        <f t="shared" si="19"/>
        <v>0</v>
      </c>
      <c r="G513" s="87">
        <f t="shared" si="15"/>
        <v>0</v>
      </c>
      <c r="H513" s="690"/>
      <c r="I513" s="693"/>
      <c r="J513" s="692"/>
      <c r="K513" s="692"/>
    </row>
    <row r="514" spans="1:11" ht="15" x14ac:dyDescent="0.25">
      <c r="A514" s="728" t="e">
        <f t="shared" si="18"/>
        <v>#DIV/0!</v>
      </c>
      <c r="B514" s="87"/>
      <c r="C514" s="740"/>
      <c r="D514" s="87"/>
      <c r="E514" s="87"/>
      <c r="F514" s="563">
        <f t="shared" si="19"/>
        <v>0</v>
      </c>
      <c r="G514" s="87">
        <f t="shared" si="15"/>
        <v>0</v>
      </c>
      <c r="H514" s="690"/>
      <c r="I514" s="693"/>
      <c r="J514" s="692"/>
      <c r="K514" s="692"/>
    </row>
    <row r="515" spans="1:11" ht="15" x14ac:dyDescent="0.25">
      <c r="A515" s="728" t="e">
        <f t="shared" si="18"/>
        <v>#DIV/0!</v>
      </c>
      <c r="B515" s="87"/>
      <c r="C515" s="740"/>
      <c r="D515" s="87"/>
      <c r="E515" s="87"/>
      <c r="F515" s="563">
        <f t="shared" si="19"/>
        <v>0</v>
      </c>
      <c r="G515" s="87">
        <f t="shared" si="15"/>
        <v>0</v>
      </c>
      <c r="H515" s="690"/>
      <c r="I515" s="693"/>
      <c r="J515" s="692"/>
      <c r="K515" s="692"/>
    </row>
    <row r="516" spans="1:11" ht="15" x14ac:dyDescent="0.25">
      <c r="A516" s="728" t="e">
        <f t="shared" si="18"/>
        <v>#DIV/0!</v>
      </c>
      <c r="B516" s="87"/>
      <c r="C516" s="740"/>
      <c r="D516" s="87"/>
      <c r="E516" s="87"/>
      <c r="F516" s="563">
        <f t="shared" si="19"/>
        <v>0</v>
      </c>
      <c r="G516" s="87">
        <f t="shared" si="15"/>
        <v>0</v>
      </c>
      <c r="H516" s="690"/>
      <c r="I516" s="693"/>
      <c r="J516" s="692"/>
      <c r="K516" s="692"/>
    </row>
    <row r="517" spans="1:11" ht="15" x14ac:dyDescent="0.25">
      <c r="A517" s="728" t="e">
        <f t="shared" si="18"/>
        <v>#DIV/0!</v>
      </c>
      <c r="B517" s="87"/>
      <c r="C517" s="757"/>
      <c r="D517" s="87"/>
      <c r="E517" s="87"/>
      <c r="F517" s="563">
        <f t="shared" si="19"/>
        <v>0</v>
      </c>
      <c r="G517" s="87">
        <f t="shared" si="15"/>
        <v>0</v>
      </c>
      <c r="H517" s="690"/>
      <c r="I517" s="693"/>
      <c r="J517" s="692"/>
      <c r="K517" s="692"/>
    </row>
    <row r="518" spans="1:11" ht="15" x14ac:dyDescent="0.25">
      <c r="A518" s="728" t="e">
        <f t="shared" si="18"/>
        <v>#DIV/0!</v>
      </c>
      <c r="B518" s="87"/>
      <c r="C518" s="740"/>
      <c r="D518" s="87"/>
      <c r="E518" s="87"/>
      <c r="F518" s="563">
        <f t="shared" si="19"/>
        <v>0</v>
      </c>
      <c r="G518" s="87">
        <f t="shared" si="15"/>
        <v>0</v>
      </c>
      <c r="H518" s="690"/>
      <c r="I518" s="693"/>
      <c r="J518" s="692"/>
      <c r="K518" s="692"/>
    </row>
    <row r="519" spans="1:11" ht="15" x14ac:dyDescent="0.25">
      <c r="A519" s="728" t="e">
        <f t="shared" si="18"/>
        <v>#DIV/0!</v>
      </c>
      <c r="B519" s="87"/>
      <c r="C519" s="740"/>
      <c r="D519" s="87"/>
      <c r="E519" s="87"/>
      <c r="F519" s="563">
        <f t="shared" si="19"/>
        <v>0</v>
      </c>
      <c r="G519" s="87">
        <f t="shared" si="15"/>
        <v>0</v>
      </c>
      <c r="H519" s="690"/>
      <c r="I519" s="693"/>
      <c r="J519" s="692"/>
      <c r="K519" s="692"/>
    </row>
    <row r="520" spans="1:11" ht="15" x14ac:dyDescent="0.25">
      <c r="A520" s="728" t="e">
        <f t="shared" si="18"/>
        <v>#DIV/0!</v>
      </c>
      <c r="B520" s="87"/>
      <c r="C520" s="740"/>
      <c r="D520" s="87"/>
      <c r="E520" s="87"/>
      <c r="F520" s="563">
        <f t="shared" si="19"/>
        <v>0</v>
      </c>
      <c r="G520" s="87">
        <f t="shared" si="15"/>
        <v>0</v>
      </c>
      <c r="H520" s="690"/>
      <c r="I520" s="693"/>
      <c r="J520" s="692"/>
      <c r="K520" s="692"/>
    </row>
    <row r="521" spans="1:11" ht="15" x14ac:dyDescent="0.25">
      <c r="A521" s="728" t="e">
        <f t="shared" si="18"/>
        <v>#DIV/0!</v>
      </c>
      <c r="B521" s="87"/>
      <c r="C521" s="759"/>
      <c r="D521" s="752"/>
      <c r="E521" s="87"/>
      <c r="F521" s="563">
        <f t="shared" si="19"/>
        <v>0</v>
      </c>
      <c r="G521" s="87">
        <f t="shared" si="15"/>
        <v>0</v>
      </c>
      <c r="H521" s="690"/>
      <c r="I521" s="693"/>
      <c r="J521" s="692"/>
      <c r="K521" s="692"/>
    </row>
    <row r="522" spans="1:11" ht="15" x14ac:dyDescent="0.25">
      <c r="A522" s="728" t="e">
        <f t="shared" si="18"/>
        <v>#DIV/0!</v>
      </c>
      <c r="B522" s="87"/>
      <c r="C522" s="740"/>
      <c r="D522" s="87"/>
      <c r="E522" s="87"/>
      <c r="F522" s="563">
        <f t="shared" si="19"/>
        <v>0</v>
      </c>
      <c r="G522" s="87">
        <f t="shared" si="15"/>
        <v>0</v>
      </c>
      <c r="H522" s="690"/>
      <c r="I522" s="693"/>
      <c r="J522" s="692"/>
      <c r="K522" s="692"/>
    </row>
    <row r="523" spans="1:11" ht="15" x14ac:dyDescent="0.25">
      <c r="A523" s="728" t="e">
        <f t="shared" si="18"/>
        <v>#DIV/0!</v>
      </c>
      <c r="B523" s="87"/>
      <c r="C523" s="740"/>
      <c r="D523" s="87"/>
      <c r="E523" s="87"/>
      <c r="F523" s="563">
        <f t="shared" si="19"/>
        <v>0</v>
      </c>
      <c r="G523" s="87">
        <f t="shared" si="15"/>
        <v>0</v>
      </c>
      <c r="H523" s="690"/>
      <c r="I523" s="693"/>
      <c r="J523" s="692"/>
      <c r="K523" s="692"/>
    </row>
    <row r="524" spans="1:11" ht="15" x14ac:dyDescent="0.25">
      <c r="A524" s="728" t="e">
        <f t="shared" si="18"/>
        <v>#DIV/0!</v>
      </c>
      <c r="B524" s="87"/>
      <c r="C524" s="740"/>
      <c r="D524" s="87"/>
      <c r="E524" s="87"/>
      <c r="F524" s="563">
        <f t="shared" si="19"/>
        <v>0</v>
      </c>
      <c r="G524" s="87">
        <f t="shared" si="15"/>
        <v>0</v>
      </c>
      <c r="H524" s="690"/>
      <c r="I524" s="693"/>
      <c r="J524" s="692"/>
      <c r="K524" s="692"/>
    </row>
    <row r="525" spans="1:11" ht="15" x14ac:dyDescent="0.25">
      <c r="A525" s="728" t="e">
        <f t="shared" si="18"/>
        <v>#DIV/0!</v>
      </c>
      <c r="B525" s="87"/>
      <c r="C525" s="740"/>
      <c r="D525" s="87"/>
      <c r="E525" s="87"/>
      <c r="F525" s="563">
        <f t="shared" si="19"/>
        <v>0</v>
      </c>
      <c r="G525" s="87">
        <f t="shared" si="15"/>
        <v>0</v>
      </c>
      <c r="H525" s="690"/>
      <c r="I525" s="693"/>
      <c r="J525" s="692"/>
      <c r="K525" s="692"/>
    </row>
    <row r="526" spans="1:11" ht="15" x14ac:dyDescent="0.25">
      <c r="A526" s="728" t="e">
        <f t="shared" si="18"/>
        <v>#DIV/0!</v>
      </c>
      <c r="B526" s="87"/>
      <c r="C526" s="740"/>
      <c r="D526" s="87"/>
      <c r="E526" s="87"/>
      <c r="F526" s="563">
        <f t="shared" si="19"/>
        <v>0</v>
      </c>
      <c r="G526" s="87">
        <f t="shared" si="15"/>
        <v>0</v>
      </c>
      <c r="H526" s="690"/>
      <c r="I526" s="693"/>
      <c r="J526" s="692"/>
      <c r="K526" s="692"/>
    </row>
    <row r="527" spans="1:11" ht="15" x14ac:dyDescent="0.25">
      <c r="A527" s="728" t="e">
        <f t="shared" si="18"/>
        <v>#DIV/0!</v>
      </c>
      <c r="B527" s="87"/>
      <c r="C527" s="740"/>
      <c r="D527" s="87"/>
      <c r="E527" s="87"/>
      <c r="F527" s="563">
        <f t="shared" si="19"/>
        <v>0</v>
      </c>
      <c r="G527" s="87">
        <f t="shared" si="15"/>
        <v>0</v>
      </c>
      <c r="H527" s="690"/>
      <c r="I527" s="693"/>
      <c r="J527" s="692"/>
      <c r="K527" s="692"/>
    </row>
    <row r="528" spans="1:11" ht="15" x14ac:dyDescent="0.25">
      <c r="A528" s="728" t="e">
        <f t="shared" si="18"/>
        <v>#DIV/0!</v>
      </c>
      <c r="B528" s="87"/>
      <c r="C528" s="740"/>
      <c r="D528" s="87"/>
      <c r="E528" s="87"/>
      <c r="F528" s="563">
        <f t="shared" si="19"/>
        <v>0</v>
      </c>
      <c r="G528" s="87">
        <f t="shared" si="15"/>
        <v>0</v>
      </c>
      <c r="H528" s="690"/>
      <c r="I528" s="693"/>
      <c r="J528" s="692"/>
      <c r="K528" s="692"/>
    </row>
    <row r="529" spans="1:11" ht="15" x14ac:dyDescent="0.25">
      <c r="A529" s="728" t="e">
        <f t="shared" si="18"/>
        <v>#DIV/0!</v>
      </c>
      <c r="B529" s="87"/>
      <c r="C529" s="740"/>
      <c r="D529" s="87"/>
      <c r="E529" s="87"/>
      <c r="F529" s="563">
        <f t="shared" si="19"/>
        <v>0</v>
      </c>
      <c r="G529" s="87">
        <f t="shared" si="15"/>
        <v>0</v>
      </c>
      <c r="H529" s="690"/>
      <c r="I529" s="693"/>
      <c r="J529" s="692"/>
      <c r="K529" s="692"/>
    </row>
    <row r="530" spans="1:11" ht="15" x14ac:dyDescent="0.25">
      <c r="A530" s="728" t="e">
        <f t="shared" si="18"/>
        <v>#DIV/0!</v>
      </c>
      <c r="B530" s="87"/>
      <c r="C530" s="740"/>
      <c r="D530" s="87"/>
      <c r="E530" s="87"/>
      <c r="F530" s="563">
        <f t="shared" si="19"/>
        <v>0</v>
      </c>
      <c r="G530" s="87">
        <f t="shared" si="15"/>
        <v>0</v>
      </c>
      <c r="H530" s="690"/>
      <c r="I530" s="693"/>
      <c r="J530" s="692"/>
      <c r="K530" s="692"/>
    </row>
    <row r="531" spans="1:11" ht="15" x14ac:dyDescent="0.25">
      <c r="A531" s="728" t="e">
        <f t="shared" ref="A531:A594" si="20">D531/E531</f>
        <v>#DIV/0!</v>
      </c>
      <c r="B531" s="87"/>
      <c r="C531" s="740"/>
      <c r="D531" s="87"/>
      <c r="E531" s="87"/>
      <c r="F531" s="563">
        <f t="shared" ref="F531:F594" si="21">D531</f>
        <v>0</v>
      </c>
      <c r="G531" s="87">
        <f t="shared" si="15"/>
        <v>0</v>
      </c>
      <c r="H531" s="690"/>
      <c r="I531" s="693"/>
      <c r="J531" s="692"/>
      <c r="K531" s="692"/>
    </row>
    <row r="532" spans="1:11" ht="15" x14ac:dyDescent="0.25">
      <c r="A532" s="728" t="e">
        <f t="shared" si="20"/>
        <v>#DIV/0!</v>
      </c>
      <c r="B532" s="87"/>
      <c r="C532" s="740"/>
      <c r="D532" s="87"/>
      <c r="E532" s="87"/>
      <c r="F532" s="563">
        <f t="shared" si="21"/>
        <v>0</v>
      </c>
      <c r="G532" s="87">
        <f t="shared" si="15"/>
        <v>0</v>
      </c>
      <c r="H532" s="690"/>
      <c r="I532" s="693"/>
      <c r="J532" s="692"/>
      <c r="K532" s="692"/>
    </row>
    <row r="533" spans="1:11" ht="15" x14ac:dyDescent="0.25">
      <c r="A533" s="728" t="e">
        <f t="shared" si="20"/>
        <v>#DIV/0!</v>
      </c>
      <c r="B533" s="87"/>
      <c r="C533" s="740"/>
      <c r="D533" s="87"/>
      <c r="E533" s="87"/>
      <c r="F533" s="563">
        <f t="shared" si="21"/>
        <v>0</v>
      </c>
      <c r="G533" s="87">
        <f t="shared" si="15"/>
        <v>0</v>
      </c>
      <c r="H533" s="690"/>
      <c r="I533" s="693"/>
      <c r="J533" s="692"/>
      <c r="K533" s="692"/>
    </row>
    <row r="534" spans="1:11" ht="15" x14ac:dyDescent="0.25">
      <c r="A534" s="728" t="e">
        <f t="shared" si="20"/>
        <v>#DIV/0!</v>
      </c>
      <c r="B534" s="87"/>
      <c r="C534" s="740"/>
      <c r="D534" s="87"/>
      <c r="E534" s="87"/>
      <c r="F534" s="563">
        <f t="shared" si="21"/>
        <v>0</v>
      </c>
      <c r="G534" s="87">
        <f t="shared" si="15"/>
        <v>0</v>
      </c>
      <c r="H534" s="690"/>
      <c r="I534" s="693"/>
      <c r="J534" s="692"/>
      <c r="K534" s="692"/>
    </row>
    <row r="535" spans="1:11" ht="15" x14ac:dyDescent="0.25">
      <c r="A535" s="728" t="e">
        <f t="shared" si="20"/>
        <v>#DIV/0!</v>
      </c>
      <c r="B535" s="87"/>
      <c r="C535" s="740"/>
      <c r="D535" s="87"/>
      <c r="E535" s="87"/>
      <c r="F535" s="563">
        <f t="shared" si="21"/>
        <v>0</v>
      </c>
      <c r="G535" s="87">
        <f t="shared" si="15"/>
        <v>0</v>
      </c>
      <c r="H535" s="690"/>
      <c r="I535" s="693"/>
      <c r="J535" s="692"/>
      <c r="K535" s="692"/>
    </row>
    <row r="536" spans="1:11" ht="15" x14ac:dyDescent="0.25">
      <c r="A536" s="728" t="e">
        <f t="shared" si="20"/>
        <v>#DIV/0!</v>
      </c>
      <c r="B536" s="87"/>
      <c r="C536" s="740"/>
      <c r="D536" s="87"/>
      <c r="E536" s="87"/>
      <c r="F536" s="563">
        <f t="shared" si="21"/>
        <v>0</v>
      </c>
      <c r="G536" s="87">
        <f t="shared" si="15"/>
        <v>0</v>
      </c>
      <c r="H536" s="690"/>
      <c r="I536" s="693"/>
      <c r="J536" s="692"/>
      <c r="K536" s="692"/>
    </row>
    <row r="537" spans="1:11" ht="15" x14ac:dyDescent="0.25">
      <c r="A537" s="728" t="e">
        <f t="shared" si="20"/>
        <v>#DIV/0!</v>
      </c>
      <c r="B537" s="87"/>
      <c r="C537" s="740"/>
      <c r="D537" s="87"/>
      <c r="E537" s="87"/>
      <c r="F537" s="563">
        <f t="shared" si="21"/>
        <v>0</v>
      </c>
      <c r="G537" s="87">
        <f t="shared" si="15"/>
        <v>0</v>
      </c>
      <c r="H537" s="690"/>
      <c r="I537" s="693"/>
      <c r="J537" s="692"/>
      <c r="K537" s="692"/>
    </row>
    <row r="538" spans="1:11" ht="15" x14ac:dyDescent="0.25">
      <c r="A538" s="728" t="e">
        <f t="shared" si="20"/>
        <v>#DIV/0!</v>
      </c>
      <c r="B538" s="87"/>
      <c r="C538" s="740"/>
      <c r="D538" s="87"/>
      <c r="E538" s="87"/>
      <c r="F538" s="563">
        <f t="shared" si="21"/>
        <v>0</v>
      </c>
      <c r="G538" s="87">
        <f t="shared" si="15"/>
        <v>0</v>
      </c>
      <c r="H538" s="690"/>
      <c r="I538" s="693"/>
      <c r="J538" s="692"/>
      <c r="K538" s="692"/>
    </row>
    <row r="539" spans="1:11" ht="15" x14ac:dyDescent="0.25">
      <c r="A539" s="728" t="e">
        <f t="shared" si="20"/>
        <v>#DIV/0!</v>
      </c>
      <c r="B539" s="87"/>
      <c r="C539" s="740"/>
      <c r="D539" s="87"/>
      <c r="E539" s="87"/>
      <c r="F539" s="563">
        <f t="shared" si="21"/>
        <v>0</v>
      </c>
      <c r="G539" s="87">
        <f t="shared" si="15"/>
        <v>0</v>
      </c>
      <c r="H539" s="690"/>
      <c r="I539" s="693"/>
      <c r="J539" s="692"/>
      <c r="K539" s="692"/>
    </row>
    <row r="540" spans="1:11" ht="15" x14ac:dyDescent="0.25">
      <c r="A540" s="728" t="e">
        <f t="shared" si="20"/>
        <v>#DIV/0!</v>
      </c>
      <c r="B540" s="87"/>
      <c r="C540" s="740"/>
      <c r="D540" s="87"/>
      <c r="E540" s="87"/>
      <c r="F540" s="563">
        <f t="shared" si="21"/>
        <v>0</v>
      </c>
      <c r="G540" s="87">
        <f t="shared" si="15"/>
        <v>0</v>
      </c>
      <c r="H540" s="690"/>
      <c r="I540" s="693"/>
      <c r="J540" s="692"/>
      <c r="K540" s="692"/>
    </row>
    <row r="541" spans="1:11" ht="15" x14ac:dyDescent="0.25">
      <c r="A541" s="728" t="e">
        <f t="shared" si="20"/>
        <v>#DIV/0!</v>
      </c>
      <c r="B541" s="87"/>
      <c r="C541" s="740"/>
      <c r="D541" s="87"/>
      <c r="E541" s="87"/>
      <c r="F541" s="563">
        <f t="shared" si="21"/>
        <v>0</v>
      </c>
      <c r="G541" s="87">
        <f t="shared" si="15"/>
        <v>0</v>
      </c>
      <c r="H541" s="690"/>
      <c r="I541" s="693"/>
      <c r="J541" s="692"/>
      <c r="K541" s="692"/>
    </row>
    <row r="542" spans="1:11" ht="15" x14ac:dyDescent="0.25">
      <c r="A542" s="728" t="e">
        <f t="shared" si="20"/>
        <v>#DIV/0!</v>
      </c>
      <c r="B542" s="87"/>
      <c r="C542" s="740"/>
      <c r="D542" s="87"/>
      <c r="E542" s="87"/>
      <c r="F542" s="563">
        <f t="shared" si="21"/>
        <v>0</v>
      </c>
      <c r="G542" s="87">
        <f t="shared" si="15"/>
        <v>0</v>
      </c>
      <c r="H542" s="690"/>
      <c r="I542" s="693"/>
      <c r="J542" s="692"/>
      <c r="K542" s="692"/>
    </row>
    <row r="543" spans="1:11" ht="15" x14ac:dyDescent="0.25">
      <c r="A543" s="728" t="e">
        <f t="shared" si="20"/>
        <v>#DIV/0!</v>
      </c>
      <c r="B543" s="87"/>
      <c r="C543" s="757"/>
      <c r="D543" s="87"/>
      <c r="E543" s="87"/>
      <c r="F543" s="563">
        <f t="shared" si="21"/>
        <v>0</v>
      </c>
      <c r="G543" s="87">
        <f t="shared" si="15"/>
        <v>0</v>
      </c>
      <c r="H543" s="690"/>
      <c r="I543" s="693"/>
      <c r="J543" s="692"/>
      <c r="K543" s="692"/>
    </row>
    <row r="544" spans="1:11" ht="15" x14ac:dyDescent="0.25">
      <c r="A544" s="728" t="e">
        <f t="shared" si="20"/>
        <v>#DIV/0!</v>
      </c>
      <c r="B544" s="87"/>
      <c r="C544" s="740"/>
      <c r="D544" s="87"/>
      <c r="E544" s="87"/>
      <c r="F544" s="563">
        <f t="shared" si="21"/>
        <v>0</v>
      </c>
      <c r="G544" s="87">
        <f t="shared" si="15"/>
        <v>0</v>
      </c>
      <c r="H544" s="690"/>
      <c r="I544" s="693"/>
      <c r="J544" s="692"/>
      <c r="K544" s="692"/>
    </row>
    <row r="545" spans="1:11" ht="15" x14ac:dyDescent="0.25">
      <c r="A545" s="728" t="e">
        <f t="shared" si="20"/>
        <v>#DIV/0!</v>
      </c>
      <c r="B545" s="87"/>
      <c r="C545" s="740"/>
      <c r="D545" s="87"/>
      <c r="E545" s="87"/>
      <c r="F545" s="563">
        <f t="shared" si="21"/>
        <v>0</v>
      </c>
      <c r="G545" s="87">
        <f t="shared" si="15"/>
        <v>0</v>
      </c>
      <c r="H545" s="690"/>
      <c r="I545" s="693"/>
      <c r="J545" s="692"/>
      <c r="K545" s="692"/>
    </row>
    <row r="546" spans="1:11" ht="15" x14ac:dyDescent="0.25">
      <c r="A546" s="728" t="e">
        <f t="shared" si="20"/>
        <v>#DIV/0!</v>
      </c>
      <c r="B546" s="87"/>
      <c r="C546" s="740"/>
      <c r="D546" s="87"/>
      <c r="E546" s="87"/>
      <c r="F546" s="563">
        <f t="shared" si="21"/>
        <v>0</v>
      </c>
      <c r="G546" s="87">
        <f t="shared" si="15"/>
        <v>0</v>
      </c>
      <c r="H546" s="690"/>
      <c r="I546" s="693"/>
      <c r="J546" s="692"/>
      <c r="K546" s="692"/>
    </row>
    <row r="547" spans="1:11" ht="15" x14ac:dyDescent="0.25">
      <c r="A547" s="728" t="e">
        <f t="shared" si="20"/>
        <v>#DIV/0!</v>
      </c>
      <c r="B547" s="87"/>
      <c r="C547" s="740"/>
      <c r="D547" s="87"/>
      <c r="E547" s="87"/>
      <c r="F547" s="563">
        <f t="shared" si="21"/>
        <v>0</v>
      </c>
      <c r="G547" s="87">
        <f t="shared" si="15"/>
        <v>0</v>
      </c>
      <c r="H547" s="690"/>
      <c r="I547" s="693"/>
      <c r="J547" s="692"/>
      <c r="K547" s="692"/>
    </row>
    <row r="548" spans="1:11" ht="15" x14ac:dyDescent="0.25">
      <c r="A548" s="728" t="e">
        <f t="shared" si="20"/>
        <v>#DIV/0!</v>
      </c>
      <c r="B548" s="87"/>
      <c r="C548" s="761"/>
      <c r="D548" s="696"/>
      <c r="E548" s="573"/>
      <c r="F548" s="563">
        <f t="shared" si="21"/>
        <v>0</v>
      </c>
      <c r="G548" s="87">
        <f t="shared" si="15"/>
        <v>0</v>
      </c>
      <c r="H548" s="690"/>
      <c r="I548" s="693"/>
      <c r="J548" s="692"/>
      <c r="K548" s="692"/>
    </row>
    <row r="549" spans="1:11" ht="15" x14ac:dyDescent="0.25">
      <c r="A549" s="728" t="e">
        <f t="shared" si="20"/>
        <v>#DIV/0!</v>
      </c>
      <c r="B549" s="87"/>
      <c r="C549" s="761"/>
      <c r="D549" s="696"/>
      <c r="E549" s="573"/>
      <c r="F549" s="563">
        <f t="shared" si="21"/>
        <v>0</v>
      </c>
      <c r="G549" s="87">
        <f t="shared" si="15"/>
        <v>0</v>
      </c>
      <c r="H549" s="690"/>
      <c r="I549" s="693"/>
      <c r="J549" s="692"/>
      <c r="K549" s="692"/>
    </row>
    <row r="550" spans="1:11" ht="15" x14ac:dyDescent="0.25">
      <c r="A550" s="728" t="e">
        <f t="shared" si="20"/>
        <v>#DIV/0!</v>
      </c>
      <c r="B550" s="87"/>
      <c r="C550" s="761"/>
      <c r="D550" s="696"/>
      <c r="E550" s="573"/>
      <c r="F550" s="563">
        <f t="shared" si="21"/>
        <v>0</v>
      </c>
      <c r="G550" s="87">
        <f t="shared" si="15"/>
        <v>0</v>
      </c>
      <c r="H550" s="690"/>
      <c r="I550" s="693"/>
      <c r="J550" s="692"/>
      <c r="K550" s="692"/>
    </row>
    <row r="551" spans="1:11" ht="15" x14ac:dyDescent="0.25">
      <c r="A551" s="728" t="e">
        <f t="shared" si="20"/>
        <v>#DIV/0!</v>
      </c>
      <c r="B551" s="87"/>
      <c r="C551" s="761"/>
      <c r="D551" s="696"/>
      <c r="E551" s="573"/>
      <c r="F551" s="563">
        <f t="shared" si="21"/>
        <v>0</v>
      </c>
      <c r="G551" s="87">
        <f t="shared" si="15"/>
        <v>0</v>
      </c>
      <c r="H551" s="690"/>
      <c r="I551" s="693"/>
      <c r="J551" s="692"/>
      <c r="K551" s="692"/>
    </row>
    <row r="552" spans="1:11" ht="15" x14ac:dyDescent="0.25">
      <c r="A552" s="728" t="e">
        <f t="shared" si="20"/>
        <v>#DIV/0!</v>
      </c>
      <c r="B552" s="87"/>
      <c r="C552" s="761"/>
      <c r="D552" s="696"/>
      <c r="E552" s="573"/>
      <c r="F552" s="563">
        <f t="shared" si="21"/>
        <v>0</v>
      </c>
      <c r="G552" s="87">
        <f t="shared" si="15"/>
        <v>0</v>
      </c>
      <c r="H552" s="690"/>
      <c r="I552" s="693"/>
      <c r="J552" s="692"/>
      <c r="K552" s="692"/>
    </row>
    <row r="553" spans="1:11" ht="15" x14ac:dyDescent="0.25">
      <c r="A553" s="728" t="e">
        <f t="shared" si="20"/>
        <v>#DIV/0!</v>
      </c>
      <c r="B553" s="87"/>
      <c r="C553" s="761"/>
      <c r="D553" s="696"/>
      <c r="E553" s="573"/>
      <c r="F553" s="563">
        <f t="shared" si="21"/>
        <v>0</v>
      </c>
      <c r="G553" s="87">
        <f t="shared" si="15"/>
        <v>0</v>
      </c>
      <c r="H553" s="690"/>
      <c r="I553" s="693"/>
      <c r="J553" s="692"/>
      <c r="K553" s="692"/>
    </row>
    <row r="554" spans="1:11" ht="15" x14ac:dyDescent="0.25">
      <c r="A554" s="728" t="e">
        <f t="shared" si="20"/>
        <v>#DIV/0!</v>
      </c>
      <c r="B554" s="87"/>
      <c r="C554" s="761"/>
      <c r="D554" s="696"/>
      <c r="E554" s="573"/>
      <c r="F554" s="563">
        <f t="shared" si="21"/>
        <v>0</v>
      </c>
      <c r="G554" s="87">
        <f t="shared" si="15"/>
        <v>0</v>
      </c>
      <c r="H554" s="690"/>
      <c r="I554" s="693"/>
      <c r="J554" s="692"/>
      <c r="K554" s="692"/>
    </row>
    <row r="555" spans="1:11" ht="15" x14ac:dyDescent="0.25">
      <c r="A555" s="728" t="e">
        <f t="shared" si="20"/>
        <v>#DIV/0!</v>
      </c>
      <c r="B555" s="87"/>
      <c r="C555" s="761"/>
      <c r="D555" s="696"/>
      <c r="E555" s="573"/>
      <c r="F555" s="563">
        <f t="shared" si="21"/>
        <v>0</v>
      </c>
      <c r="G555" s="87">
        <f t="shared" si="15"/>
        <v>0</v>
      </c>
      <c r="H555" s="690"/>
      <c r="I555" s="693"/>
      <c r="J555" s="692"/>
      <c r="K555" s="692"/>
    </row>
    <row r="556" spans="1:11" ht="15" x14ac:dyDescent="0.25">
      <c r="A556" s="728" t="e">
        <f t="shared" si="20"/>
        <v>#DIV/0!</v>
      </c>
      <c r="B556" s="87"/>
      <c r="C556" s="761"/>
      <c r="D556" s="696"/>
      <c r="E556" s="573"/>
      <c r="F556" s="563">
        <f t="shared" si="21"/>
        <v>0</v>
      </c>
      <c r="G556" s="87">
        <f t="shared" si="15"/>
        <v>0</v>
      </c>
      <c r="H556" s="690"/>
      <c r="I556" s="693"/>
      <c r="J556" s="692"/>
      <c r="K556" s="692"/>
    </row>
    <row r="557" spans="1:11" ht="15" x14ac:dyDescent="0.25">
      <c r="A557" s="728" t="e">
        <f t="shared" si="20"/>
        <v>#DIV/0!</v>
      </c>
      <c r="B557" s="87"/>
      <c r="C557" s="761"/>
      <c r="D557" s="696"/>
      <c r="E557" s="573"/>
      <c r="F557" s="563">
        <f t="shared" si="21"/>
        <v>0</v>
      </c>
      <c r="G557" s="87">
        <f t="shared" si="15"/>
        <v>0</v>
      </c>
      <c r="H557" s="690"/>
      <c r="I557" s="693"/>
      <c r="J557" s="692"/>
      <c r="K557" s="692"/>
    </row>
    <row r="558" spans="1:11" ht="15" x14ac:dyDescent="0.25">
      <c r="A558" s="728" t="e">
        <f t="shared" si="20"/>
        <v>#DIV/0!</v>
      </c>
      <c r="B558" s="87"/>
      <c r="C558" s="761"/>
      <c r="D558" s="696"/>
      <c r="E558" s="573"/>
      <c r="F558" s="563">
        <f t="shared" si="21"/>
        <v>0</v>
      </c>
      <c r="G558" s="87">
        <f t="shared" si="15"/>
        <v>0</v>
      </c>
      <c r="H558" s="690"/>
      <c r="I558" s="693"/>
      <c r="J558" s="692"/>
      <c r="K558" s="692"/>
    </row>
    <row r="559" spans="1:11" ht="15" x14ac:dyDescent="0.25">
      <c r="A559" s="728" t="e">
        <f t="shared" si="20"/>
        <v>#DIV/0!</v>
      </c>
      <c r="B559" s="87"/>
      <c r="C559" s="761"/>
      <c r="D559" s="696"/>
      <c r="E559" s="573"/>
      <c r="F559" s="563">
        <f t="shared" si="21"/>
        <v>0</v>
      </c>
      <c r="G559" s="87">
        <f t="shared" si="15"/>
        <v>0</v>
      </c>
      <c r="H559" s="690"/>
      <c r="I559" s="693"/>
      <c r="J559" s="692"/>
      <c r="K559" s="692"/>
    </row>
    <row r="560" spans="1:11" ht="15" x14ac:dyDescent="0.25">
      <c r="A560" s="728" t="e">
        <f t="shared" si="20"/>
        <v>#DIV/0!</v>
      </c>
      <c r="B560" s="87"/>
      <c r="C560" s="761"/>
      <c r="D560" s="696"/>
      <c r="E560" s="573"/>
      <c r="F560" s="563">
        <f t="shared" si="21"/>
        <v>0</v>
      </c>
      <c r="G560" s="87">
        <f t="shared" si="15"/>
        <v>0</v>
      </c>
      <c r="H560" s="690"/>
      <c r="I560" s="693"/>
      <c r="J560" s="692"/>
      <c r="K560" s="692"/>
    </row>
    <row r="561" spans="1:11" ht="15" x14ac:dyDescent="0.25">
      <c r="A561" s="728" t="e">
        <f t="shared" si="20"/>
        <v>#DIV/0!</v>
      </c>
      <c r="B561" s="87"/>
      <c r="C561" s="761"/>
      <c r="D561" s="696"/>
      <c r="E561" s="573"/>
      <c r="F561" s="563">
        <f t="shared" si="21"/>
        <v>0</v>
      </c>
      <c r="G561" s="87">
        <f t="shared" si="15"/>
        <v>0</v>
      </c>
      <c r="H561" s="690"/>
      <c r="I561" s="693"/>
      <c r="J561" s="692"/>
      <c r="K561" s="692"/>
    </row>
    <row r="562" spans="1:11" ht="15" x14ac:dyDescent="0.25">
      <c r="A562" s="728" t="e">
        <f t="shared" si="20"/>
        <v>#DIV/0!</v>
      </c>
      <c r="B562" s="87"/>
      <c r="C562" s="761"/>
      <c r="D562" s="696"/>
      <c r="E562" s="573"/>
      <c r="F562" s="563">
        <f t="shared" si="21"/>
        <v>0</v>
      </c>
      <c r="G562" s="87">
        <f t="shared" si="15"/>
        <v>0</v>
      </c>
      <c r="H562" s="690"/>
      <c r="I562" s="693"/>
      <c r="J562" s="692"/>
      <c r="K562" s="692"/>
    </row>
    <row r="563" spans="1:11" ht="15" x14ac:dyDescent="0.25">
      <c r="A563" s="728" t="e">
        <f t="shared" si="20"/>
        <v>#DIV/0!</v>
      </c>
      <c r="B563" s="87"/>
      <c r="C563" s="761"/>
      <c r="D563" s="696"/>
      <c r="E563" s="573"/>
      <c r="F563" s="563">
        <f t="shared" si="21"/>
        <v>0</v>
      </c>
      <c r="G563" s="87">
        <f t="shared" si="15"/>
        <v>0</v>
      </c>
      <c r="H563" s="690"/>
      <c r="I563" s="693"/>
      <c r="J563" s="692"/>
      <c r="K563" s="692"/>
    </row>
    <row r="564" spans="1:11" ht="15" x14ac:dyDescent="0.25">
      <c r="A564" s="728" t="e">
        <f t="shared" si="20"/>
        <v>#DIV/0!</v>
      </c>
      <c r="B564" s="87"/>
      <c r="C564" s="761"/>
      <c r="D564" s="696"/>
      <c r="E564" s="573"/>
      <c r="F564" s="563">
        <f t="shared" si="21"/>
        <v>0</v>
      </c>
      <c r="G564" s="87">
        <f t="shared" si="15"/>
        <v>0</v>
      </c>
      <c r="H564" s="690"/>
      <c r="I564" s="693"/>
      <c r="J564" s="692"/>
      <c r="K564" s="692"/>
    </row>
    <row r="565" spans="1:11" ht="15" x14ac:dyDescent="0.25">
      <c r="A565" s="728" t="e">
        <f t="shared" si="20"/>
        <v>#DIV/0!</v>
      </c>
      <c r="B565" s="87"/>
      <c r="C565" s="761"/>
      <c r="D565" s="696"/>
      <c r="E565" s="573"/>
      <c r="F565" s="563">
        <f t="shared" si="21"/>
        <v>0</v>
      </c>
      <c r="G565" s="87">
        <f t="shared" si="15"/>
        <v>0</v>
      </c>
      <c r="H565" s="690"/>
      <c r="I565" s="693"/>
      <c r="J565" s="692"/>
      <c r="K565" s="692"/>
    </row>
    <row r="566" spans="1:11" ht="15" x14ac:dyDescent="0.25">
      <c r="A566" s="728" t="e">
        <f t="shared" si="20"/>
        <v>#DIV/0!</v>
      </c>
      <c r="B566" s="87"/>
      <c r="C566" s="761"/>
      <c r="D566" s="696"/>
      <c r="E566" s="573"/>
      <c r="F566" s="563">
        <f t="shared" si="21"/>
        <v>0</v>
      </c>
      <c r="G566" s="87">
        <f t="shared" si="15"/>
        <v>0</v>
      </c>
      <c r="H566" s="690"/>
      <c r="I566" s="693"/>
      <c r="J566" s="692"/>
      <c r="K566" s="692"/>
    </row>
    <row r="567" spans="1:11" ht="15" x14ac:dyDescent="0.25">
      <c r="A567" s="728" t="e">
        <f t="shared" si="20"/>
        <v>#DIV/0!</v>
      </c>
      <c r="B567" s="87"/>
      <c r="C567" s="761"/>
      <c r="D567" s="696"/>
      <c r="E567" s="573"/>
      <c r="F567" s="563">
        <f t="shared" si="21"/>
        <v>0</v>
      </c>
      <c r="G567" s="87">
        <f t="shared" si="15"/>
        <v>0</v>
      </c>
      <c r="H567" s="690"/>
      <c r="I567" s="693"/>
      <c r="J567" s="692"/>
      <c r="K567" s="692"/>
    </row>
    <row r="568" spans="1:11" ht="15" x14ac:dyDescent="0.25">
      <c r="A568" s="728" t="e">
        <f t="shared" si="20"/>
        <v>#DIV/0!</v>
      </c>
      <c r="B568" s="87"/>
      <c r="C568" s="761"/>
      <c r="D568" s="696"/>
      <c r="E568" s="573"/>
      <c r="F568" s="563">
        <f t="shared" si="21"/>
        <v>0</v>
      </c>
      <c r="G568" s="87">
        <f t="shared" si="15"/>
        <v>0</v>
      </c>
      <c r="H568" s="690"/>
      <c r="I568" s="693"/>
      <c r="J568" s="692"/>
      <c r="K568" s="692"/>
    </row>
    <row r="569" spans="1:11" ht="15" x14ac:dyDescent="0.25">
      <c r="A569" s="728" t="e">
        <f t="shared" si="20"/>
        <v>#DIV/0!</v>
      </c>
      <c r="B569" s="87"/>
      <c r="C569" s="761"/>
      <c r="D569" s="696"/>
      <c r="E569" s="573"/>
      <c r="F569" s="563">
        <f t="shared" si="21"/>
        <v>0</v>
      </c>
      <c r="G569" s="87">
        <f t="shared" si="15"/>
        <v>0</v>
      </c>
      <c r="H569" s="690"/>
      <c r="I569" s="693"/>
      <c r="J569" s="692"/>
      <c r="K569" s="692"/>
    </row>
    <row r="570" spans="1:11" ht="15" x14ac:dyDescent="0.25">
      <c r="A570" s="728" t="e">
        <f t="shared" si="20"/>
        <v>#DIV/0!</v>
      </c>
      <c r="B570" s="87"/>
      <c r="C570" s="761"/>
      <c r="D570" s="696"/>
      <c r="E570" s="573"/>
      <c r="F570" s="563">
        <f t="shared" si="21"/>
        <v>0</v>
      </c>
      <c r="G570" s="87">
        <f t="shared" si="15"/>
        <v>0</v>
      </c>
      <c r="H570" s="690"/>
      <c r="I570" s="693"/>
      <c r="J570" s="692"/>
      <c r="K570" s="692"/>
    </row>
    <row r="571" spans="1:11" ht="15" x14ac:dyDescent="0.25">
      <c r="A571" s="728" t="e">
        <f t="shared" si="20"/>
        <v>#DIV/0!</v>
      </c>
      <c r="B571" s="87"/>
      <c r="C571" s="761"/>
      <c r="D571" s="696"/>
      <c r="E571" s="573"/>
      <c r="F571" s="563">
        <f t="shared" si="21"/>
        <v>0</v>
      </c>
      <c r="G571" s="87">
        <f t="shared" si="15"/>
        <v>0</v>
      </c>
      <c r="H571" s="690"/>
      <c r="I571" s="693"/>
      <c r="J571" s="692"/>
      <c r="K571" s="692"/>
    </row>
    <row r="572" spans="1:11" ht="15" x14ac:dyDescent="0.25">
      <c r="A572" s="728" t="e">
        <f t="shared" si="20"/>
        <v>#DIV/0!</v>
      </c>
      <c r="B572" s="87"/>
      <c r="C572" s="761"/>
      <c r="D572" s="696"/>
      <c r="E572" s="573"/>
      <c r="F572" s="563">
        <f t="shared" si="21"/>
        <v>0</v>
      </c>
      <c r="G572" s="87">
        <f t="shared" si="15"/>
        <v>0</v>
      </c>
      <c r="H572" s="690"/>
      <c r="I572" s="693"/>
      <c r="J572" s="692"/>
      <c r="K572" s="692"/>
    </row>
    <row r="573" spans="1:11" ht="15" x14ac:dyDescent="0.25">
      <c r="A573" s="728" t="e">
        <f t="shared" si="20"/>
        <v>#DIV/0!</v>
      </c>
      <c r="B573" s="87"/>
      <c r="C573" s="761"/>
      <c r="D573" s="696"/>
      <c r="E573" s="573"/>
      <c r="F573" s="563">
        <f t="shared" si="21"/>
        <v>0</v>
      </c>
      <c r="G573" s="87">
        <f t="shared" si="15"/>
        <v>0</v>
      </c>
      <c r="H573" s="690"/>
      <c r="I573" s="693"/>
      <c r="J573" s="692"/>
      <c r="K573" s="692"/>
    </row>
    <row r="574" spans="1:11" ht="15" x14ac:dyDescent="0.25">
      <c r="A574" s="728" t="e">
        <f t="shared" si="20"/>
        <v>#DIV/0!</v>
      </c>
      <c r="B574" s="87"/>
      <c r="C574" s="761"/>
      <c r="D574" s="696"/>
      <c r="E574" s="573"/>
      <c r="F574" s="563">
        <f t="shared" si="21"/>
        <v>0</v>
      </c>
      <c r="G574" s="87">
        <f t="shared" si="15"/>
        <v>0</v>
      </c>
      <c r="H574" s="690"/>
      <c r="I574" s="693"/>
      <c r="J574" s="692"/>
      <c r="K574" s="692"/>
    </row>
    <row r="575" spans="1:11" ht="15" x14ac:dyDescent="0.25">
      <c r="A575" s="728" t="e">
        <f t="shared" si="20"/>
        <v>#DIV/0!</v>
      </c>
      <c r="B575" s="87"/>
      <c r="C575" s="761"/>
      <c r="D575" s="696"/>
      <c r="E575" s="573"/>
      <c r="F575" s="563">
        <f t="shared" si="21"/>
        <v>0</v>
      </c>
      <c r="G575" s="87">
        <f t="shared" si="15"/>
        <v>0</v>
      </c>
      <c r="H575" s="690"/>
      <c r="I575" s="693"/>
      <c r="J575" s="692"/>
      <c r="K575" s="692"/>
    </row>
    <row r="576" spans="1:11" ht="15" x14ac:dyDescent="0.25">
      <c r="A576" s="728" t="e">
        <f t="shared" si="20"/>
        <v>#DIV/0!</v>
      </c>
      <c r="B576" s="87"/>
      <c r="C576" s="761"/>
      <c r="D576" s="696"/>
      <c r="E576" s="573"/>
      <c r="F576" s="563">
        <f t="shared" si="21"/>
        <v>0</v>
      </c>
      <c r="G576" s="87">
        <f t="shared" si="15"/>
        <v>0</v>
      </c>
      <c r="H576" s="690"/>
      <c r="I576" s="693"/>
      <c r="J576" s="692"/>
      <c r="K576" s="692"/>
    </row>
    <row r="577" spans="1:11" ht="15" x14ac:dyDescent="0.25">
      <c r="A577" s="728" t="e">
        <f t="shared" si="20"/>
        <v>#DIV/0!</v>
      </c>
      <c r="B577" s="87"/>
      <c r="C577" s="761"/>
      <c r="D577" s="696"/>
      <c r="E577" s="573"/>
      <c r="F577" s="563">
        <f t="shared" si="21"/>
        <v>0</v>
      </c>
      <c r="G577" s="87">
        <f t="shared" si="15"/>
        <v>0</v>
      </c>
      <c r="H577" s="690"/>
      <c r="I577" s="693"/>
      <c r="J577" s="692"/>
      <c r="K577" s="692"/>
    </row>
    <row r="578" spans="1:11" ht="15" x14ac:dyDescent="0.25">
      <c r="A578" s="728" t="e">
        <f t="shared" si="20"/>
        <v>#DIV/0!</v>
      </c>
      <c r="B578" s="87"/>
      <c r="C578" s="761"/>
      <c r="D578" s="696"/>
      <c r="E578" s="573"/>
      <c r="F578" s="563">
        <f t="shared" si="21"/>
        <v>0</v>
      </c>
      <c r="G578" s="87">
        <f t="shared" si="15"/>
        <v>0</v>
      </c>
      <c r="H578" s="690"/>
      <c r="I578" s="693"/>
      <c r="J578" s="692"/>
      <c r="K578" s="692"/>
    </row>
    <row r="579" spans="1:11" ht="15" x14ac:dyDescent="0.25">
      <c r="A579" s="728" t="e">
        <f t="shared" si="20"/>
        <v>#DIV/0!</v>
      </c>
      <c r="B579" s="87"/>
      <c r="C579" s="761"/>
      <c r="D579" s="696"/>
      <c r="E579" s="573"/>
      <c r="F579" s="563">
        <f t="shared" si="21"/>
        <v>0</v>
      </c>
      <c r="G579" s="87">
        <f t="shared" si="15"/>
        <v>0</v>
      </c>
      <c r="H579" s="690"/>
      <c r="I579" s="693"/>
      <c r="J579" s="692"/>
      <c r="K579" s="692"/>
    </row>
    <row r="580" spans="1:11" ht="15" x14ac:dyDescent="0.25">
      <c r="A580" s="728" t="e">
        <f t="shared" si="20"/>
        <v>#DIV/0!</v>
      </c>
      <c r="B580" s="87"/>
      <c r="C580" s="761"/>
      <c r="D580" s="696"/>
      <c r="E580" s="573"/>
      <c r="F580" s="563">
        <f t="shared" si="21"/>
        <v>0</v>
      </c>
      <c r="G580" s="87">
        <f t="shared" si="15"/>
        <v>0</v>
      </c>
      <c r="H580" s="690"/>
      <c r="I580" s="693"/>
      <c r="J580" s="692"/>
      <c r="K580" s="692"/>
    </row>
    <row r="581" spans="1:11" ht="15" x14ac:dyDescent="0.25">
      <c r="A581" s="728" t="e">
        <f t="shared" si="20"/>
        <v>#DIV/0!</v>
      </c>
      <c r="B581" s="87"/>
      <c r="C581" s="761"/>
      <c r="D581" s="696"/>
      <c r="E581" s="573"/>
      <c r="F581" s="563">
        <f t="shared" si="21"/>
        <v>0</v>
      </c>
      <c r="G581" s="87">
        <f t="shared" si="15"/>
        <v>0</v>
      </c>
      <c r="H581" s="690"/>
      <c r="I581" s="693"/>
      <c r="J581" s="692"/>
      <c r="K581" s="692"/>
    </row>
    <row r="582" spans="1:11" ht="15" x14ac:dyDescent="0.25">
      <c r="A582" s="728" t="e">
        <f t="shared" si="20"/>
        <v>#DIV/0!</v>
      </c>
      <c r="B582" s="87"/>
      <c r="C582" s="761"/>
      <c r="D582" s="696"/>
      <c r="E582" s="573"/>
      <c r="F582" s="563">
        <f t="shared" si="21"/>
        <v>0</v>
      </c>
      <c r="G582" s="87">
        <f t="shared" si="15"/>
        <v>0</v>
      </c>
      <c r="H582" s="690"/>
      <c r="I582" s="693"/>
      <c r="J582" s="692"/>
      <c r="K582" s="692"/>
    </row>
    <row r="583" spans="1:11" ht="15" x14ac:dyDescent="0.25">
      <c r="A583" s="728" t="e">
        <f t="shared" si="20"/>
        <v>#DIV/0!</v>
      </c>
      <c r="B583" s="87"/>
      <c r="C583" s="761"/>
      <c r="D583" s="696"/>
      <c r="E583" s="573"/>
      <c r="F583" s="563">
        <f t="shared" si="21"/>
        <v>0</v>
      </c>
      <c r="G583" s="87">
        <f t="shared" si="15"/>
        <v>0</v>
      </c>
      <c r="H583" s="690"/>
      <c r="I583" s="693"/>
      <c r="J583" s="692"/>
      <c r="K583" s="692"/>
    </row>
    <row r="584" spans="1:11" ht="15" x14ac:dyDescent="0.25">
      <c r="A584" s="728" t="e">
        <f t="shared" si="20"/>
        <v>#DIV/0!</v>
      </c>
      <c r="B584" s="87"/>
      <c r="C584" s="761"/>
      <c r="D584" s="696"/>
      <c r="E584" s="573"/>
      <c r="F584" s="563">
        <f t="shared" si="21"/>
        <v>0</v>
      </c>
      <c r="G584" s="87">
        <f t="shared" si="15"/>
        <v>0</v>
      </c>
      <c r="H584" s="690"/>
      <c r="I584" s="693"/>
      <c r="J584" s="692"/>
      <c r="K584" s="692"/>
    </row>
    <row r="585" spans="1:11" ht="15" x14ac:dyDescent="0.25">
      <c r="A585" s="728" t="e">
        <f t="shared" si="20"/>
        <v>#DIV/0!</v>
      </c>
      <c r="B585" s="87"/>
      <c r="C585" s="761"/>
      <c r="D585" s="696"/>
      <c r="E585" s="573"/>
      <c r="F585" s="563">
        <f t="shared" si="21"/>
        <v>0</v>
      </c>
      <c r="G585" s="87">
        <f t="shared" si="15"/>
        <v>0</v>
      </c>
      <c r="H585" s="690"/>
      <c r="I585" s="693"/>
      <c r="J585" s="692"/>
      <c r="K585" s="692"/>
    </row>
    <row r="586" spans="1:11" ht="15" x14ac:dyDescent="0.25">
      <c r="A586" s="728" t="e">
        <f t="shared" si="20"/>
        <v>#DIV/0!</v>
      </c>
      <c r="B586" s="87"/>
      <c r="C586" s="761"/>
      <c r="D586" s="696"/>
      <c r="E586" s="573"/>
      <c r="F586" s="563">
        <f t="shared" si="21"/>
        <v>0</v>
      </c>
      <c r="G586" s="87">
        <f t="shared" si="15"/>
        <v>0</v>
      </c>
      <c r="H586" s="690"/>
      <c r="I586" s="693"/>
      <c r="J586" s="692"/>
      <c r="K586" s="692"/>
    </row>
    <row r="587" spans="1:11" ht="15" x14ac:dyDescent="0.25">
      <c r="A587" s="728" t="e">
        <f t="shared" si="20"/>
        <v>#DIV/0!</v>
      </c>
      <c r="B587" s="87"/>
      <c r="C587" s="761"/>
      <c r="D587" s="696"/>
      <c r="E587" s="573"/>
      <c r="F587" s="563">
        <f t="shared" si="21"/>
        <v>0</v>
      </c>
      <c r="G587" s="87">
        <f t="shared" si="15"/>
        <v>0</v>
      </c>
      <c r="H587" s="690"/>
      <c r="I587" s="693"/>
      <c r="J587" s="692"/>
      <c r="K587" s="692"/>
    </row>
    <row r="588" spans="1:11" ht="15" x14ac:dyDescent="0.25">
      <c r="A588" s="728" t="e">
        <f t="shared" si="20"/>
        <v>#DIV/0!</v>
      </c>
      <c r="B588" s="87"/>
      <c r="C588" s="761"/>
      <c r="D588" s="696"/>
      <c r="E588" s="573"/>
      <c r="F588" s="563">
        <f t="shared" si="21"/>
        <v>0</v>
      </c>
      <c r="G588" s="87">
        <f t="shared" si="15"/>
        <v>0</v>
      </c>
      <c r="H588" s="690"/>
      <c r="I588" s="693"/>
      <c r="J588" s="692"/>
      <c r="K588" s="692"/>
    </row>
    <row r="589" spans="1:11" ht="15" x14ac:dyDescent="0.25">
      <c r="A589" s="728" t="e">
        <f t="shared" si="20"/>
        <v>#DIV/0!</v>
      </c>
      <c r="B589" s="87"/>
      <c r="C589" s="761"/>
      <c r="D589" s="696"/>
      <c r="E589" s="573"/>
      <c r="F589" s="563">
        <f t="shared" si="21"/>
        <v>0</v>
      </c>
      <c r="G589" s="87">
        <f t="shared" si="15"/>
        <v>0</v>
      </c>
      <c r="H589" s="690"/>
      <c r="I589" s="693"/>
      <c r="J589" s="692"/>
      <c r="K589" s="692"/>
    </row>
    <row r="590" spans="1:11" ht="15" x14ac:dyDescent="0.25">
      <c r="A590" s="728" t="e">
        <f t="shared" si="20"/>
        <v>#DIV/0!</v>
      </c>
      <c r="B590" s="87"/>
      <c r="C590" s="761"/>
      <c r="D590" s="696"/>
      <c r="E590" s="573"/>
      <c r="F590" s="563">
        <f t="shared" si="21"/>
        <v>0</v>
      </c>
      <c r="G590" s="87">
        <f t="shared" si="15"/>
        <v>0</v>
      </c>
      <c r="H590" s="690"/>
      <c r="I590" s="693"/>
      <c r="J590" s="692"/>
      <c r="K590" s="692"/>
    </row>
    <row r="591" spans="1:11" ht="15" x14ac:dyDescent="0.25">
      <c r="A591" s="728" t="e">
        <f t="shared" si="20"/>
        <v>#DIV/0!</v>
      </c>
      <c r="B591" s="87"/>
      <c r="C591" s="761"/>
      <c r="D591" s="696"/>
      <c r="E591" s="573"/>
      <c r="F591" s="563">
        <f t="shared" si="21"/>
        <v>0</v>
      </c>
      <c r="G591" s="87">
        <f t="shared" si="15"/>
        <v>0</v>
      </c>
      <c r="H591" s="690"/>
      <c r="I591" s="693"/>
      <c r="J591" s="692"/>
      <c r="K591" s="692"/>
    </row>
    <row r="592" spans="1:11" ht="15" x14ac:dyDescent="0.25">
      <c r="A592" s="728" t="e">
        <f t="shared" si="20"/>
        <v>#DIV/0!</v>
      </c>
      <c r="B592" s="87"/>
      <c r="C592" s="761"/>
      <c r="D592" s="696"/>
      <c r="E592" s="573"/>
      <c r="F592" s="563">
        <f t="shared" si="21"/>
        <v>0</v>
      </c>
      <c r="G592" s="87">
        <f t="shared" si="15"/>
        <v>0</v>
      </c>
      <c r="H592" s="690"/>
      <c r="I592" s="693"/>
      <c r="J592" s="692"/>
      <c r="K592" s="692"/>
    </row>
    <row r="593" spans="1:11" ht="15" x14ac:dyDescent="0.25">
      <c r="A593" s="728" t="e">
        <f t="shared" si="20"/>
        <v>#DIV/0!</v>
      </c>
      <c r="B593" s="87"/>
      <c r="C593" s="761"/>
      <c r="D593" s="696"/>
      <c r="E593" s="573"/>
      <c r="F593" s="563">
        <f t="shared" si="21"/>
        <v>0</v>
      </c>
      <c r="G593" s="87">
        <f t="shared" si="15"/>
        <v>0</v>
      </c>
      <c r="H593" s="690"/>
      <c r="I593" s="693"/>
      <c r="J593" s="692"/>
      <c r="K593" s="692"/>
    </row>
    <row r="594" spans="1:11" ht="15" x14ac:dyDescent="0.25">
      <c r="A594" s="728" t="e">
        <f t="shared" si="20"/>
        <v>#DIV/0!</v>
      </c>
      <c r="B594" s="87"/>
      <c r="C594" s="761"/>
      <c r="D594" s="696"/>
      <c r="E594" s="573"/>
      <c r="F594" s="563">
        <f t="shared" si="21"/>
        <v>0</v>
      </c>
      <c r="G594" s="87">
        <f t="shared" si="15"/>
        <v>0</v>
      </c>
      <c r="H594" s="690"/>
      <c r="I594" s="693"/>
      <c r="J594" s="692"/>
      <c r="K594" s="692"/>
    </row>
    <row r="595" spans="1:11" ht="15" x14ac:dyDescent="0.25">
      <c r="A595" s="728" t="e">
        <f t="shared" ref="A595:A655" si="22">D595/E595</f>
        <v>#DIV/0!</v>
      </c>
      <c r="B595" s="87"/>
      <c r="C595" s="761"/>
      <c r="D595" s="696"/>
      <c r="E595" s="573"/>
      <c r="F595" s="563">
        <f t="shared" ref="F595:F655" si="23">D595</f>
        <v>0</v>
      </c>
      <c r="G595" s="87">
        <f t="shared" si="15"/>
        <v>0</v>
      </c>
      <c r="H595" s="690"/>
      <c r="I595" s="693"/>
      <c r="J595" s="692"/>
      <c r="K595" s="692"/>
    </row>
    <row r="596" spans="1:11" ht="15" x14ac:dyDescent="0.25">
      <c r="A596" s="728" t="e">
        <f t="shared" si="22"/>
        <v>#DIV/0!</v>
      </c>
      <c r="B596" s="87"/>
      <c r="C596" s="761"/>
      <c r="D596" s="696"/>
      <c r="E596" s="573"/>
      <c r="F596" s="563">
        <f t="shared" si="23"/>
        <v>0</v>
      </c>
      <c r="G596" s="87">
        <f t="shared" si="15"/>
        <v>0</v>
      </c>
      <c r="H596" s="690"/>
      <c r="I596" s="693"/>
      <c r="J596" s="692"/>
      <c r="K596" s="692"/>
    </row>
    <row r="597" spans="1:11" ht="15" x14ac:dyDescent="0.25">
      <c r="A597" s="728" t="e">
        <f t="shared" si="22"/>
        <v>#DIV/0!</v>
      </c>
      <c r="B597" s="87"/>
      <c r="C597" s="761"/>
      <c r="D597" s="696"/>
      <c r="E597" s="573"/>
      <c r="F597" s="563">
        <f t="shared" si="23"/>
        <v>0</v>
      </c>
      <c r="G597" s="87">
        <f t="shared" si="15"/>
        <v>0</v>
      </c>
      <c r="H597" s="690"/>
      <c r="I597" s="693"/>
      <c r="J597" s="692"/>
      <c r="K597" s="692"/>
    </row>
    <row r="598" spans="1:11" ht="15" x14ac:dyDescent="0.25">
      <c r="A598" s="728" t="e">
        <f t="shared" si="22"/>
        <v>#DIV/0!</v>
      </c>
      <c r="B598" s="87"/>
      <c r="C598" s="761"/>
      <c r="D598" s="696"/>
      <c r="E598" s="573"/>
      <c r="F598" s="563">
        <f t="shared" si="23"/>
        <v>0</v>
      </c>
      <c r="G598" s="87">
        <f t="shared" si="15"/>
        <v>0</v>
      </c>
      <c r="H598" s="690"/>
      <c r="I598" s="693"/>
      <c r="J598" s="692"/>
      <c r="K598" s="692"/>
    </row>
    <row r="599" spans="1:11" ht="15" x14ac:dyDescent="0.25">
      <c r="A599" s="728" t="e">
        <f t="shared" si="22"/>
        <v>#DIV/0!</v>
      </c>
      <c r="B599" s="87"/>
      <c r="C599" s="761"/>
      <c r="D599" s="696"/>
      <c r="E599" s="573"/>
      <c r="F599" s="563">
        <f t="shared" si="23"/>
        <v>0</v>
      </c>
      <c r="G599" s="87">
        <f t="shared" si="15"/>
        <v>0</v>
      </c>
      <c r="H599" s="690"/>
      <c r="I599" s="693"/>
      <c r="J599" s="692"/>
      <c r="K599" s="692"/>
    </row>
    <row r="600" spans="1:11" ht="15" x14ac:dyDescent="0.25">
      <c r="A600" s="728" t="e">
        <f t="shared" si="22"/>
        <v>#DIV/0!</v>
      </c>
      <c r="B600" s="87"/>
      <c r="C600" s="761"/>
      <c r="D600" s="696"/>
      <c r="E600" s="573"/>
      <c r="F600" s="563">
        <f t="shared" si="23"/>
        <v>0</v>
      </c>
      <c r="G600" s="87">
        <f t="shared" si="15"/>
        <v>0</v>
      </c>
      <c r="H600" s="690"/>
      <c r="I600" s="693"/>
      <c r="J600" s="692"/>
      <c r="K600" s="692"/>
    </row>
    <row r="601" spans="1:11" ht="15" x14ac:dyDescent="0.25">
      <c r="A601" s="728" t="e">
        <f t="shared" si="22"/>
        <v>#DIV/0!</v>
      </c>
      <c r="B601" s="87"/>
      <c r="C601" s="761"/>
      <c r="D601" s="696"/>
      <c r="E601" s="573"/>
      <c r="F601" s="563">
        <f t="shared" si="23"/>
        <v>0</v>
      </c>
      <c r="G601" s="87">
        <f t="shared" si="15"/>
        <v>0</v>
      </c>
      <c r="H601" s="690"/>
      <c r="I601" s="693"/>
      <c r="J601" s="692"/>
      <c r="K601" s="692"/>
    </row>
    <row r="602" spans="1:11" ht="15" x14ac:dyDescent="0.25">
      <c r="A602" s="728" t="e">
        <f t="shared" si="22"/>
        <v>#DIV/0!</v>
      </c>
      <c r="B602" s="87"/>
      <c r="C602" s="761"/>
      <c r="D602" s="696"/>
      <c r="E602" s="573"/>
      <c r="F602" s="563">
        <f t="shared" si="23"/>
        <v>0</v>
      </c>
      <c r="G602" s="87">
        <f t="shared" si="15"/>
        <v>0</v>
      </c>
      <c r="H602" s="690"/>
      <c r="I602" s="693"/>
      <c r="J602" s="692"/>
      <c r="K602" s="692"/>
    </row>
    <row r="603" spans="1:11" ht="15" x14ac:dyDescent="0.25">
      <c r="A603" s="728" t="e">
        <f t="shared" si="22"/>
        <v>#DIV/0!</v>
      </c>
      <c r="B603" s="87"/>
      <c r="C603" s="761"/>
      <c r="D603" s="696"/>
      <c r="E603" s="573"/>
      <c r="F603" s="563">
        <f t="shared" si="23"/>
        <v>0</v>
      </c>
      <c r="G603" s="87">
        <f t="shared" si="15"/>
        <v>0</v>
      </c>
      <c r="H603" s="690"/>
      <c r="I603" s="693"/>
      <c r="J603" s="692"/>
      <c r="K603" s="692"/>
    </row>
    <row r="604" spans="1:11" ht="15" x14ac:dyDescent="0.25">
      <c r="A604" s="728" t="e">
        <f t="shared" si="22"/>
        <v>#DIV/0!</v>
      </c>
      <c r="B604" s="87"/>
      <c r="C604" s="761"/>
      <c r="D604" s="696"/>
      <c r="E604" s="573"/>
      <c r="F604" s="563">
        <f t="shared" si="23"/>
        <v>0</v>
      </c>
      <c r="G604" s="87">
        <f t="shared" si="15"/>
        <v>0</v>
      </c>
      <c r="H604" s="690"/>
      <c r="I604" s="693"/>
      <c r="J604" s="692"/>
      <c r="K604" s="692"/>
    </row>
    <row r="605" spans="1:11" ht="15" x14ac:dyDescent="0.25">
      <c r="A605" s="728" t="e">
        <f t="shared" si="22"/>
        <v>#DIV/0!</v>
      </c>
      <c r="B605" s="87"/>
      <c r="C605" s="761"/>
      <c r="D605" s="696"/>
      <c r="E605" s="573"/>
      <c r="F605" s="563">
        <f t="shared" si="23"/>
        <v>0</v>
      </c>
      <c r="G605" s="87">
        <f t="shared" si="15"/>
        <v>0</v>
      </c>
      <c r="H605" s="690"/>
      <c r="I605" s="693"/>
      <c r="J605" s="692"/>
      <c r="K605" s="692"/>
    </row>
    <row r="606" spans="1:11" ht="15" x14ac:dyDescent="0.25">
      <c r="A606" s="728" t="e">
        <f t="shared" si="22"/>
        <v>#DIV/0!</v>
      </c>
      <c r="B606" s="87"/>
      <c r="C606" s="761"/>
      <c r="D606" s="696"/>
      <c r="E606" s="573"/>
      <c r="F606" s="563">
        <f t="shared" si="23"/>
        <v>0</v>
      </c>
      <c r="G606" s="87">
        <f t="shared" si="15"/>
        <v>0</v>
      </c>
      <c r="H606" s="690"/>
      <c r="I606" s="693"/>
      <c r="J606" s="692"/>
      <c r="K606" s="692"/>
    </row>
    <row r="607" spans="1:11" ht="15" x14ac:dyDescent="0.25">
      <c r="A607" s="728" t="e">
        <f t="shared" si="22"/>
        <v>#DIV/0!</v>
      </c>
      <c r="B607" s="87"/>
      <c r="C607" s="761"/>
      <c r="D607" s="696"/>
      <c r="E607" s="573"/>
      <c r="F607" s="563">
        <f t="shared" si="23"/>
        <v>0</v>
      </c>
      <c r="G607" s="87">
        <f t="shared" si="15"/>
        <v>0</v>
      </c>
      <c r="H607" s="690"/>
      <c r="I607" s="693"/>
      <c r="J607" s="692"/>
      <c r="K607" s="692"/>
    </row>
    <row r="608" spans="1:11" ht="15" x14ac:dyDescent="0.25">
      <c r="A608" s="728" t="e">
        <f t="shared" si="22"/>
        <v>#DIV/0!</v>
      </c>
      <c r="B608" s="87"/>
      <c r="C608" s="761"/>
      <c r="D608" s="696"/>
      <c r="E608" s="573"/>
      <c r="F608" s="563">
        <f t="shared" si="23"/>
        <v>0</v>
      </c>
      <c r="G608" s="87">
        <f t="shared" si="15"/>
        <v>0</v>
      </c>
      <c r="H608" s="690"/>
      <c r="I608" s="693"/>
      <c r="J608" s="692"/>
      <c r="K608" s="692"/>
    </row>
    <row r="609" spans="1:11" ht="15" x14ac:dyDescent="0.25">
      <c r="A609" s="728" t="e">
        <f t="shared" si="22"/>
        <v>#DIV/0!</v>
      </c>
      <c r="B609" s="87"/>
      <c r="C609" s="761"/>
      <c r="D609" s="696"/>
      <c r="E609" s="573"/>
      <c r="F609" s="563">
        <f t="shared" si="23"/>
        <v>0</v>
      </c>
      <c r="G609" s="87">
        <f t="shared" si="15"/>
        <v>0</v>
      </c>
      <c r="H609" s="690"/>
      <c r="I609" s="693"/>
      <c r="J609" s="692"/>
      <c r="K609" s="692"/>
    </row>
    <row r="610" spans="1:11" ht="15" x14ac:dyDescent="0.25">
      <c r="A610" s="728" t="e">
        <f t="shared" si="22"/>
        <v>#DIV/0!</v>
      </c>
      <c r="B610" s="87"/>
      <c r="C610" s="761"/>
      <c r="D610" s="696"/>
      <c r="E610" s="573"/>
      <c r="F610" s="563">
        <f t="shared" si="23"/>
        <v>0</v>
      </c>
      <c r="G610" s="87">
        <f t="shared" si="15"/>
        <v>0</v>
      </c>
      <c r="H610" s="690"/>
      <c r="I610" s="693"/>
      <c r="J610" s="692"/>
      <c r="K610" s="692"/>
    </row>
    <row r="611" spans="1:11" ht="15" x14ac:dyDescent="0.25">
      <c r="A611" s="728" t="e">
        <f t="shared" si="22"/>
        <v>#DIV/0!</v>
      </c>
      <c r="B611" s="87"/>
      <c r="C611" s="761"/>
      <c r="D611" s="696"/>
      <c r="E611" s="573"/>
      <c r="F611" s="563">
        <f t="shared" si="23"/>
        <v>0</v>
      </c>
      <c r="G611" s="87">
        <f t="shared" si="15"/>
        <v>0</v>
      </c>
      <c r="H611" s="690"/>
      <c r="I611" s="693"/>
      <c r="J611" s="692"/>
      <c r="K611" s="692"/>
    </row>
    <row r="612" spans="1:11" ht="15" x14ac:dyDescent="0.25">
      <c r="A612" s="728" t="e">
        <f t="shared" si="22"/>
        <v>#DIV/0!</v>
      </c>
      <c r="B612" s="87"/>
      <c r="C612" s="761"/>
      <c r="D612" s="696"/>
      <c r="E612" s="573"/>
      <c r="F612" s="563">
        <f t="shared" si="23"/>
        <v>0</v>
      </c>
      <c r="G612" s="87">
        <f t="shared" si="15"/>
        <v>0</v>
      </c>
      <c r="H612" s="690"/>
      <c r="I612" s="693"/>
      <c r="J612" s="692"/>
      <c r="K612" s="692"/>
    </row>
    <row r="613" spans="1:11" ht="15" x14ac:dyDescent="0.25">
      <c r="A613" s="728" t="e">
        <f t="shared" si="22"/>
        <v>#DIV/0!</v>
      </c>
      <c r="B613" s="87"/>
      <c r="C613" s="761"/>
      <c r="D613" s="696"/>
      <c r="E613" s="573"/>
      <c r="F613" s="563">
        <f t="shared" si="23"/>
        <v>0</v>
      </c>
      <c r="G613" s="87">
        <f t="shared" si="15"/>
        <v>0</v>
      </c>
      <c r="H613" s="690"/>
      <c r="I613" s="693"/>
      <c r="J613" s="692"/>
      <c r="K613" s="692"/>
    </row>
    <row r="614" spans="1:11" ht="15" x14ac:dyDescent="0.25">
      <c r="A614" s="728" t="e">
        <f t="shared" si="22"/>
        <v>#DIV/0!</v>
      </c>
      <c r="B614" s="87"/>
      <c r="C614" s="761"/>
      <c r="D614" s="696"/>
      <c r="E614" s="573"/>
      <c r="F614" s="563">
        <f t="shared" si="23"/>
        <v>0</v>
      </c>
      <c r="G614" s="87">
        <f t="shared" si="15"/>
        <v>0</v>
      </c>
      <c r="H614" s="690"/>
      <c r="I614" s="693"/>
      <c r="J614" s="692"/>
      <c r="K614" s="692"/>
    </row>
    <row r="615" spans="1:11" ht="15" x14ac:dyDescent="0.25">
      <c r="A615" s="728" t="e">
        <f t="shared" si="22"/>
        <v>#DIV/0!</v>
      </c>
      <c r="B615" s="87"/>
      <c r="C615" s="761"/>
      <c r="D615" s="696"/>
      <c r="E615" s="573"/>
      <c r="F615" s="563">
        <f t="shared" si="23"/>
        <v>0</v>
      </c>
      <c r="G615" s="87">
        <f t="shared" si="15"/>
        <v>0</v>
      </c>
      <c r="H615" s="690"/>
      <c r="I615" s="693"/>
      <c r="J615" s="692"/>
      <c r="K615" s="692"/>
    </row>
    <row r="616" spans="1:11" ht="15" x14ac:dyDescent="0.25">
      <c r="A616" s="728" t="e">
        <f t="shared" si="22"/>
        <v>#DIV/0!</v>
      </c>
      <c r="B616" s="87"/>
      <c r="C616" s="761"/>
      <c r="D616" s="696"/>
      <c r="E616" s="573"/>
      <c r="F616" s="563">
        <f t="shared" si="23"/>
        <v>0</v>
      </c>
      <c r="G616" s="87">
        <f t="shared" si="15"/>
        <v>0</v>
      </c>
      <c r="H616" s="690"/>
      <c r="I616" s="693"/>
      <c r="J616" s="692"/>
      <c r="K616" s="692"/>
    </row>
    <row r="617" spans="1:11" ht="15" x14ac:dyDescent="0.25">
      <c r="A617" s="728" t="e">
        <f t="shared" si="22"/>
        <v>#DIV/0!</v>
      </c>
      <c r="B617" s="87"/>
      <c r="C617" s="761"/>
      <c r="D617" s="696"/>
      <c r="E617" s="573"/>
      <c r="F617" s="563">
        <f t="shared" si="23"/>
        <v>0</v>
      </c>
      <c r="G617" s="87">
        <f t="shared" si="15"/>
        <v>0</v>
      </c>
      <c r="H617" s="690"/>
      <c r="I617" s="693"/>
      <c r="J617" s="692"/>
      <c r="K617" s="692"/>
    </row>
    <row r="618" spans="1:11" ht="15" x14ac:dyDescent="0.25">
      <c r="A618" s="728" t="e">
        <f t="shared" si="22"/>
        <v>#DIV/0!</v>
      </c>
      <c r="B618" s="87"/>
      <c r="C618" s="761"/>
      <c r="D618" s="696"/>
      <c r="E618" s="573"/>
      <c r="F618" s="563">
        <f t="shared" si="23"/>
        <v>0</v>
      </c>
      <c r="G618" s="87">
        <f t="shared" si="15"/>
        <v>0</v>
      </c>
      <c r="H618" s="690"/>
      <c r="I618" s="693"/>
      <c r="J618" s="692"/>
      <c r="K618" s="692"/>
    </row>
    <row r="619" spans="1:11" ht="15" x14ac:dyDescent="0.25">
      <c r="A619" s="728" t="e">
        <f t="shared" si="22"/>
        <v>#DIV/0!</v>
      </c>
      <c r="B619" s="87"/>
      <c r="C619" s="761"/>
      <c r="D619" s="696"/>
      <c r="E619" s="573"/>
      <c r="F619" s="563">
        <f t="shared" si="23"/>
        <v>0</v>
      </c>
      <c r="G619" s="87">
        <f t="shared" si="15"/>
        <v>0</v>
      </c>
      <c r="H619" s="690"/>
      <c r="I619" s="693"/>
      <c r="J619" s="692"/>
      <c r="K619" s="692"/>
    </row>
    <row r="620" spans="1:11" ht="15" x14ac:dyDescent="0.25">
      <c r="A620" s="728" t="e">
        <f t="shared" si="22"/>
        <v>#DIV/0!</v>
      </c>
      <c r="B620" s="87"/>
      <c r="C620" s="761"/>
      <c r="D620" s="696"/>
      <c r="E620" s="573"/>
      <c r="F620" s="563">
        <f t="shared" si="23"/>
        <v>0</v>
      </c>
      <c r="G620" s="87">
        <f t="shared" si="15"/>
        <v>0</v>
      </c>
      <c r="H620" s="690"/>
      <c r="I620" s="693"/>
      <c r="J620" s="692"/>
      <c r="K620" s="692"/>
    </row>
    <row r="621" spans="1:11" ht="15" x14ac:dyDescent="0.25">
      <c r="A621" s="728" t="e">
        <f t="shared" si="22"/>
        <v>#DIV/0!</v>
      </c>
      <c r="B621" s="87"/>
      <c r="C621" s="761"/>
      <c r="D621" s="696"/>
      <c r="E621" s="573"/>
      <c r="F621" s="563">
        <f t="shared" si="23"/>
        <v>0</v>
      </c>
      <c r="G621" s="87">
        <f t="shared" si="15"/>
        <v>0</v>
      </c>
      <c r="H621" s="690"/>
      <c r="I621" s="693"/>
      <c r="J621" s="692"/>
      <c r="K621" s="692"/>
    </row>
    <row r="622" spans="1:11" ht="15" x14ac:dyDescent="0.25">
      <c r="A622" s="728" t="e">
        <f t="shared" si="22"/>
        <v>#DIV/0!</v>
      </c>
      <c r="B622" s="87"/>
      <c r="C622" s="761"/>
      <c r="D622" s="696"/>
      <c r="E622" s="573"/>
      <c r="F622" s="563">
        <f t="shared" si="23"/>
        <v>0</v>
      </c>
      <c r="G622" s="87">
        <f t="shared" si="15"/>
        <v>0</v>
      </c>
      <c r="H622" s="690"/>
      <c r="I622" s="693"/>
      <c r="J622" s="692"/>
      <c r="K622" s="692"/>
    </row>
    <row r="623" spans="1:11" ht="15" x14ac:dyDescent="0.25">
      <c r="A623" s="728" t="e">
        <f t="shared" si="22"/>
        <v>#DIV/0!</v>
      </c>
      <c r="B623" s="87"/>
      <c r="C623" s="761"/>
      <c r="D623" s="696"/>
      <c r="E623" s="573"/>
      <c r="F623" s="563">
        <f t="shared" si="23"/>
        <v>0</v>
      </c>
      <c r="G623" s="87">
        <f t="shared" si="15"/>
        <v>0</v>
      </c>
      <c r="H623" s="690"/>
      <c r="I623" s="693"/>
      <c r="J623" s="692"/>
      <c r="K623" s="692"/>
    </row>
    <row r="624" spans="1:11" ht="15" x14ac:dyDescent="0.25">
      <c r="A624" s="728" t="e">
        <f t="shared" si="22"/>
        <v>#DIV/0!</v>
      </c>
      <c r="B624" s="87"/>
      <c r="C624" s="761"/>
      <c r="D624" s="696"/>
      <c r="E624" s="573"/>
      <c r="F624" s="563">
        <f t="shared" si="23"/>
        <v>0</v>
      </c>
      <c r="G624" s="87">
        <f t="shared" si="15"/>
        <v>0</v>
      </c>
      <c r="H624" s="690"/>
      <c r="I624" s="693"/>
      <c r="J624" s="692"/>
      <c r="K624" s="692"/>
    </row>
    <row r="625" spans="1:11" ht="15" x14ac:dyDescent="0.25">
      <c r="A625" s="728" t="e">
        <f t="shared" si="22"/>
        <v>#DIV/0!</v>
      </c>
      <c r="B625" s="87"/>
      <c r="C625" s="761"/>
      <c r="D625" s="696"/>
      <c r="E625" s="573"/>
      <c r="F625" s="563">
        <f t="shared" si="23"/>
        <v>0</v>
      </c>
      <c r="G625" s="87">
        <f t="shared" si="15"/>
        <v>0</v>
      </c>
      <c r="H625" s="690"/>
      <c r="I625" s="693"/>
      <c r="J625" s="692"/>
      <c r="K625" s="692"/>
    </row>
    <row r="626" spans="1:11" ht="15" x14ac:dyDescent="0.25">
      <c r="A626" s="728" t="e">
        <f t="shared" si="22"/>
        <v>#DIV/0!</v>
      </c>
      <c r="B626" s="87"/>
      <c r="C626" s="761"/>
      <c r="D626" s="696"/>
      <c r="E626" s="573"/>
      <c r="F626" s="563">
        <f t="shared" si="23"/>
        <v>0</v>
      </c>
      <c r="G626" s="87">
        <f t="shared" si="15"/>
        <v>0</v>
      </c>
      <c r="H626" s="690"/>
      <c r="I626" s="693"/>
      <c r="J626" s="692"/>
      <c r="K626" s="692"/>
    </row>
    <row r="627" spans="1:11" ht="15" x14ac:dyDescent="0.25">
      <c r="A627" s="728" t="e">
        <f t="shared" si="22"/>
        <v>#DIV/0!</v>
      </c>
      <c r="B627" s="87"/>
      <c r="C627" s="761"/>
      <c r="D627" s="696"/>
      <c r="E627" s="573"/>
      <c r="F627" s="563">
        <f t="shared" si="23"/>
        <v>0</v>
      </c>
      <c r="G627" s="87">
        <f t="shared" si="15"/>
        <v>0</v>
      </c>
      <c r="H627" s="690"/>
      <c r="I627" s="693"/>
      <c r="J627" s="692"/>
      <c r="K627" s="692"/>
    </row>
    <row r="628" spans="1:11" ht="15" x14ac:dyDescent="0.25">
      <c r="A628" s="728" t="e">
        <f t="shared" si="22"/>
        <v>#DIV/0!</v>
      </c>
      <c r="B628" s="87"/>
      <c r="C628" s="761"/>
      <c r="D628" s="696"/>
      <c r="E628" s="573"/>
      <c r="F628" s="563">
        <f t="shared" si="23"/>
        <v>0</v>
      </c>
      <c r="G628" s="87">
        <f t="shared" si="15"/>
        <v>0</v>
      </c>
      <c r="H628" s="690"/>
      <c r="I628" s="693"/>
      <c r="J628" s="692"/>
      <c r="K628" s="692"/>
    </row>
    <row r="629" spans="1:11" ht="15" x14ac:dyDescent="0.25">
      <c r="A629" s="728" t="e">
        <f t="shared" si="22"/>
        <v>#DIV/0!</v>
      </c>
      <c r="B629" s="87"/>
      <c r="C629" s="761"/>
      <c r="D629" s="696"/>
      <c r="E629" s="573"/>
      <c r="F629" s="563">
        <f t="shared" si="23"/>
        <v>0</v>
      </c>
      <c r="G629" s="87">
        <f t="shared" si="15"/>
        <v>0</v>
      </c>
      <c r="H629" s="690"/>
      <c r="I629" s="693"/>
      <c r="J629" s="692"/>
      <c r="K629" s="692"/>
    </row>
    <row r="630" spans="1:11" ht="15" x14ac:dyDescent="0.25">
      <c r="A630" s="728" t="e">
        <f t="shared" si="22"/>
        <v>#DIV/0!</v>
      </c>
      <c r="B630" s="87"/>
      <c r="C630" s="761"/>
      <c r="D630" s="696"/>
      <c r="E630" s="573"/>
      <c r="F630" s="563">
        <f t="shared" si="23"/>
        <v>0</v>
      </c>
      <c r="G630" s="87">
        <f t="shared" si="15"/>
        <v>0</v>
      </c>
      <c r="H630" s="690"/>
      <c r="I630" s="693"/>
      <c r="J630" s="692"/>
      <c r="K630" s="692"/>
    </row>
    <row r="631" spans="1:11" ht="15" x14ac:dyDescent="0.25">
      <c r="A631" s="728" t="e">
        <f t="shared" si="22"/>
        <v>#DIV/0!</v>
      </c>
      <c r="B631" s="87"/>
      <c r="C631" s="761"/>
      <c r="D631" s="696"/>
      <c r="E631" s="573"/>
      <c r="F631" s="563">
        <f t="shared" si="23"/>
        <v>0</v>
      </c>
      <c r="G631" s="87">
        <f t="shared" si="15"/>
        <v>0</v>
      </c>
      <c r="H631" s="690"/>
      <c r="I631" s="693"/>
      <c r="J631" s="692"/>
      <c r="K631" s="692"/>
    </row>
    <row r="632" spans="1:11" ht="15" x14ac:dyDescent="0.25">
      <c r="A632" s="728" t="e">
        <f t="shared" si="22"/>
        <v>#DIV/0!</v>
      </c>
      <c r="B632" s="87"/>
      <c r="C632" s="696"/>
      <c r="D632" s="696"/>
      <c r="E632" s="573"/>
      <c r="F632" s="563">
        <f t="shared" si="23"/>
        <v>0</v>
      </c>
      <c r="G632" s="87">
        <f t="shared" si="15"/>
        <v>0</v>
      </c>
      <c r="H632" s="690"/>
      <c r="I632" s="693"/>
      <c r="J632" s="692"/>
      <c r="K632" s="692"/>
    </row>
    <row r="633" spans="1:11" ht="15" x14ac:dyDescent="0.25">
      <c r="A633" s="728" t="e">
        <f t="shared" si="22"/>
        <v>#DIV/0!</v>
      </c>
      <c r="B633" s="87"/>
      <c r="C633" s="696"/>
      <c r="D633" s="696"/>
      <c r="E633" s="573"/>
      <c r="F633" s="563">
        <f t="shared" si="23"/>
        <v>0</v>
      </c>
      <c r="G633" s="87">
        <f t="shared" si="15"/>
        <v>0</v>
      </c>
      <c r="H633" s="690"/>
      <c r="I633" s="693"/>
      <c r="J633" s="692"/>
      <c r="K633" s="692"/>
    </row>
    <row r="634" spans="1:11" ht="15" x14ac:dyDescent="0.25">
      <c r="A634" s="728" t="e">
        <f t="shared" si="22"/>
        <v>#DIV/0!</v>
      </c>
      <c r="B634" s="87"/>
      <c r="C634" s="696"/>
      <c r="D634" s="696"/>
      <c r="E634" s="573"/>
      <c r="F634" s="563">
        <f t="shared" si="23"/>
        <v>0</v>
      </c>
      <c r="G634" s="87">
        <f t="shared" si="15"/>
        <v>0</v>
      </c>
      <c r="H634" s="690"/>
      <c r="I634" s="693"/>
      <c r="J634" s="692"/>
      <c r="K634" s="692"/>
    </row>
    <row r="635" spans="1:11" ht="15" x14ac:dyDescent="0.25">
      <c r="A635" s="728" t="e">
        <f t="shared" si="22"/>
        <v>#DIV/0!</v>
      </c>
      <c r="B635" s="87"/>
      <c r="C635" s="696"/>
      <c r="D635" s="696"/>
      <c r="E635" s="573"/>
      <c r="F635" s="563">
        <f t="shared" si="23"/>
        <v>0</v>
      </c>
      <c r="G635" s="87">
        <f t="shared" si="15"/>
        <v>0</v>
      </c>
      <c r="H635" s="690"/>
      <c r="I635" s="693"/>
      <c r="J635" s="692"/>
      <c r="K635" s="692"/>
    </row>
    <row r="636" spans="1:11" ht="15" x14ac:dyDescent="0.25">
      <c r="A636" s="728" t="e">
        <f t="shared" si="22"/>
        <v>#DIV/0!</v>
      </c>
      <c r="B636" s="87"/>
      <c r="C636" s="696"/>
      <c r="D636" s="696"/>
      <c r="E636" s="573"/>
      <c r="F636" s="563">
        <f t="shared" si="23"/>
        <v>0</v>
      </c>
      <c r="G636" s="87">
        <f t="shared" si="15"/>
        <v>0</v>
      </c>
      <c r="H636" s="690"/>
      <c r="I636" s="693"/>
      <c r="J636" s="692"/>
      <c r="K636" s="692"/>
    </row>
    <row r="637" spans="1:11" ht="15" x14ac:dyDescent="0.25">
      <c r="A637" s="728" t="e">
        <f t="shared" si="22"/>
        <v>#DIV/0!</v>
      </c>
      <c r="B637" s="87"/>
      <c r="C637" s="696"/>
      <c r="D637" s="696"/>
      <c r="E637" s="573"/>
      <c r="F637" s="563">
        <f t="shared" si="23"/>
        <v>0</v>
      </c>
      <c r="G637" s="87">
        <f t="shared" si="15"/>
        <v>0</v>
      </c>
      <c r="H637" s="690"/>
      <c r="I637" s="693"/>
      <c r="J637" s="692"/>
      <c r="K637" s="692"/>
    </row>
    <row r="638" spans="1:11" ht="15" x14ac:dyDescent="0.25">
      <c r="A638" s="728" t="e">
        <f t="shared" si="22"/>
        <v>#DIV/0!</v>
      </c>
      <c r="B638" s="87"/>
      <c r="C638" s="696"/>
      <c r="D638" s="696"/>
      <c r="E638" s="573"/>
      <c r="F638" s="563">
        <f t="shared" si="23"/>
        <v>0</v>
      </c>
      <c r="G638" s="87">
        <f t="shared" si="15"/>
        <v>0</v>
      </c>
      <c r="H638" s="690"/>
      <c r="I638" s="693"/>
      <c r="J638" s="692"/>
      <c r="K638" s="692"/>
    </row>
    <row r="639" spans="1:11" ht="15" x14ac:dyDescent="0.25">
      <c r="A639" s="728" t="e">
        <f t="shared" si="22"/>
        <v>#DIV/0!</v>
      </c>
      <c r="B639" s="87"/>
      <c r="C639" s="696"/>
      <c r="D639" s="696"/>
      <c r="E639" s="573"/>
      <c r="F639" s="563">
        <f t="shared" si="23"/>
        <v>0</v>
      </c>
      <c r="G639" s="87">
        <f t="shared" si="15"/>
        <v>0</v>
      </c>
      <c r="H639" s="690"/>
      <c r="I639" s="693"/>
      <c r="J639" s="692"/>
      <c r="K639" s="692"/>
    </row>
    <row r="640" spans="1:11" ht="15" x14ac:dyDescent="0.25">
      <c r="A640" s="728" t="e">
        <f t="shared" si="22"/>
        <v>#DIV/0!</v>
      </c>
      <c r="B640" s="87"/>
      <c r="C640" s="696"/>
      <c r="D640" s="696"/>
      <c r="E640" s="573"/>
      <c r="F640" s="563">
        <f t="shared" si="23"/>
        <v>0</v>
      </c>
      <c r="G640" s="87">
        <f t="shared" si="15"/>
        <v>0</v>
      </c>
      <c r="H640" s="690"/>
      <c r="I640" s="693"/>
      <c r="J640" s="692"/>
      <c r="K640" s="692"/>
    </row>
    <row r="641" spans="1:11" ht="15" x14ac:dyDescent="0.25">
      <c r="A641" s="728" t="e">
        <f t="shared" si="22"/>
        <v>#DIV/0!</v>
      </c>
      <c r="B641" s="87"/>
      <c r="C641" s="696"/>
      <c r="D641" s="696"/>
      <c r="E641" s="573"/>
      <c r="F641" s="563">
        <f t="shared" si="23"/>
        <v>0</v>
      </c>
      <c r="G641" s="87">
        <f t="shared" si="15"/>
        <v>0</v>
      </c>
      <c r="H641" s="690"/>
      <c r="I641" s="693"/>
      <c r="J641" s="692"/>
      <c r="K641" s="692"/>
    </row>
    <row r="642" spans="1:11" ht="15" x14ac:dyDescent="0.25">
      <c r="A642" s="728" t="e">
        <f t="shared" si="22"/>
        <v>#DIV/0!</v>
      </c>
      <c r="B642" s="87"/>
      <c r="C642" s="696"/>
      <c r="D642" s="696"/>
      <c r="E642" s="573"/>
      <c r="F642" s="563">
        <f t="shared" si="23"/>
        <v>0</v>
      </c>
      <c r="G642" s="87">
        <f t="shared" si="15"/>
        <v>0</v>
      </c>
      <c r="H642" s="690"/>
      <c r="I642" s="693"/>
      <c r="J642" s="692"/>
      <c r="K642" s="692"/>
    </row>
    <row r="643" spans="1:11" ht="15" x14ac:dyDescent="0.25">
      <c r="A643" s="728" t="e">
        <f t="shared" si="22"/>
        <v>#DIV/0!</v>
      </c>
      <c r="B643" s="87"/>
      <c r="C643" s="696"/>
      <c r="D643" s="696"/>
      <c r="E643" s="573"/>
      <c r="F643" s="563">
        <f t="shared" si="23"/>
        <v>0</v>
      </c>
      <c r="G643" s="87">
        <f t="shared" si="15"/>
        <v>0</v>
      </c>
      <c r="H643" s="690"/>
      <c r="I643" s="693"/>
      <c r="J643" s="692"/>
      <c r="K643" s="692"/>
    </row>
    <row r="644" spans="1:11" ht="15" x14ac:dyDescent="0.25">
      <c r="A644" s="728" t="e">
        <f t="shared" si="22"/>
        <v>#DIV/0!</v>
      </c>
      <c r="B644" s="87"/>
      <c r="C644" s="696"/>
      <c r="D644" s="696"/>
      <c r="E644" s="573"/>
      <c r="F644" s="563">
        <f t="shared" si="23"/>
        <v>0</v>
      </c>
      <c r="G644" s="87">
        <f t="shared" si="15"/>
        <v>0</v>
      </c>
      <c r="H644" s="690"/>
      <c r="I644" s="693"/>
      <c r="J644" s="692"/>
      <c r="K644" s="692"/>
    </row>
    <row r="645" spans="1:11" ht="15" x14ac:dyDescent="0.25">
      <c r="A645" s="728" t="e">
        <f t="shared" si="22"/>
        <v>#DIV/0!</v>
      </c>
      <c r="B645" s="87"/>
      <c r="C645" s="696"/>
      <c r="D645" s="696"/>
      <c r="E645" s="573"/>
      <c r="F645" s="563">
        <f t="shared" si="23"/>
        <v>0</v>
      </c>
      <c r="G645" s="87">
        <f t="shared" ref="G645:G655" si="24">D645-F645</f>
        <v>0</v>
      </c>
      <c r="H645" s="690"/>
      <c r="I645" s="693"/>
      <c r="J645" s="692"/>
      <c r="K645" s="692"/>
    </row>
    <row r="646" spans="1:11" ht="15" x14ac:dyDescent="0.25">
      <c r="A646" s="728" t="e">
        <f t="shared" si="22"/>
        <v>#DIV/0!</v>
      </c>
      <c r="B646" s="87"/>
      <c r="C646" s="696"/>
      <c r="D646" s="696"/>
      <c r="E646" s="573"/>
      <c r="F646" s="563">
        <f t="shared" si="23"/>
        <v>0</v>
      </c>
      <c r="G646" s="87">
        <f t="shared" si="24"/>
        <v>0</v>
      </c>
      <c r="H646" s="690"/>
      <c r="I646" s="693"/>
      <c r="J646" s="692"/>
      <c r="K646" s="692"/>
    </row>
    <row r="647" spans="1:11" ht="15" x14ac:dyDescent="0.25">
      <c r="A647" s="728" t="e">
        <f t="shared" si="22"/>
        <v>#DIV/0!</v>
      </c>
      <c r="B647" s="87"/>
      <c r="C647" s="696"/>
      <c r="D647" s="696"/>
      <c r="E647" s="573"/>
      <c r="F647" s="563">
        <f t="shared" si="23"/>
        <v>0</v>
      </c>
      <c r="G647" s="87">
        <f t="shared" si="24"/>
        <v>0</v>
      </c>
      <c r="H647" s="690"/>
      <c r="I647" s="693"/>
      <c r="J647" s="692"/>
      <c r="K647" s="692"/>
    </row>
    <row r="648" spans="1:11" ht="15" x14ac:dyDescent="0.25">
      <c r="A648" s="728" t="e">
        <f t="shared" si="22"/>
        <v>#DIV/0!</v>
      </c>
      <c r="B648" s="87"/>
      <c r="C648" s="696"/>
      <c r="D648" s="696"/>
      <c r="E648" s="573"/>
      <c r="F648" s="563">
        <f t="shared" si="23"/>
        <v>0</v>
      </c>
      <c r="G648" s="87">
        <f t="shared" si="24"/>
        <v>0</v>
      </c>
      <c r="H648" s="690"/>
      <c r="I648" s="693"/>
      <c r="J648" s="692"/>
      <c r="K648" s="692"/>
    </row>
    <row r="649" spans="1:11" ht="15" x14ac:dyDescent="0.25">
      <c r="A649" s="728" t="e">
        <f t="shared" si="22"/>
        <v>#DIV/0!</v>
      </c>
      <c r="B649" s="87"/>
      <c r="C649" s="696"/>
      <c r="D649" s="696"/>
      <c r="E649" s="573"/>
      <c r="F649" s="563">
        <f t="shared" si="23"/>
        <v>0</v>
      </c>
      <c r="G649" s="87">
        <f t="shared" si="24"/>
        <v>0</v>
      </c>
      <c r="H649" s="690"/>
      <c r="I649" s="693"/>
      <c r="J649" s="692"/>
      <c r="K649" s="692"/>
    </row>
    <row r="650" spans="1:11" ht="15" x14ac:dyDescent="0.25">
      <c r="A650" s="728" t="e">
        <f t="shared" si="22"/>
        <v>#DIV/0!</v>
      </c>
      <c r="B650" s="87"/>
      <c r="C650" s="696"/>
      <c r="D650" s="696"/>
      <c r="E650" s="573"/>
      <c r="F650" s="563">
        <f t="shared" si="23"/>
        <v>0</v>
      </c>
      <c r="G650" s="87">
        <f t="shared" si="24"/>
        <v>0</v>
      </c>
      <c r="H650" s="690"/>
      <c r="I650" s="693"/>
      <c r="J650" s="692"/>
      <c r="K650" s="692"/>
    </row>
    <row r="651" spans="1:11" ht="15" x14ac:dyDescent="0.25">
      <c r="A651" s="728" t="e">
        <f t="shared" si="22"/>
        <v>#DIV/0!</v>
      </c>
      <c r="B651" s="87"/>
      <c r="C651" s="696"/>
      <c r="D651" s="696"/>
      <c r="E651" s="573"/>
      <c r="F651" s="563">
        <f t="shared" si="23"/>
        <v>0</v>
      </c>
      <c r="G651" s="87">
        <f t="shared" si="24"/>
        <v>0</v>
      </c>
      <c r="H651" s="690"/>
      <c r="I651" s="693"/>
      <c r="J651" s="692"/>
      <c r="K651" s="692"/>
    </row>
    <row r="652" spans="1:11" ht="15" x14ac:dyDescent="0.25">
      <c r="A652" s="728" t="e">
        <f t="shared" si="22"/>
        <v>#DIV/0!</v>
      </c>
      <c r="B652" s="87"/>
      <c r="C652" s="696"/>
      <c r="D652" s="696"/>
      <c r="E652" s="573"/>
      <c r="F652" s="563">
        <f t="shared" si="23"/>
        <v>0</v>
      </c>
      <c r="G652" s="87">
        <f t="shared" si="24"/>
        <v>0</v>
      </c>
      <c r="H652" s="690"/>
      <c r="I652" s="693"/>
      <c r="J652" s="692"/>
      <c r="K652" s="692"/>
    </row>
    <row r="653" spans="1:11" ht="15" x14ac:dyDescent="0.25">
      <c r="A653" s="728" t="e">
        <f t="shared" si="22"/>
        <v>#DIV/0!</v>
      </c>
      <c r="B653" s="87"/>
      <c r="C653" s="696"/>
      <c r="D653" s="696"/>
      <c r="E653" s="573"/>
      <c r="F653" s="563">
        <f t="shared" si="23"/>
        <v>0</v>
      </c>
      <c r="G653" s="87">
        <f t="shared" si="24"/>
        <v>0</v>
      </c>
      <c r="H653" s="690"/>
      <c r="I653" s="693"/>
      <c r="J653" s="692"/>
      <c r="K653" s="692"/>
    </row>
    <row r="654" spans="1:11" ht="15" x14ac:dyDescent="0.25">
      <c r="A654" s="728" t="e">
        <f t="shared" si="22"/>
        <v>#DIV/0!</v>
      </c>
      <c r="B654" s="87"/>
      <c r="C654" s="696"/>
      <c r="D654" s="696"/>
      <c r="E654" s="573"/>
      <c r="F654" s="563">
        <f t="shared" si="23"/>
        <v>0</v>
      </c>
      <c r="G654" s="87">
        <f t="shared" si="24"/>
        <v>0</v>
      </c>
      <c r="H654" s="690"/>
      <c r="I654" s="693"/>
      <c r="J654" s="692"/>
      <c r="K654" s="692"/>
    </row>
    <row r="655" spans="1:11" ht="15" x14ac:dyDescent="0.25">
      <c r="A655" s="728" t="e">
        <f t="shared" si="22"/>
        <v>#DIV/0!</v>
      </c>
      <c r="B655" s="87"/>
      <c r="C655" s="696"/>
      <c r="D655" s="696"/>
      <c r="E655" s="573"/>
      <c r="F655" s="563">
        <f t="shared" si="23"/>
        <v>0</v>
      </c>
      <c r="G655" s="87">
        <f t="shared" si="24"/>
        <v>0</v>
      </c>
      <c r="H655" s="690"/>
      <c r="I655" s="693"/>
      <c r="J655" s="692"/>
      <c r="K655" s="692"/>
    </row>
    <row r="656" spans="1:11" ht="15" x14ac:dyDescent="0.25">
      <c r="A656" s="1"/>
      <c r="B656" s="42"/>
      <c r="C656" s="20" t="s">
        <v>9</v>
      </c>
      <c r="D656" s="21">
        <f>SUM(D4:D655)</f>
        <v>3352421</v>
      </c>
      <c r="E656" s="23">
        <f>SUM(E5:E655)</f>
        <v>10270.91</v>
      </c>
      <c r="F656" s="21">
        <f>SUM(F4:F655)</f>
        <v>3352421</v>
      </c>
      <c r="G656" s="494"/>
      <c r="H656" s="691">
        <f>SUM(H5:H53)</f>
        <v>1700000</v>
      </c>
      <c r="I656" s="693"/>
      <c r="J656" s="692"/>
      <c r="K656" s="692"/>
    </row>
    <row r="657" spans="1:11" ht="15" x14ac:dyDescent="0.25">
      <c r="A657" s="1"/>
      <c r="B657" s="42"/>
      <c r="C657" s="20" t="s">
        <v>10</v>
      </c>
      <c r="D657" s="25">
        <f>SUM(D656-H656)</f>
        <v>1652421</v>
      </c>
      <c r="E657" s="494"/>
      <c r="F657" s="26" t="s">
        <v>10</v>
      </c>
      <c r="G657" s="25">
        <f>SUM(F656-H656)</f>
        <v>1652421</v>
      </c>
      <c r="H657" s="25"/>
      <c r="I657" s="692"/>
      <c r="J657" s="692"/>
      <c r="K657" s="692"/>
    </row>
    <row r="658" spans="1:11" ht="15" thickBot="1" x14ac:dyDescent="0.25"/>
    <row r="659" spans="1:11" ht="15.75" thickBot="1" x14ac:dyDescent="0.3">
      <c r="C659" s="164" t="s">
        <v>3175</v>
      </c>
      <c r="D659" s="99"/>
    </row>
  </sheetData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4"/>
  <sheetViews>
    <sheetView topLeftCell="A7" zoomScaleSheetLayoutView="85" workbookViewId="0">
      <selection activeCell="C372" sqref="C372"/>
    </sheetView>
  </sheetViews>
  <sheetFormatPr defaultRowHeight="14.25" x14ac:dyDescent="0.2"/>
  <cols>
    <col min="2" max="2" width="10.875" customWidth="1"/>
    <col min="3" max="3" width="11" customWidth="1"/>
    <col min="4" max="4" width="14.625" bestFit="1" customWidth="1"/>
    <col min="6" max="6" width="9.625" customWidth="1"/>
    <col min="7" max="7" width="13.25" customWidth="1"/>
    <col min="8" max="8" width="12.5" customWidth="1"/>
    <col min="9" max="9" width="15.75" bestFit="1" customWidth="1"/>
    <col min="10" max="10" width="8.375" customWidth="1"/>
  </cols>
  <sheetData>
    <row r="1" spans="2:15" ht="15" thickBot="1" x14ac:dyDescent="0.25">
      <c r="B1" s="71"/>
      <c r="C1" s="72"/>
      <c r="D1" s="72"/>
      <c r="E1" s="72"/>
      <c r="F1" s="72"/>
      <c r="G1" s="72"/>
      <c r="H1" s="72"/>
      <c r="I1" s="72"/>
      <c r="J1" s="73"/>
    </row>
    <row r="2" spans="2:15" ht="21" x14ac:dyDescent="0.35">
      <c r="B2" s="74"/>
      <c r="C2" s="75"/>
      <c r="D2" s="770" t="s">
        <v>101</v>
      </c>
      <c r="E2" s="770"/>
      <c r="F2" s="770"/>
      <c r="G2" s="770"/>
      <c r="H2" s="75"/>
      <c r="I2" s="75"/>
      <c r="J2" s="76"/>
    </row>
    <row r="3" spans="2:15" ht="15" x14ac:dyDescent="0.25">
      <c r="B3" s="77"/>
      <c r="C3" s="1"/>
      <c r="D3" s="61"/>
      <c r="E3" s="58"/>
      <c r="F3" s="63">
        <v>44682</v>
      </c>
      <c r="G3" s="1"/>
      <c r="H3" s="1"/>
      <c r="I3" s="1"/>
      <c r="J3" s="78"/>
    </row>
    <row r="4" spans="2:15" ht="15.75" thickBot="1" x14ac:dyDescent="0.3">
      <c r="B4" s="79" t="s">
        <v>2</v>
      </c>
      <c r="C4" s="80" t="s">
        <v>97</v>
      </c>
      <c r="D4" s="80" t="s">
        <v>4</v>
      </c>
      <c r="E4" s="81"/>
      <c r="F4" s="80" t="s">
        <v>5</v>
      </c>
      <c r="G4" s="80" t="s">
        <v>4</v>
      </c>
      <c r="H4" s="80" t="s">
        <v>98</v>
      </c>
      <c r="I4" s="82" t="s">
        <v>2</v>
      </c>
      <c r="J4" s="83" t="s">
        <v>8</v>
      </c>
    </row>
    <row r="5" spans="2:15" ht="15" x14ac:dyDescent="0.25">
      <c r="B5" s="88" t="s">
        <v>89</v>
      </c>
      <c r="C5" s="88" t="s">
        <v>10</v>
      </c>
      <c r="D5" s="88">
        <v>2011554</v>
      </c>
      <c r="E5" s="88"/>
      <c r="F5" s="88"/>
      <c r="G5" s="88">
        <v>2011554</v>
      </c>
      <c r="H5" s="65"/>
      <c r="I5" s="65"/>
      <c r="J5" s="65"/>
      <c r="O5">
        <f>2014597-2011554</f>
        <v>3043</v>
      </c>
    </row>
    <row r="6" spans="2:15" ht="15" x14ac:dyDescent="0.25">
      <c r="B6" s="1" t="s">
        <v>90</v>
      </c>
      <c r="C6" s="32">
        <v>145</v>
      </c>
      <c r="D6" s="1">
        <v>35000</v>
      </c>
      <c r="E6" s="1"/>
      <c r="F6" s="1">
        <v>361.87</v>
      </c>
      <c r="G6" s="1">
        <v>35000</v>
      </c>
      <c r="H6" s="5">
        <f t="shared" ref="H6:H70" si="0">D6-G6</f>
        <v>0</v>
      </c>
      <c r="I6" s="30">
        <v>100000</v>
      </c>
      <c r="J6" s="30" t="s">
        <v>89</v>
      </c>
      <c r="K6" s="84" t="s">
        <v>93</v>
      </c>
      <c r="L6" s="84"/>
      <c r="M6" s="84"/>
    </row>
    <row r="7" spans="2:15" ht="15" x14ac:dyDescent="0.25">
      <c r="B7" s="1" t="s">
        <v>90</v>
      </c>
      <c r="C7" s="32">
        <v>1450</v>
      </c>
      <c r="D7" s="1">
        <v>13000</v>
      </c>
      <c r="E7" s="1"/>
      <c r="F7" s="1">
        <v>134.38999999999999</v>
      </c>
      <c r="G7" s="1">
        <v>13000</v>
      </c>
      <c r="H7" s="5">
        <f t="shared" si="0"/>
        <v>0</v>
      </c>
      <c r="I7" s="30">
        <v>400000</v>
      </c>
      <c r="J7" s="30" t="s">
        <v>92</v>
      </c>
      <c r="K7" s="84" t="s">
        <v>93</v>
      </c>
      <c r="L7" s="84"/>
      <c r="M7" s="84"/>
    </row>
    <row r="8" spans="2:15" ht="15" x14ac:dyDescent="0.25">
      <c r="B8" s="1" t="s">
        <v>90</v>
      </c>
      <c r="C8" s="32">
        <v>4467</v>
      </c>
      <c r="D8" s="1">
        <v>13000</v>
      </c>
      <c r="E8" s="1"/>
      <c r="F8" s="1">
        <v>134.38999999999999</v>
      </c>
      <c r="G8" s="1">
        <v>13000</v>
      </c>
      <c r="H8" s="5">
        <f t="shared" si="0"/>
        <v>0</v>
      </c>
      <c r="I8" s="30">
        <v>400000</v>
      </c>
      <c r="J8" s="30" t="s">
        <v>96</v>
      </c>
      <c r="K8" s="84" t="s">
        <v>93</v>
      </c>
      <c r="L8" s="84"/>
      <c r="M8" s="84"/>
    </row>
    <row r="9" spans="2:15" ht="15" x14ac:dyDescent="0.25">
      <c r="B9" s="1" t="s">
        <v>90</v>
      </c>
      <c r="C9" s="32">
        <v>4639</v>
      </c>
      <c r="D9" s="1">
        <v>26000</v>
      </c>
      <c r="E9" s="1"/>
      <c r="F9" s="1">
        <v>273.67</v>
      </c>
      <c r="G9" s="1">
        <v>26000</v>
      </c>
      <c r="H9" s="5">
        <f t="shared" si="0"/>
        <v>0</v>
      </c>
      <c r="I9" s="30">
        <v>200000</v>
      </c>
      <c r="J9" s="30" t="s">
        <v>100</v>
      </c>
      <c r="K9" s="84" t="s">
        <v>93</v>
      </c>
      <c r="L9" s="84"/>
      <c r="M9" s="84"/>
    </row>
    <row r="10" spans="2:15" ht="15" x14ac:dyDescent="0.25">
      <c r="B10" s="1" t="s">
        <v>90</v>
      </c>
      <c r="C10" s="32">
        <v>1992</v>
      </c>
      <c r="D10" s="1">
        <v>30000</v>
      </c>
      <c r="E10" s="1"/>
      <c r="F10" s="1">
        <v>304.97000000000003</v>
      </c>
      <c r="G10" s="1">
        <v>30000</v>
      </c>
      <c r="H10" s="5">
        <f t="shared" si="0"/>
        <v>0</v>
      </c>
      <c r="I10" s="30">
        <v>200000</v>
      </c>
      <c r="J10" s="30" t="s">
        <v>104</v>
      </c>
      <c r="K10" s="84" t="s">
        <v>93</v>
      </c>
      <c r="L10" s="84"/>
      <c r="M10" s="84"/>
    </row>
    <row r="11" spans="2:15" ht="15" x14ac:dyDescent="0.25">
      <c r="B11" s="1" t="s">
        <v>90</v>
      </c>
      <c r="C11" s="32">
        <v>5028</v>
      </c>
      <c r="D11" s="1">
        <v>33000</v>
      </c>
      <c r="E11" s="1"/>
      <c r="F11" s="1">
        <v>356.66</v>
      </c>
      <c r="G11" s="1">
        <v>33000</v>
      </c>
      <c r="H11" s="5">
        <f t="shared" si="0"/>
        <v>0</v>
      </c>
      <c r="I11" s="30">
        <v>200000</v>
      </c>
      <c r="J11" s="30" t="s">
        <v>106</v>
      </c>
      <c r="K11" s="84" t="s">
        <v>93</v>
      </c>
      <c r="L11" s="84"/>
      <c r="M11" s="84"/>
    </row>
    <row r="12" spans="2:15" ht="15" x14ac:dyDescent="0.25">
      <c r="B12" s="1" t="s">
        <v>90</v>
      </c>
      <c r="C12" s="32">
        <v>6528</v>
      </c>
      <c r="D12" s="1">
        <v>27000</v>
      </c>
      <c r="E12" s="1"/>
      <c r="F12" s="1">
        <v>279.12</v>
      </c>
      <c r="G12" s="1">
        <v>27000</v>
      </c>
      <c r="H12" s="5">
        <f t="shared" si="0"/>
        <v>0</v>
      </c>
      <c r="I12" s="30">
        <v>200000</v>
      </c>
      <c r="J12" s="30" t="s">
        <v>107</v>
      </c>
      <c r="K12" s="84" t="s">
        <v>93</v>
      </c>
      <c r="L12" s="84"/>
      <c r="M12" s="84"/>
    </row>
    <row r="13" spans="2:15" ht="15" x14ac:dyDescent="0.25">
      <c r="B13" s="1" t="s">
        <v>90</v>
      </c>
      <c r="C13" s="32">
        <v>736</v>
      </c>
      <c r="D13" s="1">
        <v>10000</v>
      </c>
      <c r="E13" s="1"/>
      <c r="F13" s="1">
        <v>103.38</v>
      </c>
      <c r="G13" s="1">
        <v>10000</v>
      </c>
      <c r="H13" s="5">
        <f t="shared" si="0"/>
        <v>0</v>
      </c>
      <c r="I13" s="30">
        <v>100000</v>
      </c>
      <c r="J13" s="30" t="s">
        <v>111</v>
      </c>
      <c r="K13" s="84" t="s">
        <v>93</v>
      </c>
      <c r="L13" s="84"/>
      <c r="M13" s="84"/>
    </row>
    <row r="14" spans="2:15" ht="15" x14ac:dyDescent="0.25">
      <c r="B14" s="1" t="s">
        <v>90</v>
      </c>
      <c r="C14" s="32">
        <v>65</v>
      </c>
      <c r="D14" s="1">
        <v>5000</v>
      </c>
      <c r="E14" s="1"/>
      <c r="F14" s="1">
        <v>51.69</v>
      </c>
      <c r="G14" s="1">
        <v>5000</v>
      </c>
      <c r="H14" s="5">
        <f t="shared" si="0"/>
        <v>0</v>
      </c>
      <c r="I14" s="30">
        <v>100000</v>
      </c>
      <c r="J14" s="30" t="s">
        <v>112</v>
      </c>
      <c r="K14" s="84" t="s">
        <v>93</v>
      </c>
      <c r="L14" s="84"/>
      <c r="M14" s="84"/>
    </row>
    <row r="15" spans="2:15" ht="15" x14ac:dyDescent="0.25">
      <c r="B15" s="1" t="s">
        <v>90</v>
      </c>
      <c r="C15" s="32">
        <v>3986</v>
      </c>
      <c r="D15" s="1">
        <v>5000</v>
      </c>
      <c r="E15" s="1"/>
      <c r="F15" s="1">
        <v>51.69</v>
      </c>
      <c r="G15" s="1">
        <v>5000</v>
      </c>
      <c r="H15" s="5">
        <f t="shared" si="0"/>
        <v>0</v>
      </c>
      <c r="I15" s="30">
        <v>100000</v>
      </c>
      <c r="J15" s="30" t="s">
        <v>114</v>
      </c>
      <c r="K15" s="84" t="s">
        <v>93</v>
      </c>
      <c r="L15" s="84"/>
      <c r="M15" s="84"/>
    </row>
    <row r="16" spans="2:15" ht="15" x14ac:dyDescent="0.25">
      <c r="B16" s="1" t="s">
        <v>90</v>
      </c>
      <c r="C16" s="32">
        <v>4579</v>
      </c>
      <c r="D16" s="1">
        <v>15000</v>
      </c>
      <c r="E16" s="1"/>
      <c r="F16" s="1">
        <v>155.07</v>
      </c>
      <c r="G16" s="1">
        <v>15000</v>
      </c>
      <c r="H16" s="5">
        <f t="shared" si="0"/>
        <v>0</v>
      </c>
      <c r="I16" s="30">
        <v>100000</v>
      </c>
      <c r="J16" s="30" t="s">
        <v>115</v>
      </c>
      <c r="K16" s="84" t="s">
        <v>93</v>
      </c>
      <c r="L16" s="84"/>
      <c r="M16" s="84"/>
    </row>
    <row r="17" spans="2:14" ht="15" x14ac:dyDescent="0.25">
      <c r="B17" s="1" t="s">
        <v>92</v>
      </c>
      <c r="C17" s="32" t="s">
        <v>63</v>
      </c>
      <c r="D17" s="1">
        <v>3500</v>
      </c>
      <c r="E17" s="1"/>
      <c r="F17" s="1">
        <v>36.18</v>
      </c>
      <c r="G17" s="1">
        <v>3500</v>
      </c>
      <c r="H17" s="5">
        <f t="shared" si="0"/>
        <v>0</v>
      </c>
      <c r="I17" s="30">
        <v>200000</v>
      </c>
      <c r="J17" s="30" t="s">
        <v>117</v>
      </c>
      <c r="K17" s="84" t="s">
        <v>93</v>
      </c>
      <c r="L17" s="84"/>
      <c r="M17" s="84"/>
    </row>
    <row r="18" spans="2:14" ht="15" x14ac:dyDescent="0.25">
      <c r="B18" s="1" t="s">
        <v>92</v>
      </c>
      <c r="C18" s="32" t="s">
        <v>61</v>
      </c>
      <c r="D18" s="1">
        <v>5000</v>
      </c>
      <c r="E18" s="1"/>
      <c r="F18" s="1">
        <v>51.69</v>
      </c>
      <c r="G18" s="1">
        <v>5000</v>
      </c>
      <c r="H18" s="5">
        <f t="shared" si="0"/>
        <v>0</v>
      </c>
      <c r="I18" s="30">
        <v>300000</v>
      </c>
      <c r="J18" s="30" t="s">
        <v>120</v>
      </c>
      <c r="K18" s="84" t="s">
        <v>93</v>
      </c>
      <c r="L18" s="84"/>
      <c r="M18" s="84"/>
    </row>
    <row r="19" spans="2:14" ht="15" x14ac:dyDescent="0.25">
      <c r="B19" s="1" t="s">
        <v>92</v>
      </c>
      <c r="C19" s="32" t="s">
        <v>66</v>
      </c>
      <c r="D19" s="1">
        <v>400</v>
      </c>
      <c r="E19" s="1"/>
      <c r="F19" s="1">
        <v>3.8</v>
      </c>
      <c r="G19" s="1">
        <v>400</v>
      </c>
      <c r="H19" s="5">
        <f t="shared" si="0"/>
        <v>0</v>
      </c>
      <c r="I19" s="30">
        <v>200000</v>
      </c>
      <c r="J19" s="30" t="s">
        <v>122</v>
      </c>
      <c r="K19" s="84" t="s">
        <v>93</v>
      </c>
      <c r="L19" s="84"/>
      <c r="M19" s="84"/>
    </row>
    <row r="20" spans="2:14" ht="15" x14ac:dyDescent="0.25">
      <c r="B20" s="1" t="s">
        <v>92</v>
      </c>
      <c r="C20" s="32">
        <v>9992</v>
      </c>
      <c r="D20" s="1">
        <v>25000</v>
      </c>
      <c r="E20" s="1"/>
      <c r="F20" s="1">
        <v>258.43</v>
      </c>
      <c r="G20" s="1">
        <v>25000</v>
      </c>
      <c r="H20" s="5">
        <f t="shared" si="0"/>
        <v>0</v>
      </c>
      <c r="I20" s="30">
        <v>300000</v>
      </c>
      <c r="J20" s="30" t="s">
        <v>123</v>
      </c>
      <c r="K20" s="84" t="s">
        <v>93</v>
      </c>
      <c r="L20" s="84"/>
      <c r="M20" s="84"/>
    </row>
    <row r="21" spans="2:14" ht="15" x14ac:dyDescent="0.25">
      <c r="B21" s="1" t="s">
        <v>92</v>
      </c>
      <c r="C21" s="32">
        <v>2943</v>
      </c>
      <c r="D21" s="1">
        <v>32000</v>
      </c>
      <c r="E21" s="1"/>
      <c r="F21" s="1">
        <v>330.82</v>
      </c>
      <c r="G21" s="1">
        <v>32000</v>
      </c>
      <c r="H21" s="5">
        <f t="shared" si="0"/>
        <v>0</v>
      </c>
      <c r="I21" s="30">
        <v>400000</v>
      </c>
      <c r="J21" s="30" t="s">
        <v>124</v>
      </c>
      <c r="K21" s="84" t="s">
        <v>93</v>
      </c>
      <c r="L21" s="84"/>
      <c r="M21" s="84"/>
    </row>
    <row r="22" spans="2:14" ht="15" x14ac:dyDescent="0.25">
      <c r="B22" s="1" t="s">
        <v>92</v>
      </c>
      <c r="C22" s="32">
        <v>5027</v>
      </c>
      <c r="D22" s="1">
        <v>22000</v>
      </c>
      <c r="E22" s="1"/>
      <c r="F22" s="1">
        <v>222.3</v>
      </c>
      <c r="G22" s="1">
        <v>22000</v>
      </c>
      <c r="H22" s="5">
        <f t="shared" si="0"/>
        <v>0</v>
      </c>
      <c r="I22" s="30">
        <v>600000</v>
      </c>
      <c r="J22" s="30" t="s">
        <v>126</v>
      </c>
      <c r="K22" s="84" t="s">
        <v>93</v>
      </c>
      <c r="L22" s="84"/>
      <c r="M22" s="84"/>
    </row>
    <row r="23" spans="2:14" ht="15" x14ac:dyDescent="0.25">
      <c r="B23" s="1" t="s">
        <v>92</v>
      </c>
      <c r="C23" s="32">
        <v>8790</v>
      </c>
      <c r="D23" s="1">
        <v>10000</v>
      </c>
      <c r="E23" s="1"/>
      <c r="F23" s="1">
        <v>103.38</v>
      </c>
      <c r="G23" s="1">
        <v>10000</v>
      </c>
      <c r="H23" s="5">
        <f t="shared" si="0"/>
        <v>0</v>
      </c>
      <c r="I23" s="30">
        <v>400000</v>
      </c>
      <c r="J23" s="30" t="s">
        <v>127</v>
      </c>
      <c r="K23" s="84" t="s">
        <v>93</v>
      </c>
      <c r="L23" s="84"/>
      <c r="M23" s="84"/>
    </row>
    <row r="24" spans="2:14" ht="15" x14ac:dyDescent="0.25">
      <c r="B24" s="1" t="s">
        <v>92</v>
      </c>
      <c r="C24" s="32">
        <v>6901</v>
      </c>
      <c r="D24" s="1">
        <v>28000</v>
      </c>
      <c r="E24" s="1"/>
      <c r="F24" s="1">
        <v>239.95</v>
      </c>
      <c r="G24" s="1">
        <v>28000</v>
      </c>
      <c r="H24" s="5">
        <f t="shared" si="0"/>
        <v>0</v>
      </c>
      <c r="I24" s="30">
        <v>250000</v>
      </c>
      <c r="J24" s="30" t="s">
        <v>128</v>
      </c>
      <c r="K24" s="84" t="s">
        <v>93</v>
      </c>
      <c r="L24" s="84"/>
      <c r="M24" s="84"/>
    </row>
    <row r="25" spans="2:14" ht="15" x14ac:dyDescent="0.25">
      <c r="B25" s="1" t="s">
        <v>92</v>
      </c>
      <c r="C25" s="32">
        <v>5997</v>
      </c>
      <c r="D25" s="1">
        <v>30000</v>
      </c>
      <c r="E25" s="1"/>
      <c r="F25" s="1">
        <v>310.14</v>
      </c>
      <c r="G25" s="1">
        <v>30000</v>
      </c>
      <c r="H25" s="5">
        <f t="shared" si="0"/>
        <v>0</v>
      </c>
      <c r="I25" s="30">
        <v>300000</v>
      </c>
      <c r="J25" s="30" t="s">
        <v>129</v>
      </c>
      <c r="K25" s="84" t="s">
        <v>93</v>
      </c>
      <c r="L25" s="84"/>
      <c r="M25" s="84"/>
    </row>
    <row r="26" spans="2:14" ht="15" x14ac:dyDescent="0.25">
      <c r="B26" s="1" t="s">
        <v>94</v>
      </c>
      <c r="C26" s="32">
        <v>302</v>
      </c>
      <c r="D26" s="1">
        <v>33000</v>
      </c>
      <c r="E26" s="1"/>
      <c r="F26" s="1">
        <v>375.34</v>
      </c>
      <c r="G26" s="1">
        <v>33000</v>
      </c>
      <c r="H26" s="5">
        <f t="shared" si="0"/>
        <v>0</v>
      </c>
      <c r="I26" s="30">
        <v>350000</v>
      </c>
      <c r="J26" s="30" t="s">
        <v>131</v>
      </c>
      <c r="K26" s="84" t="s">
        <v>93</v>
      </c>
      <c r="L26" s="84"/>
      <c r="M26" s="84"/>
    </row>
    <row r="27" spans="2:14" ht="15" x14ac:dyDescent="0.25">
      <c r="B27" s="1" t="s">
        <v>94</v>
      </c>
      <c r="C27" s="32">
        <v>1828</v>
      </c>
      <c r="D27" s="1">
        <v>30000</v>
      </c>
      <c r="E27" s="1"/>
      <c r="F27" s="1">
        <v>310.14</v>
      </c>
      <c r="G27" s="1">
        <v>30000</v>
      </c>
      <c r="H27" s="5">
        <f t="shared" si="0"/>
        <v>0</v>
      </c>
      <c r="I27" s="30">
        <v>300000</v>
      </c>
      <c r="J27" s="30" t="s">
        <v>132</v>
      </c>
      <c r="K27" s="84" t="s">
        <v>93</v>
      </c>
      <c r="L27" s="84"/>
      <c r="M27" s="84"/>
    </row>
    <row r="28" spans="2:14" ht="15" x14ac:dyDescent="0.25">
      <c r="B28" s="1" t="s">
        <v>94</v>
      </c>
      <c r="C28" s="32">
        <v>2751</v>
      </c>
      <c r="D28" s="1">
        <v>35000</v>
      </c>
      <c r="E28" s="1"/>
      <c r="F28" s="1">
        <v>361.84</v>
      </c>
      <c r="G28" s="1">
        <v>35000</v>
      </c>
      <c r="H28" s="5">
        <f t="shared" si="0"/>
        <v>0</v>
      </c>
      <c r="I28" s="30">
        <v>500000</v>
      </c>
      <c r="J28" s="30" t="s">
        <v>134</v>
      </c>
      <c r="K28" s="84" t="s">
        <v>93</v>
      </c>
      <c r="L28" s="84"/>
      <c r="M28" s="84"/>
    </row>
    <row r="29" spans="2:14" ht="15" x14ac:dyDescent="0.25">
      <c r="B29" s="1" t="s">
        <v>94</v>
      </c>
      <c r="C29" s="32">
        <v>1177</v>
      </c>
      <c r="D29" s="1">
        <v>7000</v>
      </c>
      <c r="E29" s="1"/>
      <c r="F29" s="1">
        <v>76.36</v>
      </c>
      <c r="G29" s="1">
        <v>7000</v>
      </c>
      <c r="H29" s="5">
        <f t="shared" si="0"/>
        <v>0</v>
      </c>
      <c r="I29" s="89">
        <v>71719</v>
      </c>
      <c r="J29" s="89" t="s">
        <v>126</v>
      </c>
      <c r="K29" s="33" t="s">
        <v>138</v>
      </c>
      <c r="L29" s="84"/>
      <c r="M29" s="84"/>
      <c r="N29" s="30"/>
    </row>
    <row r="30" spans="2:14" x14ac:dyDescent="0.2">
      <c r="B30" s="1" t="s">
        <v>94</v>
      </c>
      <c r="C30" s="32" t="s">
        <v>61</v>
      </c>
      <c r="D30" s="1">
        <v>4500</v>
      </c>
      <c r="E30" s="1"/>
      <c r="F30" s="1">
        <v>46.52</v>
      </c>
      <c r="G30" s="1">
        <v>4500</v>
      </c>
      <c r="H30" s="5">
        <f t="shared" si="0"/>
        <v>0</v>
      </c>
      <c r="I30" s="1"/>
      <c r="J30" s="1"/>
    </row>
    <row r="31" spans="2:14" x14ac:dyDescent="0.2">
      <c r="B31" s="1" t="s">
        <v>94</v>
      </c>
      <c r="C31" s="32">
        <v>1270</v>
      </c>
      <c r="D31" s="1">
        <v>6000</v>
      </c>
      <c r="E31" s="1"/>
      <c r="F31" s="1">
        <v>62.02</v>
      </c>
      <c r="G31" s="1">
        <v>6000</v>
      </c>
      <c r="H31" s="5">
        <f t="shared" si="0"/>
        <v>0</v>
      </c>
      <c r="I31" s="1"/>
      <c r="J31" s="1"/>
    </row>
    <row r="32" spans="2:14" x14ac:dyDescent="0.2">
      <c r="B32" s="1" t="s">
        <v>94</v>
      </c>
      <c r="C32" s="32">
        <v>8991</v>
      </c>
      <c r="D32" s="1">
        <v>14000</v>
      </c>
      <c r="E32" s="1"/>
      <c r="F32" s="1">
        <v>144.72999999999999</v>
      </c>
      <c r="G32" s="1">
        <v>14000</v>
      </c>
      <c r="H32" s="5">
        <f t="shared" si="0"/>
        <v>0</v>
      </c>
      <c r="I32" s="1"/>
      <c r="J32" s="1"/>
    </row>
    <row r="33" spans="2:10" x14ac:dyDescent="0.2">
      <c r="B33" s="1" t="s">
        <v>94</v>
      </c>
      <c r="C33" s="32">
        <v>5268</v>
      </c>
      <c r="D33" s="1">
        <v>25000</v>
      </c>
      <c r="E33" s="1"/>
      <c r="F33" s="1">
        <v>258.45</v>
      </c>
      <c r="G33" s="1">
        <v>25000</v>
      </c>
      <c r="H33" s="5">
        <f t="shared" si="0"/>
        <v>0</v>
      </c>
      <c r="I33" s="1"/>
      <c r="J33" s="1"/>
    </row>
    <row r="34" spans="2:10" x14ac:dyDescent="0.2">
      <c r="B34" s="1" t="s">
        <v>94</v>
      </c>
      <c r="C34" s="32">
        <v>7568</v>
      </c>
      <c r="D34" s="1">
        <v>25000</v>
      </c>
      <c r="E34" s="1"/>
      <c r="F34" s="1">
        <v>256.45</v>
      </c>
      <c r="G34" s="1">
        <v>25000</v>
      </c>
      <c r="H34" s="5">
        <f t="shared" si="0"/>
        <v>0</v>
      </c>
      <c r="I34" s="1"/>
      <c r="J34" s="1"/>
    </row>
    <row r="35" spans="2:10" x14ac:dyDescent="0.2">
      <c r="B35" s="1" t="s">
        <v>94</v>
      </c>
      <c r="C35" s="32">
        <v>1108</v>
      </c>
      <c r="D35" s="1">
        <v>12000</v>
      </c>
      <c r="E35" s="1"/>
      <c r="F35" s="1">
        <v>124.06</v>
      </c>
      <c r="G35" s="1">
        <v>12000</v>
      </c>
      <c r="H35" s="5">
        <f t="shared" si="0"/>
        <v>0</v>
      </c>
      <c r="I35" s="1"/>
      <c r="J35" s="1"/>
    </row>
    <row r="36" spans="2:10" x14ac:dyDescent="0.2">
      <c r="B36" s="1" t="s">
        <v>96</v>
      </c>
      <c r="C36" s="32">
        <v>5601</v>
      </c>
      <c r="D36" s="1">
        <v>22000</v>
      </c>
      <c r="E36" s="1"/>
      <c r="F36" s="1"/>
      <c r="G36" s="1">
        <v>22000</v>
      </c>
      <c r="H36" s="5">
        <f t="shared" si="0"/>
        <v>0</v>
      </c>
      <c r="I36" s="1"/>
      <c r="J36" s="1"/>
    </row>
    <row r="37" spans="2:10" x14ac:dyDescent="0.2">
      <c r="B37" s="1" t="s">
        <v>96</v>
      </c>
      <c r="C37" s="32">
        <v>2878</v>
      </c>
      <c r="D37" s="1">
        <v>10000</v>
      </c>
      <c r="E37" s="1"/>
      <c r="F37" s="1">
        <v>103.38</v>
      </c>
      <c r="G37" s="1">
        <v>10000</v>
      </c>
      <c r="H37" s="5">
        <f t="shared" si="0"/>
        <v>0</v>
      </c>
      <c r="I37" s="1"/>
      <c r="J37" s="1"/>
    </row>
    <row r="38" spans="2:10" x14ac:dyDescent="0.2">
      <c r="B38" s="1" t="s">
        <v>96</v>
      </c>
      <c r="C38" s="32">
        <v>8733</v>
      </c>
      <c r="D38" s="1">
        <v>15000</v>
      </c>
      <c r="E38" s="1"/>
      <c r="F38" s="1">
        <v>155.07</v>
      </c>
      <c r="G38" s="1">
        <v>15000</v>
      </c>
      <c r="H38" s="5">
        <f t="shared" si="0"/>
        <v>0</v>
      </c>
      <c r="I38" s="1"/>
      <c r="J38" s="1"/>
    </row>
    <row r="39" spans="2:10" x14ac:dyDescent="0.2">
      <c r="B39" s="1" t="s">
        <v>96</v>
      </c>
      <c r="C39" s="32">
        <v>2144</v>
      </c>
      <c r="D39" s="1">
        <v>20000</v>
      </c>
      <c r="E39" s="1"/>
      <c r="F39" s="1">
        <v>206.76</v>
      </c>
      <c r="G39" s="1">
        <v>20000</v>
      </c>
      <c r="H39" s="5">
        <f t="shared" si="0"/>
        <v>0</v>
      </c>
      <c r="I39" s="1"/>
      <c r="J39" s="1"/>
    </row>
    <row r="40" spans="2:10" x14ac:dyDescent="0.2">
      <c r="B40" s="1" t="s">
        <v>96</v>
      </c>
      <c r="C40" s="32">
        <v>5237</v>
      </c>
      <c r="D40" s="1">
        <v>35000</v>
      </c>
      <c r="E40" s="1"/>
      <c r="F40" s="1">
        <v>361.83</v>
      </c>
      <c r="G40" s="1">
        <v>35000</v>
      </c>
      <c r="H40" s="5">
        <f t="shared" si="0"/>
        <v>0</v>
      </c>
      <c r="I40" s="1"/>
      <c r="J40" s="1"/>
    </row>
    <row r="41" spans="2:10" x14ac:dyDescent="0.2">
      <c r="B41" s="1" t="s">
        <v>96</v>
      </c>
      <c r="C41" s="32">
        <v>3124</v>
      </c>
      <c r="D41" s="1">
        <v>35000</v>
      </c>
      <c r="E41" s="1"/>
      <c r="F41" s="1">
        <v>361.83</v>
      </c>
      <c r="G41" s="1">
        <v>35000</v>
      </c>
      <c r="H41" s="5">
        <f t="shared" si="0"/>
        <v>0</v>
      </c>
      <c r="I41" s="1"/>
      <c r="J41" s="1"/>
    </row>
    <row r="42" spans="2:10" x14ac:dyDescent="0.2">
      <c r="B42" s="1" t="s">
        <v>100</v>
      </c>
      <c r="C42" s="32" t="s">
        <v>73</v>
      </c>
      <c r="D42" s="1">
        <v>3500</v>
      </c>
      <c r="E42" s="1"/>
      <c r="F42" s="1">
        <v>36.18</v>
      </c>
      <c r="G42" s="1">
        <v>3500</v>
      </c>
      <c r="H42" s="5">
        <f t="shared" si="0"/>
        <v>0</v>
      </c>
      <c r="I42" s="1"/>
      <c r="J42" s="1"/>
    </row>
    <row r="43" spans="2:10" x14ac:dyDescent="0.2">
      <c r="B43" s="1" t="s">
        <v>100</v>
      </c>
      <c r="C43" s="32">
        <v>6373</v>
      </c>
      <c r="D43" s="1">
        <v>18000</v>
      </c>
      <c r="E43" s="1"/>
      <c r="F43" s="1">
        <v>186.08</v>
      </c>
      <c r="G43" s="1">
        <v>18000</v>
      </c>
      <c r="H43" s="5">
        <f t="shared" si="0"/>
        <v>0</v>
      </c>
      <c r="I43" s="1"/>
      <c r="J43" s="1"/>
    </row>
    <row r="44" spans="2:10" x14ac:dyDescent="0.2">
      <c r="B44" s="1" t="s">
        <v>102</v>
      </c>
      <c r="C44" s="32">
        <v>7817</v>
      </c>
      <c r="D44" s="1">
        <v>33000</v>
      </c>
      <c r="E44" s="1"/>
      <c r="F44" s="1">
        <v>341.16</v>
      </c>
      <c r="G44" s="1">
        <v>33000</v>
      </c>
      <c r="H44" s="5">
        <f t="shared" si="0"/>
        <v>0</v>
      </c>
      <c r="I44" s="1"/>
      <c r="J44" s="1"/>
    </row>
    <row r="45" spans="2:10" x14ac:dyDescent="0.2">
      <c r="B45" s="1" t="s">
        <v>102</v>
      </c>
      <c r="C45" s="32">
        <v>711</v>
      </c>
      <c r="D45" s="1">
        <v>35000</v>
      </c>
      <c r="E45" s="1"/>
      <c r="F45" s="1">
        <v>361.53</v>
      </c>
      <c r="G45" s="1">
        <v>35000</v>
      </c>
      <c r="H45" s="5">
        <f t="shared" si="0"/>
        <v>0</v>
      </c>
      <c r="I45" s="1"/>
      <c r="J45" s="1"/>
    </row>
    <row r="46" spans="2:10" x14ac:dyDescent="0.2">
      <c r="B46" s="1" t="s">
        <v>102</v>
      </c>
      <c r="C46" s="32" t="s">
        <v>73</v>
      </c>
      <c r="D46" s="1">
        <v>4500</v>
      </c>
      <c r="E46" s="1"/>
      <c r="F46" s="1">
        <v>46.58</v>
      </c>
      <c r="G46" s="1">
        <v>4500</v>
      </c>
      <c r="H46" s="5">
        <f t="shared" si="0"/>
        <v>0</v>
      </c>
      <c r="I46" s="1"/>
      <c r="J46" s="1"/>
    </row>
    <row r="47" spans="2:10" x14ac:dyDescent="0.2">
      <c r="B47" s="1" t="s">
        <v>102</v>
      </c>
      <c r="C47" s="32">
        <v>3150</v>
      </c>
      <c r="D47" s="1">
        <v>10000</v>
      </c>
      <c r="E47" s="1"/>
      <c r="F47" s="1">
        <v>103.88</v>
      </c>
      <c r="G47" s="1">
        <v>10000</v>
      </c>
      <c r="H47" s="5">
        <f t="shared" si="0"/>
        <v>0</v>
      </c>
      <c r="I47" s="1"/>
      <c r="J47" s="1"/>
    </row>
    <row r="48" spans="2:10" x14ac:dyDescent="0.2">
      <c r="B48" s="1" t="s">
        <v>102</v>
      </c>
      <c r="C48" s="32">
        <v>2034</v>
      </c>
      <c r="D48" s="1">
        <v>30000</v>
      </c>
      <c r="E48" s="1"/>
      <c r="F48" s="1">
        <v>310.14</v>
      </c>
      <c r="G48" s="1">
        <v>30000</v>
      </c>
      <c r="H48" s="5">
        <f t="shared" si="0"/>
        <v>0</v>
      </c>
      <c r="I48" s="1"/>
      <c r="J48" s="1"/>
    </row>
    <row r="49" spans="2:10" x14ac:dyDescent="0.2">
      <c r="B49" s="1" t="s">
        <v>104</v>
      </c>
      <c r="C49" s="32" t="s">
        <v>66</v>
      </c>
      <c r="D49" s="1">
        <v>400</v>
      </c>
      <c r="E49" s="1"/>
      <c r="F49" s="1">
        <v>3.8</v>
      </c>
      <c r="G49" s="1">
        <v>400</v>
      </c>
      <c r="H49" s="5">
        <f t="shared" si="0"/>
        <v>0</v>
      </c>
      <c r="I49" s="1"/>
      <c r="J49" s="1"/>
    </row>
    <row r="50" spans="2:10" x14ac:dyDescent="0.2">
      <c r="B50" s="1" t="s">
        <v>104</v>
      </c>
      <c r="C50" s="32">
        <v>1062</v>
      </c>
      <c r="D50" s="1">
        <v>32000</v>
      </c>
      <c r="E50" s="1"/>
      <c r="F50" s="1">
        <v>330.82</v>
      </c>
      <c r="G50" s="1">
        <v>32000</v>
      </c>
      <c r="H50" s="5">
        <f t="shared" si="0"/>
        <v>0</v>
      </c>
      <c r="I50" s="1"/>
      <c r="J50" s="1"/>
    </row>
    <row r="51" spans="2:10" x14ac:dyDescent="0.2">
      <c r="B51" s="1" t="s">
        <v>105</v>
      </c>
      <c r="C51" s="32">
        <v>3505</v>
      </c>
      <c r="D51" s="1">
        <v>30000</v>
      </c>
      <c r="E51" s="1"/>
      <c r="F51" s="1">
        <v>310.14</v>
      </c>
      <c r="G51" s="1">
        <v>30000</v>
      </c>
      <c r="H51" s="5">
        <f t="shared" si="0"/>
        <v>0</v>
      </c>
      <c r="I51" s="1"/>
      <c r="J51" s="1"/>
    </row>
    <row r="52" spans="2:10" x14ac:dyDescent="0.2">
      <c r="B52" s="1" t="s">
        <v>105</v>
      </c>
      <c r="C52" s="32">
        <v>9855</v>
      </c>
      <c r="D52" s="1">
        <v>9000</v>
      </c>
      <c r="E52" s="1"/>
      <c r="F52" s="1">
        <v>93.04</v>
      </c>
      <c r="G52" s="1">
        <v>9000</v>
      </c>
      <c r="H52" s="5">
        <f t="shared" si="0"/>
        <v>0</v>
      </c>
      <c r="I52" s="1"/>
      <c r="J52" s="1"/>
    </row>
    <row r="53" spans="2:10" x14ac:dyDescent="0.2">
      <c r="B53" s="1" t="s">
        <v>105</v>
      </c>
      <c r="C53" s="32">
        <v>7909</v>
      </c>
      <c r="D53" s="1">
        <v>9000</v>
      </c>
      <c r="E53" s="1"/>
      <c r="F53" s="1">
        <v>93.04</v>
      </c>
      <c r="G53" s="1">
        <v>9000</v>
      </c>
      <c r="H53" s="5">
        <f t="shared" si="0"/>
        <v>0</v>
      </c>
      <c r="I53" s="1"/>
      <c r="J53" s="1"/>
    </row>
    <row r="54" spans="2:10" x14ac:dyDescent="0.2">
      <c r="B54" s="1" t="s">
        <v>105</v>
      </c>
      <c r="C54" s="32" t="s">
        <v>61</v>
      </c>
      <c r="D54" s="1">
        <v>3500</v>
      </c>
      <c r="E54" s="1"/>
      <c r="F54" s="1">
        <v>36.18</v>
      </c>
      <c r="G54" s="1">
        <v>3500</v>
      </c>
      <c r="H54" s="5">
        <f t="shared" si="0"/>
        <v>0</v>
      </c>
      <c r="I54" s="1"/>
      <c r="J54" s="1"/>
    </row>
    <row r="55" spans="2:10" x14ac:dyDescent="0.2">
      <c r="B55" s="1" t="s">
        <v>105</v>
      </c>
      <c r="C55" s="32">
        <v>979</v>
      </c>
      <c r="D55" s="1">
        <v>10000</v>
      </c>
      <c r="E55" s="1"/>
      <c r="F55" s="1">
        <v>82.71</v>
      </c>
      <c r="G55" s="1">
        <v>10000</v>
      </c>
      <c r="H55" s="5">
        <f t="shared" si="0"/>
        <v>0</v>
      </c>
      <c r="I55" s="1"/>
      <c r="J55" s="1"/>
    </row>
    <row r="56" spans="2:10" x14ac:dyDescent="0.2">
      <c r="B56" s="1" t="s">
        <v>105</v>
      </c>
      <c r="C56" s="32">
        <v>1522</v>
      </c>
      <c r="D56" s="1">
        <v>36000</v>
      </c>
      <c r="E56" s="1"/>
      <c r="F56" s="1">
        <v>372.16</v>
      </c>
      <c r="G56" s="1">
        <v>36000</v>
      </c>
      <c r="H56" s="5">
        <f t="shared" si="0"/>
        <v>0</v>
      </c>
      <c r="I56" s="1"/>
      <c r="J56" s="1"/>
    </row>
    <row r="57" spans="2:10" x14ac:dyDescent="0.2">
      <c r="B57" s="1" t="s">
        <v>105</v>
      </c>
      <c r="C57" s="32">
        <v>1347</v>
      </c>
      <c r="D57" s="1">
        <v>23000</v>
      </c>
      <c r="E57" s="1"/>
      <c r="F57" s="1">
        <v>214</v>
      </c>
      <c r="G57" s="1">
        <v>23000</v>
      </c>
      <c r="H57" s="5">
        <f t="shared" si="0"/>
        <v>0</v>
      </c>
      <c r="I57" s="1"/>
      <c r="J57" s="1"/>
    </row>
    <row r="58" spans="2:10" x14ac:dyDescent="0.2">
      <c r="B58" s="1" t="s">
        <v>105</v>
      </c>
      <c r="C58" s="32">
        <v>1121</v>
      </c>
      <c r="D58" s="1">
        <v>30000</v>
      </c>
      <c r="E58" s="1"/>
      <c r="F58" s="1">
        <v>310.14</v>
      </c>
      <c r="G58" s="1">
        <v>30000</v>
      </c>
      <c r="H58" s="5">
        <f t="shared" si="0"/>
        <v>0</v>
      </c>
      <c r="I58" s="1"/>
      <c r="J58" s="1"/>
    </row>
    <row r="59" spans="2:10" x14ac:dyDescent="0.2">
      <c r="B59" s="1" t="s">
        <v>106</v>
      </c>
      <c r="C59" s="32">
        <v>13</v>
      </c>
      <c r="D59" s="1">
        <v>9000</v>
      </c>
      <c r="E59" s="1"/>
      <c r="F59" s="1">
        <v>93.04</v>
      </c>
      <c r="G59" s="1">
        <v>9000</v>
      </c>
      <c r="H59" s="5">
        <f t="shared" si="0"/>
        <v>0</v>
      </c>
      <c r="I59" s="1"/>
      <c r="J59" s="1"/>
    </row>
    <row r="60" spans="2:10" x14ac:dyDescent="0.2">
      <c r="B60" s="1" t="s">
        <v>106</v>
      </c>
      <c r="C60" s="32" t="s">
        <v>61</v>
      </c>
      <c r="D60" s="1">
        <v>4500</v>
      </c>
      <c r="E60" s="1"/>
      <c r="F60" s="1">
        <v>46.52</v>
      </c>
      <c r="G60" s="1">
        <v>4500</v>
      </c>
      <c r="H60" s="5">
        <f t="shared" si="0"/>
        <v>0</v>
      </c>
      <c r="I60" s="1"/>
      <c r="J60" s="1"/>
    </row>
    <row r="61" spans="2:10" x14ac:dyDescent="0.2">
      <c r="B61" s="1" t="s">
        <v>106</v>
      </c>
      <c r="C61" s="32">
        <v>7798</v>
      </c>
      <c r="D61" s="1">
        <v>25000</v>
      </c>
      <c r="E61" s="1"/>
      <c r="F61" s="1">
        <v>258</v>
      </c>
      <c r="G61" s="1">
        <v>25000</v>
      </c>
      <c r="H61" s="5">
        <f t="shared" si="0"/>
        <v>0</v>
      </c>
      <c r="I61" s="1"/>
      <c r="J61" s="1"/>
    </row>
    <row r="62" spans="2:10" x14ac:dyDescent="0.2">
      <c r="B62" s="1" t="s">
        <v>106</v>
      </c>
      <c r="C62" s="32">
        <v>4171</v>
      </c>
      <c r="D62" s="1">
        <v>30000</v>
      </c>
      <c r="E62" s="1"/>
      <c r="F62" s="1">
        <v>310</v>
      </c>
      <c r="G62" s="1">
        <v>30000</v>
      </c>
      <c r="H62" s="5">
        <f t="shared" si="0"/>
        <v>0</v>
      </c>
      <c r="I62" s="1"/>
      <c r="J62" s="1"/>
    </row>
    <row r="63" spans="2:10" x14ac:dyDescent="0.2">
      <c r="B63" s="1" t="s">
        <v>106</v>
      </c>
      <c r="C63" s="32">
        <v>3897</v>
      </c>
      <c r="D63" s="1">
        <v>35000</v>
      </c>
      <c r="E63" s="1"/>
      <c r="F63" s="1">
        <v>336</v>
      </c>
      <c r="G63" s="1">
        <v>35000</v>
      </c>
      <c r="H63" s="5">
        <f t="shared" si="0"/>
        <v>0</v>
      </c>
      <c r="I63" s="1"/>
      <c r="J63" s="1"/>
    </row>
    <row r="64" spans="2:10" x14ac:dyDescent="0.2">
      <c r="B64" s="1" t="s">
        <v>106</v>
      </c>
      <c r="C64" s="32">
        <v>2851</v>
      </c>
      <c r="D64" s="1">
        <v>24000</v>
      </c>
      <c r="E64" s="1"/>
      <c r="F64" s="1">
        <v>239</v>
      </c>
      <c r="G64" s="1">
        <v>24000</v>
      </c>
      <c r="H64" s="5">
        <f t="shared" si="0"/>
        <v>0</v>
      </c>
      <c r="I64" s="1"/>
      <c r="J64" s="1"/>
    </row>
    <row r="65" spans="2:13" x14ac:dyDescent="0.2">
      <c r="B65" s="1" t="s">
        <v>106</v>
      </c>
      <c r="C65" s="32">
        <v>2898</v>
      </c>
      <c r="D65" s="1">
        <v>30000</v>
      </c>
      <c r="E65" s="1"/>
      <c r="F65" s="1">
        <v>310</v>
      </c>
      <c r="G65" s="1">
        <v>30000</v>
      </c>
      <c r="H65" s="5">
        <f t="shared" si="0"/>
        <v>0</v>
      </c>
      <c r="I65" s="1"/>
      <c r="J65" s="1"/>
    </row>
    <row r="66" spans="2:13" x14ac:dyDescent="0.2">
      <c r="B66" s="1" t="s">
        <v>106</v>
      </c>
      <c r="C66" s="32">
        <v>7215</v>
      </c>
      <c r="D66" s="1">
        <v>30000</v>
      </c>
      <c r="E66" s="1"/>
      <c r="F66" s="1">
        <v>304</v>
      </c>
      <c r="G66" s="1">
        <v>30000</v>
      </c>
      <c r="H66" s="5">
        <f t="shared" si="0"/>
        <v>0</v>
      </c>
      <c r="I66" s="1"/>
      <c r="J66" s="1"/>
    </row>
    <row r="67" spans="2:13" x14ac:dyDescent="0.2">
      <c r="B67" s="1" t="s">
        <v>106</v>
      </c>
      <c r="C67" s="32" t="s">
        <v>66</v>
      </c>
      <c r="D67" s="1">
        <v>100</v>
      </c>
      <c r="E67" s="1"/>
      <c r="F67" s="1">
        <v>1.04</v>
      </c>
      <c r="G67" s="1">
        <v>100</v>
      </c>
      <c r="H67" s="5">
        <f t="shared" si="0"/>
        <v>0</v>
      </c>
      <c r="I67" s="1"/>
      <c r="J67" s="1"/>
    </row>
    <row r="68" spans="2:13" x14ac:dyDescent="0.2">
      <c r="B68" s="1" t="s">
        <v>107</v>
      </c>
      <c r="C68" s="32">
        <v>7102</v>
      </c>
      <c r="D68" s="1">
        <v>5180</v>
      </c>
      <c r="E68" s="1"/>
      <c r="F68" s="1">
        <v>53.05</v>
      </c>
      <c r="G68" s="1">
        <v>5180</v>
      </c>
      <c r="H68" s="5">
        <f t="shared" si="0"/>
        <v>0</v>
      </c>
      <c r="I68" s="1"/>
      <c r="J68" s="1"/>
    </row>
    <row r="69" spans="2:13" x14ac:dyDescent="0.2">
      <c r="B69" s="1" t="s">
        <v>107</v>
      </c>
      <c r="C69" s="32">
        <v>7488</v>
      </c>
      <c r="D69" s="1">
        <v>9000</v>
      </c>
      <c r="E69" s="1"/>
      <c r="F69" s="1">
        <v>93.04</v>
      </c>
      <c r="G69" s="1">
        <v>9000</v>
      </c>
      <c r="H69" s="5">
        <f t="shared" si="0"/>
        <v>0</v>
      </c>
      <c r="I69" s="1"/>
      <c r="J69" s="1"/>
    </row>
    <row r="70" spans="2:13" x14ac:dyDescent="0.2">
      <c r="B70" s="1" t="s">
        <v>107</v>
      </c>
      <c r="C70" s="32">
        <v>4156</v>
      </c>
      <c r="D70" s="1">
        <v>35000</v>
      </c>
      <c r="E70" s="1"/>
      <c r="F70" s="1">
        <v>361.83</v>
      </c>
      <c r="G70" s="1">
        <v>35000</v>
      </c>
      <c r="H70" s="5">
        <f t="shared" si="0"/>
        <v>0</v>
      </c>
      <c r="I70" s="1"/>
      <c r="J70" s="1"/>
    </row>
    <row r="71" spans="2:13" x14ac:dyDescent="0.2">
      <c r="B71" s="1" t="s">
        <v>107</v>
      </c>
      <c r="C71" s="32" t="s">
        <v>63</v>
      </c>
      <c r="D71" s="1">
        <v>3500</v>
      </c>
      <c r="E71" s="1"/>
      <c r="F71" s="1">
        <v>36.18</v>
      </c>
      <c r="G71" s="1">
        <v>3500</v>
      </c>
      <c r="H71" s="5">
        <f t="shared" ref="H71:H181" si="1">D71-G71</f>
        <v>0</v>
      </c>
      <c r="I71" s="1"/>
      <c r="J71" s="1"/>
    </row>
    <row r="72" spans="2:13" x14ac:dyDescent="0.2">
      <c r="B72" s="1" t="s">
        <v>107</v>
      </c>
      <c r="C72" s="32" t="s">
        <v>66</v>
      </c>
      <c r="D72" s="1">
        <v>400</v>
      </c>
      <c r="E72" s="1"/>
      <c r="F72" s="1">
        <v>3.85</v>
      </c>
      <c r="G72" s="1">
        <v>400</v>
      </c>
      <c r="H72" s="5">
        <f t="shared" si="1"/>
        <v>0</v>
      </c>
      <c r="I72" s="1"/>
      <c r="J72" s="1"/>
    </row>
    <row r="73" spans="2:13" x14ac:dyDescent="0.2">
      <c r="B73" s="1" t="s">
        <v>111</v>
      </c>
      <c r="C73" s="32" t="s">
        <v>61</v>
      </c>
      <c r="D73" s="1">
        <v>4500</v>
      </c>
      <c r="E73" s="1"/>
      <c r="F73" s="1">
        <v>46.52</v>
      </c>
      <c r="G73" s="1">
        <v>4500</v>
      </c>
      <c r="H73" s="5">
        <f t="shared" si="1"/>
        <v>0</v>
      </c>
      <c r="I73" s="1"/>
      <c r="J73" s="1"/>
    </row>
    <row r="74" spans="2:13" x14ac:dyDescent="0.2">
      <c r="B74" s="1" t="s">
        <v>111</v>
      </c>
      <c r="C74" s="32">
        <v>603</v>
      </c>
      <c r="D74" s="1">
        <v>13000</v>
      </c>
      <c r="E74" s="1"/>
      <c r="F74" s="1">
        <v>134.38999999999999</v>
      </c>
      <c r="G74" s="1">
        <v>13000</v>
      </c>
      <c r="H74" s="5">
        <f t="shared" si="1"/>
        <v>0</v>
      </c>
      <c r="I74" s="1"/>
      <c r="J74" s="1"/>
    </row>
    <row r="75" spans="2:13" x14ac:dyDescent="0.2">
      <c r="B75" s="1" t="s">
        <v>111</v>
      </c>
      <c r="C75" s="32">
        <v>2566</v>
      </c>
      <c r="D75" s="1">
        <v>13000</v>
      </c>
      <c r="E75" s="1"/>
      <c r="F75" s="1">
        <v>134.38999999999999</v>
      </c>
      <c r="G75" s="1">
        <v>13000</v>
      </c>
      <c r="H75" s="5">
        <f t="shared" si="1"/>
        <v>0</v>
      </c>
      <c r="I75" s="1"/>
      <c r="J75" s="1"/>
    </row>
    <row r="76" spans="2:13" x14ac:dyDescent="0.2">
      <c r="B76" s="1" t="s">
        <v>111</v>
      </c>
      <c r="C76" s="32">
        <v>4787</v>
      </c>
      <c r="D76" s="1">
        <v>25000</v>
      </c>
      <c r="E76" s="1"/>
      <c r="F76" s="1">
        <v>258.45</v>
      </c>
      <c r="G76" s="1">
        <v>25000</v>
      </c>
      <c r="H76" s="5">
        <f t="shared" si="1"/>
        <v>0</v>
      </c>
      <c r="I76" s="1"/>
      <c r="J76" s="1"/>
    </row>
    <row r="77" spans="2:13" x14ac:dyDescent="0.2">
      <c r="B77" s="1" t="s">
        <v>111</v>
      </c>
      <c r="C77" s="32">
        <v>5691</v>
      </c>
      <c r="D77" s="1">
        <v>25000</v>
      </c>
      <c r="E77" s="1"/>
      <c r="F77" s="1">
        <v>258.45</v>
      </c>
      <c r="G77" s="1">
        <v>25000</v>
      </c>
      <c r="H77" s="5">
        <f t="shared" si="1"/>
        <v>0</v>
      </c>
      <c r="I77" s="1"/>
      <c r="J77" s="1"/>
    </row>
    <row r="78" spans="2:13" x14ac:dyDescent="0.2">
      <c r="B78" s="1" t="s">
        <v>111</v>
      </c>
      <c r="C78" s="32">
        <v>3535</v>
      </c>
      <c r="D78" s="1">
        <v>25000</v>
      </c>
      <c r="E78" s="1"/>
      <c r="F78" s="1">
        <v>258.45</v>
      </c>
      <c r="G78" s="1">
        <v>25000</v>
      </c>
      <c r="H78" s="5">
        <f t="shared" si="1"/>
        <v>0</v>
      </c>
      <c r="I78" s="1"/>
      <c r="J78" s="1"/>
    </row>
    <row r="79" spans="2:13" x14ac:dyDescent="0.2">
      <c r="B79" s="1" t="s">
        <v>111</v>
      </c>
      <c r="C79" s="32">
        <v>6135</v>
      </c>
      <c r="D79" s="1">
        <v>7000</v>
      </c>
      <c r="E79" s="1"/>
      <c r="F79" s="1">
        <v>72.36</v>
      </c>
      <c r="G79" s="1">
        <v>7000</v>
      </c>
      <c r="H79" s="5">
        <f t="shared" si="1"/>
        <v>0</v>
      </c>
      <c r="I79" s="1"/>
      <c r="J79" s="1"/>
      <c r="M79">
        <f>144.73/2</f>
        <v>72.364999999999995</v>
      </c>
    </row>
    <row r="80" spans="2:13" x14ac:dyDescent="0.2">
      <c r="B80" s="1" t="s">
        <v>112</v>
      </c>
      <c r="C80" s="32">
        <v>1352</v>
      </c>
      <c r="D80" s="1">
        <v>14000</v>
      </c>
      <c r="E80" s="1"/>
      <c r="F80" s="1">
        <v>144.72999999999999</v>
      </c>
      <c r="G80" s="1">
        <v>14000</v>
      </c>
      <c r="H80" s="5">
        <f t="shared" si="1"/>
        <v>0</v>
      </c>
      <c r="I80" s="1"/>
      <c r="J80" s="1"/>
    </row>
    <row r="81" spans="2:10" x14ac:dyDescent="0.2">
      <c r="B81" s="1" t="s">
        <v>112</v>
      </c>
      <c r="C81" s="32">
        <v>8084</v>
      </c>
      <c r="D81" s="1">
        <v>30000</v>
      </c>
      <c r="E81" s="1"/>
      <c r="F81" s="1">
        <v>310.14</v>
      </c>
      <c r="G81" s="1">
        <v>30000</v>
      </c>
      <c r="H81" s="5">
        <f t="shared" si="1"/>
        <v>0</v>
      </c>
      <c r="I81" s="1"/>
      <c r="J81" s="1"/>
    </row>
    <row r="82" spans="2:10" x14ac:dyDescent="0.2">
      <c r="B82" s="1" t="s">
        <v>112</v>
      </c>
      <c r="C82" s="32">
        <v>5836</v>
      </c>
      <c r="D82" s="1">
        <v>25000</v>
      </c>
      <c r="E82" s="1"/>
      <c r="F82" s="1">
        <v>258.45</v>
      </c>
      <c r="G82" s="1">
        <v>25000</v>
      </c>
      <c r="H82" s="5">
        <f t="shared" si="1"/>
        <v>0</v>
      </c>
      <c r="I82" s="1"/>
      <c r="J82" s="1"/>
    </row>
    <row r="83" spans="2:10" x14ac:dyDescent="0.2">
      <c r="B83" s="1" t="s">
        <v>112</v>
      </c>
      <c r="C83" s="32">
        <v>1309</v>
      </c>
      <c r="D83" s="1">
        <v>18000</v>
      </c>
      <c r="E83" s="1"/>
      <c r="F83" s="1">
        <v>186.08</v>
      </c>
      <c r="G83" s="1">
        <v>18000</v>
      </c>
      <c r="H83" s="5">
        <f t="shared" si="1"/>
        <v>0</v>
      </c>
      <c r="I83" s="1"/>
      <c r="J83" s="1"/>
    </row>
    <row r="84" spans="2:10" x14ac:dyDescent="0.2">
      <c r="B84" s="1" t="s">
        <v>114</v>
      </c>
      <c r="C84" s="32" t="s">
        <v>61</v>
      </c>
      <c r="D84" s="1">
        <v>4500</v>
      </c>
      <c r="E84" s="1"/>
      <c r="F84" s="1">
        <v>46.52</v>
      </c>
      <c r="G84" s="1">
        <v>4500</v>
      </c>
      <c r="H84" s="5">
        <f t="shared" si="1"/>
        <v>0</v>
      </c>
      <c r="I84" s="1"/>
      <c r="J84" s="1"/>
    </row>
    <row r="85" spans="2:10" x14ac:dyDescent="0.2">
      <c r="B85" s="1" t="s">
        <v>114</v>
      </c>
      <c r="C85" s="32">
        <v>1220</v>
      </c>
      <c r="D85" s="1">
        <v>14000</v>
      </c>
      <c r="E85" s="1"/>
      <c r="F85" s="1">
        <v>144.75</v>
      </c>
      <c r="G85" s="1">
        <v>14000</v>
      </c>
      <c r="H85" s="5">
        <f t="shared" si="1"/>
        <v>0</v>
      </c>
      <c r="I85" s="1"/>
      <c r="J85" s="1"/>
    </row>
    <row r="86" spans="2:10" x14ac:dyDescent="0.2">
      <c r="B86" s="1" t="s">
        <v>114</v>
      </c>
      <c r="C86" s="32">
        <v>9286</v>
      </c>
      <c r="D86" s="1">
        <v>10000</v>
      </c>
      <c r="E86" s="1"/>
      <c r="F86" s="1">
        <v>103.96</v>
      </c>
      <c r="G86" s="1">
        <v>10000</v>
      </c>
      <c r="H86" s="5">
        <f t="shared" si="1"/>
        <v>0</v>
      </c>
      <c r="I86" s="1"/>
      <c r="J86" s="1"/>
    </row>
    <row r="87" spans="2:10" x14ac:dyDescent="0.2">
      <c r="B87" s="1" t="s">
        <v>114</v>
      </c>
      <c r="C87" s="32" t="s">
        <v>61</v>
      </c>
      <c r="D87" s="1">
        <v>3500</v>
      </c>
      <c r="E87" s="1"/>
      <c r="F87" s="1">
        <v>35</v>
      </c>
      <c r="G87" s="1">
        <v>3500</v>
      </c>
      <c r="H87" s="5">
        <f t="shared" si="1"/>
        <v>0</v>
      </c>
      <c r="I87" s="1"/>
      <c r="J87" s="1"/>
    </row>
    <row r="88" spans="2:10" x14ac:dyDescent="0.2">
      <c r="B88" s="1" t="s">
        <v>114</v>
      </c>
      <c r="C88" s="32">
        <v>6648</v>
      </c>
      <c r="D88" s="1">
        <v>30000</v>
      </c>
      <c r="E88" s="1"/>
      <c r="F88" s="1">
        <v>276</v>
      </c>
      <c r="G88" s="1">
        <v>30000</v>
      </c>
      <c r="H88" s="5">
        <f t="shared" si="1"/>
        <v>0</v>
      </c>
      <c r="I88" s="1"/>
      <c r="J88" s="1"/>
    </row>
    <row r="89" spans="2:10" x14ac:dyDescent="0.2">
      <c r="B89" s="1" t="s">
        <v>114</v>
      </c>
      <c r="C89" s="32">
        <v>3389</v>
      </c>
      <c r="D89" s="1">
        <v>27000</v>
      </c>
      <c r="E89" s="1"/>
      <c r="F89" s="1">
        <v>262</v>
      </c>
      <c r="G89" s="1">
        <v>27000</v>
      </c>
      <c r="H89" s="5">
        <f t="shared" si="1"/>
        <v>0</v>
      </c>
      <c r="I89" s="1"/>
      <c r="J89" s="1"/>
    </row>
    <row r="90" spans="2:10" x14ac:dyDescent="0.2">
      <c r="B90" s="1" t="s">
        <v>115</v>
      </c>
      <c r="C90" s="32">
        <v>6887</v>
      </c>
      <c r="D90" s="1">
        <v>15000</v>
      </c>
      <c r="E90" s="1"/>
      <c r="F90" s="1">
        <v>155.07</v>
      </c>
      <c r="G90" s="1">
        <v>15000</v>
      </c>
      <c r="H90" s="5">
        <f t="shared" si="1"/>
        <v>0</v>
      </c>
      <c r="I90" s="1"/>
      <c r="J90" s="1"/>
    </row>
    <row r="91" spans="2:10" x14ac:dyDescent="0.2">
      <c r="B91" s="1" t="s">
        <v>115</v>
      </c>
      <c r="C91" s="32">
        <v>185</v>
      </c>
      <c r="D91" s="1">
        <v>15000</v>
      </c>
      <c r="E91" s="1"/>
      <c r="F91" s="1">
        <v>155.07</v>
      </c>
      <c r="G91" s="1">
        <v>15000</v>
      </c>
      <c r="H91" s="5">
        <f t="shared" si="1"/>
        <v>0</v>
      </c>
      <c r="I91" s="1"/>
      <c r="J91" s="1"/>
    </row>
    <row r="92" spans="2:10" x14ac:dyDescent="0.2">
      <c r="B92" s="1" t="s">
        <v>115</v>
      </c>
      <c r="C92" s="32">
        <v>65</v>
      </c>
      <c r="D92" s="1">
        <v>5000</v>
      </c>
      <c r="E92" s="1"/>
      <c r="F92" s="1">
        <v>51.69</v>
      </c>
      <c r="G92" s="1">
        <v>5000</v>
      </c>
      <c r="H92" s="5">
        <f t="shared" si="1"/>
        <v>0</v>
      </c>
      <c r="I92" s="1"/>
      <c r="J92" s="1"/>
    </row>
    <row r="93" spans="2:10" x14ac:dyDescent="0.2">
      <c r="B93" s="1" t="s">
        <v>115</v>
      </c>
      <c r="C93" s="32">
        <v>2423</v>
      </c>
      <c r="D93" s="1">
        <v>15000</v>
      </c>
      <c r="E93" s="1"/>
      <c r="F93" s="1">
        <v>155.07</v>
      </c>
      <c r="G93" s="1">
        <v>15000</v>
      </c>
      <c r="H93" s="5">
        <f t="shared" si="1"/>
        <v>0</v>
      </c>
      <c r="I93" s="1"/>
      <c r="J93" s="1"/>
    </row>
    <row r="94" spans="2:10" x14ac:dyDescent="0.2">
      <c r="B94" s="1" t="s">
        <v>115</v>
      </c>
      <c r="C94" s="32">
        <v>1352</v>
      </c>
      <c r="D94" s="1">
        <v>13000</v>
      </c>
      <c r="E94" s="1"/>
      <c r="F94" s="1">
        <v>134.38999999999999</v>
      </c>
      <c r="G94" s="1">
        <v>13000</v>
      </c>
      <c r="H94" s="5">
        <f t="shared" si="1"/>
        <v>0</v>
      </c>
      <c r="I94" s="1"/>
      <c r="J94" s="1"/>
    </row>
    <row r="95" spans="2:10" x14ac:dyDescent="0.2">
      <c r="B95" s="1" t="s">
        <v>115</v>
      </c>
      <c r="C95" s="32" t="s">
        <v>66</v>
      </c>
      <c r="D95" s="1">
        <v>100</v>
      </c>
      <c r="E95" s="1"/>
      <c r="F95" s="1">
        <v>1.04</v>
      </c>
      <c r="G95" s="1">
        <v>100</v>
      </c>
      <c r="H95" s="5">
        <f t="shared" si="1"/>
        <v>0</v>
      </c>
      <c r="I95" s="1"/>
      <c r="J95" s="1"/>
    </row>
    <row r="96" spans="2:10" x14ac:dyDescent="0.2">
      <c r="B96" s="1" t="s">
        <v>115</v>
      </c>
      <c r="C96" s="32">
        <v>5966</v>
      </c>
      <c r="D96" s="1">
        <v>20000</v>
      </c>
      <c r="E96" s="1"/>
      <c r="F96" s="1">
        <v>206.76</v>
      </c>
      <c r="G96" s="1">
        <v>20000</v>
      </c>
      <c r="H96" s="5">
        <f t="shared" si="1"/>
        <v>0</v>
      </c>
      <c r="I96" s="1"/>
      <c r="J96" s="1"/>
    </row>
    <row r="97" spans="2:14" x14ac:dyDescent="0.2">
      <c r="B97" s="1" t="s">
        <v>115</v>
      </c>
      <c r="C97" s="32">
        <v>4015</v>
      </c>
      <c r="D97" s="1">
        <v>30000</v>
      </c>
      <c r="E97" s="1"/>
      <c r="F97" s="1">
        <v>310.14</v>
      </c>
      <c r="G97" s="1">
        <v>30000</v>
      </c>
      <c r="H97" s="5">
        <f t="shared" si="1"/>
        <v>0</v>
      </c>
      <c r="I97" s="1"/>
      <c r="J97" s="1"/>
    </row>
    <row r="98" spans="2:14" x14ac:dyDescent="0.2">
      <c r="B98" s="1" t="s">
        <v>115</v>
      </c>
      <c r="C98" s="32">
        <v>9701</v>
      </c>
      <c r="D98" s="1">
        <v>30000</v>
      </c>
      <c r="E98" s="1"/>
      <c r="F98" s="1">
        <v>310.14</v>
      </c>
      <c r="G98" s="1">
        <v>30000</v>
      </c>
      <c r="H98" s="5">
        <f t="shared" si="1"/>
        <v>0</v>
      </c>
      <c r="I98" s="1"/>
      <c r="J98" s="1"/>
    </row>
    <row r="99" spans="2:14" x14ac:dyDescent="0.2">
      <c r="B99" s="1" t="s">
        <v>116</v>
      </c>
      <c r="C99" s="32" t="s">
        <v>66</v>
      </c>
      <c r="D99" s="1">
        <v>400</v>
      </c>
      <c r="E99" s="1"/>
      <c r="F99" s="1">
        <v>3.84</v>
      </c>
      <c r="G99" s="1">
        <v>400</v>
      </c>
      <c r="H99" s="5">
        <f t="shared" si="1"/>
        <v>0</v>
      </c>
      <c r="I99" s="1"/>
      <c r="J99" s="1"/>
    </row>
    <row r="100" spans="2:14" x14ac:dyDescent="0.2">
      <c r="B100" s="1" t="s">
        <v>116</v>
      </c>
      <c r="C100" s="32">
        <v>205</v>
      </c>
      <c r="D100" s="1">
        <v>13000</v>
      </c>
      <c r="E100" s="1"/>
      <c r="F100" s="1">
        <v>134.35</v>
      </c>
      <c r="G100" s="1">
        <v>13000</v>
      </c>
      <c r="H100" s="5">
        <f t="shared" si="1"/>
        <v>0</v>
      </c>
      <c r="I100" s="1"/>
      <c r="J100" s="1"/>
    </row>
    <row r="101" spans="2:14" x14ac:dyDescent="0.2">
      <c r="B101" s="1" t="s">
        <v>116</v>
      </c>
      <c r="C101" s="32">
        <v>311</v>
      </c>
      <c r="D101" s="1">
        <v>20000</v>
      </c>
      <c r="E101" s="1"/>
      <c r="F101" s="1">
        <v>206.26</v>
      </c>
      <c r="G101" s="1">
        <v>20000</v>
      </c>
      <c r="H101" s="5">
        <f t="shared" si="1"/>
        <v>0</v>
      </c>
      <c r="I101" s="1"/>
      <c r="J101" s="1"/>
    </row>
    <row r="102" spans="2:14" x14ac:dyDescent="0.2">
      <c r="B102" s="1" t="s">
        <v>116</v>
      </c>
      <c r="C102" s="32">
        <v>4551</v>
      </c>
      <c r="D102" s="1">
        <v>30000</v>
      </c>
      <c r="E102" s="1"/>
      <c r="F102" s="1">
        <v>294.74</v>
      </c>
      <c r="G102" s="1">
        <v>30000</v>
      </c>
      <c r="H102" s="5">
        <f t="shared" si="1"/>
        <v>0</v>
      </c>
      <c r="I102" s="1"/>
      <c r="J102" s="1"/>
    </row>
    <row r="103" spans="2:14" x14ac:dyDescent="0.2">
      <c r="B103" s="1" t="s">
        <v>116</v>
      </c>
      <c r="C103" s="32">
        <v>6311</v>
      </c>
      <c r="D103" s="1">
        <v>10000</v>
      </c>
      <c r="E103" s="1"/>
      <c r="F103" s="1">
        <v>103.38</v>
      </c>
      <c r="G103" s="1">
        <v>10000</v>
      </c>
      <c r="H103" s="5">
        <f t="shared" si="1"/>
        <v>0</v>
      </c>
      <c r="I103" s="1"/>
      <c r="J103" s="1"/>
    </row>
    <row r="104" spans="2:14" x14ac:dyDescent="0.2">
      <c r="B104" s="1" t="s">
        <v>116</v>
      </c>
      <c r="C104" s="32">
        <v>4151</v>
      </c>
      <c r="D104" s="1">
        <v>35000</v>
      </c>
      <c r="E104" s="1"/>
      <c r="F104" s="1">
        <v>321</v>
      </c>
      <c r="G104" s="1">
        <v>35000</v>
      </c>
      <c r="H104" s="5">
        <f t="shared" si="1"/>
        <v>0</v>
      </c>
      <c r="I104" s="1"/>
      <c r="J104" s="1"/>
    </row>
    <row r="105" spans="2:14" x14ac:dyDescent="0.2">
      <c r="B105" s="1" t="s">
        <v>116</v>
      </c>
      <c r="C105" s="32">
        <v>5026</v>
      </c>
      <c r="D105" s="1">
        <v>17000</v>
      </c>
      <c r="E105" s="1"/>
      <c r="F105" s="1">
        <v>175.69</v>
      </c>
      <c r="G105" s="1">
        <v>17000</v>
      </c>
      <c r="H105" s="5">
        <f t="shared" si="1"/>
        <v>0</v>
      </c>
      <c r="I105" s="1"/>
      <c r="J105" s="1"/>
      <c r="L105" t="s">
        <v>121</v>
      </c>
    </row>
    <row r="106" spans="2:14" x14ac:dyDescent="0.2">
      <c r="B106" s="1" t="s">
        <v>118</v>
      </c>
      <c r="C106" s="32" t="s">
        <v>30</v>
      </c>
      <c r="D106" s="1">
        <v>4500</v>
      </c>
      <c r="E106" s="1"/>
      <c r="F106" s="1">
        <v>46.52</v>
      </c>
      <c r="G106" s="1">
        <v>4500</v>
      </c>
      <c r="H106" s="5">
        <f t="shared" si="1"/>
        <v>0</v>
      </c>
      <c r="I106" s="1"/>
      <c r="J106" s="1"/>
      <c r="L106">
        <v>2100000</v>
      </c>
      <c r="N106">
        <f>21000</f>
        <v>21000</v>
      </c>
    </row>
    <row r="107" spans="2:14" x14ac:dyDescent="0.2">
      <c r="B107" s="1" t="s">
        <v>118</v>
      </c>
      <c r="C107" s="32" t="s">
        <v>63</v>
      </c>
      <c r="D107" s="1">
        <v>3500</v>
      </c>
      <c r="E107" s="1"/>
      <c r="F107" s="1">
        <v>36.18</v>
      </c>
      <c r="G107" s="1">
        <v>3500</v>
      </c>
      <c r="H107" s="5">
        <f t="shared" si="1"/>
        <v>0</v>
      </c>
      <c r="I107" s="1"/>
      <c r="J107" s="1"/>
    </row>
    <row r="108" spans="2:14" x14ac:dyDescent="0.2">
      <c r="B108" s="1" t="s">
        <v>118</v>
      </c>
      <c r="C108" s="32">
        <v>1727</v>
      </c>
      <c r="D108" s="1">
        <v>30000</v>
      </c>
      <c r="E108" s="1"/>
      <c r="F108" s="1">
        <v>310.14</v>
      </c>
      <c r="G108" s="1">
        <v>30000</v>
      </c>
      <c r="H108" s="5">
        <f t="shared" si="1"/>
        <v>0</v>
      </c>
      <c r="I108" s="1"/>
      <c r="J108" s="1"/>
    </row>
    <row r="109" spans="2:14" x14ac:dyDescent="0.2">
      <c r="B109" s="1" t="s">
        <v>118</v>
      </c>
      <c r="C109" s="32">
        <v>4087</v>
      </c>
      <c r="D109" s="1">
        <v>24000</v>
      </c>
      <c r="E109" s="1"/>
      <c r="F109" s="1">
        <v>248.11</v>
      </c>
      <c r="G109" s="1">
        <v>24000</v>
      </c>
      <c r="H109" s="5">
        <f t="shared" si="1"/>
        <v>0</v>
      </c>
      <c r="I109" s="1"/>
      <c r="J109" s="1"/>
    </row>
    <row r="110" spans="2:14" x14ac:dyDescent="0.2">
      <c r="B110" s="1" t="s">
        <v>118</v>
      </c>
      <c r="C110" s="32" t="s">
        <v>66</v>
      </c>
      <c r="D110" s="1">
        <v>100</v>
      </c>
      <c r="E110" s="1"/>
      <c r="F110" s="1">
        <v>1.04</v>
      </c>
      <c r="G110" s="1">
        <v>100</v>
      </c>
      <c r="H110" s="5">
        <f t="shared" si="1"/>
        <v>0</v>
      </c>
      <c r="I110" s="1"/>
      <c r="J110" s="1"/>
    </row>
    <row r="111" spans="2:14" x14ac:dyDescent="0.2">
      <c r="B111" s="1" t="s">
        <v>118</v>
      </c>
      <c r="C111" s="32">
        <v>8538</v>
      </c>
      <c r="D111" s="1">
        <v>22000</v>
      </c>
      <c r="E111" s="1"/>
      <c r="F111" s="1">
        <v>227.44</v>
      </c>
      <c r="G111" s="1">
        <v>22000</v>
      </c>
      <c r="H111" s="5">
        <f t="shared" si="1"/>
        <v>0</v>
      </c>
      <c r="I111" s="1"/>
      <c r="J111" s="1"/>
    </row>
    <row r="112" spans="2:14" x14ac:dyDescent="0.2">
      <c r="B112" s="1" t="s">
        <v>117</v>
      </c>
      <c r="C112" s="32">
        <v>9835</v>
      </c>
      <c r="D112" s="1">
        <v>12000</v>
      </c>
      <c r="E112" s="1"/>
      <c r="F112" s="1">
        <v>114.05</v>
      </c>
      <c r="G112" s="1">
        <v>12000</v>
      </c>
      <c r="H112" s="5">
        <f t="shared" si="1"/>
        <v>0</v>
      </c>
      <c r="I112" s="1"/>
      <c r="J112" s="1"/>
    </row>
    <row r="113" spans="2:10" x14ac:dyDescent="0.2">
      <c r="B113" s="1" t="s">
        <v>117</v>
      </c>
      <c r="C113" s="32">
        <v>1220</v>
      </c>
      <c r="D113" s="1">
        <v>12000</v>
      </c>
      <c r="E113" s="1"/>
      <c r="F113" s="1">
        <v>114.05</v>
      </c>
      <c r="G113" s="1">
        <v>12000</v>
      </c>
      <c r="H113" s="5">
        <f t="shared" si="1"/>
        <v>0</v>
      </c>
      <c r="I113" s="1"/>
      <c r="J113" s="1"/>
    </row>
    <row r="114" spans="2:10" x14ac:dyDescent="0.2">
      <c r="B114" s="1" t="s">
        <v>117</v>
      </c>
      <c r="C114" s="32">
        <v>4075</v>
      </c>
      <c r="D114" s="1">
        <v>12500</v>
      </c>
      <c r="E114" s="1"/>
      <c r="F114" s="1">
        <v>129.22999999999999</v>
      </c>
      <c r="G114" s="1">
        <v>12500</v>
      </c>
      <c r="H114" s="5">
        <f t="shared" si="1"/>
        <v>0</v>
      </c>
      <c r="I114" s="1"/>
      <c r="J114" s="1"/>
    </row>
    <row r="115" spans="2:10" x14ac:dyDescent="0.2">
      <c r="B115" s="1" t="s">
        <v>117</v>
      </c>
      <c r="C115" s="32">
        <v>6015</v>
      </c>
      <c r="D115" s="1">
        <v>30000</v>
      </c>
      <c r="E115" s="1"/>
      <c r="F115" s="1">
        <v>316.14</v>
      </c>
      <c r="G115" s="1">
        <v>30000</v>
      </c>
      <c r="H115" s="5">
        <f t="shared" si="1"/>
        <v>0</v>
      </c>
      <c r="I115" s="1"/>
      <c r="J115" s="1"/>
    </row>
    <row r="116" spans="2:10" x14ac:dyDescent="0.2">
      <c r="B116" s="1" t="s">
        <v>117</v>
      </c>
      <c r="C116" s="32">
        <v>6919</v>
      </c>
      <c r="D116" s="1">
        <v>35000</v>
      </c>
      <c r="E116" s="1"/>
      <c r="F116" s="1">
        <v>361.83</v>
      </c>
      <c r="G116" s="1">
        <v>35000</v>
      </c>
      <c r="H116" s="5">
        <f t="shared" si="1"/>
        <v>0</v>
      </c>
      <c r="I116" s="1"/>
      <c r="J116" s="1"/>
    </row>
    <row r="117" spans="2:10" x14ac:dyDescent="0.2">
      <c r="B117" s="1" t="s">
        <v>117</v>
      </c>
      <c r="C117" s="32">
        <v>2834</v>
      </c>
      <c r="D117" s="1">
        <v>15000</v>
      </c>
      <c r="E117" s="1"/>
      <c r="F117" s="1">
        <v>125.07</v>
      </c>
      <c r="G117" s="1">
        <v>15000</v>
      </c>
      <c r="H117" s="5">
        <f t="shared" si="1"/>
        <v>0</v>
      </c>
      <c r="I117" s="1"/>
      <c r="J117" s="1"/>
    </row>
    <row r="118" spans="2:10" x14ac:dyDescent="0.2">
      <c r="B118" s="1" t="s">
        <v>117</v>
      </c>
      <c r="C118" s="32" t="s">
        <v>66</v>
      </c>
      <c r="D118" s="1">
        <v>400</v>
      </c>
      <c r="E118" s="1"/>
      <c r="F118" s="1">
        <v>4.16</v>
      </c>
      <c r="G118" s="1">
        <v>400</v>
      </c>
      <c r="H118" s="5">
        <f t="shared" si="1"/>
        <v>0</v>
      </c>
      <c r="I118" s="1"/>
      <c r="J118" s="1"/>
    </row>
    <row r="119" spans="2:10" x14ac:dyDescent="0.2">
      <c r="B119" s="1" t="s">
        <v>117</v>
      </c>
      <c r="C119" s="32">
        <v>2152</v>
      </c>
      <c r="D119" s="1">
        <v>25000</v>
      </c>
      <c r="E119" s="1"/>
      <c r="F119" s="1">
        <v>253.3</v>
      </c>
      <c r="G119" s="1">
        <v>25000</v>
      </c>
      <c r="H119" s="5">
        <f t="shared" si="1"/>
        <v>0</v>
      </c>
      <c r="I119" s="1"/>
      <c r="J119" s="1"/>
    </row>
    <row r="120" spans="2:10" x14ac:dyDescent="0.2">
      <c r="B120" s="1" t="s">
        <v>117</v>
      </c>
      <c r="C120" s="32">
        <v>4314</v>
      </c>
      <c r="D120" s="1">
        <v>20000</v>
      </c>
      <c r="E120" s="1"/>
      <c r="F120" s="1">
        <v>206.76</v>
      </c>
      <c r="G120" s="1">
        <v>20000</v>
      </c>
      <c r="H120" s="5">
        <f t="shared" si="1"/>
        <v>0</v>
      </c>
      <c r="I120" s="1"/>
      <c r="J120" s="1"/>
    </row>
    <row r="121" spans="2:10" x14ac:dyDescent="0.2">
      <c r="B121" s="1" t="s">
        <v>117</v>
      </c>
      <c r="C121" s="32">
        <v>1352</v>
      </c>
      <c r="D121" s="1">
        <v>13000</v>
      </c>
      <c r="E121" s="1"/>
      <c r="F121" s="1">
        <v>134.35</v>
      </c>
      <c r="G121" s="1">
        <v>13000</v>
      </c>
      <c r="H121" s="5">
        <f t="shared" si="1"/>
        <v>0</v>
      </c>
      <c r="I121" s="1"/>
      <c r="J121" s="1"/>
    </row>
    <row r="122" spans="2:10" x14ac:dyDescent="0.2">
      <c r="B122" s="1" t="s">
        <v>117</v>
      </c>
      <c r="C122" s="32">
        <v>6852</v>
      </c>
      <c r="D122" s="1">
        <v>25000</v>
      </c>
      <c r="E122" s="1"/>
      <c r="F122" s="1">
        <v>253.3</v>
      </c>
      <c r="G122" s="1">
        <v>25000</v>
      </c>
      <c r="H122" s="5">
        <f t="shared" si="1"/>
        <v>0</v>
      </c>
      <c r="I122" s="1"/>
      <c r="J122" s="1"/>
    </row>
    <row r="123" spans="2:10" x14ac:dyDescent="0.2">
      <c r="B123" s="1" t="s">
        <v>117</v>
      </c>
      <c r="C123" s="32">
        <v>1321</v>
      </c>
      <c r="D123" s="1">
        <v>13000</v>
      </c>
      <c r="E123" s="1"/>
      <c r="F123" s="1">
        <v>134.35</v>
      </c>
      <c r="G123" s="1">
        <v>13000</v>
      </c>
      <c r="H123" s="5">
        <f t="shared" si="1"/>
        <v>0</v>
      </c>
      <c r="I123" s="1"/>
      <c r="J123" s="1"/>
    </row>
    <row r="124" spans="2:10" x14ac:dyDescent="0.2">
      <c r="B124" s="1" t="s">
        <v>117</v>
      </c>
      <c r="C124" s="32">
        <v>293</v>
      </c>
      <c r="D124" s="1">
        <v>15000</v>
      </c>
      <c r="E124" s="1"/>
      <c r="F124" s="1">
        <v>155</v>
      </c>
      <c r="G124" s="1">
        <v>15000</v>
      </c>
      <c r="H124" s="5">
        <f t="shared" si="1"/>
        <v>0</v>
      </c>
      <c r="I124" s="1"/>
      <c r="J124" s="1"/>
    </row>
    <row r="125" spans="2:10" x14ac:dyDescent="0.2">
      <c r="B125" s="1" t="s">
        <v>117</v>
      </c>
      <c r="C125" s="32">
        <v>2740</v>
      </c>
      <c r="D125" s="1">
        <v>15000</v>
      </c>
      <c r="E125" s="1"/>
      <c r="F125" s="1">
        <v>155</v>
      </c>
      <c r="G125" s="1">
        <v>15000</v>
      </c>
      <c r="H125" s="5">
        <f t="shared" si="1"/>
        <v>0</v>
      </c>
      <c r="I125" s="1"/>
      <c r="J125" s="1"/>
    </row>
    <row r="126" spans="2:10" x14ac:dyDescent="0.2">
      <c r="B126" s="1" t="s">
        <v>117</v>
      </c>
      <c r="C126" s="85">
        <v>5746</v>
      </c>
      <c r="D126" s="1">
        <v>20000</v>
      </c>
      <c r="E126" s="1"/>
      <c r="F126" s="1">
        <v>206.76</v>
      </c>
      <c r="G126" s="1">
        <v>20000</v>
      </c>
      <c r="H126" s="5">
        <f t="shared" si="1"/>
        <v>0</v>
      </c>
      <c r="I126" s="1"/>
      <c r="J126" s="1"/>
    </row>
    <row r="127" spans="2:10" x14ac:dyDescent="0.2">
      <c r="B127" s="1" t="s">
        <v>117</v>
      </c>
      <c r="C127" s="32" t="s">
        <v>61</v>
      </c>
      <c r="D127" s="1">
        <v>4500</v>
      </c>
      <c r="E127" s="1"/>
      <c r="F127" s="1">
        <v>46.12</v>
      </c>
      <c r="G127" s="1">
        <v>4500</v>
      </c>
      <c r="H127" s="5">
        <f t="shared" si="1"/>
        <v>0</v>
      </c>
      <c r="I127" s="1"/>
      <c r="J127" s="1"/>
    </row>
    <row r="128" spans="2:10" x14ac:dyDescent="0.2">
      <c r="B128" s="1" t="s">
        <v>117</v>
      </c>
      <c r="C128" s="32">
        <v>1121</v>
      </c>
      <c r="D128" s="1">
        <v>30000</v>
      </c>
      <c r="E128" s="1"/>
      <c r="F128" s="1">
        <v>310.14</v>
      </c>
      <c r="G128" s="1">
        <v>30000</v>
      </c>
      <c r="H128" s="5">
        <f t="shared" si="1"/>
        <v>0</v>
      </c>
      <c r="I128" s="1"/>
      <c r="J128" s="1"/>
    </row>
    <row r="129" spans="2:10" x14ac:dyDescent="0.2">
      <c r="B129" s="1" t="s">
        <v>117</v>
      </c>
      <c r="C129" s="32">
        <v>7437</v>
      </c>
      <c r="D129" s="1">
        <v>25000</v>
      </c>
      <c r="E129" s="1"/>
      <c r="F129" s="1">
        <v>247.42</v>
      </c>
      <c r="G129" s="1">
        <v>25000</v>
      </c>
      <c r="H129" s="5">
        <f t="shared" si="1"/>
        <v>0</v>
      </c>
      <c r="I129" s="1"/>
      <c r="J129" s="1"/>
    </row>
    <row r="130" spans="2:10" x14ac:dyDescent="0.2">
      <c r="B130" s="1" t="s">
        <v>117</v>
      </c>
      <c r="C130" s="32">
        <v>7322</v>
      </c>
      <c r="D130" s="1">
        <v>20000</v>
      </c>
      <c r="E130" s="1"/>
      <c r="F130" s="1">
        <v>20.76</v>
      </c>
      <c r="G130" s="1">
        <v>20000</v>
      </c>
      <c r="H130" s="5">
        <f t="shared" si="1"/>
        <v>0</v>
      </c>
      <c r="I130" s="1"/>
      <c r="J130" s="1"/>
    </row>
    <row r="131" spans="2:10" x14ac:dyDescent="0.2">
      <c r="B131" s="1" t="s">
        <v>120</v>
      </c>
      <c r="C131" s="32">
        <v>511</v>
      </c>
      <c r="D131" s="1">
        <v>32000</v>
      </c>
      <c r="E131" s="1"/>
      <c r="F131" s="1">
        <v>320.27999999999997</v>
      </c>
      <c r="G131" s="1">
        <v>32000</v>
      </c>
      <c r="H131" s="5">
        <f t="shared" si="1"/>
        <v>0</v>
      </c>
      <c r="I131" s="1"/>
      <c r="J131" s="1"/>
    </row>
    <row r="132" spans="2:10" x14ac:dyDescent="0.2">
      <c r="B132" s="1" t="s">
        <v>120</v>
      </c>
      <c r="C132" s="32">
        <v>4194</v>
      </c>
      <c r="D132" s="1">
        <v>15000</v>
      </c>
      <c r="E132" s="1"/>
      <c r="F132" s="1">
        <v>155</v>
      </c>
      <c r="G132" s="1">
        <v>15000</v>
      </c>
      <c r="H132" s="5">
        <f t="shared" si="1"/>
        <v>0</v>
      </c>
      <c r="I132" s="1"/>
      <c r="J132" s="1"/>
    </row>
    <row r="133" spans="2:10" x14ac:dyDescent="0.2">
      <c r="B133" s="1" t="s">
        <v>120</v>
      </c>
      <c r="C133" s="32">
        <v>7876</v>
      </c>
      <c r="D133" s="1">
        <v>15000</v>
      </c>
      <c r="E133" s="1"/>
      <c r="F133" s="1">
        <v>155</v>
      </c>
      <c r="G133" s="1">
        <v>15000</v>
      </c>
      <c r="H133" s="5">
        <f t="shared" si="1"/>
        <v>0</v>
      </c>
      <c r="I133" s="1"/>
      <c r="J133" s="1"/>
    </row>
    <row r="134" spans="2:10" x14ac:dyDescent="0.2">
      <c r="B134" s="1" t="s">
        <v>120</v>
      </c>
      <c r="C134" s="32">
        <v>9927</v>
      </c>
      <c r="D134" s="1">
        <v>20000</v>
      </c>
      <c r="E134" s="1"/>
      <c r="F134" s="1">
        <v>206.76</v>
      </c>
      <c r="G134" s="1">
        <v>20000</v>
      </c>
      <c r="H134" s="5">
        <f t="shared" si="1"/>
        <v>0</v>
      </c>
      <c r="I134" s="1"/>
      <c r="J134" s="1"/>
    </row>
    <row r="135" spans="2:10" x14ac:dyDescent="0.2">
      <c r="B135" s="1" t="s">
        <v>120</v>
      </c>
      <c r="C135" s="32">
        <v>751</v>
      </c>
      <c r="D135" s="1">
        <v>20000</v>
      </c>
      <c r="E135" s="1"/>
      <c r="F135" s="1">
        <v>206.76</v>
      </c>
      <c r="G135" s="1">
        <v>20000</v>
      </c>
      <c r="H135" s="5">
        <f t="shared" si="1"/>
        <v>0</v>
      </c>
      <c r="I135" s="1"/>
      <c r="J135" s="1"/>
    </row>
    <row r="136" spans="2:10" x14ac:dyDescent="0.2">
      <c r="B136" s="1" t="s">
        <v>120</v>
      </c>
      <c r="C136" s="32">
        <v>3606</v>
      </c>
      <c r="D136" s="1">
        <v>20000</v>
      </c>
      <c r="E136" s="1"/>
      <c r="F136" s="1">
        <v>206.76</v>
      </c>
      <c r="G136" s="1">
        <v>20000</v>
      </c>
      <c r="H136" s="5">
        <f t="shared" si="1"/>
        <v>0</v>
      </c>
      <c r="I136" s="1"/>
      <c r="J136" s="1"/>
    </row>
    <row r="137" spans="2:10" x14ac:dyDescent="0.2">
      <c r="B137" s="1" t="s">
        <v>120</v>
      </c>
      <c r="C137" s="32">
        <v>5324</v>
      </c>
      <c r="D137" s="1">
        <v>18000</v>
      </c>
      <c r="E137" s="1"/>
      <c r="F137" s="1">
        <v>186.08</v>
      </c>
      <c r="G137" s="1">
        <v>18000</v>
      </c>
      <c r="H137" s="5">
        <f t="shared" si="1"/>
        <v>0</v>
      </c>
      <c r="I137" s="1"/>
      <c r="J137" s="1"/>
    </row>
    <row r="138" spans="2:10" x14ac:dyDescent="0.2">
      <c r="B138" s="1" t="s">
        <v>120</v>
      </c>
      <c r="C138" s="32">
        <v>5716</v>
      </c>
      <c r="D138" s="1">
        <v>10000</v>
      </c>
      <c r="E138" s="1"/>
      <c r="F138" s="1">
        <v>103.38</v>
      </c>
      <c r="G138" s="1">
        <v>10000</v>
      </c>
      <c r="H138" s="5">
        <f t="shared" si="1"/>
        <v>0</v>
      </c>
      <c r="I138" s="1"/>
      <c r="J138" s="1"/>
    </row>
    <row r="139" spans="2:10" x14ac:dyDescent="0.2">
      <c r="B139" s="1" t="s">
        <v>120</v>
      </c>
      <c r="C139" s="32">
        <v>9337</v>
      </c>
      <c r="D139" s="1">
        <v>25000</v>
      </c>
      <c r="E139" s="1"/>
      <c r="F139" s="1">
        <v>258.45</v>
      </c>
      <c r="G139" s="1">
        <v>25000</v>
      </c>
      <c r="H139" s="5">
        <f t="shared" si="1"/>
        <v>0</v>
      </c>
      <c r="I139" s="1"/>
      <c r="J139" s="1"/>
    </row>
    <row r="140" spans="2:10" x14ac:dyDescent="0.2">
      <c r="B140" s="1" t="s">
        <v>120</v>
      </c>
      <c r="C140" s="32">
        <v>7988</v>
      </c>
      <c r="D140" s="1">
        <v>14000</v>
      </c>
      <c r="E140" s="1"/>
      <c r="F140" s="1">
        <v>144.72999999999999</v>
      </c>
      <c r="G140" s="1">
        <v>14000</v>
      </c>
      <c r="H140" s="5">
        <f t="shared" si="1"/>
        <v>0</v>
      </c>
      <c r="I140" s="1"/>
      <c r="J140" s="1"/>
    </row>
    <row r="141" spans="2:10" x14ac:dyDescent="0.2">
      <c r="B141" s="1" t="s">
        <v>120</v>
      </c>
      <c r="C141" s="32">
        <v>3505</v>
      </c>
      <c r="D141" s="1">
        <v>30000</v>
      </c>
      <c r="E141" s="1"/>
      <c r="F141" s="1">
        <v>310.14999999999998</v>
      </c>
      <c r="G141" s="1">
        <v>30000</v>
      </c>
      <c r="H141" s="5">
        <f t="shared" si="1"/>
        <v>0</v>
      </c>
      <c r="I141" s="1"/>
      <c r="J141" s="1"/>
    </row>
    <row r="142" spans="2:10" x14ac:dyDescent="0.2">
      <c r="B142" s="1" t="s">
        <v>120</v>
      </c>
      <c r="C142" s="32">
        <v>1723</v>
      </c>
      <c r="D142" s="1">
        <v>10000</v>
      </c>
      <c r="E142" s="1"/>
      <c r="F142" s="1">
        <v>178.85</v>
      </c>
      <c r="G142" s="1">
        <v>10000</v>
      </c>
      <c r="H142" s="5">
        <f t="shared" si="1"/>
        <v>0</v>
      </c>
      <c r="I142" s="1"/>
      <c r="J142" s="1"/>
    </row>
    <row r="143" spans="2:10" x14ac:dyDescent="0.2">
      <c r="B143" s="1" t="s">
        <v>120</v>
      </c>
      <c r="C143" s="32">
        <v>4871</v>
      </c>
      <c r="D143" s="1">
        <v>16000</v>
      </c>
      <c r="E143" s="1"/>
      <c r="F143" s="1">
        <v>165.41</v>
      </c>
      <c r="G143" s="1">
        <v>16000</v>
      </c>
      <c r="H143" s="5">
        <f t="shared" si="1"/>
        <v>0</v>
      </c>
      <c r="I143" s="1"/>
      <c r="J143" s="1"/>
    </row>
    <row r="144" spans="2:10" x14ac:dyDescent="0.2">
      <c r="B144" s="1" t="s">
        <v>120</v>
      </c>
      <c r="C144" s="32">
        <v>6878</v>
      </c>
      <c r="D144" s="1">
        <v>28000</v>
      </c>
      <c r="E144" s="1"/>
      <c r="F144" s="1">
        <v>289</v>
      </c>
      <c r="G144" s="1">
        <v>28000</v>
      </c>
      <c r="H144" s="5">
        <f t="shared" si="1"/>
        <v>0</v>
      </c>
      <c r="I144" s="1"/>
      <c r="J144" s="1"/>
    </row>
    <row r="145" spans="2:10" x14ac:dyDescent="0.2">
      <c r="B145" s="1" t="s">
        <v>122</v>
      </c>
      <c r="C145" s="32">
        <v>7971</v>
      </c>
      <c r="D145" s="1">
        <v>30000</v>
      </c>
      <c r="E145" s="1"/>
      <c r="F145" s="1">
        <v>310.14</v>
      </c>
      <c r="G145" s="1">
        <v>30000</v>
      </c>
      <c r="H145" s="5">
        <f t="shared" si="1"/>
        <v>0</v>
      </c>
      <c r="I145" s="1"/>
      <c r="J145" s="1"/>
    </row>
    <row r="146" spans="2:10" x14ac:dyDescent="0.2">
      <c r="B146" s="1" t="s">
        <v>122</v>
      </c>
      <c r="C146" s="32">
        <v>756</v>
      </c>
      <c r="D146" s="1">
        <v>25000</v>
      </c>
      <c r="E146" s="1"/>
      <c r="F146" s="1">
        <v>258.45</v>
      </c>
      <c r="G146" s="1">
        <v>25000</v>
      </c>
      <c r="H146" s="5">
        <f t="shared" si="1"/>
        <v>0</v>
      </c>
      <c r="I146" s="1"/>
      <c r="J146" s="1"/>
    </row>
    <row r="147" spans="2:10" x14ac:dyDescent="0.2">
      <c r="B147" s="1" t="s">
        <v>122</v>
      </c>
      <c r="C147" s="32">
        <v>5691</v>
      </c>
      <c r="D147" s="1">
        <v>25000</v>
      </c>
      <c r="E147" s="1"/>
      <c r="F147" s="1">
        <v>258.45</v>
      </c>
      <c r="G147" s="1">
        <v>25000</v>
      </c>
      <c r="H147" s="5">
        <f t="shared" si="1"/>
        <v>0</v>
      </c>
      <c r="I147" s="1"/>
      <c r="J147" s="1"/>
    </row>
    <row r="148" spans="2:10" x14ac:dyDescent="0.2">
      <c r="B148" s="1" t="s">
        <v>122</v>
      </c>
      <c r="C148" s="32">
        <v>1220</v>
      </c>
      <c r="D148" s="1">
        <v>13000</v>
      </c>
      <c r="E148" s="1"/>
      <c r="F148" s="1">
        <v>134.38999999999999</v>
      </c>
      <c r="G148" s="1">
        <v>13000</v>
      </c>
      <c r="H148" s="5">
        <f t="shared" si="1"/>
        <v>0</v>
      </c>
      <c r="I148" s="1"/>
      <c r="J148" s="1"/>
    </row>
    <row r="149" spans="2:10" x14ac:dyDescent="0.2">
      <c r="B149" s="1" t="s">
        <v>122</v>
      </c>
      <c r="C149" s="32">
        <v>293</v>
      </c>
      <c r="D149" s="1">
        <v>15000</v>
      </c>
      <c r="E149" s="1"/>
      <c r="F149" s="1">
        <v>155.07</v>
      </c>
      <c r="G149" s="1">
        <v>15000</v>
      </c>
      <c r="H149" s="5">
        <f t="shared" si="1"/>
        <v>0</v>
      </c>
      <c r="I149" s="1"/>
      <c r="J149" s="1"/>
    </row>
    <row r="150" spans="2:10" x14ac:dyDescent="0.2">
      <c r="B150" s="1" t="s">
        <v>122</v>
      </c>
      <c r="C150" s="32">
        <v>341</v>
      </c>
      <c r="D150" s="1">
        <v>28000</v>
      </c>
      <c r="E150" s="1"/>
      <c r="F150" s="1">
        <v>287.47000000000003</v>
      </c>
      <c r="G150" s="1">
        <v>28000</v>
      </c>
      <c r="H150" s="5">
        <f t="shared" si="1"/>
        <v>0</v>
      </c>
      <c r="I150" s="1"/>
      <c r="J150" s="1"/>
    </row>
    <row r="151" spans="2:10" x14ac:dyDescent="0.2">
      <c r="B151" s="1" t="s">
        <v>122</v>
      </c>
      <c r="C151" s="32" t="s">
        <v>61</v>
      </c>
      <c r="D151" s="1">
        <v>3500</v>
      </c>
      <c r="E151" s="1"/>
      <c r="F151" s="1">
        <v>36.18</v>
      </c>
      <c r="G151" s="1">
        <v>3500</v>
      </c>
      <c r="H151" s="5">
        <f t="shared" si="1"/>
        <v>0</v>
      </c>
      <c r="I151" s="1"/>
      <c r="J151" s="1"/>
    </row>
    <row r="152" spans="2:10" x14ac:dyDescent="0.2">
      <c r="B152" s="1" t="s">
        <v>122</v>
      </c>
      <c r="C152" s="32">
        <v>8476</v>
      </c>
      <c r="D152" s="1">
        <v>10000</v>
      </c>
      <c r="E152" s="1"/>
      <c r="F152" s="1">
        <v>103.38</v>
      </c>
      <c r="G152" s="1">
        <v>10000</v>
      </c>
      <c r="H152" s="5">
        <f t="shared" si="1"/>
        <v>0</v>
      </c>
      <c r="I152" s="1"/>
      <c r="J152" s="1"/>
    </row>
    <row r="153" spans="2:10" x14ac:dyDescent="0.2">
      <c r="B153" s="1" t="s">
        <v>122</v>
      </c>
      <c r="C153" s="32" t="s">
        <v>66</v>
      </c>
      <c r="D153" s="1">
        <v>100</v>
      </c>
      <c r="E153" s="1"/>
      <c r="F153" s="1"/>
      <c r="G153" s="1">
        <v>100</v>
      </c>
      <c r="H153" s="5">
        <f t="shared" si="1"/>
        <v>0</v>
      </c>
      <c r="I153" s="1"/>
      <c r="J153" s="1"/>
    </row>
    <row r="154" spans="2:10" x14ac:dyDescent="0.2">
      <c r="B154" s="1" t="s">
        <v>122</v>
      </c>
      <c r="C154" s="32">
        <v>3411</v>
      </c>
      <c r="D154" s="1">
        <v>32000</v>
      </c>
      <c r="E154" s="1"/>
      <c r="F154" s="1">
        <v>312</v>
      </c>
      <c r="G154" s="1">
        <v>32000</v>
      </c>
      <c r="H154" s="5">
        <f t="shared" si="1"/>
        <v>0</v>
      </c>
      <c r="I154" s="1"/>
      <c r="J154" s="1"/>
    </row>
    <row r="155" spans="2:10" x14ac:dyDescent="0.2">
      <c r="B155" s="1" t="s">
        <v>122</v>
      </c>
      <c r="C155" s="32">
        <v>302</v>
      </c>
      <c r="D155" s="1">
        <v>35000</v>
      </c>
      <c r="E155" s="1"/>
      <c r="F155" s="1">
        <v>346</v>
      </c>
      <c r="G155" s="1">
        <v>35000</v>
      </c>
      <c r="H155" s="5">
        <f t="shared" si="1"/>
        <v>0</v>
      </c>
      <c r="I155" s="1"/>
      <c r="J155" s="1"/>
    </row>
    <row r="156" spans="2:10" x14ac:dyDescent="0.2">
      <c r="B156" s="1" t="s">
        <v>122</v>
      </c>
      <c r="C156" s="32">
        <v>386</v>
      </c>
      <c r="D156" s="1">
        <v>19000</v>
      </c>
      <c r="E156" s="1"/>
      <c r="F156" s="1">
        <v>196.42</v>
      </c>
      <c r="G156" s="1">
        <v>19000</v>
      </c>
      <c r="H156" s="5">
        <f t="shared" si="1"/>
        <v>0</v>
      </c>
      <c r="I156" s="1"/>
      <c r="J156" s="1"/>
    </row>
    <row r="157" spans="2:10" x14ac:dyDescent="0.2">
      <c r="B157" s="1" t="s">
        <v>122</v>
      </c>
      <c r="C157" s="32">
        <v>739</v>
      </c>
      <c r="D157" s="1">
        <v>10000</v>
      </c>
      <c r="E157" s="1"/>
      <c r="F157" s="1">
        <v>103.38</v>
      </c>
      <c r="G157" s="1">
        <v>10000</v>
      </c>
      <c r="H157" s="5">
        <f t="shared" si="1"/>
        <v>0</v>
      </c>
      <c r="I157" s="1"/>
      <c r="J157" s="1"/>
    </row>
    <row r="158" spans="2:10" x14ac:dyDescent="0.2">
      <c r="B158" s="1" t="s">
        <v>122</v>
      </c>
      <c r="C158" s="32">
        <v>120</v>
      </c>
      <c r="D158" s="1">
        <v>20000</v>
      </c>
      <c r="E158" s="1"/>
      <c r="F158" s="1">
        <v>206.76</v>
      </c>
      <c r="G158" s="1">
        <v>20000</v>
      </c>
      <c r="H158" s="5">
        <f t="shared" si="1"/>
        <v>0</v>
      </c>
      <c r="I158" s="1"/>
      <c r="J158" s="1"/>
    </row>
    <row r="159" spans="2:10" x14ac:dyDescent="0.2">
      <c r="B159" s="1" t="s">
        <v>122</v>
      </c>
      <c r="C159" s="32">
        <v>490</v>
      </c>
      <c r="D159" s="1">
        <v>30000</v>
      </c>
      <c r="E159" s="1"/>
      <c r="F159" s="1">
        <v>310</v>
      </c>
      <c r="G159" s="1">
        <v>30000</v>
      </c>
      <c r="H159" s="5">
        <f t="shared" si="1"/>
        <v>0</v>
      </c>
      <c r="I159" s="1"/>
      <c r="J159" s="1"/>
    </row>
    <row r="160" spans="2:10" x14ac:dyDescent="0.2">
      <c r="B160" s="1" t="s">
        <v>122</v>
      </c>
      <c r="C160" s="32">
        <v>7344</v>
      </c>
      <c r="D160" s="1">
        <v>18000</v>
      </c>
      <c r="E160" s="1"/>
      <c r="F160" s="1">
        <v>186</v>
      </c>
      <c r="G160" s="1">
        <v>18000</v>
      </c>
      <c r="H160" s="5">
        <f t="shared" si="1"/>
        <v>0</v>
      </c>
      <c r="I160" s="1"/>
      <c r="J160" s="1"/>
    </row>
    <row r="161" spans="2:10" x14ac:dyDescent="0.2">
      <c r="B161" s="1" t="s">
        <v>122</v>
      </c>
      <c r="C161" s="32" t="s">
        <v>61</v>
      </c>
      <c r="D161" s="1">
        <v>4500</v>
      </c>
      <c r="E161" s="1"/>
      <c r="F161" s="1">
        <v>46.52</v>
      </c>
      <c r="G161" s="1">
        <v>4500</v>
      </c>
      <c r="H161" s="5">
        <f t="shared" si="1"/>
        <v>0</v>
      </c>
      <c r="I161" s="1"/>
      <c r="J161" s="1"/>
    </row>
    <row r="162" spans="2:10" x14ac:dyDescent="0.2">
      <c r="B162" s="1" t="s">
        <v>123</v>
      </c>
      <c r="C162" s="32">
        <v>35</v>
      </c>
      <c r="D162" s="1">
        <v>16000</v>
      </c>
      <c r="E162" s="1"/>
      <c r="F162" s="1">
        <v>165.49</v>
      </c>
      <c r="G162" s="1">
        <v>16000</v>
      </c>
      <c r="H162" s="5">
        <f t="shared" si="1"/>
        <v>0</v>
      </c>
      <c r="I162" s="1"/>
      <c r="J162" s="1"/>
    </row>
    <row r="163" spans="2:10" x14ac:dyDescent="0.2">
      <c r="B163" s="1" t="s">
        <v>123</v>
      </c>
      <c r="C163" s="32">
        <v>65</v>
      </c>
      <c r="D163" s="1">
        <v>5000</v>
      </c>
      <c r="E163" s="1"/>
      <c r="F163" s="1">
        <v>51.69</v>
      </c>
      <c r="G163" s="1">
        <v>5000</v>
      </c>
      <c r="H163" s="5">
        <f t="shared" si="1"/>
        <v>0</v>
      </c>
      <c r="I163" s="1"/>
      <c r="J163" s="1"/>
    </row>
    <row r="164" spans="2:10" x14ac:dyDescent="0.2">
      <c r="B164" s="1" t="s">
        <v>123</v>
      </c>
      <c r="C164" s="32">
        <v>12</v>
      </c>
      <c r="D164" s="1">
        <v>16000</v>
      </c>
      <c r="E164" s="1"/>
      <c r="F164" s="1">
        <v>165.49</v>
      </c>
      <c r="G164" s="1">
        <v>16000</v>
      </c>
      <c r="H164" s="5">
        <f t="shared" si="1"/>
        <v>0</v>
      </c>
      <c r="I164" s="1"/>
      <c r="J164" s="1"/>
    </row>
    <row r="165" spans="2:10" x14ac:dyDescent="0.2">
      <c r="B165" s="1" t="s">
        <v>123</v>
      </c>
      <c r="C165" s="32">
        <v>3691</v>
      </c>
      <c r="D165" s="1">
        <v>25000</v>
      </c>
      <c r="E165" s="1"/>
      <c r="F165" s="1">
        <v>258.45</v>
      </c>
      <c r="G165" s="1">
        <v>25000</v>
      </c>
      <c r="H165" s="5">
        <f t="shared" si="1"/>
        <v>0</v>
      </c>
      <c r="I165" s="1"/>
      <c r="J165" s="1"/>
    </row>
    <row r="166" spans="2:10" x14ac:dyDescent="0.2">
      <c r="B166" s="1" t="s">
        <v>123</v>
      </c>
      <c r="C166" s="32">
        <v>1513</v>
      </c>
      <c r="D166" s="1">
        <v>25000</v>
      </c>
      <c r="E166" s="1"/>
      <c r="F166" s="1">
        <v>258.45</v>
      </c>
      <c r="G166" s="1">
        <v>25000</v>
      </c>
      <c r="H166" s="5">
        <f t="shared" si="1"/>
        <v>0</v>
      </c>
      <c r="I166" s="1"/>
      <c r="J166" s="1"/>
    </row>
    <row r="167" spans="2:10" x14ac:dyDescent="0.2">
      <c r="B167" s="1" t="s">
        <v>123</v>
      </c>
      <c r="C167" s="32">
        <v>3150</v>
      </c>
      <c r="D167" s="1">
        <v>14000</v>
      </c>
      <c r="E167" s="1"/>
      <c r="F167" s="1">
        <v>144.72999999999999</v>
      </c>
      <c r="G167" s="1">
        <v>14000</v>
      </c>
      <c r="H167" s="5">
        <f t="shared" si="1"/>
        <v>0</v>
      </c>
      <c r="I167" s="1"/>
      <c r="J167" s="1"/>
    </row>
    <row r="168" spans="2:10" x14ac:dyDescent="0.2">
      <c r="B168" s="1" t="s">
        <v>123</v>
      </c>
      <c r="C168" s="32">
        <v>2808</v>
      </c>
      <c r="D168" s="1">
        <v>30000</v>
      </c>
      <c r="E168" s="1"/>
      <c r="F168" s="1">
        <v>310.14</v>
      </c>
      <c r="G168" s="1">
        <v>30000</v>
      </c>
      <c r="H168" s="5">
        <f t="shared" si="1"/>
        <v>0</v>
      </c>
      <c r="I168" s="1"/>
      <c r="J168" s="1"/>
    </row>
    <row r="169" spans="2:10" x14ac:dyDescent="0.2">
      <c r="B169" s="1" t="s">
        <v>123</v>
      </c>
      <c r="C169" s="32">
        <v>9393</v>
      </c>
      <c r="D169" s="1">
        <v>10000</v>
      </c>
      <c r="E169" s="1"/>
      <c r="F169" s="1">
        <v>103.38</v>
      </c>
      <c r="G169" s="1">
        <v>10000</v>
      </c>
      <c r="H169" s="5">
        <f t="shared" si="1"/>
        <v>0</v>
      </c>
      <c r="I169" s="1"/>
      <c r="J169" s="1"/>
    </row>
    <row r="170" spans="2:10" x14ac:dyDescent="0.2">
      <c r="B170" s="1" t="s">
        <v>123</v>
      </c>
      <c r="C170" s="32">
        <v>126</v>
      </c>
      <c r="D170" s="1">
        <v>15000</v>
      </c>
      <c r="E170" s="1"/>
      <c r="F170" s="1">
        <v>155.07</v>
      </c>
      <c r="G170" s="1">
        <v>15000</v>
      </c>
      <c r="H170" s="5">
        <f t="shared" si="1"/>
        <v>0</v>
      </c>
      <c r="I170" s="1"/>
      <c r="J170" s="1"/>
    </row>
    <row r="171" spans="2:10" x14ac:dyDescent="0.2">
      <c r="B171" s="1" t="s">
        <v>123</v>
      </c>
      <c r="C171" s="32">
        <v>847</v>
      </c>
      <c r="D171" s="1">
        <v>14000</v>
      </c>
      <c r="E171" s="1"/>
      <c r="F171" s="1">
        <v>144.72999999999999</v>
      </c>
      <c r="G171" s="1">
        <v>14000</v>
      </c>
      <c r="H171" s="5">
        <f t="shared" si="1"/>
        <v>0</v>
      </c>
      <c r="I171" s="1"/>
      <c r="J171" s="1"/>
    </row>
    <row r="172" spans="2:10" x14ac:dyDescent="0.2">
      <c r="B172" s="1" t="s">
        <v>123</v>
      </c>
      <c r="C172" s="32">
        <v>8725</v>
      </c>
      <c r="D172" s="1">
        <v>30000</v>
      </c>
      <c r="E172" s="1"/>
      <c r="F172" s="1">
        <v>310.14</v>
      </c>
      <c r="G172" s="1">
        <v>30000</v>
      </c>
      <c r="H172" s="5">
        <f t="shared" si="1"/>
        <v>0</v>
      </c>
      <c r="I172" s="1"/>
      <c r="J172" s="1"/>
    </row>
    <row r="173" spans="2:10" x14ac:dyDescent="0.2">
      <c r="B173" s="1" t="s">
        <v>123</v>
      </c>
      <c r="C173" s="32">
        <v>1476</v>
      </c>
      <c r="D173" s="1">
        <v>12000</v>
      </c>
      <c r="E173" s="1"/>
      <c r="F173" s="1">
        <v>124</v>
      </c>
      <c r="G173" s="1">
        <v>12000</v>
      </c>
      <c r="H173" s="5">
        <f t="shared" si="1"/>
        <v>0</v>
      </c>
      <c r="I173" s="1"/>
      <c r="J173" s="1"/>
    </row>
    <row r="174" spans="2:10" x14ac:dyDescent="0.2">
      <c r="B174" s="1" t="s">
        <v>123</v>
      </c>
      <c r="C174" s="32">
        <v>3557</v>
      </c>
      <c r="D174" s="1">
        <v>20000</v>
      </c>
      <c r="E174" s="1"/>
      <c r="F174" s="1">
        <v>206.26</v>
      </c>
      <c r="G174" s="1">
        <v>20000</v>
      </c>
      <c r="H174" s="5">
        <f t="shared" si="1"/>
        <v>0</v>
      </c>
      <c r="I174" s="1"/>
      <c r="J174" s="1"/>
    </row>
    <row r="175" spans="2:10" x14ac:dyDescent="0.2">
      <c r="B175" s="1" t="s">
        <v>123</v>
      </c>
      <c r="C175" s="32">
        <v>711</v>
      </c>
      <c r="D175" s="1">
        <v>35000</v>
      </c>
      <c r="E175" s="1"/>
      <c r="F175" s="1">
        <v>361.85</v>
      </c>
      <c r="G175" s="1">
        <v>35000</v>
      </c>
      <c r="H175" s="5">
        <f t="shared" si="1"/>
        <v>0</v>
      </c>
      <c r="I175" s="1"/>
      <c r="J175" s="1"/>
    </row>
    <row r="176" spans="2:10" x14ac:dyDescent="0.2">
      <c r="B176" s="1" t="s">
        <v>123</v>
      </c>
      <c r="C176" s="32">
        <v>1347</v>
      </c>
      <c r="D176" s="1">
        <v>25000</v>
      </c>
      <c r="E176" s="1"/>
      <c r="F176" s="1">
        <v>258.45</v>
      </c>
      <c r="G176" s="1">
        <v>25000</v>
      </c>
      <c r="H176" s="5">
        <f t="shared" si="1"/>
        <v>0</v>
      </c>
      <c r="I176" s="1"/>
      <c r="J176" s="1"/>
    </row>
    <row r="177" spans="2:10" x14ac:dyDescent="0.2">
      <c r="B177" s="1" t="s">
        <v>123</v>
      </c>
      <c r="C177" s="32">
        <v>8452</v>
      </c>
      <c r="D177" s="1">
        <v>24000</v>
      </c>
      <c r="E177" s="1"/>
      <c r="F177" s="1">
        <v>245.84</v>
      </c>
      <c r="G177" s="1">
        <v>24000</v>
      </c>
      <c r="H177" s="5">
        <f t="shared" si="1"/>
        <v>0</v>
      </c>
      <c r="I177" s="1"/>
      <c r="J177" s="1"/>
    </row>
    <row r="178" spans="2:10" x14ac:dyDescent="0.2">
      <c r="B178" s="1" t="s">
        <v>123</v>
      </c>
      <c r="C178" s="32">
        <v>9539</v>
      </c>
      <c r="D178" s="1">
        <v>5000</v>
      </c>
      <c r="E178" s="1"/>
      <c r="F178" s="1">
        <v>51.69</v>
      </c>
      <c r="G178" s="1">
        <v>5000</v>
      </c>
      <c r="H178" s="5">
        <f t="shared" si="1"/>
        <v>0</v>
      </c>
      <c r="I178" s="1"/>
      <c r="J178" s="1"/>
    </row>
    <row r="179" spans="2:10" x14ac:dyDescent="0.2">
      <c r="B179" s="1" t="s">
        <v>123</v>
      </c>
      <c r="C179" s="32">
        <v>543</v>
      </c>
      <c r="D179" s="1">
        <v>13000</v>
      </c>
      <c r="E179" s="1"/>
      <c r="F179" s="1">
        <v>134.38999999999999</v>
      </c>
      <c r="G179" s="1">
        <v>13000</v>
      </c>
      <c r="H179" s="5">
        <f t="shared" si="1"/>
        <v>0</v>
      </c>
      <c r="I179" s="1"/>
      <c r="J179" s="1"/>
    </row>
    <row r="180" spans="2:10" x14ac:dyDescent="0.2">
      <c r="B180" s="1" t="s">
        <v>123</v>
      </c>
      <c r="C180" s="32">
        <v>4823</v>
      </c>
      <c r="D180" s="1">
        <v>27000</v>
      </c>
      <c r="E180" s="1"/>
      <c r="F180" s="1">
        <v>179.12</v>
      </c>
      <c r="G180" s="1">
        <v>27000</v>
      </c>
      <c r="H180" s="5">
        <f t="shared" si="1"/>
        <v>0</v>
      </c>
      <c r="I180" s="1"/>
      <c r="J180" s="1"/>
    </row>
    <row r="181" spans="2:10" x14ac:dyDescent="0.2">
      <c r="B181" s="1" t="s">
        <v>124</v>
      </c>
      <c r="C181" s="32">
        <v>8762</v>
      </c>
      <c r="D181" s="1">
        <v>20000</v>
      </c>
      <c r="E181" s="1"/>
      <c r="F181" s="1">
        <v>206.76</v>
      </c>
      <c r="G181" s="1">
        <v>20000</v>
      </c>
      <c r="H181" s="5">
        <f t="shared" si="1"/>
        <v>0</v>
      </c>
      <c r="I181" s="1"/>
      <c r="J181" s="1"/>
    </row>
    <row r="182" spans="2:10" x14ac:dyDescent="0.2">
      <c r="B182" s="1" t="s">
        <v>124</v>
      </c>
      <c r="C182" s="32">
        <v>5508</v>
      </c>
      <c r="D182" s="1">
        <v>22000</v>
      </c>
      <c r="E182" s="1"/>
      <c r="F182" s="1">
        <v>184.2</v>
      </c>
      <c r="G182" s="1">
        <v>22000</v>
      </c>
      <c r="H182" s="5">
        <f t="shared" ref="H182:H245" si="2">D182-G182</f>
        <v>0</v>
      </c>
      <c r="I182" s="1"/>
      <c r="J182" s="1"/>
    </row>
    <row r="183" spans="2:10" x14ac:dyDescent="0.2">
      <c r="B183" s="1" t="s">
        <v>124</v>
      </c>
      <c r="C183" s="32">
        <v>5281</v>
      </c>
      <c r="D183" s="1">
        <v>14000</v>
      </c>
      <c r="E183" s="1"/>
      <c r="F183" s="1">
        <v>144.72999999999999</v>
      </c>
      <c r="G183" s="1">
        <v>14000</v>
      </c>
      <c r="H183" s="5">
        <f t="shared" si="2"/>
        <v>0</v>
      </c>
      <c r="I183" s="1"/>
      <c r="J183" s="1"/>
    </row>
    <row r="184" spans="2:10" x14ac:dyDescent="0.2">
      <c r="B184" s="1" t="s">
        <v>124</v>
      </c>
      <c r="C184" s="32">
        <v>293</v>
      </c>
      <c r="D184" s="1">
        <v>15000</v>
      </c>
      <c r="E184" s="1"/>
      <c r="F184" s="1">
        <v>155.07</v>
      </c>
      <c r="G184" s="1">
        <v>15000</v>
      </c>
      <c r="H184" s="5">
        <f t="shared" si="2"/>
        <v>0</v>
      </c>
      <c r="I184" s="1"/>
      <c r="J184" s="1"/>
    </row>
    <row r="185" spans="2:10" x14ac:dyDescent="0.2">
      <c r="B185" s="1" t="s">
        <v>124</v>
      </c>
      <c r="C185" s="32">
        <v>5655</v>
      </c>
      <c r="D185" s="1">
        <v>5000</v>
      </c>
      <c r="E185" s="1"/>
      <c r="F185" s="1">
        <v>51.69</v>
      </c>
      <c r="G185" s="1">
        <v>5000</v>
      </c>
      <c r="H185" s="5">
        <f t="shared" si="2"/>
        <v>0</v>
      </c>
      <c r="I185" s="1"/>
      <c r="J185" s="1"/>
    </row>
    <row r="186" spans="2:10" x14ac:dyDescent="0.2">
      <c r="B186" s="1" t="s">
        <v>124</v>
      </c>
      <c r="C186" s="32">
        <v>1205</v>
      </c>
      <c r="D186" s="1">
        <v>12000</v>
      </c>
      <c r="E186" s="1"/>
      <c r="F186" s="1">
        <v>124.06</v>
      </c>
      <c r="G186" s="1">
        <v>12000</v>
      </c>
      <c r="H186" s="5">
        <f t="shared" si="2"/>
        <v>0</v>
      </c>
      <c r="I186" s="1"/>
      <c r="J186" s="1"/>
    </row>
    <row r="187" spans="2:10" x14ac:dyDescent="0.2">
      <c r="B187" s="1" t="s">
        <v>124</v>
      </c>
      <c r="C187" s="32">
        <v>1220</v>
      </c>
      <c r="D187" s="1">
        <v>14000</v>
      </c>
      <c r="E187" s="1"/>
      <c r="F187" s="1">
        <v>144.72999999999999</v>
      </c>
      <c r="G187" s="1">
        <v>14000</v>
      </c>
      <c r="H187" s="5">
        <f t="shared" si="2"/>
        <v>0</v>
      </c>
      <c r="I187" s="1"/>
      <c r="J187" s="1"/>
    </row>
    <row r="188" spans="2:10" x14ac:dyDescent="0.2">
      <c r="B188" s="1" t="s">
        <v>124</v>
      </c>
      <c r="C188" s="32">
        <v>2350</v>
      </c>
      <c r="D188" s="1">
        <v>15000</v>
      </c>
      <c r="E188" s="1"/>
      <c r="F188" s="1">
        <v>155.07</v>
      </c>
      <c r="G188" s="1">
        <v>15000</v>
      </c>
      <c r="H188" s="5">
        <f t="shared" si="2"/>
        <v>0</v>
      </c>
      <c r="I188" s="1"/>
      <c r="J188" s="1"/>
    </row>
    <row r="189" spans="2:10" x14ac:dyDescent="0.2">
      <c r="B189" s="1" t="s">
        <v>124</v>
      </c>
      <c r="C189" s="32">
        <v>4787</v>
      </c>
      <c r="D189" s="1">
        <v>25000</v>
      </c>
      <c r="E189" s="1"/>
      <c r="F189" s="1">
        <v>258.45</v>
      </c>
      <c r="G189" s="1">
        <v>25000</v>
      </c>
      <c r="H189" s="5">
        <f t="shared" si="2"/>
        <v>0</v>
      </c>
      <c r="I189" s="1"/>
      <c r="J189" s="1"/>
    </row>
    <row r="190" spans="2:10" x14ac:dyDescent="0.2">
      <c r="B190" s="1" t="s">
        <v>124</v>
      </c>
      <c r="C190" s="32">
        <v>3131</v>
      </c>
      <c r="D190" s="1">
        <v>15000</v>
      </c>
      <c r="E190" s="1"/>
      <c r="F190" s="1">
        <v>155.07</v>
      </c>
      <c r="G190" s="1">
        <v>15000</v>
      </c>
      <c r="H190" s="5">
        <f t="shared" si="2"/>
        <v>0</v>
      </c>
      <c r="I190" s="1"/>
      <c r="J190" s="1"/>
    </row>
    <row r="191" spans="2:10" x14ac:dyDescent="0.2">
      <c r="B191" s="1" t="s">
        <v>124</v>
      </c>
      <c r="C191" s="32">
        <v>9708</v>
      </c>
      <c r="D191" s="1">
        <v>25000</v>
      </c>
      <c r="E191" s="1"/>
      <c r="F191" s="1">
        <v>258.45</v>
      </c>
      <c r="G191" s="1">
        <v>25000</v>
      </c>
      <c r="H191" s="5">
        <f t="shared" si="2"/>
        <v>0</v>
      </c>
      <c r="I191" s="1"/>
      <c r="J191" s="1"/>
    </row>
    <row r="192" spans="2:10" x14ac:dyDescent="0.2">
      <c r="B192" s="1" t="s">
        <v>124</v>
      </c>
      <c r="C192" s="32">
        <v>6988</v>
      </c>
      <c r="D192" s="1">
        <v>25000</v>
      </c>
      <c r="E192" s="1"/>
      <c r="F192" s="1">
        <v>255.66</v>
      </c>
      <c r="G192" s="1">
        <v>25000</v>
      </c>
      <c r="H192" s="5">
        <f t="shared" si="2"/>
        <v>0</v>
      </c>
      <c r="I192" s="1"/>
      <c r="J192" s="1"/>
    </row>
    <row r="193" spans="2:10" x14ac:dyDescent="0.2">
      <c r="B193" s="1" t="s">
        <v>124</v>
      </c>
      <c r="C193" s="32" t="s">
        <v>63</v>
      </c>
      <c r="D193" s="1">
        <v>3500</v>
      </c>
      <c r="E193" s="1"/>
      <c r="F193" s="1">
        <v>36.18</v>
      </c>
      <c r="G193" s="1">
        <v>3500</v>
      </c>
      <c r="H193" s="5">
        <f t="shared" si="2"/>
        <v>0</v>
      </c>
      <c r="I193" s="1"/>
      <c r="J193" s="1"/>
    </row>
    <row r="194" spans="2:10" x14ac:dyDescent="0.2">
      <c r="B194" s="1" t="s">
        <v>124</v>
      </c>
      <c r="C194" s="32">
        <v>7845</v>
      </c>
      <c r="D194" s="1">
        <v>25000</v>
      </c>
      <c r="E194" s="1"/>
      <c r="F194" s="1">
        <v>210.35</v>
      </c>
      <c r="G194" s="1">
        <v>25000</v>
      </c>
      <c r="H194" s="5">
        <f t="shared" si="2"/>
        <v>0</v>
      </c>
      <c r="I194" s="1"/>
      <c r="J194" s="1"/>
    </row>
    <row r="195" spans="2:10" x14ac:dyDescent="0.2">
      <c r="B195" s="1" t="s">
        <v>124</v>
      </c>
      <c r="C195" s="32">
        <v>1413</v>
      </c>
      <c r="D195" s="1">
        <v>16000</v>
      </c>
      <c r="E195" s="1"/>
      <c r="F195" s="1">
        <v>165.41</v>
      </c>
      <c r="G195" s="1">
        <v>16000</v>
      </c>
      <c r="H195" s="5">
        <f t="shared" si="2"/>
        <v>0</v>
      </c>
      <c r="I195" s="1"/>
      <c r="J195" s="1"/>
    </row>
    <row r="196" spans="2:10" x14ac:dyDescent="0.2">
      <c r="B196" s="1" t="s">
        <v>124</v>
      </c>
      <c r="C196" s="32">
        <v>4775</v>
      </c>
      <c r="D196" s="1">
        <v>5000</v>
      </c>
      <c r="E196" s="1"/>
      <c r="F196" s="1">
        <v>51.69</v>
      </c>
      <c r="G196" s="1">
        <v>5000</v>
      </c>
      <c r="H196" s="5">
        <f t="shared" si="2"/>
        <v>0</v>
      </c>
      <c r="I196" s="1"/>
      <c r="J196" s="1"/>
    </row>
    <row r="197" spans="2:10" x14ac:dyDescent="0.2">
      <c r="B197" s="1" t="s">
        <v>124</v>
      </c>
      <c r="C197" s="32">
        <v>9909</v>
      </c>
      <c r="D197" s="1">
        <v>27000</v>
      </c>
      <c r="E197" s="1"/>
      <c r="F197" s="1">
        <v>279.13</v>
      </c>
      <c r="G197" s="1">
        <v>27000</v>
      </c>
      <c r="H197" s="5">
        <f t="shared" si="2"/>
        <v>0</v>
      </c>
      <c r="I197" s="1"/>
      <c r="J197" s="1"/>
    </row>
    <row r="198" spans="2:10" x14ac:dyDescent="0.2">
      <c r="B198" s="1" t="s">
        <v>125</v>
      </c>
      <c r="C198" s="32">
        <v>4679</v>
      </c>
      <c r="D198" s="1">
        <v>15000</v>
      </c>
      <c r="E198" s="1"/>
      <c r="F198" s="1">
        <v>167.3</v>
      </c>
      <c r="G198" s="1">
        <v>15000</v>
      </c>
      <c r="H198" s="5">
        <f t="shared" si="2"/>
        <v>0</v>
      </c>
      <c r="I198" s="1"/>
      <c r="J198" s="1"/>
    </row>
    <row r="199" spans="2:10" x14ac:dyDescent="0.2">
      <c r="B199" s="1" t="s">
        <v>125</v>
      </c>
      <c r="C199" s="32" t="s">
        <v>61</v>
      </c>
      <c r="D199" s="1">
        <v>4500</v>
      </c>
      <c r="E199" s="1"/>
      <c r="F199" s="1">
        <v>50.19</v>
      </c>
      <c r="G199" s="1">
        <v>4500</v>
      </c>
      <c r="H199" s="5">
        <f t="shared" si="2"/>
        <v>0</v>
      </c>
      <c r="I199" s="1"/>
      <c r="J199" s="1"/>
    </row>
    <row r="200" spans="2:10" x14ac:dyDescent="0.2">
      <c r="B200" s="1" t="s">
        <v>125</v>
      </c>
      <c r="C200" s="32">
        <v>983</v>
      </c>
      <c r="D200" s="1">
        <v>23000</v>
      </c>
      <c r="E200" s="1"/>
      <c r="F200" s="1">
        <v>256.52</v>
      </c>
      <c r="G200" s="1">
        <v>23000</v>
      </c>
      <c r="H200" s="5">
        <f t="shared" si="2"/>
        <v>0</v>
      </c>
      <c r="I200" s="1"/>
      <c r="J200" s="1"/>
    </row>
    <row r="201" spans="2:10" x14ac:dyDescent="0.2">
      <c r="B201" s="1" t="s">
        <v>125</v>
      </c>
      <c r="C201" s="32">
        <v>9286</v>
      </c>
      <c r="D201" s="1">
        <v>10000</v>
      </c>
      <c r="E201" s="1"/>
      <c r="F201" s="1">
        <v>111.53</v>
      </c>
      <c r="G201" s="1">
        <v>10000</v>
      </c>
      <c r="H201" s="5">
        <f t="shared" si="2"/>
        <v>0</v>
      </c>
      <c r="I201" s="1"/>
      <c r="J201" s="1"/>
    </row>
    <row r="202" spans="2:10" x14ac:dyDescent="0.2">
      <c r="B202" s="1" t="s">
        <v>125</v>
      </c>
      <c r="C202" s="32">
        <v>756</v>
      </c>
      <c r="D202" s="1">
        <v>23000</v>
      </c>
      <c r="E202" s="1"/>
      <c r="F202" s="1">
        <v>256.22000000000003</v>
      </c>
      <c r="G202" s="1">
        <v>23000</v>
      </c>
      <c r="H202" s="5">
        <f t="shared" si="2"/>
        <v>0</v>
      </c>
      <c r="I202" s="1"/>
      <c r="J202" s="1"/>
    </row>
    <row r="203" spans="2:10" x14ac:dyDescent="0.2">
      <c r="B203" s="1" t="s">
        <v>125</v>
      </c>
      <c r="C203" s="32">
        <v>2458</v>
      </c>
      <c r="D203" s="1">
        <v>15000</v>
      </c>
      <c r="E203" s="1"/>
      <c r="F203" s="1">
        <v>167.3</v>
      </c>
      <c r="G203" s="1">
        <v>15000</v>
      </c>
      <c r="H203" s="5">
        <f t="shared" si="2"/>
        <v>0</v>
      </c>
      <c r="I203" s="1"/>
      <c r="J203" s="1"/>
    </row>
    <row r="204" spans="2:10" x14ac:dyDescent="0.2">
      <c r="B204" s="1" t="s">
        <v>125</v>
      </c>
      <c r="C204" s="32">
        <v>2229</v>
      </c>
      <c r="D204" s="1">
        <v>13000</v>
      </c>
      <c r="E204" s="1"/>
      <c r="F204" s="1">
        <v>144.99</v>
      </c>
      <c r="G204" s="1">
        <v>13000</v>
      </c>
      <c r="H204" s="5">
        <f t="shared" si="2"/>
        <v>0</v>
      </c>
      <c r="I204" s="1"/>
      <c r="J204" s="1"/>
    </row>
    <row r="205" spans="2:10" x14ac:dyDescent="0.2">
      <c r="B205" s="1" t="s">
        <v>125</v>
      </c>
      <c r="C205" s="32">
        <v>1422</v>
      </c>
      <c r="D205" s="1">
        <v>6000</v>
      </c>
      <c r="E205" s="1"/>
      <c r="F205" s="1">
        <v>49.2</v>
      </c>
      <c r="G205" s="1">
        <v>6000</v>
      </c>
      <c r="H205" s="5">
        <f t="shared" si="2"/>
        <v>0</v>
      </c>
      <c r="I205" s="1"/>
      <c r="J205" s="1"/>
    </row>
    <row r="206" spans="2:10" x14ac:dyDescent="0.2">
      <c r="B206" s="1" t="s">
        <v>125</v>
      </c>
      <c r="C206" s="32">
        <v>9703</v>
      </c>
      <c r="D206" s="1">
        <v>16000</v>
      </c>
      <c r="E206" s="1"/>
      <c r="F206" s="1">
        <v>178.45</v>
      </c>
      <c r="G206" s="1">
        <v>16000</v>
      </c>
      <c r="H206" s="5">
        <f t="shared" si="2"/>
        <v>0</v>
      </c>
      <c r="I206" s="1"/>
      <c r="J206" s="1"/>
    </row>
    <row r="207" spans="2:10" x14ac:dyDescent="0.2">
      <c r="B207" s="1" t="s">
        <v>125</v>
      </c>
      <c r="C207" s="32">
        <v>4962</v>
      </c>
      <c r="D207" s="1">
        <v>16000</v>
      </c>
      <c r="E207" s="1"/>
      <c r="F207" s="1">
        <v>128.44999999999999</v>
      </c>
      <c r="G207" s="1">
        <v>16000</v>
      </c>
      <c r="H207" s="5">
        <f t="shared" si="2"/>
        <v>0</v>
      </c>
      <c r="I207" s="1"/>
      <c r="J207" s="1"/>
    </row>
    <row r="208" spans="2:10" x14ac:dyDescent="0.2">
      <c r="B208" s="1" t="s">
        <v>125</v>
      </c>
      <c r="C208" s="32">
        <v>1888</v>
      </c>
      <c r="D208" s="1">
        <v>18000</v>
      </c>
      <c r="E208" s="1"/>
      <c r="F208" s="1">
        <v>133.94</v>
      </c>
      <c r="G208" s="1">
        <v>18000</v>
      </c>
      <c r="H208" s="5">
        <f t="shared" si="2"/>
        <v>0</v>
      </c>
      <c r="I208" s="1"/>
      <c r="J208" s="1"/>
    </row>
    <row r="209" spans="2:10" x14ac:dyDescent="0.2">
      <c r="B209" s="1" t="s">
        <v>125</v>
      </c>
      <c r="C209" s="32">
        <v>1952</v>
      </c>
      <c r="D209" s="1">
        <v>23000</v>
      </c>
      <c r="E209" s="1"/>
      <c r="F209" s="1">
        <v>256.52</v>
      </c>
      <c r="G209" s="1">
        <v>23000</v>
      </c>
      <c r="H209" s="5">
        <f t="shared" si="2"/>
        <v>0</v>
      </c>
      <c r="I209" s="1"/>
      <c r="J209" s="1"/>
    </row>
    <row r="210" spans="2:10" x14ac:dyDescent="0.2">
      <c r="B210" s="1" t="s">
        <v>125</v>
      </c>
      <c r="C210" s="32">
        <v>3088</v>
      </c>
      <c r="D210" s="1">
        <v>22000</v>
      </c>
      <c r="E210" s="1"/>
      <c r="F210" s="1">
        <v>245.59</v>
      </c>
      <c r="G210" s="1">
        <v>22000</v>
      </c>
      <c r="H210" s="5">
        <f t="shared" si="2"/>
        <v>0</v>
      </c>
      <c r="I210" s="1"/>
      <c r="J210" s="1"/>
    </row>
    <row r="211" spans="2:10" x14ac:dyDescent="0.2">
      <c r="B211" s="1" t="s">
        <v>125</v>
      </c>
      <c r="C211" s="32">
        <v>1268</v>
      </c>
      <c r="D211" s="1">
        <v>22000</v>
      </c>
      <c r="E211" s="1"/>
      <c r="F211" s="1">
        <v>245.59</v>
      </c>
      <c r="G211" s="1">
        <v>22000</v>
      </c>
      <c r="H211" s="5">
        <f t="shared" si="2"/>
        <v>0</v>
      </c>
      <c r="I211" s="1"/>
      <c r="J211" s="1"/>
    </row>
    <row r="212" spans="2:10" x14ac:dyDescent="0.2">
      <c r="B212" s="1" t="s">
        <v>125</v>
      </c>
      <c r="C212" s="32">
        <v>5632</v>
      </c>
      <c r="D212" s="1">
        <v>25000</v>
      </c>
      <c r="E212" s="1"/>
      <c r="F212" s="1">
        <v>366.94</v>
      </c>
      <c r="G212" s="1">
        <v>25000</v>
      </c>
      <c r="H212" s="5">
        <f t="shared" si="2"/>
        <v>0</v>
      </c>
      <c r="I212" s="1"/>
      <c r="J212" s="1"/>
    </row>
    <row r="213" spans="2:10" x14ac:dyDescent="0.2">
      <c r="B213" s="1" t="s">
        <v>125</v>
      </c>
      <c r="C213" s="32">
        <v>7099</v>
      </c>
      <c r="D213" s="1">
        <v>25000</v>
      </c>
      <c r="E213" s="1"/>
      <c r="F213" s="1">
        <v>278.83</v>
      </c>
      <c r="G213" s="1">
        <v>25000</v>
      </c>
      <c r="H213" s="5">
        <f t="shared" si="2"/>
        <v>0</v>
      </c>
      <c r="I213" s="1"/>
      <c r="J213" s="1"/>
    </row>
    <row r="214" spans="2:10" x14ac:dyDescent="0.2">
      <c r="B214" s="1" t="s">
        <v>125</v>
      </c>
      <c r="C214" s="32">
        <v>850</v>
      </c>
      <c r="D214" s="1">
        <v>20000</v>
      </c>
      <c r="E214" s="1"/>
      <c r="F214" s="1">
        <v>223.06</v>
      </c>
      <c r="G214" s="1">
        <v>20000</v>
      </c>
      <c r="H214" s="5">
        <f t="shared" si="2"/>
        <v>0</v>
      </c>
      <c r="I214" s="1"/>
      <c r="J214" s="1"/>
    </row>
    <row r="215" spans="2:10" x14ac:dyDescent="0.2">
      <c r="B215" s="1" t="s">
        <v>125</v>
      </c>
      <c r="C215" s="32">
        <v>63</v>
      </c>
      <c r="D215" s="1">
        <v>20000</v>
      </c>
      <c r="E215" s="1"/>
      <c r="F215" s="1">
        <v>223.06</v>
      </c>
      <c r="G215" s="1">
        <v>20000</v>
      </c>
      <c r="H215" s="5">
        <f t="shared" si="2"/>
        <v>0</v>
      </c>
      <c r="I215" s="1"/>
      <c r="J215" s="1"/>
    </row>
    <row r="216" spans="2:10" x14ac:dyDescent="0.2">
      <c r="B216" s="1" t="s">
        <v>125</v>
      </c>
      <c r="C216" s="32">
        <v>4242</v>
      </c>
      <c r="D216" s="1">
        <v>20000</v>
      </c>
      <c r="E216" s="1"/>
      <c r="F216" s="1">
        <v>192.75</v>
      </c>
      <c r="G216" s="1">
        <v>20000</v>
      </c>
      <c r="H216" s="5">
        <f t="shared" si="2"/>
        <v>0</v>
      </c>
      <c r="I216" s="1"/>
      <c r="J216" s="1"/>
    </row>
    <row r="217" spans="2:10" x14ac:dyDescent="0.2">
      <c r="B217" s="1" t="s">
        <v>125</v>
      </c>
      <c r="C217" s="32">
        <v>2015</v>
      </c>
      <c r="D217" s="1">
        <v>30000</v>
      </c>
      <c r="E217" s="1"/>
      <c r="F217" s="1">
        <v>290.10000000000002</v>
      </c>
      <c r="G217" s="1">
        <v>30000</v>
      </c>
      <c r="H217" s="5">
        <f t="shared" si="2"/>
        <v>0</v>
      </c>
      <c r="I217" s="1"/>
      <c r="J217" s="1"/>
    </row>
    <row r="218" spans="2:10" x14ac:dyDescent="0.2">
      <c r="B218" s="1" t="s">
        <v>125</v>
      </c>
      <c r="C218" s="32">
        <v>5887</v>
      </c>
      <c r="D218" s="1">
        <v>30000</v>
      </c>
      <c r="E218" s="1"/>
      <c r="F218" s="1">
        <v>322.02</v>
      </c>
      <c r="G218" s="1">
        <v>30000</v>
      </c>
      <c r="H218" s="5">
        <f t="shared" si="2"/>
        <v>0</v>
      </c>
      <c r="I218" s="1"/>
      <c r="J218" s="1"/>
    </row>
    <row r="219" spans="2:10" x14ac:dyDescent="0.2">
      <c r="B219" s="1" t="s">
        <v>125</v>
      </c>
      <c r="C219" s="32">
        <v>2092</v>
      </c>
      <c r="D219" s="1">
        <v>10000</v>
      </c>
      <c r="E219" s="1"/>
      <c r="F219" s="1">
        <v>111.53</v>
      </c>
      <c r="G219" s="1">
        <v>10000</v>
      </c>
      <c r="H219" s="5">
        <f t="shared" si="2"/>
        <v>0</v>
      </c>
      <c r="I219" s="1"/>
      <c r="J219" s="1"/>
    </row>
    <row r="220" spans="2:10" x14ac:dyDescent="0.2">
      <c r="B220" s="1" t="s">
        <v>126</v>
      </c>
      <c r="C220" s="32" t="s">
        <v>66</v>
      </c>
      <c r="D220" s="1">
        <v>400</v>
      </c>
      <c r="E220" s="1"/>
      <c r="F220" s="1"/>
      <c r="G220" s="1">
        <v>400</v>
      </c>
      <c r="H220" s="5">
        <f t="shared" si="2"/>
        <v>0</v>
      </c>
      <c r="I220" s="1"/>
      <c r="J220" s="1"/>
    </row>
    <row r="221" spans="2:10" x14ac:dyDescent="0.2">
      <c r="B221" s="1" t="s">
        <v>126</v>
      </c>
      <c r="C221" s="32">
        <v>5281</v>
      </c>
      <c r="D221" s="1">
        <v>13000</v>
      </c>
      <c r="E221" s="1"/>
      <c r="F221" s="1">
        <v>135.96</v>
      </c>
      <c r="G221" s="1">
        <v>13000</v>
      </c>
      <c r="H221" s="5">
        <f t="shared" si="2"/>
        <v>0</v>
      </c>
      <c r="I221" s="1"/>
      <c r="J221" s="1"/>
    </row>
    <row r="222" spans="2:10" x14ac:dyDescent="0.2">
      <c r="B222" s="1" t="s">
        <v>126</v>
      </c>
      <c r="C222" s="32">
        <v>6643</v>
      </c>
      <c r="D222" s="1">
        <v>20000</v>
      </c>
      <c r="E222" s="1"/>
      <c r="F222" s="1">
        <v>223.06</v>
      </c>
      <c r="G222" s="1">
        <v>20000</v>
      </c>
      <c r="H222" s="5">
        <f t="shared" si="2"/>
        <v>0</v>
      </c>
      <c r="I222" s="1"/>
      <c r="J222" s="1"/>
    </row>
    <row r="223" spans="2:10" x14ac:dyDescent="0.2">
      <c r="B223" s="1" t="s">
        <v>126</v>
      </c>
      <c r="C223" s="32">
        <v>1215</v>
      </c>
      <c r="D223" s="1">
        <v>14000</v>
      </c>
      <c r="E223" s="1"/>
      <c r="F223" s="1">
        <v>156.13999999999999</v>
      </c>
      <c r="G223" s="1">
        <v>14000</v>
      </c>
      <c r="H223" s="5">
        <f t="shared" si="2"/>
        <v>0</v>
      </c>
      <c r="I223" s="1"/>
      <c r="J223" s="1"/>
    </row>
    <row r="224" spans="2:10" x14ac:dyDescent="0.2">
      <c r="B224" s="1" t="s">
        <v>126</v>
      </c>
      <c r="C224" s="32">
        <v>1324</v>
      </c>
      <c r="D224" s="1">
        <v>16000</v>
      </c>
      <c r="E224" s="1"/>
      <c r="F224" s="1">
        <v>128.44999999999999</v>
      </c>
      <c r="G224" s="1">
        <v>16000</v>
      </c>
      <c r="H224" s="5">
        <f t="shared" si="2"/>
        <v>0</v>
      </c>
      <c r="I224" s="1"/>
      <c r="J224" s="1"/>
    </row>
    <row r="225" spans="2:10" x14ac:dyDescent="0.2">
      <c r="B225" s="1" t="s">
        <v>126</v>
      </c>
      <c r="C225" s="32">
        <v>7932</v>
      </c>
      <c r="D225" s="1">
        <v>20000</v>
      </c>
      <c r="E225" s="1"/>
      <c r="F225" s="1">
        <v>223.06</v>
      </c>
      <c r="G225" s="1">
        <v>20000</v>
      </c>
      <c r="H225" s="5">
        <f t="shared" si="2"/>
        <v>0</v>
      </c>
      <c r="I225" s="1"/>
      <c r="J225" s="1"/>
    </row>
    <row r="226" spans="2:10" x14ac:dyDescent="0.2">
      <c r="B226" s="1" t="s">
        <v>126</v>
      </c>
      <c r="C226" s="32">
        <v>3045</v>
      </c>
      <c r="D226" s="1">
        <v>30000</v>
      </c>
      <c r="E226" s="1"/>
      <c r="F226" s="1">
        <v>334.6</v>
      </c>
      <c r="G226" s="1">
        <v>30000</v>
      </c>
      <c r="H226" s="5">
        <f t="shared" si="2"/>
        <v>0</v>
      </c>
      <c r="I226" s="1"/>
      <c r="J226" s="1"/>
    </row>
    <row r="227" spans="2:10" x14ac:dyDescent="0.2">
      <c r="B227" s="1" t="s">
        <v>126</v>
      </c>
      <c r="C227" s="32">
        <v>5312</v>
      </c>
      <c r="D227" s="1">
        <v>30000</v>
      </c>
      <c r="E227" s="1"/>
      <c r="F227" s="1">
        <v>301.58999999999997</v>
      </c>
      <c r="G227" s="1">
        <v>30000</v>
      </c>
      <c r="H227" s="5">
        <f t="shared" si="2"/>
        <v>0</v>
      </c>
      <c r="I227" s="1"/>
      <c r="J227" s="1"/>
    </row>
    <row r="228" spans="2:10" x14ac:dyDescent="0.2">
      <c r="B228" s="1" t="s">
        <v>126</v>
      </c>
      <c r="C228" s="32">
        <v>2324</v>
      </c>
      <c r="D228" s="1">
        <v>24000</v>
      </c>
      <c r="E228" s="1"/>
      <c r="F228" s="1">
        <v>229.76</v>
      </c>
      <c r="G228" s="1">
        <v>24000</v>
      </c>
      <c r="H228" s="5">
        <f t="shared" si="2"/>
        <v>0</v>
      </c>
      <c r="I228" s="1"/>
      <c r="J228" s="1"/>
    </row>
    <row r="229" spans="2:10" x14ac:dyDescent="0.2">
      <c r="B229" s="1" t="s">
        <v>126</v>
      </c>
      <c r="C229" s="32">
        <v>5411</v>
      </c>
      <c r="D229" s="1">
        <v>20000</v>
      </c>
      <c r="E229" s="1"/>
      <c r="F229" s="1">
        <v>155.03</v>
      </c>
      <c r="G229" s="1">
        <v>20000</v>
      </c>
      <c r="H229" s="5">
        <f t="shared" si="2"/>
        <v>0</v>
      </c>
      <c r="I229" s="1"/>
      <c r="J229" s="1"/>
    </row>
    <row r="230" spans="2:10" x14ac:dyDescent="0.2">
      <c r="B230" s="1" t="s">
        <v>126</v>
      </c>
      <c r="C230" s="32">
        <v>6552</v>
      </c>
      <c r="D230" s="1">
        <v>30000</v>
      </c>
      <c r="E230" s="1"/>
      <c r="F230" s="1">
        <v>301.45</v>
      </c>
      <c r="G230" s="1">
        <v>30000</v>
      </c>
      <c r="H230" s="5">
        <f t="shared" si="2"/>
        <v>0</v>
      </c>
      <c r="I230" s="1"/>
      <c r="J230" s="1"/>
    </row>
    <row r="231" spans="2:10" x14ac:dyDescent="0.2">
      <c r="B231" s="1" t="s">
        <v>126</v>
      </c>
      <c r="C231" s="32">
        <v>1220</v>
      </c>
      <c r="D231" s="1">
        <v>13000</v>
      </c>
      <c r="E231" s="1"/>
      <c r="F231" s="1">
        <v>144.99</v>
      </c>
      <c r="G231" s="1">
        <v>13000</v>
      </c>
      <c r="H231" s="5">
        <f t="shared" si="2"/>
        <v>0</v>
      </c>
      <c r="I231" s="1"/>
      <c r="J231" s="1"/>
    </row>
    <row r="232" spans="2:10" x14ac:dyDescent="0.2">
      <c r="B232" s="1" t="s">
        <v>126</v>
      </c>
      <c r="C232" s="32">
        <v>2472</v>
      </c>
      <c r="D232" s="1">
        <v>15000</v>
      </c>
      <c r="E232" s="1"/>
      <c r="F232" s="1">
        <v>167.3</v>
      </c>
      <c r="G232" s="1">
        <v>15000</v>
      </c>
      <c r="H232" s="5">
        <f t="shared" si="2"/>
        <v>0</v>
      </c>
      <c r="I232" s="1"/>
      <c r="J232" s="1"/>
    </row>
    <row r="233" spans="2:10" x14ac:dyDescent="0.2">
      <c r="B233" s="1" t="s">
        <v>126</v>
      </c>
      <c r="C233" s="32">
        <v>7385</v>
      </c>
      <c r="D233" s="1">
        <v>15000</v>
      </c>
      <c r="E233" s="1"/>
      <c r="F233" s="1">
        <v>167.3</v>
      </c>
      <c r="G233" s="1">
        <v>15000</v>
      </c>
      <c r="H233" s="5">
        <f t="shared" si="2"/>
        <v>0</v>
      </c>
      <c r="I233" s="1"/>
      <c r="J233" s="1"/>
    </row>
    <row r="234" spans="2:10" x14ac:dyDescent="0.2">
      <c r="B234" s="1" t="s">
        <v>126</v>
      </c>
      <c r="C234" s="32">
        <v>896</v>
      </c>
      <c r="D234" s="1">
        <v>14000</v>
      </c>
      <c r="E234" s="1"/>
      <c r="F234" s="1">
        <v>156.15</v>
      </c>
      <c r="G234" s="1">
        <v>14000</v>
      </c>
      <c r="H234" s="5">
        <f t="shared" si="2"/>
        <v>0</v>
      </c>
      <c r="I234" s="1"/>
      <c r="J234" s="1"/>
    </row>
    <row r="235" spans="2:10" x14ac:dyDescent="0.2">
      <c r="B235" s="1" t="s">
        <v>126</v>
      </c>
      <c r="C235" s="32" t="s">
        <v>61</v>
      </c>
      <c r="D235" s="1">
        <v>4500</v>
      </c>
      <c r="E235" s="1"/>
      <c r="F235" s="1">
        <v>50.19</v>
      </c>
      <c r="G235" s="1">
        <v>4500</v>
      </c>
      <c r="H235" s="5">
        <f t="shared" si="2"/>
        <v>0</v>
      </c>
      <c r="I235" s="1"/>
      <c r="J235" s="1"/>
    </row>
    <row r="236" spans="2:10" x14ac:dyDescent="0.2">
      <c r="B236" s="1" t="s">
        <v>126</v>
      </c>
      <c r="C236" s="32">
        <v>3184</v>
      </c>
      <c r="D236" s="1">
        <v>30000</v>
      </c>
      <c r="E236" s="1"/>
      <c r="F236" s="1">
        <v>326.29000000000002</v>
      </c>
      <c r="G236" s="1">
        <v>30000</v>
      </c>
      <c r="H236" s="5">
        <f t="shared" si="2"/>
        <v>0</v>
      </c>
      <c r="I236" s="1"/>
      <c r="J236" s="1"/>
    </row>
    <row r="237" spans="2:10" x14ac:dyDescent="0.2">
      <c r="B237" s="1" t="s">
        <v>126</v>
      </c>
      <c r="C237" s="32">
        <v>1205</v>
      </c>
      <c r="D237" s="1">
        <v>13000</v>
      </c>
      <c r="E237" s="1"/>
      <c r="F237" s="1">
        <v>144.49</v>
      </c>
      <c r="G237" s="1">
        <v>13000</v>
      </c>
      <c r="H237" s="5">
        <f t="shared" si="2"/>
        <v>0</v>
      </c>
      <c r="I237" s="1"/>
      <c r="J237" s="1"/>
    </row>
    <row r="238" spans="2:10" x14ac:dyDescent="0.2">
      <c r="B238" s="1" t="s">
        <v>127</v>
      </c>
      <c r="C238" s="32">
        <v>6640</v>
      </c>
      <c r="D238" s="1">
        <v>20000</v>
      </c>
      <c r="E238" s="1"/>
      <c r="F238" s="1">
        <v>223.06</v>
      </c>
      <c r="G238" s="1">
        <v>20000</v>
      </c>
      <c r="H238" s="5">
        <f t="shared" si="2"/>
        <v>0</v>
      </c>
      <c r="I238" s="1"/>
      <c r="J238" s="1"/>
    </row>
    <row r="239" spans="2:10" x14ac:dyDescent="0.2">
      <c r="B239" s="1" t="s">
        <v>127</v>
      </c>
      <c r="C239" s="32">
        <v>2280</v>
      </c>
      <c r="D239" s="1">
        <v>21000</v>
      </c>
      <c r="E239" s="1"/>
      <c r="F239" s="1">
        <v>234.22</v>
      </c>
      <c r="G239" s="1">
        <v>21000</v>
      </c>
      <c r="H239" s="5">
        <f t="shared" si="2"/>
        <v>0</v>
      </c>
      <c r="I239" s="1"/>
      <c r="J239" s="1"/>
    </row>
    <row r="240" spans="2:10" x14ac:dyDescent="0.2">
      <c r="B240" s="1" t="s">
        <v>127</v>
      </c>
      <c r="C240" s="32">
        <v>119</v>
      </c>
      <c r="D240" s="1">
        <v>16000</v>
      </c>
      <c r="E240" s="1"/>
      <c r="F240" s="1">
        <v>178.45</v>
      </c>
      <c r="G240" s="1">
        <v>16000</v>
      </c>
      <c r="H240" s="5">
        <f t="shared" si="2"/>
        <v>0</v>
      </c>
      <c r="I240" s="1"/>
      <c r="J240" s="1"/>
    </row>
    <row r="241" spans="2:10" x14ac:dyDescent="0.2">
      <c r="B241" s="1" t="s">
        <v>127</v>
      </c>
      <c r="C241" s="32">
        <v>1448</v>
      </c>
      <c r="D241" s="1">
        <v>15000</v>
      </c>
      <c r="E241" s="1"/>
      <c r="F241" s="1">
        <v>136.07</v>
      </c>
      <c r="G241" s="1">
        <v>15000</v>
      </c>
      <c r="H241" s="5">
        <f t="shared" si="2"/>
        <v>0</v>
      </c>
      <c r="I241" s="1"/>
      <c r="J241" s="1"/>
    </row>
    <row r="242" spans="2:10" x14ac:dyDescent="0.2">
      <c r="B242" s="1" t="s">
        <v>127</v>
      </c>
      <c r="C242" s="32">
        <v>1352</v>
      </c>
      <c r="D242" s="1">
        <v>13000</v>
      </c>
      <c r="E242" s="1"/>
      <c r="F242" s="1">
        <v>144.99</v>
      </c>
      <c r="G242" s="1">
        <v>13000</v>
      </c>
      <c r="H242" s="5">
        <f t="shared" si="2"/>
        <v>0</v>
      </c>
      <c r="I242" s="1"/>
      <c r="J242" s="1"/>
    </row>
    <row r="243" spans="2:10" x14ac:dyDescent="0.2">
      <c r="B243" s="1" t="s">
        <v>127</v>
      </c>
      <c r="C243" s="32" t="s">
        <v>61</v>
      </c>
      <c r="D243" s="1">
        <v>4500</v>
      </c>
      <c r="E243" s="1"/>
      <c r="F243" s="1">
        <v>50.19</v>
      </c>
      <c r="G243" s="1">
        <v>4500</v>
      </c>
      <c r="H243" s="5">
        <f t="shared" si="2"/>
        <v>0</v>
      </c>
      <c r="I243" s="1"/>
      <c r="J243" s="1"/>
    </row>
    <row r="244" spans="2:10" x14ac:dyDescent="0.2">
      <c r="B244" s="1" t="s">
        <v>127</v>
      </c>
      <c r="C244" s="32">
        <v>1752</v>
      </c>
      <c r="D244" s="1">
        <v>25000</v>
      </c>
      <c r="E244" s="1"/>
      <c r="F244" s="1">
        <v>278.83</v>
      </c>
      <c r="G244" s="1">
        <v>25000</v>
      </c>
      <c r="H244" s="5">
        <f t="shared" si="2"/>
        <v>0</v>
      </c>
      <c r="I244" s="1"/>
      <c r="J244" s="1"/>
    </row>
    <row r="245" spans="2:10" x14ac:dyDescent="0.2">
      <c r="B245" s="1" t="s">
        <v>127</v>
      </c>
      <c r="C245" s="32">
        <v>1340</v>
      </c>
      <c r="D245" s="1">
        <v>21400</v>
      </c>
      <c r="E245" s="1"/>
      <c r="F245" s="1">
        <v>238.68</v>
      </c>
      <c r="G245" s="1">
        <v>21400</v>
      </c>
      <c r="H245" s="5">
        <f t="shared" si="2"/>
        <v>0</v>
      </c>
      <c r="I245" s="1"/>
      <c r="J245" s="1"/>
    </row>
    <row r="246" spans="2:10" x14ac:dyDescent="0.2">
      <c r="B246" s="1" t="s">
        <v>127</v>
      </c>
      <c r="C246" s="32">
        <v>756</v>
      </c>
      <c r="D246" s="1">
        <v>24000</v>
      </c>
      <c r="E246" s="1"/>
      <c r="F246" s="1">
        <v>267.68</v>
      </c>
      <c r="G246" s="1">
        <v>24000</v>
      </c>
      <c r="H246" s="5">
        <f t="shared" ref="H246:H306" si="3">D246-G246</f>
        <v>0</v>
      </c>
      <c r="I246" s="1"/>
      <c r="J246" s="1"/>
    </row>
    <row r="247" spans="2:10" x14ac:dyDescent="0.2">
      <c r="B247" s="1" t="s">
        <v>127</v>
      </c>
      <c r="C247" s="32">
        <v>1056</v>
      </c>
      <c r="D247" s="1">
        <v>5000</v>
      </c>
      <c r="E247" s="1"/>
      <c r="F247" s="1">
        <v>55.77</v>
      </c>
      <c r="G247" s="1">
        <v>5000</v>
      </c>
      <c r="H247" s="5">
        <f t="shared" si="3"/>
        <v>0</v>
      </c>
      <c r="I247" s="1"/>
      <c r="J247" s="1"/>
    </row>
    <row r="248" spans="2:10" x14ac:dyDescent="0.2">
      <c r="B248" s="1" t="s">
        <v>127</v>
      </c>
      <c r="C248" s="32">
        <v>2885</v>
      </c>
      <c r="D248" s="1">
        <v>6000</v>
      </c>
      <c r="E248" s="1"/>
      <c r="F248" s="1">
        <v>66.92</v>
      </c>
      <c r="G248" s="1">
        <v>6000</v>
      </c>
      <c r="H248" s="5">
        <f t="shared" si="3"/>
        <v>0</v>
      </c>
      <c r="I248" s="1"/>
      <c r="J248" s="1"/>
    </row>
    <row r="249" spans="2:10" x14ac:dyDescent="0.2">
      <c r="B249" s="1" t="s">
        <v>127</v>
      </c>
      <c r="C249" s="32">
        <v>8698</v>
      </c>
      <c r="D249" s="1">
        <v>30000</v>
      </c>
      <c r="E249" s="1"/>
      <c r="F249" s="1">
        <v>334.6</v>
      </c>
      <c r="G249" s="1">
        <v>30000</v>
      </c>
      <c r="H249" s="5">
        <f t="shared" si="3"/>
        <v>0</v>
      </c>
      <c r="I249" s="1"/>
      <c r="J249" s="1"/>
    </row>
    <row r="250" spans="2:10" x14ac:dyDescent="0.2">
      <c r="B250" s="1" t="s">
        <v>127</v>
      </c>
      <c r="C250" s="32">
        <v>185</v>
      </c>
      <c r="D250" s="1">
        <v>15000</v>
      </c>
      <c r="E250" s="1"/>
      <c r="F250" s="1">
        <v>167.3</v>
      </c>
      <c r="G250" s="1">
        <v>15000</v>
      </c>
      <c r="H250" s="5">
        <f t="shared" si="3"/>
        <v>0</v>
      </c>
      <c r="I250" s="1"/>
      <c r="J250" s="1"/>
    </row>
    <row r="251" spans="2:10" x14ac:dyDescent="0.2">
      <c r="B251" s="1" t="s">
        <v>127</v>
      </c>
      <c r="C251" s="32">
        <v>6556</v>
      </c>
      <c r="D251" s="1">
        <v>20000</v>
      </c>
      <c r="E251" s="1"/>
      <c r="F251" s="1">
        <v>223.06</v>
      </c>
      <c r="G251" s="1">
        <v>20000</v>
      </c>
      <c r="H251" s="5">
        <f t="shared" si="3"/>
        <v>0</v>
      </c>
      <c r="I251" s="1"/>
      <c r="J251" s="1"/>
    </row>
    <row r="252" spans="2:10" x14ac:dyDescent="0.2">
      <c r="B252" s="1" t="s">
        <v>127</v>
      </c>
      <c r="C252" s="32">
        <v>8244</v>
      </c>
      <c r="D252" s="1">
        <v>17000</v>
      </c>
      <c r="E252" s="1"/>
      <c r="F252" s="1">
        <v>189.6</v>
      </c>
      <c r="G252" s="1">
        <v>17000</v>
      </c>
      <c r="H252" s="5">
        <f t="shared" si="3"/>
        <v>0</v>
      </c>
      <c r="I252" s="1"/>
      <c r="J252" s="1"/>
    </row>
    <row r="253" spans="2:10" x14ac:dyDescent="0.2">
      <c r="B253" s="1" t="s">
        <v>127</v>
      </c>
      <c r="C253" s="32">
        <v>65</v>
      </c>
      <c r="D253" s="1">
        <v>5000</v>
      </c>
      <c r="E253" s="1"/>
      <c r="F253" s="1">
        <v>55.8</v>
      </c>
      <c r="G253" s="1">
        <v>5000</v>
      </c>
      <c r="H253" s="5">
        <f t="shared" si="3"/>
        <v>0</v>
      </c>
      <c r="I253" s="1"/>
      <c r="J253" s="1"/>
    </row>
    <row r="254" spans="2:10" x14ac:dyDescent="0.2">
      <c r="B254" s="1" t="s">
        <v>128</v>
      </c>
      <c r="C254" s="32">
        <v>1941</v>
      </c>
      <c r="D254" s="1">
        <v>22000</v>
      </c>
      <c r="E254" s="1"/>
      <c r="F254" s="1">
        <v>232</v>
      </c>
      <c r="G254" s="1">
        <v>22000</v>
      </c>
      <c r="H254" s="5">
        <f t="shared" si="3"/>
        <v>0</v>
      </c>
      <c r="I254" s="1"/>
      <c r="J254" s="1"/>
    </row>
    <row r="255" spans="2:10" x14ac:dyDescent="0.2">
      <c r="B255" s="1" t="s">
        <v>128</v>
      </c>
      <c r="C255" s="32">
        <v>291</v>
      </c>
      <c r="D255" s="1">
        <v>16000</v>
      </c>
      <c r="E255" s="1"/>
      <c r="F255" s="1">
        <v>178.45</v>
      </c>
      <c r="G255" s="1">
        <v>16000</v>
      </c>
      <c r="H255" s="5">
        <f t="shared" si="3"/>
        <v>0</v>
      </c>
      <c r="I255" s="1"/>
      <c r="J255" s="1"/>
    </row>
    <row r="256" spans="2:10" x14ac:dyDescent="0.2">
      <c r="B256" s="1" t="s">
        <v>128</v>
      </c>
      <c r="C256" s="32">
        <v>1021</v>
      </c>
      <c r="D256" s="1">
        <v>20000</v>
      </c>
      <c r="E256" s="1"/>
      <c r="F256" s="1">
        <v>223.06</v>
      </c>
      <c r="G256" s="1">
        <v>20000</v>
      </c>
      <c r="H256" s="5">
        <f t="shared" si="3"/>
        <v>0</v>
      </c>
      <c r="I256" s="1"/>
      <c r="J256" s="1"/>
    </row>
    <row r="257" spans="2:10" x14ac:dyDescent="0.2">
      <c r="B257" s="1" t="s">
        <v>128</v>
      </c>
      <c r="C257" s="32">
        <v>5488</v>
      </c>
      <c r="D257" s="1">
        <v>35000</v>
      </c>
      <c r="E257" s="1"/>
      <c r="F257" s="1">
        <v>362</v>
      </c>
      <c r="G257" s="1">
        <v>35000</v>
      </c>
      <c r="H257" s="5">
        <f t="shared" si="3"/>
        <v>0</v>
      </c>
      <c r="I257" s="1"/>
      <c r="J257" s="1"/>
    </row>
    <row r="258" spans="2:10" x14ac:dyDescent="0.2">
      <c r="B258" s="1" t="s">
        <v>128</v>
      </c>
      <c r="C258" s="32">
        <v>7780</v>
      </c>
      <c r="D258" s="1">
        <v>30000</v>
      </c>
      <c r="E258" s="1"/>
      <c r="F258" s="1">
        <v>334.6</v>
      </c>
      <c r="G258" s="1">
        <v>30000</v>
      </c>
      <c r="H258" s="5">
        <f t="shared" si="3"/>
        <v>0</v>
      </c>
      <c r="I258" s="1"/>
      <c r="J258" s="1"/>
    </row>
    <row r="259" spans="2:10" x14ac:dyDescent="0.2">
      <c r="B259" s="1" t="s">
        <v>128</v>
      </c>
      <c r="C259" s="32">
        <v>293</v>
      </c>
      <c r="D259" s="1">
        <v>14000</v>
      </c>
      <c r="E259" s="1"/>
      <c r="F259" s="1">
        <v>156.15</v>
      </c>
      <c r="G259" s="1">
        <v>14000</v>
      </c>
      <c r="H259" s="5">
        <f t="shared" si="3"/>
        <v>0</v>
      </c>
      <c r="I259" s="1"/>
      <c r="J259" s="1"/>
    </row>
    <row r="260" spans="2:10" x14ac:dyDescent="0.2">
      <c r="B260" s="1" t="s">
        <v>128</v>
      </c>
      <c r="C260" s="32">
        <v>7042</v>
      </c>
      <c r="D260" s="1">
        <v>20000</v>
      </c>
      <c r="E260" s="1"/>
      <c r="F260" s="1">
        <v>223.06</v>
      </c>
      <c r="G260" s="1">
        <v>20000</v>
      </c>
      <c r="H260" s="5">
        <f t="shared" si="3"/>
        <v>0</v>
      </c>
      <c r="I260" s="1"/>
      <c r="J260" s="1"/>
    </row>
    <row r="261" spans="2:10" x14ac:dyDescent="0.2">
      <c r="B261" s="1" t="s">
        <v>128</v>
      </c>
      <c r="C261" s="32">
        <v>127</v>
      </c>
      <c r="D261" s="1">
        <v>14000</v>
      </c>
      <c r="E261" s="1"/>
      <c r="F261" s="1">
        <v>156.15</v>
      </c>
      <c r="G261" s="1">
        <v>14000</v>
      </c>
      <c r="H261" s="5">
        <f t="shared" si="3"/>
        <v>0</v>
      </c>
      <c r="I261" s="1"/>
      <c r="J261" s="1"/>
    </row>
    <row r="262" spans="2:10" x14ac:dyDescent="0.2">
      <c r="B262" s="1" t="s">
        <v>128</v>
      </c>
      <c r="C262" s="32">
        <v>2152</v>
      </c>
      <c r="D262" s="1">
        <v>25000</v>
      </c>
      <c r="E262" s="1"/>
      <c r="F262" s="1">
        <v>278.83</v>
      </c>
      <c r="G262" s="1">
        <v>25000</v>
      </c>
      <c r="H262" s="5">
        <f t="shared" si="3"/>
        <v>0</v>
      </c>
      <c r="I262" s="1"/>
      <c r="J262" s="1"/>
    </row>
    <row r="263" spans="2:10" x14ac:dyDescent="0.2">
      <c r="B263" s="1" t="s">
        <v>128</v>
      </c>
      <c r="C263" s="32">
        <v>8723</v>
      </c>
      <c r="D263" s="1">
        <v>15000</v>
      </c>
      <c r="E263" s="1"/>
      <c r="F263" s="1">
        <v>93.8</v>
      </c>
      <c r="G263" s="1">
        <v>15000</v>
      </c>
      <c r="H263" s="5">
        <f t="shared" si="3"/>
        <v>0</v>
      </c>
      <c r="I263" s="1"/>
      <c r="J263" s="1"/>
    </row>
    <row r="264" spans="2:10" x14ac:dyDescent="0.2">
      <c r="B264" s="1" t="s">
        <v>128</v>
      </c>
      <c r="C264" s="32">
        <v>1852</v>
      </c>
      <c r="D264" s="1">
        <v>25000</v>
      </c>
      <c r="E264" s="1"/>
      <c r="F264" s="1">
        <v>232.2</v>
      </c>
      <c r="G264" s="1">
        <v>25000</v>
      </c>
      <c r="H264" s="5">
        <f t="shared" si="3"/>
        <v>0</v>
      </c>
      <c r="I264" s="1"/>
      <c r="J264" s="1"/>
    </row>
    <row r="265" spans="2:10" x14ac:dyDescent="0.2">
      <c r="B265" s="1" t="s">
        <v>128</v>
      </c>
      <c r="C265" s="32" t="s">
        <v>61</v>
      </c>
      <c r="D265" s="1">
        <v>4500</v>
      </c>
      <c r="E265" s="1"/>
      <c r="F265" s="1">
        <v>50.29</v>
      </c>
      <c r="G265" s="1">
        <v>4500</v>
      </c>
      <c r="H265" s="5">
        <f t="shared" si="3"/>
        <v>0</v>
      </c>
      <c r="I265" s="1"/>
      <c r="J265" s="1"/>
    </row>
    <row r="266" spans="2:10" x14ac:dyDescent="0.2">
      <c r="B266" s="1" t="s">
        <v>128</v>
      </c>
      <c r="C266" s="32">
        <v>35</v>
      </c>
      <c r="D266" s="1">
        <v>15000</v>
      </c>
      <c r="E266" s="1"/>
      <c r="F266" s="1">
        <v>167.3</v>
      </c>
      <c r="G266" s="1">
        <v>15000</v>
      </c>
      <c r="H266" s="5">
        <f t="shared" si="3"/>
        <v>0</v>
      </c>
      <c r="I266" s="1"/>
      <c r="J266" s="1"/>
    </row>
    <row r="267" spans="2:10" x14ac:dyDescent="0.2">
      <c r="B267" s="1" t="s">
        <v>128</v>
      </c>
      <c r="C267" s="32">
        <v>8065</v>
      </c>
      <c r="D267" s="1">
        <v>15000</v>
      </c>
      <c r="E267" s="1"/>
      <c r="F267" s="1">
        <v>167.3</v>
      </c>
      <c r="G267" s="1">
        <v>15000</v>
      </c>
      <c r="H267" s="5">
        <f t="shared" si="3"/>
        <v>0</v>
      </c>
      <c r="I267" s="1"/>
      <c r="J267" s="1"/>
    </row>
    <row r="268" spans="2:10" x14ac:dyDescent="0.2">
      <c r="B268" s="1" t="s">
        <v>128</v>
      </c>
      <c r="C268" s="32">
        <v>8240</v>
      </c>
      <c r="D268" s="1">
        <v>25000</v>
      </c>
      <c r="E268" s="1"/>
      <c r="F268" s="1">
        <v>199.64</v>
      </c>
      <c r="G268" s="1">
        <v>25000</v>
      </c>
      <c r="H268" s="5">
        <f t="shared" si="3"/>
        <v>0</v>
      </c>
      <c r="I268" s="1"/>
      <c r="J268" s="1"/>
    </row>
    <row r="269" spans="2:10" x14ac:dyDescent="0.2">
      <c r="B269" s="1" t="s">
        <v>128</v>
      </c>
      <c r="C269" s="32">
        <v>9786</v>
      </c>
      <c r="D269" s="1">
        <v>30000</v>
      </c>
      <c r="E269" s="1"/>
      <c r="F269" s="1">
        <v>334.6</v>
      </c>
      <c r="G269" s="1">
        <v>30000</v>
      </c>
      <c r="H269" s="5">
        <f t="shared" si="3"/>
        <v>0</v>
      </c>
      <c r="I269" s="1"/>
      <c r="J269" s="1"/>
    </row>
    <row r="270" spans="2:10" x14ac:dyDescent="0.2">
      <c r="B270" s="1" t="s">
        <v>128</v>
      </c>
      <c r="C270" s="32">
        <v>5888</v>
      </c>
      <c r="D270" s="1">
        <v>20000</v>
      </c>
      <c r="E270" s="1"/>
      <c r="F270" s="1">
        <v>211.35</v>
      </c>
      <c r="G270" s="1">
        <v>20000</v>
      </c>
      <c r="H270" s="5">
        <f t="shared" si="3"/>
        <v>0</v>
      </c>
      <c r="I270" s="1"/>
      <c r="J270" s="1"/>
    </row>
    <row r="271" spans="2:10" x14ac:dyDescent="0.2">
      <c r="B271" s="1" t="s">
        <v>128</v>
      </c>
      <c r="C271" s="32">
        <v>9925</v>
      </c>
      <c r="D271" s="1">
        <v>15000</v>
      </c>
      <c r="E271" s="1"/>
      <c r="F271" s="1">
        <v>167.3</v>
      </c>
      <c r="G271" s="1">
        <v>15000</v>
      </c>
      <c r="H271" s="5">
        <f t="shared" si="3"/>
        <v>0</v>
      </c>
      <c r="I271" s="1"/>
      <c r="J271" s="1"/>
    </row>
    <row r="272" spans="2:10" x14ac:dyDescent="0.2">
      <c r="B272" s="1" t="s">
        <v>128</v>
      </c>
      <c r="C272" s="32">
        <v>8715</v>
      </c>
      <c r="D272" s="1">
        <v>25000</v>
      </c>
      <c r="E272" s="1"/>
      <c r="F272" s="1">
        <v>199.64</v>
      </c>
      <c r="G272" s="1">
        <v>25000</v>
      </c>
      <c r="H272" s="5">
        <f t="shared" si="3"/>
        <v>0</v>
      </c>
      <c r="I272" s="1"/>
      <c r="J272" s="1"/>
    </row>
    <row r="273" spans="2:10" x14ac:dyDescent="0.2">
      <c r="B273" s="1" t="s">
        <v>129</v>
      </c>
      <c r="C273" s="32">
        <v>120</v>
      </c>
      <c r="D273" s="1">
        <v>16000</v>
      </c>
      <c r="E273" s="1"/>
      <c r="F273" s="1">
        <v>178.45</v>
      </c>
      <c r="G273" s="1">
        <v>16000</v>
      </c>
      <c r="H273" s="5">
        <f t="shared" si="3"/>
        <v>0</v>
      </c>
      <c r="I273" s="1"/>
      <c r="J273" s="1"/>
    </row>
    <row r="274" spans="2:10" x14ac:dyDescent="0.2">
      <c r="B274" s="1" t="s">
        <v>129</v>
      </c>
      <c r="C274" s="32">
        <v>7786</v>
      </c>
      <c r="D274" s="1">
        <v>17000</v>
      </c>
      <c r="E274" s="1"/>
      <c r="F274" s="1">
        <v>180.68</v>
      </c>
      <c r="G274" s="1">
        <v>17000</v>
      </c>
      <c r="H274" s="5">
        <f t="shared" si="3"/>
        <v>0</v>
      </c>
      <c r="I274" s="1"/>
      <c r="J274" s="1"/>
    </row>
    <row r="275" spans="2:10" x14ac:dyDescent="0.2">
      <c r="B275" s="1" t="s">
        <v>129</v>
      </c>
      <c r="C275" s="32">
        <v>1352</v>
      </c>
      <c r="D275" s="1">
        <v>13000</v>
      </c>
      <c r="E275" s="1"/>
      <c r="F275" s="1">
        <v>144.99</v>
      </c>
      <c r="G275" s="1">
        <v>13000</v>
      </c>
      <c r="H275" s="5">
        <f t="shared" si="3"/>
        <v>0</v>
      </c>
      <c r="I275" s="1"/>
      <c r="J275" s="1"/>
    </row>
    <row r="276" spans="2:10" x14ac:dyDescent="0.2">
      <c r="B276" s="1" t="s">
        <v>129</v>
      </c>
      <c r="C276" s="32">
        <v>756</v>
      </c>
      <c r="D276" s="1">
        <v>5000</v>
      </c>
      <c r="E276" s="1"/>
      <c r="F276" s="1">
        <v>55.77</v>
      </c>
      <c r="G276" s="1">
        <v>5000</v>
      </c>
      <c r="H276" s="5">
        <f t="shared" si="3"/>
        <v>0</v>
      </c>
      <c r="I276" s="1"/>
      <c r="J276" s="1"/>
    </row>
    <row r="277" spans="2:10" x14ac:dyDescent="0.2">
      <c r="B277" s="1" t="s">
        <v>129</v>
      </c>
      <c r="C277" s="32">
        <v>669</v>
      </c>
      <c r="D277" s="1">
        <v>15000</v>
      </c>
      <c r="E277" s="1"/>
      <c r="F277" s="1">
        <v>167.5</v>
      </c>
      <c r="G277" s="1">
        <v>15000</v>
      </c>
      <c r="H277" s="5">
        <f t="shared" si="3"/>
        <v>0</v>
      </c>
      <c r="I277" s="1"/>
      <c r="J277" s="1"/>
    </row>
    <row r="278" spans="2:10" x14ac:dyDescent="0.2">
      <c r="B278" s="1" t="s">
        <v>129</v>
      </c>
      <c r="C278" s="32">
        <v>543</v>
      </c>
      <c r="D278" s="1">
        <v>11000</v>
      </c>
      <c r="E278" s="1"/>
      <c r="F278" s="1">
        <v>122.69</v>
      </c>
      <c r="G278" s="1">
        <v>11000</v>
      </c>
      <c r="H278" s="5">
        <f t="shared" si="3"/>
        <v>0</v>
      </c>
      <c r="I278" s="1"/>
      <c r="J278" s="1"/>
    </row>
    <row r="279" spans="2:10" x14ac:dyDescent="0.2">
      <c r="B279" s="1" t="s">
        <v>129</v>
      </c>
      <c r="C279" s="32">
        <v>6939</v>
      </c>
      <c r="D279" s="1">
        <v>20000</v>
      </c>
      <c r="E279" s="1"/>
      <c r="F279" s="1">
        <v>223.06</v>
      </c>
      <c r="G279" s="1">
        <v>20000</v>
      </c>
      <c r="H279" s="5">
        <f t="shared" si="3"/>
        <v>0</v>
      </c>
      <c r="I279" s="1"/>
      <c r="J279" s="1"/>
    </row>
    <row r="280" spans="2:10" x14ac:dyDescent="0.2">
      <c r="B280" s="1" t="s">
        <v>129</v>
      </c>
      <c r="C280" s="32">
        <v>2775</v>
      </c>
      <c r="D280" s="1">
        <v>8000</v>
      </c>
      <c r="E280" s="1"/>
      <c r="F280" s="1">
        <v>89.23</v>
      </c>
      <c r="G280" s="1">
        <v>8000</v>
      </c>
      <c r="H280" s="5">
        <f t="shared" si="3"/>
        <v>0</v>
      </c>
      <c r="I280" s="1"/>
      <c r="J280" s="1"/>
    </row>
    <row r="281" spans="2:10" x14ac:dyDescent="0.2">
      <c r="B281" s="1" t="s">
        <v>129</v>
      </c>
      <c r="C281" s="32">
        <v>4182</v>
      </c>
      <c r="D281" s="1">
        <v>8000</v>
      </c>
      <c r="E281" s="1"/>
      <c r="F281" s="1">
        <v>89.23</v>
      </c>
      <c r="G281" s="1">
        <v>8000</v>
      </c>
      <c r="H281" s="5">
        <f t="shared" si="3"/>
        <v>0</v>
      </c>
      <c r="I281" s="1"/>
      <c r="J281" s="1"/>
    </row>
    <row r="282" spans="2:10" x14ac:dyDescent="0.2">
      <c r="B282" s="1" t="s">
        <v>129</v>
      </c>
      <c r="C282" s="32">
        <v>5729</v>
      </c>
      <c r="D282" s="1">
        <v>8000</v>
      </c>
      <c r="E282" s="1"/>
      <c r="F282" s="1">
        <v>89.23</v>
      </c>
      <c r="G282" s="1">
        <v>8000</v>
      </c>
      <c r="H282" s="5">
        <f t="shared" si="3"/>
        <v>0</v>
      </c>
      <c r="I282" s="1"/>
      <c r="J282" s="1"/>
    </row>
    <row r="283" spans="2:10" x14ac:dyDescent="0.2">
      <c r="B283" s="1" t="s">
        <v>129</v>
      </c>
      <c r="C283" s="32">
        <v>6328</v>
      </c>
      <c r="D283" s="1">
        <v>30000</v>
      </c>
      <c r="E283" s="1"/>
      <c r="F283" s="1">
        <v>334.6</v>
      </c>
      <c r="G283" s="1">
        <v>30000</v>
      </c>
      <c r="H283" s="5">
        <f t="shared" si="3"/>
        <v>0</v>
      </c>
      <c r="I283" s="1"/>
      <c r="J283" s="1"/>
    </row>
    <row r="284" spans="2:10" x14ac:dyDescent="0.2">
      <c r="B284" s="1" t="s">
        <v>129</v>
      </c>
      <c r="C284" s="32">
        <v>3576</v>
      </c>
      <c r="D284" s="1">
        <v>23000</v>
      </c>
      <c r="E284" s="1"/>
      <c r="F284" s="1">
        <v>256.52</v>
      </c>
      <c r="G284" s="1">
        <v>23000</v>
      </c>
      <c r="H284" s="5">
        <f t="shared" si="3"/>
        <v>0</v>
      </c>
      <c r="I284" s="1"/>
      <c r="J284" s="1"/>
    </row>
    <row r="285" spans="2:10" x14ac:dyDescent="0.2">
      <c r="B285" s="1" t="s">
        <v>129</v>
      </c>
      <c r="C285" s="32">
        <v>3112</v>
      </c>
      <c r="D285" s="1">
        <v>30000</v>
      </c>
      <c r="E285" s="1"/>
      <c r="F285" s="1">
        <v>297.79000000000002</v>
      </c>
      <c r="G285" s="1">
        <v>30000</v>
      </c>
      <c r="H285" s="5">
        <f t="shared" si="3"/>
        <v>0</v>
      </c>
      <c r="I285" s="1"/>
      <c r="J285" s="1"/>
    </row>
    <row r="286" spans="2:10" x14ac:dyDescent="0.2">
      <c r="B286" s="1" t="s">
        <v>129</v>
      </c>
      <c r="C286" s="32">
        <v>2024</v>
      </c>
      <c r="D286" s="1">
        <v>20000</v>
      </c>
      <c r="E286" s="1"/>
      <c r="F286" s="1">
        <v>223.06</v>
      </c>
      <c r="G286" s="1">
        <v>20000</v>
      </c>
      <c r="H286" s="5">
        <f t="shared" si="3"/>
        <v>0</v>
      </c>
      <c r="I286" s="1"/>
      <c r="J286" s="1"/>
    </row>
    <row r="287" spans="2:10" x14ac:dyDescent="0.2">
      <c r="B287" s="1" t="s">
        <v>129</v>
      </c>
      <c r="C287" s="32" t="s">
        <v>61</v>
      </c>
      <c r="D287" s="1">
        <v>5300</v>
      </c>
      <c r="E287" s="1"/>
      <c r="F287" s="1">
        <v>53.11</v>
      </c>
      <c r="G287" s="1">
        <v>5300</v>
      </c>
      <c r="H287" s="5">
        <f t="shared" si="3"/>
        <v>0</v>
      </c>
      <c r="I287" s="1"/>
      <c r="J287" s="1"/>
    </row>
    <row r="288" spans="2:10" x14ac:dyDescent="0.2">
      <c r="B288" s="1" t="s">
        <v>129</v>
      </c>
      <c r="C288" s="32">
        <v>1420</v>
      </c>
      <c r="D288" s="1">
        <v>25000</v>
      </c>
      <c r="E288" s="1"/>
      <c r="F288" s="1">
        <v>278.83</v>
      </c>
      <c r="G288" s="1">
        <v>25000</v>
      </c>
      <c r="H288" s="5">
        <f t="shared" si="3"/>
        <v>0</v>
      </c>
      <c r="I288" s="1"/>
      <c r="J288" s="1"/>
    </row>
    <row r="289" spans="2:10" x14ac:dyDescent="0.2">
      <c r="B289" s="1" t="s">
        <v>129</v>
      </c>
      <c r="C289" s="32">
        <v>2000</v>
      </c>
      <c r="D289" s="1">
        <v>20000</v>
      </c>
      <c r="E289" s="1"/>
      <c r="F289" s="1">
        <v>223.06</v>
      </c>
      <c r="G289" s="1">
        <v>20000</v>
      </c>
      <c r="H289" s="5">
        <f t="shared" si="3"/>
        <v>0</v>
      </c>
      <c r="I289" s="1"/>
      <c r="J289" s="1"/>
    </row>
    <row r="290" spans="2:10" x14ac:dyDescent="0.2">
      <c r="B290" s="1" t="s">
        <v>129</v>
      </c>
      <c r="C290" s="32">
        <v>1336</v>
      </c>
      <c r="D290" s="1">
        <v>27000</v>
      </c>
      <c r="E290" s="1"/>
      <c r="F290" s="1">
        <v>280</v>
      </c>
      <c r="G290" s="1">
        <v>27000</v>
      </c>
      <c r="H290" s="5">
        <f t="shared" si="3"/>
        <v>0</v>
      </c>
      <c r="I290" s="1"/>
      <c r="J290" s="1"/>
    </row>
    <row r="291" spans="2:10" x14ac:dyDescent="0.2">
      <c r="B291" s="1" t="s">
        <v>129</v>
      </c>
      <c r="C291" s="32">
        <v>2393</v>
      </c>
      <c r="D291" s="1">
        <v>17086</v>
      </c>
      <c r="E291" s="1"/>
      <c r="F291" s="1">
        <v>190</v>
      </c>
      <c r="G291" s="1">
        <v>17086</v>
      </c>
      <c r="H291" s="5">
        <f t="shared" si="3"/>
        <v>0</v>
      </c>
      <c r="I291" s="1"/>
      <c r="J291" s="1"/>
    </row>
    <row r="292" spans="2:10" x14ac:dyDescent="0.2">
      <c r="B292" s="1" t="s">
        <v>131</v>
      </c>
      <c r="C292" s="32">
        <v>124</v>
      </c>
      <c r="D292" s="1">
        <v>17000</v>
      </c>
      <c r="E292" s="1"/>
      <c r="F292" s="1">
        <v>189.61</v>
      </c>
      <c r="G292" s="1">
        <v>17000</v>
      </c>
      <c r="H292" s="5">
        <f t="shared" si="3"/>
        <v>0</v>
      </c>
      <c r="I292" s="1"/>
      <c r="J292" s="1"/>
    </row>
    <row r="293" spans="2:10" x14ac:dyDescent="0.2">
      <c r="B293" s="1" t="s">
        <v>131</v>
      </c>
      <c r="C293" s="32">
        <v>128</v>
      </c>
      <c r="D293" s="1">
        <v>17000</v>
      </c>
      <c r="E293" s="1"/>
      <c r="F293" s="1">
        <v>189.61</v>
      </c>
      <c r="G293" s="1">
        <v>17000</v>
      </c>
      <c r="H293" s="5">
        <f t="shared" si="3"/>
        <v>0</v>
      </c>
      <c r="I293" s="1"/>
      <c r="J293" s="1"/>
    </row>
    <row r="294" spans="2:10" x14ac:dyDescent="0.2">
      <c r="B294" s="1" t="s">
        <v>131</v>
      </c>
      <c r="C294" s="32" t="s">
        <v>61</v>
      </c>
      <c r="D294" s="1">
        <v>4500</v>
      </c>
      <c r="E294" s="1"/>
      <c r="F294" s="1">
        <v>50.19</v>
      </c>
      <c r="G294" s="1">
        <v>4500</v>
      </c>
      <c r="H294" s="5">
        <f t="shared" si="3"/>
        <v>0</v>
      </c>
      <c r="I294" s="1"/>
      <c r="J294" s="1"/>
    </row>
    <row r="295" spans="2:10" x14ac:dyDescent="0.2">
      <c r="B295" s="1" t="s">
        <v>131</v>
      </c>
      <c r="C295" s="32" t="s">
        <v>61</v>
      </c>
      <c r="D295" s="1">
        <v>5000</v>
      </c>
      <c r="E295" s="1"/>
      <c r="F295" s="1">
        <v>55.76</v>
      </c>
      <c r="G295" s="1">
        <v>5000</v>
      </c>
      <c r="H295" s="5">
        <f t="shared" si="3"/>
        <v>0</v>
      </c>
      <c r="I295" s="1"/>
      <c r="J295" s="1"/>
    </row>
    <row r="296" spans="2:10" x14ac:dyDescent="0.2">
      <c r="B296" s="1" t="s">
        <v>131</v>
      </c>
      <c r="C296" s="32" t="s">
        <v>63</v>
      </c>
      <c r="D296" s="1">
        <v>3500</v>
      </c>
      <c r="E296" s="1"/>
      <c r="F296" s="1">
        <v>39.04</v>
      </c>
      <c r="G296" s="1">
        <v>3500</v>
      </c>
      <c r="H296" s="5">
        <f t="shared" si="3"/>
        <v>0</v>
      </c>
      <c r="I296" s="1"/>
      <c r="J296" s="1"/>
    </row>
    <row r="297" spans="2:10" x14ac:dyDescent="0.2">
      <c r="B297" s="1" t="s">
        <v>131</v>
      </c>
      <c r="C297" s="32">
        <v>788</v>
      </c>
      <c r="D297" s="1">
        <v>14000</v>
      </c>
      <c r="E297" s="1"/>
      <c r="F297" s="1">
        <v>156.15</v>
      </c>
      <c r="G297" s="1">
        <v>14000</v>
      </c>
      <c r="H297" s="5">
        <f t="shared" si="3"/>
        <v>0</v>
      </c>
      <c r="I297" s="1"/>
      <c r="J297" s="1"/>
    </row>
    <row r="298" spans="2:10" x14ac:dyDescent="0.2">
      <c r="B298" s="1" t="s">
        <v>131</v>
      </c>
      <c r="C298" s="32">
        <v>637</v>
      </c>
      <c r="D298" s="1">
        <v>10000</v>
      </c>
      <c r="E298" s="1"/>
      <c r="F298" s="1">
        <v>111.53</v>
      </c>
      <c r="G298" s="1">
        <v>10000</v>
      </c>
      <c r="H298" s="5">
        <f t="shared" si="3"/>
        <v>0</v>
      </c>
      <c r="I298" s="1"/>
      <c r="J298" s="1"/>
    </row>
    <row r="299" spans="2:10" x14ac:dyDescent="0.2">
      <c r="B299" s="1" t="s">
        <v>131</v>
      </c>
      <c r="C299" s="32">
        <v>3415</v>
      </c>
      <c r="D299" s="1">
        <v>20000</v>
      </c>
      <c r="E299" s="1"/>
      <c r="F299" s="1">
        <v>218.61</v>
      </c>
      <c r="G299" s="1">
        <v>20000</v>
      </c>
      <c r="H299" s="5">
        <f t="shared" si="3"/>
        <v>0</v>
      </c>
      <c r="I299" s="1"/>
      <c r="J299" s="1"/>
    </row>
    <row r="300" spans="2:10" x14ac:dyDescent="0.2">
      <c r="B300" s="1" t="s">
        <v>131</v>
      </c>
      <c r="C300" s="32">
        <v>8671</v>
      </c>
      <c r="D300" s="1">
        <v>30000</v>
      </c>
      <c r="E300" s="1"/>
      <c r="F300" s="1">
        <v>312.3</v>
      </c>
      <c r="G300" s="1">
        <v>30000</v>
      </c>
      <c r="H300" s="5">
        <f t="shared" si="3"/>
        <v>0</v>
      </c>
      <c r="I300" s="1"/>
      <c r="J300" s="1"/>
    </row>
    <row r="301" spans="2:10" x14ac:dyDescent="0.2">
      <c r="B301" s="1" t="s">
        <v>131</v>
      </c>
      <c r="C301" s="32">
        <v>6126</v>
      </c>
      <c r="D301" s="1">
        <v>16000</v>
      </c>
      <c r="E301" s="1"/>
      <c r="F301" s="1">
        <v>178.45</v>
      </c>
      <c r="G301" s="1">
        <v>16000</v>
      </c>
      <c r="H301" s="5">
        <f t="shared" si="3"/>
        <v>0</v>
      </c>
      <c r="I301" s="1"/>
      <c r="J301" s="1"/>
    </row>
    <row r="302" spans="2:10" x14ac:dyDescent="0.2">
      <c r="B302" s="1" t="s">
        <v>131</v>
      </c>
      <c r="C302" s="32">
        <v>1741</v>
      </c>
      <c r="D302" s="1">
        <v>15000</v>
      </c>
      <c r="E302" s="1"/>
      <c r="F302" s="1">
        <v>167.3</v>
      </c>
      <c r="G302" s="1">
        <v>15000</v>
      </c>
      <c r="H302" s="5">
        <f t="shared" si="3"/>
        <v>0</v>
      </c>
      <c r="I302" s="1"/>
      <c r="J302" s="1"/>
    </row>
    <row r="303" spans="2:10" x14ac:dyDescent="0.2">
      <c r="B303" s="1" t="s">
        <v>131</v>
      </c>
      <c r="C303" s="32">
        <v>8813</v>
      </c>
      <c r="D303" s="1">
        <v>25000</v>
      </c>
      <c r="E303" s="1"/>
      <c r="F303" s="1">
        <v>247.39</v>
      </c>
      <c r="G303" s="1">
        <v>25000</v>
      </c>
      <c r="H303" s="5">
        <f t="shared" si="3"/>
        <v>0</v>
      </c>
      <c r="I303" s="1"/>
      <c r="J303" s="1"/>
    </row>
    <row r="304" spans="2:10" x14ac:dyDescent="0.2">
      <c r="B304" s="1" t="s">
        <v>131</v>
      </c>
      <c r="C304" s="32">
        <v>4608</v>
      </c>
      <c r="D304" s="1">
        <v>10000</v>
      </c>
      <c r="E304" s="1"/>
      <c r="F304" s="1">
        <v>111.53</v>
      </c>
      <c r="G304" s="1">
        <v>10000</v>
      </c>
      <c r="H304" s="5">
        <f t="shared" si="3"/>
        <v>0</v>
      </c>
      <c r="I304" s="1"/>
      <c r="J304" s="1"/>
    </row>
    <row r="305" spans="2:10" x14ac:dyDescent="0.2">
      <c r="B305" s="1" t="s">
        <v>131</v>
      </c>
      <c r="C305" s="32">
        <v>6453</v>
      </c>
      <c r="D305" s="1">
        <v>25000</v>
      </c>
      <c r="E305" s="1"/>
      <c r="F305" s="1">
        <v>278.83</v>
      </c>
      <c r="G305" s="1">
        <v>25000</v>
      </c>
      <c r="H305" s="5">
        <f t="shared" si="3"/>
        <v>0</v>
      </c>
      <c r="I305" s="1"/>
      <c r="J305" s="1"/>
    </row>
    <row r="306" spans="2:10" x14ac:dyDescent="0.2">
      <c r="B306" s="1" t="s">
        <v>132</v>
      </c>
      <c r="C306" s="32">
        <v>4426</v>
      </c>
      <c r="D306" s="1">
        <v>10000</v>
      </c>
      <c r="E306" s="1"/>
      <c r="F306" s="1">
        <v>111.53</v>
      </c>
      <c r="G306" s="1">
        <v>10000</v>
      </c>
      <c r="H306" s="5">
        <f t="shared" si="3"/>
        <v>0</v>
      </c>
      <c r="I306" s="1"/>
      <c r="J306" s="1"/>
    </row>
    <row r="307" spans="2:10" x14ac:dyDescent="0.2">
      <c r="B307" s="1" t="s">
        <v>132</v>
      </c>
      <c r="C307" s="32">
        <v>8039</v>
      </c>
      <c r="D307" s="1">
        <v>30000</v>
      </c>
      <c r="E307" s="1"/>
      <c r="F307" s="1">
        <v>334.6</v>
      </c>
      <c r="G307" s="1">
        <v>30000</v>
      </c>
      <c r="H307" s="5">
        <f t="shared" ref="H307:H365" si="4">D307-G307</f>
        <v>0</v>
      </c>
      <c r="I307" s="1"/>
      <c r="J307" s="1"/>
    </row>
    <row r="308" spans="2:10" x14ac:dyDescent="0.2">
      <c r="B308" s="1" t="s">
        <v>132</v>
      </c>
      <c r="C308" s="32">
        <v>643</v>
      </c>
      <c r="D308" s="1">
        <v>20000</v>
      </c>
      <c r="E308" s="1"/>
      <c r="F308" s="1">
        <v>223.06</v>
      </c>
      <c r="G308" s="1">
        <v>20000</v>
      </c>
      <c r="H308" s="5">
        <f t="shared" si="4"/>
        <v>0</v>
      </c>
      <c r="I308" s="1"/>
      <c r="J308" s="1"/>
    </row>
    <row r="309" spans="2:10" x14ac:dyDescent="0.2">
      <c r="B309" s="1" t="s">
        <v>132</v>
      </c>
      <c r="C309" s="32">
        <v>4311</v>
      </c>
      <c r="D309" s="1">
        <v>25000</v>
      </c>
      <c r="E309" s="1"/>
      <c r="F309" s="1">
        <v>278.83</v>
      </c>
      <c r="G309" s="1">
        <v>25000</v>
      </c>
      <c r="H309" s="5">
        <f t="shared" si="4"/>
        <v>0</v>
      </c>
      <c r="I309" s="1"/>
      <c r="J309" s="1"/>
    </row>
    <row r="310" spans="2:10" x14ac:dyDescent="0.2">
      <c r="B310" s="1" t="s">
        <v>132</v>
      </c>
      <c r="C310" s="32">
        <v>8545</v>
      </c>
      <c r="D310" s="1">
        <v>25000</v>
      </c>
      <c r="E310" s="1"/>
      <c r="F310" s="1">
        <v>278.83</v>
      </c>
      <c r="G310" s="1">
        <v>25000</v>
      </c>
      <c r="H310" s="5">
        <f t="shared" si="4"/>
        <v>0</v>
      </c>
      <c r="I310" s="1"/>
      <c r="J310" s="1"/>
    </row>
    <row r="311" spans="2:10" x14ac:dyDescent="0.2">
      <c r="B311" s="1" t="s">
        <v>132</v>
      </c>
      <c r="C311" s="32">
        <v>8993</v>
      </c>
      <c r="D311" s="1">
        <v>25000</v>
      </c>
      <c r="E311" s="1"/>
      <c r="F311" s="1">
        <v>246.68</v>
      </c>
      <c r="G311" s="1">
        <v>25000</v>
      </c>
      <c r="H311" s="5">
        <f t="shared" si="4"/>
        <v>0</v>
      </c>
      <c r="I311" s="1"/>
      <c r="J311" s="1"/>
    </row>
    <row r="312" spans="2:10" x14ac:dyDescent="0.2">
      <c r="B312" s="1" t="s">
        <v>132</v>
      </c>
      <c r="C312" s="32">
        <v>1343</v>
      </c>
      <c r="D312" s="1">
        <v>5000</v>
      </c>
      <c r="E312" s="1"/>
      <c r="F312" s="1">
        <v>55.77</v>
      </c>
      <c r="G312" s="1">
        <v>5000</v>
      </c>
      <c r="H312" s="5">
        <f t="shared" si="4"/>
        <v>0</v>
      </c>
      <c r="I312" s="1"/>
      <c r="J312" s="1"/>
    </row>
    <row r="313" spans="2:10" x14ac:dyDescent="0.2">
      <c r="B313" s="1" t="s">
        <v>132</v>
      </c>
      <c r="C313" s="32">
        <v>5655</v>
      </c>
      <c r="D313" s="1">
        <v>5000</v>
      </c>
      <c r="E313" s="1"/>
      <c r="F313" s="1">
        <v>55.77</v>
      </c>
      <c r="G313" s="1">
        <v>5000</v>
      </c>
      <c r="H313" s="5">
        <f t="shared" si="4"/>
        <v>0</v>
      </c>
      <c r="I313" s="1"/>
      <c r="J313" s="1"/>
    </row>
    <row r="314" spans="2:10" x14ac:dyDescent="0.2">
      <c r="B314" s="1" t="s">
        <v>132</v>
      </c>
      <c r="C314" s="32">
        <v>756</v>
      </c>
      <c r="D314" s="1">
        <v>24000</v>
      </c>
      <c r="E314" s="1"/>
      <c r="F314" s="1">
        <v>267.68</v>
      </c>
      <c r="G314" s="1">
        <v>24000</v>
      </c>
      <c r="H314" s="5">
        <f t="shared" si="4"/>
        <v>0</v>
      </c>
      <c r="I314" s="1"/>
      <c r="J314" s="1"/>
    </row>
    <row r="315" spans="2:10" x14ac:dyDescent="0.2">
      <c r="B315" s="1" t="s">
        <v>132</v>
      </c>
      <c r="C315" s="32">
        <v>7090</v>
      </c>
      <c r="D315" s="1">
        <v>12000</v>
      </c>
      <c r="E315" s="1"/>
      <c r="F315" s="1">
        <v>133.84</v>
      </c>
      <c r="G315" s="1">
        <v>12000</v>
      </c>
      <c r="H315" s="5">
        <f t="shared" si="4"/>
        <v>0</v>
      </c>
      <c r="I315" s="1"/>
      <c r="J315" s="1"/>
    </row>
    <row r="316" spans="2:10" x14ac:dyDescent="0.2">
      <c r="B316" s="1" t="s">
        <v>132</v>
      </c>
      <c r="C316" s="32">
        <v>9898</v>
      </c>
      <c r="D316" s="1">
        <v>15000</v>
      </c>
      <c r="E316" s="1"/>
      <c r="F316" s="1">
        <v>167.3</v>
      </c>
      <c r="G316" s="1">
        <v>15000</v>
      </c>
      <c r="H316" s="5">
        <f t="shared" si="4"/>
        <v>0</v>
      </c>
      <c r="I316" s="1"/>
      <c r="J316" s="1"/>
    </row>
    <row r="317" spans="2:10" x14ac:dyDescent="0.2">
      <c r="B317" s="1" t="s">
        <v>132</v>
      </c>
      <c r="C317" s="32">
        <v>8508</v>
      </c>
      <c r="D317" s="1">
        <v>9000</v>
      </c>
      <c r="E317" s="1"/>
      <c r="F317" s="1">
        <v>167.3</v>
      </c>
      <c r="G317" s="1">
        <v>9000</v>
      </c>
      <c r="H317" s="5">
        <f t="shared" si="4"/>
        <v>0</v>
      </c>
      <c r="I317" s="1"/>
      <c r="J317" s="1"/>
    </row>
    <row r="318" spans="2:10" x14ac:dyDescent="0.2">
      <c r="B318" s="1" t="s">
        <v>132</v>
      </c>
      <c r="C318" s="32">
        <v>3677</v>
      </c>
      <c r="D318" s="1">
        <v>25000</v>
      </c>
      <c r="E318" s="1"/>
      <c r="F318" s="1">
        <v>298.83</v>
      </c>
      <c r="G318" s="1">
        <v>25000</v>
      </c>
      <c r="H318" s="5">
        <f t="shared" si="4"/>
        <v>0</v>
      </c>
      <c r="I318" s="1"/>
      <c r="J318" s="1"/>
    </row>
    <row r="319" spans="2:10" x14ac:dyDescent="0.2">
      <c r="B319" s="1" t="s">
        <v>132</v>
      </c>
      <c r="C319" s="32">
        <v>6454</v>
      </c>
      <c r="D319" s="1">
        <v>24000</v>
      </c>
      <c r="E319" s="1"/>
      <c r="F319" s="1">
        <v>251.83</v>
      </c>
      <c r="G319" s="1">
        <v>24000</v>
      </c>
      <c r="H319" s="5">
        <f t="shared" si="4"/>
        <v>0</v>
      </c>
      <c r="I319" s="1"/>
      <c r="J319" s="1"/>
    </row>
    <row r="320" spans="2:10" x14ac:dyDescent="0.2">
      <c r="B320" s="1" t="s">
        <v>132</v>
      </c>
      <c r="C320" s="32">
        <v>4204</v>
      </c>
      <c r="D320" s="1">
        <v>14000</v>
      </c>
      <c r="E320" s="1"/>
      <c r="F320" s="1">
        <v>156.15</v>
      </c>
      <c r="G320" s="1">
        <v>14000</v>
      </c>
      <c r="H320" s="5">
        <f t="shared" si="4"/>
        <v>0</v>
      </c>
      <c r="I320" s="1"/>
      <c r="J320" s="1"/>
    </row>
    <row r="321" spans="2:10" x14ac:dyDescent="0.2">
      <c r="B321" s="1" t="s">
        <v>132</v>
      </c>
      <c r="C321" s="32">
        <v>1518</v>
      </c>
      <c r="D321" s="1">
        <v>14000</v>
      </c>
      <c r="E321" s="1"/>
      <c r="F321" s="1">
        <v>156.15</v>
      </c>
      <c r="G321" s="1">
        <v>14000</v>
      </c>
      <c r="H321" s="5">
        <f t="shared" si="4"/>
        <v>0</v>
      </c>
      <c r="I321" s="1"/>
      <c r="J321" s="1"/>
    </row>
    <row r="322" spans="2:10" x14ac:dyDescent="0.2">
      <c r="B322" s="1" t="s">
        <v>132</v>
      </c>
      <c r="C322" s="32">
        <v>795</v>
      </c>
      <c r="D322" s="1">
        <v>25000</v>
      </c>
      <c r="E322" s="1"/>
      <c r="F322" s="1">
        <v>278.83</v>
      </c>
      <c r="G322" s="1">
        <v>25000</v>
      </c>
      <c r="H322" s="5">
        <f t="shared" si="4"/>
        <v>0</v>
      </c>
      <c r="I322" s="1"/>
      <c r="J322" s="1"/>
    </row>
    <row r="323" spans="2:10" x14ac:dyDescent="0.2">
      <c r="B323" s="1" t="s">
        <v>135</v>
      </c>
      <c r="C323" s="32">
        <v>2808</v>
      </c>
      <c r="D323" s="1">
        <v>25000</v>
      </c>
      <c r="E323" s="1"/>
      <c r="F323" s="1">
        <v>278.83</v>
      </c>
      <c r="G323" s="1">
        <v>25000</v>
      </c>
      <c r="H323" s="5">
        <f t="shared" si="4"/>
        <v>0</v>
      </c>
      <c r="I323" s="1"/>
      <c r="J323" s="1"/>
    </row>
    <row r="324" spans="2:10" x14ac:dyDescent="0.2">
      <c r="B324" s="1" t="s">
        <v>135</v>
      </c>
      <c r="C324" s="32">
        <v>6993</v>
      </c>
      <c r="D324" s="1">
        <v>15000</v>
      </c>
      <c r="E324" s="1"/>
      <c r="F324" s="1">
        <v>167.3</v>
      </c>
      <c r="G324" s="1">
        <v>15000</v>
      </c>
      <c r="H324" s="5">
        <f t="shared" si="4"/>
        <v>0</v>
      </c>
      <c r="I324" s="1"/>
      <c r="J324" s="1"/>
    </row>
    <row r="325" spans="2:10" x14ac:dyDescent="0.2">
      <c r="B325" s="1" t="s">
        <v>135</v>
      </c>
      <c r="C325" s="32">
        <v>293</v>
      </c>
      <c r="D325" s="1">
        <v>15000</v>
      </c>
      <c r="E325" s="1"/>
      <c r="F325" s="1">
        <v>167.3</v>
      </c>
      <c r="G325" s="1">
        <v>15000</v>
      </c>
      <c r="H325" s="5">
        <f t="shared" si="4"/>
        <v>0</v>
      </c>
      <c r="I325" s="1"/>
      <c r="J325" s="1"/>
    </row>
    <row r="326" spans="2:10" x14ac:dyDescent="0.2">
      <c r="B326" s="1" t="s">
        <v>135</v>
      </c>
      <c r="C326" s="32">
        <v>35</v>
      </c>
      <c r="D326" s="1">
        <v>15000</v>
      </c>
      <c r="E326" s="1"/>
      <c r="F326" s="1">
        <v>167.3</v>
      </c>
      <c r="G326" s="1">
        <v>15000</v>
      </c>
      <c r="H326" s="5">
        <f t="shared" si="4"/>
        <v>0</v>
      </c>
      <c r="I326" s="1"/>
      <c r="J326" s="1"/>
    </row>
    <row r="327" spans="2:10" x14ac:dyDescent="0.2">
      <c r="B327" s="1" t="s">
        <v>135</v>
      </c>
      <c r="C327" s="32">
        <v>9925</v>
      </c>
      <c r="D327" s="1">
        <v>15000</v>
      </c>
      <c r="E327" s="1"/>
      <c r="F327" s="1">
        <v>167.3</v>
      </c>
      <c r="G327" s="1">
        <v>15000</v>
      </c>
      <c r="H327" s="5">
        <f t="shared" si="4"/>
        <v>0</v>
      </c>
      <c r="I327" s="1"/>
      <c r="J327" s="1"/>
    </row>
    <row r="328" spans="2:10" x14ac:dyDescent="0.2">
      <c r="B328" s="1" t="s">
        <v>135</v>
      </c>
      <c r="C328" s="32">
        <v>4936</v>
      </c>
      <c r="D328" s="1">
        <v>15000</v>
      </c>
      <c r="E328" s="1"/>
      <c r="F328" s="1">
        <v>167.3</v>
      </c>
      <c r="G328" s="1">
        <v>15000</v>
      </c>
      <c r="H328" s="5">
        <f t="shared" si="4"/>
        <v>0</v>
      </c>
      <c r="I328" s="1"/>
      <c r="J328" s="1"/>
    </row>
    <row r="329" spans="2:10" x14ac:dyDescent="0.2">
      <c r="B329" s="1" t="s">
        <v>135</v>
      </c>
      <c r="C329" s="32" t="s">
        <v>63</v>
      </c>
      <c r="D329" s="1">
        <v>3500</v>
      </c>
      <c r="E329" s="1"/>
      <c r="F329" s="1">
        <v>39.04</v>
      </c>
      <c r="G329" s="1">
        <v>3500</v>
      </c>
      <c r="H329" s="5">
        <f t="shared" si="4"/>
        <v>0</v>
      </c>
      <c r="I329" s="1"/>
      <c r="J329" s="1"/>
    </row>
    <row r="330" spans="2:10" x14ac:dyDescent="0.2">
      <c r="B330" s="1" t="s">
        <v>135</v>
      </c>
      <c r="C330" s="32">
        <v>4349</v>
      </c>
      <c r="D330" s="1">
        <v>20000</v>
      </c>
      <c r="E330" s="1"/>
      <c r="F330" s="1">
        <v>223.06</v>
      </c>
      <c r="G330" s="1">
        <v>20000</v>
      </c>
      <c r="H330" s="5">
        <f t="shared" si="4"/>
        <v>0</v>
      </c>
      <c r="I330" s="1"/>
      <c r="J330" s="1"/>
    </row>
    <row r="331" spans="2:10" x14ac:dyDescent="0.2">
      <c r="B331" s="1" t="s">
        <v>135</v>
      </c>
      <c r="C331" s="32">
        <v>7766</v>
      </c>
      <c r="D331" s="1">
        <v>16000</v>
      </c>
      <c r="E331" s="1"/>
      <c r="F331" s="1">
        <v>174.62</v>
      </c>
      <c r="G331" s="1">
        <v>16000</v>
      </c>
      <c r="H331" s="5">
        <f t="shared" si="4"/>
        <v>0</v>
      </c>
      <c r="I331" s="1"/>
      <c r="J331" s="1"/>
    </row>
    <row r="332" spans="2:10" x14ac:dyDescent="0.2">
      <c r="B332" s="1" t="s">
        <v>135</v>
      </c>
      <c r="C332" s="32">
        <v>756</v>
      </c>
      <c r="D332" s="1">
        <v>23000</v>
      </c>
      <c r="E332" s="1"/>
      <c r="F332" s="1">
        <v>256.52</v>
      </c>
      <c r="G332" s="1">
        <v>23000</v>
      </c>
      <c r="H332" s="5">
        <f t="shared" si="4"/>
        <v>0</v>
      </c>
      <c r="I332" s="1"/>
      <c r="J332" s="1"/>
    </row>
    <row r="333" spans="2:10" x14ac:dyDescent="0.2">
      <c r="B333" s="1" t="s">
        <v>135</v>
      </c>
      <c r="C333" s="32">
        <v>291</v>
      </c>
      <c r="D333" s="1">
        <v>15000</v>
      </c>
      <c r="E333" s="1"/>
      <c r="F333" s="1">
        <v>167.3</v>
      </c>
      <c r="G333" s="1">
        <v>15000</v>
      </c>
      <c r="H333" s="5">
        <f t="shared" si="4"/>
        <v>0</v>
      </c>
      <c r="I333" s="1"/>
      <c r="J333" s="1"/>
    </row>
    <row r="334" spans="2:10" x14ac:dyDescent="0.2">
      <c r="B334" s="1" t="s">
        <v>135</v>
      </c>
      <c r="C334" s="32">
        <v>3600</v>
      </c>
      <c r="D334" s="1">
        <v>18000</v>
      </c>
      <c r="E334" s="1"/>
      <c r="F334" s="1">
        <v>200.76</v>
      </c>
      <c r="G334" s="1">
        <v>18000</v>
      </c>
      <c r="H334" s="5">
        <f t="shared" si="4"/>
        <v>0</v>
      </c>
      <c r="I334" s="1"/>
      <c r="J334" s="1"/>
    </row>
    <row r="335" spans="2:10" x14ac:dyDescent="0.2">
      <c r="B335" s="1" t="s">
        <v>135</v>
      </c>
      <c r="C335" s="32">
        <v>6284</v>
      </c>
      <c r="D335" s="1">
        <v>15000</v>
      </c>
      <c r="E335" s="1"/>
      <c r="F335" s="1">
        <v>167.5</v>
      </c>
      <c r="G335" s="1">
        <v>15000</v>
      </c>
      <c r="H335" s="5">
        <f t="shared" si="4"/>
        <v>0</v>
      </c>
      <c r="I335" s="1"/>
      <c r="J335" s="1"/>
    </row>
    <row r="336" spans="2:10" x14ac:dyDescent="0.2">
      <c r="B336" s="1" t="s">
        <v>135</v>
      </c>
      <c r="C336" s="32">
        <v>7491</v>
      </c>
      <c r="D336" s="1">
        <v>32000</v>
      </c>
      <c r="E336" s="1"/>
      <c r="F336" s="1">
        <v>329.02</v>
      </c>
      <c r="G336" s="1">
        <v>32000</v>
      </c>
      <c r="H336" s="5">
        <f t="shared" si="4"/>
        <v>0</v>
      </c>
      <c r="I336" s="1"/>
      <c r="J336" s="1"/>
    </row>
    <row r="337" spans="2:10" x14ac:dyDescent="0.2">
      <c r="B337" s="1" t="s">
        <v>135</v>
      </c>
      <c r="C337" s="32">
        <v>2131</v>
      </c>
      <c r="D337" s="1">
        <v>25000</v>
      </c>
      <c r="E337" s="1"/>
      <c r="F337" s="1">
        <v>240.29</v>
      </c>
      <c r="G337" s="1">
        <v>25000</v>
      </c>
      <c r="H337" s="5">
        <f t="shared" si="4"/>
        <v>0</v>
      </c>
      <c r="I337" s="1"/>
      <c r="J337" s="1"/>
    </row>
    <row r="338" spans="2:10" x14ac:dyDescent="0.2">
      <c r="B338" s="1" t="s">
        <v>135</v>
      </c>
      <c r="C338" s="32">
        <v>7461</v>
      </c>
      <c r="D338" s="1">
        <v>24000</v>
      </c>
      <c r="E338" s="1"/>
      <c r="F338" s="1">
        <v>267.67</v>
      </c>
      <c r="G338" s="1">
        <v>24000</v>
      </c>
      <c r="H338" s="5">
        <f t="shared" si="4"/>
        <v>0</v>
      </c>
      <c r="I338" s="1"/>
      <c r="J338" s="1"/>
    </row>
    <row r="339" spans="2:10" x14ac:dyDescent="0.2">
      <c r="B339" s="1" t="s">
        <v>135</v>
      </c>
      <c r="C339" s="32">
        <v>3947</v>
      </c>
      <c r="D339" s="1">
        <v>20000</v>
      </c>
      <c r="E339" s="1"/>
      <c r="F339" s="1">
        <v>223.06</v>
      </c>
      <c r="G339" s="1">
        <v>20000</v>
      </c>
      <c r="H339" s="5">
        <f t="shared" si="4"/>
        <v>0</v>
      </c>
      <c r="I339" s="1"/>
      <c r="J339" s="1"/>
    </row>
    <row r="340" spans="2:10" x14ac:dyDescent="0.2">
      <c r="B340" s="1" t="s">
        <v>135</v>
      </c>
      <c r="C340" s="32">
        <v>8574</v>
      </c>
      <c r="D340" s="1">
        <v>24000</v>
      </c>
      <c r="E340" s="1"/>
      <c r="F340" s="1">
        <v>267.67</v>
      </c>
      <c r="G340" s="1">
        <v>24000</v>
      </c>
      <c r="H340" s="5">
        <f t="shared" si="4"/>
        <v>0</v>
      </c>
      <c r="I340" s="1"/>
      <c r="J340" s="1"/>
    </row>
    <row r="341" spans="2:10" x14ac:dyDescent="0.2">
      <c r="B341" s="1" t="s">
        <v>134</v>
      </c>
      <c r="C341" s="32">
        <v>5384</v>
      </c>
      <c r="D341" s="1">
        <v>25000</v>
      </c>
      <c r="E341" s="1"/>
      <c r="F341" s="1">
        <v>226.41</v>
      </c>
      <c r="G341" s="1">
        <v>25000</v>
      </c>
      <c r="H341" s="5">
        <f t="shared" si="4"/>
        <v>0</v>
      </c>
      <c r="I341" s="1"/>
      <c r="J341" s="1"/>
    </row>
    <row r="342" spans="2:10" x14ac:dyDescent="0.2">
      <c r="B342" s="1" t="s">
        <v>134</v>
      </c>
      <c r="C342" s="32">
        <v>3297</v>
      </c>
      <c r="D342" s="1">
        <v>7000</v>
      </c>
      <c r="E342" s="1"/>
      <c r="F342" s="1">
        <v>50.19</v>
      </c>
      <c r="G342" s="1">
        <v>7000</v>
      </c>
      <c r="H342" s="5">
        <f t="shared" si="4"/>
        <v>0</v>
      </c>
      <c r="I342" s="1"/>
      <c r="J342" s="1"/>
    </row>
    <row r="343" spans="2:10" x14ac:dyDescent="0.2">
      <c r="B343" s="1" t="s">
        <v>134</v>
      </c>
      <c r="C343" s="32" t="s">
        <v>61</v>
      </c>
      <c r="D343" s="1">
        <v>4500</v>
      </c>
      <c r="E343" s="1"/>
      <c r="F343" s="1">
        <v>50.19</v>
      </c>
      <c r="G343" s="1">
        <v>4500</v>
      </c>
      <c r="H343" s="5">
        <f t="shared" si="4"/>
        <v>0</v>
      </c>
      <c r="I343" s="1"/>
      <c r="J343" s="1"/>
    </row>
    <row r="344" spans="2:10" x14ac:dyDescent="0.2">
      <c r="B344" s="1" t="s">
        <v>134</v>
      </c>
      <c r="C344" s="32">
        <v>2740</v>
      </c>
      <c r="D344" s="1">
        <v>25000</v>
      </c>
      <c r="E344" s="1"/>
      <c r="F344" s="1">
        <v>234.22</v>
      </c>
      <c r="G344" s="1">
        <v>25000</v>
      </c>
      <c r="H344" s="5">
        <f t="shared" si="4"/>
        <v>0</v>
      </c>
      <c r="I344" s="1"/>
      <c r="J344" s="1"/>
    </row>
    <row r="345" spans="2:10" x14ac:dyDescent="0.2">
      <c r="B345" s="1" t="s">
        <v>134</v>
      </c>
      <c r="C345" s="32">
        <v>292</v>
      </c>
      <c r="D345" s="1">
        <v>15000</v>
      </c>
      <c r="E345" s="1"/>
      <c r="F345" s="1">
        <v>167.3</v>
      </c>
      <c r="G345" s="1">
        <v>15000</v>
      </c>
      <c r="H345" s="5">
        <f t="shared" si="4"/>
        <v>0</v>
      </c>
      <c r="I345" s="1"/>
      <c r="J345" s="1"/>
    </row>
    <row r="346" spans="2:10" x14ac:dyDescent="0.2">
      <c r="B346" s="1" t="s">
        <v>134</v>
      </c>
      <c r="C346" s="32">
        <v>611</v>
      </c>
      <c r="D346" s="1">
        <v>20000</v>
      </c>
      <c r="E346" s="1"/>
      <c r="F346" s="1">
        <v>223.06</v>
      </c>
      <c r="G346" s="1">
        <v>20000</v>
      </c>
      <c r="H346" s="5">
        <f t="shared" si="4"/>
        <v>0</v>
      </c>
      <c r="I346" s="1"/>
      <c r="J346" s="1"/>
    </row>
    <row r="347" spans="2:10" x14ac:dyDescent="0.2">
      <c r="B347" s="1" t="s">
        <v>134</v>
      </c>
      <c r="C347" s="32">
        <v>1386</v>
      </c>
      <c r="D347" s="1">
        <v>13100</v>
      </c>
      <c r="E347" s="1"/>
      <c r="F347" s="1">
        <v>146.11000000000001</v>
      </c>
      <c r="G347" s="1">
        <v>13100</v>
      </c>
      <c r="H347" s="5">
        <f t="shared" si="4"/>
        <v>0</v>
      </c>
      <c r="I347" s="1"/>
      <c r="J347" s="1"/>
    </row>
    <row r="348" spans="2:10" x14ac:dyDescent="0.2">
      <c r="B348" s="1" t="s">
        <v>134</v>
      </c>
      <c r="C348" s="32">
        <v>127</v>
      </c>
      <c r="D348" s="1">
        <v>15000</v>
      </c>
      <c r="E348" s="1"/>
      <c r="F348" s="1">
        <v>167.3</v>
      </c>
      <c r="G348" s="1">
        <v>15000</v>
      </c>
      <c r="H348" s="5">
        <f t="shared" si="4"/>
        <v>0</v>
      </c>
      <c r="I348" s="1"/>
      <c r="J348" s="1"/>
    </row>
    <row r="349" spans="2:10" x14ac:dyDescent="0.2">
      <c r="B349" s="1" t="s">
        <v>134</v>
      </c>
      <c r="C349" s="32">
        <v>121</v>
      </c>
      <c r="D349" s="1">
        <v>16000</v>
      </c>
      <c r="E349" s="1"/>
      <c r="F349" s="1">
        <v>178.45</v>
      </c>
      <c r="G349" s="1">
        <v>16000</v>
      </c>
      <c r="H349" s="5">
        <f t="shared" si="4"/>
        <v>0</v>
      </c>
      <c r="I349" s="1"/>
      <c r="J349" s="1"/>
    </row>
    <row r="350" spans="2:10" x14ac:dyDescent="0.2">
      <c r="B350" s="1" t="s">
        <v>134</v>
      </c>
      <c r="C350" s="32">
        <v>119</v>
      </c>
      <c r="D350" s="1">
        <v>16000</v>
      </c>
      <c r="E350" s="1"/>
      <c r="F350" s="1">
        <v>178.45</v>
      </c>
      <c r="G350" s="1">
        <v>16000</v>
      </c>
      <c r="H350" s="5">
        <f t="shared" si="4"/>
        <v>0</v>
      </c>
      <c r="I350" s="1"/>
      <c r="J350" s="1"/>
    </row>
    <row r="351" spans="2:10" x14ac:dyDescent="0.2">
      <c r="B351" s="1" t="s">
        <v>134</v>
      </c>
      <c r="C351" s="32">
        <v>9510</v>
      </c>
      <c r="D351" s="1">
        <v>10000</v>
      </c>
      <c r="E351" s="1"/>
      <c r="F351" s="1">
        <v>111.53</v>
      </c>
      <c r="G351" s="1">
        <v>10000</v>
      </c>
      <c r="H351" s="5">
        <f t="shared" si="4"/>
        <v>0</v>
      </c>
      <c r="I351" s="1"/>
      <c r="J351" s="1"/>
    </row>
    <row r="352" spans="2:10" x14ac:dyDescent="0.2">
      <c r="B352" s="1" t="s">
        <v>134</v>
      </c>
      <c r="C352" s="32">
        <v>9219</v>
      </c>
      <c r="D352" s="1">
        <v>30000</v>
      </c>
      <c r="E352" s="1"/>
      <c r="F352" s="1">
        <v>334.6</v>
      </c>
      <c r="G352" s="1">
        <v>30000</v>
      </c>
      <c r="H352" s="5">
        <f t="shared" si="4"/>
        <v>0</v>
      </c>
      <c r="I352" s="1"/>
      <c r="J352" s="1"/>
    </row>
    <row r="353" spans="2:11" x14ac:dyDescent="0.2">
      <c r="B353" s="1" t="s">
        <v>134</v>
      </c>
      <c r="C353" s="32" t="s">
        <v>66</v>
      </c>
      <c r="D353" s="1">
        <v>400</v>
      </c>
      <c r="E353" s="1"/>
      <c r="F353" s="1">
        <v>4.46</v>
      </c>
      <c r="G353" s="1">
        <v>400</v>
      </c>
      <c r="H353" s="5">
        <f t="shared" si="4"/>
        <v>0</v>
      </c>
      <c r="I353" s="1"/>
      <c r="J353" s="1"/>
    </row>
    <row r="354" spans="2:11" x14ac:dyDescent="0.2">
      <c r="B354" s="1" t="s">
        <v>134</v>
      </c>
      <c r="C354" s="32">
        <v>2979</v>
      </c>
      <c r="D354" s="1">
        <v>27000</v>
      </c>
      <c r="E354" s="1"/>
      <c r="F354" s="1">
        <v>272.14</v>
      </c>
      <c r="G354" s="1">
        <v>27000</v>
      </c>
      <c r="H354" s="5">
        <f t="shared" si="4"/>
        <v>0</v>
      </c>
      <c r="I354" s="1"/>
      <c r="J354" s="1"/>
    </row>
    <row r="355" spans="2:11" x14ac:dyDescent="0.2">
      <c r="B355" s="1" t="s">
        <v>136</v>
      </c>
      <c r="C355" s="32">
        <v>9708</v>
      </c>
      <c r="D355" s="1">
        <v>20000</v>
      </c>
      <c r="E355" s="1"/>
      <c r="F355" s="1">
        <v>218.05</v>
      </c>
      <c r="G355" s="1">
        <v>20000</v>
      </c>
      <c r="H355" s="5">
        <f t="shared" si="4"/>
        <v>0</v>
      </c>
      <c r="I355" s="1"/>
      <c r="J355" s="1"/>
    </row>
    <row r="356" spans="2:11" x14ac:dyDescent="0.2">
      <c r="B356" s="1" t="s">
        <v>136</v>
      </c>
      <c r="C356" s="32">
        <v>1725</v>
      </c>
      <c r="D356" s="1">
        <v>22000</v>
      </c>
      <c r="E356" s="1"/>
      <c r="F356" s="1">
        <v>213.02</v>
      </c>
      <c r="G356" s="1">
        <v>22000</v>
      </c>
      <c r="H356" s="5">
        <f t="shared" si="4"/>
        <v>0</v>
      </c>
      <c r="I356" s="1"/>
      <c r="J356" s="1"/>
    </row>
    <row r="357" spans="2:11" x14ac:dyDescent="0.2">
      <c r="B357" s="1" t="s">
        <v>136</v>
      </c>
      <c r="C357" s="32">
        <v>4015</v>
      </c>
      <c r="D357" s="1">
        <v>28000</v>
      </c>
      <c r="E357" s="1"/>
      <c r="F357" s="1">
        <v>298.92</v>
      </c>
      <c r="G357" s="1">
        <v>28000</v>
      </c>
      <c r="H357" s="5">
        <f t="shared" si="4"/>
        <v>0</v>
      </c>
      <c r="I357" s="1"/>
      <c r="J357" s="1"/>
    </row>
    <row r="358" spans="2:11" x14ac:dyDescent="0.2">
      <c r="B358" s="1" t="s">
        <v>136</v>
      </c>
      <c r="C358" s="32" t="s">
        <v>61</v>
      </c>
      <c r="D358" s="1">
        <v>5000</v>
      </c>
      <c r="E358" s="1"/>
      <c r="F358" s="1">
        <v>55.76</v>
      </c>
      <c r="G358" s="1">
        <v>5000</v>
      </c>
      <c r="H358" s="5">
        <f t="shared" si="4"/>
        <v>0</v>
      </c>
      <c r="I358" s="1"/>
      <c r="J358" s="1"/>
    </row>
    <row r="359" spans="2:11" x14ac:dyDescent="0.2">
      <c r="B359" s="1" t="s">
        <v>136</v>
      </c>
      <c r="C359" s="32">
        <v>7119</v>
      </c>
      <c r="D359" s="1">
        <v>23000</v>
      </c>
      <c r="E359" s="1"/>
      <c r="F359" s="1">
        <v>256.52</v>
      </c>
      <c r="G359" s="1">
        <v>23000</v>
      </c>
      <c r="H359" s="5">
        <f t="shared" si="4"/>
        <v>0</v>
      </c>
      <c r="I359" s="1"/>
      <c r="J359" s="1"/>
    </row>
    <row r="360" spans="2:11" x14ac:dyDescent="0.2">
      <c r="B360" s="1" t="s">
        <v>136</v>
      </c>
      <c r="C360" s="32">
        <v>3030</v>
      </c>
      <c r="D360" s="1">
        <v>30000</v>
      </c>
      <c r="E360" s="1"/>
      <c r="F360" s="1">
        <v>317.87</v>
      </c>
      <c r="G360" s="1">
        <v>30000</v>
      </c>
      <c r="H360" s="5">
        <f t="shared" si="4"/>
        <v>0</v>
      </c>
      <c r="I360" s="1"/>
      <c r="J360" s="1"/>
    </row>
    <row r="361" spans="2:11" x14ac:dyDescent="0.2">
      <c r="B361" s="1" t="s">
        <v>136</v>
      </c>
      <c r="C361" s="32">
        <v>3505</v>
      </c>
      <c r="D361" s="1">
        <v>28000</v>
      </c>
      <c r="E361" s="1"/>
      <c r="F361" s="1">
        <v>312.29000000000002</v>
      </c>
      <c r="G361" s="1">
        <v>28000</v>
      </c>
      <c r="H361" s="5">
        <f t="shared" si="4"/>
        <v>0</v>
      </c>
      <c r="I361" s="1"/>
      <c r="J361" s="1"/>
    </row>
    <row r="362" spans="2:11" x14ac:dyDescent="0.2">
      <c r="B362" s="1" t="s">
        <v>136</v>
      </c>
      <c r="C362" s="32">
        <v>5079</v>
      </c>
      <c r="D362" s="1">
        <v>30000</v>
      </c>
      <c r="E362" s="1"/>
      <c r="F362" s="1">
        <v>334.6</v>
      </c>
      <c r="G362" s="1">
        <v>30000</v>
      </c>
      <c r="H362" s="5">
        <f t="shared" si="4"/>
        <v>0</v>
      </c>
      <c r="I362" s="1"/>
      <c r="J362" s="1"/>
    </row>
    <row r="363" spans="2:11" x14ac:dyDescent="0.2">
      <c r="B363" s="1" t="s">
        <v>136</v>
      </c>
      <c r="C363" s="32">
        <v>2883</v>
      </c>
      <c r="D363" s="1">
        <v>23000</v>
      </c>
      <c r="E363" s="1"/>
      <c r="F363" s="1">
        <v>256.52</v>
      </c>
      <c r="G363" s="1">
        <v>23000</v>
      </c>
      <c r="H363" s="5">
        <f t="shared" si="4"/>
        <v>0</v>
      </c>
      <c r="I363" s="1"/>
      <c r="J363" s="1"/>
    </row>
    <row r="364" spans="2:11" x14ac:dyDescent="0.2">
      <c r="B364" s="1" t="s">
        <v>136</v>
      </c>
      <c r="C364" s="32">
        <v>6405</v>
      </c>
      <c r="D364" s="1">
        <v>15000</v>
      </c>
      <c r="E364" s="1"/>
      <c r="F364" s="1">
        <v>167.3</v>
      </c>
      <c r="G364" s="1">
        <v>15000</v>
      </c>
      <c r="H364" s="5">
        <f t="shared" si="4"/>
        <v>0</v>
      </c>
      <c r="I364" s="1"/>
      <c r="J364" s="1"/>
    </row>
    <row r="365" spans="2:11" x14ac:dyDescent="0.2">
      <c r="B365" s="1" t="s">
        <v>136</v>
      </c>
      <c r="C365" s="32" t="s">
        <v>61</v>
      </c>
      <c r="D365" s="1">
        <v>3500</v>
      </c>
      <c r="E365" s="1"/>
      <c r="F365" s="1">
        <v>39.4</v>
      </c>
      <c r="G365" s="1">
        <v>3500</v>
      </c>
      <c r="H365" s="5">
        <f t="shared" si="4"/>
        <v>0</v>
      </c>
      <c r="I365" s="1"/>
      <c r="J365" s="1"/>
    </row>
    <row r="366" spans="2:11" ht="15" x14ac:dyDescent="0.25">
      <c r="B366" s="1"/>
      <c r="C366" s="20" t="s">
        <v>9</v>
      </c>
      <c r="D366" s="21">
        <f>SUM(D5:D365)</f>
        <v>8480820</v>
      </c>
      <c r="E366" s="22"/>
      <c r="F366" s="23">
        <f>SUM(F6:F365)</f>
        <v>67347.679999999964</v>
      </c>
      <c r="G366" s="21">
        <f>SUM(G5:G365)</f>
        <v>8480820</v>
      </c>
      <c r="H366" s="22"/>
      <c r="I366" s="24">
        <f>SUM(I6:I29)</f>
        <v>6271719</v>
      </c>
      <c r="J366" s="1"/>
    </row>
    <row r="367" spans="2:11" ht="15" x14ac:dyDescent="0.25">
      <c r="B367" s="1"/>
      <c r="C367" s="20" t="s">
        <v>10</v>
      </c>
      <c r="D367" s="25">
        <f>SUM(D366-I366)</f>
        <v>2209101</v>
      </c>
      <c r="E367" s="22"/>
      <c r="F367" s="22"/>
      <c r="G367" s="26" t="s">
        <v>10</v>
      </c>
      <c r="H367" s="25">
        <f>SUM(G366-I366)</f>
        <v>2209101</v>
      </c>
      <c r="I367" s="25"/>
      <c r="J367" s="1"/>
      <c r="K367">
        <f>2210779-2209101</f>
        <v>1678</v>
      </c>
    </row>
    <row r="368" spans="2:11" ht="15" thickBot="1" x14ac:dyDescent="0.25"/>
    <row r="369" spans="2:10" ht="15.75" thickBot="1" x14ac:dyDescent="0.3">
      <c r="B369" s="66"/>
      <c r="C369" s="67" t="s">
        <v>182</v>
      </c>
      <c r="D369" s="67"/>
      <c r="E369" s="68"/>
      <c r="G369" s="66"/>
      <c r="H369" s="67" t="s">
        <v>183</v>
      </c>
      <c r="I369" s="67"/>
      <c r="J369" s="68"/>
    </row>
    <row r="370" spans="2:10" ht="15" x14ac:dyDescent="0.25">
      <c r="B370" s="91" t="s">
        <v>141</v>
      </c>
      <c r="C370" s="90"/>
      <c r="D370" s="90" t="s">
        <v>144</v>
      </c>
      <c r="E370" s="92"/>
      <c r="G370" s="91"/>
      <c r="H370" s="90"/>
      <c r="I370" s="90"/>
      <c r="J370" s="92"/>
    </row>
    <row r="371" spans="2:10" ht="15" x14ac:dyDescent="0.25">
      <c r="B371" s="93" t="s">
        <v>142</v>
      </c>
      <c r="C371" s="87">
        <v>8480820</v>
      </c>
      <c r="D371" s="103" t="s">
        <v>145</v>
      </c>
      <c r="E371" s="95">
        <v>8483863</v>
      </c>
      <c r="G371" s="93" t="s">
        <v>142</v>
      </c>
      <c r="H371" s="87">
        <v>8480820</v>
      </c>
      <c r="I371" s="103" t="s">
        <v>148</v>
      </c>
      <c r="J371" s="95">
        <v>6273084</v>
      </c>
    </row>
    <row r="372" spans="2:10" ht="15.75" thickBot="1" x14ac:dyDescent="0.3">
      <c r="B372" s="94" t="s">
        <v>143</v>
      </c>
      <c r="C372" s="96">
        <v>6271719</v>
      </c>
      <c r="D372" s="96" t="s">
        <v>146</v>
      </c>
      <c r="E372" s="97">
        <v>6273084</v>
      </c>
      <c r="G372" s="104" t="s">
        <v>145</v>
      </c>
      <c r="H372" s="95">
        <v>8483863</v>
      </c>
      <c r="I372" s="96" t="s">
        <v>152</v>
      </c>
      <c r="J372" s="97">
        <v>6271719</v>
      </c>
    </row>
    <row r="373" spans="2:10" ht="15.75" thickBot="1" x14ac:dyDescent="0.3">
      <c r="B373" s="66" t="s">
        <v>95</v>
      </c>
      <c r="C373" s="98">
        <f>8480820-6271719</f>
        <v>2209101</v>
      </c>
      <c r="D373" s="100" t="s">
        <v>95</v>
      </c>
      <c r="E373" s="99">
        <f>8483863-6273084</f>
        <v>2210779</v>
      </c>
      <c r="G373" s="66" t="s">
        <v>149</v>
      </c>
      <c r="H373" s="98">
        <f>8483863-8480820</f>
        <v>3043</v>
      </c>
      <c r="I373" s="100" t="s">
        <v>149</v>
      </c>
      <c r="J373" s="99">
        <f>6273084-6271719</f>
        <v>1365</v>
      </c>
    </row>
    <row r="374" spans="2:10" ht="15.75" thickBot="1" x14ac:dyDescent="0.3">
      <c r="D374" s="101" t="s">
        <v>147</v>
      </c>
      <c r="E374" s="102">
        <f>2210779-2209101</f>
        <v>1678</v>
      </c>
      <c r="I374" s="101" t="s">
        <v>147</v>
      </c>
      <c r="J374" s="102">
        <f>3043-1365</f>
        <v>1678</v>
      </c>
    </row>
  </sheetData>
  <mergeCells count="1">
    <mergeCell ref="D2:G2"/>
  </mergeCells>
  <pageMargins left="0.14000000000000001" right="0.7" top="0.31" bottom="0.75" header="0.3" footer="0.3"/>
  <pageSetup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29"/>
  <sheetViews>
    <sheetView topLeftCell="A7" zoomScaleSheetLayoutView="85" workbookViewId="0">
      <selection activeCell="A7" sqref="A7"/>
    </sheetView>
  </sheetViews>
  <sheetFormatPr defaultRowHeight="14.25" x14ac:dyDescent="0.2"/>
  <cols>
    <col min="2" max="2" width="7.875" customWidth="1"/>
    <col min="3" max="3" width="10.625" customWidth="1"/>
    <col min="4" max="4" width="11.875" customWidth="1"/>
    <col min="5" max="5" width="8" customWidth="1"/>
    <col min="6" max="6" width="12.25" customWidth="1"/>
    <col min="7" max="7" width="15.125" customWidth="1"/>
    <col min="8" max="8" width="14.875" customWidth="1"/>
    <col min="9" max="9" width="11.5" bestFit="1" customWidth="1"/>
    <col min="10" max="10" width="9.25" customWidth="1"/>
    <col min="14" max="14" width="5.875" bestFit="1" customWidth="1"/>
    <col min="15" max="22" width="9" hidden="1" customWidth="1"/>
    <col min="27" max="27" width="7.875" customWidth="1"/>
  </cols>
  <sheetData>
    <row r="2" spans="1:14" x14ac:dyDescent="0.2">
      <c r="B2" s="1"/>
      <c r="C2" s="1"/>
      <c r="D2" s="1"/>
      <c r="E2" s="1"/>
      <c r="F2" s="1"/>
      <c r="G2" s="1"/>
      <c r="H2" s="1"/>
      <c r="I2" s="1"/>
      <c r="J2" s="1"/>
    </row>
    <row r="3" spans="1:14" ht="21" x14ac:dyDescent="0.35">
      <c r="B3" s="1"/>
      <c r="C3" s="1"/>
      <c r="D3" s="769" t="s">
        <v>101</v>
      </c>
      <c r="E3" s="769"/>
      <c r="F3" s="769"/>
      <c r="G3" s="769"/>
      <c r="H3" s="1"/>
      <c r="I3" s="1"/>
      <c r="J3" s="1"/>
    </row>
    <row r="4" spans="1:14" ht="15" x14ac:dyDescent="0.25">
      <c r="B4" s="1"/>
      <c r="C4" s="1"/>
      <c r="D4" s="61"/>
      <c r="E4" s="58"/>
      <c r="F4" s="63">
        <v>44713</v>
      </c>
      <c r="G4" s="1"/>
      <c r="H4" s="1"/>
      <c r="I4" s="1"/>
      <c r="J4" s="1"/>
    </row>
    <row r="5" spans="1:14" ht="15" x14ac:dyDescent="0.25">
      <c r="B5" s="30" t="s">
        <v>2</v>
      </c>
      <c r="C5" s="30" t="s">
        <v>97</v>
      </c>
      <c r="D5" s="30" t="s">
        <v>4</v>
      </c>
      <c r="E5" s="59"/>
      <c r="F5" s="30" t="s">
        <v>5</v>
      </c>
      <c r="G5" s="30" t="s">
        <v>4</v>
      </c>
      <c r="H5" s="30" t="s">
        <v>98</v>
      </c>
      <c r="I5" s="107" t="s">
        <v>2</v>
      </c>
      <c r="J5" s="107" t="s">
        <v>8</v>
      </c>
    </row>
    <row r="6" spans="1:14" ht="15" x14ac:dyDescent="0.25">
      <c r="A6" s="442" t="s">
        <v>710</v>
      </c>
      <c r="B6" s="30"/>
      <c r="C6" s="30" t="s">
        <v>167</v>
      </c>
      <c r="D6" s="30">
        <v>77264</v>
      </c>
      <c r="E6" s="59"/>
      <c r="F6" s="30"/>
      <c r="G6" s="30">
        <v>77264</v>
      </c>
      <c r="H6" s="30"/>
      <c r="I6" s="107"/>
      <c r="J6" s="107"/>
    </row>
    <row r="7" spans="1:14" ht="15" x14ac:dyDescent="0.25">
      <c r="B7" s="108" t="s">
        <v>136</v>
      </c>
      <c r="C7" s="108" t="s">
        <v>10</v>
      </c>
      <c r="D7" s="108">
        <v>2209101</v>
      </c>
      <c r="E7" s="108"/>
      <c r="F7" s="108"/>
      <c r="G7" s="108">
        <v>2209101</v>
      </c>
      <c r="H7" s="1"/>
      <c r="I7" s="1"/>
      <c r="J7" s="1"/>
    </row>
    <row r="8" spans="1:14" ht="15" x14ac:dyDescent="0.25">
      <c r="B8" s="1" t="s">
        <v>137</v>
      </c>
      <c r="C8" s="32" t="s">
        <v>66</v>
      </c>
      <c r="D8" s="1">
        <v>100</v>
      </c>
      <c r="E8" s="1"/>
      <c r="F8" s="1">
        <v>1.05</v>
      </c>
      <c r="G8" s="1">
        <v>100</v>
      </c>
      <c r="H8" s="5">
        <f t="shared" ref="H8:H71" si="0">D8-G8</f>
        <v>0</v>
      </c>
      <c r="I8" s="30">
        <v>250000</v>
      </c>
      <c r="J8" s="30" t="s">
        <v>136</v>
      </c>
      <c r="K8" s="157" t="s">
        <v>93</v>
      </c>
      <c r="L8" s="157"/>
      <c r="M8" s="157"/>
      <c r="N8" s="158"/>
    </row>
    <row r="9" spans="1:14" ht="15" x14ac:dyDescent="0.25">
      <c r="B9" s="1" t="s">
        <v>137</v>
      </c>
      <c r="C9" s="32">
        <v>245</v>
      </c>
      <c r="D9" s="1">
        <v>25000</v>
      </c>
      <c r="E9" s="1"/>
      <c r="F9" s="1">
        <v>278.83</v>
      </c>
      <c r="G9" s="1">
        <v>25000</v>
      </c>
      <c r="H9" s="5">
        <f t="shared" si="0"/>
        <v>0</v>
      </c>
      <c r="I9" s="30">
        <v>300000</v>
      </c>
      <c r="J9" s="30" t="s">
        <v>137</v>
      </c>
      <c r="K9" s="157" t="s">
        <v>93</v>
      </c>
      <c r="L9" s="157"/>
      <c r="M9" s="157"/>
      <c r="N9" s="158"/>
    </row>
    <row r="10" spans="1:14" ht="15" x14ac:dyDescent="0.25">
      <c r="B10" s="1" t="s">
        <v>137</v>
      </c>
      <c r="C10" s="32">
        <v>2972</v>
      </c>
      <c r="D10" s="1">
        <v>15000</v>
      </c>
      <c r="E10" s="1"/>
      <c r="F10" s="1">
        <v>167.3</v>
      </c>
      <c r="G10" s="1">
        <v>15000</v>
      </c>
      <c r="H10" s="5">
        <f t="shared" si="0"/>
        <v>0</v>
      </c>
      <c r="I10" s="30">
        <v>200000</v>
      </c>
      <c r="J10" s="30" t="s">
        <v>139</v>
      </c>
      <c r="K10" s="157" t="s">
        <v>93</v>
      </c>
      <c r="L10" s="157"/>
      <c r="M10" s="157"/>
      <c r="N10" s="158"/>
    </row>
    <row r="11" spans="1:14" ht="15" x14ac:dyDescent="0.25">
      <c r="B11" s="1" t="s">
        <v>137</v>
      </c>
      <c r="C11" s="32">
        <v>7959</v>
      </c>
      <c r="D11" s="1">
        <v>15000</v>
      </c>
      <c r="E11" s="1"/>
      <c r="F11" s="1">
        <v>167.3</v>
      </c>
      <c r="G11" s="1">
        <v>15000</v>
      </c>
      <c r="H11" s="5">
        <f t="shared" si="0"/>
        <v>0</v>
      </c>
      <c r="I11" s="30">
        <v>100000</v>
      </c>
      <c r="J11" s="30" t="s">
        <v>140</v>
      </c>
      <c r="K11" s="157" t="s">
        <v>93</v>
      </c>
      <c r="L11" s="157"/>
      <c r="M11" s="157"/>
      <c r="N11" s="158"/>
    </row>
    <row r="12" spans="1:14" ht="15" x14ac:dyDescent="0.25">
      <c r="B12" s="1" t="s">
        <v>137</v>
      </c>
      <c r="C12" s="32">
        <v>2852</v>
      </c>
      <c r="D12" s="1">
        <v>22000</v>
      </c>
      <c r="E12" s="1"/>
      <c r="F12" s="1">
        <v>245.37</v>
      </c>
      <c r="G12" s="1">
        <v>22000</v>
      </c>
      <c r="H12" s="5">
        <f t="shared" si="0"/>
        <v>0</v>
      </c>
      <c r="I12" s="30">
        <v>150000</v>
      </c>
      <c r="J12" s="30" t="s">
        <v>151</v>
      </c>
      <c r="K12" s="157" t="s">
        <v>93</v>
      </c>
      <c r="L12" s="157"/>
      <c r="M12" s="157"/>
      <c r="N12" s="158"/>
    </row>
    <row r="13" spans="1:14" ht="15" x14ac:dyDescent="0.25">
      <c r="B13" s="1" t="s">
        <v>137</v>
      </c>
      <c r="C13" s="32">
        <v>7469</v>
      </c>
      <c r="D13" s="1">
        <v>22000</v>
      </c>
      <c r="E13" s="1"/>
      <c r="F13" s="1">
        <v>245.37</v>
      </c>
      <c r="G13" s="1">
        <v>22000</v>
      </c>
      <c r="H13" s="5">
        <f t="shared" si="0"/>
        <v>0</v>
      </c>
      <c r="I13" s="30">
        <v>150000</v>
      </c>
      <c r="J13" s="30" t="s">
        <v>154</v>
      </c>
      <c r="K13" s="157" t="s">
        <v>93</v>
      </c>
      <c r="L13" s="157"/>
      <c r="M13" s="157"/>
      <c r="N13" s="158"/>
    </row>
    <row r="14" spans="1:14" ht="15" x14ac:dyDescent="0.25">
      <c r="B14" s="1" t="s">
        <v>137</v>
      </c>
      <c r="C14" s="32">
        <v>7996</v>
      </c>
      <c r="D14" s="1">
        <v>8000</v>
      </c>
      <c r="E14" s="1"/>
      <c r="F14" s="1">
        <v>89.23</v>
      </c>
      <c r="G14" s="1">
        <v>8000</v>
      </c>
      <c r="H14" s="5">
        <f t="shared" si="0"/>
        <v>0</v>
      </c>
      <c r="I14" s="30">
        <v>150000</v>
      </c>
      <c r="J14" s="30" t="s">
        <v>155</v>
      </c>
      <c r="K14" s="157" t="s">
        <v>93</v>
      </c>
      <c r="L14" s="157"/>
      <c r="M14" s="157"/>
      <c r="N14" s="158"/>
    </row>
    <row r="15" spans="1:14" ht="15" x14ac:dyDescent="0.25">
      <c r="B15" s="1" t="s">
        <v>137</v>
      </c>
      <c r="C15" s="32">
        <v>2795</v>
      </c>
      <c r="D15" s="1">
        <v>8000</v>
      </c>
      <c r="E15" s="1"/>
      <c r="F15" s="1">
        <v>89.23</v>
      </c>
      <c r="G15" s="1">
        <v>8000</v>
      </c>
      <c r="H15" s="5">
        <f t="shared" si="0"/>
        <v>0</v>
      </c>
      <c r="I15" s="30">
        <v>150000</v>
      </c>
      <c r="J15" s="30" t="s">
        <v>156</v>
      </c>
      <c r="K15" s="157" t="s">
        <v>93</v>
      </c>
      <c r="L15" s="157"/>
      <c r="M15" s="157"/>
      <c r="N15" s="158"/>
    </row>
    <row r="16" spans="1:14" ht="15" x14ac:dyDescent="0.25">
      <c r="B16" s="1" t="s">
        <v>139</v>
      </c>
      <c r="C16" s="32" t="s">
        <v>61</v>
      </c>
      <c r="D16" s="1">
        <v>4500</v>
      </c>
      <c r="E16" s="1"/>
      <c r="F16" s="1">
        <v>50.19</v>
      </c>
      <c r="G16" s="1">
        <v>4500</v>
      </c>
      <c r="H16" s="5">
        <f t="shared" si="0"/>
        <v>0</v>
      </c>
      <c r="I16" s="30">
        <v>200000</v>
      </c>
      <c r="J16" s="30" t="s">
        <v>157</v>
      </c>
      <c r="K16" s="157" t="s">
        <v>93</v>
      </c>
      <c r="L16" s="157"/>
      <c r="M16" s="157"/>
      <c r="N16" s="158"/>
    </row>
    <row r="17" spans="2:14" ht="15" x14ac:dyDescent="0.25">
      <c r="B17" s="1" t="s">
        <v>139</v>
      </c>
      <c r="C17" s="32">
        <v>6333</v>
      </c>
      <c r="D17" s="1">
        <v>25000</v>
      </c>
      <c r="E17" s="1"/>
      <c r="F17" s="1">
        <v>253.17</v>
      </c>
      <c r="G17" s="1">
        <v>25000</v>
      </c>
      <c r="H17" s="5">
        <f t="shared" si="0"/>
        <v>0</v>
      </c>
      <c r="I17" s="30">
        <v>300000</v>
      </c>
      <c r="J17" s="30" t="s">
        <v>159</v>
      </c>
      <c r="K17" s="157" t="s">
        <v>93</v>
      </c>
      <c r="L17" s="157"/>
      <c r="M17" s="157"/>
      <c r="N17" s="158"/>
    </row>
    <row r="18" spans="2:14" ht="15" x14ac:dyDescent="0.25">
      <c r="B18" s="1" t="s">
        <v>139</v>
      </c>
      <c r="C18" s="32">
        <v>9138</v>
      </c>
      <c r="D18" s="1">
        <v>15000</v>
      </c>
      <c r="E18" s="1"/>
      <c r="F18" s="1">
        <v>167.3</v>
      </c>
      <c r="G18" s="1">
        <v>15000</v>
      </c>
      <c r="H18" s="5">
        <f t="shared" si="0"/>
        <v>0</v>
      </c>
      <c r="I18" s="30">
        <v>300000</v>
      </c>
      <c r="J18" s="30" t="s">
        <v>158</v>
      </c>
      <c r="K18" s="157" t="s">
        <v>93</v>
      </c>
      <c r="L18" s="157"/>
      <c r="M18" s="157"/>
      <c r="N18" s="158"/>
    </row>
    <row r="19" spans="2:14" ht="15" x14ac:dyDescent="0.25">
      <c r="B19" s="1" t="s">
        <v>139</v>
      </c>
      <c r="C19" s="32">
        <v>4450</v>
      </c>
      <c r="D19" s="1">
        <v>15000</v>
      </c>
      <c r="E19" s="1"/>
      <c r="F19" s="1">
        <v>167.3</v>
      </c>
      <c r="G19" s="1">
        <v>15000</v>
      </c>
      <c r="H19" s="5">
        <f t="shared" si="0"/>
        <v>0</v>
      </c>
      <c r="I19" s="30">
        <v>600000</v>
      </c>
      <c r="J19" s="30" t="s">
        <v>161</v>
      </c>
      <c r="K19" s="157" t="s">
        <v>93</v>
      </c>
      <c r="L19" s="157"/>
      <c r="M19" s="157"/>
      <c r="N19" s="158"/>
    </row>
    <row r="20" spans="2:14" ht="15" x14ac:dyDescent="0.25">
      <c r="B20" s="1" t="s">
        <v>139</v>
      </c>
      <c r="C20" s="32">
        <v>7877</v>
      </c>
      <c r="D20" s="1">
        <v>10000</v>
      </c>
      <c r="E20" s="1"/>
      <c r="F20" s="1">
        <v>111.53</v>
      </c>
      <c r="G20" s="1">
        <v>10000</v>
      </c>
      <c r="H20" s="5">
        <f t="shared" si="0"/>
        <v>0</v>
      </c>
      <c r="I20" s="30">
        <v>300000</v>
      </c>
      <c r="J20" s="30" t="s">
        <v>162</v>
      </c>
      <c r="K20" s="157" t="s">
        <v>93</v>
      </c>
      <c r="L20" s="157"/>
      <c r="M20" s="157"/>
      <c r="N20" s="158"/>
    </row>
    <row r="21" spans="2:14" ht="15" x14ac:dyDescent="0.25">
      <c r="B21" s="1" t="s">
        <v>139</v>
      </c>
      <c r="C21" s="32">
        <v>3005</v>
      </c>
      <c r="D21" s="1">
        <v>12000</v>
      </c>
      <c r="E21" s="1"/>
      <c r="F21" s="1">
        <v>133.84</v>
      </c>
      <c r="G21" s="1">
        <v>12000</v>
      </c>
      <c r="H21" s="5">
        <f t="shared" si="0"/>
        <v>0</v>
      </c>
      <c r="I21" s="30">
        <v>200000</v>
      </c>
      <c r="J21" s="30" t="s">
        <v>163</v>
      </c>
      <c r="K21" s="157" t="s">
        <v>93</v>
      </c>
      <c r="L21" s="157"/>
      <c r="M21" s="157"/>
      <c r="N21" s="158"/>
    </row>
    <row r="22" spans="2:14" ht="15" x14ac:dyDescent="0.25">
      <c r="B22" s="1" t="s">
        <v>139</v>
      </c>
      <c r="C22" s="32">
        <v>5357</v>
      </c>
      <c r="D22" s="1">
        <v>20000</v>
      </c>
      <c r="E22" s="1"/>
      <c r="F22" s="1">
        <v>223.06</v>
      </c>
      <c r="G22" s="1">
        <v>20000</v>
      </c>
      <c r="H22" s="5">
        <f t="shared" si="0"/>
        <v>0</v>
      </c>
      <c r="I22" s="30">
        <v>600000</v>
      </c>
      <c r="J22" s="30" t="s">
        <v>164</v>
      </c>
      <c r="K22" s="157" t="s">
        <v>93</v>
      </c>
      <c r="L22" s="157"/>
      <c r="M22" s="157"/>
      <c r="N22" s="158"/>
    </row>
    <row r="23" spans="2:14" ht="15" x14ac:dyDescent="0.25">
      <c r="B23" s="1" t="s">
        <v>139</v>
      </c>
      <c r="C23" s="32">
        <v>5872</v>
      </c>
      <c r="D23" s="1">
        <v>16000</v>
      </c>
      <c r="E23" s="1"/>
      <c r="F23" s="1">
        <v>178.45</v>
      </c>
      <c r="G23" s="1">
        <v>16000</v>
      </c>
      <c r="H23" s="5">
        <f t="shared" si="0"/>
        <v>0</v>
      </c>
      <c r="I23" s="30">
        <v>250000</v>
      </c>
      <c r="J23" s="30" t="s">
        <v>165</v>
      </c>
      <c r="K23" s="157" t="s">
        <v>93</v>
      </c>
      <c r="L23" s="157"/>
      <c r="M23" s="157"/>
      <c r="N23" s="158"/>
    </row>
    <row r="24" spans="2:14" ht="15" x14ac:dyDescent="0.25">
      <c r="B24" s="1" t="s">
        <v>139</v>
      </c>
      <c r="C24" s="32" t="s">
        <v>66</v>
      </c>
      <c r="D24" s="1">
        <v>100</v>
      </c>
      <c r="E24" s="1"/>
      <c r="F24" s="1">
        <v>1.05</v>
      </c>
      <c r="G24" s="1">
        <v>100</v>
      </c>
      <c r="H24" s="5">
        <f t="shared" si="0"/>
        <v>0</v>
      </c>
      <c r="I24" s="30">
        <v>300000</v>
      </c>
      <c r="J24" s="30" t="s">
        <v>168</v>
      </c>
      <c r="K24" s="157" t="s">
        <v>93</v>
      </c>
      <c r="L24" s="157"/>
      <c r="M24" s="157"/>
      <c r="N24" s="158"/>
    </row>
    <row r="25" spans="2:14" ht="15" x14ac:dyDescent="0.25">
      <c r="B25" s="1" t="s">
        <v>140</v>
      </c>
      <c r="C25" s="32">
        <v>4135</v>
      </c>
      <c r="D25" s="1">
        <v>23000</v>
      </c>
      <c r="E25" s="1"/>
      <c r="F25" s="1">
        <v>256.52</v>
      </c>
      <c r="G25" s="1">
        <v>23000</v>
      </c>
      <c r="H25" s="5">
        <f t="shared" si="0"/>
        <v>0</v>
      </c>
      <c r="I25" s="30">
        <v>200000</v>
      </c>
      <c r="J25" s="30" t="s">
        <v>170</v>
      </c>
      <c r="K25" s="157" t="s">
        <v>93</v>
      </c>
      <c r="L25" s="157"/>
      <c r="M25" s="157"/>
      <c r="N25" s="158"/>
    </row>
    <row r="26" spans="2:14" ht="15" x14ac:dyDescent="0.25">
      <c r="B26" s="1" t="s">
        <v>140</v>
      </c>
      <c r="C26" s="32" t="s">
        <v>61</v>
      </c>
      <c r="D26" s="1">
        <v>3500</v>
      </c>
      <c r="E26" s="1"/>
      <c r="F26" s="1">
        <v>39.04</v>
      </c>
      <c r="G26" s="1">
        <v>3500</v>
      </c>
      <c r="H26" s="5">
        <f t="shared" si="0"/>
        <v>0</v>
      </c>
      <c r="I26" s="30">
        <v>150000</v>
      </c>
      <c r="J26" s="30" t="s">
        <v>171</v>
      </c>
      <c r="K26" s="157" t="s">
        <v>93</v>
      </c>
      <c r="L26" s="157"/>
      <c r="M26" s="157"/>
      <c r="N26" s="158"/>
    </row>
    <row r="27" spans="2:14" ht="15" x14ac:dyDescent="0.25">
      <c r="B27" s="1" t="s">
        <v>140</v>
      </c>
      <c r="C27" s="32">
        <v>2021</v>
      </c>
      <c r="D27" s="1">
        <v>10000</v>
      </c>
      <c r="E27" s="1"/>
      <c r="F27" s="1">
        <v>111.53</v>
      </c>
      <c r="G27" s="1">
        <v>10000</v>
      </c>
      <c r="H27" s="5">
        <f t="shared" si="0"/>
        <v>0</v>
      </c>
      <c r="I27" s="30">
        <v>200000</v>
      </c>
      <c r="J27" s="30" t="s">
        <v>174</v>
      </c>
      <c r="K27" s="157" t="s">
        <v>93</v>
      </c>
      <c r="L27" s="157"/>
      <c r="M27" s="157"/>
      <c r="N27" s="158"/>
    </row>
    <row r="28" spans="2:14" ht="15" x14ac:dyDescent="0.25">
      <c r="B28" s="1" t="s">
        <v>140</v>
      </c>
      <c r="C28" s="32">
        <v>2597</v>
      </c>
      <c r="D28" s="1">
        <v>10000</v>
      </c>
      <c r="E28" s="1"/>
      <c r="F28" s="1">
        <v>111.53</v>
      </c>
      <c r="G28" s="1">
        <v>10000</v>
      </c>
      <c r="H28" s="5">
        <f t="shared" si="0"/>
        <v>0</v>
      </c>
      <c r="I28" s="30">
        <v>150000</v>
      </c>
      <c r="J28" s="30" t="s">
        <v>194</v>
      </c>
      <c r="K28" s="157" t="s">
        <v>93</v>
      </c>
      <c r="L28" s="157"/>
      <c r="M28" s="157"/>
      <c r="N28" s="158"/>
    </row>
    <row r="29" spans="2:14" ht="15" x14ac:dyDescent="0.25">
      <c r="B29" s="1" t="s">
        <v>140</v>
      </c>
      <c r="C29" s="32">
        <v>3877</v>
      </c>
      <c r="D29" s="1">
        <v>20000</v>
      </c>
      <c r="E29" s="1"/>
      <c r="F29" s="1">
        <v>223.06</v>
      </c>
      <c r="G29" s="1">
        <v>20000</v>
      </c>
      <c r="H29" s="5">
        <f t="shared" si="0"/>
        <v>0</v>
      </c>
      <c r="I29" s="30">
        <v>100000</v>
      </c>
      <c r="J29" s="30" t="s">
        <v>195</v>
      </c>
      <c r="K29" s="157" t="s">
        <v>93</v>
      </c>
      <c r="L29" s="157"/>
      <c r="M29" s="157"/>
      <c r="N29" s="158"/>
    </row>
    <row r="30" spans="2:14" ht="15" x14ac:dyDescent="0.25">
      <c r="B30" s="1" t="s">
        <v>140</v>
      </c>
      <c r="C30" s="32">
        <v>21</v>
      </c>
      <c r="D30" s="1">
        <v>26000</v>
      </c>
      <c r="E30" s="1"/>
      <c r="F30" s="1">
        <v>250.95</v>
      </c>
      <c r="G30" s="1">
        <v>26000</v>
      </c>
      <c r="H30" s="5">
        <f t="shared" si="0"/>
        <v>0</v>
      </c>
      <c r="I30" s="30">
        <v>200000</v>
      </c>
      <c r="J30" s="30" t="s">
        <v>196</v>
      </c>
      <c r="K30" s="157" t="s">
        <v>93</v>
      </c>
      <c r="L30" s="157"/>
      <c r="M30" s="157"/>
      <c r="N30" s="158"/>
    </row>
    <row r="31" spans="2:14" ht="15" x14ac:dyDescent="0.25">
      <c r="B31" s="1" t="s">
        <v>140</v>
      </c>
      <c r="C31" s="32">
        <v>1121</v>
      </c>
      <c r="D31" s="1">
        <v>30000</v>
      </c>
      <c r="E31" s="1"/>
      <c r="F31" s="1">
        <v>326.79000000000002</v>
      </c>
      <c r="G31" s="1">
        <v>30000</v>
      </c>
      <c r="H31" s="5">
        <f t="shared" si="0"/>
        <v>0</v>
      </c>
      <c r="I31" s="111">
        <v>60600</v>
      </c>
      <c r="J31" s="111" t="s">
        <v>198</v>
      </c>
      <c r="K31" s="159" t="s">
        <v>200</v>
      </c>
      <c r="L31" s="160"/>
      <c r="M31" s="160"/>
      <c r="N31" s="158"/>
    </row>
    <row r="32" spans="2:14" ht="15" x14ac:dyDescent="0.25">
      <c r="B32" s="1" t="s">
        <v>140</v>
      </c>
      <c r="C32" s="32">
        <v>6457</v>
      </c>
      <c r="D32" s="1">
        <v>30000</v>
      </c>
      <c r="E32" s="1"/>
      <c r="F32" s="1">
        <v>326.79000000000002</v>
      </c>
      <c r="G32" s="1">
        <v>30000</v>
      </c>
      <c r="H32" s="5">
        <f t="shared" si="0"/>
        <v>0</v>
      </c>
      <c r="I32" s="30">
        <v>200000</v>
      </c>
      <c r="J32" s="30" t="s">
        <v>198</v>
      </c>
      <c r="K32" s="157" t="s">
        <v>93</v>
      </c>
      <c r="L32" s="157"/>
      <c r="M32" s="157"/>
      <c r="N32" s="158"/>
    </row>
    <row r="33" spans="2:14" ht="15" x14ac:dyDescent="0.25">
      <c r="B33" s="1" t="s">
        <v>140</v>
      </c>
      <c r="C33" s="32">
        <v>9539</v>
      </c>
      <c r="D33" s="1">
        <v>5000</v>
      </c>
      <c r="E33" s="1"/>
      <c r="F33" s="1">
        <v>55.77</v>
      </c>
      <c r="G33" s="1">
        <v>5000</v>
      </c>
      <c r="H33" s="5">
        <f t="shared" si="0"/>
        <v>0</v>
      </c>
      <c r="I33" s="30">
        <v>150000</v>
      </c>
      <c r="J33" s="30" t="s">
        <v>199</v>
      </c>
      <c r="K33" s="157" t="s">
        <v>93</v>
      </c>
      <c r="L33" s="157"/>
      <c r="M33" s="157"/>
      <c r="N33" s="158"/>
    </row>
    <row r="34" spans="2:14" ht="15" x14ac:dyDescent="0.25">
      <c r="B34" s="1" t="s">
        <v>151</v>
      </c>
      <c r="C34" s="32">
        <v>2445</v>
      </c>
      <c r="D34" s="1">
        <v>25000</v>
      </c>
      <c r="E34" s="1"/>
      <c r="F34" s="1">
        <v>278.83</v>
      </c>
      <c r="G34" s="1">
        <v>25000</v>
      </c>
      <c r="H34" s="5">
        <f t="shared" si="0"/>
        <v>0</v>
      </c>
      <c r="I34" s="30">
        <v>100000</v>
      </c>
      <c r="J34" s="30" t="s">
        <v>201</v>
      </c>
      <c r="K34" s="157" t="s">
        <v>93</v>
      </c>
      <c r="L34" s="157"/>
      <c r="M34" s="157"/>
      <c r="N34" s="158"/>
    </row>
    <row r="35" spans="2:14" ht="15" x14ac:dyDescent="0.25">
      <c r="B35" s="1" t="s">
        <v>151</v>
      </c>
      <c r="C35" s="32">
        <v>7179</v>
      </c>
      <c r="D35" s="1">
        <v>20000</v>
      </c>
      <c r="E35" s="1"/>
      <c r="F35" s="1">
        <v>224.29</v>
      </c>
      <c r="G35" s="1">
        <v>20000</v>
      </c>
      <c r="H35" s="5">
        <f t="shared" si="0"/>
        <v>0</v>
      </c>
      <c r="I35" s="30">
        <v>150000</v>
      </c>
      <c r="J35" s="30" t="s">
        <v>202</v>
      </c>
      <c r="K35" s="157" t="s">
        <v>93</v>
      </c>
      <c r="L35" s="157"/>
      <c r="M35" s="157"/>
      <c r="N35" s="158"/>
    </row>
    <row r="36" spans="2:14" x14ac:dyDescent="0.2">
      <c r="B36" s="1" t="s">
        <v>151</v>
      </c>
      <c r="C36" s="32">
        <v>5600</v>
      </c>
      <c r="D36" s="1">
        <v>29000</v>
      </c>
      <c r="E36" s="1"/>
      <c r="F36" s="1">
        <v>323.48</v>
      </c>
      <c r="G36" s="1">
        <v>29000</v>
      </c>
      <c r="H36" s="5">
        <f t="shared" si="0"/>
        <v>0</v>
      </c>
      <c r="I36" s="1"/>
      <c r="J36" s="1"/>
    </row>
    <row r="37" spans="2:14" x14ac:dyDescent="0.2">
      <c r="B37" s="1" t="s">
        <v>153</v>
      </c>
      <c r="C37" s="32" t="s">
        <v>66</v>
      </c>
      <c r="D37" s="1">
        <v>100</v>
      </c>
      <c r="E37" s="1"/>
      <c r="F37" s="1">
        <v>1.0409999999999999</v>
      </c>
      <c r="G37" s="1">
        <v>100</v>
      </c>
      <c r="H37" s="5">
        <f t="shared" si="0"/>
        <v>0</v>
      </c>
      <c r="I37" s="1"/>
      <c r="J37" s="1"/>
    </row>
    <row r="38" spans="2:14" x14ac:dyDescent="0.2">
      <c r="B38" s="1" t="s">
        <v>153</v>
      </c>
      <c r="C38" s="32">
        <v>3561</v>
      </c>
      <c r="D38" s="1">
        <v>25000</v>
      </c>
      <c r="E38" s="1"/>
      <c r="F38" s="1">
        <v>278</v>
      </c>
      <c r="G38" s="1">
        <v>25000</v>
      </c>
      <c r="H38" s="5">
        <f t="shared" si="0"/>
        <v>0</v>
      </c>
      <c r="I38" s="1"/>
      <c r="J38" s="1"/>
    </row>
    <row r="39" spans="2:14" x14ac:dyDescent="0.2">
      <c r="B39" s="1" t="s">
        <v>153</v>
      </c>
      <c r="C39" s="32" t="s">
        <v>61</v>
      </c>
      <c r="D39" s="1">
        <v>4500</v>
      </c>
      <c r="E39" s="1"/>
      <c r="F39" s="1">
        <v>50</v>
      </c>
      <c r="G39" s="1">
        <v>4500</v>
      </c>
      <c r="H39" s="5">
        <f t="shared" si="0"/>
        <v>0</v>
      </c>
      <c r="I39" s="1"/>
      <c r="J39" s="1"/>
    </row>
    <row r="40" spans="2:14" x14ac:dyDescent="0.2">
      <c r="B40" s="1" t="s">
        <v>153</v>
      </c>
      <c r="C40" s="32" t="s">
        <v>63</v>
      </c>
      <c r="D40" s="1">
        <v>3500</v>
      </c>
      <c r="E40" s="1"/>
      <c r="F40" s="1">
        <v>34.03</v>
      </c>
      <c r="G40" s="1">
        <v>3500</v>
      </c>
      <c r="H40" s="5">
        <f t="shared" si="0"/>
        <v>0</v>
      </c>
      <c r="I40" s="1"/>
      <c r="J40" s="1"/>
    </row>
    <row r="41" spans="2:14" x14ac:dyDescent="0.2">
      <c r="B41" s="1" t="s">
        <v>153</v>
      </c>
      <c r="C41" s="32">
        <v>3606</v>
      </c>
      <c r="D41" s="1">
        <v>20000</v>
      </c>
      <c r="E41" s="1"/>
      <c r="F41" s="1">
        <v>223</v>
      </c>
      <c r="G41" s="1">
        <v>20000</v>
      </c>
      <c r="H41" s="5">
        <f t="shared" si="0"/>
        <v>0</v>
      </c>
      <c r="I41" s="1"/>
      <c r="J41" s="1"/>
    </row>
    <row r="42" spans="2:14" x14ac:dyDescent="0.2">
      <c r="B42" s="1" t="s">
        <v>153</v>
      </c>
      <c r="C42" s="32">
        <v>9311</v>
      </c>
      <c r="D42" s="1">
        <v>25000</v>
      </c>
      <c r="E42" s="1"/>
      <c r="F42" s="1">
        <v>278</v>
      </c>
      <c r="G42" s="1">
        <v>25000</v>
      </c>
      <c r="H42" s="5">
        <f t="shared" si="0"/>
        <v>0</v>
      </c>
      <c r="I42" s="1"/>
      <c r="J42" s="1"/>
    </row>
    <row r="43" spans="2:14" x14ac:dyDescent="0.2">
      <c r="B43" s="1" t="s">
        <v>153</v>
      </c>
      <c r="C43" s="32">
        <v>7846</v>
      </c>
      <c r="D43" s="1">
        <v>24000</v>
      </c>
      <c r="E43" s="1"/>
      <c r="F43" s="1">
        <v>267.67</v>
      </c>
      <c r="G43" s="1">
        <v>24000</v>
      </c>
      <c r="H43" s="5">
        <f t="shared" si="0"/>
        <v>0</v>
      </c>
      <c r="I43" s="1"/>
      <c r="J43" s="1"/>
    </row>
    <row r="44" spans="2:14" x14ac:dyDescent="0.2">
      <c r="B44" s="1" t="s">
        <v>154</v>
      </c>
      <c r="C44" s="32">
        <v>8370</v>
      </c>
      <c r="D44" s="1">
        <v>16000</v>
      </c>
      <c r="E44" s="1"/>
      <c r="F44" s="1">
        <v>178.45</v>
      </c>
      <c r="G44" s="1">
        <v>16000</v>
      </c>
      <c r="H44" s="5">
        <f t="shared" si="0"/>
        <v>0</v>
      </c>
      <c r="I44" s="1"/>
      <c r="J44" s="1"/>
    </row>
    <row r="45" spans="2:14" x14ac:dyDescent="0.2">
      <c r="B45" s="1" t="s">
        <v>154</v>
      </c>
      <c r="C45" s="32">
        <v>8470</v>
      </c>
      <c r="D45" s="1">
        <v>16000</v>
      </c>
      <c r="E45" s="1"/>
      <c r="F45" s="1">
        <v>178.45</v>
      </c>
      <c r="G45" s="1">
        <v>16000</v>
      </c>
      <c r="H45" s="5">
        <f t="shared" si="0"/>
        <v>0</v>
      </c>
      <c r="I45" s="1"/>
      <c r="J45" s="1"/>
    </row>
    <row r="46" spans="2:14" x14ac:dyDescent="0.2">
      <c r="B46" s="1" t="s">
        <v>154</v>
      </c>
      <c r="C46" s="32">
        <v>1382</v>
      </c>
      <c r="D46" s="1">
        <v>15000</v>
      </c>
      <c r="E46" s="1"/>
      <c r="F46" s="1">
        <v>167.24</v>
      </c>
      <c r="G46" s="1">
        <v>15000</v>
      </c>
      <c r="H46" s="5">
        <f t="shared" si="0"/>
        <v>0</v>
      </c>
      <c r="I46" s="1"/>
      <c r="J46" s="1"/>
    </row>
    <row r="47" spans="2:14" x14ac:dyDescent="0.2">
      <c r="B47" s="1" t="s">
        <v>154</v>
      </c>
      <c r="C47" s="32">
        <v>8404</v>
      </c>
      <c r="D47" s="1">
        <v>26000</v>
      </c>
      <c r="E47" s="1"/>
      <c r="F47" s="1">
        <v>286.60000000000002</v>
      </c>
      <c r="G47" s="1">
        <v>26000</v>
      </c>
      <c r="H47" s="5">
        <f t="shared" si="0"/>
        <v>0</v>
      </c>
      <c r="I47" s="1"/>
      <c r="J47" s="1"/>
    </row>
    <row r="48" spans="2:14" x14ac:dyDescent="0.2">
      <c r="B48" s="1" t="s">
        <v>154</v>
      </c>
      <c r="C48" s="32">
        <v>8696</v>
      </c>
      <c r="D48" s="1">
        <v>30000</v>
      </c>
      <c r="E48" s="1"/>
      <c r="F48" s="1">
        <v>282.74</v>
      </c>
      <c r="G48" s="1">
        <v>30000</v>
      </c>
      <c r="H48" s="5">
        <f t="shared" si="0"/>
        <v>0</v>
      </c>
      <c r="I48" s="1"/>
      <c r="J48" s="1"/>
    </row>
    <row r="49" spans="2:10" x14ac:dyDescent="0.2">
      <c r="B49" s="1" t="s">
        <v>154</v>
      </c>
      <c r="C49" s="32">
        <v>1651</v>
      </c>
      <c r="D49" s="1">
        <v>30000</v>
      </c>
      <c r="E49" s="1"/>
      <c r="F49" s="1">
        <v>323.44</v>
      </c>
      <c r="G49" s="1">
        <v>30000</v>
      </c>
      <c r="H49" s="5">
        <f t="shared" si="0"/>
        <v>0</v>
      </c>
      <c r="I49" s="1"/>
      <c r="J49" s="1"/>
    </row>
    <row r="50" spans="2:10" x14ac:dyDescent="0.2">
      <c r="B50" s="1" t="s">
        <v>155</v>
      </c>
      <c r="C50" s="32">
        <v>2868</v>
      </c>
      <c r="D50" s="1">
        <v>26000</v>
      </c>
      <c r="E50" s="1"/>
      <c r="F50" s="1">
        <v>273.76</v>
      </c>
      <c r="G50" s="1">
        <v>26000</v>
      </c>
      <c r="H50" s="5">
        <f t="shared" si="0"/>
        <v>0</v>
      </c>
      <c r="I50" s="1"/>
      <c r="J50" s="1"/>
    </row>
    <row r="51" spans="2:10" x14ac:dyDescent="0.2">
      <c r="B51" s="1" t="s">
        <v>155</v>
      </c>
      <c r="C51" s="32" t="s">
        <v>63</v>
      </c>
      <c r="D51" s="1">
        <v>3500</v>
      </c>
      <c r="E51" s="1"/>
      <c r="F51" s="1">
        <v>39.04</v>
      </c>
      <c r="G51" s="1">
        <v>3500</v>
      </c>
      <c r="H51" s="5">
        <f t="shared" si="0"/>
        <v>0</v>
      </c>
      <c r="I51" s="1"/>
      <c r="J51" s="1"/>
    </row>
    <row r="52" spans="2:10" x14ac:dyDescent="0.2">
      <c r="B52" s="1" t="s">
        <v>155</v>
      </c>
      <c r="C52" s="32">
        <v>1948</v>
      </c>
      <c r="D52" s="1">
        <v>20000</v>
      </c>
      <c r="E52" s="1"/>
      <c r="F52" s="1">
        <v>223.06</v>
      </c>
      <c r="G52" s="1">
        <v>20000</v>
      </c>
      <c r="H52" s="5">
        <f t="shared" si="0"/>
        <v>0</v>
      </c>
      <c r="I52" s="1"/>
      <c r="J52" s="1"/>
    </row>
    <row r="53" spans="2:10" x14ac:dyDescent="0.2">
      <c r="B53" s="1" t="s">
        <v>155</v>
      </c>
      <c r="C53" s="32" t="s">
        <v>61</v>
      </c>
      <c r="D53" s="1">
        <v>4500</v>
      </c>
      <c r="E53" s="1"/>
      <c r="F53" s="1">
        <v>50.19</v>
      </c>
      <c r="G53" s="1">
        <v>4500</v>
      </c>
      <c r="H53" s="5">
        <f t="shared" si="0"/>
        <v>0</v>
      </c>
      <c r="I53" s="1"/>
      <c r="J53" s="1"/>
    </row>
    <row r="54" spans="2:10" x14ac:dyDescent="0.2">
      <c r="B54" s="1" t="s">
        <v>155</v>
      </c>
      <c r="C54" s="32">
        <v>7125</v>
      </c>
      <c r="D54" s="1">
        <v>35000</v>
      </c>
      <c r="E54" s="1"/>
      <c r="F54" s="1">
        <v>390.36</v>
      </c>
      <c r="G54" s="1">
        <v>35000</v>
      </c>
      <c r="H54" s="5">
        <f t="shared" si="0"/>
        <v>0</v>
      </c>
      <c r="I54" s="1"/>
      <c r="J54" s="1"/>
    </row>
    <row r="55" spans="2:10" x14ac:dyDescent="0.2">
      <c r="B55" s="1" t="s">
        <v>155</v>
      </c>
      <c r="C55" s="32">
        <v>1726</v>
      </c>
      <c r="D55" s="1">
        <v>12000</v>
      </c>
      <c r="E55" s="1"/>
      <c r="F55" s="1">
        <v>130.83000000000001</v>
      </c>
      <c r="G55" s="1">
        <v>12000</v>
      </c>
      <c r="H55" s="5">
        <f t="shared" si="0"/>
        <v>0</v>
      </c>
      <c r="I55" s="1"/>
      <c r="J55" s="1"/>
    </row>
    <row r="56" spans="2:10" x14ac:dyDescent="0.2">
      <c r="B56" s="1" t="s">
        <v>156</v>
      </c>
      <c r="C56" s="32">
        <v>6021</v>
      </c>
      <c r="D56" s="1">
        <v>19000</v>
      </c>
      <c r="E56" s="1"/>
      <c r="F56" s="1">
        <v>211.91</v>
      </c>
      <c r="G56" s="1">
        <v>19000</v>
      </c>
      <c r="H56" s="5">
        <f t="shared" si="0"/>
        <v>0</v>
      </c>
      <c r="I56" s="1"/>
      <c r="J56" s="1"/>
    </row>
    <row r="57" spans="2:10" x14ac:dyDescent="0.2">
      <c r="B57" s="1" t="s">
        <v>156</v>
      </c>
      <c r="C57" s="32">
        <v>35</v>
      </c>
      <c r="D57" s="1">
        <v>16000</v>
      </c>
      <c r="E57" s="1"/>
      <c r="F57" s="1">
        <v>178.45</v>
      </c>
      <c r="G57" s="1">
        <v>16000</v>
      </c>
      <c r="H57" s="5">
        <f t="shared" si="0"/>
        <v>0</v>
      </c>
      <c r="I57" s="1"/>
      <c r="J57" s="1"/>
    </row>
    <row r="58" spans="2:10" x14ac:dyDescent="0.2">
      <c r="B58" s="1" t="s">
        <v>156</v>
      </c>
      <c r="C58" s="32">
        <v>6711</v>
      </c>
      <c r="D58" s="1">
        <v>12000</v>
      </c>
      <c r="E58" s="1"/>
      <c r="F58" s="1">
        <v>133.84</v>
      </c>
      <c r="G58" s="1">
        <v>12000</v>
      </c>
      <c r="H58" s="5">
        <f t="shared" si="0"/>
        <v>0</v>
      </c>
      <c r="I58" s="1"/>
      <c r="J58" s="1"/>
    </row>
    <row r="59" spans="2:10" x14ac:dyDescent="0.2">
      <c r="B59" s="1" t="s">
        <v>156</v>
      </c>
      <c r="C59" s="32">
        <v>9925</v>
      </c>
      <c r="D59" s="1">
        <v>15000</v>
      </c>
      <c r="E59" s="1"/>
      <c r="F59" s="1">
        <v>167.3</v>
      </c>
      <c r="G59" s="1">
        <v>15000</v>
      </c>
      <c r="H59" s="5">
        <f t="shared" si="0"/>
        <v>0</v>
      </c>
      <c r="I59" s="1"/>
      <c r="J59" s="1"/>
    </row>
    <row r="60" spans="2:10" x14ac:dyDescent="0.2">
      <c r="B60" s="1" t="s">
        <v>156</v>
      </c>
      <c r="C60" s="32">
        <v>6284</v>
      </c>
      <c r="D60" s="1">
        <v>15000</v>
      </c>
      <c r="E60" s="1"/>
      <c r="F60" s="1">
        <v>167.3</v>
      </c>
      <c r="G60" s="1">
        <v>15000</v>
      </c>
      <c r="H60" s="5">
        <f t="shared" si="0"/>
        <v>0</v>
      </c>
      <c r="I60" s="1"/>
      <c r="J60" s="1"/>
    </row>
    <row r="61" spans="2:10" x14ac:dyDescent="0.2">
      <c r="B61" s="1" t="s">
        <v>156</v>
      </c>
      <c r="C61" s="32">
        <v>1220</v>
      </c>
      <c r="D61" s="1">
        <v>13000</v>
      </c>
      <c r="E61" s="1"/>
      <c r="F61" s="1">
        <v>144.99</v>
      </c>
      <c r="G61" s="1">
        <v>13000</v>
      </c>
      <c r="H61" s="5">
        <f t="shared" si="0"/>
        <v>0</v>
      </c>
      <c r="I61" s="1"/>
      <c r="J61" s="1"/>
    </row>
    <row r="62" spans="2:10" x14ac:dyDescent="0.2">
      <c r="B62" s="1" t="s">
        <v>156</v>
      </c>
      <c r="C62" s="32">
        <v>3450</v>
      </c>
      <c r="D62" s="1">
        <v>13000</v>
      </c>
      <c r="E62" s="1"/>
      <c r="F62" s="1">
        <v>144.99</v>
      </c>
      <c r="G62" s="1">
        <v>13000</v>
      </c>
      <c r="H62" s="5">
        <f t="shared" si="0"/>
        <v>0</v>
      </c>
      <c r="I62" s="1"/>
      <c r="J62" s="1"/>
    </row>
    <row r="63" spans="2:10" x14ac:dyDescent="0.2">
      <c r="B63" s="1" t="s">
        <v>156</v>
      </c>
      <c r="C63" s="32">
        <v>8975</v>
      </c>
      <c r="D63" s="1">
        <v>22000</v>
      </c>
      <c r="E63" s="1"/>
      <c r="F63" s="1">
        <v>245.37</v>
      </c>
      <c r="G63" s="1">
        <v>22000</v>
      </c>
      <c r="H63" s="5">
        <f t="shared" si="0"/>
        <v>0</v>
      </c>
      <c r="I63" s="1"/>
      <c r="J63" s="1"/>
    </row>
    <row r="64" spans="2:10" x14ac:dyDescent="0.2">
      <c r="B64" s="1" t="s">
        <v>156</v>
      </c>
      <c r="C64" s="32">
        <v>1901</v>
      </c>
      <c r="D64" s="1">
        <v>23000</v>
      </c>
      <c r="E64" s="1"/>
      <c r="F64" s="1">
        <v>248.72</v>
      </c>
      <c r="G64" s="1">
        <v>23000</v>
      </c>
      <c r="H64" s="5">
        <f t="shared" si="0"/>
        <v>0</v>
      </c>
      <c r="I64" s="1"/>
      <c r="J64" s="1"/>
    </row>
    <row r="65" spans="2:13" x14ac:dyDescent="0.2">
      <c r="B65" s="1" t="s">
        <v>156</v>
      </c>
      <c r="C65" s="32">
        <v>5046</v>
      </c>
      <c r="D65" s="1">
        <v>20000</v>
      </c>
      <c r="E65" s="1"/>
      <c r="F65" s="1">
        <v>223.06</v>
      </c>
      <c r="G65" s="1">
        <v>20000</v>
      </c>
      <c r="H65" s="5">
        <f t="shared" si="0"/>
        <v>0</v>
      </c>
      <c r="I65" s="1"/>
      <c r="J65" s="1"/>
    </row>
    <row r="66" spans="2:13" x14ac:dyDescent="0.2">
      <c r="B66" s="1" t="s">
        <v>156</v>
      </c>
      <c r="C66" s="32">
        <v>735</v>
      </c>
      <c r="D66" s="1">
        <v>8000</v>
      </c>
      <c r="E66" s="1"/>
      <c r="F66" s="1">
        <v>89.23</v>
      </c>
      <c r="G66" s="1">
        <v>8000</v>
      </c>
      <c r="H66" s="5">
        <f t="shared" si="0"/>
        <v>0</v>
      </c>
      <c r="I66" s="1"/>
      <c r="J66" s="1"/>
    </row>
    <row r="67" spans="2:13" x14ac:dyDescent="0.2">
      <c r="B67" s="1" t="s">
        <v>156</v>
      </c>
      <c r="C67" s="32">
        <v>7971</v>
      </c>
      <c r="D67" s="1">
        <v>20000</v>
      </c>
      <c r="E67" s="1"/>
      <c r="F67" s="1">
        <v>185.3</v>
      </c>
      <c r="G67" s="1">
        <v>20000</v>
      </c>
      <c r="H67" s="5">
        <f t="shared" si="0"/>
        <v>0</v>
      </c>
      <c r="I67" s="1"/>
      <c r="J67" s="1"/>
    </row>
    <row r="68" spans="2:13" x14ac:dyDescent="0.2">
      <c r="B68" s="1" t="s">
        <v>156</v>
      </c>
      <c r="C68" s="32">
        <v>2246</v>
      </c>
      <c r="D68" s="1">
        <v>14000</v>
      </c>
      <c r="E68" s="1"/>
      <c r="F68" s="1">
        <v>156.15</v>
      </c>
      <c r="G68" s="1">
        <v>14000</v>
      </c>
      <c r="H68" s="5">
        <f t="shared" si="0"/>
        <v>0</v>
      </c>
      <c r="I68" s="1"/>
      <c r="J68" s="1"/>
    </row>
    <row r="69" spans="2:13" x14ac:dyDescent="0.2">
      <c r="B69" s="1" t="s">
        <v>156</v>
      </c>
      <c r="C69" s="32">
        <v>5943</v>
      </c>
      <c r="D69" s="1">
        <v>33000</v>
      </c>
      <c r="E69" s="1"/>
      <c r="F69" s="1">
        <v>356.91</v>
      </c>
      <c r="G69" s="1">
        <v>33000</v>
      </c>
      <c r="H69" s="5">
        <f t="shared" si="0"/>
        <v>0</v>
      </c>
      <c r="I69" s="1"/>
      <c r="J69" s="1"/>
    </row>
    <row r="70" spans="2:13" x14ac:dyDescent="0.2">
      <c r="B70" s="1" t="s">
        <v>157</v>
      </c>
      <c r="C70" s="32">
        <v>323</v>
      </c>
      <c r="D70" s="1">
        <v>1500</v>
      </c>
      <c r="E70" s="1"/>
      <c r="F70" s="1">
        <v>167.3</v>
      </c>
      <c r="G70" s="1">
        <v>1500</v>
      </c>
      <c r="H70" s="5">
        <f t="shared" si="0"/>
        <v>0</v>
      </c>
      <c r="I70" s="1"/>
      <c r="J70" s="1"/>
    </row>
    <row r="71" spans="2:13" x14ac:dyDescent="0.2">
      <c r="B71" s="1" t="s">
        <v>157</v>
      </c>
      <c r="C71" s="32">
        <v>7272</v>
      </c>
      <c r="D71" s="1">
        <v>13000</v>
      </c>
      <c r="E71" s="1"/>
      <c r="F71" s="1">
        <v>144.99</v>
      </c>
      <c r="G71" s="1">
        <v>13000</v>
      </c>
      <c r="H71" s="5">
        <f t="shared" si="0"/>
        <v>0</v>
      </c>
      <c r="I71" s="1"/>
      <c r="J71" s="1"/>
    </row>
    <row r="72" spans="2:13" x14ac:dyDescent="0.2">
      <c r="B72" s="1" t="s">
        <v>157</v>
      </c>
      <c r="C72" s="32">
        <v>5280</v>
      </c>
      <c r="D72" s="1">
        <v>13000</v>
      </c>
      <c r="E72" s="1"/>
      <c r="F72" s="1">
        <v>144.99</v>
      </c>
      <c r="G72" s="1">
        <v>13000</v>
      </c>
      <c r="H72" s="5">
        <f t="shared" ref="H72:H135" si="1">D72-G72</f>
        <v>0</v>
      </c>
      <c r="I72" s="1"/>
      <c r="J72" s="1"/>
    </row>
    <row r="73" spans="2:13" x14ac:dyDescent="0.2">
      <c r="B73" s="1" t="s">
        <v>157</v>
      </c>
      <c r="C73" s="32">
        <v>5952</v>
      </c>
      <c r="D73" s="1">
        <v>13000</v>
      </c>
      <c r="E73" s="1"/>
      <c r="F73" s="1">
        <v>144.99</v>
      </c>
      <c r="G73" s="1">
        <v>13000</v>
      </c>
      <c r="H73" s="5">
        <f t="shared" si="1"/>
        <v>0</v>
      </c>
      <c r="I73" s="1"/>
      <c r="J73" s="1"/>
    </row>
    <row r="74" spans="2:13" x14ac:dyDescent="0.2">
      <c r="B74" s="1" t="s">
        <v>157</v>
      </c>
      <c r="C74" s="32" t="s">
        <v>61</v>
      </c>
      <c r="D74" s="1">
        <v>5000</v>
      </c>
      <c r="E74" s="1"/>
      <c r="F74" s="1">
        <v>55.77</v>
      </c>
      <c r="G74" s="1">
        <v>5000</v>
      </c>
      <c r="H74" s="5">
        <f t="shared" si="1"/>
        <v>0</v>
      </c>
      <c r="I74" s="1"/>
      <c r="J74" s="1"/>
    </row>
    <row r="75" spans="2:13" x14ac:dyDescent="0.2">
      <c r="B75" s="1" t="s">
        <v>157</v>
      </c>
      <c r="C75" s="32">
        <v>4791</v>
      </c>
      <c r="D75" s="1">
        <v>13000</v>
      </c>
      <c r="E75" s="1"/>
      <c r="F75" s="1">
        <v>144.99</v>
      </c>
      <c r="G75" s="1">
        <v>13000</v>
      </c>
      <c r="H75" s="5">
        <f t="shared" si="1"/>
        <v>0</v>
      </c>
      <c r="I75" s="1"/>
      <c r="J75" s="1"/>
    </row>
    <row r="76" spans="2:13" x14ac:dyDescent="0.2">
      <c r="B76" s="1" t="s">
        <v>157</v>
      </c>
      <c r="C76" s="32" t="s">
        <v>66</v>
      </c>
      <c r="D76" s="1">
        <v>200</v>
      </c>
      <c r="E76" s="1"/>
      <c r="F76" s="1">
        <v>2.08</v>
      </c>
      <c r="G76" s="1">
        <v>200</v>
      </c>
      <c r="H76" s="5">
        <f t="shared" si="1"/>
        <v>0</v>
      </c>
      <c r="I76" s="1"/>
      <c r="J76" s="1"/>
      <c r="M76">
        <f>200/96</f>
        <v>2.0833333333333335</v>
      </c>
    </row>
    <row r="77" spans="2:13" x14ac:dyDescent="0.2">
      <c r="B77" s="1" t="s">
        <v>157</v>
      </c>
      <c r="C77" s="32">
        <v>1884</v>
      </c>
      <c r="D77" s="1">
        <v>19000</v>
      </c>
      <c r="E77" s="1"/>
      <c r="F77" s="1">
        <v>211.91</v>
      </c>
      <c r="G77" s="1">
        <v>19000</v>
      </c>
      <c r="H77" s="5">
        <f t="shared" si="1"/>
        <v>0</v>
      </c>
      <c r="I77" s="1"/>
      <c r="J77" s="1"/>
    </row>
    <row r="78" spans="2:13" x14ac:dyDescent="0.2">
      <c r="B78" s="1" t="s">
        <v>157</v>
      </c>
      <c r="C78" s="32">
        <v>1162</v>
      </c>
      <c r="D78" s="1">
        <v>14000</v>
      </c>
      <c r="E78" s="1"/>
      <c r="F78" s="1">
        <v>156.15</v>
      </c>
      <c r="G78" s="1">
        <v>14000</v>
      </c>
      <c r="H78" s="5">
        <f t="shared" si="1"/>
        <v>0</v>
      </c>
      <c r="I78" s="1"/>
      <c r="J78" s="1"/>
    </row>
    <row r="79" spans="2:13" x14ac:dyDescent="0.2">
      <c r="B79" s="1" t="s">
        <v>157</v>
      </c>
      <c r="C79" s="32">
        <v>7073</v>
      </c>
      <c r="D79" s="1">
        <v>12000</v>
      </c>
      <c r="E79" s="1"/>
      <c r="F79" s="1">
        <v>133.84</v>
      </c>
      <c r="G79" s="1">
        <v>12000</v>
      </c>
      <c r="H79" s="5">
        <f t="shared" si="1"/>
        <v>0</v>
      </c>
      <c r="I79" s="1"/>
      <c r="J79" s="1"/>
    </row>
    <row r="80" spans="2:13" x14ac:dyDescent="0.2">
      <c r="B80" s="1" t="s">
        <v>157</v>
      </c>
      <c r="C80" s="32">
        <v>5324</v>
      </c>
      <c r="D80" s="1">
        <v>10000</v>
      </c>
      <c r="E80" s="1"/>
      <c r="F80" s="1">
        <v>111.53</v>
      </c>
      <c r="G80" s="1">
        <v>10000</v>
      </c>
      <c r="H80" s="5">
        <f t="shared" si="1"/>
        <v>0</v>
      </c>
      <c r="I80" s="1"/>
      <c r="J80" s="1"/>
    </row>
    <row r="81" spans="2:10" x14ac:dyDescent="0.2">
      <c r="B81" s="1" t="s">
        <v>157</v>
      </c>
      <c r="C81" s="32">
        <v>2056</v>
      </c>
      <c r="D81" s="1">
        <v>18000</v>
      </c>
      <c r="E81" s="1"/>
      <c r="F81" s="1">
        <v>200.76</v>
      </c>
      <c r="G81" s="1">
        <v>18000</v>
      </c>
      <c r="H81" s="5">
        <f t="shared" si="1"/>
        <v>0</v>
      </c>
      <c r="I81" s="1"/>
      <c r="J81" s="1"/>
    </row>
    <row r="82" spans="2:10" x14ac:dyDescent="0.2">
      <c r="B82" s="1" t="s">
        <v>157</v>
      </c>
      <c r="C82" s="32">
        <v>3983</v>
      </c>
      <c r="D82" s="1">
        <v>13000</v>
      </c>
      <c r="E82" s="1"/>
      <c r="F82" s="1">
        <v>144.09</v>
      </c>
      <c r="G82" s="1">
        <v>13000</v>
      </c>
      <c r="H82" s="5">
        <f t="shared" si="1"/>
        <v>0</v>
      </c>
      <c r="I82" s="1"/>
      <c r="J82" s="1"/>
    </row>
    <row r="83" spans="2:10" x14ac:dyDescent="0.2">
      <c r="B83" s="1" t="s">
        <v>157</v>
      </c>
      <c r="C83" s="32">
        <v>209</v>
      </c>
      <c r="D83" s="1">
        <v>13600</v>
      </c>
      <c r="E83" s="1"/>
      <c r="F83" s="1">
        <v>157.63</v>
      </c>
      <c r="G83" s="1">
        <v>13600</v>
      </c>
      <c r="H83" s="5">
        <f t="shared" si="1"/>
        <v>0</v>
      </c>
      <c r="I83" s="1"/>
      <c r="J83" s="1"/>
    </row>
    <row r="84" spans="2:10" x14ac:dyDescent="0.2">
      <c r="B84" s="1" t="s">
        <v>157</v>
      </c>
      <c r="C84" s="32">
        <v>7347</v>
      </c>
      <c r="D84" s="1">
        <v>20000</v>
      </c>
      <c r="E84" s="1"/>
      <c r="F84" s="1">
        <v>196.31</v>
      </c>
      <c r="G84" s="1">
        <v>20000</v>
      </c>
      <c r="H84" s="5">
        <f t="shared" si="1"/>
        <v>0</v>
      </c>
      <c r="I84" s="1"/>
      <c r="J84" s="1"/>
    </row>
    <row r="85" spans="2:10" x14ac:dyDescent="0.2">
      <c r="B85" s="1" t="s">
        <v>157</v>
      </c>
      <c r="C85" s="32">
        <v>6805</v>
      </c>
      <c r="D85" s="1">
        <v>35000</v>
      </c>
      <c r="E85" s="1"/>
      <c r="F85" s="1">
        <v>352.46</v>
      </c>
      <c r="G85" s="1">
        <v>35000</v>
      </c>
      <c r="H85" s="5">
        <f t="shared" si="1"/>
        <v>0</v>
      </c>
      <c r="I85" s="1"/>
      <c r="J85" s="1"/>
    </row>
    <row r="86" spans="2:10" x14ac:dyDescent="0.2">
      <c r="B86" s="1" t="s">
        <v>157</v>
      </c>
      <c r="C86" s="32">
        <v>6205</v>
      </c>
      <c r="D86" s="1">
        <v>35000</v>
      </c>
      <c r="E86" s="1"/>
      <c r="F86" s="1">
        <v>352.46</v>
      </c>
      <c r="G86" s="1">
        <v>35000</v>
      </c>
      <c r="H86" s="5">
        <f t="shared" si="1"/>
        <v>0</v>
      </c>
      <c r="I86" s="1"/>
      <c r="J86" s="1"/>
    </row>
    <row r="87" spans="2:10" x14ac:dyDescent="0.2">
      <c r="B87" s="1" t="s">
        <v>157</v>
      </c>
      <c r="C87" s="32">
        <v>4655</v>
      </c>
      <c r="D87" s="1">
        <v>25000</v>
      </c>
      <c r="E87" s="1"/>
      <c r="F87" s="1">
        <v>253.17</v>
      </c>
      <c r="G87" s="1">
        <v>25000</v>
      </c>
      <c r="H87" s="5">
        <f t="shared" si="1"/>
        <v>0</v>
      </c>
      <c r="I87" s="1"/>
      <c r="J87" s="1"/>
    </row>
    <row r="88" spans="2:10" x14ac:dyDescent="0.2">
      <c r="B88" s="1" t="s">
        <v>157</v>
      </c>
      <c r="C88" s="32">
        <v>3775</v>
      </c>
      <c r="D88" s="1">
        <v>30000</v>
      </c>
      <c r="E88" s="1"/>
      <c r="F88" s="1">
        <v>280.62</v>
      </c>
      <c r="G88" s="1">
        <v>30000</v>
      </c>
      <c r="H88" s="5">
        <f t="shared" si="1"/>
        <v>0</v>
      </c>
      <c r="I88" s="1"/>
      <c r="J88" s="1"/>
    </row>
    <row r="89" spans="2:10" x14ac:dyDescent="0.2">
      <c r="B89" s="1" t="s">
        <v>157</v>
      </c>
      <c r="C89" s="32">
        <v>2447</v>
      </c>
      <c r="D89" s="1">
        <v>28000</v>
      </c>
      <c r="E89" s="1"/>
      <c r="F89" s="1">
        <v>312.29000000000002</v>
      </c>
      <c r="G89" s="1">
        <v>28000</v>
      </c>
      <c r="H89" s="5">
        <f t="shared" si="1"/>
        <v>0</v>
      </c>
      <c r="I89" s="1"/>
      <c r="J89" s="1"/>
    </row>
    <row r="90" spans="2:10" x14ac:dyDescent="0.2">
      <c r="B90" s="1" t="s">
        <v>157</v>
      </c>
      <c r="C90" s="32">
        <v>8671</v>
      </c>
      <c r="D90" s="1">
        <v>25000</v>
      </c>
      <c r="E90" s="1"/>
      <c r="F90" s="1">
        <v>253.17</v>
      </c>
      <c r="G90" s="1">
        <v>25000</v>
      </c>
      <c r="H90" s="5">
        <f t="shared" si="1"/>
        <v>0</v>
      </c>
      <c r="I90" s="1"/>
      <c r="J90" s="1"/>
    </row>
    <row r="91" spans="2:10" x14ac:dyDescent="0.2">
      <c r="B91" s="1" t="s">
        <v>157</v>
      </c>
      <c r="C91" s="32">
        <v>5281</v>
      </c>
      <c r="D91" s="1">
        <v>13000</v>
      </c>
      <c r="E91" s="1"/>
      <c r="F91" s="1">
        <v>144.09</v>
      </c>
      <c r="G91" s="1">
        <v>13000</v>
      </c>
      <c r="H91" s="5">
        <f t="shared" si="1"/>
        <v>0</v>
      </c>
      <c r="I91" s="1"/>
      <c r="J91" s="1"/>
    </row>
    <row r="92" spans="2:10" x14ac:dyDescent="0.2">
      <c r="B92" s="1" t="s">
        <v>159</v>
      </c>
      <c r="C92" s="32">
        <v>511</v>
      </c>
      <c r="D92" s="1">
        <v>30000</v>
      </c>
      <c r="E92" s="1"/>
      <c r="F92" s="1">
        <v>280.62</v>
      </c>
      <c r="G92" s="1">
        <v>30000</v>
      </c>
      <c r="H92" s="5">
        <f t="shared" si="1"/>
        <v>0</v>
      </c>
      <c r="I92" s="1"/>
      <c r="J92" s="1"/>
    </row>
    <row r="93" spans="2:10" x14ac:dyDescent="0.2">
      <c r="B93" s="1" t="s">
        <v>159</v>
      </c>
      <c r="C93" s="32" t="s">
        <v>30</v>
      </c>
      <c r="D93" s="1">
        <v>3500</v>
      </c>
      <c r="E93" s="1"/>
      <c r="F93" s="1">
        <v>39.24</v>
      </c>
      <c r="G93" s="1">
        <v>3500</v>
      </c>
      <c r="H93" s="5">
        <f t="shared" si="1"/>
        <v>0</v>
      </c>
      <c r="I93" s="1"/>
      <c r="J93" s="1"/>
    </row>
    <row r="94" spans="2:10" x14ac:dyDescent="0.2">
      <c r="B94" s="1" t="s">
        <v>159</v>
      </c>
      <c r="C94" s="32">
        <v>4326</v>
      </c>
      <c r="D94" s="1">
        <v>15000</v>
      </c>
      <c r="E94" s="1"/>
      <c r="F94" s="1">
        <v>167.3</v>
      </c>
      <c r="G94" s="1">
        <v>15000</v>
      </c>
      <c r="H94" s="5">
        <f t="shared" si="1"/>
        <v>0</v>
      </c>
      <c r="I94" s="1"/>
      <c r="J94" s="1"/>
    </row>
    <row r="95" spans="2:10" x14ac:dyDescent="0.2">
      <c r="B95" s="1" t="s">
        <v>159</v>
      </c>
      <c r="C95" s="32">
        <v>2526</v>
      </c>
      <c r="D95" s="1">
        <v>16000</v>
      </c>
      <c r="E95" s="1"/>
      <c r="F95" s="1">
        <v>178</v>
      </c>
      <c r="G95" s="1">
        <v>16000</v>
      </c>
      <c r="H95" s="5">
        <f t="shared" si="1"/>
        <v>0</v>
      </c>
      <c r="I95" s="1"/>
      <c r="J95" s="1"/>
    </row>
    <row r="96" spans="2:10" x14ac:dyDescent="0.2">
      <c r="B96" s="1" t="s">
        <v>159</v>
      </c>
      <c r="C96" s="32">
        <v>9050</v>
      </c>
      <c r="D96" s="1">
        <v>13000</v>
      </c>
      <c r="E96" s="1"/>
      <c r="F96" s="1">
        <v>144.99</v>
      </c>
      <c r="G96" s="1">
        <v>13000</v>
      </c>
      <c r="H96" s="5">
        <f t="shared" si="1"/>
        <v>0</v>
      </c>
      <c r="I96" s="1"/>
      <c r="J96" s="1"/>
    </row>
    <row r="97" spans="2:10" x14ac:dyDescent="0.2">
      <c r="B97" s="1" t="s">
        <v>159</v>
      </c>
      <c r="C97" s="32">
        <v>7385</v>
      </c>
      <c r="D97" s="1">
        <v>15000</v>
      </c>
      <c r="E97" s="1"/>
      <c r="F97" s="1">
        <v>167.3</v>
      </c>
      <c r="G97" s="1">
        <v>15000</v>
      </c>
      <c r="H97" s="5">
        <f t="shared" si="1"/>
        <v>0</v>
      </c>
      <c r="I97" s="1"/>
      <c r="J97" s="1"/>
    </row>
    <row r="98" spans="2:10" x14ac:dyDescent="0.2">
      <c r="B98" s="1" t="s">
        <v>159</v>
      </c>
      <c r="C98" s="32">
        <v>5065</v>
      </c>
      <c r="D98" s="1">
        <v>5000</v>
      </c>
      <c r="E98" s="1"/>
      <c r="F98" s="1">
        <v>55.77</v>
      </c>
      <c r="G98" s="1">
        <v>5000</v>
      </c>
      <c r="H98" s="5">
        <f t="shared" si="1"/>
        <v>0</v>
      </c>
      <c r="I98" s="1"/>
      <c r="J98" s="1"/>
    </row>
    <row r="99" spans="2:10" x14ac:dyDescent="0.2">
      <c r="B99" s="1" t="s">
        <v>159</v>
      </c>
      <c r="C99" s="32">
        <v>1352</v>
      </c>
      <c r="D99" s="1">
        <v>13000</v>
      </c>
      <c r="E99" s="1"/>
      <c r="F99" s="1">
        <v>144.99</v>
      </c>
      <c r="G99" s="1">
        <v>13000</v>
      </c>
      <c r="H99" s="5">
        <f t="shared" si="1"/>
        <v>0</v>
      </c>
      <c r="I99" s="1"/>
      <c r="J99" s="1"/>
    </row>
    <row r="100" spans="2:10" x14ac:dyDescent="0.2">
      <c r="B100" s="1" t="s">
        <v>159</v>
      </c>
      <c r="C100" s="32">
        <v>1097</v>
      </c>
      <c r="D100" s="1">
        <v>15000</v>
      </c>
      <c r="E100" s="1"/>
      <c r="F100" s="1">
        <v>167.3</v>
      </c>
      <c r="G100" s="1">
        <v>15000</v>
      </c>
      <c r="H100" s="5">
        <f t="shared" si="1"/>
        <v>0</v>
      </c>
      <c r="I100" s="1"/>
      <c r="J100" s="1"/>
    </row>
    <row r="101" spans="2:10" x14ac:dyDescent="0.2">
      <c r="B101" s="1" t="s">
        <v>159</v>
      </c>
      <c r="C101" s="32" t="s">
        <v>61</v>
      </c>
      <c r="D101" s="1">
        <v>4500</v>
      </c>
      <c r="E101" s="1"/>
      <c r="F101" s="1">
        <v>50.19</v>
      </c>
      <c r="G101" s="1">
        <v>4500</v>
      </c>
      <c r="H101" s="5">
        <f t="shared" si="1"/>
        <v>0</v>
      </c>
      <c r="I101" s="1"/>
      <c r="J101" s="1"/>
    </row>
    <row r="102" spans="2:10" x14ac:dyDescent="0.2">
      <c r="B102" s="1" t="s">
        <v>159</v>
      </c>
      <c r="C102" s="32">
        <v>8526</v>
      </c>
      <c r="D102" s="1">
        <v>13000</v>
      </c>
      <c r="E102" s="1"/>
      <c r="F102" s="1">
        <v>144.99</v>
      </c>
      <c r="G102" s="1">
        <v>13000</v>
      </c>
      <c r="H102" s="5">
        <f t="shared" si="1"/>
        <v>0</v>
      </c>
      <c r="I102" s="1"/>
      <c r="J102" s="1"/>
    </row>
    <row r="103" spans="2:10" x14ac:dyDescent="0.2">
      <c r="B103" s="1" t="s">
        <v>159</v>
      </c>
      <c r="C103" s="32">
        <v>3005</v>
      </c>
      <c r="D103" s="1">
        <v>12000</v>
      </c>
      <c r="E103" s="1"/>
      <c r="F103" s="1">
        <v>133.84</v>
      </c>
      <c r="G103" s="1">
        <v>12000</v>
      </c>
      <c r="H103" s="5">
        <f t="shared" si="1"/>
        <v>0</v>
      </c>
      <c r="I103" s="1"/>
      <c r="J103" s="1"/>
    </row>
    <row r="104" spans="2:10" x14ac:dyDescent="0.2">
      <c r="B104" s="1" t="s">
        <v>159</v>
      </c>
      <c r="C104" s="32">
        <v>9363</v>
      </c>
      <c r="D104" s="1">
        <v>30000</v>
      </c>
      <c r="E104" s="1"/>
      <c r="F104" s="1">
        <v>289.98</v>
      </c>
      <c r="G104" s="1">
        <v>30000</v>
      </c>
      <c r="H104" s="5">
        <f t="shared" si="1"/>
        <v>0</v>
      </c>
      <c r="I104" s="1"/>
      <c r="J104" s="1"/>
    </row>
    <row r="105" spans="2:10" x14ac:dyDescent="0.2">
      <c r="B105" s="1" t="s">
        <v>159</v>
      </c>
      <c r="C105" s="32">
        <v>2703</v>
      </c>
      <c r="D105" s="1">
        <v>23000</v>
      </c>
      <c r="E105" s="1"/>
      <c r="F105" s="1">
        <v>249.78</v>
      </c>
      <c r="G105" s="1">
        <v>23000</v>
      </c>
      <c r="H105" s="5">
        <f t="shared" si="1"/>
        <v>0</v>
      </c>
      <c r="I105" s="1"/>
      <c r="J105" s="1"/>
    </row>
    <row r="106" spans="2:10" x14ac:dyDescent="0.2">
      <c r="B106" s="1" t="s">
        <v>159</v>
      </c>
      <c r="C106" s="32">
        <v>1051</v>
      </c>
      <c r="D106" s="1">
        <v>25000</v>
      </c>
      <c r="E106" s="1"/>
      <c r="F106" s="1">
        <v>252.06</v>
      </c>
      <c r="G106" s="1">
        <v>25000</v>
      </c>
      <c r="H106" s="5">
        <f t="shared" si="1"/>
        <v>0</v>
      </c>
      <c r="I106" s="1"/>
      <c r="J106" s="1"/>
    </row>
    <row r="107" spans="2:10" x14ac:dyDescent="0.2">
      <c r="B107" s="1" t="s">
        <v>159</v>
      </c>
      <c r="C107" s="32">
        <v>9436</v>
      </c>
      <c r="D107" s="1">
        <v>20000</v>
      </c>
      <c r="E107" s="1"/>
      <c r="F107" s="1">
        <v>223.06</v>
      </c>
      <c r="G107" s="1">
        <v>20000</v>
      </c>
      <c r="H107" s="5">
        <f t="shared" si="1"/>
        <v>0</v>
      </c>
      <c r="I107" s="1"/>
      <c r="J107" s="1"/>
    </row>
    <row r="108" spans="2:10" x14ac:dyDescent="0.2">
      <c r="B108" s="1" t="s">
        <v>159</v>
      </c>
      <c r="C108" s="32">
        <v>5714</v>
      </c>
      <c r="D108" s="1">
        <v>22000</v>
      </c>
      <c r="E108" s="1"/>
      <c r="F108" s="1">
        <v>245.37</v>
      </c>
      <c r="G108" s="1">
        <v>22000</v>
      </c>
      <c r="H108" s="5">
        <f t="shared" si="1"/>
        <v>0</v>
      </c>
      <c r="I108" s="1"/>
      <c r="J108" s="1"/>
    </row>
    <row r="109" spans="2:10" x14ac:dyDescent="0.2">
      <c r="B109" s="1" t="s">
        <v>159</v>
      </c>
      <c r="C109" s="32">
        <v>5080</v>
      </c>
      <c r="D109" s="1">
        <v>25000</v>
      </c>
      <c r="E109" s="1"/>
      <c r="F109" s="1">
        <v>273.26</v>
      </c>
      <c r="G109" s="1">
        <v>25000</v>
      </c>
      <c r="H109" s="5">
        <f t="shared" si="1"/>
        <v>0</v>
      </c>
      <c r="I109" s="1"/>
      <c r="J109" s="1"/>
    </row>
    <row r="110" spans="2:10" x14ac:dyDescent="0.2">
      <c r="B110" s="1" t="s">
        <v>159</v>
      </c>
      <c r="C110" s="32">
        <v>2685</v>
      </c>
      <c r="D110" s="1">
        <v>20000</v>
      </c>
      <c r="E110" s="1"/>
      <c r="F110" s="1">
        <v>223.06</v>
      </c>
      <c r="G110" s="1">
        <v>20000</v>
      </c>
      <c r="H110" s="5">
        <f t="shared" si="1"/>
        <v>0</v>
      </c>
      <c r="I110" s="1"/>
      <c r="J110" s="1"/>
    </row>
    <row r="111" spans="2:10" x14ac:dyDescent="0.2">
      <c r="B111" s="1" t="s">
        <v>158</v>
      </c>
      <c r="C111" s="32">
        <v>7349</v>
      </c>
      <c r="D111" s="1">
        <v>14000</v>
      </c>
      <c r="E111" s="1"/>
      <c r="F111" s="1">
        <v>167.39</v>
      </c>
      <c r="G111" s="1">
        <v>14000</v>
      </c>
      <c r="H111" s="5">
        <f t="shared" si="1"/>
        <v>0</v>
      </c>
      <c r="I111" s="1"/>
      <c r="J111" s="1"/>
    </row>
    <row r="112" spans="2:10" x14ac:dyDescent="0.2">
      <c r="B112" s="1" t="s">
        <v>158</v>
      </c>
      <c r="C112" s="32">
        <v>2972</v>
      </c>
      <c r="D112" s="1">
        <v>15000</v>
      </c>
      <c r="E112" s="1"/>
      <c r="F112" s="1">
        <v>167.39</v>
      </c>
      <c r="G112" s="1">
        <v>15000</v>
      </c>
      <c r="H112" s="5">
        <f t="shared" si="1"/>
        <v>0</v>
      </c>
      <c r="I112" s="1"/>
      <c r="J112" s="1"/>
    </row>
    <row r="113" spans="2:10" x14ac:dyDescent="0.2">
      <c r="B113" s="1" t="s">
        <v>158</v>
      </c>
      <c r="C113" s="32">
        <v>4204</v>
      </c>
      <c r="D113" s="1">
        <v>15000</v>
      </c>
      <c r="E113" s="1"/>
      <c r="F113" s="1">
        <v>167.39</v>
      </c>
      <c r="G113" s="1">
        <v>15000</v>
      </c>
      <c r="H113" s="5">
        <f t="shared" si="1"/>
        <v>0</v>
      </c>
      <c r="I113" s="1"/>
      <c r="J113" s="1"/>
    </row>
    <row r="114" spans="2:10" x14ac:dyDescent="0.2">
      <c r="B114" s="1" t="s">
        <v>158</v>
      </c>
      <c r="C114" s="32">
        <v>9300</v>
      </c>
      <c r="D114" s="1">
        <v>10000</v>
      </c>
      <c r="E114" s="1"/>
      <c r="F114" s="1">
        <v>111.53</v>
      </c>
      <c r="G114" s="1">
        <v>10000</v>
      </c>
      <c r="H114" s="5">
        <f t="shared" si="1"/>
        <v>0</v>
      </c>
      <c r="I114" s="1"/>
      <c r="J114" s="1"/>
    </row>
    <row r="115" spans="2:10" x14ac:dyDescent="0.2">
      <c r="B115" s="1" t="s">
        <v>158</v>
      </c>
      <c r="C115" s="32">
        <v>1996</v>
      </c>
      <c r="D115" s="1">
        <v>25000</v>
      </c>
      <c r="E115" s="1"/>
      <c r="F115" s="1">
        <v>225.3</v>
      </c>
      <c r="G115" s="1">
        <v>25000</v>
      </c>
      <c r="H115" s="5">
        <f t="shared" si="1"/>
        <v>0</v>
      </c>
      <c r="I115" s="1"/>
      <c r="J115" s="1"/>
    </row>
    <row r="116" spans="2:10" x14ac:dyDescent="0.2">
      <c r="B116" s="1" t="s">
        <v>158</v>
      </c>
      <c r="C116" s="32" t="s">
        <v>61</v>
      </c>
      <c r="D116" s="1">
        <v>4500</v>
      </c>
      <c r="E116" s="1"/>
      <c r="F116" s="1">
        <v>50.19</v>
      </c>
      <c r="G116" s="1">
        <v>4500</v>
      </c>
      <c r="H116" s="5">
        <f t="shared" si="1"/>
        <v>0</v>
      </c>
      <c r="I116" s="1"/>
      <c r="J116" s="1"/>
    </row>
    <row r="117" spans="2:10" x14ac:dyDescent="0.2">
      <c r="B117" s="1" t="s">
        <v>158</v>
      </c>
      <c r="C117" s="32">
        <v>1193</v>
      </c>
      <c r="D117" s="1">
        <v>15000</v>
      </c>
      <c r="E117" s="1"/>
      <c r="F117" s="1">
        <v>167.3</v>
      </c>
      <c r="G117" s="1">
        <v>15000</v>
      </c>
      <c r="H117" s="5">
        <f t="shared" si="1"/>
        <v>0</v>
      </c>
      <c r="I117" s="1"/>
      <c r="J117" s="1"/>
    </row>
    <row r="118" spans="2:10" x14ac:dyDescent="0.2">
      <c r="B118" s="1" t="s">
        <v>158</v>
      </c>
      <c r="C118" s="32">
        <v>5839</v>
      </c>
      <c r="D118" s="1">
        <v>22000</v>
      </c>
      <c r="E118" s="1"/>
      <c r="F118" s="1">
        <v>245.37</v>
      </c>
      <c r="G118" s="1">
        <v>22000</v>
      </c>
      <c r="H118" s="5">
        <f t="shared" si="1"/>
        <v>0</v>
      </c>
      <c r="I118" s="1"/>
      <c r="J118" s="1"/>
    </row>
    <row r="119" spans="2:10" x14ac:dyDescent="0.2">
      <c r="B119" s="1" t="s">
        <v>158</v>
      </c>
      <c r="C119" s="32">
        <v>1893</v>
      </c>
      <c r="D119" s="1">
        <v>13000</v>
      </c>
      <c r="E119" s="1"/>
      <c r="F119" s="1">
        <v>144.99</v>
      </c>
      <c r="G119" s="1">
        <v>13000</v>
      </c>
      <c r="H119" s="5">
        <f t="shared" si="1"/>
        <v>0</v>
      </c>
      <c r="I119" s="1"/>
      <c r="J119" s="1"/>
    </row>
    <row r="120" spans="2:10" x14ac:dyDescent="0.2">
      <c r="B120" s="1" t="s">
        <v>158</v>
      </c>
      <c r="C120" s="32">
        <v>1220</v>
      </c>
      <c r="D120" s="1">
        <v>13000</v>
      </c>
      <c r="E120" s="1"/>
      <c r="F120" s="1">
        <v>144.99</v>
      </c>
      <c r="G120" s="1">
        <v>13000</v>
      </c>
      <c r="H120" s="5">
        <f t="shared" si="1"/>
        <v>0</v>
      </c>
      <c r="I120" s="1"/>
      <c r="J120" s="1"/>
    </row>
    <row r="121" spans="2:10" x14ac:dyDescent="0.2">
      <c r="B121" s="1" t="s">
        <v>158</v>
      </c>
      <c r="C121" s="32">
        <v>386</v>
      </c>
      <c r="D121" s="1">
        <v>18000</v>
      </c>
      <c r="E121" s="1"/>
      <c r="F121" s="1">
        <v>200.76</v>
      </c>
      <c r="G121" s="1">
        <v>18000</v>
      </c>
      <c r="H121" s="5">
        <f t="shared" si="1"/>
        <v>0</v>
      </c>
      <c r="I121" s="1"/>
      <c r="J121" s="1"/>
    </row>
    <row r="122" spans="2:10" x14ac:dyDescent="0.2">
      <c r="B122" s="1" t="s">
        <v>158</v>
      </c>
      <c r="C122" s="32">
        <v>6711</v>
      </c>
      <c r="D122" s="1">
        <v>13000</v>
      </c>
      <c r="E122" s="1"/>
      <c r="F122" s="1">
        <v>144.99</v>
      </c>
      <c r="G122" s="1">
        <v>13000</v>
      </c>
      <c r="H122" s="5">
        <f t="shared" si="1"/>
        <v>0</v>
      </c>
      <c r="I122" s="1"/>
      <c r="J122" s="1"/>
    </row>
    <row r="123" spans="2:10" x14ac:dyDescent="0.2">
      <c r="B123" s="1" t="s">
        <v>158</v>
      </c>
      <c r="C123" s="32">
        <v>1290</v>
      </c>
      <c r="D123" s="1">
        <v>30000</v>
      </c>
      <c r="E123" s="1"/>
      <c r="F123" s="1">
        <v>289.98</v>
      </c>
      <c r="G123" s="1">
        <v>30000</v>
      </c>
      <c r="H123" s="5">
        <f t="shared" si="1"/>
        <v>0</v>
      </c>
      <c r="I123" s="1"/>
      <c r="J123" s="1"/>
    </row>
    <row r="124" spans="2:10" x14ac:dyDescent="0.2">
      <c r="B124" s="1" t="s">
        <v>158</v>
      </c>
      <c r="C124" s="32">
        <v>9539</v>
      </c>
      <c r="D124" s="1">
        <v>3000</v>
      </c>
      <c r="E124" s="1"/>
      <c r="F124" s="1">
        <v>33.46</v>
      </c>
      <c r="G124" s="1">
        <v>3000</v>
      </c>
      <c r="H124" s="5">
        <f t="shared" si="1"/>
        <v>0</v>
      </c>
      <c r="I124" s="1"/>
      <c r="J124" s="1"/>
    </row>
    <row r="125" spans="2:10" x14ac:dyDescent="0.2">
      <c r="B125" s="1" t="s">
        <v>158</v>
      </c>
      <c r="C125" s="32">
        <v>3150</v>
      </c>
      <c r="D125" s="1">
        <v>10000</v>
      </c>
      <c r="E125" s="1"/>
      <c r="F125" s="1">
        <v>111.53</v>
      </c>
      <c r="G125" s="1">
        <v>10000</v>
      </c>
      <c r="H125" s="5">
        <f t="shared" si="1"/>
        <v>0</v>
      </c>
      <c r="I125" s="1"/>
      <c r="J125" s="1"/>
    </row>
    <row r="126" spans="2:10" x14ac:dyDescent="0.2">
      <c r="B126" s="1" t="s">
        <v>158</v>
      </c>
      <c r="C126" s="32">
        <v>8443</v>
      </c>
      <c r="D126" s="1">
        <v>28000</v>
      </c>
      <c r="E126" s="1"/>
      <c r="F126" s="1">
        <v>312.29000000000002</v>
      </c>
      <c r="G126" s="1">
        <v>28000</v>
      </c>
      <c r="H126" s="5">
        <f t="shared" si="1"/>
        <v>0</v>
      </c>
      <c r="I126" s="1"/>
      <c r="J126" s="1"/>
    </row>
    <row r="127" spans="2:10" x14ac:dyDescent="0.2">
      <c r="B127" s="1" t="s">
        <v>158</v>
      </c>
      <c r="C127" s="32">
        <v>3446</v>
      </c>
      <c r="D127" s="1">
        <v>25000</v>
      </c>
      <c r="E127" s="1"/>
      <c r="F127" s="1">
        <v>245.37</v>
      </c>
      <c r="G127" s="1">
        <v>25000</v>
      </c>
      <c r="H127" s="5">
        <f t="shared" si="1"/>
        <v>0</v>
      </c>
      <c r="I127" s="1"/>
      <c r="J127" s="1"/>
    </row>
    <row r="128" spans="2:10" x14ac:dyDescent="0.2">
      <c r="B128" s="1" t="s">
        <v>158</v>
      </c>
      <c r="C128" s="32">
        <v>6021</v>
      </c>
      <c r="D128" s="1">
        <v>5000</v>
      </c>
      <c r="E128" s="1"/>
      <c r="F128" s="1">
        <v>55.37</v>
      </c>
      <c r="G128" s="1">
        <v>5000</v>
      </c>
      <c r="H128" s="5">
        <f t="shared" si="1"/>
        <v>0</v>
      </c>
      <c r="I128" s="1"/>
      <c r="J128" s="1"/>
    </row>
    <row r="129" spans="2:12" x14ac:dyDescent="0.2">
      <c r="B129" s="1" t="s">
        <v>158</v>
      </c>
      <c r="C129" s="32">
        <v>4693</v>
      </c>
      <c r="D129" s="1">
        <v>15000</v>
      </c>
      <c r="E129" s="1"/>
      <c r="F129" s="1">
        <v>167.3</v>
      </c>
      <c r="G129" s="1">
        <v>15000</v>
      </c>
      <c r="H129" s="5">
        <f t="shared" si="1"/>
        <v>0</v>
      </c>
      <c r="I129" s="1"/>
      <c r="J129" s="1"/>
    </row>
    <row r="130" spans="2:12" x14ac:dyDescent="0.2">
      <c r="B130" s="1" t="s">
        <v>158</v>
      </c>
      <c r="C130" s="32">
        <v>3850</v>
      </c>
      <c r="D130" s="1">
        <v>28000</v>
      </c>
      <c r="E130" s="1"/>
      <c r="F130" s="1">
        <v>278.83</v>
      </c>
      <c r="G130" s="1">
        <v>28000</v>
      </c>
      <c r="H130" s="5">
        <f t="shared" si="1"/>
        <v>0</v>
      </c>
      <c r="I130" s="1"/>
      <c r="J130" s="1"/>
    </row>
    <row r="131" spans="2:12" x14ac:dyDescent="0.2">
      <c r="B131" s="1" t="s">
        <v>158</v>
      </c>
      <c r="C131" s="32">
        <v>5988</v>
      </c>
      <c r="D131" s="1">
        <v>22000</v>
      </c>
      <c r="E131" s="1"/>
      <c r="F131" s="1">
        <v>227.59</v>
      </c>
      <c r="G131" s="1">
        <v>22000</v>
      </c>
      <c r="H131" s="5">
        <f t="shared" si="1"/>
        <v>0</v>
      </c>
      <c r="I131" s="1"/>
      <c r="J131" s="1"/>
    </row>
    <row r="132" spans="2:12" x14ac:dyDescent="0.2">
      <c r="B132" s="1" t="s">
        <v>158</v>
      </c>
      <c r="C132" s="32">
        <v>4603</v>
      </c>
      <c r="D132" s="1">
        <v>15000</v>
      </c>
      <c r="E132" s="1"/>
      <c r="F132" s="1">
        <v>167.3</v>
      </c>
      <c r="G132" s="1">
        <v>15000</v>
      </c>
      <c r="H132" s="5">
        <f t="shared" si="1"/>
        <v>0</v>
      </c>
      <c r="I132" s="1"/>
      <c r="J132" s="1"/>
    </row>
    <row r="133" spans="2:12" x14ac:dyDescent="0.2">
      <c r="B133" s="1" t="s">
        <v>160</v>
      </c>
      <c r="C133" s="32" t="s">
        <v>66</v>
      </c>
      <c r="D133" s="1">
        <v>100</v>
      </c>
      <c r="E133" s="1"/>
      <c r="F133" s="1"/>
      <c r="G133" s="1">
        <v>100</v>
      </c>
      <c r="H133" s="5">
        <f t="shared" si="1"/>
        <v>0</v>
      </c>
      <c r="I133" s="1"/>
      <c r="J133" s="1"/>
      <c r="L133">
        <f>100/96</f>
        <v>1.0416666666666667</v>
      </c>
    </row>
    <row r="134" spans="2:12" x14ac:dyDescent="0.2">
      <c r="B134" s="1" t="s">
        <v>160</v>
      </c>
      <c r="C134" s="32" t="s">
        <v>63</v>
      </c>
      <c r="D134" s="1">
        <v>3500</v>
      </c>
      <c r="E134" s="1"/>
      <c r="F134" s="1">
        <v>39.04</v>
      </c>
      <c r="G134" s="1">
        <v>3500</v>
      </c>
      <c r="H134" s="5">
        <f t="shared" si="1"/>
        <v>0</v>
      </c>
      <c r="I134" s="1"/>
      <c r="J134" s="1"/>
    </row>
    <row r="135" spans="2:12" x14ac:dyDescent="0.2">
      <c r="B135" s="1" t="s">
        <v>160</v>
      </c>
      <c r="C135" s="32">
        <v>1741</v>
      </c>
      <c r="D135" s="1">
        <v>20000</v>
      </c>
      <c r="E135" s="1"/>
      <c r="F135" s="1">
        <v>221.33</v>
      </c>
      <c r="G135" s="1">
        <v>20000</v>
      </c>
      <c r="H135" s="5">
        <f t="shared" si="1"/>
        <v>0</v>
      </c>
      <c r="I135" s="1"/>
      <c r="J135" s="1"/>
    </row>
    <row r="136" spans="2:12" x14ac:dyDescent="0.2">
      <c r="B136" s="1" t="s">
        <v>160</v>
      </c>
      <c r="C136" s="32">
        <v>4137</v>
      </c>
      <c r="D136" s="1">
        <v>20000</v>
      </c>
      <c r="E136" s="1"/>
      <c r="F136" s="1">
        <v>221.33</v>
      </c>
      <c r="G136" s="1">
        <v>20000</v>
      </c>
      <c r="H136" s="5">
        <f t="shared" ref="H136:H215" si="2">D136-G136</f>
        <v>0</v>
      </c>
      <c r="I136" s="1"/>
      <c r="J136" s="1"/>
    </row>
    <row r="137" spans="2:12" x14ac:dyDescent="0.2">
      <c r="B137" s="1" t="s">
        <v>160</v>
      </c>
      <c r="C137" s="32">
        <v>5952</v>
      </c>
      <c r="D137" s="1">
        <v>13000</v>
      </c>
      <c r="E137" s="1"/>
      <c r="F137" s="1">
        <v>144.94</v>
      </c>
      <c r="G137" s="1">
        <v>13000</v>
      </c>
      <c r="H137" s="5">
        <f t="shared" si="2"/>
        <v>0</v>
      </c>
      <c r="I137" s="1"/>
      <c r="J137" s="1"/>
    </row>
    <row r="138" spans="2:12" x14ac:dyDescent="0.2">
      <c r="B138" s="1" t="s">
        <v>160</v>
      </c>
      <c r="C138" s="32">
        <v>4791</v>
      </c>
      <c r="D138" s="1">
        <v>13000</v>
      </c>
      <c r="E138" s="1"/>
      <c r="F138" s="1">
        <v>144.94</v>
      </c>
      <c r="G138" s="1">
        <v>13000</v>
      </c>
      <c r="H138" s="5">
        <f t="shared" si="2"/>
        <v>0</v>
      </c>
      <c r="I138" s="1"/>
      <c r="J138" s="1"/>
    </row>
    <row r="139" spans="2:12" x14ac:dyDescent="0.2">
      <c r="B139" s="1" t="s">
        <v>160</v>
      </c>
      <c r="C139" s="32">
        <v>5280</v>
      </c>
      <c r="D139" s="1">
        <v>13000</v>
      </c>
      <c r="E139" s="1"/>
      <c r="F139" s="1">
        <v>137.74</v>
      </c>
      <c r="G139" s="1">
        <v>13000</v>
      </c>
      <c r="H139" s="5">
        <f t="shared" si="2"/>
        <v>0</v>
      </c>
      <c r="I139" s="1"/>
      <c r="J139" s="1"/>
    </row>
    <row r="140" spans="2:12" x14ac:dyDescent="0.2">
      <c r="B140" s="1" t="s">
        <v>160</v>
      </c>
      <c r="C140" s="32">
        <v>3450</v>
      </c>
      <c r="D140" s="1">
        <v>12500</v>
      </c>
      <c r="E140" s="1"/>
      <c r="F140" s="1">
        <v>132.41</v>
      </c>
      <c r="G140" s="1">
        <v>12500</v>
      </c>
      <c r="H140" s="5">
        <f t="shared" si="2"/>
        <v>0</v>
      </c>
      <c r="I140" s="1"/>
      <c r="J140" s="1"/>
    </row>
    <row r="141" spans="2:12" x14ac:dyDescent="0.2">
      <c r="B141" s="1" t="s">
        <v>160</v>
      </c>
      <c r="C141" s="32">
        <v>5281</v>
      </c>
      <c r="D141" s="1">
        <v>13000</v>
      </c>
      <c r="E141" s="1"/>
      <c r="F141" s="1">
        <v>144.94</v>
      </c>
      <c r="G141" s="1">
        <v>13000</v>
      </c>
      <c r="H141" s="5">
        <f t="shared" si="2"/>
        <v>0</v>
      </c>
      <c r="I141" s="1"/>
      <c r="J141" s="1"/>
    </row>
    <row r="142" spans="2:12" x14ac:dyDescent="0.2">
      <c r="B142" s="1" t="s">
        <v>160</v>
      </c>
      <c r="C142" s="32">
        <v>2415</v>
      </c>
      <c r="D142" s="1">
        <v>12500</v>
      </c>
      <c r="E142" s="1"/>
      <c r="F142" s="1">
        <v>132.41</v>
      </c>
      <c r="G142" s="1">
        <v>12500</v>
      </c>
      <c r="H142" s="5">
        <f t="shared" si="2"/>
        <v>0</v>
      </c>
      <c r="I142" s="1"/>
      <c r="J142" s="1"/>
    </row>
    <row r="143" spans="2:12" x14ac:dyDescent="0.2">
      <c r="B143" s="1" t="s">
        <v>160</v>
      </c>
      <c r="C143" s="32">
        <v>6939</v>
      </c>
      <c r="D143" s="1">
        <v>10000</v>
      </c>
      <c r="E143" s="1"/>
      <c r="F143" s="1">
        <v>111.59</v>
      </c>
      <c r="G143" s="1">
        <v>10000</v>
      </c>
      <c r="H143" s="5">
        <f t="shared" si="2"/>
        <v>0</v>
      </c>
      <c r="I143" s="1"/>
      <c r="J143" s="1"/>
    </row>
    <row r="144" spans="2:12" x14ac:dyDescent="0.2">
      <c r="B144" s="1" t="s">
        <v>160</v>
      </c>
      <c r="C144" s="32">
        <v>2229</v>
      </c>
      <c r="D144" s="1">
        <v>13000</v>
      </c>
      <c r="E144" s="1"/>
      <c r="F144" s="1">
        <v>144.99</v>
      </c>
      <c r="G144" s="1">
        <v>13000</v>
      </c>
      <c r="H144" s="5">
        <f t="shared" si="2"/>
        <v>0</v>
      </c>
      <c r="I144" s="1"/>
      <c r="J144" s="1"/>
    </row>
    <row r="145" spans="2:10" x14ac:dyDescent="0.2">
      <c r="B145" s="1" t="s">
        <v>160</v>
      </c>
      <c r="C145" s="32">
        <v>9346</v>
      </c>
      <c r="D145" s="1">
        <v>18000</v>
      </c>
      <c r="E145" s="1"/>
      <c r="F145" s="1">
        <v>200.76</v>
      </c>
      <c r="G145" s="1">
        <v>18000</v>
      </c>
      <c r="H145" s="5">
        <f t="shared" si="2"/>
        <v>0</v>
      </c>
      <c r="I145" s="1"/>
      <c r="J145" s="1"/>
    </row>
    <row r="146" spans="2:10" x14ac:dyDescent="0.2">
      <c r="B146" s="1" t="s">
        <v>160</v>
      </c>
      <c r="C146" s="32">
        <v>2973</v>
      </c>
      <c r="D146" s="1">
        <v>15000</v>
      </c>
      <c r="E146" s="1"/>
      <c r="F146" s="1">
        <v>167.3</v>
      </c>
      <c r="G146" s="1">
        <v>15000</v>
      </c>
      <c r="H146" s="5">
        <f t="shared" si="2"/>
        <v>0</v>
      </c>
      <c r="I146" s="1"/>
      <c r="J146" s="1"/>
    </row>
    <row r="147" spans="2:10" x14ac:dyDescent="0.2">
      <c r="B147" s="1" t="s">
        <v>160</v>
      </c>
      <c r="C147" s="32">
        <v>8682</v>
      </c>
      <c r="D147" s="1">
        <v>17000</v>
      </c>
      <c r="E147" s="1"/>
      <c r="F147" s="1">
        <v>189.6</v>
      </c>
      <c r="G147" s="1">
        <v>17000</v>
      </c>
      <c r="H147" s="5">
        <f t="shared" si="2"/>
        <v>0</v>
      </c>
      <c r="I147" s="1"/>
      <c r="J147" s="1"/>
    </row>
    <row r="148" spans="2:10" x14ac:dyDescent="0.2">
      <c r="B148" s="1" t="s">
        <v>160</v>
      </c>
      <c r="C148" s="32">
        <v>2577</v>
      </c>
      <c r="D148" s="1">
        <v>23000</v>
      </c>
      <c r="E148" s="1"/>
      <c r="F148" s="1">
        <v>256.22000000000003</v>
      </c>
      <c r="G148" s="1">
        <v>23000</v>
      </c>
      <c r="H148" s="5">
        <f t="shared" si="2"/>
        <v>0</v>
      </c>
      <c r="I148" s="1"/>
      <c r="J148" s="1"/>
    </row>
    <row r="149" spans="2:10" x14ac:dyDescent="0.2">
      <c r="B149" s="1" t="s">
        <v>160</v>
      </c>
      <c r="C149" s="32" t="s">
        <v>61</v>
      </c>
      <c r="D149" s="1">
        <v>5000</v>
      </c>
      <c r="E149" s="1"/>
      <c r="F149" s="1">
        <v>55.77</v>
      </c>
      <c r="G149" s="1">
        <v>5000</v>
      </c>
      <c r="H149" s="5">
        <f t="shared" si="2"/>
        <v>0</v>
      </c>
      <c r="I149" s="1"/>
      <c r="J149" s="1"/>
    </row>
    <row r="150" spans="2:10" x14ac:dyDescent="0.2">
      <c r="B150" s="1" t="s">
        <v>160</v>
      </c>
      <c r="C150" s="32">
        <v>2804</v>
      </c>
      <c r="D150" s="1">
        <v>16000</v>
      </c>
      <c r="E150" s="1"/>
      <c r="F150" s="1">
        <v>178.45</v>
      </c>
      <c r="G150" s="1">
        <v>16000</v>
      </c>
      <c r="H150" s="5">
        <f t="shared" si="2"/>
        <v>0</v>
      </c>
      <c r="I150" s="1"/>
      <c r="J150" s="1"/>
    </row>
    <row r="151" spans="2:10" x14ac:dyDescent="0.2">
      <c r="B151" s="1" t="s">
        <v>160</v>
      </c>
      <c r="C151" s="32">
        <v>3222</v>
      </c>
      <c r="D151" s="1">
        <v>32000</v>
      </c>
      <c r="E151" s="1"/>
      <c r="F151" s="1">
        <v>356.4</v>
      </c>
      <c r="G151" s="1">
        <v>32000</v>
      </c>
      <c r="H151" s="5">
        <f t="shared" si="2"/>
        <v>0</v>
      </c>
      <c r="I151" s="1"/>
      <c r="J151" s="1"/>
    </row>
    <row r="152" spans="2:10" x14ac:dyDescent="0.2">
      <c r="B152" s="1" t="s">
        <v>160</v>
      </c>
      <c r="C152" s="32">
        <v>3765</v>
      </c>
      <c r="D152" s="1">
        <v>15000</v>
      </c>
      <c r="E152" s="1"/>
      <c r="F152" s="1">
        <v>167.3</v>
      </c>
      <c r="G152" s="1">
        <v>15000</v>
      </c>
      <c r="H152" s="5">
        <f t="shared" si="2"/>
        <v>0</v>
      </c>
      <c r="I152" s="1"/>
      <c r="J152" s="1"/>
    </row>
    <row r="153" spans="2:10" x14ac:dyDescent="0.2">
      <c r="B153" s="1" t="s">
        <v>160</v>
      </c>
      <c r="C153" s="32">
        <v>4279</v>
      </c>
      <c r="D153" s="1">
        <v>22000</v>
      </c>
      <c r="E153" s="1"/>
      <c r="F153" s="1">
        <v>245.37</v>
      </c>
      <c r="G153" s="1">
        <v>22000</v>
      </c>
      <c r="H153" s="5">
        <f t="shared" si="2"/>
        <v>0</v>
      </c>
      <c r="I153" s="1"/>
      <c r="J153" s="1"/>
    </row>
    <row r="154" spans="2:10" x14ac:dyDescent="0.2">
      <c r="B154" s="1" t="s">
        <v>160</v>
      </c>
      <c r="C154" s="32">
        <v>8751</v>
      </c>
      <c r="D154" s="1">
        <v>25000</v>
      </c>
      <c r="E154" s="1"/>
      <c r="F154" s="1">
        <v>278.83</v>
      </c>
      <c r="G154" s="1">
        <v>25000</v>
      </c>
      <c r="H154" s="5">
        <f t="shared" si="2"/>
        <v>0</v>
      </c>
      <c r="I154" s="1"/>
      <c r="J154" s="1"/>
    </row>
    <row r="155" spans="2:10" x14ac:dyDescent="0.2">
      <c r="B155" s="1" t="s">
        <v>160</v>
      </c>
      <c r="C155" s="32">
        <v>2328</v>
      </c>
      <c r="D155" s="1">
        <v>15000</v>
      </c>
      <c r="E155" s="1"/>
      <c r="F155" s="1">
        <v>167.3</v>
      </c>
      <c r="G155" s="1">
        <v>15000</v>
      </c>
      <c r="H155" s="5">
        <f t="shared" si="2"/>
        <v>0</v>
      </c>
      <c r="I155" s="1"/>
      <c r="J155" s="1"/>
    </row>
    <row r="156" spans="2:10" x14ac:dyDescent="0.2">
      <c r="B156" s="1" t="s">
        <v>160</v>
      </c>
      <c r="C156" s="32">
        <v>844</v>
      </c>
      <c r="D156" s="1">
        <v>15000</v>
      </c>
      <c r="E156" s="1"/>
      <c r="F156" s="1">
        <v>329.02</v>
      </c>
      <c r="G156" s="1">
        <v>15000</v>
      </c>
      <c r="H156" s="5">
        <f t="shared" si="2"/>
        <v>0</v>
      </c>
      <c r="I156" s="1"/>
      <c r="J156" s="1"/>
    </row>
    <row r="157" spans="2:10" x14ac:dyDescent="0.2">
      <c r="B157" s="1" t="s">
        <v>161</v>
      </c>
      <c r="C157" s="32">
        <v>4135</v>
      </c>
      <c r="D157" s="1">
        <v>24000</v>
      </c>
      <c r="E157" s="1"/>
      <c r="F157" s="1">
        <v>267.67</v>
      </c>
      <c r="G157" s="1">
        <v>24000</v>
      </c>
      <c r="H157" s="5">
        <f t="shared" si="2"/>
        <v>0</v>
      </c>
      <c r="I157" s="1"/>
      <c r="J157" s="1"/>
    </row>
    <row r="158" spans="2:10" x14ac:dyDescent="0.2">
      <c r="B158" s="1" t="s">
        <v>161</v>
      </c>
      <c r="C158" s="32">
        <v>9337</v>
      </c>
      <c r="D158" s="1">
        <v>27000</v>
      </c>
      <c r="E158" s="1"/>
      <c r="F158" s="1">
        <v>278.83</v>
      </c>
      <c r="G158" s="1">
        <v>27000</v>
      </c>
      <c r="H158" s="5">
        <f t="shared" si="2"/>
        <v>0</v>
      </c>
      <c r="I158" s="1"/>
      <c r="J158" s="1"/>
    </row>
    <row r="159" spans="2:10" x14ac:dyDescent="0.2">
      <c r="B159" s="1" t="s">
        <v>161</v>
      </c>
      <c r="C159" s="32">
        <v>7864</v>
      </c>
      <c r="D159" s="1">
        <v>10000</v>
      </c>
      <c r="E159" s="1"/>
      <c r="F159" s="1">
        <v>111.53</v>
      </c>
      <c r="G159" s="1">
        <v>10000</v>
      </c>
      <c r="H159" s="5">
        <f t="shared" si="2"/>
        <v>0</v>
      </c>
      <c r="I159" s="1"/>
      <c r="J159" s="1"/>
    </row>
    <row r="160" spans="2:10" x14ac:dyDescent="0.2">
      <c r="B160" s="1" t="s">
        <v>161</v>
      </c>
      <c r="C160" s="32">
        <v>1220</v>
      </c>
      <c r="D160" s="1">
        <v>12500</v>
      </c>
      <c r="E160" s="1"/>
      <c r="F160" s="1">
        <v>139.41999999999999</v>
      </c>
      <c r="G160" s="1">
        <v>12500</v>
      </c>
      <c r="H160" s="5">
        <f t="shared" si="2"/>
        <v>0</v>
      </c>
      <c r="I160" s="1"/>
      <c r="J160" s="1"/>
    </row>
    <row r="161" spans="2:10" x14ac:dyDescent="0.2">
      <c r="B161" s="1" t="s">
        <v>161</v>
      </c>
      <c r="C161" s="32">
        <v>2057</v>
      </c>
      <c r="D161" s="1">
        <v>25000</v>
      </c>
      <c r="E161" s="1"/>
      <c r="F161" s="1">
        <v>278.83</v>
      </c>
      <c r="G161" s="1">
        <v>25000</v>
      </c>
      <c r="H161" s="5">
        <f t="shared" si="2"/>
        <v>0</v>
      </c>
      <c r="I161" s="1"/>
      <c r="J161" s="1"/>
    </row>
    <row r="162" spans="2:10" x14ac:dyDescent="0.2">
      <c r="B162" s="1" t="s">
        <v>161</v>
      </c>
      <c r="C162" s="32">
        <v>1352</v>
      </c>
      <c r="D162" s="1">
        <v>13000</v>
      </c>
      <c r="E162" s="1"/>
      <c r="F162" s="1">
        <v>144.94</v>
      </c>
      <c r="G162" s="1">
        <v>13000</v>
      </c>
      <c r="H162" s="5">
        <f t="shared" si="2"/>
        <v>0</v>
      </c>
      <c r="I162" s="1"/>
      <c r="J162" s="1"/>
    </row>
    <row r="163" spans="2:10" x14ac:dyDescent="0.2">
      <c r="B163" s="1" t="s">
        <v>161</v>
      </c>
      <c r="C163" s="32" t="s">
        <v>61</v>
      </c>
      <c r="D163" s="1">
        <v>4500</v>
      </c>
      <c r="E163" s="1"/>
      <c r="F163" s="1">
        <v>50.14</v>
      </c>
      <c r="G163" s="1">
        <v>4500</v>
      </c>
      <c r="H163" s="5">
        <f t="shared" si="2"/>
        <v>0</v>
      </c>
      <c r="I163" s="1"/>
      <c r="J163" s="1"/>
    </row>
    <row r="164" spans="2:10" x14ac:dyDescent="0.2">
      <c r="B164" s="1" t="s">
        <v>161</v>
      </c>
      <c r="C164" s="32">
        <v>9752</v>
      </c>
      <c r="D164" s="1">
        <v>25000</v>
      </c>
      <c r="E164" s="1"/>
      <c r="F164" s="1">
        <v>278.83</v>
      </c>
      <c r="G164" s="1">
        <v>25000</v>
      </c>
      <c r="H164" s="5">
        <f t="shared" si="2"/>
        <v>0</v>
      </c>
      <c r="I164" s="1"/>
      <c r="J164" s="1"/>
    </row>
    <row r="165" spans="2:10" x14ac:dyDescent="0.2">
      <c r="B165" s="1" t="s">
        <v>161</v>
      </c>
      <c r="C165" s="32">
        <v>2379</v>
      </c>
      <c r="D165" s="1">
        <v>25000</v>
      </c>
      <c r="E165" s="1"/>
      <c r="F165" s="1">
        <v>278.83</v>
      </c>
      <c r="G165" s="1">
        <v>25000</v>
      </c>
      <c r="H165" s="5">
        <f t="shared" si="2"/>
        <v>0</v>
      </c>
      <c r="I165" s="1"/>
      <c r="J165" s="1"/>
    </row>
    <row r="166" spans="2:10" x14ac:dyDescent="0.2">
      <c r="B166" s="1" t="s">
        <v>161</v>
      </c>
      <c r="C166" s="32">
        <v>5575</v>
      </c>
      <c r="D166" s="1">
        <v>13000</v>
      </c>
      <c r="E166" s="1"/>
      <c r="F166" s="1">
        <v>144.94</v>
      </c>
      <c r="G166" s="1">
        <v>13000</v>
      </c>
      <c r="H166" s="5">
        <f t="shared" si="2"/>
        <v>0</v>
      </c>
      <c r="I166" s="1"/>
      <c r="J166" s="1"/>
    </row>
    <row r="167" spans="2:10" x14ac:dyDescent="0.2">
      <c r="B167" s="1" t="s">
        <v>161</v>
      </c>
      <c r="C167" s="32" t="s">
        <v>63</v>
      </c>
      <c r="D167" s="1">
        <v>3500</v>
      </c>
      <c r="E167" s="1"/>
      <c r="F167" s="1">
        <v>39.15</v>
      </c>
      <c r="G167" s="1">
        <v>3500</v>
      </c>
      <c r="H167" s="5">
        <f t="shared" si="2"/>
        <v>0</v>
      </c>
      <c r="I167" s="1"/>
      <c r="J167" s="1"/>
    </row>
    <row r="168" spans="2:10" x14ac:dyDescent="0.2">
      <c r="B168" s="1" t="s">
        <v>161</v>
      </c>
      <c r="C168" s="32">
        <v>3107</v>
      </c>
      <c r="D168" s="1">
        <v>10000</v>
      </c>
      <c r="E168" s="1"/>
      <c r="F168" s="1">
        <v>111.53</v>
      </c>
      <c r="G168" s="1">
        <v>10000</v>
      </c>
      <c r="H168" s="5">
        <f t="shared" si="2"/>
        <v>0</v>
      </c>
      <c r="I168" s="1"/>
      <c r="J168" s="1"/>
    </row>
    <row r="169" spans="2:10" x14ac:dyDescent="0.2">
      <c r="B169" s="1" t="s">
        <v>161</v>
      </c>
      <c r="C169" s="32" t="s">
        <v>66</v>
      </c>
      <c r="D169" s="1">
        <v>200</v>
      </c>
      <c r="E169" s="1"/>
      <c r="F169" s="1">
        <v>2.0499999999999998</v>
      </c>
      <c r="G169" s="1">
        <v>200</v>
      </c>
      <c r="H169" s="5">
        <f t="shared" si="2"/>
        <v>0</v>
      </c>
      <c r="I169" s="1"/>
      <c r="J169" s="1"/>
    </row>
    <row r="170" spans="2:10" x14ac:dyDescent="0.2">
      <c r="B170" s="1" t="s">
        <v>161</v>
      </c>
      <c r="C170" s="32">
        <v>5488</v>
      </c>
      <c r="D170" s="1">
        <v>33000</v>
      </c>
      <c r="E170" s="1"/>
      <c r="F170" s="1">
        <v>291.45</v>
      </c>
      <c r="G170" s="1">
        <v>33000</v>
      </c>
      <c r="H170" s="5">
        <f t="shared" si="2"/>
        <v>0</v>
      </c>
      <c r="I170" s="1"/>
      <c r="J170" s="1"/>
    </row>
    <row r="171" spans="2:10" x14ac:dyDescent="0.2">
      <c r="B171" s="1" t="s">
        <v>161</v>
      </c>
      <c r="C171" s="32">
        <v>5656</v>
      </c>
      <c r="D171" s="1">
        <v>19000</v>
      </c>
      <c r="E171" s="1"/>
      <c r="F171" s="1">
        <v>211.91</v>
      </c>
      <c r="G171" s="1">
        <v>19000</v>
      </c>
      <c r="H171" s="5">
        <f t="shared" si="2"/>
        <v>0</v>
      </c>
      <c r="I171" s="1"/>
      <c r="J171" s="1"/>
    </row>
    <row r="172" spans="2:10" x14ac:dyDescent="0.2">
      <c r="B172" s="1" t="s">
        <v>161</v>
      </c>
      <c r="C172" s="32">
        <v>3504</v>
      </c>
      <c r="D172" s="1">
        <v>25000</v>
      </c>
      <c r="E172" s="1"/>
      <c r="F172" s="1">
        <v>278.83</v>
      </c>
      <c r="G172" s="1">
        <v>25000</v>
      </c>
      <c r="H172" s="5">
        <f t="shared" si="2"/>
        <v>0</v>
      </c>
      <c r="I172" s="1"/>
      <c r="J172" s="1"/>
    </row>
    <row r="173" spans="2:10" x14ac:dyDescent="0.2">
      <c r="B173" s="1" t="s">
        <v>161</v>
      </c>
      <c r="C173" s="32">
        <v>5172</v>
      </c>
      <c r="D173" s="1">
        <v>20000</v>
      </c>
      <c r="E173" s="1"/>
      <c r="F173" s="1">
        <v>223.06</v>
      </c>
      <c r="G173" s="1">
        <v>20000</v>
      </c>
      <c r="H173" s="5">
        <f t="shared" si="2"/>
        <v>0</v>
      </c>
      <c r="I173" s="1"/>
      <c r="J173" s="1"/>
    </row>
    <row r="174" spans="2:10" x14ac:dyDescent="0.2">
      <c r="B174" s="1" t="s">
        <v>161</v>
      </c>
      <c r="C174" s="32">
        <v>1901</v>
      </c>
      <c r="D174" s="1">
        <v>23000</v>
      </c>
      <c r="E174" s="1"/>
      <c r="F174" s="1">
        <v>256.52</v>
      </c>
      <c r="G174" s="1">
        <v>23000</v>
      </c>
      <c r="H174" s="5">
        <f t="shared" si="2"/>
        <v>0</v>
      </c>
      <c r="I174" s="1"/>
      <c r="J174" s="1"/>
    </row>
    <row r="175" spans="2:10" x14ac:dyDescent="0.2">
      <c r="B175" s="1" t="s">
        <v>161</v>
      </c>
      <c r="C175" s="32">
        <v>5981</v>
      </c>
      <c r="D175" s="1">
        <v>20000</v>
      </c>
      <c r="E175" s="1"/>
      <c r="F175" s="1">
        <v>223.06</v>
      </c>
      <c r="G175" s="1">
        <v>20000</v>
      </c>
      <c r="H175" s="5">
        <f t="shared" si="2"/>
        <v>0</v>
      </c>
      <c r="I175" s="1"/>
      <c r="J175" s="1"/>
    </row>
    <row r="176" spans="2:10" x14ac:dyDescent="0.2">
      <c r="B176" s="1" t="s">
        <v>161</v>
      </c>
      <c r="C176" s="32">
        <v>5046</v>
      </c>
      <c r="D176" s="1">
        <v>25000</v>
      </c>
      <c r="E176" s="1"/>
      <c r="F176" s="1">
        <v>278.83</v>
      </c>
      <c r="G176" s="1">
        <v>25000</v>
      </c>
      <c r="H176" s="5">
        <f t="shared" si="2"/>
        <v>0</v>
      </c>
      <c r="I176" s="1"/>
      <c r="J176" s="1"/>
    </row>
    <row r="177" spans="2:10" x14ac:dyDescent="0.2">
      <c r="B177" s="1" t="s">
        <v>161</v>
      </c>
      <c r="C177" s="32">
        <v>3963</v>
      </c>
      <c r="D177" s="1">
        <v>20000</v>
      </c>
      <c r="E177" s="1"/>
      <c r="F177" s="1">
        <v>223.06</v>
      </c>
      <c r="G177" s="1">
        <v>20000</v>
      </c>
      <c r="H177" s="5">
        <f t="shared" si="2"/>
        <v>0</v>
      </c>
      <c r="I177" s="1"/>
      <c r="J177" s="1"/>
    </row>
    <row r="178" spans="2:10" x14ac:dyDescent="0.2">
      <c r="B178" s="1" t="s">
        <v>161</v>
      </c>
      <c r="C178" s="32">
        <v>2121</v>
      </c>
      <c r="D178" s="1">
        <v>15000</v>
      </c>
      <c r="E178" s="1"/>
      <c r="F178" s="1">
        <v>161.72</v>
      </c>
      <c r="G178" s="1">
        <v>15000</v>
      </c>
      <c r="H178" s="5">
        <f t="shared" si="2"/>
        <v>0</v>
      </c>
      <c r="I178" s="1"/>
      <c r="J178" s="1"/>
    </row>
    <row r="179" spans="2:10" x14ac:dyDescent="0.2">
      <c r="B179" s="1" t="s">
        <v>162</v>
      </c>
      <c r="C179" s="32">
        <v>8975</v>
      </c>
      <c r="D179" s="1">
        <v>23000</v>
      </c>
      <c r="E179" s="1"/>
      <c r="F179" s="1">
        <v>256.52</v>
      </c>
      <c r="G179" s="1">
        <v>23000</v>
      </c>
      <c r="H179" s="5">
        <f t="shared" si="2"/>
        <v>0</v>
      </c>
      <c r="I179" s="1"/>
      <c r="J179" s="1"/>
    </row>
    <row r="180" spans="2:10" x14ac:dyDescent="0.2">
      <c r="B180" s="1" t="s">
        <v>162</v>
      </c>
      <c r="C180" s="32">
        <v>35</v>
      </c>
      <c r="D180" s="1">
        <v>15000</v>
      </c>
      <c r="E180" s="1"/>
      <c r="F180" s="1">
        <v>167.3</v>
      </c>
      <c r="G180" s="1">
        <v>15000</v>
      </c>
      <c r="H180" s="5">
        <f t="shared" si="2"/>
        <v>0</v>
      </c>
      <c r="I180" s="1"/>
      <c r="J180" s="1"/>
    </row>
    <row r="181" spans="2:10" x14ac:dyDescent="0.2">
      <c r="B181" s="1" t="s">
        <v>162</v>
      </c>
      <c r="C181" s="32">
        <v>926</v>
      </c>
      <c r="D181" s="1">
        <v>32000</v>
      </c>
      <c r="E181" s="1"/>
      <c r="F181" s="1">
        <v>354.68</v>
      </c>
      <c r="G181" s="1">
        <v>32000</v>
      </c>
      <c r="H181" s="5">
        <f t="shared" si="2"/>
        <v>0</v>
      </c>
      <c r="I181" s="1"/>
      <c r="J181" s="1"/>
    </row>
    <row r="182" spans="2:10" x14ac:dyDescent="0.2">
      <c r="B182" s="1" t="s">
        <v>162</v>
      </c>
      <c r="C182" s="32">
        <v>1884</v>
      </c>
      <c r="D182" s="1">
        <v>19000</v>
      </c>
      <c r="E182" s="1"/>
      <c r="F182" s="1">
        <v>211.91</v>
      </c>
      <c r="G182" s="1">
        <v>19000</v>
      </c>
      <c r="H182" s="5">
        <f t="shared" si="2"/>
        <v>0</v>
      </c>
      <c r="I182" s="1"/>
      <c r="J182" s="1"/>
    </row>
    <row r="183" spans="2:10" x14ac:dyDescent="0.2">
      <c r="B183" s="1" t="s">
        <v>162</v>
      </c>
      <c r="C183" s="32">
        <v>6021</v>
      </c>
      <c r="D183" s="1">
        <v>13000</v>
      </c>
      <c r="E183" s="1"/>
      <c r="F183" s="1">
        <v>142.99</v>
      </c>
      <c r="G183" s="1">
        <v>13000</v>
      </c>
      <c r="H183" s="5">
        <f t="shared" si="2"/>
        <v>0</v>
      </c>
      <c r="I183" s="1"/>
      <c r="J183" s="1"/>
    </row>
    <row r="184" spans="2:10" x14ac:dyDescent="0.2">
      <c r="B184" s="1" t="s">
        <v>162</v>
      </c>
      <c r="C184" s="32">
        <v>6768</v>
      </c>
      <c r="D184" s="1">
        <v>18000</v>
      </c>
      <c r="E184" s="1"/>
      <c r="F184" s="1">
        <v>200.76</v>
      </c>
      <c r="G184" s="1">
        <v>18000</v>
      </c>
      <c r="H184" s="5">
        <f t="shared" si="2"/>
        <v>0</v>
      </c>
      <c r="I184" s="1"/>
      <c r="J184" s="1"/>
    </row>
    <row r="185" spans="2:10" x14ac:dyDescent="0.2">
      <c r="B185" s="1" t="s">
        <v>162</v>
      </c>
      <c r="C185" s="32">
        <v>9127</v>
      </c>
      <c r="D185" s="1">
        <v>10100</v>
      </c>
      <c r="E185" s="1"/>
      <c r="F185" s="1">
        <v>112.65</v>
      </c>
      <c r="G185" s="1">
        <v>10100</v>
      </c>
      <c r="H185" s="5">
        <f t="shared" si="2"/>
        <v>0</v>
      </c>
      <c r="I185" s="1"/>
      <c r="J185" s="1"/>
    </row>
    <row r="186" spans="2:10" x14ac:dyDescent="0.2">
      <c r="B186" s="1" t="s">
        <v>162</v>
      </c>
      <c r="C186" s="32">
        <v>2122</v>
      </c>
      <c r="D186" s="1">
        <v>30000</v>
      </c>
      <c r="E186" s="1"/>
      <c r="F186" s="1">
        <v>325.68</v>
      </c>
      <c r="G186" s="1">
        <v>30000</v>
      </c>
      <c r="H186" s="5">
        <f t="shared" si="2"/>
        <v>0</v>
      </c>
      <c r="I186" s="1"/>
      <c r="J186" s="1"/>
    </row>
    <row r="187" spans="2:10" x14ac:dyDescent="0.2">
      <c r="B187" s="1" t="s">
        <v>162</v>
      </c>
      <c r="C187" s="32">
        <v>5477</v>
      </c>
      <c r="D187" s="1">
        <v>10000</v>
      </c>
      <c r="E187" s="1"/>
      <c r="F187" s="1">
        <v>111.53</v>
      </c>
      <c r="G187" s="1">
        <v>10000</v>
      </c>
      <c r="H187" s="5">
        <f t="shared" si="2"/>
        <v>0</v>
      </c>
      <c r="I187" s="1"/>
      <c r="J187" s="1"/>
    </row>
    <row r="188" spans="2:10" x14ac:dyDescent="0.2">
      <c r="B188" s="1" t="s">
        <v>162</v>
      </c>
      <c r="C188" s="32">
        <v>5044</v>
      </c>
      <c r="D188" s="1">
        <v>25000</v>
      </c>
      <c r="E188" s="1"/>
      <c r="F188" s="1">
        <v>295.55</v>
      </c>
      <c r="G188" s="1">
        <v>25000</v>
      </c>
      <c r="H188" s="5">
        <f t="shared" si="2"/>
        <v>0</v>
      </c>
      <c r="I188" s="1"/>
      <c r="J188" s="1"/>
    </row>
    <row r="189" spans="2:10" x14ac:dyDescent="0.2">
      <c r="B189" s="1" t="s">
        <v>162</v>
      </c>
      <c r="C189" s="32" t="s">
        <v>63</v>
      </c>
      <c r="D189" s="1">
        <v>3500</v>
      </c>
      <c r="E189" s="1"/>
      <c r="F189" s="1">
        <v>39.04</v>
      </c>
      <c r="G189" s="1">
        <v>3500</v>
      </c>
      <c r="H189" s="5">
        <f t="shared" si="2"/>
        <v>0</v>
      </c>
      <c r="I189" s="1"/>
      <c r="J189" s="1"/>
    </row>
    <row r="190" spans="2:10" x14ac:dyDescent="0.2">
      <c r="B190" s="1" t="s">
        <v>162</v>
      </c>
      <c r="C190" s="32" t="s">
        <v>66</v>
      </c>
      <c r="D190" s="1">
        <v>100</v>
      </c>
      <c r="E190" s="1"/>
      <c r="F190" s="1"/>
      <c r="G190" s="1">
        <v>100</v>
      </c>
      <c r="H190" s="5">
        <f t="shared" si="2"/>
        <v>0</v>
      </c>
      <c r="I190" s="1"/>
      <c r="J190" s="1"/>
    </row>
    <row r="191" spans="2:10" x14ac:dyDescent="0.2">
      <c r="B191" s="1" t="s">
        <v>162</v>
      </c>
      <c r="C191" s="32">
        <v>1121</v>
      </c>
      <c r="D191" s="1">
        <v>30000</v>
      </c>
      <c r="E191" s="1"/>
      <c r="F191" s="1">
        <v>334.6</v>
      </c>
      <c r="G191" s="1">
        <v>30000</v>
      </c>
      <c r="H191" s="5">
        <f t="shared" si="2"/>
        <v>0</v>
      </c>
      <c r="I191" s="1"/>
      <c r="J191" s="1"/>
    </row>
    <row r="192" spans="2:10" x14ac:dyDescent="0.2">
      <c r="B192" s="1" t="s">
        <v>163</v>
      </c>
      <c r="C192" s="85">
        <v>6969</v>
      </c>
      <c r="D192" s="1">
        <v>5000</v>
      </c>
      <c r="E192" s="1"/>
      <c r="F192" s="1">
        <v>55.77</v>
      </c>
      <c r="G192" s="1">
        <v>5000</v>
      </c>
      <c r="H192" s="5">
        <f t="shared" si="2"/>
        <v>0</v>
      </c>
      <c r="I192" s="1"/>
      <c r="J192" s="1"/>
    </row>
    <row r="193" spans="2:13" x14ac:dyDescent="0.2">
      <c r="B193" s="1" t="s">
        <v>163</v>
      </c>
      <c r="C193" s="85">
        <v>1552</v>
      </c>
      <c r="D193" s="1">
        <v>15000</v>
      </c>
      <c r="E193" s="1"/>
      <c r="F193" s="1">
        <v>167.3</v>
      </c>
      <c r="G193" s="1">
        <v>15000</v>
      </c>
      <c r="H193" s="5">
        <f t="shared" si="2"/>
        <v>0</v>
      </c>
      <c r="I193" s="1"/>
      <c r="J193" s="1"/>
    </row>
    <row r="194" spans="2:13" x14ac:dyDescent="0.2">
      <c r="B194" s="1" t="s">
        <v>163</v>
      </c>
      <c r="C194" s="85">
        <v>8771</v>
      </c>
      <c r="D194" s="1">
        <v>15000</v>
      </c>
      <c r="E194" s="1"/>
      <c r="F194" s="1">
        <v>167.3</v>
      </c>
      <c r="G194" s="1">
        <v>15000</v>
      </c>
      <c r="H194" s="5">
        <f t="shared" si="2"/>
        <v>0</v>
      </c>
      <c r="I194" s="1"/>
      <c r="J194" s="1"/>
    </row>
    <row r="195" spans="2:13" x14ac:dyDescent="0.2">
      <c r="B195" s="1" t="s">
        <v>163</v>
      </c>
      <c r="C195" s="85">
        <v>889</v>
      </c>
      <c r="D195" s="1">
        <v>13000</v>
      </c>
      <c r="E195" s="1"/>
      <c r="F195" s="1">
        <v>144.99</v>
      </c>
      <c r="G195" s="1">
        <v>13000</v>
      </c>
      <c r="H195" s="5">
        <f t="shared" si="2"/>
        <v>0</v>
      </c>
      <c r="I195" s="1"/>
      <c r="J195" s="1"/>
      <c r="M195" t="s">
        <v>166</v>
      </c>
    </row>
    <row r="196" spans="2:13" x14ac:dyDescent="0.2">
      <c r="B196" s="1" t="s">
        <v>163</v>
      </c>
      <c r="C196" s="85" t="s">
        <v>66</v>
      </c>
      <c r="D196" s="1">
        <v>100</v>
      </c>
      <c r="E196" s="1"/>
      <c r="F196" s="1">
        <v>1.115</v>
      </c>
      <c r="G196" s="1">
        <v>100</v>
      </c>
      <c r="H196" s="5">
        <f t="shared" si="2"/>
        <v>0</v>
      </c>
      <c r="I196" s="1"/>
      <c r="J196" s="1"/>
    </row>
    <row r="197" spans="2:13" x14ac:dyDescent="0.2">
      <c r="B197" s="1" t="s">
        <v>163</v>
      </c>
      <c r="C197" s="85" t="s">
        <v>61</v>
      </c>
      <c r="D197" s="1">
        <v>4500</v>
      </c>
      <c r="E197" s="1"/>
      <c r="F197" s="1">
        <v>50.19</v>
      </c>
      <c r="G197" s="1">
        <v>4500</v>
      </c>
      <c r="H197" s="5">
        <f t="shared" si="2"/>
        <v>0</v>
      </c>
      <c r="I197" s="1"/>
      <c r="J197" s="1"/>
    </row>
    <row r="198" spans="2:13" x14ac:dyDescent="0.2">
      <c r="B198" s="1" t="s">
        <v>163</v>
      </c>
      <c r="C198" s="85">
        <v>1332</v>
      </c>
      <c r="D198" s="1">
        <v>13500</v>
      </c>
      <c r="E198" s="1"/>
      <c r="F198" s="1">
        <v>150.57</v>
      </c>
      <c r="G198" s="1">
        <v>13500</v>
      </c>
      <c r="H198" s="5">
        <f t="shared" si="2"/>
        <v>0</v>
      </c>
      <c r="I198" s="1"/>
      <c r="J198" s="1"/>
    </row>
    <row r="199" spans="2:13" x14ac:dyDescent="0.2">
      <c r="B199" s="1" t="s">
        <v>163</v>
      </c>
      <c r="C199" s="85">
        <v>3158</v>
      </c>
      <c r="D199" s="1">
        <v>30000</v>
      </c>
      <c r="E199" s="1"/>
      <c r="F199" s="1">
        <v>324.55</v>
      </c>
      <c r="G199" s="1">
        <v>30000</v>
      </c>
      <c r="H199" s="5">
        <f t="shared" si="2"/>
        <v>0</v>
      </c>
      <c r="I199" s="1"/>
      <c r="J199" s="1"/>
    </row>
    <row r="200" spans="2:13" x14ac:dyDescent="0.2">
      <c r="B200" s="1" t="s">
        <v>163</v>
      </c>
      <c r="C200" s="85">
        <v>2943</v>
      </c>
      <c r="D200" s="1">
        <v>30000</v>
      </c>
      <c r="E200" s="1"/>
      <c r="F200" s="1">
        <v>324.55</v>
      </c>
      <c r="G200" s="1">
        <v>30000</v>
      </c>
      <c r="H200" s="5">
        <f t="shared" si="2"/>
        <v>0</v>
      </c>
      <c r="I200" s="1"/>
      <c r="J200" s="1"/>
    </row>
    <row r="201" spans="2:13" x14ac:dyDescent="0.2">
      <c r="B201" s="1" t="s">
        <v>163</v>
      </c>
      <c r="C201" s="85" t="s">
        <v>61</v>
      </c>
      <c r="D201" s="1">
        <v>7000</v>
      </c>
      <c r="E201" s="1"/>
      <c r="F201" s="1">
        <v>78.069999999999993</v>
      </c>
      <c r="G201" s="1">
        <v>7000</v>
      </c>
      <c r="H201" s="5">
        <f t="shared" si="2"/>
        <v>0</v>
      </c>
      <c r="I201" s="1"/>
      <c r="J201" s="1"/>
    </row>
    <row r="202" spans="2:13" x14ac:dyDescent="0.2">
      <c r="B202" s="1" t="s">
        <v>163</v>
      </c>
      <c r="C202" s="85">
        <v>9831</v>
      </c>
      <c r="D202" s="1">
        <v>20000</v>
      </c>
      <c r="E202" s="1"/>
      <c r="F202" s="1">
        <v>223.06</v>
      </c>
      <c r="G202" s="1">
        <v>20000</v>
      </c>
      <c r="H202" s="5">
        <f t="shared" si="2"/>
        <v>0</v>
      </c>
      <c r="I202" s="1"/>
      <c r="J202" s="1"/>
    </row>
    <row r="203" spans="2:13" x14ac:dyDescent="0.2">
      <c r="B203" s="1" t="s">
        <v>163</v>
      </c>
      <c r="C203" s="85">
        <v>1009</v>
      </c>
      <c r="D203" s="1">
        <v>20000</v>
      </c>
      <c r="E203" s="1"/>
      <c r="F203" s="1">
        <v>223.06</v>
      </c>
      <c r="G203" s="1">
        <v>20000</v>
      </c>
      <c r="H203" s="5">
        <f t="shared" si="2"/>
        <v>0</v>
      </c>
      <c r="I203" s="1"/>
      <c r="J203" s="1"/>
    </row>
    <row r="204" spans="2:13" x14ac:dyDescent="0.2">
      <c r="B204" s="1" t="s">
        <v>163</v>
      </c>
      <c r="C204" s="85">
        <v>111</v>
      </c>
      <c r="D204" s="1">
        <v>20000</v>
      </c>
      <c r="E204" s="1"/>
      <c r="F204" s="1">
        <v>223.06</v>
      </c>
      <c r="G204" s="1">
        <v>20000</v>
      </c>
      <c r="H204" s="5">
        <f t="shared" si="2"/>
        <v>0</v>
      </c>
      <c r="I204" s="1"/>
      <c r="J204" s="1"/>
    </row>
    <row r="205" spans="2:13" x14ac:dyDescent="0.2">
      <c r="B205" s="1" t="s">
        <v>163</v>
      </c>
      <c r="C205" s="85">
        <v>6751</v>
      </c>
      <c r="D205" s="1">
        <v>25000</v>
      </c>
      <c r="E205" s="1"/>
      <c r="F205" s="1">
        <v>278.83</v>
      </c>
      <c r="G205" s="1">
        <v>25000</v>
      </c>
      <c r="H205" s="5">
        <f t="shared" si="2"/>
        <v>0</v>
      </c>
      <c r="I205" s="1"/>
      <c r="J205" s="1"/>
    </row>
    <row r="206" spans="2:13" x14ac:dyDescent="0.2">
      <c r="B206" s="1" t="s">
        <v>163</v>
      </c>
      <c r="C206" s="85">
        <v>6267</v>
      </c>
      <c r="D206" s="1">
        <v>22000</v>
      </c>
      <c r="E206" s="1"/>
      <c r="F206" s="1">
        <v>245.37</v>
      </c>
      <c r="G206" s="1">
        <v>22000</v>
      </c>
      <c r="H206" s="5">
        <f t="shared" si="2"/>
        <v>0</v>
      </c>
      <c r="I206" s="1"/>
      <c r="J206" s="1"/>
    </row>
    <row r="207" spans="2:13" x14ac:dyDescent="0.2">
      <c r="B207" s="1" t="s">
        <v>163</v>
      </c>
      <c r="C207" s="85">
        <v>4702</v>
      </c>
      <c r="D207" s="1">
        <v>17000</v>
      </c>
      <c r="E207" s="1"/>
      <c r="F207" s="1">
        <v>163.44999999999999</v>
      </c>
      <c r="G207" s="1">
        <v>17000</v>
      </c>
      <c r="H207" s="5">
        <f t="shared" si="2"/>
        <v>0</v>
      </c>
      <c r="I207" s="1"/>
      <c r="J207" s="1"/>
    </row>
    <row r="208" spans="2:13" x14ac:dyDescent="0.2">
      <c r="B208" s="1" t="s">
        <v>163</v>
      </c>
      <c r="C208" s="85">
        <v>202</v>
      </c>
      <c r="D208" s="1">
        <v>30000</v>
      </c>
      <c r="E208" s="1"/>
      <c r="F208" s="1">
        <v>324.55</v>
      </c>
      <c r="G208" s="1">
        <v>30000</v>
      </c>
      <c r="H208" s="5">
        <f t="shared" si="2"/>
        <v>0</v>
      </c>
      <c r="I208" s="1"/>
      <c r="J208" s="1"/>
    </row>
    <row r="209" spans="2:10" x14ac:dyDescent="0.2">
      <c r="B209" s="1" t="s">
        <v>163</v>
      </c>
      <c r="C209" s="85">
        <v>7491</v>
      </c>
      <c r="D209" s="1">
        <v>30000</v>
      </c>
      <c r="E209" s="1"/>
      <c r="F209" s="1">
        <v>324.55</v>
      </c>
      <c r="G209" s="1">
        <v>30000</v>
      </c>
      <c r="H209" s="5">
        <f t="shared" si="2"/>
        <v>0</v>
      </c>
      <c r="I209" s="1"/>
      <c r="J209" s="1"/>
    </row>
    <row r="210" spans="2:10" x14ac:dyDescent="0.2">
      <c r="B210" s="1" t="s">
        <v>163</v>
      </c>
      <c r="C210" s="85">
        <v>8039</v>
      </c>
      <c r="D210" s="1">
        <v>30000</v>
      </c>
      <c r="E210" s="1"/>
      <c r="F210" s="1">
        <v>324.55</v>
      </c>
      <c r="G210" s="1">
        <v>30000</v>
      </c>
      <c r="H210" s="5">
        <f t="shared" si="2"/>
        <v>0</v>
      </c>
      <c r="I210" s="1"/>
      <c r="J210" s="1"/>
    </row>
    <row r="211" spans="2:10" x14ac:dyDescent="0.2">
      <c r="B211" s="1" t="s">
        <v>163</v>
      </c>
      <c r="C211" s="85">
        <v>8254</v>
      </c>
      <c r="D211" s="1">
        <v>25000</v>
      </c>
      <c r="E211" s="1"/>
      <c r="F211" s="1">
        <v>278.83</v>
      </c>
      <c r="G211" s="1">
        <v>25000</v>
      </c>
      <c r="H211" s="5">
        <f t="shared" si="2"/>
        <v>0</v>
      </c>
      <c r="I211" s="1"/>
      <c r="J211" s="1"/>
    </row>
    <row r="212" spans="2:10" x14ac:dyDescent="0.2">
      <c r="B212" s="1" t="s">
        <v>164</v>
      </c>
      <c r="C212" s="85" t="s">
        <v>61</v>
      </c>
      <c r="D212" s="1">
        <v>4500</v>
      </c>
      <c r="E212" s="1"/>
      <c r="F212" s="1">
        <v>50.19</v>
      </c>
      <c r="G212" s="1">
        <v>4500</v>
      </c>
      <c r="H212" s="5">
        <f t="shared" si="2"/>
        <v>0</v>
      </c>
      <c r="I212" s="1"/>
      <c r="J212" s="1"/>
    </row>
    <row r="213" spans="2:10" x14ac:dyDescent="0.2">
      <c r="B213" s="1" t="s">
        <v>164</v>
      </c>
      <c r="C213" s="85">
        <v>1550</v>
      </c>
      <c r="D213" s="1">
        <v>12000</v>
      </c>
      <c r="E213" s="1"/>
      <c r="F213" s="1">
        <v>133.83000000000001</v>
      </c>
      <c r="G213" s="1">
        <v>12000</v>
      </c>
      <c r="H213" s="5">
        <f t="shared" si="2"/>
        <v>0</v>
      </c>
      <c r="I213" s="1"/>
      <c r="J213" s="1"/>
    </row>
    <row r="214" spans="2:10" x14ac:dyDescent="0.2">
      <c r="B214" s="1" t="s">
        <v>164</v>
      </c>
      <c r="C214" s="85">
        <v>4156</v>
      </c>
      <c r="D214" s="1">
        <v>30000</v>
      </c>
      <c r="E214" s="1"/>
      <c r="F214" s="1">
        <v>324.55</v>
      </c>
      <c r="G214" s="1">
        <v>30000</v>
      </c>
      <c r="H214" s="5">
        <f t="shared" si="2"/>
        <v>0</v>
      </c>
      <c r="I214" s="1"/>
      <c r="J214" s="1"/>
    </row>
    <row r="215" spans="2:10" x14ac:dyDescent="0.2">
      <c r="B215" s="1" t="s">
        <v>164</v>
      </c>
      <c r="C215" s="85">
        <v>6206</v>
      </c>
      <c r="D215" s="1">
        <v>22000</v>
      </c>
      <c r="E215" s="1"/>
      <c r="F215" s="1">
        <v>245.37</v>
      </c>
      <c r="G215" s="1">
        <v>22000</v>
      </c>
      <c r="H215" s="5">
        <f t="shared" si="2"/>
        <v>0</v>
      </c>
      <c r="I215" s="1"/>
      <c r="J215" s="1"/>
    </row>
    <row r="216" spans="2:10" x14ac:dyDescent="0.2">
      <c r="B216" s="1" t="s">
        <v>164</v>
      </c>
      <c r="C216" s="32">
        <v>8113</v>
      </c>
      <c r="D216" s="1">
        <v>18000</v>
      </c>
      <c r="E216" s="1"/>
      <c r="F216" s="1">
        <v>200.76</v>
      </c>
      <c r="G216" s="1">
        <v>18000</v>
      </c>
      <c r="H216" s="5">
        <f t="shared" ref="H216:H279" si="3">D216-G216</f>
        <v>0</v>
      </c>
      <c r="I216" s="1"/>
      <c r="J216" s="1"/>
    </row>
    <row r="217" spans="2:10" x14ac:dyDescent="0.2">
      <c r="B217" s="1" t="s">
        <v>164</v>
      </c>
      <c r="C217" s="32">
        <v>2829</v>
      </c>
      <c r="D217" s="1">
        <v>18000</v>
      </c>
      <c r="E217" s="1"/>
      <c r="F217" s="1">
        <v>200.76</v>
      </c>
      <c r="G217" s="1">
        <v>18000</v>
      </c>
      <c r="H217" s="5">
        <f t="shared" si="3"/>
        <v>0</v>
      </c>
      <c r="I217" s="1"/>
      <c r="J217" s="1"/>
    </row>
    <row r="218" spans="2:10" x14ac:dyDescent="0.2">
      <c r="B218" s="1" t="s">
        <v>164</v>
      </c>
      <c r="C218" s="32">
        <v>7940</v>
      </c>
      <c r="D218" s="1">
        <v>18000</v>
      </c>
      <c r="E218" s="1"/>
      <c r="F218" s="1">
        <v>200.76</v>
      </c>
      <c r="G218" s="1">
        <v>18000</v>
      </c>
      <c r="H218" s="5">
        <f t="shared" si="3"/>
        <v>0</v>
      </c>
      <c r="I218" s="1"/>
      <c r="J218" s="1"/>
    </row>
    <row r="219" spans="2:10" x14ac:dyDescent="0.2">
      <c r="B219" s="1" t="s">
        <v>164</v>
      </c>
      <c r="C219" s="32">
        <v>5566</v>
      </c>
      <c r="D219" s="1">
        <v>22000</v>
      </c>
      <c r="E219" s="1"/>
      <c r="F219" s="1">
        <v>245.37</v>
      </c>
      <c r="G219" s="1">
        <v>22000</v>
      </c>
      <c r="H219" s="5">
        <f t="shared" si="3"/>
        <v>0</v>
      </c>
      <c r="I219" s="1"/>
      <c r="J219" s="1"/>
    </row>
    <row r="220" spans="2:10" x14ac:dyDescent="0.2">
      <c r="B220" s="1" t="s">
        <v>164</v>
      </c>
      <c r="C220" s="32">
        <v>389</v>
      </c>
      <c r="D220" s="1">
        <v>22000</v>
      </c>
      <c r="E220" s="1"/>
      <c r="F220" s="1">
        <v>245.37</v>
      </c>
      <c r="G220" s="1">
        <v>22000</v>
      </c>
      <c r="H220" s="5">
        <f t="shared" si="3"/>
        <v>0</v>
      </c>
      <c r="I220" s="1"/>
      <c r="J220" s="1"/>
    </row>
    <row r="221" spans="2:10" x14ac:dyDescent="0.2">
      <c r="B221" s="1" t="s">
        <v>164</v>
      </c>
      <c r="C221" s="32">
        <v>4093</v>
      </c>
      <c r="D221" s="1">
        <v>10000</v>
      </c>
      <c r="E221" s="1"/>
      <c r="F221" s="1">
        <v>111.53</v>
      </c>
      <c r="G221" s="1">
        <v>10000</v>
      </c>
      <c r="H221" s="5">
        <f t="shared" si="3"/>
        <v>0</v>
      </c>
      <c r="I221" s="1"/>
      <c r="J221" s="1"/>
    </row>
    <row r="222" spans="2:10" x14ac:dyDescent="0.2">
      <c r="B222" s="1" t="s">
        <v>164</v>
      </c>
      <c r="C222" s="32">
        <v>7071</v>
      </c>
      <c r="D222" s="1">
        <v>26000</v>
      </c>
      <c r="E222" s="1"/>
      <c r="F222" s="1">
        <v>289</v>
      </c>
      <c r="G222" s="1">
        <v>26000</v>
      </c>
      <c r="H222" s="5">
        <f t="shared" si="3"/>
        <v>0</v>
      </c>
      <c r="I222" s="1"/>
      <c r="J222" s="1"/>
    </row>
    <row r="223" spans="2:10" x14ac:dyDescent="0.2">
      <c r="B223" s="1" t="s">
        <v>164</v>
      </c>
      <c r="C223" s="32">
        <v>8705</v>
      </c>
      <c r="D223" s="1">
        <v>25000</v>
      </c>
      <c r="E223" s="1"/>
      <c r="F223" s="1">
        <v>278.83</v>
      </c>
      <c r="G223" s="1">
        <v>25000</v>
      </c>
      <c r="H223" s="5">
        <f t="shared" si="3"/>
        <v>0</v>
      </c>
      <c r="I223" s="1"/>
      <c r="J223" s="1"/>
    </row>
    <row r="224" spans="2:10" x14ac:dyDescent="0.2">
      <c r="B224" s="1" t="s">
        <v>164</v>
      </c>
      <c r="C224" s="32">
        <v>1476</v>
      </c>
      <c r="D224" s="1">
        <v>30000</v>
      </c>
      <c r="E224" s="1"/>
      <c r="F224" s="1">
        <v>334.6</v>
      </c>
      <c r="G224" s="1">
        <v>30000</v>
      </c>
      <c r="H224" s="5">
        <f t="shared" si="3"/>
        <v>0</v>
      </c>
      <c r="I224" s="1"/>
      <c r="J224" s="1"/>
    </row>
    <row r="225" spans="2:14" x14ac:dyDescent="0.2">
      <c r="B225" s="1" t="s">
        <v>164</v>
      </c>
      <c r="C225" s="32">
        <v>4729</v>
      </c>
      <c r="D225" s="1">
        <v>30000</v>
      </c>
      <c r="E225" s="1"/>
      <c r="F225" s="1">
        <v>334.6</v>
      </c>
      <c r="G225" s="1">
        <v>30000</v>
      </c>
      <c r="H225" s="5">
        <f t="shared" si="3"/>
        <v>0</v>
      </c>
      <c r="I225" s="1"/>
      <c r="J225" s="1"/>
    </row>
    <row r="226" spans="2:14" x14ac:dyDescent="0.2">
      <c r="B226" s="1" t="s">
        <v>165</v>
      </c>
      <c r="C226" s="32">
        <v>4204</v>
      </c>
      <c r="D226" s="1">
        <v>14000</v>
      </c>
      <c r="E226" s="1"/>
      <c r="F226" s="1">
        <v>156.15</v>
      </c>
      <c r="G226" s="1">
        <v>14000</v>
      </c>
      <c r="H226" s="5">
        <f t="shared" si="3"/>
        <v>0</v>
      </c>
      <c r="I226" s="1"/>
      <c r="J226" s="1"/>
    </row>
    <row r="227" spans="2:14" x14ac:dyDescent="0.2">
      <c r="B227" s="1" t="s">
        <v>165</v>
      </c>
      <c r="C227" s="32">
        <v>209</v>
      </c>
      <c r="D227" s="1">
        <v>20000</v>
      </c>
      <c r="E227" s="1"/>
      <c r="F227" s="1">
        <v>223.06</v>
      </c>
      <c r="G227" s="1">
        <v>20000</v>
      </c>
      <c r="H227" s="5">
        <f t="shared" si="3"/>
        <v>0</v>
      </c>
      <c r="I227" s="1"/>
      <c r="J227" s="1"/>
    </row>
    <row r="228" spans="2:14" x14ac:dyDescent="0.2">
      <c r="B228" s="1" t="s">
        <v>165</v>
      </c>
      <c r="C228" s="32">
        <v>4608</v>
      </c>
      <c r="D228" s="1">
        <v>22000</v>
      </c>
      <c r="E228" s="1"/>
      <c r="F228" s="1">
        <v>245.37</v>
      </c>
      <c r="G228" s="1">
        <v>22000</v>
      </c>
      <c r="H228" s="5">
        <f t="shared" si="3"/>
        <v>0</v>
      </c>
      <c r="I228" s="1"/>
      <c r="J228" s="1"/>
    </row>
    <row r="229" spans="2:14" x14ac:dyDescent="0.2">
      <c r="B229" s="1" t="s">
        <v>165</v>
      </c>
      <c r="C229" s="32">
        <v>7347</v>
      </c>
      <c r="D229" s="1">
        <v>20000</v>
      </c>
      <c r="E229" s="1"/>
      <c r="F229" s="1">
        <v>223.06</v>
      </c>
      <c r="G229" s="1">
        <v>20000</v>
      </c>
      <c r="H229" s="5">
        <f t="shared" si="3"/>
        <v>0</v>
      </c>
      <c r="I229" s="1"/>
      <c r="J229" s="1"/>
    </row>
    <row r="230" spans="2:14" x14ac:dyDescent="0.2">
      <c r="B230" s="1" t="s">
        <v>165</v>
      </c>
      <c r="C230" s="32">
        <v>9409</v>
      </c>
      <c r="D230" s="1">
        <v>18000</v>
      </c>
      <c r="E230" s="1"/>
      <c r="F230" s="1">
        <v>191</v>
      </c>
      <c r="G230" s="1">
        <v>18000</v>
      </c>
      <c r="H230" s="5">
        <f t="shared" si="3"/>
        <v>0</v>
      </c>
      <c r="I230" s="1"/>
      <c r="J230" s="1"/>
    </row>
    <row r="231" spans="2:14" x14ac:dyDescent="0.2">
      <c r="B231" s="1" t="s">
        <v>165</v>
      </c>
      <c r="C231" s="32">
        <v>65</v>
      </c>
      <c r="D231" s="1">
        <v>5000</v>
      </c>
      <c r="E231" s="1"/>
      <c r="F231" s="1">
        <v>55.76</v>
      </c>
      <c r="G231" s="1">
        <v>5000</v>
      </c>
      <c r="H231" s="5">
        <f t="shared" si="3"/>
        <v>0</v>
      </c>
      <c r="I231" s="1"/>
      <c r="J231" s="1"/>
    </row>
    <row r="232" spans="2:14" x14ac:dyDescent="0.2">
      <c r="B232" s="1" t="s">
        <v>165</v>
      </c>
      <c r="C232" s="32">
        <v>6461</v>
      </c>
      <c r="D232" s="1">
        <v>30000</v>
      </c>
      <c r="E232" s="1"/>
      <c r="F232" s="1">
        <v>324.55</v>
      </c>
      <c r="G232" s="1">
        <v>30000</v>
      </c>
      <c r="H232" s="5">
        <f t="shared" si="3"/>
        <v>0</v>
      </c>
      <c r="I232" s="1"/>
      <c r="J232" s="1"/>
    </row>
    <row r="233" spans="2:14" x14ac:dyDescent="0.2">
      <c r="B233" s="1" t="s">
        <v>165</v>
      </c>
      <c r="C233" s="32" t="s">
        <v>61</v>
      </c>
      <c r="D233" s="1">
        <v>4500</v>
      </c>
      <c r="E233" s="1"/>
      <c r="F233" s="1">
        <v>50.14</v>
      </c>
      <c r="G233" s="1">
        <v>4500</v>
      </c>
      <c r="H233" s="5">
        <f t="shared" si="3"/>
        <v>0</v>
      </c>
      <c r="I233" s="1"/>
      <c r="J233" s="1"/>
    </row>
    <row r="234" spans="2:14" x14ac:dyDescent="0.2">
      <c r="B234" s="1" t="s">
        <v>165</v>
      </c>
      <c r="C234" s="32">
        <v>1313</v>
      </c>
      <c r="D234" s="1">
        <v>29000</v>
      </c>
      <c r="E234" s="1"/>
      <c r="F234" s="1">
        <v>312</v>
      </c>
      <c r="G234" s="1">
        <v>29000</v>
      </c>
      <c r="H234" s="5">
        <f t="shared" si="3"/>
        <v>0</v>
      </c>
      <c r="I234" s="1"/>
      <c r="J234" s="1"/>
    </row>
    <row r="235" spans="2:14" x14ac:dyDescent="0.2">
      <c r="B235" s="1" t="s">
        <v>165</v>
      </c>
      <c r="C235" s="32">
        <v>4359</v>
      </c>
      <c r="D235" s="1">
        <v>18000</v>
      </c>
      <c r="E235" s="5"/>
      <c r="F235" s="1">
        <v>165</v>
      </c>
      <c r="G235" s="1">
        <v>18000</v>
      </c>
      <c r="H235" s="5">
        <f t="shared" si="3"/>
        <v>0</v>
      </c>
      <c r="I235" s="1"/>
      <c r="J235" s="1"/>
    </row>
    <row r="236" spans="2:14" x14ac:dyDescent="0.2">
      <c r="B236" s="1" t="s">
        <v>168</v>
      </c>
      <c r="C236" s="32" t="s">
        <v>66</v>
      </c>
      <c r="D236" s="1">
        <v>200</v>
      </c>
      <c r="E236" s="1"/>
      <c r="F236" s="1"/>
      <c r="G236" s="1">
        <v>200</v>
      </c>
      <c r="H236" s="5">
        <f t="shared" si="3"/>
        <v>0</v>
      </c>
      <c r="I236" s="1"/>
      <c r="J236" s="1"/>
      <c r="N236">
        <f>200/96</f>
        <v>2.0833333333333335</v>
      </c>
    </row>
    <row r="237" spans="2:14" x14ac:dyDescent="0.2">
      <c r="B237" s="1" t="s">
        <v>168</v>
      </c>
      <c r="C237" s="32">
        <v>6581</v>
      </c>
      <c r="D237" s="1">
        <v>14000</v>
      </c>
      <c r="E237" s="1"/>
      <c r="F237" s="1">
        <v>156.15</v>
      </c>
      <c r="G237" s="1">
        <v>14000</v>
      </c>
      <c r="H237" s="5">
        <f t="shared" si="3"/>
        <v>0</v>
      </c>
      <c r="I237" s="1"/>
      <c r="J237" s="1"/>
    </row>
    <row r="238" spans="2:14" x14ac:dyDescent="0.2">
      <c r="B238" s="1" t="s">
        <v>168</v>
      </c>
      <c r="C238" s="32">
        <v>2328</v>
      </c>
      <c r="D238" s="1">
        <v>20000</v>
      </c>
      <c r="E238" s="1"/>
      <c r="F238" s="1">
        <v>223.06</v>
      </c>
      <c r="G238" s="1">
        <v>20000</v>
      </c>
      <c r="H238" s="5">
        <f t="shared" si="3"/>
        <v>0</v>
      </c>
      <c r="I238" s="1"/>
      <c r="J238" s="1"/>
    </row>
    <row r="239" spans="2:14" x14ac:dyDescent="0.2">
      <c r="B239" s="1" t="s">
        <v>168</v>
      </c>
      <c r="C239" s="32">
        <v>1767</v>
      </c>
      <c r="D239" s="1">
        <v>30000</v>
      </c>
      <c r="E239" s="1"/>
      <c r="F239" s="1">
        <v>334.6</v>
      </c>
      <c r="G239" s="1">
        <v>30000</v>
      </c>
      <c r="H239" s="5">
        <f t="shared" si="3"/>
        <v>0</v>
      </c>
      <c r="I239" s="1"/>
      <c r="J239" s="1"/>
    </row>
    <row r="240" spans="2:14" x14ac:dyDescent="0.2">
      <c r="B240" s="1" t="s">
        <v>168</v>
      </c>
      <c r="C240" s="32">
        <v>5028</v>
      </c>
      <c r="D240" s="1">
        <v>30000</v>
      </c>
      <c r="E240" s="1"/>
      <c r="F240" s="1">
        <v>298.58999999999997</v>
      </c>
      <c r="G240" s="1">
        <v>30000</v>
      </c>
      <c r="H240" s="5">
        <f t="shared" si="3"/>
        <v>0</v>
      </c>
      <c r="I240" s="1"/>
      <c r="J240" s="1"/>
    </row>
    <row r="241" spans="2:10" x14ac:dyDescent="0.2">
      <c r="B241" s="1" t="s">
        <v>168</v>
      </c>
      <c r="C241" s="32">
        <v>5601</v>
      </c>
      <c r="D241" s="1">
        <v>24000</v>
      </c>
      <c r="E241" s="1"/>
      <c r="F241" s="1">
        <v>237</v>
      </c>
      <c r="G241" s="1">
        <v>24000</v>
      </c>
      <c r="H241" s="5">
        <f t="shared" si="3"/>
        <v>0</v>
      </c>
      <c r="I241" s="1"/>
      <c r="J241" s="1"/>
    </row>
    <row r="242" spans="2:10" x14ac:dyDescent="0.2">
      <c r="B242" s="1" t="s">
        <v>168</v>
      </c>
      <c r="C242" s="32">
        <v>5821</v>
      </c>
      <c r="D242" s="1">
        <v>18000</v>
      </c>
      <c r="E242" s="1"/>
      <c r="F242" s="1">
        <v>220.75</v>
      </c>
      <c r="G242" s="1">
        <v>18000</v>
      </c>
      <c r="H242" s="5">
        <f t="shared" si="3"/>
        <v>0</v>
      </c>
      <c r="I242" s="1"/>
      <c r="J242" s="1"/>
    </row>
    <row r="243" spans="2:10" x14ac:dyDescent="0.2">
      <c r="B243" s="1" t="s">
        <v>169</v>
      </c>
      <c r="C243" s="32" t="s">
        <v>61</v>
      </c>
      <c r="D243" s="1">
        <v>4500</v>
      </c>
      <c r="E243" s="1"/>
      <c r="F243" s="1">
        <v>50.19</v>
      </c>
      <c r="G243" s="1">
        <v>4500</v>
      </c>
      <c r="H243" s="5">
        <f t="shared" si="3"/>
        <v>0</v>
      </c>
      <c r="I243" s="1"/>
      <c r="J243" s="1"/>
    </row>
    <row r="244" spans="2:10" x14ac:dyDescent="0.2">
      <c r="B244" s="1" t="s">
        <v>169</v>
      </c>
      <c r="C244" s="32" t="s">
        <v>61</v>
      </c>
      <c r="D244" s="1">
        <v>5000</v>
      </c>
      <c r="E244" s="1"/>
      <c r="F244" s="1">
        <v>55.77</v>
      </c>
      <c r="G244" s="1">
        <v>5000</v>
      </c>
      <c r="H244" s="5">
        <f t="shared" si="3"/>
        <v>0</v>
      </c>
      <c r="I244" s="1"/>
      <c r="J244" s="1"/>
    </row>
    <row r="245" spans="2:10" x14ac:dyDescent="0.2">
      <c r="B245" s="1" t="s">
        <v>169</v>
      </c>
      <c r="C245" s="32">
        <v>5172</v>
      </c>
      <c r="D245" s="1">
        <v>30000</v>
      </c>
      <c r="E245" s="1"/>
      <c r="F245" s="1">
        <v>310.06</v>
      </c>
      <c r="G245" s="1">
        <v>30000</v>
      </c>
      <c r="H245" s="5">
        <f t="shared" si="3"/>
        <v>0</v>
      </c>
      <c r="I245" s="1"/>
      <c r="J245" s="1"/>
    </row>
    <row r="246" spans="2:10" x14ac:dyDescent="0.2">
      <c r="B246" s="1" t="s">
        <v>169</v>
      </c>
      <c r="C246" s="32">
        <v>5490</v>
      </c>
      <c r="D246" s="1">
        <v>25000</v>
      </c>
      <c r="E246" s="1"/>
      <c r="F246" s="1">
        <v>278.83</v>
      </c>
      <c r="G246" s="1">
        <v>25000</v>
      </c>
      <c r="H246" s="5">
        <f t="shared" si="3"/>
        <v>0</v>
      </c>
      <c r="I246" s="1"/>
      <c r="J246" s="1"/>
    </row>
    <row r="247" spans="2:10" x14ac:dyDescent="0.2">
      <c r="B247" s="1" t="s">
        <v>169</v>
      </c>
      <c r="C247" s="32">
        <v>8989</v>
      </c>
      <c r="D247" s="1">
        <v>25000</v>
      </c>
      <c r="E247" s="1"/>
      <c r="F247" s="1">
        <v>278.83</v>
      </c>
      <c r="G247" s="1">
        <v>25000</v>
      </c>
      <c r="H247" s="5">
        <f t="shared" si="3"/>
        <v>0</v>
      </c>
      <c r="I247" s="1"/>
      <c r="J247" s="1"/>
    </row>
    <row r="248" spans="2:10" x14ac:dyDescent="0.2">
      <c r="B248" s="1" t="s">
        <v>169</v>
      </c>
      <c r="C248" s="32">
        <v>7351</v>
      </c>
      <c r="D248" s="1">
        <v>24000</v>
      </c>
      <c r="E248" s="1"/>
      <c r="F248" s="1">
        <v>267.68</v>
      </c>
      <c r="G248" s="1">
        <v>24000</v>
      </c>
      <c r="H248" s="5">
        <f t="shared" si="3"/>
        <v>0</v>
      </c>
      <c r="I248" s="1"/>
      <c r="J248" s="1"/>
    </row>
    <row r="249" spans="2:10" x14ac:dyDescent="0.2">
      <c r="B249" s="1" t="s">
        <v>169</v>
      </c>
      <c r="C249" s="32">
        <v>3828</v>
      </c>
      <c r="D249" s="1">
        <v>20000</v>
      </c>
      <c r="E249" s="1"/>
      <c r="F249" s="1">
        <v>223.06</v>
      </c>
      <c r="G249" s="1">
        <v>20000</v>
      </c>
      <c r="H249" s="5">
        <f t="shared" si="3"/>
        <v>0</v>
      </c>
      <c r="I249" s="1"/>
      <c r="J249" s="1"/>
    </row>
    <row r="250" spans="2:10" x14ac:dyDescent="0.2">
      <c r="B250" s="1" t="s">
        <v>169</v>
      </c>
      <c r="C250" s="32">
        <v>9155</v>
      </c>
      <c r="D250" s="1">
        <v>12000</v>
      </c>
      <c r="E250" s="1"/>
      <c r="F250" s="1">
        <v>150.57</v>
      </c>
      <c r="G250" s="1">
        <v>12000</v>
      </c>
      <c r="H250" s="5">
        <f t="shared" si="3"/>
        <v>0</v>
      </c>
      <c r="I250" s="1"/>
      <c r="J250" s="1"/>
    </row>
    <row r="251" spans="2:10" x14ac:dyDescent="0.2">
      <c r="B251" s="1" t="s">
        <v>169</v>
      </c>
      <c r="C251" s="32">
        <v>9539</v>
      </c>
      <c r="D251" s="1">
        <v>3000</v>
      </c>
      <c r="E251" s="1"/>
      <c r="F251" s="1">
        <v>33.46</v>
      </c>
      <c r="G251" s="1">
        <v>3000</v>
      </c>
      <c r="H251" s="5">
        <f t="shared" si="3"/>
        <v>0</v>
      </c>
      <c r="I251" s="1"/>
      <c r="J251" s="1"/>
    </row>
    <row r="252" spans="2:10" x14ac:dyDescent="0.2">
      <c r="B252" s="1" t="s">
        <v>170</v>
      </c>
      <c r="C252" s="32">
        <v>2216</v>
      </c>
      <c r="D252" s="1">
        <v>30000</v>
      </c>
      <c r="E252" s="1"/>
      <c r="F252" s="1">
        <v>334.6</v>
      </c>
      <c r="G252" s="1">
        <v>30000</v>
      </c>
      <c r="H252" s="5">
        <f t="shared" si="3"/>
        <v>0</v>
      </c>
      <c r="I252" s="1"/>
      <c r="J252" s="1"/>
    </row>
    <row r="253" spans="2:10" x14ac:dyDescent="0.2">
      <c r="B253" s="1" t="s">
        <v>170</v>
      </c>
      <c r="C253" s="32">
        <v>5993</v>
      </c>
      <c r="D253" s="1">
        <v>35000</v>
      </c>
      <c r="E253" s="1"/>
      <c r="F253" s="1">
        <v>390.36</v>
      </c>
      <c r="G253" s="1">
        <v>35000</v>
      </c>
      <c r="H253" s="5">
        <f t="shared" si="3"/>
        <v>0</v>
      </c>
      <c r="I253" s="1"/>
      <c r="J253" s="1"/>
    </row>
    <row r="254" spans="2:10" x14ac:dyDescent="0.2">
      <c r="B254" s="1" t="s">
        <v>170</v>
      </c>
      <c r="C254" s="32" t="s">
        <v>61</v>
      </c>
      <c r="D254" s="1">
        <v>4500</v>
      </c>
      <c r="E254" s="1"/>
      <c r="F254" s="1">
        <v>50.14</v>
      </c>
      <c r="G254" s="1">
        <v>4500</v>
      </c>
      <c r="H254" s="5">
        <f t="shared" si="3"/>
        <v>0</v>
      </c>
      <c r="I254" s="1"/>
      <c r="J254" s="1"/>
    </row>
    <row r="255" spans="2:10" x14ac:dyDescent="0.2">
      <c r="B255" s="1" t="s">
        <v>171</v>
      </c>
      <c r="C255" s="32">
        <v>6533</v>
      </c>
      <c r="D255" s="1">
        <v>10000</v>
      </c>
      <c r="E255" s="1"/>
      <c r="F255" s="1">
        <v>111.53</v>
      </c>
      <c r="G255" s="1">
        <v>10000</v>
      </c>
      <c r="H255" s="5">
        <f t="shared" si="3"/>
        <v>0</v>
      </c>
      <c r="I255" s="1"/>
      <c r="J255" s="1"/>
    </row>
    <row r="256" spans="2:10" x14ac:dyDescent="0.2">
      <c r="B256" s="1" t="s">
        <v>171</v>
      </c>
      <c r="C256" s="32">
        <v>7451</v>
      </c>
      <c r="D256" s="1">
        <v>10000</v>
      </c>
      <c r="E256" s="1"/>
      <c r="F256" s="1">
        <v>111.53</v>
      </c>
      <c r="G256" s="1">
        <v>10000</v>
      </c>
      <c r="H256" s="5">
        <f t="shared" si="3"/>
        <v>0</v>
      </c>
      <c r="I256" s="1"/>
      <c r="J256" s="1"/>
    </row>
    <row r="257" spans="2:13" x14ac:dyDescent="0.2">
      <c r="B257" s="1" t="s">
        <v>171</v>
      </c>
      <c r="C257" s="32" t="s">
        <v>66</v>
      </c>
      <c r="D257" s="1">
        <v>300</v>
      </c>
      <c r="E257" s="1"/>
      <c r="F257" s="1"/>
      <c r="G257" s="1">
        <v>300</v>
      </c>
      <c r="H257" s="5">
        <f t="shared" si="3"/>
        <v>0</v>
      </c>
      <c r="I257" s="1"/>
      <c r="J257" s="1"/>
      <c r="M257">
        <f>300/96</f>
        <v>3.125</v>
      </c>
    </row>
    <row r="258" spans="2:13" x14ac:dyDescent="0.2">
      <c r="B258" s="1" t="s">
        <v>171</v>
      </c>
      <c r="C258" s="32">
        <v>4936</v>
      </c>
      <c r="D258" s="1">
        <v>15000</v>
      </c>
      <c r="E258" s="1"/>
      <c r="F258" s="1">
        <v>167.3</v>
      </c>
      <c r="G258" s="1">
        <v>15000</v>
      </c>
      <c r="H258" s="5">
        <f t="shared" si="3"/>
        <v>0</v>
      </c>
      <c r="I258" s="1"/>
      <c r="J258" s="1"/>
    </row>
    <row r="259" spans="2:13" x14ac:dyDescent="0.2">
      <c r="B259" s="1" t="s">
        <v>171</v>
      </c>
      <c r="C259" s="32">
        <v>3124</v>
      </c>
      <c r="D259" s="1">
        <v>25000</v>
      </c>
      <c r="E259" s="1"/>
      <c r="F259" s="1">
        <v>278.87</v>
      </c>
      <c r="G259" s="1">
        <v>25000</v>
      </c>
      <c r="H259" s="5">
        <f t="shared" si="3"/>
        <v>0</v>
      </c>
      <c r="I259" s="1"/>
      <c r="J259" s="1"/>
    </row>
    <row r="260" spans="2:13" x14ac:dyDescent="0.2">
      <c r="B260" s="1" t="s">
        <v>171</v>
      </c>
      <c r="C260" s="32">
        <v>65</v>
      </c>
      <c r="D260" s="1">
        <v>5000</v>
      </c>
      <c r="E260" s="1"/>
      <c r="F260" s="1">
        <v>55.77</v>
      </c>
      <c r="G260" s="1">
        <v>5000</v>
      </c>
      <c r="H260" s="5">
        <f t="shared" si="3"/>
        <v>0</v>
      </c>
      <c r="I260" s="1"/>
      <c r="J260" s="1"/>
    </row>
    <row r="261" spans="2:13" x14ac:dyDescent="0.2">
      <c r="B261" s="1" t="s">
        <v>171</v>
      </c>
      <c r="C261" s="32" t="s">
        <v>61</v>
      </c>
      <c r="D261" s="1">
        <v>5000</v>
      </c>
      <c r="E261" s="1"/>
      <c r="F261" s="1">
        <v>55.77</v>
      </c>
      <c r="G261" s="1">
        <v>5000</v>
      </c>
      <c r="H261" s="5">
        <f t="shared" si="3"/>
        <v>0</v>
      </c>
      <c r="I261" s="1"/>
      <c r="J261" s="1"/>
    </row>
    <row r="262" spans="2:13" x14ac:dyDescent="0.2">
      <c r="B262" s="1" t="s">
        <v>171</v>
      </c>
      <c r="C262" s="32" t="s">
        <v>61</v>
      </c>
      <c r="D262" s="1">
        <v>4500</v>
      </c>
      <c r="E262" s="1"/>
      <c r="F262" s="1">
        <v>50.14</v>
      </c>
      <c r="G262" s="1">
        <v>4500</v>
      </c>
      <c r="H262" s="5">
        <f t="shared" si="3"/>
        <v>0</v>
      </c>
      <c r="I262" s="1"/>
      <c r="J262" s="1"/>
    </row>
    <row r="263" spans="2:13" x14ac:dyDescent="0.2">
      <c r="B263" s="1" t="s">
        <v>171</v>
      </c>
      <c r="C263" s="32">
        <v>4311</v>
      </c>
      <c r="D263" s="1">
        <v>20000</v>
      </c>
      <c r="E263" s="1"/>
      <c r="F263" s="1">
        <v>223.06</v>
      </c>
      <c r="G263" s="1">
        <v>20000</v>
      </c>
      <c r="H263" s="5">
        <f t="shared" si="3"/>
        <v>0</v>
      </c>
      <c r="I263" s="1"/>
      <c r="J263" s="1"/>
    </row>
    <row r="264" spans="2:13" x14ac:dyDescent="0.2">
      <c r="B264" s="1" t="s">
        <v>171</v>
      </c>
      <c r="C264" s="32">
        <v>2085</v>
      </c>
      <c r="D264" s="1">
        <v>27000</v>
      </c>
      <c r="E264" s="1"/>
      <c r="F264" s="1">
        <v>274</v>
      </c>
      <c r="G264" s="1">
        <v>27000</v>
      </c>
      <c r="H264" s="5">
        <f t="shared" si="3"/>
        <v>0</v>
      </c>
      <c r="I264" s="1"/>
      <c r="J264" s="1"/>
    </row>
    <row r="265" spans="2:13" x14ac:dyDescent="0.2">
      <c r="B265" s="1" t="s">
        <v>171</v>
      </c>
      <c r="C265" s="32">
        <v>8562</v>
      </c>
      <c r="D265" s="1">
        <v>26000</v>
      </c>
      <c r="E265" s="1"/>
      <c r="F265" s="1">
        <v>285.27999999999997</v>
      </c>
      <c r="G265" s="1">
        <v>26000</v>
      </c>
      <c r="H265" s="5">
        <f t="shared" si="3"/>
        <v>0</v>
      </c>
      <c r="I265" s="1"/>
      <c r="J265" s="1"/>
    </row>
    <row r="266" spans="2:13" x14ac:dyDescent="0.2">
      <c r="B266" s="1" t="s">
        <v>171</v>
      </c>
      <c r="C266" s="32">
        <v>3366</v>
      </c>
      <c r="D266" s="1">
        <v>16467</v>
      </c>
      <c r="E266" s="1"/>
      <c r="F266" s="1">
        <v>183.67</v>
      </c>
      <c r="G266" s="1">
        <v>16467</v>
      </c>
      <c r="H266" s="5">
        <f t="shared" si="3"/>
        <v>0</v>
      </c>
      <c r="I266" s="1"/>
      <c r="J266" s="1"/>
    </row>
    <row r="267" spans="2:13" x14ac:dyDescent="0.2">
      <c r="B267" s="1" t="s">
        <v>174</v>
      </c>
      <c r="C267" s="32" t="s">
        <v>63</v>
      </c>
      <c r="D267" s="1">
        <v>3500</v>
      </c>
      <c r="E267" s="1"/>
      <c r="F267" s="1">
        <v>39.04</v>
      </c>
      <c r="G267" s="1">
        <v>3500</v>
      </c>
      <c r="H267" s="5">
        <f t="shared" si="3"/>
        <v>0</v>
      </c>
      <c r="I267" s="1"/>
      <c r="J267" s="1"/>
    </row>
    <row r="268" spans="2:13" x14ac:dyDescent="0.2">
      <c r="B268" s="1" t="s">
        <v>174</v>
      </c>
      <c r="C268" s="32">
        <v>2445</v>
      </c>
      <c r="D268" s="1">
        <v>48865</v>
      </c>
      <c r="E268" s="1"/>
      <c r="F268" s="1">
        <v>545.01</v>
      </c>
      <c r="G268" s="1">
        <v>48865</v>
      </c>
      <c r="H268" s="5">
        <f t="shared" si="3"/>
        <v>0</v>
      </c>
      <c r="I268" s="1"/>
      <c r="J268" s="1"/>
    </row>
    <row r="269" spans="2:13" x14ac:dyDescent="0.2">
      <c r="B269" s="1" t="s">
        <v>174</v>
      </c>
      <c r="C269" s="32">
        <v>6878</v>
      </c>
      <c r="D269" s="1">
        <v>20000</v>
      </c>
      <c r="E269" s="1"/>
      <c r="F269" s="1">
        <v>223.06</v>
      </c>
      <c r="G269" s="1">
        <v>20000</v>
      </c>
      <c r="H269" s="5">
        <f t="shared" si="3"/>
        <v>0</v>
      </c>
      <c r="I269" s="1"/>
      <c r="J269" s="1"/>
    </row>
    <row r="270" spans="2:13" x14ac:dyDescent="0.2">
      <c r="B270" s="1" t="s">
        <v>174</v>
      </c>
      <c r="C270" s="32">
        <v>7247</v>
      </c>
      <c r="D270" s="1">
        <v>22000</v>
      </c>
      <c r="E270" s="1"/>
      <c r="F270" s="1">
        <v>239.8</v>
      </c>
      <c r="G270" s="1">
        <v>22000</v>
      </c>
      <c r="H270" s="5">
        <f t="shared" si="3"/>
        <v>0</v>
      </c>
      <c r="I270" s="1"/>
      <c r="J270" s="1"/>
    </row>
    <row r="271" spans="2:13" x14ac:dyDescent="0.2">
      <c r="B271" s="1" t="s">
        <v>174</v>
      </c>
      <c r="C271" s="32">
        <v>3501</v>
      </c>
      <c r="D271" s="1">
        <v>24000</v>
      </c>
      <c r="E271" s="1"/>
      <c r="F271" s="1">
        <v>267.68</v>
      </c>
      <c r="G271" s="1">
        <v>24000</v>
      </c>
      <c r="H271" s="5">
        <f t="shared" si="3"/>
        <v>0</v>
      </c>
      <c r="I271" s="1"/>
      <c r="J271" s="1"/>
    </row>
    <row r="272" spans="2:13" x14ac:dyDescent="0.2">
      <c r="B272" s="1" t="s">
        <v>174</v>
      </c>
      <c r="C272" s="32">
        <v>9905</v>
      </c>
      <c r="D272" s="1">
        <v>18000</v>
      </c>
      <c r="E272" s="1"/>
      <c r="F272" s="1">
        <v>200.76</v>
      </c>
      <c r="G272" s="1">
        <v>18000</v>
      </c>
      <c r="H272" s="5">
        <f t="shared" si="3"/>
        <v>0</v>
      </c>
      <c r="I272" s="1"/>
      <c r="J272" s="1"/>
    </row>
    <row r="273" spans="2:10" x14ac:dyDescent="0.2">
      <c r="B273" s="1" t="s">
        <v>174</v>
      </c>
      <c r="C273" s="32">
        <v>6556</v>
      </c>
      <c r="D273" s="1">
        <v>20000</v>
      </c>
      <c r="E273" s="1"/>
      <c r="F273" s="1">
        <v>223.06</v>
      </c>
      <c r="G273" s="1">
        <v>20000</v>
      </c>
      <c r="H273" s="5">
        <f t="shared" si="3"/>
        <v>0</v>
      </c>
      <c r="I273" s="1"/>
      <c r="J273" s="1"/>
    </row>
    <row r="274" spans="2:10" x14ac:dyDescent="0.2">
      <c r="B274" s="1" t="s">
        <v>194</v>
      </c>
      <c r="C274" s="32">
        <v>3107</v>
      </c>
      <c r="D274" s="1">
        <v>15000</v>
      </c>
      <c r="E274" s="1"/>
      <c r="F274" s="1">
        <v>167.3</v>
      </c>
      <c r="G274" s="1">
        <v>15000</v>
      </c>
      <c r="H274" s="5">
        <f t="shared" si="3"/>
        <v>0</v>
      </c>
      <c r="I274" s="1"/>
      <c r="J274" s="1"/>
    </row>
    <row r="275" spans="2:10" x14ac:dyDescent="0.2">
      <c r="B275" s="1" t="s">
        <v>194</v>
      </c>
      <c r="C275" s="32">
        <v>3603</v>
      </c>
      <c r="D275" s="1">
        <v>30000</v>
      </c>
      <c r="E275" s="1"/>
      <c r="F275" s="1">
        <v>324.56</v>
      </c>
      <c r="G275" s="1">
        <v>30000</v>
      </c>
      <c r="H275" s="5">
        <f t="shared" si="3"/>
        <v>0</v>
      </c>
      <c r="I275" s="1"/>
      <c r="J275" s="1"/>
    </row>
    <row r="276" spans="2:10" x14ac:dyDescent="0.2">
      <c r="B276" s="1" t="s">
        <v>194</v>
      </c>
      <c r="C276" s="32">
        <v>8434</v>
      </c>
      <c r="D276" s="1">
        <v>27000</v>
      </c>
      <c r="E276" s="1"/>
      <c r="F276" s="1">
        <v>267.68</v>
      </c>
      <c r="G276" s="1">
        <v>27000</v>
      </c>
      <c r="H276" s="5">
        <f t="shared" si="3"/>
        <v>0</v>
      </c>
      <c r="I276" s="1"/>
      <c r="J276" s="1"/>
    </row>
    <row r="277" spans="2:10" x14ac:dyDescent="0.2">
      <c r="B277" s="1" t="s">
        <v>194</v>
      </c>
      <c r="C277" s="32">
        <v>2117</v>
      </c>
      <c r="D277" s="1">
        <v>17000</v>
      </c>
      <c r="E277" s="1"/>
      <c r="F277" s="1">
        <v>188.19</v>
      </c>
      <c r="G277" s="1">
        <v>17000</v>
      </c>
      <c r="H277" s="5">
        <f t="shared" si="3"/>
        <v>0</v>
      </c>
      <c r="I277" s="1"/>
      <c r="J277" s="1"/>
    </row>
    <row r="278" spans="2:10" x14ac:dyDescent="0.2">
      <c r="B278" s="1" t="s">
        <v>195</v>
      </c>
      <c r="C278" s="32">
        <v>7669</v>
      </c>
      <c r="D278" s="1">
        <v>27000</v>
      </c>
      <c r="E278" s="1"/>
      <c r="F278" s="1">
        <v>267.68</v>
      </c>
      <c r="G278" s="1">
        <v>27000</v>
      </c>
      <c r="H278" s="5">
        <f t="shared" si="3"/>
        <v>0</v>
      </c>
      <c r="I278" s="1"/>
      <c r="J278" s="1"/>
    </row>
    <row r="279" spans="2:10" x14ac:dyDescent="0.2">
      <c r="B279" s="1" t="s">
        <v>195</v>
      </c>
      <c r="C279" s="32" t="s">
        <v>61</v>
      </c>
      <c r="D279" s="1">
        <v>3500</v>
      </c>
      <c r="E279" s="1"/>
      <c r="F279" s="1">
        <v>39.04</v>
      </c>
      <c r="G279" s="1">
        <v>3500</v>
      </c>
      <c r="H279" s="5">
        <f t="shared" si="3"/>
        <v>0</v>
      </c>
      <c r="I279" s="1"/>
      <c r="J279" s="1"/>
    </row>
    <row r="280" spans="2:10" x14ac:dyDescent="0.2">
      <c r="B280" s="1" t="s">
        <v>195</v>
      </c>
      <c r="C280" s="32" t="s">
        <v>61</v>
      </c>
      <c r="D280" s="1">
        <v>4500</v>
      </c>
      <c r="E280" s="1"/>
      <c r="F280" s="1">
        <v>50.14</v>
      </c>
      <c r="G280" s="1">
        <v>4500</v>
      </c>
      <c r="H280" s="5">
        <f t="shared" ref="H280:H320" si="4">D280-G280</f>
        <v>0</v>
      </c>
      <c r="I280" s="1"/>
      <c r="J280" s="1"/>
    </row>
    <row r="281" spans="2:10" x14ac:dyDescent="0.2">
      <c r="B281" s="1" t="s">
        <v>195</v>
      </c>
      <c r="C281" s="32">
        <v>1416</v>
      </c>
      <c r="D281" s="1">
        <v>20000</v>
      </c>
      <c r="E281" s="1"/>
      <c r="F281" s="1">
        <v>188.19</v>
      </c>
      <c r="G281" s="1">
        <v>20000</v>
      </c>
      <c r="H281" s="5">
        <f t="shared" si="4"/>
        <v>0</v>
      </c>
      <c r="I281" s="1"/>
      <c r="J281" s="1"/>
    </row>
    <row r="282" spans="2:10" x14ac:dyDescent="0.2">
      <c r="B282" s="1" t="s">
        <v>195</v>
      </c>
      <c r="C282" s="32">
        <v>8030</v>
      </c>
      <c r="D282" s="1">
        <v>27000</v>
      </c>
      <c r="E282" s="1"/>
      <c r="F282" s="1">
        <v>301.14</v>
      </c>
      <c r="G282" s="1">
        <v>27000</v>
      </c>
      <c r="H282" s="5">
        <f t="shared" si="4"/>
        <v>0</v>
      </c>
      <c r="I282" s="1"/>
      <c r="J282" s="1"/>
    </row>
    <row r="283" spans="2:10" x14ac:dyDescent="0.2">
      <c r="B283" s="1" t="s">
        <v>195</v>
      </c>
      <c r="C283" s="32">
        <v>8112</v>
      </c>
      <c r="D283" s="1">
        <v>27000</v>
      </c>
      <c r="E283" s="1"/>
      <c r="F283" s="1">
        <v>301.14</v>
      </c>
      <c r="G283" s="1">
        <v>27000</v>
      </c>
      <c r="H283" s="5">
        <f t="shared" si="4"/>
        <v>0</v>
      </c>
      <c r="I283" s="1"/>
      <c r="J283" s="1"/>
    </row>
    <row r="284" spans="2:10" x14ac:dyDescent="0.2">
      <c r="B284" s="1" t="s">
        <v>195</v>
      </c>
      <c r="C284" s="32">
        <v>2756</v>
      </c>
      <c r="D284" s="1">
        <v>15000</v>
      </c>
      <c r="E284" s="1"/>
      <c r="F284" s="1">
        <v>181.27</v>
      </c>
      <c r="G284" s="1">
        <v>15000</v>
      </c>
      <c r="H284" s="5">
        <f t="shared" si="4"/>
        <v>0</v>
      </c>
      <c r="I284" s="1"/>
      <c r="J284" s="1"/>
    </row>
    <row r="285" spans="2:10" x14ac:dyDescent="0.2">
      <c r="B285" s="1" t="s">
        <v>195</v>
      </c>
      <c r="C285" s="32">
        <v>7307</v>
      </c>
      <c r="D285" s="1">
        <v>22000</v>
      </c>
      <c r="E285" s="1"/>
      <c r="F285" s="1">
        <v>245.37</v>
      </c>
      <c r="G285" s="1">
        <v>22000</v>
      </c>
      <c r="H285" s="5">
        <f t="shared" si="4"/>
        <v>0</v>
      </c>
      <c r="I285" s="1"/>
      <c r="J285" s="1"/>
    </row>
    <row r="286" spans="2:10" x14ac:dyDescent="0.2">
      <c r="B286" s="1" t="s">
        <v>195</v>
      </c>
      <c r="C286" s="32">
        <v>8760</v>
      </c>
      <c r="D286" s="1">
        <v>23000</v>
      </c>
      <c r="E286" s="1"/>
      <c r="F286" s="1">
        <v>256.52</v>
      </c>
      <c r="G286" s="1">
        <v>23000</v>
      </c>
      <c r="H286" s="5">
        <f t="shared" si="4"/>
        <v>0</v>
      </c>
      <c r="I286" s="1"/>
      <c r="J286" s="1"/>
    </row>
    <row r="287" spans="2:10" x14ac:dyDescent="0.2">
      <c r="B287" s="1" t="s">
        <v>195</v>
      </c>
      <c r="C287" s="32">
        <v>9954</v>
      </c>
      <c r="D287" s="1">
        <v>34000</v>
      </c>
      <c r="E287" s="1"/>
      <c r="F287" s="1">
        <v>361.93</v>
      </c>
      <c r="G287" s="1">
        <v>34000</v>
      </c>
      <c r="H287" s="5">
        <f t="shared" si="4"/>
        <v>0</v>
      </c>
      <c r="I287" s="1"/>
      <c r="J287" s="1"/>
    </row>
    <row r="288" spans="2:10" x14ac:dyDescent="0.2">
      <c r="B288" s="1" t="s">
        <v>195</v>
      </c>
      <c r="C288" s="32">
        <v>3738</v>
      </c>
      <c r="D288" s="1">
        <v>28000</v>
      </c>
      <c r="E288" s="1"/>
      <c r="F288" s="1">
        <v>319.93</v>
      </c>
      <c r="G288" s="1">
        <v>28000</v>
      </c>
      <c r="H288" s="5">
        <f t="shared" si="4"/>
        <v>0</v>
      </c>
      <c r="I288" s="1"/>
      <c r="J288" s="1"/>
    </row>
    <row r="289" spans="2:10" x14ac:dyDescent="0.2">
      <c r="B289" s="1" t="s">
        <v>195</v>
      </c>
      <c r="C289" s="32">
        <v>8250</v>
      </c>
      <c r="D289" s="1">
        <v>13000</v>
      </c>
      <c r="E289" s="1"/>
      <c r="F289" s="1">
        <v>156</v>
      </c>
      <c r="G289" s="1">
        <v>13000</v>
      </c>
      <c r="H289" s="5">
        <f t="shared" si="4"/>
        <v>0</v>
      </c>
      <c r="I289" s="1"/>
      <c r="J289" s="1"/>
    </row>
    <row r="290" spans="2:10" x14ac:dyDescent="0.2">
      <c r="B290" s="1" t="s">
        <v>196</v>
      </c>
      <c r="C290" s="32">
        <v>7109</v>
      </c>
      <c r="D290" s="1">
        <v>4731</v>
      </c>
      <c r="E290" s="1"/>
      <c r="F290" s="1">
        <v>52.77</v>
      </c>
      <c r="G290" s="1">
        <v>4731</v>
      </c>
      <c r="H290" s="5">
        <f t="shared" si="4"/>
        <v>0</v>
      </c>
      <c r="I290" s="1"/>
      <c r="J290" s="1"/>
    </row>
    <row r="291" spans="2:10" x14ac:dyDescent="0.2">
      <c r="B291" s="1" t="s">
        <v>196</v>
      </c>
      <c r="C291" s="32" t="s">
        <v>61</v>
      </c>
      <c r="D291" s="1">
        <v>5000</v>
      </c>
      <c r="E291" s="1"/>
      <c r="F291" s="1">
        <v>55.77</v>
      </c>
      <c r="G291" s="1">
        <v>5000</v>
      </c>
      <c r="H291" s="5">
        <f t="shared" si="4"/>
        <v>0</v>
      </c>
      <c r="I291" s="1"/>
      <c r="J291" s="1"/>
    </row>
    <row r="292" spans="2:10" x14ac:dyDescent="0.2">
      <c r="B292" s="1" t="s">
        <v>196</v>
      </c>
      <c r="C292" s="32">
        <v>65</v>
      </c>
      <c r="D292" s="1">
        <v>5000</v>
      </c>
      <c r="E292" s="1"/>
      <c r="F292" s="1">
        <v>55.77</v>
      </c>
      <c r="G292" s="1">
        <v>5000</v>
      </c>
      <c r="H292" s="5">
        <f t="shared" si="4"/>
        <v>0</v>
      </c>
      <c r="I292" s="1"/>
      <c r="J292" s="1"/>
    </row>
    <row r="293" spans="2:10" x14ac:dyDescent="0.2">
      <c r="B293" s="1" t="s">
        <v>196</v>
      </c>
      <c r="C293" s="32">
        <v>2523</v>
      </c>
      <c r="D293" s="1">
        <v>12000</v>
      </c>
      <c r="E293" s="1"/>
      <c r="F293" s="1">
        <v>133.84</v>
      </c>
      <c r="G293" s="1">
        <v>12000</v>
      </c>
      <c r="H293" s="5">
        <f t="shared" si="4"/>
        <v>0</v>
      </c>
      <c r="I293" s="1"/>
      <c r="J293" s="1"/>
    </row>
    <row r="294" spans="2:10" x14ac:dyDescent="0.2">
      <c r="B294" s="1" t="s">
        <v>196</v>
      </c>
      <c r="C294" s="32">
        <v>8813</v>
      </c>
      <c r="D294" s="1">
        <v>26000</v>
      </c>
      <c r="E294" s="1"/>
      <c r="F294" s="1">
        <v>245.37</v>
      </c>
      <c r="G294" s="1">
        <v>26000</v>
      </c>
      <c r="H294" s="5">
        <f t="shared" si="4"/>
        <v>0</v>
      </c>
      <c r="I294" s="1"/>
      <c r="J294" s="1"/>
    </row>
    <row r="295" spans="2:10" x14ac:dyDescent="0.2">
      <c r="B295" s="1" t="s">
        <v>196</v>
      </c>
      <c r="C295" s="32">
        <v>9998</v>
      </c>
      <c r="D295" s="1">
        <v>18000</v>
      </c>
      <c r="E295" s="1"/>
      <c r="F295" s="1">
        <v>179</v>
      </c>
      <c r="G295" s="1">
        <v>18000</v>
      </c>
      <c r="H295" s="5">
        <f t="shared" si="4"/>
        <v>0</v>
      </c>
      <c r="I295" s="1"/>
      <c r="J295" s="1"/>
    </row>
    <row r="296" spans="2:10" x14ac:dyDescent="0.2">
      <c r="B296" s="1" t="s">
        <v>197</v>
      </c>
      <c r="C296" s="32" t="s">
        <v>61</v>
      </c>
      <c r="D296" s="1">
        <v>4500</v>
      </c>
      <c r="E296" s="1"/>
      <c r="F296" s="1">
        <v>50.19</v>
      </c>
      <c r="G296" s="1">
        <v>4500</v>
      </c>
      <c r="H296" s="5">
        <f t="shared" si="4"/>
        <v>0</v>
      </c>
      <c r="I296" s="1"/>
      <c r="J296" s="1"/>
    </row>
    <row r="297" spans="2:10" x14ac:dyDescent="0.2">
      <c r="B297" s="1" t="s">
        <v>197</v>
      </c>
      <c r="C297" s="32">
        <v>5686</v>
      </c>
      <c r="D297" s="1">
        <v>19000</v>
      </c>
      <c r="E297" s="1"/>
      <c r="F297" s="1">
        <v>209.13</v>
      </c>
      <c r="G297" s="1">
        <v>19000</v>
      </c>
      <c r="H297" s="5">
        <f t="shared" si="4"/>
        <v>0</v>
      </c>
      <c r="I297" s="1"/>
      <c r="J297" s="1"/>
    </row>
    <row r="298" spans="2:10" x14ac:dyDescent="0.2">
      <c r="B298" s="1" t="s">
        <v>197</v>
      </c>
      <c r="C298" s="32">
        <v>3042</v>
      </c>
      <c r="D298" s="1">
        <v>15000</v>
      </c>
      <c r="E298" s="1"/>
      <c r="F298" s="1">
        <v>167.3</v>
      </c>
      <c r="G298" s="1">
        <v>15000</v>
      </c>
      <c r="H298" s="5">
        <f t="shared" si="4"/>
        <v>0</v>
      </c>
      <c r="I298" s="1"/>
      <c r="J298" s="1"/>
    </row>
    <row r="299" spans="2:10" x14ac:dyDescent="0.2">
      <c r="B299" s="1" t="s">
        <v>197</v>
      </c>
      <c r="C299" s="32">
        <v>2542</v>
      </c>
      <c r="D299" s="1">
        <v>30000</v>
      </c>
      <c r="E299" s="1"/>
      <c r="F299" s="1">
        <v>341.39</v>
      </c>
      <c r="G299" s="1">
        <v>30000</v>
      </c>
      <c r="H299" s="5">
        <f t="shared" si="4"/>
        <v>0</v>
      </c>
      <c r="I299" s="1"/>
      <c r="J299" s="1"/>
    </row>
    <row r="300" spans="2:10" x14ac:dyDescent="0.2">
      <c r="B300" s="1" t="s">
        <v>197</v>
      </c>
      <c r="C300" s="32">
        <v>2545</v>
      </c>
      <c r="D300" s="1">
        <v>15000</v>
      </c>
      <c r="E300" s="1"/>
      <c r="F300" s="1">
        <v>133.83000000000001</v>
      </c>
      <c r="G300" s="1">
        <v>15000</v>
      </c>
      <c r="H300" s="5">
        <f t="shared" si="4"/>
        <v>0</v>
      </c>
      <c r="I300" s="1"/>
      <c r="J300" s="1"/>
    </row>
    <row r="301" spans="2:10" x14ac:dyDescent="0.2">
      <c r="B301" s="1" t="s">
        <v>197</v>
      </c>
      <c r="C301" s="32">
        <v>6552</v>
      </c>
      <c r="D301" s="1">
        <v>25000</v>
      </c>
      <c r="E301" s="1"/>
      <c r="F301" s="1">
        <v>278.83</v>
      </c>
      <c r="G301" s="1">
        <v>25000</v>
      </c>
      <c r="H301" s="5">
        <f t="shared" si="4"/>
        <v>0</v>
      </c>
      <c r="I301" s="1"/>
      <c r="J301" s="1"/>
    </row>
    <row r="302" spans="2:10" x14ac:dyDescent="0.2">
      <c r="B302" s="1" t="s">
        <v>197</v>
      </c>
      <c r="C302" s="32">
        <v>1121</v>
      </c>
      <c r="D302" s="1">
        <v>30000</v>
      </c>
      <c r="E302" s="1"/>
      <c r="F302" s="1">
        <v>334.1</v>
      </c>
      <c r="G302" s="1">
        <v>30000</v>
      </c>
      <c r="H302" s="5">
        <f t="shared" si="4"/>
        <v>0</v>
      </c>
      <c r="I302" s="1"/>
      <c r="J302" s="1"/>
    </row>
    <row r="303" spans="2:10" x14ac:dyDescent="0.2">
      <c r="B303" s="1" t="s">
        <v>197</v>
      </c>
      <c r="C303" s="32">
        <v>9783</v>
      </c>
      <c r="D303" s="1">
        <v>25000</v>
      </c>
      <c r="E303" s="1"/>
      <c r="F303" s="1">
        <v>278.83</v>
      </c>
      <c r="G303" s="1">
        <v>25000</v>
      </c>
      <c r="H303" s="5">
        <f t="shared" si="4"/>
        <v>0</v>
      </c>
      <c r="I303" s="1"/>
      <c r="J303" s="1"/>
    </row>
    <row r="304" spans="2:10" x14ac:dyDescent="0.2">
      <c r="B304" s="1" t="s">
        <v>197</v>
      </c>
      <c r="C304" s="32">
        <v>6126</v>
      </c>
      <c r="D304" s="1">
        <v>28000</v>
      </c>
      <c r="E304" s="1"/>
      <c r="F304" s="1">
        <v>331.28</v>
      </c>
      <c r="G304" s="1">
        <v>28000</v>
      </c>
      <c r="H304" s="5">
        <f t="shared" si="4"/>
        <v>0</v>
      </c>
      <c r="I304" s="1"/>
      <c r="J304" s="1"/>
    </row>
    <row r="305" spans="2:25" x14ac:dyDescent="0.2">
      <c r="B305" s="1" t="s">
        <v>198</v>
      </c>
      <c r="C305" s="32">
        <v>7686</v>
      </c>
      <c r="D305" s="1">
        <v>20000</v>
      </c>
      <c r="E305" s="1"/>
      <c r="F305" s="1">
        <v>223.06</v>
      </c>
      <c r="G305" s="1">
        <v>20000</v>
      </c>
      <c r="H305" s="5">
        <f t="shared" si="4"/>
        <v>0</v>
      </c>
      <c r="I305" s="1"/>
      <c r="J305" s="1"/>
    </row>
    <row r="306" spans="2:25" x14ac:dyDescent="0.2">
      <c r="B306" s="1" t="s">
        <v>198</v>
      </c>
      <c r="C306" s="32" t="s">
        <v>61</v>
      </c>
      <c r="D306" s="1">
        <v>5000</v>
      </c>
      <c r="E306" s="1"/>
      <c r="F306" s="1">
        <v>55.77</v>
      </c>
      <c r="G306" s="1">
        <v>5000</v>
      </c>
      <c r="H306" s="5">
        <f t="shared" si="4"/>
        <v>0</v>
      </c>
      <c r="I306" s="1"/>
      <c r="J306" s="1"/>
    </row>
    <row r="307" spans="2:25" x14ac:dyDescent="0.2">
      <c r="B307" s="1" t="s">
        <v>198</v>
      </c>
      <c r="C307" s="32">
        <v>7247</v>
      </c>
      <c r="D307" s="1">
        <v>21000</v>
      </c>
      <c r="E307" s="1"/>
      <c r="F307" s="1">
        <v>221.39</v>
      </c>
      <c r="G307" s="1">
        <v>21000</v>
      </c>
      <c r="H307" s="5">
        <f t="shared" si="4"/>
        <v>0</v>
      </c>
      <c r="I307" s="1"/>
      <c r="J307" s="1"/>
    </row>
    <row r="308" spans="2:25" x14ac:dyDescent="0.2">
      <c r="B308" s="1" t="s">
        <v>198</v>
      </c>
      <c r="C308" s="32">
        <v>128</v>
      </c>
      <c r="D308" s="1">
        <v>27000</v>
      </c>
      <c r="E308" s="1"/>
      <c r="F308" s="1">
        <v>303.25</v>
      </c>
      <c r="G308" s="1">
        <v>27000</v>
      </c>
      <c r="H308" s="5">
        <f t="shared" si="4"/>
        <v>0</v>
      </c>
      <c r="I308" s="1"/>
      <c r="J308" s="1"/>
    </row>
    <row r="309" spans="2:25" x14ac:dyDescent="0.2">
      <c r="B309" s="1" t="s">
        <v>198</v>
      </c>
      <c r="C309" s="32">
        <v>5209</v>
      </c>
      <c r="D309" s="1">
        <v>33000</v>
      </c>
      <c r="E309" s="1"/>
      <c r="F309" s="1">
        <v>366</v>
      </c>
      <c r="G309" s="1">
        <v>33000</v>
      </c>
      <c r="H309" s="5">
        <f t="shared" si="4"/>
        <v>0</v>
      </c>
      <c r="I309" s="1"/>
      <c r="J309" s="1"/>
      <c r="O309" t="s">
        <v>207</v>
      </c>
      <c r="Q309" t="s">
        <v>8</v>
      </c>
    </row>
    <row r="310" spans="2:25" x14ac:dyDescent="0.2">
      <c r="B310" s="1" t="s">
        <v>198</v>
      </c>
      <c r="C310" s="32">
        <v>4996</v>
      </c>
      <c r="D310" s="1">
        <v>25000</v>
      </c>
      <c r="E310" s="1"/>
      <c r="F310" s="1">
        <v>278.83</v>
      </c>
      <c r="G310" s="1">
        <v>25000</v>
      </c>
      <c r="H310" s="5">
        <f t="shared" si="4"/>
        <v>0</v>
      </c>
      <c r="I310" s="1"/>
      <c r="J310" s="1"/>
      <c r="O310" t="s">
        <v>205</v>
      </c>
      <c r="P310">
        <v>7690006</v>
      </c>
      <c r="Q310">
        <v>6166681</v>
      </c>
    </row>
    <row r="311" spans="2:25" x14ac:dyDescent="0.2">
      <c r="B311" s="1" t="s">
        <v>199</v>
      </c>
      <c r="C311" s="32" t="s">
        <v>61</v>
      </c>
      <c r="D311" s="1">
        <v>4500</v>
      </c>
      <c r="E311" s="1"/>
      <c r="F311" s="1">
        <v>50.14</v>
      </c>
      <c r="G311" s="1">
        <v>4500</v>
      </c>
      <c r="H311" s="5">
        <f t="shared" si="4"/>
        <v>0</v>
      </c>
      <c r="I311" s="1"/>
      <c r="J311" s="1"/>
      <c r="O311" t="s">
        <v>204</v>
      </c>
      <c r="P311">
        <v>7688328</v>
      </c>
      <c r="Q311">
        <v>6160600</v>
      </c>
      <c r="Y311">
        <f>200/94</f>
        <v>2.1276595744680851</v>
      </c>
    </row>
    <row r="312" spans="2:25" x14ac:dyDescent="0.2">
      <c r="B312" s="1" t="s">
        <v>199</v>
      </c>
      <c r="C312" s="32" t="s">
        <v>66</v>
      </c>
      <c r="D312" s="1">
        <v>200</v>
      </c>
      <c r="E312" s="1"/>
      <c r="F312" s="1"/>
      <c r="G312" s="1">
        <v>200</v>
      </c>
      <c r="H312" s="5">
        <f t="shared" si="4"/>
        <v>0</v>
      </c>
      <c r="I312" s="1"/>
      <c r="J312" s="1"/>
      <c r="O312" t="s">
        <v>206</v>
      </c>
      <c r="P312">
        <f>7690006-7688328</f>
        <v>1678</v>
      </c>
      <c r="Q312">
        <v>6081</v>
      </c>
    </row>
    <row r="313" spans="2:25" x14ac:dyDescent="0.2">
      <c r="B313" s="1" t="s">
        <v>199</v>
      </c>
      <c r="C313" s="32">
        <v>4926</v>
      </c>
      <c r="D313" s="1">
        <v>22000</v>
      </c>
      <c r="E313" s="1"/>
      <c r="F313" s="1">
        <v>275.29000000000002</v>
      </c>
      <c r="G313" s="1">
        <v>22000</v>
      </c>
      <c r="H313" s="5">
        <f t="shared" si="4"/>
        <v>0</v>
      </c>
      <c r="I313" s="1"/>
      <c r="J313" s="1"/>
    </row>
    <row r="314" spans="2:25" x14ac:dyDescent="0.2">
      <c r="B314" s="1" t="s">
        <v>199</v>
      </c>
      <c r="C314" s="32">
        <v>3763</v>
      </c>
      <c r="D314" s="1">
        <v>28000</v>
      </c>
      <c r="E314" s="1"/>
      <c r="F314" s="1">
        <v>306.72000000000003</v>
      </c>
      <c r="G314" s="1">
        <v>28000</v>
      </c>
      <c r="H314" s="5">
        <f t="shared" si="4"/>
        <v>0</v>
      </c>
      <c r="I314" s="1"/>
      <c r="J314" s="1"/>
    </row>
    <row r="315" spans="2:25" x14ac:dyDescent="0.2">
      <c r="B315" s="1" t="s">
        <v>199</v>
      </c>
      <c r="C315" s="32" t="s">
        <v>63</v>
      </c>
      <c r="D315" s="1">
        <v>3500</v>
      </c>
      <c r="E315" s="1"/>
      <c r="F315" s="1">
        <v>39.04</v>
      </c>
      <c r="G315" s="1">
        <v>3500</v>
      </c>
      <c r="H315" s="5">
        <f t="shared" si="4"/>
        <v>0</v>
      </c>
      <c r="I315" s="1"/>
      <c r="J315" s="1"/>
    </row>
    <row r="316" spans="2:25" x14ac:dyDescent="0.2">
      <c r="B316" s="1" t="s">
        <v>199</v>
      </c>
      <c r="C316" s="32">
        <v>491</v>
      </c>
      <c r="D316" s="1">
        <v>15000</v>
      </c>
      <c r="E316" s="1"/>
      <c r="F316" s="1">
        <v>167.3</v>
      </c>
      <c r="G316" s="1">
        <v>15000</v>
      </c>
      <c r="H316" s="5">
        <f t="shared" si="4"/>
        <v>0</v>
      </c>
      <c r="I316" s="1"/>
      <c r="J316" s="1"/>
    </row>
    <row r="317" spans="2:25" x14ac:dyDescent="0.2">
      <c r="B317" s="1" t="s">
        <v>201</v>
      </c>
      <c r="C317" s="32">
        <v>65</v>
      </c>
      <c r="D317" s="1">
        <v>5000</v>
      </c>
      <c r="E317" s="1"/>
      <c r="F317" s="1">
        <v>55.76</v>
      </c>
      <c r="G317" s="1">
        <v>5000</v>
      </c>
      <c r="H317" s="5">
        <f t="shared" si="4"/>
        <v>0</v>
      </c>
      <c r="I317" s="1"/>
      <c r="J317" s="1"/>
    </row>
    <row r="318" spans="2:25" x14ac:dyDescent="0.2">
      <c r="B318" s="1" t="s">
        <v>201</v>
      </c>
      <c r="C318" s="32">
        <v>4755</v>
      </c>
      <c r="D318" s="1">
        <v>25000</v>
      </c>
      <c r="E318" s="1"/>
      <c r="F318" s="1">
        <v>278.83</v>
      </c>
      <c r="G318" s="1">
        <v>25000</v>
      </c>
      <c r="H318" s="5">
        <f t="shared" si="4"/>
        <v>0</v>
      </c>
      <c r="I318" s="1"/>
      <c r="J318" s="1"/>
    </row>
    <row r="319" spans="2:25" x14ac:dyDescent="0.2">
      <c r="B319" s="1" t="s">
        <v>202</v>
      </c>
      <c r="C319" s="32">
        <v>4826</v>
      </c>
      <c r="D319" s="1">
        <v>15000</v>
      </c>
      <c r="E319" s="1"/>
      <c r="F319" s="1">
        <v>167.3</v>
      </c>
      <c r="G319" s="1">
        <v>15000</v>
      </c>
      <c r="H319" s="5">
        <f t="shared" si="4"/>
        <v>0</v>
      </c>
      <c r="I319" s="1"/>
      <c r="J319" s="1"/>
      <c r="M319" t="s">
        <v>210</v>
      </c>
      <c r="P319">
        <f>7690006-7688328</f>
        <v>1678</v>
      </c>
    </row>
    <row r="320" spans="2:25" x14ac:dyDescent="0.2">
      <c r="B320" s="1" t="s">
        <v>202</v>
      </c>
      <c r="C320" s="32">
        <v>3809</v>
      </c>
      <c r="D320" s="1">
        <v>15000</v>
      </c>
      <c r="E320" s="1"/>
      <c r="F320" s="1">
        <v>167.3</v>
      </c>
      <c r="G320" s="1">
        <v>15000</v>
      </c>
      <c r="H320" s="5">
        <f t="shared" si="4"/>
        <v>0</v>
      </c>
      <c r="I320" s="1"/>
      <c r="J320" s="1"/>
    </row>
    <row r="321" spans="1:12" ht="15" x14ac:dyDescent="0.25">
      <c r="A321" t="s">
        <v>75</v>
      </c>
      <c r="B321" s="1"/>
      <c r="C321" s="20" t="s">
        <v>9</v>
      </c>
      <c r="D321" s="21">
        <f>SUM(D6:D320)</f>
        <v>7734828</v>
      </c>
      <c r="E321" s="22"/>
      <c r="F321" s="23">
        <f>SUM(F8:F320)</f>
        <v>59791.00600000003</v>
      </c>
      <c r="G321" s="21">
        <f>SUM(G6:G320)</f>
        <v>7734828</v>
      </c>
      <c r="H321" s="22"/>
      <c r="I321" s="24">
        <f>SUM(I8:I156)</f>
        <v>6160600</v>
      </c>
      <c r="J321" s="1"/>
      <c r="K321" t="s">
        <v>75</v>
      </c>
    </row>
    <row r="322" spans="1:12" ht="15" x14ac:dyDescent="0.25">
      <c r="B322" s="1"/>
      <c r="C322" s="20" t="s">
        <v>10</v>
      </c>
      <c r="D322" s="25">
        <f>SUM(D321-I321)</f>
        <v>1574228</v>
      </c>
      <c r="E322" s="22"/>
      <c r="F322" s="22"/>
      <c r="G322" s="26" t="s">
        <v>10</v>
      </c>
      <c r="H322" s="25">
        <f>SUM(G321-I321)</f>
        <v>1574228</v>
      </c>
      <c r="I322" s="25"/>
      <c r="J322" s="1"/>
    </row>
    <row r="323" spans="1:12" ht="15" thickBot="1" x14ac:dyDescent="0.25"/>
    <row r="324" spans="1:12" ht="15.75" thickBot="1" x14ac:dyDescent="0.3">
      <c r="F324" s="66"/>
      <c r="G324" s="67" t="s">
        <v>182</v>
      </c>
      <c r="H324" s="67"/>
      <c r="I324" s="68"/>
    </row>
    <row r="325" spans="1:12" ht="15" x14ac:dyDescent="0.25">
      <c r="F325" s="91" t="s">
        <v>141</v>
      </c>
      <c r="G325" s="90"/>
      <c r="H325" s="90" t="s">
        <v>144</v>
      </c>
      <c r="I325" s="92"/>
    </row>
    <row r="326" spans="1:12" ht="15" x14ac:dyDescent="0.25">
      <c r="F326" s="93" t="s">
        <v>142</v>
      </c>
      <c r="G326" s="87">
        <v>7734828</v>
      </c>
      <c r="H326" s="103" t="s">
        <v>145</v>
      </c>
      <c r="I326" s="95">
        <v>7690006</v>
      </c>
      <c r="K326">
        <f>7690006-7688328</f>
        <v>1678</v>
      </c>
      <c r="L326" t="s">
        <v>149</v>
      </c>
    </row>
    <row r="327" spans="1:12" ht="15.75" thickBot="1" x14ac:dyDescent="0.3">
      <c r="F327" s="94" t="s">
        <v>143</v>
      </c>
      <c r="G327" s="96">
        <v>6160600</v>
      </c>
      <c r="H327" s="96" t="s">
        <v>146</v>
      </c>
      <c r="I327" s="97">
        <v>6166681</v>
      </c>
    </row>
    <row r="328" spans="1:12" ht="15.75" thickBot="1" x14ac:dyDescent="0.3">
      <c r="F328" s="66" t="s">
        <v>95</v>
      </c>
      <c r="G328" s="98">
        <f>7734828-6160600</f>
        <v>1574228</v>
      </c>
      <c r="H328" s="100" t="s">
        <v>95</v>
      </c>
      <c r="I328" s="99">
        <f>7690006-6166681</f>
        <v>1523325</v>
      </c>
      <c r="K328">
        <f>6166681-6160600</f>
        <v>6081</v>
      </c>
      <c r="L328" t="s">
        <v>149</v>
      </c>
    </row>
    <row r="329" spans="1:12" ht="15.75" thickBot="1" x14ac:dyDescent="0.3">
      <c r="H329" s="101" t="s">
        <v>147</v>
      </c>
      <c r="I329" s="156">
        <f>1574228-1523325</f>
        <v>50903</v>
      </c>
      <c r="K329">
        <f>6081-1678</f>
        <v>4403</v>
      </c>
    </row>
  </sheetData>
  <mergeCells count="1">
    <mergeCell ref="D3:G3"/>
  </mergeCells>
  <pageMargins left="0.09" right="0.15" top="0.75" bottom="0.75" header="0.08" footer="0.3"/>
  <pageSetup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5"/>
  <sheetViews>
    <sheetView topLeftCell="A7" workbookViewId="0">
      <selection activeCell="C32" sqref="C32"/>
    </sheetView>
  </sheetViews>
  <sheetFormatPr defaultRowHeight="14.25" x14ac:dyDescent="0.2"/>
  <cols>
    <col min="3" max="3" width="14" customWidth="1"/>
    <col min="4" max="4" width="13.25" customWidth="1"/>
    <col min="6" max="6" width="11.5" customWidth="1"/>
    <col min="7" max="7" width="14.625" customWidth="1"/>
    <col min="8" max="8" width="14.125" customWidth="1"/>
    <col min="9" max="9" width="11.25" customWidth="1"/>
  </cols>
  <sheetData>
    <row r="3" spans="2:15" x14ac:dyDescent="0.2">
      <c r="B3" s="1"/>
      <c r="C3" s="1"/>
      <c r="D3" s="1"/>
      <c r="E3" s="1"/>
      <c r="F3" s="1"/>
      <c r="G3" s="1"/>
      <c r="H3" s="1"/>
      <c r="I3" s="1"/>
      <c r="J3" s="1"/>
    </row>
    <row r="4" spans="2:15" ht="21" x14ac:dyDescent="0.35">
      <c r="B4" s="1"/>
      <c r="C4" s="1"/>
      <c r="D4" s="769" t="s">
        <v>101</v>
      </c>
      <c r="E4" s="769"/>
      <c r="F4" s="769"/>
      <c r="G4" s="769"/>
      <c r="H4" s="1"/>
      <c r="I4" s="1"/>
      <c r="J4" s="1"/>
    </row>
    <row r="5" spans="2:15" ht="18" x14ac:dyDescent="0.25">
      <c r="B5" s="1"/>
      <c r="C5" s="1"/>
      <c r="D5" s="61"/>
      <c r="E5" s="58"/>
      <c r="F5" s="161">
        <v>44743</v>
      </c>
      <c r="H5" s="1"/>
      <c r="I5" s="1"/>
      <c r="J5" s="1"/>
    </row>
    <row r="6" spans="2:15" ht="15" x14ac:dyDescent="0.25">
      <c r="B6" s="30" t="s">
        <v>2</v>
      </c>
      <c r="C6" s="30" t="s">
        <v>97</v>
      </c>
      <c r="D6" s="30" t="s">
        <v>4</v>
      </c>
      <c r="E6" s="59"/>
      <c r="F6" s="30" t="s">
        <v>5</v>
      </c>
      <c r="G6" s="30" t="s">
        <v>4</v>
      </c>
      <c r="H6" s="30" t="s">
        <v>98</v>
      </c>
      <c r="I6" s="107" t="s">
        <v>8</v>
      </c>
      <c r="J6" s="107" t="s">
        <v>2</v>
      </c>
      <c r="O6">
        <v>1527728</v>
      </c>
    </row>
    <row r="7" spans="2:15" ht="15" x14ac:dyDescent="0.25">
      <c r="B7" s="108" t="s">
        <v>202</v>
      </c>
      <c r="C7" s="162" t="s">
        <v>10</v>
      </c>
      <c r="D7" s="162">
        <v>1574228</v>
      </c>
      <c r="E7" s="162"/>
      <c r="F7" s="162"/>
      <c r="G7" s="162">
        <v>1574228</v>
      </c>
      <c r="H7" s="30"/>
      <c r="I7" s="107"/>
      <c r="J7" s="107"/>
      <c r="O7">
        <v>4500</v>
      </c>
    </row>
    <row r="8" spans="2:15" ht="15" x14ac:dyDescent="0.25">
      <c r="B8" s="108" t="s">
        <v>75</v>
      </c>
      <c r="C8" s="162" t="s">
        <v>279</v>
      </c>
      <c r="D8" s="162">
        <v>23903</v>
      </c>
      <c r="E8" s="162"/>
      <c r="F8" s="162"/>
      <c r="G8" s="162">
        <v>23903</v>
      </c>
      <c r="H8" s="1"/>
      <c r="I8" s="1"/>
      <c r="J8" s="1"/>
      <c r="O8">
        <v>12000</v>
      </c>
    </row>
    <row r="9" spans="2:15" ht="15" x14ac:dyDescent="0.25">
      <c r="B9" s="1" t="s">
        <v>203</v>
      </c>
      <c r="C9" s="32">
        <v>205</v>
      </c>
      <c r="D9" s="1">
        <v>14000</v>
      </c>
      <c r="E9" s="1"/>
      <c r="F9" s="1">
        <v>156.15</v>
      </c>
      <c r="G9" s="1">
        <v>14000</v>
      </c>
      <c r="H9" s="5">
        <f t="shared" ref="H9:H72" si="0">D9-G9</f>
        <v>0</v>
      </c>
      <c r="I9" s="30">
        <v>100000</v>
      </c>
      <c r="J9" s="30" t="s">
        <v>203</v>
      </c>
      <c r="K9" s="157" t="s">
        <v>93</v>
      </c>
      <c r="L9" s="157"/>
      <c r="M9" s="157"/>
      <c r="O9">
        <v>30000</v>
      </c>
    </row>
    <row r="10" spans="2:15" ht="15" x14ac:dyDescent="0.25">
      <c r="B10" s="1" t="s">
        <v>203</v>
      </c>
      <c r="C10" s="32" t="s">
        <v>61</v>
      </c>
      <c r="D10" s="1">
        <v>4500</v>
      </c>
      <c r="E10" s="1"/>
      <c r="F10" s="1">
        <v>50.19</v>
      </c>
      <c r="G10" s="1">
        <v>4500</v>
      </c>
      <c r="H10" s="5">
        <f t="shared" si="0"/>
        <v>0</v>
      </c>
      <c r="I10" s="30">
        <v>150000</v>
      </c>
      <c r="J10" s="30" t="s">
        <v>208</v>
      </c>
      <c r="K10" s="157" t="s">
        <v>93</v>
      </c>
      <c r="L10" s="157"/>
      <c r="M10" s="157"/>
      <c r="O10">
        <f>SUM(O6:O9)</f>
        <v>1574228</v>
      </c>
    </row>
    <row r="11" spans="2:15" ht="15" x14ac:dyDescent="0.25">
      <c r="B11" s="1" t="s">
        <v>203</v>
      </c>
      <c r="C11" s="32">
        <v>4551</v>
      </c>
      <c r="D11" s="1">
        <v>30000</v>
      </c>
      <c r="E11" s="1"/>
      <c r="F11" s="1">
        <v>289.64999999999998</v>
      </c>
      <c r="G11" s="1">
        <v>30000</v>
      </c>
      <c r="H11" s="5">
        <f t="shared" si="0"/>
        <v>0</v>
      </c>
      <c r="I11" s="30">
        <v>200000</v>
      </c>
      <c r="J11" s="30" t="s">
        <v>211</v>
      </c>
      <c r="K11" s="157" t="s">
        <v>93</v>
      </c>
      <c r="L11" s="157"/>
      <c r="M11" s="157"/>
    </row>
    <row r="12" spans="2:15" ht="15" x14ac:dyDescent="0.25">
      <c r="B12" s="1" t="s">
        <v>203</v>
      </c>
      <c r="C12" s="32">
        <v>339</v>
      </c>
      <c r="D12" s="1">
        <v>20000</v>
      </c>
      <c r="E12" s="1"/>
      <c r="F12" s="1">
        <v>223.06</v>
      </c>
      <c r="G12" s="1">
        <v>20000</v>
      </c>
      <c r="H12" s="5">
        <f t="shared" si="0"/>
        <v>0</v>
      </c>
      <c r="I12" s="30">
        <v>150000</v>
      </c>
      <c r="J12" s="30" t="s">
        <v>212</v>
      </c>
      <c r="K12" s="157" t="s">
        <v>93</v>
      </c>
      <c r="L12" s="157"/>
      <c r="M12" s="157"/>
    </row>
    <row r="13" spans="2:15" ht="15" x14ac:dyDescent="0.25">
      <c r="B13" s="1" t="s">
        <v>203</v>
      </c>
      <c r="C13" s="32">
        <v>3939</v>
      </c>
      <c r="D13" s="1">
        <v>15000</v>
      </c>
      <c r="E13" s="1"/>
      <c r="F13" s="1">
        <v>167.3</v>
      </c>
      <c r="G13" s="1">
        <v>15000</v>
      </c>
      <c r="H13" s="5">
        <f t="shared" si="0"/>
        <v>0</v>
      </c>
      <c r="I13" s="30">
        <v>200000</v>
      </c>
      <c r="J13" s="30" t="s">
        <v>213</v>
      </c>
      <c r="K13" s="157" t="s">
        <v>93</v>
      </c>
      <c r="L13" s="157"/>
      <c r="M13" s="157"/>
    </row>
    <row r="14" spans="2:15" ht="15" x14ac:dyDescent="0.25">
      <c r="B14" s="1" t="s">
        <v>203</v>
      </c>
      <c r="C14" s="32">
        <v>3359</v>
      </c>
      <c r="D14" s="1">
        <v>20000</v>
      </c>
      <c r="E14" s="1"/>
      <c r="F14" s="1">
        <v>223.06</v>
      </c>
      <c r="G14" s="1">
        <v>20000</v>
      </c>
      <c r="H14" s="5">
        <f t="shared" si="0"/>
        <v>0</v>
      </c>
      <c r="I14" s="30">
        <v>150000</v>
      </c>
      <c r="J14" s="30" t="s">
        <v>214</v>
      </c>
      <c r="K14" s="157" t="s">
        <v>93</v>
      </c>
      <c r="L14" s="157"/>
      <c r="M14" s="157"/>
    </row>
    <row r="15" spans="2:15" ht="15" x14ac:dyDescent="0.25">
      <c r="B15" s="1" t="s">
        <v>203</v>
      </c>
      <c r="C15" s="32">
        <v>2102</v>
      </c>
      <c r="D15" s="1">
        <v>15000</v>
      </c>
      <c r="E15" s="1"/>
      <c r="F15" s="1">
        <v>167.3</v>
      </c>
      <c r="G15" s="1">
        <v>15000</v>
      </c>
      <c r="H15" s="5">
        <f t="shared" si="0"/>
        <v>0</v>
      </c>
      <c r="I15" s="30">
        <v>150000</v>
      </c>
      <c r="J15" s="30" t="s">
        <v>215</v>
      </c>
      <c r="K15" s="157" t="s">
        <v>93</v>
      </c>
      <c r="L15" s="157"/>
      <c r="M15" s="157"/>
    </row>
    <row r="16" spans="2:15" ht="15" x14ac:dyDescent="0.25">
      <c r="B16" s="1" t="s">
        <v>203</v>
      </c>
      <c r="C16" s="32">
        <v>3756</v>
      </c>
      <c r="D16" s="1">
        <v>30000</v>
      </c>
      <c r="E16" s="1"/>
      <c r="F16" s="1">
        <v>322.3</v>
      </c>
      <c r="G16" s="1">
        <v>30000</v>
      </c>
      <c r="H16" s="5">
        <f t="shared" si="0"/>
        <v>0</v>
      </c>
      <c r="I16" s="30">
        <v>200000</v>
      </c>
      <c r="J16" s="30" t="s">
        <v>218</v>
      </c>
      <c r="K16" s="157" t="s">
        <v>93</v>
      </c>
      <c r="L16" s="157"/>
      <c r="M16" s="157"/>
    </row>
    <row r="17" spans="2:14" ht="15" x14ac:dyDescent="0.25">
      <c r="B17" s="1" t="s">
        <v>203</v>
      </c>
      <c r="C17" s="32">
        <v>3374</v>
      </c>
      <c r="D17" s="1">
        <v>30000</v>
      </c>
      <c r="E17" s="1"/>
      <c r="F17" s="1">
        <v>322.3</v>
      </c>
      <c r="G17" s="1">
        <v>30000</v>
      </c>
      <c r="H17" s="5">
        <f t="shared" si="0"/>
        <v>0</v>
      </c>
      <c r="I17" s="30">
        <v>100000</v>
      </c>
      <c r="J17" s="30" t="s">
        <v>219</v>
      </c>
      <c r="K17" s="157" t="s">
        <v>93</v>
      </c>
      <c r="L17" s="157"/>
      <c r="M17" s="157"/>
    </row>
    <row r="18" spans="2:14" ht="15" x14ac:dyDescent="0.25">
      <c r="B18" s="1" t="s">
        <v>203</v>
      </c>
      <c r="C18" s="32">
        <v>3259</v>
      </c>
      <c r="D18" s="1">
        <v>20000</v>
      </c>
      <c r="E18" s="1"/>
      <c r="F18" s="1">
        <v>223.06</v>
      </c>
      <c r="G18" s="1">
        <v>20000</v>
      </c>
      <c r="H18" s="5">
        <f t="shared" si="0"/>
        <v>0</v>
      </c>
      <c r="I18" s="30">
        <v>150000</v>
      </c>
      <c r="J18" s="30" t="s">
        <v>220</v>
      </c>
      <c r="K18" s="157" t="s">
        <v>93</v>
      </c>
      <c r="L18" s="157"/>
      <c r="M18" s="157"/>
    </row>
    <row r="19" spans="2:14" ht="15" x14ac:dyDescent="0.25">
      <c r="B19" s="1" t="s">
        <v>208</v>
      </c>
      <c r="C19" s="32" t="s">
        <v>66</v>
      </c>
      <c r="D19" s="1">
        <v>200</v>
      </c>
      <c r="E19" s="1"/>
      <c r="F19" s="1"/>
      <c r="G19" s="1">
        <v>200</v>
      </c>
      <c r="H19" s="5">
        <f t="shared" si="0"/>
        <v>0</v>
      </c>
      <c r="I19" s="30">
        <v>100000</v>
      </c>
      <c r="J19" s="30" t="s">
        <v>221</v>
      </c>
      <c r="K19" s="157" t="s">
        <v>93</v>
      </c>
      <c r="L19" s="157"/>
      <c r="M19" s="157"/>
    </row>
    <row r="20" spans="2:14" ht="15" x14ac:dyDescent="0.25">
      <c r="B20" s="1" t="s">
        <v>208</v>
      </c>
      <c r="C20" s="32">
        <v>9454</v>
      </c>
      <c r="D20" s="1">
        <v>34000</v>
      </c>
      <c r="E20" s="1"/>
      <c r="F20" s="1">
        <v>245.37</v>
      </c>
      <c r="G20" s="1">
        <v>34000</v>
      </c>
      <c r="H20" s="5">
        <f t="shared" si="0"/>
        <v>0</v>
      </c>
      <c r="I20" s="30">
        <v>100000</v>
      </c>
      <c r="J20" s="30" t="s">
        <v>222</v>
      </c>
      <c r="K20" s="157" t="s">
        <v>93</v>
      </c>
      <c r="L20" s="157"/>
      <c r="M20" s="157"/>
    </row>
    <row r="21" spans="2:14" ht="15" x14ac:dyDescent="0.25">
      <c r="B21" s="1" t="s">
        <v>208</v>
      </c>
      <c r="C21" s="32">
        <v>3652</v>
      </c>
      <c r="D21" s="1">
        <v>28000</v>
      </c>
      <c r="E21" s="1"/>
      <c r="F21" s="1">
        <v>377.43</v>
      </c>
      <c r="G21" s="1">
        <v>28000</v>
      </c>
      <c r="H21" s="5">
        <f t="shared" si="0"/>
        <v>0</v>
      </c>
      <c r="I21" s="30">
        <v>100000</v>
      </c>
      <c r="J21" s="30" t="s">
        <v>223</v>
      </c>
      <c r="K21" s="157" t="s">
        <v>93</v>
      </c>
      <c r="L21" s="157"/>
      <c r="M21" s="157"/>
    </row>
    <row r="22" spans="2:14" ht="15" x14ac:dyDescent="0.25">
      <c r="B22" s="1" t="s">
        <v>208</v>
      </c>
      <c r="C22" s="32">
        <v>3374</v>
      </c>
      <c r="D22" s="1">
        <v>40000</v>
      </c>
      <c r="E22" s="1"/>
      <c r="F22" s="1">
        <v>312.29000000000002</v>
      </c>
      <c r="G22" s="1">
        <v>40000</v>
      </c>
      <c r="H22" s="5">
        <f t="shared" si="0"/>
        <v>0</v>
      </c>
      <c r="I22" s="30">
        <v>100000</v>
      </c>
      <c r="J22" s="30" t="s">
        <v>225</v>
      </c>
      <c r="K22" s="157" t="s">
        <v>93</v>
      </c>
      <c r="L22" s="157"/>
      <c r="M22" s="157"/>
    </row>
    <row r="23" spans="2:14" ht="15" x14ac:dyDescent="0.25">
      <c r="B23" s="1" t="s">
        <v>208</v>
      </c>
      <c r="C23" s="32">
        <v>5898</v>
      </c>
      <c r="D23" s="1">
        <v>20000</v>
      </c>
      <c r="E23" s="1"/>
      <c r="F23" s="1">
        <v>223.06</v>
      </c>
      <c r="G23" s="1">
        <v>20000</v>
      </c>
      <c r="H23" s="5">
        <f t="shared" si="0"/>
        <v>0</v>
      </c>
      <c r="I23" s="30">
        <v>100000</v>
      </c>
      <c r="J23" s="30" t="s">
        <v>226</v>
      </c>
      <c r="K23" s="157" t="s">
        <v>93</v>
      </c>
      <c r="L23" s="157"/>
      <c r="M23" s="157"/>
    </row>
    <row r="24" spans="2:14" ht="15" x14ac:dyDescent="0.25">
      <c r="B24" s="1" t="s">
        <v>209</v>
      </c>
      <c r="C24" s="32">
        <v>3341</v>
      </c>
      <c r="D24" s="1">
        <v>20000</v>
      </c>
      <c r="E24" s="1"/>
      <c r="F24" s="1">
        <v>223.06</v>
      </c>
      <c r="G24" s="1">
        <v>20000</v>
      </c>
      <c r="H24" s="5">
        <f t="shared" si="0"/>
        <v>0</v>
      </c>
      <c r="I24" s="30">
        <v>250000</v>
      </c>
      <c r="J24" s="30" t="s">
        <v>227</v>
      </c>
      <c r="K24" s="157" t="s">
        <v>93</v>
      </c>
      <c r="L24" s="157"/>
      <c r="M24" s="157"/>
    </row>
    <row r="25" spans="2:14" ht="15" x14ac:dyDescent="0.25">
      <c r="B25" s="1" t="s">
        <v>209</v>
      </c>
      <c r="C25" s="32" t="s">
        <v>61</v>
      </c>
      <c r="D25" s="1">
        <v>5000</v>
      </c>
      <c r="E25" s="1"/>
      <c r="F25" s="1">
        <v>55.77</v>
      </c>
      <c r="G25" s="1">
        <v>5000</v>
      </c>
      <c r="H25" s="5">
        <f t="shared" si="0"/>
        <v>0</v>
      </c>
      <c r="I25" s="30">
        <v>300000</v>
      </c>
      <c r="J25" s="30" t="s">
        <v>228</v>
      </c>
      <c r="K25" s="157" t="s">
        <v>93</v>
      </c>
      <c r="L25" s="157"/>
      <c r="M25" s="157"/>
    </row>
    <row r="26" spans="2:14" ht="15" x14ac:dyDescent="0.25">
      <c r="B26" s="1" t="s">
        <v>209</v>
      </c>
      <c r="C26" s="32">
        <v>4713</v>
      </c>
      <c r="D26" s="1">
        <v>15000</v>
      </c>
      <c r="E26" s="1"/>
      <c r="F26" s="1">
        <v>167.3</v>
      </c>
      <c r="G26" s="1">
        <v>15000</v>
      </c>
      <c r="H26" s="5">
        <f t="shared" si="0"/>
        <v>0</v>
      </c>
      <c r="I26" s="111">
        <v>50000</v>
      </c>
      <c r="J26" s="111" t="s">
        <v>228</v>
      </c>
      <c r="K26" s="112" t="s">
        <v>229</v>
      </c>
      <c r="L26" s="113"/>
      <c r="M26" s="113"/>
      <c r="N26" s="113"/>
    </row>
    <row r="27" spans="2:14" ht="15" x14ac:dyDescent="0.25">
      <c r="B27" s="1" t="s">
        <v>209</v>
      </c>
      <c r="C27" s="32" t="s">
        <v>63</v>
      </c>
      <c r="D27" s="1">
        <v>3500</v>
      </c>
      <c r="E27" s="1"/>
      <c r="F27" s="1">
        <v>39.03</v>
      </c>
      <c r="G27" s="1">
        <v>3500</v>
      </c>
      <c r="H27" s="5">
        <f t="shared" si="0"/>
        <v>0</v>
      </c>
      <c r="I27" s="30">
        <v>400000</v>
      </c>
      <c r="J27" s="30" t="s">
        <v>230</v>
      </c>
      <c r="K27" s="157" t="s">
        <v>93</v>
      </c>
      <c r="L27" s="157"/>
      <c r="M27" s="157"/>
    </row>
    <row r="28" spans="2:14" ht="15" x14ac:dyDescent="0.25">
      <c r="B28" s="1" t="s">
        <v>209</v>
      </c>
      <c r="C28" s="32">
        <v>8751</v>
      </c>
      <c r="D28" s="1">
        <v>10000</v>
      </c>
      <c r="E28" s="1"/>
      <c r="F28" s="1">
        <v>111.53</v>
      </c>
      <c r="G28" s="1">
        <v>10000</v>
      </c>
      <c r="H28" s="5">
        <f t="shared" si="0"/>
        <v>0</v>
      </c>
      <c r="I28" s="30">
        <v>200000</v>
      </c>
      <c r="J28" s="30" t="s">
        <v>231</v>
      </c>
      <c r="K28" s="157" t="s">
        <v>93</v>
      </c>
      <c r="L28" s="157"/>
      <c r="M28" s="157"/>
    </row>
    <row r="29" spans="2:14" ht="15" x14ac:dyDescent="0.25">
      <c r="B29" s="1" t="s">
        <v>209</v>
      </c>
      <c r="C29" s="32">
        <v>7371</v>
      </c>
      <c r="D29" s="1">
        <v>23000</v>
      </c>
      <c r="E29" s="1"/>
      <c r="F29" s="1">
        <v>234.25</v>
      </c>
      <c r="G29" s="1">
        <v>23000</v>
      </c>
      <c r="H29" s="5">
        <f t="shared" si="0"/>
        <v>0</v>
      </c>
      <c r="I29" s="30">
        <v>100000</v>
      </c>
      <c r="J29" s="30" t="s">
        <v>234</v>
      </c>
      <c r="K29" s="157" t="s">
        <v>93</v>
      </c>
      <c r="L29" s="157"/>
      <c r="M29" s="157"/>
    </row>
    <row r="30" spans="2:14" ht="15" x14ac:dyDescent="0.25">
      <c r="B30" s="1" t="s">
        <v>211</v>
      </c>
      <c r="C30" s="32" t="s">
        <v>61</v>
      </c>
      <c r="D30" s="1">
        <v>4500</v>
      </c>
      <c r="E30" s="1"/>
      <c r="F30" s="1">
        <v>50.14</v>
      </c>
      <c r="G30" s="1">
        <v>4500</v>
      </c>
      <c r="H30" s="5">
        <f t="shared" si="0"/>
        <v>0</v>
      </c>
      <c r="I30" s="30">
        <v>100000</v>
      </c>
      <c r="J30" s="30" t="s">
        <v>235</v>
      </c>
      <c r="K30" s="157" t="s">
        <v>93</v>
      </c>
      <c r="L30" s="157"/>
      <c r="M30" s="157"/>
    </row>
    <row r="31" spans="2:14" ht="15" x14ac:dyDescent="0.25">
      <c r="B31" s="1" t="s">
        <v>211</v>
      </c>
      <c r="C31" s="32">
        <v>9998</v>
      </c>
      <c r="D31" s="1">
        <v>17000</v>
      </c>
      <c r="E31" s="1"/>
      <c r="F31" s="1">
        <v>189.61</v>
      </c>
      <c r="G31" s="1">
        <v>17000</v>
      </c>
      <c r="H31" s="5">
        <f t="shared" si="0"/>
        <v>0</v>
      </c>
      <c r="I31" s="30">
        <v>100000</v>
      </c>
      <c r="J31" s="30" t="s">
        <v>236</v>
      </c>
      <c r="K31" s="157" t="s">
        <v>93</v>
      </c>
      <c r="L31" s="157"/>
      <c r="M31" s="157"/>
    </row>
    <row r="32" spans="2:14" ht="15" x14ac:dyDescent="0.25">
      <c r="B32" s="1" t="s">
        <v>211</v>
      </c>
      <c r="C32" s="32">
        <v>3773</v>
      </c>
      <c r="D32" s="1">
        <v>28000</v>
      </c>
      <c r="E32" s="1"/>
      <c r="F32" s="1">
        <v>312</v>
      </c>
      <c r="G32" s="1">
        <v>28000</v>
      </c>
      <c r="H32" s="5">
        <f t="shared" si="0"/>
        <v>0</v>
      </c>
      <c r="I32" s="30">
        <v>300000</v>
      </c>
      <c r="J32" s="30" t="s">
        <v>237</v>
      </c>
      <c r="K32" s="157" t="s">
        <v>93</v>
      </c>
      <c r="L32" s="157"/>
      <c r="M32" s="157"/>
    </row>
    <row r="33" spans="2:13" ht="15" x14ac:dyDescent="0.25">
      <c r="B33" s="1" t="s">
        <v>211</v>
      </c>
      <c r="C33" s="32">
        <v>1912</v>
      </c>
      <c r="D33" s="1">
        <v>32000</v>
      </c>
      <c r="E33" s="1"/>
      <c r="F33" s="1">
        <v>356.2</v>
      </c>
      <c r="G33" s="1">
        <v>32000</v>
      </c>
      <c r="H33" s="5">
        <f t="shared" si="0"/>
        <v>0</v>
      </c>
      <c r="I33" s="30">
        <v>300000</v>
      </c>
      <c r="J33" s="30" t="s">
        <v>238</v>
      </c>
      <c r="K33" s="157" t="s">
        <v>93</v>
      </c>
      <c r="L33" s="157"/>
      <c r="M33" s="157"/>
    </row>
    <row r="34" spans="2:13" ht="15" x14ac:dyDescent="0.25">
      <c r="B34" s="1" t="s">
        <v>211</v>
      </c>
      <c r="C34" s="32">
        <v>808</v>
      </c>
      <c r="D34" s="1">
        <v>15000</v>
      </c>
      <c r="E34" s="1"/>
      <c r="F34" s="1">
        <v>167.9</v>
      </c>
      <c r="G34" s="1">
        <v>15000</v>
      </c>
      <c r="H34" s="5">
        <f t="shared" si="0"/>
        <v>0</v>
      </c>
      <c r="I34" s="30">
        <v>400000</v>
      </c>
      <c r="J34" s="30" t="s">
        <v>239</v>
      </c>
      <c r="K34" s="157" t="s">
        <v>93</v>
      </c>
      <c r="L34" s="157"/>
      <c r="M34" s="157"/>
    </row>
    <row r="35" spans="2:13" ht="15" x14ac:dyDescent="0.25">
      <c r="B35" s="1" t="s">
        <v>211</v>
      </c>
      <c r="C35" s="32">
        <v>8436</v>
      </c>
      <c r="D35" s="1">
        <v>29000</v>
      </c>
      <c r="E35" s="1"/>
      <c r="F35" s="1">
        <v>323.44</v>
      </c>
      <c r="G35" s="1">
        <v>29000</v>
      </c>
      <c r="H35" s="5">
        <f t="shared" si="0"/>
        <v>0</v>
      </c>
      <c r="I35" s="30"/>
      <c r="J35" s="30"/>
      <c r="K35" s="157"/>
      <c r="L35" s="157"/>
      <c r="M35" s="157"/>
    </row>
    <row r="36" spans="2:13" ht="15" x14ac:dyDescent="0.25">
      <c r="B36" s="1" t="s">
        <v>212</v>
      </c>
      <c r="C36" s="32" t="s">
        <v>63</v>
      </c>
      <c r="D36" s="1">
        <v>3500</v>
      </c>
      <c r="E36" s="1"/>
      <c r="F36" s="1">
        <v>39.03</v>
      </c>
      <c r="G36" s="1">
        <v>3500</v>
      </c>
      <c r="H36" s="5">
        <f t="shared" si="0"/>
        <v>0</v>
      </c>
      <c r="I36" s="30"/>
      <c r="J36" s="30"/>
      <c r="K36" s="157"/>
      <c r="L36" s="157"/>
      <c r="M36" s="157"/>
    </row>
    <row r="37" spans="2:13" x14ac:dyDescent="0.2">
      <c r="B37" s="1" t="s">
        <v>212</v>
      </c>
      <c r="C37" s="32" t="s">
        <v>66</v>
      </c>
      <c r="D37" s="1">
        <v>200</v>
      </c>
      <c r="E37" s="1"/>
      <c r="F37" s="1"/>
      <c r="G37" s="1">
        <v>200</v>
      </c>
      <c r="H37" s="5">
        <f t="shared" si="0"/>
        <v>0</v>
      </c>
      <c r="I37" s="1"/>
      <c r="J37" s="1"/>
    </row>
    <row r="38" spans="2:13" x14ac:dyDescent="0.2">
      <c r="B38" s="1" t="s">
        <v>212</v>
      </c>
      <c r="C38" s="32">
        <v>9735</v>
      </c>
      <c r="D38" s="1">
        <v>23000</v>
      </c>
      <c r="E38" s="1"/>
      <c r="F38" s="1">
        <v>236.76</v>
      </c>
      <c r="G38" s="1">
        <v>23000</v>
      </c>
      <c r="H38" s="5">
        <f t="shared" si="0"/>
        <v>0</v>
      </c>
      <c r="I38" s="1"/>
      <c r="J38" s="1"/>
    </row>
    <row r="39" spans="2:13" x14ac:dyDescent="0.2">
      <c r="B39" s="1" t="s">
        <v>213</v>
      </c>
      <c r="C39" s="32">
        <v>9795</v>
      </c>
      <c r="D39" s="1">
        <v>24000</v>
      </c>
      <c r="E39" s="1"/>
      <c r="F39" s="1">
        <v>267.68</v>
      </c>
      <c r="G39" s="1">
        <v>24000</v>
      </c>
      <c r="H39" s="5">
        <f t="shared" si="0"/>
        <v>0</v>
      </c>
      <c r="I39" s="1"/>
      <c r="J39" s="1"/>
    </row>
    <row r="40" spans="2:13" x14ac:dyDescent="0.2">
      <c r="B40" s="1" t="s">
        <v>213</v>
      </c>
      <c r="C40" s="32">
        <v>3597</v>
      </c>
      <c r="D40" s="1">
        <v>16000</v>
      </c>
      <c r="E40" s="1"/>
      <c r="F40" s="1">
        <v>178.45</v>
      </c>
      <c r="G40" s="1">
        <v>16000</v>
      </c>
      <c r="H40" s="5">
        <f t="shared" si="0"/>
        <v>0</v>
      </c>
      <c r="I40" s="1"/>
      <c r="J40" s="1"/>
    </row>
    <row r="41" spans="2:13" x14ac:dyDescent="0.2">
      <c r="B41" s="1" t="s">
        <v>213</v>
      </c>
      <c r="C41" s="32">
        <v>65</v>
      </c>
      <c r="D41" s="1">
        <v>5000</v>
      </c>
      <c r="E41" s="1"/>
      <c r="F41" s="1">
        <v>55.77</v>
      </c>
      <c r="G41" s="1">
        <v>5000</v>
      </c>
      <c r="H41" s="5">
        <f t="shared" si="0"/>
        <v>0</v>
      </c>
      <c r="I41" s="1"/>
      <c r="J41" s="1"/>
    </row>
    <row r="42" spans="2:13" x14ac:dyDescent="0.2">
      <c r="B42" s="1" t="s">
        <v>213</v>
      </c>
      <c r="C42" s="32">
        <v>2979</v>
      </c>
      <c r="D42" s="1">
        <v>28000</v>
      </c>
      <c r="E42" s="1"/>
      <c r="F42" s="1">
        <v>296.08999999999997</v>
      </c>
      <c r="G42" s="1">
        <v>28000</v>
      </c>
      <c r="H42" s="5">
        <f t="shared" si="0"/>
        <v>0</v>
      </c>
      <c r="I42" s="1"/>
      <c r="J42" s="1"/>
    </row>
    <row r="43" spans="2:13" x14ac:dyDescent="0.2">
      <c r="B43" s="1" t="s">
        <v>213</v>
      </c>
      <c r="C43" s="32">
        <v>7538</v>
      </c>
      <c r="D43" s="1">
        <v>15000</v>
      </c>
      <c r="E43" s="1"/>
      <c r="F43" s="1">
        <v>167.3</v>
      </c>
      <c r="G43" s="1">
        <v>15000</v>
      </c>
      <c r="H43" s="5">
        <f t="shared" si="0"/>
        <v>0</v>
      </c>
      <c r="I43" s="1"/>
      <c r="J43" s="1"/>
    </row>
    <row r="44" spans="2:13" x14ac:dyDescent="0.2">
      <c r="B44" s="1" t="s">
        <v>213</v>
      </c>
      <c r="C44" s="32">
        <v>9931</v>
      </c>
      <c r="D44" s="1">
        <v>15000</v>
      </c>
      <c r="E44" s="1"/>
      <c r="F44" s="1">
        <v>207.46</v>
      </c>
      <c r="G44" s="1">
        <v>15000</v>
      </c>
      <c r="H44" s="5">
        <f t="shared" si="0"/>
        <v>0</v>
      </c>
      <c r="I44" s="1"/>
      <c r="J44" s="1"/>
    </row>
    <row r="45" spans="2:13" x14ac:dyDescent="0.2">
      <c r="B45" s="1" t="s">
        <v>213</v>
      </c>
      <c r="C45" s="32">
        <v>5450</v>
      </c>
      <c r="D45" s="1">
        <v>23000</v>
      </c>
      <c r="E45" s="1"/>
      <c r="F45" s="1">
        <v>223.06</v>
      </c>
      <c r="G45" s="1">
        <v>23000</v>
      </c>
      <c r="H45" s="5">
        <f t="shared" si="0"/>
        <v>0</v>
      </c>
      <c r="I45" s="1"/>
      <c r="J45" s="1"/>
    </row>
    <row r="46" spans="2:13" x14ac:dyDescent="0.2">
      <c r="B46" s="1" t="s">
        <v>214</v>
      </c>
      <c r="C46" s="32" t="s">
        <v>30</v>
      </c>
      <c r="D46" s="1">
        <v>5000</v>
      </c>
      <c r="E46" s="1"/>
      <c r="F46" s="1">
        <v>55.77</v>
      </c>
      <c r="G46" s="1">
        <v>5000</v>
      </c>
      <c r="H46" s="5">
        <f t="shared" si="0"/>
        <v>0</v>
      </c>
      <c r="I46" s="1"/>
      <c r="J46" s="1"/>
    </row>
    <row r="47" spans="2:13" x14ac:dyDescent="0.2">
      <c r="B47" s="1" t="s">
        <v>214</v>
      </c>
      <c r="C47" s="32">
        <v>3682</v>
      </c>
      <c r="D47" s="1">
        <v>28000</v>
      </c>
      <c r="E47" s="1"/>
      <c r="F47" s="1">
        <v>312.29000000000002</v>
      </c>
      <c r="G47" s="1">
        <v>28000</v>
      </c>
      <c r="H47" s="5">
        <f t="shared" si="0"/>
        <v>0</v>
      </c>
      <c r="I47" s="1"/>
      <c r="J47" s="1"/>
    </row>
    <row r="48" spans="2:13" x14ac:dyDescent="0.2">
      <c r="B48" s="1" t="s">
        <v>214</v>
      </c>
      <c r="C48" s="32">
        <v>7984</v>
      </c>
      <c r="D48" s="1">
        <v>15000</v>
      </c>
      <c r="E48" s="1"/>
      <c r="F48" s="1">
        <v>190.73</v>
      </c>
      <c r="G48" s="1">
        <v>15000</v>
      </c>
      <c r="H48" s="5">
        <f t="shared" si="0"/>
        <v>0</v>
      </c>
      <c r="I48" s="1"/>
      <c r="J48" s="1"/>
    </row>
    <row r="49" spans="2:10" x14ac:dyDescent="0.2">
      <c r="B49" s="1" t="s">
        <v>214</v>
      </c>
      <c r="C49" s="32">
        <v>1268</v>
      </c>
      <c r="D49" s="1">
        <v>32000</v>
      </c>
      <c r="E49" s="1"/>
      <c r="F49" s="1">
        <v>349.1</v>
      </c>
      <c r="G49" s="1">
        <v>32000</v>
      </c>
      <c r="H49" s="5">
        <f t="shared" si="0"/>
        <v>0</v>
      </c>
      <c r="I49" s="1"/>
      <c r="J49" s="1"/>
    </row>
    <row r="50" spans="2:10" x14ac:dyDescent="0.2">
      <c r="B50" s="1" t="s">
        <v>215</v>
      </c>
      <c r="C50" s="32" t="s">
        <v>30</v>
      </c>
      <c r="D50" s="1">
        <v>3500</v>
      </c>
      <c r="E50" s="1"/>
      <c r="F50" s="1">
        <v>39.03</v>
      </c>
      <c r="G50" s="1">
        <v>3500</v>
      </c>
      <c r="H50" s="5">
        <f t="shared" si="0"/>
        <v>0</v>
      </c>
      <c r="I50" s="1"/>
      <c r="J50" s="1"/>
    </row>
    <row r="51" spans="2:10" x14ac:dyDescent="0.2">
      <c r="B51" s="1" t="s">
        <v>215</v>
      </c>
      <c r="C51" s="32">
        <v>189</v>
      </c>
      <c r="D51" s="1">
        <v>20000</v>
      </c>
      <c r="E51" s="1"/>
      <c r="F51" s="1">
        <v>223.06</v>
      </c>
      <c r="G51" s="1">
        <v>20000</v>
      </c>
      <c r="H51" s="5">
        <f t="shared" si="0"/>
        <v>0</v>
      </c>
      <c r="I51" s="1"/>
      <c r="J51" s="1"/>
    </row>
    <row r="52" spans="2:10" x14ac:dyDescent="0.2">
      <c r="B52" s="1" t="s">
        <v>215</v>
      </c>
      <c r="C52" s="32">
        <v>8581</v>
      </c>
      <c r="D52" s="1">
        <v>20000</v>
      </c>
      <c r="E52" s="1"/>
      <c r="F52" s="1">
        <v>223.06</v>
      </c>
      <c r="G52" s="1">
        <v>20000</v>
      </c>
      <c r="H52" s="5">
        <f t="shared" si="0"/>
        <v>0</v>
      </c>
      <c r="I52" s="1"/>
      <c r="J52" s="1"/>
    </row>
    <row r="53" spans="2:10" x14ac:dyDescent="0.2">
      <c r="B53" s="1" t="s">
        <v>215</v>
      </c>
      <c r="C53" s="32" t="s">
        <v>66</v>
      </c>
      <c r="D53" s="1">
        <v>200</v>
      </c>
      <c r="E53" s="1"/>
      <c r="F53" s="1"/>
      <c r="G53" s="1">
        <v>200</v>
      </c>
      <c r="H53" s="5">
        <f t="shared" si="0"/>
        <v>0</v>
      </c>
      <c r="I53" s="1"/>
      <c r="J53" s="1"/>
    </row>
    <row r="54" spans="2:10" x14ac:dyDescent="0.2">
      <c r="B54" s="1" t="s">
        <v>215</v>
      </c>
      <c r="C54" s="32">
        <v>2230</v>
      </c>
      <c r="D54" s="1">
        <v>20000</v>
      </c>
      <c r="E54" s="1"/>
      <c r="F54" s="1">
        <v>223.06</v>
      </c>
      <c r="G54" s="1">
        <v>20000</v>
      </c>
      <c r="H54" s="5">
        <f t="shared" si="0"/>
        <v>0</v>
      </c>
      <c r="I54" s="1"/>
      <c r="J54" s="1"/>
    </row>
    <row r="55" spans="2:10" x14ac:dyDescent="0.2">
      <c r="B55" s="1" t="s">
        <v>216</v>
      </c>
      <c r="C55" s="32">
        <v>6878</v>
      </c>
      <c r="D55" s="1">
        <v>20000</v>
      </c>
      <c r="E55" s="1"/>
      <c r="F55" s="1">
        <v>223.06</v>
      </c>
      <c r="G55" s="1">
        <v>20000</v>
      </c>
      <c r="H55" s="5">
        <f t="shared" si="0"/>
        <v>0</v>
      </c>
      <c r="I55" s="1"/>
      <c r="J55" s="1"/>
    </row>
    <row r="56" spans="2:10" x14ac:dyDescent="0.2">
      <c r="B56" s="1" t="s">
        <v>216</v>
      </c>
      <c r="C56" s="32">
        <v>5100</v>
      </c>
      <c r="D56" s="1">
        <v>18000</v>
      </c>
      <c r="E56" s="1"/>
      <c r="F56" s="1">
        <v>189</v>
      </c>
      <c r="G56" s="1">
        <v>18000</v>
      </c>
      <c r="H56" s="5">
        <f t="shared" si="0"/>
        <v>0</v>
      </c>
      <c r="I56" s="1"/>
      <c r="J56" s="1"/>
    </row>
    <row r="57" spans="2:10" x14ac:dyDescent="0.2">
      <c r="B57" s="1" t="s">
        <v>216</v>
      </c>
      <c r="C57" s="32">
        <v>3474</v>
      </c>
      <c r="D57" s="1">
        <v>20000</v>
      </c>
      <c r="E57" s="1"/>
      <c r="F57" s="1">
        <v>223.06</v>
      </c>
      <c r="G57" s="1">
        <v>20000</v>
      </c>
      <c r="H57" s="5">
        <f t="shared" si="0"/>
        <v>0</v>
      </c>
      <c r="I57" s="1"/>
      <c r="J57" s="1"/>
    </row>
    <row r="58" spans="2:10" x14ac:dyDescent="0.2">
      <c r="B58" s="1" t="s">
        <v>216</v>
      </c>
      <c r="C58" s="32" t="s">
        <v>61</v>
      </c>
      <c r="D58" s="1">
        <v>4500</v>
      </c>
      <c r="E58" s="1"/>
      <c r="F58" s="1">
        <v>50.18</v>
      </c>
      <c r="G58" s="1">
        <v>4500</v>
      </c>
      <c r="H58" s="5">
        <f t="shared" si="0"/>
        <v>0</v>
      </c>
      <c r="I58" s="1"/>
      <c r="J58" s="1"/>
    </row>
    <row r="59" spans="2:10" x14ac:dyDescent="0.2">
      <c r="B59" s="1" t="s">
        <v>216</v>
      </c>
      <c r="C59" s="32">
        <v>3127</v>
      </c>
      <c r="D59" s="1">
        <v>20000</v>
      </c>
      <c r="E59" s="1"/>
      <c r="F59" s="1">
        <v>223.06</v>
      </c>
      <c r="G59" s="1">
        <v>20000</v>
      </c>
      <c r="H59" s="5">
        <f t="shared" si="0"/>
        <v>0</v>
      </c>
      <c r="I59" s="1"/>
      <c r="J59" s="1"/>
    </row>
    <row r="60" spans="2:10" x14ac:dyDescent="0.2">
      <c r="B60" s="1" t="s">
        <v>216</v>
      </c>
      <c r="C60" s="32">
        <v>5603</v>
      </c>
      <c r="D60" s="1">
        <v>5000</v>
      </c>
      <c r="E60" s="1"/>
      <c r="F60" s="1">
        <v>55.77</v>
      </c>
      <c r="G60" s="1">
        <v>5000</v>
      </c>
      <c r="H60" s="5">
        <f t="shared" si="0"/>
        <v>0</v>
      </c>
      <c r="I60" s="1"/>
      <c r="J60" s="1"/>
    </row>
    <row r="61" spans="2:10" x14ac:dyDescent="0.2">
      <c r="B61" s="1" t="s">
        <v>217</v>
      </c>
      <c r="C61" s="32" t="s">
        <v>30</v>
      </c>
      <c r="D61" s="1">
        <v>5000</v>
      </c>
      <c r="E61" s="1"/>
      <c r="F61" s="1">
        <v>55.77</v>
      </c>
      <c r="G61" s="1">
        <v>5000</v>
      </c>
      <c r="H61" s="5">
        <f t="shared" si="0"/>
        <v>0</v>
      </c>
      <c r="I61" s="1"/>
      <c r="J61" s="1"/>
    </row>
    <row r="62" spans="2:10" x14ac:dyDescent="0.2">
      <c r="B62" s="1" t="s">
        <v>217</v>
      </c>
      <c r="C62" s="32">
        <v>8696</v>
      </c>
      <c r="D62" s="1">
        <v>27000</v>
      </c>
      <c r="E62" s="1"/>
      <c r="F62" s="1">
        <v>235</v>
      </c>
      <c r="G62" s="1">
        <v>27000</v>
      </c>
      <c r="H62" s="5">
        <f t="shared" si="0"/>
        <v>0</v>
      </c>
      <c r="I62" s="1"/>
      <c r="J62" s="1"/>
    </row>
    <row r="63" spans="2:10" x14ac:dyDescent="0.2">
      <c r="B63" s="1" t="s">
        <v>217</v>
      </c>
      <c r="C63" s="32">
        <v>3939</v>
      </c>
      <c r="D63" s="1">
        <v>15000</v>
      </c>
      <c r="E63" s="1"/>
      <c r="F63" s="1">
        <v>167.3</v>
      </c>
      <c r="G63" s="1">
        <v>15000</v>
      </c>
      <c r="H63" s="5">
        <f t="shared" si="0"/>
        <v>0</v>
      </c>
      <c r="I63" s="1"/>
      <c r="J63" s="1"/>
    </row>
    <row r="64" spans="2:10" x14ac:dyDescent="0.2">
      <c r="B64" s="1" t="s">
        <v>217</v>
      </c>
      <c r="C64" s="32" t="s">
        <v>66</v>
      </c>
      <c r="D64" s="1">
        <v>200</v>
      </c>
      <c r="E64" s="1"/>
      <c r="F64" s="1"/>
      <c r="G64" s="1">
        <v>200</v>
      </c>
      <c r="H64" s="5">
        <f t="shared" si="0"/>
        <v>0</v>
      </c>
      <c r="I64" s="1"/>
      <c r="J64" s="1"/>
    </row>
    <row r="65" spans="2:13" x14ac:dyDescent="0.2">
      <c r="B65" s="1" t="s">
        <v>218</v>
      </c>
      <c r="C65" s="32">
        <v>8674</v>
      </c>
      <c r="D65" s="1">
        <v>18000</v>
      </c>
      <c r="E65" s="1"/>
      <c r="F65" s="1">
        <v>200.76</v>
      </c>
      <c r="G65" s="1">
        <v>18000</v>
      </c>
      <c r="H65" s="5">
        <f t="shared" si="0"/>
        <v>0</v>
      </c>
      <c r="I65" s="1"/>
      <c r="J65" s="1"/>
    </row>
    <row r="66" spans="2:13" x14ac:dyDescent="0.2">
      <c r="B66" s="1" t="s">
        <v>218</v>
      </c>
      <c r="C66" s="32">
        <v>8438</v>
      </c>
      <c r="D66" s="1">
        <v>25000</v>
      </c>
      <c r="E66" s="1"/>
      <c r="F66" s="1">
        <v>278.83</v>
      </c>
      <c r="G66" s="1">
        <v>25000</v>
      </c>
      <c r="H66" s="5">
        <f t="shared" si="0"/>
        <v>0</v>
      </c>
      <c r="I66" s="1"/>
      <c r="J66" s="1"/>
    </row>
    <row r="67" spans="2:13" x14ac:dyDescent="0.2">
      <c r="B67" s="1" t="s">
        <v>219</v>
      </c>
      <c r="C67" s="32" t="s">
        <v>61</v>
      </c>
      <c r="D67" s="1">
        <v>3500</v>
      </c>
      <c r="E67" s="1"/>
      <c r="F67" s="1">
        <v>39.04</v>
      </c>
      <c r="G67" s="1">
        <v>3500</v>
      </c>
      <c r="H67" s="5">
        <f t="shared" si="0"/>
        <v>0</v>
      </c>
      <c r="I67" s="1"/>
      <c r="J67" s="1"/>
    </row>
    <row r="68" spans="2:13" x14ac:dyDescent="0.2">
      <c r="B68" s="1" t="s">
        <v>219</v>
      </c>
      <c r="C68" s="32">
        <v>1121</v>
      </c>
      <c r="D68" s="1">
        <v>25000</v>
      </c>
      <c r="E68" s="1"/>
      <c r="F68" s="1">
        <v>278.83</v>
      </c>
      <c r="G68" s="1">
        <v>25000</v>
      </c>
      <c r="H68" s="5">
        <f t="shared" si="0"/>
        <v>0</v>
      </c>
      <c r="I68" s="1"/>
      <c r="J68" s="1"/>
    </row>
    <row r="69" spans="2:13" x14ac:dyDescent="0.2">
      <c r="B69" s="1" t="s">
        <v>219</v>
      </c>
      <c r="C69" s="32">
        <v>2795</v>
      </c>
      <c r="D69" s="1">
        <v>20000</v>
      </c>
      <c r="E69" s="1"/>
      <c r="F69" s="1">
        <v>223.06</v>
      </c>
      <c r="G69" s="1">
        <v>20000</v>
      </c>
      <c r="H69" s="5">
        <f t="shared" si="0"/>
        <v>0</v>
      </c>
      <c r="I69" s="1"/>
      <c r="J69" s="1"/>
    </row>
    <row r="70" spans="2:13" x14ac:dyDescent="0.2">
      <c r="B70" s="1" t="s">
        <v>219</v>
      </c>
      <c r="C70" s="32">
        <v>9283</v>
      </c>
      <c r="D70" s="1">
        <v>33000</v>
      </c>
      <c r="E70" s="1"/>
      <c r="F70" s="1">
        <v>368.05</v>
      </c>
      <c r="G70" s="1">
        <v>33000</v>
      </c>
      <c r="H70" s="5">
        <f t="shared" si="0"/>
        <v>0</v>
      </c>
      <c r="I70" s="1"/>
      <c r="J70" s="1"/>
    </row>
    <row r="71" spans="2:13" x14ac:dyDescent="0.2">
      <c r="B71" s="1" t="s">
        <v>219</v>
      </c>
      <c r="C71" s="32">
        <v>5007</v>
      </c>
      <c r="D71" s="1">
        <v>18000</v>
      </c>
      <c r="E71" s="1"/>
      <c r="F71" s="1">
        <v>200.76</v>
      </c>
      <c r="G71" s="1">
        <v>18000</v>
      </c>
      <c r="H71" s="5">
        <f t="shared" si="0"/>
        <v>0</v>
      </c>
      <c r="I71" s="1"/>
      <c r="J71" s="1"/>
    </row>
    <row r="72" spans="2:13" x14ac:dyDescent="0.2">
      <c r="B72" s="1" t="s">
        <v>219</v>
      </c>
      <c r="C72" s="32" t="s">
        <v>66</v>
      </c>
      <c r="D72" s="1">
        <v>200</v>
      </c>
      <c r="E72" s="1"/>
      <c r="F72" s="1"/>
      <c r="G72" s="1">
        <v>200</v>
      </c>
      <c r="H72" s="5">
        <f t="shared" si="0"/>
        <v>0</v>
      </c>
      <c r="I72" s="1"/>
      <c r="J72" s="1"/>
    </row>
    <row r="73" spans="2:13" x14ac:dyDescent="0.2">
      <c r="B73" s="1" t="s">
        <v>219</v>
      </c>
      <c r="C73" s="32">
        <v>8513</v>
      </c>
      <c r="D73" s="1">
        <v>25000</v>
      </c>
      <c r="E73" s="1"/>
      <c r="F73" s="1">
        <v>278.83</v>
      </c>
      <c r="G73" s="1">
        <v>25000</v>
      </c>
      <c r="H73" s="5">
        <f t="shared" ref="H73:H137" si="1">D73-G73</f>
        <v>0</v>
      </c>
      <c r="I73" s="1"/>
      <c r="J73" s="1"/>
    </row>
    <row r="74" spans="2:13" x14ac:dyDescent="0.2">
      <c r="B74" s="1" t="s">
        <v>220</v>
      </c>
      <c r="C74" s="32" t="s">
        <v>66</v>
      </c>
      <c r="D74" s="1">
        <v>200</v>
      </c>
      <c r="E74" s="1"/>
      <c r="F74" s="1"/>
      <c r="G74" s="1">
        <v>200</v>
      </c>
      <c r="H74" s="5">
        <f t="shared" si="1"/>
        <v>0</v>
      </c>
      <c r="I74" s="1"/>
      <c r="J74" s="1"/>
    </row>
    <row r="75" spans="2:13" x14ac:dyDescent="0.2">
      <c r="B75" s="1" t="s">
        <v>220</v>
      </c>
      <c r="C75" s="32" t="s">
        <v>61</v>
      </c>
      <c r="D75" s="1">
        <v>4500</v>
      </c>
      <c r="E75" s="1"/>
      <c r="F75" s="1">
        <v>50.19</v>
      </c>
      <c r="G75" s="1">
        <v>4500</v>
      </c>
      <c r="H75" s="5">
        <f t="shared" si="1"/>
        <v>0</v>
      </c>
      <c r="I75" s="1"/>
      <c r="J75" s="1"/>
    </row>
    <row r="76" spans="2:13" x14ac:dyDescent="0.2">
      <c r="B76" s="1" t="s">
        <v>220</v>
      </c>
      <c r="C76" s="32">
        <v>5219</v>
      </c>
      <c r="D76" s="1">
        <v>30000</v>
      </c>
      <c r="E76" s="1"/>
      <c r="F76" s="1">
        <v>334.59</v>
      </c>
      <c r="G76" s="1">
        <v>30000</v>
      </c>
      <c r="H76" s="5">
        <f t="shared" si="1"/>
        <v>0</v>
      </c>
      <c r="I76" s="1"/>
      <c r="J76" s="1"/>
    </row>
    <row r="77" spans="2:13" x14ac:dyDescent="0.2">
      <c r="B77" s="1" t="s">
        <v>220</v>
      </c>
      <c r="C77" s="32">
        <v>9259</v>
      </c>
      <c r="D77" s="1">
        <v>17000</v>
      </c>
      <c r="E77" s="1"/>
      <c r="F77" s="1">
        <v>189.6</v>
      </c>
      <c r="G77" s="1">
        <v>17000</v>
      </c>
      <c r="H77" s="5">
        <f t="shared" si="1"/>
        <v>0</v>
      </c>
      <c r="I77" s="1"/>
      <c r="J77" s="1"/>
      <c r="M77">
        <f>200/96</f>
        <v>2.0833333333333335</v>
      </c>
    </row>
    <row r="78" spans="2:13" x14ac:dyDescent="0.2">
      <c r="B78" s="1" t="s">
        <v>220</v>
      </c>
      <c r="C78" s="32">
        <v>321</v>
      </c>
      <c r="D78" s="1">
        <v>18000</v>
      </c>
      <c r="E78" s="1"/>
      <c r="F78" s="1">
        <v>200.76</v>
      </c>
      <c r="G78" s="1">
        <v>18000</v>
      </c>
      <c r="H78" s="5">
        <f t="shared" si="1"/>
        <v>0</v>
      </c>
      <c r="I78" s="1"/>
      <c r="J78" s="1"/>
    </row>
    <row r="79" spans="2:13" x14ac:dyDescent="0.2">
      <c r="B79" s="1" t="s">
        <v>221</v>
      </c>
      <c r="C79" s="32">
        <v>5300</v>
      </c>
      <c r="D79" s="1">
        <v>8000</v>
      </c>
      <c r="E79" s="1"/>
      <c r="F79" s="1">
        <v>73.61</v>
      </c>
      <c r="G79" s="1">
        <v>8000</v>
      </c>
      <c r="H79" s="5">
        <f t="shared" si="1"/>
        <v>0</v>
      </c>
      <c r="I79" s="1"/>
      <c r="J79" s="1"/>
    </row>
    <row r="80" spans="2:13" x14ac:dyDescent="0.2">
      <c r="B80" s="1" t="s">
        <v>221</v>
      </c>
      <c r="C80" s="32">
        <v>6910</v>
      </c>
      <c r="D80" s="1">
        <v>26000</v>
      </c>
      <c r="E80" s="1"/>
      <c r="F80" s="1">
        <v>284.95999999999998</v>
      </c>
      <c r="G80" s="1">
        <v>26000</v>
      </c>
      <c r="H80" s="5">
        <f t="shared" si="1"/>
        <v>0</v>
      </c>
      <c r="I80" s="1"/>
      <c r="J80" s="1"/>
    </row>
    <row r="81" spans="2:10" x14ac:dyDescent="0.2">
      <c r="B81" s="1" t="s">
        <v>221</v>
      </c>
      <c r="C81" s="32">
        <v>7520</v>
      </c>
      <c r="D81" s="1">
        <v>14000</v>
      </c>
      <c r="E81" s="1"/>
      <c r="F81" s="1">
        <v>151.47999999999999</v>
      </c>
      <c r="G81" s="1">
        <v>14000</v>
      </c>
      <c r="H81" s="5">
        <f t="shared" si="1"/>
        <v>0</v>
      </c>
      <c r="I81" s="1"/>
      <c r="J81" s="1"/>
    </row>
    <row r="82" spans="2:10" x14ac:dyDescent="0.2">
      <c r="B82" s="1" t="s">
        <v>221</v>
      </c>
      <c r="C82" s="32">
        <v>9385</v>
      </c>
      <c r="D82" s="1">
        <v>25000</v>
      </c>
      <c r="E82" s="1"/>
      <c r="F82" s="1">
        <v>277.20999999999998</v>
      </c>
      <c r="G82" s="1">
        <v>25000</v>
      </c>
      <c r="H82" s="5">
        <f t="shared" si="1"/>
        <v>0</v>
      </c>
      <c r="I82" s="1"/>
      <c r="J82" s="1"/>
    </row>
    <row r="83" spans="2:10" x14ac:dyDescent="0.2">
      <c r="B83" s="1" t="s">
        <v>222</v>
      </c>
      <c r="C83" s="32" t="s">
        <v>63</v>
      </c>
      <c r="D83" s="1">
        <v>3500</v>
      </c>
      <c r="E83" s="1"/>
      <c r="F83" s="1">
        <v>39.04</v>
      </c>
      <c r="G83" s="1">
        <v>3500</v>
      </c>
      <c r="H83" s="5">
        <f t="shared" si="1"/>
        <v>0</v>
      </c>
      <c r="I83" s="1"/>
      <c r="J83" s="1"/>
    </row>
    <row r="84" spans="2:10" x14ac:dyDescent="0.2">
      <c r="B84" s="1" t="s">
        <v>222</v>
      </c>
      <c r="C84" s="32">
        <v>9998</v>
      </c>
      <c r="D84" s="1">
        <v>18000</v>
      </c>
      <c r="E84" s="1"/>
      <c r="F84" s="1">
        <v>199.08</v>
      </c>
      <c r="G84" s="1">
        <v>18000</v>
      </c>
      <c r="H84" s="5">
        <f t="shared" si="1"/>
        <v>0</v>
      </c>
      <c r="I84" s="1"/>
      <c r="J84" s="1"/>
    </row>
    <row r="85" spans="2:10" x14ac:dyDescent="0.2">
      <c r="B85" s="1" t="s">
        <v>222</v>
      </c>
      <c r="C85" s="32">
        <v>2670</v>
      </c>
      <c r="D85" s="1">
        <v>15000</v>
      </c>
      <c r="E85" s="1"/>
      <c r="F85" s="1">
        <v>167.3</v>
      </c>
      <c r="G85" s="1">
        <v>15000</v>
      </c>
      <c r="H85" s="5">
        <f t="shared" si="1"/>
        <v>0</v>
      </c>
      <c r="I85" s="1"/>
      <c r="J85" s="1"/>
    </row>
    <row r="86" spans="2:10" x14ac:dyDescent="0.2">
      <c r="B86" s="1" t="s">
        <v>222</v>
      </c>
      <c r="C86" s="32">
        <v>2210</v>
      </c>
      <c r="D86" s="1">
        <v>17000</v>
      </c>
      <c r="E86" s="1"/>
      <c r="F86" s="1">
        <v>189.6</v>
      </c>
      <c r="G86" s="1">
        <v>17000</v>
      </c>
      <c r="H86" s="5">
        <f t="shared" si="1"/>
        <v>0</v>
      </c>
      <c r="I86" s="1"/>
      <c r="J86" s="1"/>
    </row>
    <row r="87" spans="2:10" x14ac:dyDescent="0.2">
      <c r="B87" s="1" t="s">
        <v>222</v>
      </c>
      <c r="C87" s="32">
        <v>3678</v>
      </c>
      <c r="D87" s="1">
        <v>19000</v>
      </c>
      <c r="E87" s="1"/>
      <c r="F87" s="1">
        <v>211.19</v>
      </c>
      <c r="G87" s="1">
        <v>19000</v>
      </c>
      <c r="H87" s="5">
        <f t="shared" si="1"/>
        <v>0</v>
      </c>
      <c r="I87" s="1"/>
      <c r="J87" s="1"/>
    </row>
    <row r="88" spans="2:10" x14ac:dyDescent="0.2">
      <c r="B88" s="1" t="s">
        <v>223</v>
      </c>
      <c r="C88" s="32" t="s">
        <v>66</v>
      </c>
      <c r="D88" s="1">
        <v>210</v>
      </c>
      <c r="E88" s="1"/>
      <c r="F88" s="1">
        <v>175</v>
      </c>
      <c r="G88" s="1">
        <v>210</v>
      </c>
      <c r="H88" s="5">
        <f t="shared" si="1"/>
        <v>0</v>
      </c>
      <c r="I88" s="1"/>
      <c r="J88" s="1"/>
    </row>
    <row r="89" spans="2:10" x14ac:dyDescent="0.2">
      <c r="B89" s="1" t="s">
        <v>223</v>
      </c>
      <c r="C89" s="32" t="s">
        <v>61</v>
      </c>
      <c r="D89" s="1">
        <v>4500</v>
      </c>
      <c r="E89" s="1"/>
      <c r="F89" s="1">
        <v>44.75</v>
      </c>
      <c r="G89" s="1">
        <v>4500</v>
      </c>
      <c r="H89" s="5">
        <f t="shared" si="1"/>
        <v>0</v>
      </c>
      <c r="I89" s="1"/>
      <c r="J89" s="1"/>
    </row>
    <row r="90" spans="2:10" x14ac:dyDescent="0.2">
      <c r="B90" s="1" t="s">
        <v>223</v>
      </c>
      <c r="C90" s="32">
        <v>4996</v>
      </c>
      <c r="D90" s="1">
        <v>25000</v>
      </c>
      <c r="E90" s="1"/>
      <c r="F90" s="1">
        <v>278.38</v>
      </c>
      <c r="G90" s="1">
        <v>25000</v>
      </c>
      <c r="H90" s="5">
        <f t="shared" si="1"/>
        <v>0</v>
      </c>
      <c r="I90" s="1"/>
      <c r="J90" s="1"/>
    </row>
    <row r="91" spans="2:10" x14ac:dyDescent="0.2">
      <c r="B91" s="1" t="s">
        <v>223</v>
      </c>
      <c r="C91" s="32">
        <v>4766</v>
      </c>
      <c r="D91" s="1">
        <v>25000</v>
      </c>
      <c r="E91" s="1"/>
      <c r="F91" s="1">
        <v>278.38</v>
      </c>
      <c r="G91" s="1">
        <v>25000</v>
      </c>
      <c r="H91" s="5">
        <f t="shared" si="1"/>
        <v>0</v>
      </c>
      <c r="I91" s="1"/>
      <c r="J91" s="1"/>
    </row>
    <row r="92" spans="2:10" x14ac:dyDescent="0.2">
      <c r="B92" s="1" t="s">
        <v>223</v>
      </c>
      <c r="C92" s="32">
        <v>9543</v>
      </c>
      <c r="D92" s="1">
        <v>7000</v>
      </c>
      <c r="E92" s="1"/>
      <c r="F92" s="1">
        <v>78.069999999999993</v>
      </c>
      <c r="G92" s="1">
        <v>7000</v>
      </c>
      <c r="H92" s="5">
        <f t="shared" si="1"/>
        <v>0</v>
      </c>
      <c r="I92" s="1"/>
      <c r="J92" s="1"/>
    </row>
    <row r="93" spans="2:10" x14ac:dyDescent="0.2">
      <c r="B93" s="1" t="s">
        <v>223</v>
      </c>
      <c r="C93" s="32">
        <v>7892</v>
      </c>
      <c r="D93" s="1">
        <v>12000</v>
      </c>
      <c r="E93" s="1"/>
      <c r="F93" s="1">
        <v>133.84</v>
      </c>
      <c r="G93" s="1">
        <v>12000</v>
      </c>
      <c r="H93" s="5">
        <f t="shared" si="1"/>
        <v>0</v>
      </c>
      <c r="I93" s="1"/>
      <c r="J93" s="1"/>
    </row>
    <row r="94" spans="2:10" x14ac:dyDescent="0.2">
      <c r="B94" s="1" t="s">
        <v>224</v>
      </c>
      <c r="C94" s="32">
        <v>3877</v>
      </c>
      <c r="D94" s="1">
        <v>15000</v>
      </c>
      <c r="E94" s="1"/>
      <c r="F94" s="1">
        <v>167.3</v>
      </c>
      <c r="G94" s="1">
        <v>15000</v>
      </c>
      <c r="H94" s="5">
        <f t="shared" si="1"/>
        <v>0</v>
      </c>
      <c r="I94" s="1"/>
      <c r="J94" s="1"/>
    </row>
    <row r="95" spans="2:10" x14ac:dyDescent="0.2">
      <c r="B95" s="1" t="s">
        <v>224</v>
      </c>
      <c r="C95" s="32">
        <v>6187</v>
      </c>
      <c r="D95" s="1">
        <v>20000</v>
      </c>
      <c r="E95" s="1"/>
      <c r="F95" s="1">
        <v>315.64</v>
      </c>
      <c r="G95" s="1">
        <v>20000</v>
      </c>
      <c r="H95" s="5">
        <f t="shared" si="1"/>
        <v>0</v>
      </c>
      <c r="I95" s="1"/>
      <c r="J95" s="1"/>
    </row>
    <row r="96" spans="2:10" x14ac:dyDescent="0.2">
      <c r="B96" s="1" t="s">
        <v>224</v>
      </c>
      <c r="C96" s="32">
        <v>1826</v>
      </c>
      <c r="D96" s="1">
        <v>20000</v>
      </c>
      <c r="E96" s="1"/>
      <c r="F96" s="1">
        <v>223.06</v>
      </c>
      <c r="G96" s="1">
        <v>20000</v>
      </c>
      <c r="H96" s="5">
        <f t="shared" si="1"/>
        <v>0</v>
      </c>
      <c r="I96" s="1"/>
      <c r="J96" s="1"/>
    </row>
    <row r="97" spans="2:10" x14ac:dyDescent="0.2">
      <c r="B97" s="1" t="s">
        <v>224</v>
      </c>
      <c r="C97" s="32">
        <v>1723</v>
      </c>
      <c r="D97" s="1">
        <v>11000</v>
      </c>
      <c r="E97" s="1"/>
      <c r="F97" s="1">
        <v>122.69</v>
      </c>
      <c r="G97" s="1">
        <v>11000</v>
      </c>
      <c r="H97" s="5">
        <f t="shared" si="1"/>
        <v>0</v>
      </c>
      <c r="I97" s="1"/>
      <c r="J97" s="1"/>
    </row>
    <row r="98" spans="2:10" x14ac:dyDescent="0.2">
      <c r="B98" s="1" t="s">
        <v>226</v>
      </c>
      <c r="C98" s="32" t="s">
        <v>30</v>
      </c>
      <c r="D98" s="1">
        <v>3500</v>
      </c>
      <c r="E98" s="1"/>
      <c r="F98" s="1">
        <v>39.03</v>
      </c>
      <c r="G98" s="1">
        <v>3500</v>
      </c>
      <c r="H98" s="5">
        <f t="shared" si="1"/>
        <v>0</v>
      </c>
      <c r="I98" s="1"/>
      <c r="J98" s="1"/>
    </row>
    <row r="99" spans="2:10" x14ac:dyDescent="0.2">
      <c r="B99" s="1" t="s">
        <v>226</v>
      </c>
      <c r="C99" s="32">
        <v>8507</v>
      </c>
      <c r="D99" s="1">
        <v>16000</v>
      </c>
      <c r="E99" s="1"/>
      <c r="F99" s="1">
        <v>178.45</v>
      </c>
      <c r="G99" s="1">
        <v>16000</v>
      </c>
      <c r="H99" s="5">
        <f t="shared" si="1"/>
        <v>0</v>
      </c>
      <c r="I99" s="1"/>
      <c r="J99" s="1"/>
    </row>
    <row r="100" spans="2:10" x14ac:dyDescent="0.2">
      <c r="B100" s="1" t="s">
        <v>226</v>
      </c>
      <c r="C100" s="58" t="s">
        <v>61</v>
      </c>
      <c r="D100" s="1">
        <v>5000</v>
      </c>
      <c r="E100" s="1"/>
      <c r="F100" s="1">
        <v>55.77</v>
      </c>
      <c r="G100" s="1">
        <v>5000</v>
      </c>
      <c r="H100" s="5">
        <f t="shared" si="1"/>
        <v>0</v>
      </c>
      <c r="I100" s="1"/>
      <c r="J100" s="1"/>
    </row>
    <row r="101" spans="2:10" x14ac:dyDescent="0.2">
      <c r="B101" s="1" t="s">
        <v>226</v>
      </c>
      <c r="C101" s="32">
        <v>1172</v>
      </c>
      <c r="D101" s="1">
        <v>20000</v>
      </c>
      <c r="E101" s="1"/>
      <c r="F101" s="1">
        <v>223.06</v>
      </c>
      <c r="G101" s="1">
        <v>20000</v>
      </c>
      <c r="H101" s="5">
        <f t="shared" si="1"/>
        <v>0</v>
      </c>
      <c r="I101" s="1"/>
      <c r="J101" s="1"/>
    </row>
    <row r="102" spans="2:10" x14ac:dyDescent="0.2">
      <c r="B102" s="1" t="s">
        <v>226</v>
      </c>
      <c r="C102" s="32">
        <v>3462</v>
      </c>
      <c r="D102" s="1">
        <v>20000</v>
      </c>
      <c r="E102" s="1"/>
      <c r="F102" s="1">
        <v>223.06</v>
      </c>
      <c r="G102" s="1">
        <v>20000</v>
      </c>
      <c r="H102" s="5">
        <f t="shared" si="1"/>
        <v>0</v>
      </c>
      <c r="I102" s="1"/>
      <c r="J102" s="1"/>
    </row>
    <row r="103" spans="2:10" x14ac:dyDescent="0.2">
      <c r="B103" s="1" t="s">
        <v>226</v>
      </c>
      <c r="C103" s="32">
        <v>249</v>
      </c>
      <c r="D103" s="1">
        <v>20000</v>
      </c>
      <c r="E103" s="1"/>
      <c r="F103" s="1">
        <v>223.06</v>
      </c>
      <c r="G103" s="1">
        <v>20000</v>
      </c>
      <c r="H103" s="5">
        <f t="shared" si="1"/>
        <v>0</v>
      </c>
      <c r="I103" s="1"/>
      <c r="J103" s="1"/>
    </row>
    <row r="104" spans="2:10" x14ac:dyDescent="0.2">
      <c r="B104" s="1" t="s">
        <v>226</v>
      </c>
      <c r="C104" s="32">
        <v>7833</v>
      </c>
      <c r="D104" s="1">
        <v>20000</v>
      </c>
      <c r="E104" s="1"/>
      <c r="F104" s="1">
        <v>223.06</v>
      </c>
      <c r="G104" s="1">
        <v>20000</v>
      </c>
      <c r="H104" s="5">
        <f t="shared" si="1"/>
        <v>0</v>
      </c>
      <c r="I104" s="1"/>
      <c r="J104" s="1"/>
    </row>
    <row r="105" spans="2:10" x14ac:dyDescent="0.2">
      <c r="B105" s="1" t="s">
        <v>226</v>
      </c>
      <c r="C105" s="32">
        <v>7512</v>
      </c>
      <c r="D105" s="1">
        <v>25000</v>
      </c>
      <c r="E105" s="1"/>
      <c r="F105" s="1">
        <v>278</v>
      </c>
      <c r="G105" s="1">
        <v>25000</v>
      </c>
      <c r="H105" s="5">
        <f t="shared" si="1"/>
        <v>0</v>
      </c>
      <c r="I105" s="1"/>
      <c r="J105" s="1"/>
    </row>
    <row r="106" spans="2:10" x14ac:dyDescent="0.2">
      <c r="B106" s="1" t="s">
        <v>226</v>
      </c>
      <c r="C106" s="32">
        <v>9347</v>
      </c>
      <c r="D106" s="1">
        <v>22000</v>
      </c>
      <c r="E106" s="1"/>
      <c r="F106" s="1">
        <v>245.34</v>
      </c>
      <c r="G106" s="1">
        <v>22000</v>
      </c>
      <c r="H106" s="5">
        <f t="shared" si="1"/>
        <v>0</v>
      </c>
      <c r="I106" s="1"/>
      <c r="J106" s="1"/>
    </row>
    <row r="107" spans="2:10" x14ac:dyDescent="0.2">
      <c r="B107" s="1" t="s">
        <v>226</v>
      </c>
      <c r="C107" s="32">
        <v>19</v>
      </c>
      <c r="D107" s="1">
        <v>22000</v>
      </c>
      <c r="E107" s="1"/>
      <c r="F107" s="1">
        <v>245.34</v>
      </c>
      <c r="G107" s="1">
        <v>22000</v>
      </c>
      <c r="H107" s="5">
        <f t="shared" si="1"/>
        <v>0</v>
      </c>
      <c r="I107" s="1"/>
      <c r="J107" s="1"/>
    </row>
    <row r="108" spans="2:10" x14ac:dyDescent="0.2">
      <c r="B108" s="1" t="s">
        <v>226</v>
      </c>
      <c r="C108" s="32">
        <v>3071</v>
      </c>
      <c r="D108" s="1">
        <v>21000</v>
      </c>
      <c r="E108" s="1"/>
      <c r="F108" s="1">
        <v>234.22</v>
      </c>
      <c r="G108" s="1">
        <v>21000</v>
      </c>
      <c r="H108" s="5">
        <f t="shared" si="1"/>
        <v>0</v>
      </c>
      <c r="I108" s="1"/>
      <c r="J108" s="1"/>
    </row>
    <row r="109" spans="2:10" x14ac:dyDescent="0.2">
      <c r="B109" s="1" t="s">
        <v>226</v>
      </c>
      <c r="C109" s="32">
        <v>8579</v>
      </c>
      <c r="D109" s="1">
        <v>20000</v>
      </c>
      <c r="E109" s="1"/>
      <c r="F109" s="1">
        <v>223.06</v>
      </c>
      <c r="G109" s="1">
        <v>20000</v>
      </c>
      <c r="H109" s="5">
        <f t="shared" si="1"/>
        <v>0</v>
      </c>
      <c r="I109" s="1"/>
      <c r="J109" s="1"/>
    </row>
    <row r="110" spans="2:10" x14ac:dyDescent="0.2">
      <c r="B110" s="1" t="s">
        <v>226</v>
      </c>
      <c r="C110" s="32">
        <v>5812</v>
      </c>
      <c r="D110" s="1">
        <v>22000</v>
      </c>
      <c r="E110" s="1"/>
      <c r="F110" s="1">
        <v>245.35</v>
      </c>
      <c r="G110" s="1">
        <v>22000</v>
      </c>
      <c r="H110" s="5">
        <f t="shared" si="1"/>
        <v>0</v>
      </c>
      <c r="I110" s="1"/>
      <c r="J110" s="1"/>
    </row>
    <row r="111" spans="2:10" x14ac:dyDescent="0.2">
      <c r="B111" s="1" t="s">
        <v>226</v>
      </c>
      <c r="C111" s="32">
        <v>4776</v>
      </c>
      <c r="D111" s="1">
        <v>27000</v>
      </c>
      <c r="E111" s="1"/>
      <c r="F111" s="1">
        <v>301.14</v>
      </c>
      <c r="G111" s="1">
        <v>27000</v>
      </c>
      <c r="H111" s="5">
        <f t="shared" si="1"/>
        <v>0</v>
      </c>
      <c r="I111" s="1"/>
      <c r="J111" s="1"/>
    </row>
    <row r="112" spans="2:10" x14ac:dyDescent="0.2">
      <c r="B112" s="1" t="s">
        <v>226</v>
      </c>
      <c r="C112" s="32">
        <v>5808</v>
      </c>
      <c r="D112" s="1">
        <v>5000</v>
      </c>
      <c r="E112" s="1"/>
      <c r="F112" s="1">
        <v>55.77</v>
      </c>
      <c r="G112" s="1">
        <v>5000</v>
      </c>
      <c r="H112" s="5">
        <f t="shared" si="1"/>
        <v>0</v>
      </c>
      <c r="I112" s="1"/>
      <c r="J112" s="1"/>
    </row>
    <row r="113" spans="2:10" x14ac:dyDescent="0.2">
      <c r="B113" s="1" t="s">
        <v>226</v>
      </c>
      <c r="C113" s="32">
        <v>7217</v>
      </c>
      <c r="D113" s="1">
        <v>25000</v>
      </c>
      <c r="E113" s="1"/>
      <c r="F113" s="1">
        <v>278</v>
      </c>
      <c r="G113" s="1">
        <v>25000</v>
      </c>
      <c r="H113" s="5">
        <f t="shared" si="1"/>
        <v>0</v>
      </c>
      <c r="I113" s="1"/>
      <c r="J113" s="1"/>
    </row>
    <row r="114" spans="2:10" x14ac:dyDescent="0.2">
      <c r="B114" s="1" t="s">
        <v>226</v>
      </c>
      <c r="C114" s="32">
        <v>7905</v>
      </c>
      <c r="D114" s="1">
        <v>22000</v>
      </c>
      <c r="E114" s="1"/>
      <c r="F114" s="1">
        <v>245.35</v>
      </c>
      <c r="G114" s="1">
        <v>22000</v>
      </c>
      <c r="H114" s="5">
        <f t="shared" si="1"/>
        <v>0</v>
      </c>
      <c r="I114" s="1"/>
      <c r="J114" s="1"/>
    </row>
    <row r="115" spans="2:10" x14ac:dyDescent="0.2">
      <c r="B115" s="1" t="s">
        <v>226</v>
      </c>
      <c r="C115" s="32">
        <v>5133</v>
      </c>
      <c r="D115" s="1">
        <v>15000</v>
      </c>
      <c r="E115" s="1"/>
      <c r="F115" s="1">
        <v>167.3</v>
      </c>
      <c r="G115" s="1">
        <v>15000</v>
      </c>
      <c r="H115" s="5">
        <f t="shared" si="1"/>
        <v>0</v>
      </c>
      <c r="I115" s="1"/>
      <c r="J115" s="1"/>
    </row>
    <row r="116" spans="2:10" x14ac:dyDescent="0.2">
      <c r="B116" s="1" t="s">
        <v>226</v>
      </c>
      <c r="C116" s="32">
        <v>4162</v>
      </c>
      <c r="D116" s="1">
        <v>29000</v>
      </c>
      <c r="E116" s="1"/>
      <c r="F116" s="1">
        <v>323.44</v>
      </c>
      <c r="G116" s="1">
        <v>29000</v>
      </c>
      <c r="H116" s="5">
        <f t="shared" si="1"/>
        <v>0</v>
      </c>
      <c r="I116" s="1"/>
      <c r="J116" s="1"/>
    </row>
    <row r="117" spans="2:10" x14ac:dyDescent="0.2">
      <c r="B117" s="1" t="s">
        <v>226</v>
      </c>
      <c r="C117" s="32">
        <v>5645</v>
      </c>
      <c r="D117" s="1">
        <v>29000</v>
      </c>
      <c r="E117" s="1"/>
      <c r="F117" s="1">
        <v>323.44</v>
      </c>
      <c r="G117" s="1">
        <v>29000</v>
      </c>
      <c r="H117" s="5">
        <f t="shared" si="1"/>
        <v>0</v>
      </c>
      <c r="I117" s="1"/>
      <c r="J117" s="1"/>
    </row>
    <row r="118" spans="2:10" x14ac:dyDescent="0.2">
      <c r="B118" s="1" t="s">
        <v>226</v>
      </c>
      <c r="C118" s="32">
        <v>3315</v>
      </c>
      <c r="D118" s="1">
        <v>15000</v>
      </c>
      <c r="E118" s="1"/>
      <c r="F118" s="1">
        <v>167.3</v>
      </c>
      <c r="G118" s="1">
        <v>15000</v>
      </c>
      <c r="H118" s="5">
        <f t="shared" si="1"/>
        <v>0</v>
      </c>
      <c r="I118" s="1"/>
      <c r="J118" s="1"/>
    </row>
    <row r="119" spans="2:10" x14ac:dyDescent="0.2">
      <c r="B119" s="1" t="s">
        <v>226</v>
      </c>
      <c r="C119" s="32">
        <v>5521</v>
      </c>
      <c r="D119" s="1">
        <v>8000</v>
      </c>
      <c r="E119" s="1"/>
      <c r="F119" s="1">
        <v>88.23</v>
      </c>
      <c r="G119" s="1">
        <v>8000</v>
      </c>
      <c r="H119" s="5">
        <f t="shared" si="1"/>
        <v>0</v>
      </c>
      <c r="I119" s="1"/>
      <c r="J119" s="1"/>
    </row>
    <row r="120" spans="2:10" x14ac:dyDescent="0.2">
      <c r="B120" s="1" t="s">
        <v>226</v>
      </c>
      <c r="C120" s="32">
        <v>8973</v>
      </c>
      <c r="D120" s="1">
        <v>19214</v>
      </c>
      <c r="E120" s="1"/>
      <c r="F120" s="1">
        <v>218.6</v>
      </c>
      <c r="G120" s="1">
        <v>19214</v>
      </c>
      <c r="H120" s="5">
        <f t="shared" si="1"/>
        <v>0</v>
      </c>
      <c r="I120" s="1"/>
      <c r="J120" s="1"/>
    </row>
    <row r="121" spans="2:10" x14ac:dyDescent="0.2">
      <c r="B121" s="1" t="s">
        <v>227</v>
      </c>
      <c r="C121" s="32" t="s">
        <v>66</v>
      </c>
      <c r="D121" s="1">
        <v>200</v>
      </c>
      <c r="E121" s="1"/>
      <c r="F121" s="1"/>
      <c r="G121" s="1">
        <v>200</v>
      </c>
      <c r="H121" s="5">
        <f t="shared" si="1"/>
        <v>0</v>
      </c>
      <c r="I121" s="1"/>
      <c r="J121" s="1"/>
    </row>
    <row r="122" spans="2:10" x14ac:dyDescent="0.2">
      <c r="B122" s="1" t="s">
        <v>227</v>
      </c>
      <c r="C122" s="32">
        <v>298</v>
      </c>
      <c r="D122" s="1">
        <v>15000</v>
      </c>
      <c r="E122" s="1"/>
      <c r="F122" s="1">
        <v>167.3</v>
      </c>
      <c r="G122" s="1">
        <v>15000</v>
      </c>
      <c r="H122" s="5">
        <f t="shared" si="1"/>
        <v>0</v>
      </c>
      <c r="I122" s="1"/>
      <c r="J122" s="1"/>
    </row>
    <row r="123" spans="2:10" x14ac:dyDescent="0.2">
      <c r="B123" s="1" t="s">
        <v>227</v>
      </c>
      <c r="C123" s="32" t="s">
        <v>30</v>
      </c>
      <c r="D123" s="1">
        <v>4500</v>
      </c>
      <c r="E123" s="1"/>
      <c r="F123" s="1">
        <v>50.19</v>
      </c>
      <c r="G123" s="1">
        <v>4500</v>
      </c>
      <c r="H123" s="5">
        <f t="shared" si="1"/>
        <v>0</v>
      </c>
      <c r="I123" s="1"/>
      <c r="J123" s="1"/>
    </row>
    <row r="124" spans="2:10" x14ac:dyDescent="0.2">
      <c r="B124" s="1" t="s">
        <v>227</v>
      </c>
      <c r="C124" s="32">
        <v>5339</v>
      </c>
      <c r="D124" s="1">
        <v>31000</v>
      </c>
      <c r="E124" s="1"/>
      <c r="F124" s="1">
        <v>335.71</v>
      </c>
      <c r="G124" s="1">
        <v>31000</v>
      </c>
      <c r="H124" s="5">
        <f t="shared" si="1"/>
        <v>0</v>
      </c>
      <c r="I124" s="1"/>
      <c r="J124" s="1"/>
    </row>
    <row r="125" spans="2:10" x14ac:dyDescent="0.2">
      <c r="B125" s="1" t="s">
        <v>227</v>
      </c>
      <c r="C125" s="32">
        <v>1727</v>
      </c>
      <c r="D125" s="1">
        <v>31000</v>
      </c>
      <c r="E125" s="1"/>
      <c r="F125" s="1">
        <v>335.71</v>
      </c>
      <c r="G125" s="1">
        <v>31000</v>
      </c>
      <c r="H125" s="5">
        <f t="shared" si="1"/>
        <v>0</v>
      </c>
      <c r="I125" s="1"/>
      <c r="J125" s="1"/>
    </row>
    <row r="126" spans="2:10" x14ac:dyDescent="0.2">
      <c r="B126" s="1" t="s">
        <v>227</v>
      </c>
      <c r="C126" s="32">
        <v>693</v>
      </c>
      <c r="D126" s="1">
        <v>32000</v>
      </c>
      <c r="E126" s="1"/>
      <c r="F126" s="1">
        <v>356</v>
      </c>
      <c r="G126" s="1">
        <v>32000</v>
      </c>
      <c r="H126" s="5">
        <f t="shared" si="1"/>
        <v>0</v>
      </c>
      <c r="I126" s="1"/>
      <c r="J126" s="1"/>
    </row>
    <row r="127" spans="2:10" x14ac:dyDescent="0.2">
      <c r="B127" s="1" t="s">
        <v>227</v>
      </c>
      <c r="C127" s="32">
        <v>3470</v>
      </c>
      <c r="D127" s="1">
        <v>24000</v>
      </c>
      <c r="E127" s="1"/>
      <c r="F127" s="1">
        <v>267.68</v>
      </c>
      <c r="G127" s="1">
        <v>24000</v>
      </c>
      <c r="H127" s="5">
        <f t="shared" si="1"/>
        <v>0</v>
      </c>
      <c r="I127" s="1"/>
      <c r="J127" s="1"/>
    </row>
    <row r="128" spans="2:10" x14ac:dyDescent="0.2">
      <c r="B128" s="1" t="s">
        <v>227</v>
      </c>
      <c r="C128" s="32">
        <v>9025</v>
      </c>
      <c r="D128" s="1">
        <v>20000</v>
      </c>
      <c r="E128" s="1"/>
      <c r="F128" s="1">
        <v>223.06</v>
      </c>
      <c r="G128" s="1">
        <v>20000</v>
      </c>
      <c r="H128" s="5">
        <f t="shared" si="1"/>
        <v>0</v>
      </c>
      <c r="I128" s="1"/>
      <c r="J128" s="1"/>
    </row>
    <row r="129" spans="2:12" x14ac:dyDescent="0.2">
      <c r="B129" s="1" t="s">
        <v>227</v>
      </c>
      <c r="C129" s="32">
        <v>2151</v>
      </c>
      <c r="D129" s="1">
        <v>18000</v>
      </c>
      <c r="E129" s="1"/>
      <c r="F129" s="1">
        <v>200.76</v>
      </c>
      <c r="G129" s="1">
        <v>18000</v>
      </c>
      <c r="H129" s="5">
        <f t="shared" si="1"/>
        <v>0</v>
      </c>
      <c r="I129" s="1"/>
      <c r="J129" s="1"/>
    </row>
    <row r="130" spans="2:12" x14ac:dyDescent="0.2">
      <c r="B130" s="1" t="s">
        <v>227</v>
      </c>
      <c r="C130" s="32">
        <v>3156</v>
      </c>
      <c r="D130" s="1">
        <v>15000</v>
      </c>
      <c r="E130" s="1"/>
      <c r="F130" s="1">
        <v>167.3</v>
      </c>
      <c r="G130" s="1">
        <v>15000</v>
      </c>
      <c r="H130" s="5">
        <f t="shared" si="1"/>
        <v>0</v>
      </c>
      <c r="I130" s="1"/>
      <c r="J130" s="1"/>
    </row>
    <row r="131" spans="2:12" x14ac:dyDescent="0.2">
      <c r="B131" s="1" t="s">
        <v>227</v>
      </c>
      <c r="C131" s="32">
        <v>3580</v>
      </c>
      <c r="D131" s="1">
        <v>15000</v>
      </c>
      <c r="E131" s="1"/>
      <c r="F131" s="1">
        <v>167.3</v>
      </c>
      <c r="G131" s="1">
        <v>15000</v>
      </c>
      <c r="H131" s="5">
        <f t="shared" si="1"/>
        <v>0</v>
      </c>
      <c r="I131" s="1"/>
      <c r="J131" s="1"/>
    </row>
    <row r="132" spans="2:12" x14ac:dyDescent="0.2">
      <c r="B132" s="1" t="s">
        <v>227</v>
      </c>
      <c r="C132" s="32">
        <v>1406</v>
      </c>
      <c r="D132" s="1">
        <v>24000</v>
      </c>
      <c r="E132" s="1"/>
      <c r="F132" s="1">
        <v>267.18</v>
      </c>
      <c r="G132" s="1">
        <v>24000</v>
      </c>
      <c r="H132" s="5">
        <f t="shared" si="1"/>
        <v>0</v>
      </c>
      <c r="I132" s="1"/>
      <c r="J132" s="1"/>
    </row>
    <row r="133" spans="2:12" x14ac:dyDescent="0.2">
      <c r="B133" s="1" t="s">
        <v>227</v>
      </c>
      <c r="C133" s="32">
        <v>1718</v>
      </c>
      <c r="D133" s="1">
        <v>7000</v>
      </c>
      <c r="E133" s="1"/>
      <c r="F133" s="1">
        <v>78.069999999999993</v>
      </c>
      <c r="G133" s="1">
        <v>7000</v>
      </c>
      <c r="H133" s="5">
        <f t="shared" si="1"/>
        <v>0</v>
      </c>
      <c r="I133" s="1"/>
      <c r="J133" s="1"/>
    </row>
    <row r="134" spans="2:12" x14ac:dyDescent="0.2">
      <c r="B134" s="1" t="s">
        <v>227</v>
      </c>
      <c r="C134" s="32">
        <v>2068</v>
      </c>
      <c r="D134" s="1">
        <v>20000</v>
      </c>
      <c r="E134" s="1"/>
      <c r="F134" s="1">
        <v>218.6</v>
      </c>
      <c r="G134" s="1">
        <v>20000</v>
      </c>
      <c r="H134" s="5">
        <f t="shared" si="1"/>
        <v>0</v>
      </c>
      <c r="I134" s="1"/>
      <c r="J134" s="1"/>
    </row>
    <row r="135" spans="2:12" x14ac:dyDescent="0.2">
      <c r="B135" s="1" t="s">
        <v>227</v>
      </c>
      <c r="C135" s="32">
        <v>7761</v>
      </c>
      <c r="D135" s="1">
        <v>22000</v>
      </c>
      <c r="E135" s="1"/>
      <c r="F135" s="1">
        <v>246.49</v>
      </c>
      <c r="G135" s="1">
        <v>22000</v>
      </c>
      <c r="H135" s="5">
        <f t="shared" si="1"/>
        <v>0</v>
      </c>
      <c r="I135" s="1"/>
      <c r="J135" s="1"/>
      <c r="L135">
        <f>100/96</f>
        <v>1.0416666666666667</v>
      </c>
    </row>
    <row r="136" spans="2:12" x14ac:dyDescent="0.2">
      <c r="B136" s="1" t="s">
        <v>227</v>
      </c>
      <c r="C136" s="32">
        <v>8033</v>
      </c>
      <c r="D136" s="1">
        <v>21000</v>
      </c>
      <c r="E136" s="1"/>
      <c r="F136" s="1">
        <v>234.22</v>
      </c>
      <c r="G136" s="1">
        <v>21000</v>
      </c>
      <c r="H136" s="5">
        <f t="shared" si="1"/>
        <v>0</v>
      </c>
      <c r="I136" s="1"/>
      <c r="J136" s="1"/>
    </row>
    <row r="137" spans="2:12" x14ac:dyDescent="0.2">
      <c r="B137" s="1" t="s">
        <v>227</v>
      </c>
      <c r="C137" s="32">
        <v>4811</v>
      </c>
      <c r="D137" s="1">
        <v>5000</v>
      </c>
      <c r="E137" s="1"/>
      <c r="F137" s="1">
        <v>55.77</v>
      </c>
      <c r="G137" s="1">
        <v>5000</v>
      </c>
      <c r="H137" s="5">
        <f t="shared" si="1"/>
        <v>0</v>
      </c>
      <c r="I137" s="1"/>
      <c r="J137" s="1"/>
    </row>
    <row r="138" spans="2:12" x14ac:dyDescent="0.2">
      <c r="B138" s="1" t="s">
        <v>228</v>
      </c>
      <c r="C138" s="32">
        <v>4542</v>
      </c>
      <c r="D138" s="1">
        <v>25000</v>
      </c>
      <c r="E138" s="1"/>
      <c r="F138" s="1">
        <v>278.83</v>
      </c>
      <c r="G138" s="1">
        <v>25000</v>
      </c>
      <c r="H138" s="5">
        <f t="shared" ref="H138:H214" si="2">D138-G138</f>
        <v>0</v>
      </c>
      <c r="I138" s="1"/>
      <c r="J138" s="1"/>
    </row>
    <row r="139" spans="2:12" x14ac:dyDescent="0.2">
      <c r="B139" s="1" t="s">
        <v>228</v>
      </c>
      <c r="C139" s="32">
        <v>145</v>
      </c>
      <c r="D139" s="1">
        <v>24000</v>
      </c>
      <c r="E139" s="1"/>
      <c r="F139" s="1">
        <v>256.52999999999997</v>
      </c>
      <c r="G139" s="1">
        <v>24000</v>
      </c>
      <c r="H139" s="5">
        <f t="shared" si="2"/>
        <v>0</v>
      </c>
      <c r="I139" s="1"/>
      <c r="J139" s="1"/>
    </row>
    <row r="140" spans="2:12" x14ac:dyDescent="0.2">
      <c r="B140" s="1" t="s">
        <v>228</v>
      </c>
      <c r="C140" s="32">
        <v>9952</v>
      </c>
      <c r="D140" s="1">
        <v>20000</v>
      </c>
      <c r="E140" s="1"/>
      <c r="F140" s="1">
        <v>223.06</v>
      </c>
      <c r="G140" s="1">
        <v>20000</v>
      </c>
      <c r="H140" s="5">
        <f t="shared" si="2"/>
        <v>0</v>
      </c>
      <c r="I140" s="1"/>
      <c r="J140" s="1"/>
    </row>
    <row r="141" spans="2:12" x14ac:dyDescent="0.2">
      <c r="B141" s="1" t="s">
        <v>228</v>
      </c>
      <c r="C141" s="32">
        <v>4591</v>
      </c>
      <c r="D141" s="1">
        <v>27000</v>
      </c>
      <c r="E141" s="1"/>
      <c r="F141" s="1">
        <v>301.14</v>
      </c>
      <c r="G141" s="1">
        <v>27000</v>
      </c>
      <c r="H141" s="5">
        <f t="shared" si="2"/>
        <v>0</v>
      </c>
      <c r="I141" s="1"/>
      <c r="J141" s="1"/>
    </row>
    <row r="142" spans="2:12" x14ac:dyDescent="0.2">
      <c r="B142" s="1" t="s">
        <v>228</v>
      </c>
      <c r="C142" s="32">
        <v>2339</v>
      </c>
      <c r="D142" s="1">
        <v>30000</v>
      </c>
      <c r="E142" s="1"/>
      <c r="F142" s="1">
        <v>344.6</v>
      </c>
      <c r="G142" s="1">
        <v>30000</v>
      </c>
      <c r="H142" s="5">
        <f t="shared" si="2"/>
        <v>0</v>
      </c>
      <c r="I142" s="1"/>
      <c r="J142" s="1"/>
    </row>
    <row r="143" spans="2:12" x14ac:dyDescent="0.2">
      <c r="B143" s="1" t="s">
        <v>228</v>
      </c>
      <c r="C143" s="32">
        <v>3152</v>
      </c>
      <c r="D143" s="1">
        <v>22000</v>
      </c>
      <c r="E143" s="1"/>
      <c r="F143" s="1">
        <v>244.52</v>
      </c>
      <c r="G143" s="1">
        <v>22000</v>
      </c>
      <c r="H143" s="5">
        <f t="shared" si="2"/>
        <v>0</v>
      </c>
      <c r="I143" s="1"/>
      <c r="J143" s="1"/>
    </row>
    <row r="144" spans="2:12" x14ac:dyDescent="0.2">
      <c r="B144" s="1" t="s">
        <v>228</v>
      </c>
      <c r="C144" s="32">
        <v>9741</v>
      </c>
      <c r="D144" s="1">
        <v>5000</v>
      </c>
      <c r="E144" s="1"/>
      <c r="F144" s="1">
        <v>55.77</v>
      </c>
      <c r="G144" s="1">
        <v>5000</v>
      </c>
      <c r="H144" s="5">
        <f t="shared" si="2"/>
        <v>0</v>
      </c>
      <c r="I144" s="1"/>
      <c r="J144" s="1"/>
    </row>
    <row r="145" spans="2:10" x14ac:dyDescent="0.2">
      <c r="B145" s="1" t="s">
        <v>228</v>
      </c>
      <c r="C145" s="32">
        <v>8651</v>
      </c>
      <c r="D145" s="1">
        <v>12000</v>
      </c>
      <c r="E145" s="1"/>
      <c r="F145" s="1">
        <v>133.84</v>
      </c>
      <c r="G145" s="1">
        <v>12000</v>
      </c>
      <c r="H145" s="5">
        <f t="shared" si="2"/>
        <v>0</v>
      </c>
      <c r="I145" s="1"/>
      <c r="J145" s="1"/>
    </row>
    <row r="146" spans="2:10" x14ac:dyDescent="0.2">
      <c r="B146" s="1" t="s">
        <v>228</v>
      </c>
      <c r="C146" s="32">
        <v>9751</v>
      </c>
      <c r="D146" s="1">
        <v>12000</v>
      </c>
      <c r="E146" s="1"/>
      <c r="F146" s="1">
        <v>133.84</v>
      </c>
      <c r="G146" s="1">
        <v>12000</v>
      </c>
      <c r="H146" s="5">
        <f t="shared" si="2"/>
        <v>0</v>
      </c>
      <c r="I146" s="1"/>
      <c r="J146" s="1"/>
    </row>
    <row r="147" spans="2:10" x14ac:dyDescent="0.2">
      <c r="B147" s="1" t="s">
        <v>228</v>
      </c>
      <c r="C147" s="32">
        <v>779</v>
      </c>
      <c r="D147" s="1">
        <v>22000</v>
      </c>
      <c r="E147" s="1"/>
      <c r="F147" s="1">
        <v>245.37</v>
      </c>
      <c r="G147" s="1">
        <v>22000</v>
      </c>
      <c r="H147" s="5">
        <f t="shared" si="2"/>
        <v>0</v>
      </c>
      <c r="I147" s="1"/>
      <c r="J147" s="1"/>
    </row>
    <row r="148" spans="2:10" x14ac:dyDescent="0.2">
      <c r="B148" s="1" t="s">
        <v>228</v>
      </c>
      <c r="C148" s="32">
        <v>3886</v>
      </c>
      <c r="D148" s="1">
        <v>15000</v>
      </c>
      <c r="E148" s="1"/>
      <c r="F148" s="1">
        <v>167.3</v>
      </c>
      <c r="G148" s="1">
        <v>15000</v>
      </c>
      <c r="H148" s="5">
        <f t="shared" si="2"/>
        <v>0</v>
      </c>
      <c r="I148" s="1"/>
      <c r="J148" s="1"/>
    </row>
    <row r="149" spans="2:10" x14ac:dyDescent="0.2">
      <c r="B149" s="1" t="s">
        <v>228</v>
      </c>
      <c r="C149" s="32">
        <v>9916</v>
      </c>
      <c r="D149" s="1">
        <v>10000</v>
      </c>
      <c r="E149" s="1"/>
      <c r="F149" s="1">
        <v>111.53</v>
      </c>
      <c r="G149" s="1">
        <v>10000</v>
      </c>
      <c r="H149" s="5">
        <f t="shared" si="2"/>
        <v>0</v>
      </c>
      <c r="I149" s="1"/>
      <c r="J149" s="1"/>
    </row>
    <row r="150" spans="2:10" x14ac:dyDescent="0.2">
      <c r="B150" s="1" t="s">
        <v>228</v>
      </c>
      <c r="C150" s="32">
        <v>4290</v>
      </c>
      <c r="D150" s="1">
        <v>10000</v>
      </c>
      <c r="E150" s="1"/>
      <c r="F150" s="1">
        <v>111.53</v>
      </c>
      <c r="G150" s="1">
        <v>10000</v>
      </c>
      <c r="H150" s="5">
        <f t="shared" si="2"/>
        <v>0</v>
      </c>
      <c r="I150" s="1"/>
      <c r="J150" s="1"/>
    </row>
    <row r="151" spans="2:10" x14ac:dyDescent="0.2">
      <c r="B151" s="1" t="s">
        <v>228</v>
      </c>
      <c r="C151" s="32">
        <v>8348</v>
      </c>
      <c r="D151" s="1">
        <v>20000</v>
      </c>
      <c r="E151" s="1"/>
      <c r="F151" s="1">
        <v>223.06</v>
      </c>
      <c r="G151" s="1">
        <v>20000</v>
      </c>
      <c r="H151" s="5">
        <f t="shared" si="2"/>
        <v>0</v>
      </c>
      <c r="I151" s="1"/>
      <c r="J151" s="1"/>
    </row>
    <row r="152" spans="2:10" x14ac:dyDescent="0.2">
      <c r="B152" s="1" t="s">
        <v>228</v>
      </c>
      <c r="C152" s="32">
        <v>3531</v>
      </c>
      <c r="D152" s="1">
        <v>21000</v>
      </c>
      <c r="E152" s="1"/>
      <c r="F152" s="1">
        <v>234.22</v>
      </c>
      <c r="G152" s="1">
        <v>21000</v>
      </c>
      <c r="H152" s="5">
        <f t="shared" si="2"/>
        <v>0</v>
      </c>
      <c r="I152" s="1"/>
      <c r="J152" s="1"/>
    </row>
    <row r="153" spans="2:10" x14ac:dyDescent="0.2">
      <c r="B153" s="1" t="s">
        <v>228</v>
      </c>
      <c r="C153" s="32">
        <v>5100</v>
      </c>
      <c r="D153" s="1">
        <v>20000</v>
      </c>
      <c r="E153" s="1"/>
      <c r="F153" s="1">
        <v>223.06</v>
      </c>
      <c r="G153" s="1">
        <v>20000</v>
      </c>
      <c r="H153" s="5">
        <f t="shared" si="2"/>
        <v>0</v>
      </c>
      <c r="I153" s="1"/>
      <c r="J153" s="1"/>
    </row>
    <row r="154" spans="2:10" x14ac:dyDescent="0.2">
      <c r="B154" s="1" t="s">
        <v>228</v>
      </c>
      <c r="C154" s="32">
        <v>2781</v>
      </c>
      <c r="D154" s="1">
        <v>30000</v>
      </c>
      <c r="E154" s="1"/>
      <c r="F154" s="1">
        <v>334.59</v>
      </c>
      <c r="G154" s="1">
        <v>30000</v>
      </c>
      <c r="H154" s="5">
        <f t="shared" si="2"/>
        <v>0</v>
      </c>
      <c r="I154" s="1"/>
      <c r="J154" s="1"/>
    </row>
    <row r="155" spans="2:10" x14ac:dyDescent="0.2">
      <c r="B155" s="1" t="s">
        <v>228</v>
      </c>
      <c r="C155" s="32">
        <v>9686</v>
      </c>
      <c r="D155" s="1">
        <v>30000</v>
      </c>
      <c r="E155" s="1"/>
      <c r="F155" s="1">
        <v>334.59</v>
      </c>
      <c r="G155" s="1">
        <v>30000</v>
      </c>
      <c r="H155" s="5">
        <f t="shared" si="2"/>
        <v>0</v>
      </c>
      <c r="I155" s="1"/>
      <c r="J155" s="1"/>
    </row>
    <row r="156" spans="2:10" x14ac:dyDescent="0.2">
      <c r="B156" s="1" t="s">
        <v>228</v>
      </c>
      <c r="C156" s="32">
        <v>7311</v>
      </c>
      <c r="D156" s="1">
        <v>20000</v>
      </c>
      <c r="E156" s="1"/>
      <c r="F156" s="1">
        <v>194.07</v>
      </c>
      <c r="G156" s="1">
        <v>20000</v>
      </c>
      <c r="H156" s="5">
        <f t="shared" si="2"/>
        <v>0</v>
      </c>
      <c r="I156" s="1"/>
      <c r="J156" s="1"/>
    </row>
    <row r="157" spans="2:10" x14ac:dyDescent="0.2">
      <c r="B157" s="1" t="s">
        <v>228</v>
      </c>
      <c r="C157" s="32">
        <v>4786</v>
      </c>
      <c r="D157" s="1">
        <v>30000</v>
      </c>
      <c r="E157" s="1"/>
      <c r="F157" s="1">
        <v>329.02</v>
      </c>
      <c r="G157" s="1">
        <v>30000</v>
      </c>
      <c r="H157" s="5">
        <f t="shared" si="2"/>
        <v>0</v>
      </c>
      <c r="I157" s="1"/>
      <c r="J157" s="1"/>
    </row>
    <row r="158" spans="2:10" x14ac:dyDescent="0.2">
      <c r="B158" s="6" t="s">
        <v>228</v>
      </c>
      <c r="C158" s="58">
        <v>5851</v>
      </c>
      <c r="D158" s="6">
        <v>30000</v>
      </c>
      <c r="E158" s="1"/>
      <c r="F158" s="1">
        <v>329.02</v>
      </c>
      <c r="G158" s="1">
        <v>30000</v>
      </c>
      <c r="H158" s="5">
        <f t="shared" si="2"/>
        <v>0</v>
      </c>
      <c r="I158" s="1"/>
      <c r="J158" s="1"/>
    </row>
    <row r="159" spans="2:10" x14ac:dyDescent="0.2">
      <c r="B159" s="1" t="s">
        <v>230</v>
      </c>
      <c r="C159" s="32" t="s">
        <v>63</v>
      </c>
      <c r="D159" s="1">
        <v>3500</v>
      </c>
      <c r="E159" s="1"/>
      <c r="F159" s="1">
        <v>39.04</v>
      </c>
      <c r="G159" s="1">
        <v>3500</v>
      </c>
      <c r="H159" s="5">
        <f t="shared" si="2"/>
        <v>0</v>
      </c>
      <c r="I159" s="1"/>
      <c r="J159" s="1"/>
    </row>
    <row r="160" spans="2:10" x14ac:dyDescent="0.2">
      <c r="B160" s="1" t="s">
        <v>230</v>
      </c>
      <c r="C160" s="32" t="s">
        <v>30</v>
      </c>
      <c r="D160" s="1">
        <v>4500</v>
      </c>
      <c r="E160" s="1"/>
      <c r="F160" s="1">
        <v>50.19</v>
      </c>
      <c r="G160" s="1">
        <v>4500</v>
      </c>
      <c r="H160" s="5">
        <f t="shared" si="2"/>
        <v>0</v>
      </c>
      <c r="I160" s="1"/>
      <c r="J160" s="1"/>
    </row>
    <row r="161" spans="2:10" x14ac:dyDescent="0.2">
      <c r="B161" s="1" t="s">
        <v>230</v>
      </c>
      <c r="C161" s="32">
        <v>1468</v>
      </c>
      <c r="D161" s="1">
        <v>26000</v>
      </c>
      <c r="E161" s="1"/>
      <c r="F161" s="1">
        <v>289.98</v>
      </c>
      <c r="G161" s="1">
        <v>26000</v>
      </c>
      <c r="H161" s="5">
        <f t="shared" si="2"/>
        <v>0</v>
      </c>
      <c r="I161" s="1"/>
      <c r="J161" s="1"/>
    </row>
    <row r="162" spans="2:10" x14ac:dyDescent="0.2">
      <c r="B162" s="1" t="s">
        <v>230</v>
      </c>
      <c r="C162" s="32">
        <v>5817</v>
      </c>
      <c r="D162" s="1">
        <v>26000</v>
      </c>
      <c r="E162" s="1"/>
      <c r="F162" s="1">
        <v>289.98</v>
      </c>
      <c r="G162" s="1">
        <v>26000</v>
      </c>
      <c r="H162" s="5">
        <f t="shared" si="2"/>
        <v>0</v>
      </c>
      <c r="I162" s="1"/>
      <c r="J162" s="1"/>
    </row>
    <row r="163" spans="2:10" x14ac:dyDescent="0.2">
      <c r="B163" s="1" t="s">
        <v>230</v>
      </c>
      <c r="C163" s="32">
        <v>5386</v>
      </c>
      <c r="D163" s="1">
        <v>27000</v>
      </c>
      <c r="E163" s="1"/>
      <c r="F163" s="1">
        <v>301.14</v>
      </c>
      <c r="G163" s="1">
        <v>27000</v>
      </c>
      <c r="H163" s="5">
        <f t="shared" si="2"/>
        <v>0</v>
      </c>
      <c r="I163" s="1"/>
      <c r="J163" s="1"/>
    </row>
    <row r="164" spans="2:10" x14ac:dyDescent="0.2">
      <c r="B164" s="1" t="s">
        <v>230</v>
      </c>
      <c r="C164" s="32">
        <v>405</v>
      </c>
      <c r="D164" s="1">
        <v>27000</v>
      </c>
      <c r="E164" s="1"/>
      <c r="F164" s="1">
        <v>301.14</v>
      </c>
      <c r="G164" s="1">
        <v>27000</v>
      </c>
      <c r="H164" s="5">
        <f t="shared" si="2"/>
        <v>0</v>
      </c>
      <c r="I164" s="1"/>
      <c r="J164" s="1"/>
    </row>
    <row r="165" spans="2:10" x14ac:dyDescent="0.2">
      <c r="B165" s="1" t="s">
        <v>230</v>
      </c>
      <c r="C165" s="32">
        <v>7269</v>
      </c>
      <c r="D165" s="1">
        <v>25000</v>
      </c>
      <c r="E165" s="1"/>
      <c r="F165" s="1">
        <v>278.04000000000002</v>
      </c>
      <c r="G165" s="1">
        <v>25000</v>
      </c>
      <c r="H165" s="5">
        <f t="shared" si="2"/>
        <v>0</v>
      </c>
      <c r="I165" s="1"/>
      <c r="J165" s="1"/>
    </row>
    <row r="166" spans="2:10" x14ac:dyDescent="0.2">
      <c r="B166" s="1" t="s">
        <v>230</v>
      </c>
      <c r="C166" s="32">
        <v>6457</v>
      </c>
      <c r="D166" s="1">
        <v>30000</v>
      </c>
      <c r="E166" s="1"/>
      <c r="F166" s="1">
        <v>334.59</v>
      </c>
      <c r="G166" s="1">
        <v>30000</v>
      </c>
      <c r="H166" s="5">
        <f t="shared" si="2"/>
        <v>0</v>
      </c>
      <c r="I166" s="1"/>
      <c r="J166" s="1"/>
    </row>
    <row r="167" spans="2:10" x14ac:dyDescent="0.2">
      <c r="B167" s="1" t="s">
        <v>230</v>
      </c>
      <c r="C167" s="32">
        <v>8735</v>
      </c>
      <c r="D167" s="1">
        <v>21000</v>
      </c>
      <c r="E167" s="1"/>
      <c r="F167" s="1">
        <v>235.3</v>
      </c>
      <c r="G167" s="1">
        <v>21000</v>
      </c>
      <c r="H167" s="5">
        <f t="shared" si="2"/>
        <v>0</v>
      </c>
      <c r="I167" s="1"/>
      <c r="J167" s="1"/>
    </row>
    <row r="168" spans="2:10" x14ac:dyDescent="0.2">
      <c r="B168" s="1" t="s">
        <v>230</v>
      </c>
      <c r="C168" s="32">
        <v>3918</v>
      </c>
      <c r="D168" s="1">
        <v>20000</v>
      </c>
      <c r="E168" s="1"/>
      <c r="F168" s="1">
        <v>234.89</v>
      </c>
      <c r="G168" s="1">
        <v>20000</v>
      </c>
      <c r="H168" s="5">
        <f t="shared" si="2"/>
        <v>0</v>
      </c>
      <c r="I168" s="1"/>
      <c r="J168" s="1"/>
    </row>
    <row r="169" spans="2:10" x14ac:dyDescent="0.2">
      <c r="B169" s="1" t="s">
        <v>230</v>
      </c>
      <c r="C169" s="32">
        <v>4786</v>
      </c>
      <c r="D169" s="1">
        <v>18000</v>
      </c>
      <c r="E169" s="1"/>
      <c r="F169" s="1">
        <v>192.29</v>
      </c>
      <c r="G169" s="1">
        <v>18000</v>
      </c>
      <c r="H169" s="5">
        <f t="shared" si="2"/>
        <v>0</v>
      </c>
      <c r="I169" s="1"/>
      <c r="J169" s="1"/>
    </row>
    <row r="170" spans="2:10" x14ac:dyDescent="0.2">
      <c r="B170" s="1" t="s">
        <v>230</v>
      </c>
      <c r="C170" s="32">
        <v>7452</v>
      </c>
      <c r="D170" s="1">
        <v>12000</v>
      </c>
      <c r="E170" s="1"/>
      <c r="F170" s="1">
        <v>133.84</v>
      </c>
      <c r="G170" s="1">
        <v>12000</v>
      </c>
      <c r="H170" s="5">
        <f t="shared" si="2"/>
        <v>0</v>
      </c>
      <c r="I170" s="1"/>
      <c r="J170" s="1"/>
    </row>
    <row r="171" spans="2:10" x14ac:dyDescent="0.2">
      <c r="B171" s="1" t="s">
        <v>231</v>
      </c>
      <c r="C171" s="32">
        <v>6904</v>
      </c>
      <c r="D171" s="1">
        <v>24000</v>
      </c>
      <c r="E171" s="1"/>
      <c r="F171" s="1">
        <v>244.83</v>
      </c>
      <c r="G171" s="1">
        <v>24000</v>
      </c>
      <c r="H171" s="5">
        <f t="shared" si="2"/>
        <v>0</v>
      </c>
      <c r="I171" s="1"/>
      <c r="J171" s="1"/>
    </row>
    <row r="172" spans="2:10" x14ac:dyDescent="0.2">
      <c r="B172" s="1" t="s">
        <v>231</v>
      </c>
      <c r="C172" s="32">
        <v>3891</v>
      </c>
      <c r="D172" s="1">
        <v>30000</v>
      </c>
      <c r="E172" s="1"/>
      <c r="F172" s="1">
        <v>334.6</v>
      </c>
      <c r="G172" s="1">
        <v>30000</v>
      </c>
      <c r="H172" s="5">
        <f t="shared" si="2"/>
        <v>0</v>
      </c>
      <c r="I172" s="1"/>
      <c r="J172" s="1"/>
    </row>
    <row r="173" spans="2:10" x14ac:dyDescent="0.2">
      <c r="B173" s="1" t="s">
        <v>231</v>
      </c>
      <c r="C173" s="32">
        <v>2601</v>
      </c>
      <c r="D173" s="1">
        <v>16000</v>
      </c>
      <c r="E173" s="1"/>
      <c r="F173" s="1">
        <v>178.45</v>
      </c>
      <c r="G173" s="1">
        <v>16000</v>
      </c>
      <c r="H173" s="5">
        <f t="shared" si="2"/>
        <v>0</v>
      </c>
      <c r="I173" s="1"/>
      <c r="J173" s="1"/>
    </row>
    <row r="174" spans="2:10" x14ac:dyDescent="0.2">
      <c r="B174" s="1" t="s">
        <v>231</v>
      </c>
      <c r="C174" s="32">
        <v>3947</v>
      </c>
      <c r="D174" s="1">
        <v>25000</v>
      </c>
      <c r="E174" s="1"/>
      <c r="F174" s="1">
        <v>278.04000000000002</v>
      </c>
      <c r="G174" s="1">
        <v>25000</v>
      </c>
      <c r="H174" s="5">
        <f t="shared" si="2"/>
        <v>0</v>
      </c>
      <c r="I174" s="1"/>
      <c r="J174" s="1"/>
    </row>
    <row r="175" spans="2:10" x14ac:dyDescent="0.2">
      <c r="B175" s="1" t="s">
        <v>231</v>
      </c>
      <c r="C175" s="32">
        <v>6759</v>
      </c>
      <c r="D175" s="1">
        <v>25000</v>
      </c>
      <c r="E175" s="1"/>
      <c r="F175" s="1">
        <v>278.04000000000002</v>
      </c>
      <c r="G175" s="1">
        <v>25000</v>
      </c>
      <c r="H175" s="5">
        <f t="shared" si="2"/>
        <v>0</v>
      </c>
      <c r="I175" s="1"/>
      <c r="J175" s="1"/>
    </row>
    <row r="176" spans="2:10" x14ac:dyDescent="0.2">
      <c r="B176" s="1" t="s">
        <v>232</v>
      </c>
      <c r="C176" s="32" t="s">
        <v>66</v>
      </c>
      <c r="D176" s="1">
        <v>210</v>
      </c>
      <c r="E176" s="1"/>
      <c r="F176" s="1">
        <v>2.1800000000000002</v>
      </c>
      <c r="G176" s="1">
        <v>210</v>
      </c>
      <c r="H176" s="5">
        <f t="shared" si="2"/>
        <v>0</v>
      </c>
      <c r="I176" s="1"/>
      <c r="J176" s="1"/>
    </row>
    <row r="177" spans="2:10" x14ac:dyDescent="0.2">
      <c r="B177" s="1" t="s">
        <v>232</v>
      </c>
      <c r="C177" s="32">
        <v>1288</v>
      </c>
      <c r="D177" s="1">
        <v>10000</v>
      </c>
      <c r="E177" s="1"/>
      <c r="F177" s="1">
        <v>111.53</v>
      </c>
      <c r="G177" s="1">
        <v>10000</v>
      </c>
      <c r="H177" s="5">
        <f t="shared" si="2"/>
        <v>0</v>
      </c>
      <c r="I177" s="1"/>
      <c r="J177" s="1"/>
    </row>
    <row r="178" spans="2:10" x14ac:dyDescent="0.2">
      <c r="B178" s="1" t="s">
        <v>236</v>
      </c>
      <c r="C178" s="32" t="s">
        <v>30</v>
      </c>
      <c r="D178" s="1">
        <v>3500</v>
      </c>
      <c r="E178" s="1"/>
      <c r="F178" s="1">
        <v>39.04</v>
      </c>
      <c r="G178" s="1">
        <v>3500</v>
      </c>
      <c r="H178" s="5">
        <f t="shared" si="2"/>
        <v>0</v>
      </c>
      <c r="I178" s="1"/>
      <c r="J178" s="1"/>
    </row>
    <row r="179" spans="2:10" x14ac:dyDescent="0.2">
      <c r="B179" s="1" t="s">
        <v>236</v>
      </c>
      <c r="C179" s="32">
        <v>3886</v>
      </c>
      <c r="D179" s="1">
        <v>21500</v>
      </c>
      <c r="E179" s="1"/>
      <c r="F179" s="1">
        <v>239.73</v>
      </c>
      <c r="G179" s="1">
        <v>21500</v>
      </c>
      <c r="H179" s="5">
        <f t="shared" si="2"/>
        <v>0</v>
      </c>
      <c r="I179" s="1"/>
      <c r="J179" s="1"/>
    </row>
    <row r="180" spans="2:10" x14ac:dyDescent="0.2">
      <c r="B180" s="1" t="s">
        <v>236</v>
      </c>
      <c r="C180" s="32">
        <v>2258</v>
      </c>
      <c r="D180" s="1">
        <v>22000</v>
      </c>
      <c r="E180" s="1"/>
      <c r="F180" s="1">
        <v>245.37</v>
      </c>
      <c r="G180" s="1">
        <v>22000</v>
      </c>
      <c r="H180" s="5">
        <f t="shared" si="2"/>
        <v>0</v>
      </c>
      <c r="I180" s="1"/>
      <c r="J180" s="1"/>
    </row>
    <row r="181" spans="2:10" x14ac:dyDescent="0.2">
      <c r="B181" s="1" t="s">
        <v>236</v>
      </c>
      <c r="C181" s="32">
        <v>225</v>
      </c>
      <c r="D181" s="1">
        <v>22000</v>
      </c>
      <c r="E181" s="1"/>
      <c r="F181" s="1">
        <v>245.37</v>
      </c>
      <c r="G181" s="1">
        <v>22000</v>
      </c>
      <c r="H181" s="5">
        <f t="shared" si="2"/>
        <v>0</v>
      </c>
      <c r="I181" s="1"/>
      <c r="J181" s="1"/>
    </row>
    <row r="182" spans="2:10" x14ac:dyDescent="0.2">
      <c r="B182" s="1" t="s">
        <v>236</v>
      </c>
      <c r="C182" s="32">
        <v>3124</v>
      </c>
      <c r="D182" s="1">
        <v>29000</v>
      </c>
      <c r="E182" s="1"/>
      <c r="F182" s="1">
        <v>323.44</v>
      </c>
      <c r="G182" s="1">
        <v>29000</v>
      </c>
      <c r="H182" s="5">
        <f t="shared" si="2"/>
        <v>0</v>
      </c>
      <c r="I182" s="1"/>
      <c r="J182" s="1"/>
    </row>
    <row r="183" spans="2:10" x14ac:dyDescent="0.2">
      <c r="B183" s="1" t="s">
        <v>236</v>
      </c>
      <c r="C183" s="32">
        <v>9998</v>
      </c>
      <c r="D183" s="1">
        <v>18000</v>
      </c>
      <c r="E183" s="1"/>
      <c r="F183" s="1">
        <v>200.76</v>
      </c>
      <c r="G183" s="1">
        <v>18000</v>
      </c>
      <c r="H183" s="5">
        <f t="shared" si="2"/>
        <v>0</v>
      </c>
      <c r="I183" s="1"/>
      <c r="J183" s="1"/>
    </row>
    <row r="184" spans="2:10" x14ac:dyDescent="0.2">
      <c r="B184" s="1" t="s">
        <v>236</v>
      </c>
      <c r="C184" s="32">
        <v>9347</v>
      </c>
      <c r="D184" s="1">
        <v>21000</v>
      </c>
      <c r="E184" s="1"/>
      <c r="F184" s="1">
        <v>234.22</v>
      </c>
      <c r="G184" s="1">
        <v>21000</v>
      </c>
      <c r="H184" s="5">
        <f t="shared" si="2"/>
        <v>0</v>
      </c>
      <c r="I184" s="1"/>
      <c r="J184" s="1"/>
    </row>
    <row r="185" spans="2:10" x14ac:dyDescent="0.2">
      <c r="B185" s="1" t="s">
        <v>236</v>
      </c>
      <c r="C185" s="32">
        <v>9307</v>
      </c>
      <c r="D185" s="1">
        <v>17000</v>
      </c>
      <c r="E185" s="1"/>
      <c r="F185" s="1">
        <v>189.72</v>
      </c>
      <c r="G185" s="1">
        <v>17000</v>
      </c>
      <c r="H185" s="5">
        <f t="shared" si="2"/>
        <v>0</v>
      </c>
      <c r="I185" s="1"/>
      <c r="J185" s="1"/>
    </row>
    <row r="186" spans="2:10" x14ac:dyDescent="0.2">
      <c r="B186" s="1" t="s">
        <v>236</v>
      </c>
      <c r="C186" s="32">
        <v>4556</v>
      </c>
      <c r="D186" s="1">
        <v>15000</v>
      </c>
      <c r="E186" s="1"/>
      <c r="F186" s="1">
        <v>167.3</v>
      </c>
      <c r="G186" s="1">
        <v>15000</v>
      </c>
      <c r="H186" s="5">
        <f t="shared" si="2"/>
        <v>0</v>
      </c>
      <c r="I186" s="1"/>
      <c r="J186" s="1"/>
    </row>
    <row r="187" spans="2:10" x14ac:dyDescent="0.2">
      <c r="B187" s="1" t="s">
        <v>236</v>
      </c>
      <c r="C187" s="32" t="s">
        <v>30</v>
      </c>
      <c r="D187" s="1">
        <v>4500</v>
      </c>
      <c r="E187" s="1"/>
      <c r="F187" s="1">
        <v>50.19</v>
      </c>
      <c r="G187" s="1">
        <v>4500</v>
      </c>
      <c r="H187" s="5">
        <f t="shared" si="2"/>
        <v>0</v>
      </c>
      <c r="I187" s="1"/>
      <c r="J187" s="1"/>
    </row>
    <row r="188" spans="2:10" x14ac:dyDescent="0.2">
      <c r="B188" s="1" t="s">
        <v>236</v>
      </c>
      <c r="C188" s="32">
        <v>2506</v>
      </c>
      <c r="D188" s="1">
        <v>17000</v>
      </c>
      <c r="E188" s="1"/>
      <c r="F188" s="1">
        <v>162.30000000000001</v>
      </c>
      <c r="G188" s="1">
        <v>17000</v>
      </c>
      <c r="H188" s="5">
        <f t="shared" si="2"/>
        <v>0</v>
      </c>
      <c r="I188" s="1"/>
      <c r="J188" s="1"/>
    </row>
    <row r="189" spans="2:10" x14ac:dyDescent="0.2">
      <c r="B189" s="1" t="s">
        <v>236</v>
      </c>
      <c r="C189" s="32">
        <v>6019</v>
      </c>
      <c r="D189" s="1">
        <v>15000</v>
      </c>
      <c r="E189" s="1"/>
      <c r="F189" s="1">
        <v>167.3</v>
      </c>
      <c r="G189" s="1">
        <v>15000</v>
      </c>
      <c r="H189" s="5">
        <f t="shared" si="2"/>
        <v>0</v>
      </c>
      <c r="I189" s="1"/>
      <c r="J189" s="1"/>
    </row>
    <row r="190" spans="2:10" x14ac:dyDescent="0.2">
      <c r="B190" s="1" t="s">
        <v>236</v>
      </c>
      <c r="C190" s="32">
        <v>2187</v>
      </c>
      <c r="D190" s="1">
        <v>25000</v>
      </c>
      <c r="E190" s="1"/>
      <c r="F190" s="1">
        <v>278.83</v>
      </c>
      <c r="G190" s="1">
        <v>25000</v>
      </c>
      <c r="H190" s="5">
        <f t="shared" si="2"/>
        <v>0</v>
      </c>
      <c r="I190" s="1"/>
      <c r="J190" s="1"/>
    </row>
    <row r="191" spans="2:10" x14ac:dyDescent="0.2">
      <c r="B191" s="1" t="s">
        <v>236</v>
      </c>
      <c r="C191" s="32">
        <v>8017</v>
      </c>
      <c r="D191" s="1">
        <v>17000</v>
      </c>
      <c r="E191" s="1"/>
      <c r="F191" s="1">
        <v>137.63</v>
      </c>
      <c r="G191" s="1">
        <v>17000</v>
      </c>
      <c r="H191" s="5">
        <f t="shared" si="2"/>
        <v>0</v>
      </c>
      <c r="I191" s="1"/>
      <c r="J191" s="1"/>
    </row>
    <row r="192" spans="2:10" x14ac:dyDescent="0.2">
      <c r="B192" s="1" t="s">
        <v>236</v>
      </c>
      <c r="C192" s="32">
        <v>7359</v>
      </c>
      <c r="D192" s="1">
        <v>25000</v>
      </c>
      <c r="E192" s="1"/>
      <c r="F192" s="1">
        <v>278.83</v>
      </c>
      <c r="G192" s="1">
        <v>25000</v>
      </c>
      <c r="H192" s="5">
        <f t="shared" si="2"/>
        <v>0</v>
      </c>
      <c r="I192" s="1"/>
      <c r="J192" s="1"/>
    </row>
    <row r="193" spans="2:13" x14ac:dyDescent="0.2">
      <c r="B193" s="1" t="s">
        <v>236</v>
      </c>
      <c r="C193" s="32">
        <v>3462</v>
      </c>
      <c r="D193" s="1">
        <v>25000</v>
      </c>
      <c r="E193" s="1"/>
      <c r="F193" s="1">
        <v>278.83</v>
      </c>
      <c r="G193" s="1">
        <v>25000</v>
      </c>
      <c r="H193" s="5">
        <f t="shared" si="2"/>
        <v>0</v>
      </c>
      <c r="I193" s="1"/>
      <c r="J193" s="1"/>
    </row>
    <row r="194" spans="2:13" x14ac:dyDescent="0.2">
      <c r="B194" s="1" t="s">
        <v>236</v>
      </c>
      <c r="C194" s="32">
        <v>2651</v>
      </c>
      <c r="D194" s="1">
        <v>25000</v>
      </c>
      <c r="E194" s="1"/>
      <c r="F194" s="1">
        <v>278.83</v>
      </c>
      <c r="G194" s="1">
        <v>25000</v>
      </c>
      <c r="H194" s="5">
        <f t="shared" si="2"/>
        <v>0</v>
      </c>
      <c r="I194" s="1"/>
      <c r="J194" s="1"/>
    </row>
    <row r="195" spans="2:13" x14ac:dyDescent="0.2">
      <c r="B195" s="1" t="s">
        <v>236</v>
      </c>
      <c r="C195" s="32">
        <v>4249</v>
      </c>
      <c r="D195" s="1">
        <v>26000</v>
      </c>
      <c r="E195" s="1"/>
      <c r="F195" s="1">
        <v>289.98</v>
      </c>
      <c r="G195" s="1">
        <v>26000</v>
      </c>
      <c r="H195" s="5">
        <f t="shared" si="2"/>
        <v>0</v>
      </c>
      <c r="I195" s="1"/>
      <c r="J195" s="1"/>
    </row>
    <row r="196" spans="2:13" x14ac:dyDescent="0.2">
      <c r="B196" s="1" t="s">
        <v>236</v>
      </c>
      <c r="C196" s="32">
        <v>5812</v>
      </c>
      <c r="D196" s="1">
        <v>24000</v>
      </c>
      <c r="E196" s="1"/>
      <c r="F196" s="1">
        <v>267.68</v>
      </c>
      <c r="G196" s="1">
        <v>24000</v>
      </c>
      <c r="H196" s="5">
        <f t="shared" si="2"/>
        <v>0</v>
      </c>
      <c r="I196" s="1"/>
      <c r="J196" s="1"/>
    </row>
    <row r="197" spans="2:13" x14ac:dyDescent="0.2">
      <c r="B197" s="1" t="s">
        <v>236</v>
      </c>
      <c r="C197" s="32">
        <v>3686</v>
      </c>
      <c r="D197" s="1">
        <v>24000</v>
      </c>
      <c r="E197" s="1"/>
      <c r="F197" s="1">
        <v>268.68</v>
      </c>
      <c r="G197" s="1">
        <v>24000</v>
      </c>
      <c r="H197" s="5">
        <f t="shared" si="2"/>
        <v>0</v>
      </c>
      <c r="I197" s="1"/>
      <c r="J197" s="1"/>
      <c r="M197" t="s">
        <v>166</v>
      </c>
    </row>
    <row r="198" spans="2:13" x14ac:dyDescent="0.2">
      <c r="B198" s="1" t="s">
        <v>236</v>
      </c>
      <c r="C198" s="32">
        <v>249</v>
      </c>
      <c r="D198" s="1">
        <v>25000</v>
      </c>
      <c r="E198" s="1"/>
      <c r="F198" s="1">
        <v>278.83</v>
      </c>
      <c r="G198" s="1">
        <v>25000</v>
      </c>
      <c r="H198" s="5">
        <f t="shared" si="2"/>
        <v>0</v>
      </c>
      <c r="I198" s="1"/>
      <c r="J198" s="1"/>
    </row>
    <row r="199" spans="2:13" x14ac:dyDescent="0.2">
      <c r="B199" s="1" t="s">
        <v>236</v>
      </c>
      <c r="C199" s="32">
        <v>7007</v>
      </c>
      <c r="D199" s="1">
        <v>25000</v>
      </c>
      <c r="E199" s="1"/>
      <c r="F199" s="1">
        <v>278.83</v>
      </c>
      <c r="G199" s="1">
        <v>25000</v>
      </c>
      <c r="H199" s="5">
        <f t="shared" si="2"/>
        <v>0</v>
      </c>
      <c r="I199" s="1"/>
      <c r="J199" s="1"/>
    </row>
    <row r="200" spans="2:13" x14ac:dyDescent="0.2">
      <c r="B200" s="1" t="s">
        <v>236</v>
      </c>
      <c r="C200" s="32">
        <v>3893</v>
      </c>
      <c r="D200" s="1">
        <v>15000</v>
      </c>
      <c r="E200" s="1"/>
      <c r="F200" s="1">
        <v>167.3</v>
      </c>
      <c r="G200" s="1">
        <v>15000</v>
      </c>
      <c r="H200" s="5">
        <f t="shared" si="2"/>
        <v>0</v>
      </c>
      <c r="I200" s="1"/>
      <c r="J200" s="1"/>
    </row>
    <row r="201" spans="2:13" x14ac:dyDescent="0.2">
      <c r="B201" s="1" t="s">
        <v>236</v>
      </c>
      <c r="C201" s="32">
        <v>717</v>
      </c>
      <c r="D201" s="1">
        <v>20000</v>
      </c>
      <c r="E201" s="1"/>
      <c r="F201" s="1">
        <v>223.06</v>
      </c>
      <c r="G201" s="1">
        <v>20000</v>
      </c>
      <c r="H201" s="5">
        <f t="shared" si="2"/>
        <v>0</v>
      </c>
      <c r="I201" s="1"/>
      <c r="J201" s="1"/>
    </row>
    <row r="202" spans="2:13" x14ac:dyDescent="0.2">
      <c r="B202" s="1" t="s">
        <v>237</v>
      </c>
      <c r="C202" s="32">
        <v>5946</v>
      </c>
      <c r="D202" s="1">
        <v>5000</v>
      </c>
      <c r="E202" s="1"/>
      <c r="F202" s="1">
        <v>55.76</v>
      </c>
      <c r="G202" s="1">
        <v>5000</v>
      </c>
      <c r="H202" s="5">
        <f t="shared" si="2"/>
        <v>0</v>
      </c>
      <c r="I202" s="1"/>
      <c r="J202" s="1"/>
    </row>
    <row r="203" spans="2:13" x14ac:dyDescent="0.2">
      <c r="B203" s="1" t="s">
        <v>237</v>
      </c>
      <c r="C203" s="32">
        <v>4595</v>
      </c>
      <c r="D203" s="1">
        <v>22000</v>
      </c>
      <c r="E203" s="1"/>
      <c r="F203" s="1">
        <v>245.37</v>
      </c>
      <c r="G203" s="1">
        <v>22000</v>
      </c>
      <c r="H203" s="5">
        <f t="shared" si="2"/>
        <v>0</v>
      </c>
      <c r="I203" s="1"/>
      <c r="J203" s="1"/>
    </row>
    <row r="204" spans="2:13" x14ac:dyDescent="0.2">
      <c r="B204" s="1" t="s">
        <v>237</v>
      </c>
      <c r="C204" s="32" t="s">
        <v>66</v>
      </c>
      <c r="D204" s="1">
        <v>210</v>
      </c>
      <c r="E204" s="1"/>
      <c r="F204" s="1"/>
      <c r="G204" s="1">
        <v>210</v>
      </c>
      <c r="H204" s="5">
        <f t="shared" si="2"/>
        <v>0</v>
      </c>
      <c r="I204" s="1"/>
      <c r="J204" s="1"/>
    </row>
    <row r="205" spans="2:13" x14ac:dyDescent="0.2">
      <c r="B205" s="1" t="s">
        <v>237</v>
      </c>
      <c r="C205" s="32">
        <v>4665</v>
      </c>
      <c r="D205" s="1">
        <v>22000</v>
      </c>
      <c r="E205" s="1"/>
      <c r="F205" s="1">
        <v>245.37</v>
      </c>
      <c r="G205" s="1">
        <v>22000</v>
      </c>
      <c r="H205" s="5">
        <f t="shared" si="2"/>
        <v>0</v>
      </c>
      <c r="I205" s="1"/>
      <c r="J205" s="1"/>
    </row>
    <row r="206" spans="2:13" x14ac:dyDescent="0.2">
      <c r="B206" s="1" t="s">
        <v>237</v>
      </c>
      <c r="C206" s="32">
        <v>9751</v>
      </c>
      <c r="D206" s="1">
        <v>12000</v>
      </c>
      <c r="E206" s="1"/>
      <c r="F206" s="1">
        <v>133.84</v>
      </c>
      <c r="G206" s="1">
        <v>12000</v>
      </c>
      <c r="H206" s="5">
        <f t="shared" si="2"/>
        <v>0</v>
      </c>
      <c r="I206" s="1"/>
      <c r="J206" s="1"/>
    </row>
    <row r="207" spans="2:13" x14ac:dyDescent="0.2">
      <c r="B207" s="1" t="s">
        <v>237</v>
      </c>
      <c r="C207" s="32">
        <v>1562</v>
      </c>
      <c r="D207" s="1">
        <v>22000</v>
      </c>
      <c r="E207" s="1"/>
      <c r="F207" s="1">
        <v>245.37</v>
      </c>
      <c r="G207" s="1">
        <v>22000</v>
      </c>
      <c r="H207" s="5">
        <f t="shared" si="2"/>
        <v>0</v>
      </c>
      <c r="I207" s="1"/>
      <c r="J207" s="1"/>
    </row>
    <row r="208" spans="2:13" x14ac:dyDescent="0.2">
      <c r="B208" s="1" t="s">
        <v>237</v>
      </c>
      <c r="C208" s="32">
        <v>4030</v>
      </c>
      <c r="D208" s="1">
        <v>18000</v>
      </c>
      <c r="E208" s="1"/>
      <c r="F208" s="1">
        <v>216</v>
      </c>
      <c r="G208" s="1">
        <v>18000</v>
      </c>
      <c r="H208" s="5">
        <f t="shared" si="2"/>
        <v>0</v>
      </c>
      <c r="I208" s="1"/>
      <c r="J208" s="1"/>
    </row>
    <row r="209" spans="2:10" x14ac:dyDescent="0.2">
      <c r="B209" s="1" t="s">
        <v>237</v>
      </c>
      <c r="C209" s="32">
        <v>6104</v>
      </c>
      <c r="D209" s="1">
        <v>28000</v>
      </c>
      <c r="E209" s="1"/>
      <c r="F209" s="1">
        <v>305</v>
      </c>
      <c r="G209" s="1">
        <v>28000</v>
      </c>
      <c r="H209" s="5">
        <f t="shared" si="2"/>
        <v>0</v>
      </c>
      <c r="I209" s="1"/>
      <c r="J209" s="1"/>
    </row>
    <row r="210" spans="2:10" x14ac:dyDescent="0.2">
      <c r="B210" s="1" t="s">
        <v>237</v>
      </c>
      <c r="C210" s="32">
        <v>5430</v>
      </c>
      <c r="D210" s="1">
        <v>25000</v>
      </c>
      <c r="E210" s="1"/>
      <c r="F210" s="1">
        <v>278.83</v>
      </c>
      <c r="G210" s="1">
        <v>25000</v>
      </c>
      <c r="H210" s="5">
        <f t="shared" si="2"/>
        <v>0</v>
      </c>
      <c r="I210" s="1"/>
      <c r="J210" s="1"/>
    </row>
    <row r="211" spans="2:10" x14ac:dyDescent="0.2">
      <c r="B211" s="1" t="s">
        <v>237</v>
      </c>
      <c r="C211" s="32">
        <v>7183</v>
      </c>
      <c r="D211" s="1">
        <v>25000</v>
      </c>
      <c r="E211" s="1"/>
      <c r="F211" s="1">
        <v>278.83</v>
      </c>
      <c r="G211" s="1">
        <v>25000</v>
      </c>
      <c r="H211" s="5">
        <f t="shared" si="2"/>
        <v>0</v>
      </c>
      <c r="I211" s="1"/>
      <c r="J211" s="1"/>
    </row>
    <row r="212" spans="2:10" x14ac:dyDescent="0.2">
      <c r="B212" s="1" t="s">
        <v>237</v>
      </c>
      <c r="C212" s="32">
        <v>8869</v>
      </c>
      <c r="D212" s="1">
        <v>23000</v>
      </c>
      <c r="E212" s="1"/>
      <c r="F212" s="1">
        <v>256.52</v>
      </c>
      <c r="G212" s="1">
        <v>23000</v>
      </c>
      <c r="H212" s="5">
        <f t="shared" si="2"/>
        <v>0</v>
      </c>
      <c r="I212" s="1"/>
      <c r="J212" s="1"/>
    </row>
    <row r="213" spans="2:10" x14ac:dyDescent="0.2">
      <c r="B213" s="1" t="s">
        <v>237</v>
      </c>
      <c r="C213" s="32">
        <v>5563</v>
      </c>
      <c r="D213" s="1">
        <v>23000</v>
      </c>
      <c r="E213" s="1"/>
      <c r="F213" s="1">
        <v>256.52</v>
      </c>
      <c r="G213" s="1">
        <v>23000</v>
      </c>
      <c r="H213" s="5">
        <f t="shared" si="2"/>
        <v>0</v>
      </c>
      <c r="I213" s="1"/>
      <c r="J213" s="1"/>
    </row>
    <row r="214" spans="2:10" x14ac:dyDescent="0.2">
      <c r="B214" s="1" t="s">
        <v>237</v>
      </c>
      <c r="C214" s="32">
        <v>3121</v>
      </c>
      <c r="D214" s="1">
        <v>30000</v>
      </c>
      <c r="E214" s="1"/>
      <c r="F214" s="1">
        <v>334.6</v>
      </c>
      <c r="G214" s="1">
        <v>30000</v>
      </c>
      <c r="H214" s="5">
        <f t="shared" si="2"/>
        <v>0</v>
      </c>
      <c r="I214" s="1"/>
      <c r="J214" s="1"/>
    </row>
    <row r="215" spans="2:10" x14ac:dyDescent="0.2">
      <c r="B215" s="1" t="s">
        <v>237</v>
      </c>
      <c r="C215" s="32">
        <v>1121</v>
      </c>
      <c r="D215" s="1">
        <v>30000</v>
      </c>
      <c r="E215" s="1"/>
      <c r="F215" s="1">
        <v>334.6</v>
      </c>
      <c r="G215" s="1">
        <v>30000</v>
      </c>
      <c r="H215" s="5">
        <f t="shared" ref="H215:H236" si="3">D215-G215</f>
        <v>0</v>
      </c>
      <c r="I215" s="1"/>
      <c r="J215" s="1"/>
    </row>
    <row r="216" spans="2:10" x14ac:dyDescent="0.2">
      <c r="B216" s="1" t="s">
        <v>237</v>
      </c>
      <c r="C216" s="32">
        <v>8466</v>
      </c>
      <c r="D216" s="1">
        <v>30000</v>
      </c>
      <c r="E216" s="1"/>
      <c r="F216" s="1">
        <v>334.6</v>
      </c>
      <c r="G216" s="1">
        <v>30000</v>
      </c>
      <c r="H216" s="5">
        <f t="shared" si="3"/>
        <v>0</v>
      </c>
      <c r="I216" s="1"/>
      <c r="J216" s="1"/>
    </row>
    <row r="217" spans="2:10" x14ac:dyDescent="0.2">
      <c r="B217" s="1" t="s">
        <v>238</v>
      </c>
      <c r="C217" s="32">
        <v>2633</v>
      </c>
      <c r="D217" s="1">
        <v>18000</v>
      </c>
      <c r="E217" s="1"/>
      <c r="F217" s="1">
        <v>200.75</v>
      </c>
      <c r="G217" s="1">
        <v>18000</v>
      </c>
      <c r="H217" s="5">
        <f t="shared" si="3"/>
        <v>0</v>
      </c>
      <c r="I217" s="1"/>
      <c r="J217" s="1"/>
    </row>
    <row r="218" spans="2:10" x14ac:dyDescent="0.2">
      <c r="B218" s="1" t="s">
        <v>238</v>
      </c>
      <c r="C218" s="32">
        <v>7833</v>
      </c>
      <c r="D218" s="1">
        <v>22000</v>
      </c>
      <c r="E218" s="1"/>
      <c r="F218" s="1">
        <v>245.37</v>
      </c>
      <c r="G218" s="1">
        <v>22000</v>
      </c>
      <c r="H218" s="5">
        <f t="shared" si="3"/>
        <v>0</v>
      </c>
      <c r="I218" s="1"/>
      <c r="J218" s="1"/>
    </row>
    <row r="219" spans="2:10" x14ac:dyDescent="0.2">
      <c r="B219" s="1" t="s">
        <v>238</v>
      </c>
      <c r="C219" s="32">
        <v>1172</v>
      </c>
      <c r="D219" s="1">
        <v>24000</v>
      </c>
      <c r="E219" s="1"/>
      <c r="F219" s="1">
        <v>273.26</v>
      </c>
      <c r="G219" s="1">
        <v>24000</v>
      </c>
      <c r="H219" s="5">
        <f t="shared" si="3"/>
        <v>0</v>
      </c>
      <c r="I219" s="1"/>
      <c r="J219" s="1"/>
    </row>
    <row r="220" spans="2:10" x14ac:dyDescent="0.2">
      <c r="B220" s="1" t="s">
        <v>238</v>
      </c>
      <c r="C220" s="32">
        <v>1889</v>
      </c>
      <c r="D220" s="1">
        <v>26000</v>
      </c>
      <c r="E220" s="1"/>
      <c r="F220" s="1">
        <v>289.87</v>
      </c>
      <c r="G220" s="1">
        <v>26000</v>
      </c>
      <c r="H220" s="5">
        <f t="shared" si="3"/>
        <v>0</v>
      </c>
      <c r="I220" s="1"/>
      <c r="J220" s="1"/>
    </row>
    <row r="221" spans="2:10" x14ac:dyDescent="0.2">
      <c r="B221" s="1" t="s">
        <v>238</v>
      </c>
      <c r="C221" s="32">
        <v>6930</v>
      </c>
      <c r="D221" s="1">
        <v>22000</v>
      </c>
      <c r="E221" s="1"/>
      <c r="F221" s="1">
        <v>245.3</v>
      </c>
      <c r="G221" s="1">
        <v>22000</v>
      </c>
      <c r="H221" s="5">
        <f t="shared" si="3"/>
        <v>0</v>
      </c>
      <c r="I221" s="1"/>
      <c r="J221" s="1"/>
    </row>
    <row r="222" spans="2:10" x14ac:dyDescent="0.2">
      <c r="B222" s="1" t="s">
        <v>238</v>
      </c>
      <c r="C222" s="32" t="s">
        <v>30</v>
      </c>
      <c r="D222" s="1">
        <v>4500</v>
      </c>
      <c r="E222" s="1"/>
      <c r="F222" s="1">
        <v>50.19</v>
      </c>
      <c r="G222" s="1">
        <v>4500</v>
      </c>
      <c r="H222" s="5">
        <f t="shared" si="3"/>
        <v>0</v>
      </c>
      <c r="I222" s="1"/>
      <c r="J222" s="1"/>
    </row>
    <row r="223" spans="2:10" x14ac:dyDescent="0.2">
      <c r="B223" s="1" t="s">
        <v>238</v>
      </c>
      <c r="C223" s="32" t="s">
        <v>30</v>
      </c>
      <c r="D223" s="1">
        <v>3500</v>
      </c>
      <c r="E223" s="1"/>
      <c r="F223" s="1">
        <v>39.03</v>
      </c>
      <c r="G223" s="1">
        <v>3500</v>
      </c>
      <c r="H223" s="5">
        <f t="shared" si="3"/>
        <v>0</v>
      </c>
      <c r="I223" s="1"/>
      <c r="J223" s="1"/>
    </row>
    <row r="224" spans="2:10" x14ac:dyDescent="0.2">
      <c r="B224" s="1" t="s">
        <v>238</v>
      </c>
      <c r="C224" s="32">
        <v>2316</v>
      </c>
      <c r="D224" s="1">
        <v>29000</v>
      </c>
      <c r="E224" s="1"/>
      <c r="F224" s="1">
        <v>333</v>
      </c>
      <c r="G224" s="1">
        <v>29000</v>
      </c>
      <c r="H224" s="5">
        <f t="shared" si="3"/>
        <v>0</v>
      </c>
      <c r="I224" s="1"/>
      <c r="J224" s="1"/>
    </row>
    <row r="225" spans="2:11" x14ac:dyDescent="0.2">
      <c r="B225" s="1" t="s">
        <v>238</v>
      </c>
      <c r="C225" s="32">
        <v>8154</v>
      </c>
      <c r="D225" s="1">
        <v>24000</v>
      </c>
      <c r="E225" s="1"/>
      <c r="F225" s="1">
        <v>267.27999999999997</v>
      </c>
      <c r="G225" s="1">
        <v>24000</v>
      </c>
      <c r="H225" s="5">
        <f t="shared" si="3"/>
        <v>0</v>
      </c>
      <c r="I225" s="1"/>
      <c r="J225" s="1"/>
    </row>
    <row r="226" spans="2:11" x14ac:dyDescent="0.2">
      <c r="B226" s="1" t="s">
        <v>238</v>
      </c>
      <c r="C226" s="32">
        <v>7678</v>
      </c>
      <c r="D226" s="1">
        <v>33000</v>
      </c>
      <c r="E226" s="1"/>
      <c r="F226" s="1">
        <v>368</v>
      </c>
      <c r="G226" s="1">
        <v>33000</v>
      </c>
      <c r="H226" s="5">
        <f t="shared" si="3"/>
        <v>0</v>
      </c>
      <c r="I226" s="1"/>
      <c r="J226" s="1"/>
    </row>
    <row r="227" spans="2:11" x14ac:dyDescent="0.2">
      <c r="B227" s="1" t="s">
        <v>238</v>
      </c>
      <c r="C227" s="32">
        <v>9772</v>
      </c>
      <c r="D227" s="1">
        <v>33000</v>
      </c>
      <c r="E227" s="1"/>
      <c r="F227" s="1">
        <v>368</v>
      </c>
      <c r="G227" s="1">
        <v>33000</v>
      </c>
      <c r="H227" s="5">
        <f t="shared" si="3"/>
        <v>0</v>
      </c>
      <c r="I227" s="1"/>
      <c r="J227" s="1"/>
    </row>
    <row r="228" spans="2:11" x14ac:dyDescent="0.2">
      <c r="B228" s="1" t="s">
        <v>238</v>
      </c>
      <c r="C228" s="32">
        <v>3998</v>
      </c>
      <c r="D228" s="1">
        <v>25000</v>
      </c>
      <c r="E228" s="1"/>
      <c r="F228" s="1">
        <v>242.8</v>
      </c>
      <c r="G228" s="1">
        <v>25000</v>
      </c>
      <c r="H228" s="5">
        <f t="shared" si="3"/>
        <v>0</v>
      </c>
      <c r="I228" s="1"/>
      <c r="J228" s="1"/>
    </row>
    <row r="229" spans="2:11" x14ac:dyDescent="0.2">
      <c r="B229" s="1" t="s">
        <v>238</v>
      </c>
      <c r="C229" s="32">
        <v>3206</v>
      </c>
      <c r="D229" s="1">
        <v>17000</v>
      </c>
      <c r="E229" s="1"/>
      <c r="F229" s="1">
        <v>189.61</v>
      </c>
      <c r="G229" s="1">
        <v>17000</v>
      </c>
      <c r="H229" s="5">
        <f t="shared" si="3"/>
        <v>0</v>
      </c>
      <c r="I229" s="1"/>
      <c r="J229" s="1"/>
    </row>
    <row r="230" spans="2:11" x14ac:dyDescent="0.2">
      <c r="B230" s="1" t="s">
        <v>238</v>
      </c>
      <c r="C230" s="32">
        <v>6670</v>
      </c>
      <c r="D230" s="1">
        <v>18000</v>
      </c>
      <c r="E230" s="1"/>
      <c r="F230" s="1">
        <v>187.71</v>
      </c>
      <c r="G230" s="1">
        <v>18000</v>
      </c>
      <c r="H230" s="5">
        <f t="shared" si="3"/>
        <v>0</v>
      </c>
      <c r="I230" s="1"/>
      <c r="J230" s="1"/>
    </row>
    <row r="231" spans="2:11" x14ac:dyDescent="0.2">
      <c r="B231" s="1" t="s">
        <v>239</v>
      </c>
      <c r="C231" s="32" t="s">
        <v>66</v>
      </c>
      <c r="D231" s="1">
        <v>200</v>
      </c>
      <c r="E231" s="1"/>
      <c r="F231" s="1">
        <v>2.08</v>
      </c>
      <c r="G231" s="1">
        <v>200</v>
      </c>
      <c r="H231" s="5">
        <f t="shared" si="3"/>
        <v>0</v>
      </c>
      <c r="I231" s="1"/>
      <c r="J231" s="1"/>
    </row>
    <row r="232" spans="2:11" x14ac:dyDescent="0.2">
      <c r="B232" s="1" t="s">
        <v>239</v>
      </c>
      <c r="C232" s="32">
        <v>2855</v>
      </c>
      <c r="D232" s="1">
        <v>20000</v>
      </c>
      <c r="E232" s="1"/>
      <c r="F232" s="1">
        <v>223.06</v>
      </c>
      <c r="G232" s="1">
        <v>20000</v>
      </c>
      <c r="H232" s="5">
        <f t="shared" si="3"/>
        <v>0</v>
      </c>
      <c r="I232" s="1"/>
      <c r="J232" s="1"/>
    </row>
    <row r="233" spans="2:11" x14ac:dyDescent="0.2">
      <c r="B233" s="1" t="s">
        <v>239</v>
      </c>
      <c r="C233" s="32">
        <v>8696</v>
      </c>
      <c r="D233" s="1">
        <v>24000</v>
      </c>
      <c r="E233" s="1"/>
      <c r="F233" s="1">
        <v>267.68</v>
      </c>
      <c r="G233" s="1">
        <v>24000</v>
      </c>
      <c r="H233" s="5">
        <f t="shared" si="3"/>
        <v>0</v>
      </c>
      <c r="I233" s="1"/>
      <c r="J233" s="1"/>
    </row>
    <row r="234" spans="2:11" x14ac:dyDescent="0.2">
      <c r="B234" s="1" t="s">
        <v>239</v>
      </c>
      <c r="C234" s="32">
        <v>1861</v>
      </c>
      <c r="D234" s="1">
        <v>25000</v>
      </c>
      <c r="E234" s="1"/>
      <c r="F234" s="1">
        <v>278.43</v>
      </c>
      <c r="G234" s="1">
        <v>25000</v>
      </c>
      <c r="H234" s="5">
        <f t="shared" si="3"/>
        <v>0</v>
      </c>
      <c r="I234" s="1"/>
      <c r="J234" s="1"/>
    </row>
    <row r="235" spans="2:11" x14ac:dyDescent="0.2">
      <c r="B235" s="1" t="s">
        <v>239</v>
      </c>
      <c r="C235" s="32">
        <v>6211</v>
      </c>
      <c r="D235" s="1">
        <v>30000</v>
      </c>
      <c r="E235" s="1"/>
      <c r="F235" s="1">
        <v>334.6</v>
      </c>
      <c r="G235" s="1">
        <v>30000</v>
      </c>
      <c r="H235" s="5">
        <f t="shared" si="3"/>
        <v>0</v>
      </c>
      <c r="I235" s="1"/>
      <c r="J235" s="1"/>
    </row>
    <row r="236" spans="2:11" x14ac:dyDescent="0.2">
      <c r="B236" s="1" t="s">
        <v>239</v>
      </c>
      <c r="C236" s="32">
        <v>2528</v>
      </c>
      <c r="D236" s="1">
        <v>30000</v>
      </c>
      <c r="E236" s="1"/>
      <c r="F236" s="1">
        <v>334.6</v>
      </c>
      <c r="G236" s="1">
        <v>30000</v>
      </c>
      <c r="H236" s="5">
        <f t="shared" si="3"/>
        <v>0</v>
      </c>
      <c r="I236" s="1"/>
      <c r="J236" s="1"/>
    </row>
    <row r="237" spans="2:11" ht="15" x14ac:dyDescent="0.25">
      <c r="B237" s="1"/>
      <c r="C237" s="20" t="s">
        <v>9</v>
      </c>
      <c r="D237" s="21">
        <f>SUM(D7:D236)</f>
        <v>5840075</v>
      </c>
      <c r="E237" s="22"/>
      <c r="F237" s="23">
        <f>SUM(F9:F236)</f>
        <v>46944.700000000041</v>
      </c>
      <c r="G237" s="21">
        <f>SUM(G7:G236)</f>
        <v>5840075</v>
      </c>
      <c r="H237" s="22"/>
      <c r="I237" s="24">
        <f>SUM(I9:I158)</f>
        <v>4550000</v>
      </c>
      <c r="J237" s="1"/>
      <c r="K237" t="s">
        <v>75</v>
      </c>
    </row>
    <row r="238" spans="2:11" ht="15" x14ac:dyDescent="0.25">
      <c r="B238" s="1"/>
      <c r="C238" s="20" t="s">
        <v>10</v>
      </c>
      <c r="D238" s="25">
        <f>SUM(D237-I237)</f>
        <v>1290075</v>
      </c>
      <c r="E238" s="22"/>
      <c r="F238" s="22"/>
      <c r="G238" s="26" t="s">
        <v>10</v>
      </c>
      <c r="H238" s="25">
        <f>SUM(G237-I237)</f>
        <v>1290075</v>
      </c>
      <c r="I238" s="25"/>
      <c r="J238" s="1"/>
    </row>
    <row r="239" spans="2:11" ht="15" thickBot="1" x14ac:dyDescent="0.25"/>
    <row r="240" spans="2:11" ht="15.75" thickBot="1" x14ac:dyDescent="0.3">
      <c r="F240" s="66"/>
      <c r="G240" s="67" t="s">
        <v>233</v>
      </c>
      <c r="H240" s="67"/>
      <c r="I240" s="68"/>
    </row>
    <row r="241" spans="6:9" ht="15" x14ac:dyDescent="0.25">
      <c r="F241" s="91" t="s">
        <v>141</v>
      </c>
      <c r="G241" s="90"/>
      <c r="H241" s="90" t="s">
        <v>144</v>
      </c>
      <c r="I241" s="92"/>
    </row>
    <row r="242" spans="6:9" ht="15" x14ac:dyDescent="0.25">
      <c r="F242" s="93" t="s">
        <v>142</v>
      </c>
      <c r="G242" s="87">
        <v>5840075</v>
      </c>
      <c r="H242" s="103" t="s">
        <v>145</v>
      </c>
      <c r="I242" s="95">
        <v>5765268</v>
      </c>
    </row>
    <row r="243" spans="6:9" ht="15.75" thickBot="1" x14ac:dyDescent="0.3">
      <c r="F243" s="94" t="s">
        <v>143</v>
      </c>
      <c r="G243" s="96">
        <v>4550000</v>
      </c>
      <c r="H243" s="96" t="s">
        <v>146</v>
      </c>
      <c r="I243" s="97">
        <v>4537170</v>
      </c>
    </row>
    <row r="244" spans="6:9" ht="15.75" thickBot="1" x14ac:dyDescent="0.3">
      <c r="F244" s="66" t="s">
        <v>95</v>
      </c>
      <c r="G244" s="98">
        <f>5840075-4550000</f>
        <v>1290075</v>
      </c>
      <c r="H244" s="100" t="s">
        <v>95</v>
      </c>
      <c r="I244" s="99">
        <f>5765268-4537170</f>
        <v>1228098</v>
      </c>
    </row>
    <row r="245" spans="6:9" ht="15.75" thickBot="1" x14ac:dyDescent="0.3">
      <c r="H245" s="101" t="s">
        <v>147</v>
      </c>
      <c r="I245" s="156">
        <f>1290075-1228098</f>
        <v>61977</v>
      </c>
    </row>
  </sheetData>
  <mergeCells count="1">
    <mergeCell ref="D4:G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53"/>
  <sheetViews>
    <sheetView topLeftCell="A7" workbookViewId="0">
      <selection activeCell="WVN132" sqref="WVN132"/>
    </sheetView>
  </sheetViews>
  <sheetFormatPr defaultRowHeight="14.25" x14ac:dyDescent="0.2"/>
  <cols>
    <col min="1" max="1" width="4.25" customWidth="1"/>
    <col min="3" max="3" width="11.5" bestFit="1" customWidth="1"/>
    <col min="4" max="4" width="16.625" customWidth="1"/>
    <col min="6" max="6" width="11.25" bestFit="1" customWidth="1"/>
    <col min="7" max="7" width="16.875" customWidth="1"/>
    <col min="8" max="8" width="14.625" bestFit="1" customWidth="1"/>
    <col min="9" max="9" width="12.875" customWidth="1"/>
  </cols>
  <sheetData>
    <row r="3" spans="1:16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6" ht="21" x14ac:dyDescent="0.35">
      <c r="A4" s="1"/>
      <c r="B4" s="1"/>
      <c r="C4" s="1"/>
      <c r="D4" s="769" t="s">
        <v>101</v>
      </c>
      <c r="E4" s="769"/>
      <c r="F4" s="769"/>
      <c r="G4" s="769"/>
      <c r="H4" s="1"/>
      <c r="I4" s="1"/>
      <c r="J4" s="1"/>
    </row>
    <row r="5" spans="1:16" ht="18" x14ac:dyDescent="0.25">
      <c r="A5" s="1"/>
      <c r="B5" s="1"/>
      <c r="C5" s="1"/>
      <c r="D5" s="61"/>
      <c r="E5" s="58"/>
      <c r="F5" s="161" t="s">
        <v>255</v>
      </c>
      <c r="H5" s="1"/>
      <c r="I5" s="1"/>
      <c r="J5" s="1"/>
    </row>
    <row r="6" spans="1:16" ht="15" x14ac:dyDescent="0.25">
      <c r="A6" s="6" t="s">
        <v>1</v>
      </c>
      <c r="B6" s="30" t="s">
        <v>2</v>
      </c>
      <c r="C6" s="30" t="s">
        <v>97</v>
      </c>
      <c r="D6" s="30" t="s">
        <v>4</v>
      </c>
      <c r="E6" s="59"/>
      <c r="F6" s="30" t="s">
        <v>5</v>
      </c>
      <c r="G6" s="30" t="s">
        <v>4</v>
      </c>
      <c r="H6" s="30" t="s">
        <v>98</v>
      </c>
      <c r="I6" s="107" t="s">
        <v>8</v>
      </c>
      <c r="J6" s="107" t="s">
        <v>2</v>
      </c>
    </row>
    <row r="7" spans="1:16" ht="15" x14ac:dyDescent="0.25">
      <c r="A7">
        <v>1</v>
      </c>
      <c r="B7" s="30"/>
      <c r="C7" s="30"/>
      <c r="D7" s="30"/>
      <c r="E7" s="59"/>
      <c r="F7" s="30"/>
      <c r="G7" s="30"/>
      <c r="H7" s="30"/>
      <c r="I7" s="107"/>
      <c r="J7" s="107"/>
      <c r="P7">
        <v>1266172</v>
      </c>
    </row>
    <row r="8" spans="1:16" ht="15" x14ac:dyDescent="0.25">
      <c r="A8">
        <v>2</v>
      </c>
      <c r="B8" s="108" t="s">
        <v>254</v>
      </c>
      <c r="C8" s="162" t="s">
        <v>10</v>
      </c>
      <c r="D8" s="162">
        <v>1290075</v>
      </c>
      <c r="E8" s="162"/>
      <c r="F8" s="162"/>
      <c r="G8" s="162">
        <v>1290075</v>
      </c>
      <c r="H8" s="1"/>
      <c r="I8" s="1"/>
      <c r="J8" s="1"/>
      <c r="P8">
        <v>23903</v>
      </c>
    </row>
    <row r="9" spans="1:16" ht="15" x14ac:dyDescent="0.25">
      <c r="A9">
        <v>3</v>
      </c>
      <c r="B9" s="1" t="s">
        <v>240</v>
      </c>
      <c r="C9" s="32" t="s">
        <v>66</v>
      </c>
      <c r="D9" s="1">
        <v>100</v>
      </c>
      <c r="E9" s="1"/>
      <c r="F9" s="1">
        <v>1.04</v>
      </c>
      <c r="G9" s="1">
        <v>100</v>
      </c>
      <c r="H9" s="5">
        <f t="shared" ref="H9:H72" si="0">D9-G9</f>
        <v>0</v>
      </c>
      <c r="I9" s="30">
        <v>200000</v>
      </c>
      <c r="J9" s="30" t="s">
        <v>240</v>
      </c>
      <c r="K9" s="157" t="s">
        <v>93</v>
      </c>
      <c r="L9" s="157"/>
      <c r="M9" s="157"/>
    </row>
    <row r="10" spans="1:16" ht="15" x14ac:dyDescent="0.25">
      <c r="A10">
        <v>4</v>
      </c>
      <c r="B10" s="1" t="s">
        <v>241</v>
      </c>
      <c r="C10" s="32" t="s">
        <v>63</v>
      </c>
      <c r="D10" s="1">
        <v>3500</v>
      </c>
      <c r="E10" s="1"/>
      <c r="F10" s="1">
        <v>38.99</v>
      </c>
      <c r="G10" s="1">
        <v>3500</v>
      </c>
      <c r="H10" s="5">
        <f t="shared" si="0"/>
        <v>0</v>
      </c>
      <c r="I10" s="30">
        <v>100000</v>
      </c>
      <c r="J10" s="30" t="s">
        <v>241</v>
      </c>
      <c r="K10" s="157" t="s">
        <v>93</v>
      </c>
      <c r="L10" s="157"/>
      <c r="M10" s="157"/>
    </row>
    <row r="11" spans="1:16" ht="15" x14ac:dyDescent="0.25">
      <c r="A11">
        <v>5</v>
      </c>
      <c r="B11" s="1" t="s">
        <v>241</v>
      </c>
      <c r="C11" s="32" t="s">
        <v>30</v>
      </c>
      <c r="D11" s="1">
        <v>4500</v>
      </c>
      <c r="E11" s="1"/>
      <c r="F11" s="1">
        <v>50.13</v>
      </c>
      <c r="G11" s="1">
        <v>4500</v>
      </c>
      <c r="H11" s="5">
        <f t="shared" si="0"/>
        <v>0</v>
      </c>
      <c r="I11" s="30">
        <v>150000</v>
      </c>
      <c r="J11" s="30" t="s">
        <v>241</v>
      </c>
      <c r="K11" s="157" t="s">
        <v>93</v>
      </c>
      <c r="L11" s="157"/>
      <c r="M11" s="157"/>
    </row>
    <row r="12" spans="1:16" ht="15" x14ac:dyDescent="0.25">
      <c r="A12">
        <v>6</v>
      </c>
      <c r="B12" s="1" t="s">
        <v>241</v>
      </c>
      <c r="C12" s="32">
        <v>8760</v>
      </c>
      <c r="D12" s="1">
        <v>25000</v>
      </c>
      <c r="E12" s="1"/>
      <c r="F12" s="1">
        <v>278.52</v>
      </c>
      <c r="G12" s="1">
        <v>25000</v>
      </c>
      <c r="H12" s="5">
        <f t="shared" si="0"/>
        <v>0</v>
      </c>
      <c r="I12" s="30">
        <v>100000</v>
      </c>
      <c r="J12" s="30" t="s">
        <v>243</v>
      </c>
      <c r="K12" s="157" t="s">
        <v>93</v>
      </c>
      <c r="L12" s="157"/>
      <c r="M12" s="157"/>
    </row>
    <row r="13" spans="1:16" ht="15" x14ac:dyDescent="0.25">
      <c r="A13">
        <v>7</v>
      </c>
      <c r="B13" s="1" t="s">
        <v>241</v>
      </c>
      <c r="C13" s="32">
        <v>8756</v>
      </c>
      <c r="D13" s="1">
        <v>25000</v>
      </c>
      <c r="E13" s="1"/>
      <c r="F13" s="1">
        <v>278.52</v>
      </c>
      <c r="G13" s="1">
        <v>25000</v>
      </c>
      <c r="H13" s="5">
        <f t="shared" si="0"/>
        <v>0</v>
      </c>
      <c r="I13" s="30">
        <v>150000</v>
      </c>
      <c r="J13" s="30" t="s">
        <v>244</v>
      </c>
      <c r="K13" s="157" t="s">
        <v>93</v>
      </c>
      <c r="L13" s="157"/>
      <c r="M13" s="157"/>
    </row>
    <row r="14" spans="1:16" ht="15" x14ac:dyDescent="0.25">
      <c r="A14">
        <v>8</v>
      </c>
      <c r="B14" s="1" t="s">
        <v>241</v>
      </c>
      <c r="C14" s="32">
        <v>8758</v>
      </c>
      <c r="D14" s="1">
        <v>25000</v>
      </c>
      <c r="E14" s="1"/>
      <c r="F14" s="1">
        <v>278.52</v>
      </c>
      <c r="G14" s="1">
        <v>25000</v>
      </c>
      <c r="H14" s="5">
        <f t="shared" si="0"/>
        <v>0</v>
      </c>
      <c r="I14" s="30">
        <v>200000</v>
      </c>
      <c r="J14" s="30" t="s">
        <v>245</v>
      </c>
      <c r="K14" s="157" t="s">
        <v>93</v>
      </c>
      <c r="L14" s="157"/>
      <c r="M14" s="157"/>
    </row>
    <row r="15" spans="1:16" ht="15" x14ac:dyDescent="0.25">
      <c r="A15">
        <v>9</v>
      </c>
      <c r="B15" s="1" t="s">
        <v>241</v>
      </c>
      <c r="C15" s="32">
        <v>8815</v>
      </c>
      <c r="D15" s="1">
        <v>25000</v>
      </c>
      <c r="E15" s="1"/>
      <c r="F15" s="1">
        <v>278.52</v>
      </c>
      <c r="G15" s="1">
        <v>25000</v>
      </c>
      <c r="H15" s="5">
        <f t="shared" si="0"/>
        <v>0</v>
      </c>
      <c r="I15" s="30">
        <v>100000</v>
      </c>
      <c r="J15" s="30" t="s">
        <v>247</v>
      </c>
      <c r="K15" s="157" t="s">
        <v>93</v>
      </c>
      <c r="L15" s="157"/>
      <c r="M15" s="157"/>
    </row>
    <row r="16" spans="1:16" ht="15" x14ac:dyDescent="0.25">
      <c r="A16">
        <v>10</v>
      </c>
      <c r="B16" s="1" t="s">
        <v>241</v>
      </c>
      <c r="C16" s="32">
        <v>8585</v>
      </c>
      <c r="D16" s="1">
        <v>24000</v>
      </c>
      <c r="E16" s="1"/>
      <c r="F16" s="1">
        <v>267.38</v>
      </c>
      <c r="G16" s="1">
        <v>24000</v>
      </c>
      <c r="H16" s="5">
        <f t="shared" si="0"/>
        <v>0</v>
      </c>
      <c r="I16" s="30">
        <v>150000</v>
      </c>
      <c r="J16" s="30" t="s">
        <v>246</v>
      </c>
      <c r="K16" s="157" t="s">
        <v>93</v>
      </c>
      <c r="L16" s="157"/>
      <c r="M16" s="157"/>
    </row>
    <row r="17" spans="1:13" ht="15" x14ac:dyDescent="0.25">
      <c r="A17">
        <v>11</v>
      </c>
      <c r="B17" s="1" t="s">
        <v>241</v>
      </c>
      <c r="C17" s="32">
        <v>4373</v>
      </c>
      <c r="D17" s="1">
        <v>24000</v>
      </c>
      <c r="E17" s="1"/>
      <c r="F17" s="1">
        <v>267.38</v>
      </c>
      <c r="G17" s="1">
        <v>24000</v>
      </c>
      <c r="H17" s="5">
        <f t="shared" si="0"/>
        <v>0</v>
      </c>
      <c r="I17" s="30">
        <v>150000</v>
      </c>
      <c r="J17" s="30" t="s">
        <v>249</v>
      </c>
      <c r="K17" s="157" t="s">
        <v>93</v>
      </c>
      <c r="L17" s="157"/>
      <c r="M17" s="157"/>
    </row>
    <row r="18" spans="1:13" ht="15" x14ac:dyDescent="0.25">
      <c r="A18">
        <v>12</v>
      </c>
      <c r="B18" s="1" t="s">
        <v>241</v>
      </c>
      <c r="C18" s="32">
        <v>5435</v>
      </c>
      <c r="D18" s="1">
        <v>30000</v>
      </c>
      <c r="E18" s="1"/>
      <c r="F18" s="1">
        <v>334.6</v>
      </c>
      <c r="G18" s="1">
        <v>30000</v>
      </c>
      <c r="H18" s="5">
        <f t="shared" si="0"/>
        <v>0</v>
      </c>
      <c r="I18" s="30">
        <v>200000</v>
      </c>
      <c r="J18" s="30" t="s">
        <v>251</v>
      </c>
      <c r="K18" s="157" t="s">
        <v>93</v>
      </c>
      <c r="L18" s="157"/>
      <c r="M18" s="157"/>
    </row>
    <row r="19" spans="1:13" ht="15" x14ac:dyDescent="0.25">
      <c r="A19">
        <v>13</v>
      </c>
      <c r="B19" s="1" t="s">
        <v>242</v>
      </c>
      <c r="C19" s="32">
        <v>6276</v>
      </c>
      <c r="D19" s="1">
        <v>20000</v>
      </c>
      <c r="E19" s="1"/>
      <c r="F19" s="1">
        <v>223.06</v>
      </c>
      <c r="G19" s="1">
        <v>20000</v>
      </c>
      <c r="H19" s="5">
        <f t="shared" si="0"/>
        <v>0</v>
      </c>
      <c r="I19" s="30">
        <v>200000</v>
      </c>
      <c r="J19" s="30" t="s">
        <v>256</v>
      </c>
      <c r="K19" s="157" t="s">
        <v>93</v>
      </c>
      <c r="L19" s="157"/>
      <c r="M19" s="157"/>
    </row>
    <row r="20" spans="1:13" ht="15" x14ac:dyDescent="0.25">
      <c r="A20">
        <v>14</v>
      </c>
      <c r="B20" s="1" t="s">
        <v>242</v>
      </c>
      <c r="C20" s="32">
        <v>1121</v>
      </c>
      <c r="D20" s="1">
        <v>25000</v>
      </c>
      <c r="E20" s="1"/>
      <c r="F20" s="1">
        <v>278.52</v>
      </c>
      <c r="G20" s="1">
        <v>25000</v>
      </c>
      <c r="H20" s="5">
        <f t="shared" si="0"/>
        <v>0</v>
      </c>
      <c r="I20" s="30">
        <v>100000</v>
      </c>
      <c r="J20" s="30" t="s">
        <v>257</v>
      </c>
      <c r="K20" s="157" t="s">
        <v>93</v>
      </c>
      <c r="L20" s="157"/>
      <c r="M20" s="157"/>
    </row>
    <row r="21" spans="1:13" ht="15" x14ac:dyDescent="0.25">
      <c r="A21">
        <v>15</v>
      </c>
      <c r="B21" s="1" t="s">
        <v>242</v>
      </c>
      <c r="C21" s="32">
        <v>1613</v>
      </c>
      <c r="D21" s="1">
        <v>20000</v>
      </c>
      <c r="E21" s="1"/>
      <c r="F21" s="1">
        <v>223.06</v>
      </c>
      <c r="G21" s="1">
        <v>20000</v>
      </c>
      <c r="H21" s="5">
        <f t="shared" si="0"/>
        <v>0</v>
      </c>
      <c r="I21" s="30">
        <v>100000</v>
      </c>
      <c r="J21" s="30" t="s">
        <v>258</v>
      </c>
      <c r="K21" s="157" t="s">
        <v>93</v>
      </c>
      <c r="L21" s="157"/>
      <c r="M21" s="157"/>
    </row>
    <row r="22" spans="1:13" ht="15" x14ac:dyDescent="0.25">
      <c r="A22">
        <v>16</v>
      </c>
      <c r="B22" s="1" t="s">
        <v>242</v>
      </c>
      <c r="C22" s="32">
        <v>437</v>
      </c>
      <c r="D22" s="1">
        <v>25000</v>
      </c>
      <c r="E22" s="1"/>
      <c r="F22" s="1">
        <v>278.52</v>
      </c>
      <c r="G22" s="1">
        <v>25000</v>
      </c>
      <c r="H22" s="5">
        <f t="shared" si="0"/>
        <v>0</v>
      </c>
      <c r="I22" s="30">
        <v>100000</v>
      </c>
      <c r="J22" s="30" t="s">
        <v>259</v>
      </c>
    </row>
    <row r="23" spans="1:13" ht="15" x14ac:dyDescent="0.25">
      <c r="A23">
        <v>17</v>
      </c>
      <c r="B23" s="1" t="s">
        <v>242</v>
      </c>
      <c r="C23" s="32">
        <v>4782</v>
      </c>
      <c r="D23" s="1">
        <v>25000</v>
      </c>
      <c r="E23" s="1"/>
      <c r="F23" s="1">
        <v>278.52</v>
      </c>
      <c r="G23" s="1">
        <v>25000</v>
      </c>
      <c r="H23" s="5">
        <f t="shared" si="0"/>
        <v>0</v>
      </c>
      <c r="I23" s="30">
        <v>100000</v>
      </c>
      <c r="J23" s="30" t="s">
        <v>260</v>
      </c>
      <c r="K23" s="157" t="s">
        <v>93</v>
      </c>
      <c r="L23" s="157"/>
      <c r="M23" s="157"/>
    </row>
    <row r="24" spans="1:13" ht="15" x14ac:dyDescent="0.25">
      <c r="A24">
        <v>18</v>
      </c>
      <c r="B24" s="1" t="s">
        <v>242</v>
      </c>
      <c r="C24" s="32">
        <v>7695</v>
      </c>
      <c r="D24" s="1">
        <v>25000</v>
      </c>
      <c r="E24" s="1"/>
      <c r="F24" s="1">
        <v>278.52</v>
      </c>
      <c r="G24" s="1">
        <v>25000</v>
      </c>
      <c r="H24" s="5">
        <f t="shared" si="0"/>
        <v>0</v>
      </c>
      <c r="I24" s="30">
        <v>100000</v>
      </c>
      <c r="J24" s="30" t="s">
        <v>262</v>
      </c>
      <c r="K24" s="157" t="s">
        <v>93</v>
      </c>
      <c r="L24" s="157"/>
      <c r="M24" s="157"/>
    </row>
    <row r="25" spans="1:13" ht="15" x14ac:dyDescent="0.25">
      <c r="A25">
        <v>19</v>
      </c>
      <c r="B25" s="1" t="s">
        <v>243</v>
      </c>
      <c r="C25" s="32" t="s">
        <v>66</v>
      </c>
      <c r="D25" s="1">
        <v>200</v>
      </c>
      <c r="E25" s="1"/>
      <c r="F25" s="1">
        <v>2.08</v>
      </c>
      <c r="G25" s="1">
        <v>200</v>
      </c>
      <c r="H25" s="5">
        <f t="shared" si="0"/>
        <v>0</v>
      </c>
      <c r="I25" s="30">
        <v>100000</v>
      </c>
      <c r="J25" s="30" t="s">
        <v>263</v>
      </c>
      <c r="K25" s="157" t="s">
        <v>93</v>
      </c>
      <c r="L25" s="157"/>
      <c r="M25" s="157"/>
    </row>
    <row r="26" spans="1:13" ht="15" x14ac:dyDescent="0.25">
      <c r="A26">
        <v>20</v>
      </c>
      <c r="B26" s="1" t="s">
        <v>243</v>
      </c>
      <c r="C26" s="32">
        <v>3886</v>
      </c>
      <c r="D26" s="1">
        <v>22000</v>
      </c>
      <c r="E26" s="1"/>
      <c r="F26" s="1">
        <v>245</v>
      </c>
      <c r="G26" s="1">
        <v>22000</v>
      </c>
      <c r="H26" s="5">
        <f t="shared" si="0"/>
        <v>0</v>
      </c>
      <c r="I26" s="111">
        <v>41565</v>
      </c>
      <c r="J26" s="111" t="s">
        <v>264</v>
      </c>
      <c r="K26" s="112" t="s">
        <v>265</v>
      </c>
      <c r="L26" s="113"/>
      <c r="M26" s="113"/>
    </row>
    <row r="27" spans="1:13" ht="15" x14ac:dyDescent="0.25">
      <c r="A27">
        <v>21</v>
      </c>
      <c r="B27" s="1" t="s">
        <v>243</v>
      </c>
      <c r="C27" s="32">
        <v>4685</v>
      </c>
      <c r="D27" s="1">
        <v>30000</v>
      </c>
      <c r="E27" s="1"/>
      <c r="F27" s="1">
        <v>334.6</v>
      </c>
      <c r="G27" s="1">
        <v>30000</v>
      </c>
      <c r="H27" s="5">
        <f t="shared" si="0"/>
        <v>0</v>
      </c>
      <c r="I27" s="30">
        <v>100000</v>
      </c>
      <c r="J27" s="30" t="s">
        <v>266</v>
      </c>
      <c r="K27" s="105" t="s">
        <v>93</v>
      </c>
      <c r="L27" s="51"/>
      <c r="M27" s="157"/>
    </row>
    <row r="28" spans="1:13" ht="15" x14ac:dyDescent="0.25">
      <c r="A28">
        <v>22</v>
      </c>
      <c r="B28" s="1" t="s">
        <v>243</v>
      </c>
      <c r="C28" s="32">
        <v>5406</v>
      </c>
      <c r="D28" s="1">
        <v>20000</v>
      </c>
      <c r="E28" s="1"/>
      <c r="F28" s="1">
        <v>223.06</v>
      </c>
      <c r="G28" s="1">
        <v>20000</v>
      </c>
      <c r="H28" s="5">
        <f t="shared" si="0"/>
        <v>0</v>
      </c>
      <c r="I28" s="30">
        <v>100000</v>
      </c>
      <c r="J28" s="30" t="s">
        <v>268</v>
      </c>
      <c r="K28" s="105" t="s">
        <v>93</v>
      </c>
      <c r="L28" s="51"/>
      <c r="M28" s="157"/>
    </row>
    <row r="29" spans="1:13" ht="15" x14ac:dyDescent="0.25">
      <c r="A29">
        <v>23</v>
      </c>
      <c r="B29" s="1" t="s">
        <v>243</v>
      </c>
      <c r="C29" s="32">
        <v>7225</v>
      </c>
      <c r="D29" s="1">
        <v>22000</v>
      </c>
      <c r="E29" s="1"/>
      <c r="F29" s="1">
        <v>245.1</v>
      </c>
      <c r="G29" s="1">
        <v>22000</v>
      </c>
      <c r="H29" s="5">
        <f t="shared" si="0"/>
        <v>0</v>
      </c>
      <c r="I29" s="30">
        <v>50000</v>
      </c>
      <c r="J29" s="30" t="s">
        <v>269</v>
      </c>
      <c r="K29" s="105" t="s">
        <v>93</v>
      </c>
      <c r="L29" s="51"/>
    </row>
    <row r="30" spans="1:13" ht="15" x14ac:dyDescent="0.25">
      <c r="A30">
        <v>24</v>
      </c>
      <c r="B30" s="1" t="s">
        <v>243</v>
      </c>
      <c r="C30" s="32">
        <v>6821</v>
      </c>
      <c r="D30" s="1">
        <v>32000</v>
      </c>
      <c r="E30" s="1"/>
      <c r="F30" s="1">
        <v>342.58</v>
      </c>
      <c r="G30" s="1">
        <v>32000</v>
      </c>
      <c r="H30" s="5">
        <f t="shared" si="0"/>
        <v>0</v>
      </c>
      <c r="I30" s="30">
        <v>100000</v>
      </c>
      <c r="J30" s="30" t="s">
        <v>270</v>
      </c>
      <c r="K30" s="105" t="s">
        <v>93</v>
      </c>
      <c r="L30" s="51"/>
    </row>
    <row r="31" spans="1:13" ht="15" x14ac:dyDescent="0.25">
      <c r="A31">
        <v>25</v>
      </c>
      <c r="B31" s="1" t="s">
        <v>244</v>
      </c>
      <c r="C31" s="32">
        <v>9998</v>
      </c>
      <c r="D31" s="1">
        <v>18000</v>
      </c>
      <c r="E31" s="1"/>
      <c r="F31" s="1">
        <v>200.53</v>
      </c>
      <c r="G31" s="1">
        <v>18000</v>
      </c>
      <c r="H31" s="5">
        <f t="shared" si="0"/>
        <v>0</v>
      </c>
      <c r="I31" s="30"/>
      <c r="J31" s="30"/>
    </row>
    <row r="32" spans="1:13" ht="15" x14ac:dyDescent="0.25">
      <c r="A32">
        <v>26</v>
      </c>
      <c r="B32" s="1" t="s">
        <v>244</v>
      </c>
      <c r="C32" s="32" t="s">
        <v>63</v>
      </c>
      <c r="D32" s="1">
        <v>3500</v>
      </c>
      <c r="E32" s="1"/>
      <c r="F32" s="1">
        <v>39.01</v>
      </c>
      <c r="G32" s="1">
        <v>3500</v>
      </c>
      <c r="H32" s="5">
        <f t="shared" si="0"/>
        <v>0</v>
      </c>
      <c r="I32" s="30"/>
      <c r="J32" s="30"/>
    </row>
    <row r="33" spans="1:10" ht="15" x14ac:dyDescent="0.25">
      <c r="A33">
        <v>27</v>
      </c>
      <c r="B33" s="1" t="s">
        <v>244</v>
      </c>
      <c r="C33" s="32" t="s">
        <v>30</v>
      </c>
      <c r="D33" s="1">
        <v>4500</v>
      </c>
      <c r="E33" s="1"/>
      <c r="F33" s="1">
        <v>50.13</v>
      </c>
      <c r="G33" s="1">
        <v>4500</v>
      </c>
      <c r="H33" s="5">
        <f t="shared" si="0"/>
        <v>0</v>
      </c>
      <c r="I33" s="30"/>
      <c r="J33" s="30"/>
    </row>
    <row r="34" spans="1:10" ht="15" x14ac:dyDescent="0.25">
      <c r="A34">
        <v>28</v>
      </c>
      <c r="B34" s="1" t="s">
        <v>244</v>
      </c>
      <c r="C34" s="32" t="s">
        <v>66</v>
      </c>
      <c r="D34" s="1">
        <v>120</v>
      </c>
      <c r="E34" s="1"/>
      <c r="F34" s="1">
        <v>1.25</v>
      </c>
      <c r="G34" s="1">
        <v>120</v>
      </c>
      <c r="H34" s="5">
        <f t="shared" si="0"/>
        <v>0</v>
      </c>
      <c r="I34" s="30"/>
      <c r="J34" s="30"/>
    </row>
    <row r="35" spans="1:10" ht="15" x14ac:dyDescent="0.25">
      <c r="A35">
        <v>29</v>
      </c>
      <c r="B35" s="1" t="s">
        <v>244</v>
      </c>
      <c r="C35" s="32">
        <v>5445</v>
      </c>
      <c r="D35" s="1">
        <v>32000</v>
      </c>
      <c r="E35" s="1"/>
      <c r="F35" s="1">
        <v>356</v>
      </c>
      <c r="G35" s="1">
        <v>32000</v>
      </c>
      <c r="H35" s="5">
        <f t="shared" si="0"/>
        <v>0</v>
      </c>
      <c r="I35" s="30"/>
      <c r="J35" s="30"/>
    </row>
    <row r="36" spans="1:10" ht="15" x14ac:dyDescent="0.25">
      <c r="A36">
        <v>30</v>
      </c>
      <c r="B36" s="1" t="s">
        <v>244</v>
      </c>
      <c r="C36" s="32">
        <v>9960</v>
      </c>
      <c r="D36" s="1">
        <v>32000</v>
      </c>
      <c r="E36" s="1"/>
      <c r="F36" s="1">
        <v>356</v>
      </c>
      <c r="G36" s="1">
        <v>32000</v>
      </c>
      <c r="H36" s="5">
        <f t="shared" si="0"/>
        <v>0</v>
      </c>
      <c r="I36" s="30"/>
      <c r="J36" s="30"/>
    </row>
    <row r="37" spans="1:10" x14ac:dyDescent="0.2">
      <c r="A37">
        <v>31</v>
      </c>
      <c r="B37" s="1" t="s">
        <v>244</v>
      </c>
      <c r="C37" s="32">
        <v>8626</v>
      </c>
      <c r="D37" s="1">
        <v>10000</v>
      </c>
      <c r="E37" s="1"/>
      <c r="F37" s="1">
        <v>111.41</v>
      </c>
      <c r="G37" s="1">
        <v>10000</v>
      </c>
      <c r="H37" s="5">
        <f t="shared" si="0"/>
        <v>0</v>
      </c>
      <c r="I37" s="1"/>
      <c r="J37" s="1"/>
    </row>
    <row r="38" spans="1:10" x14ac:dyDescent="0.2">
      <c r="A38">
        <v>32</v>
      </c>
      <c r="B38" s="1" t="s">
        <v>244</v>
      </c>
      <c r="C38" s="32">
        <v>7615</v>
      </c>
      <c r="D38" s="1">
        <v>25000</v>
      </c>
      <c r="E38" s="1"/>
      <c r="F38" s="1">
        <v>278.52</v>
      </c>
      <c r="G38" s="1">
        <v>25000</v>
      </c>
      <c r="H38" s="5">
        <f t="shared" si="0"/>
        <v>0</v>
      </c>
      <c r="I38" s="1"/>
      <c r="J38" s="1"/>
    </row>
    <row r="39" spans="1:10" x14ac:dyDescent="0.2">
      <c r="A39">
        <v>33</v>
      </c>
      <c r="B39" s="1" t="s">
        <v>244</v>
      </c>
      <c r="C39" s="32">
        <v>4730</v>
      </c>
      <c r="D39" s="1">
        <v>25000</v>
      </c>
      <c r="E39" s="1"/>
      <c r="F39" s="1">
        <v>278.52</v>
      </c>
      <c r="G39" s="1">
        <v>25000</v>
      </c>
      <c r="H39" s="5">
        <f t="shared" si="0"/>
        <v>0</v>
      </c>
      <c r="I39" s="1"/>
      <c r="J39" s="1"/>
    </row>
    <row r="40" spans="1:10" x14ac:dyDescent="0.2">
      <c r="A40">
        <v>34</v>
      </c>
      <c r="B40" s="1" t="s">
        <v>245</v>
      </c>
      <c r="C40" s="32">
        <v>299</v>
      </c>
      <c r="D40" s="1">
        <v>20000</v>
      </c>
      <c r="E40" s="1"/>
      <c r="F40" s="1">
        <v>223.06</v>
      </c>
      <c r="G40" s="1">
        <v>20000</v>
      </c>
      <c r="H40" s="5">
        <f t="shared" si="0"/>
        <v>0</v>
      </c>
      <c r="I40" s="1"/>
      <c r="J40" s="1"/>
    </row>
    <row r="41" spans="1:10" x14ac:dyDescent="0.2">
      <c r="A41">
        <v>35</v>
      </c>
      <c r="B41" s="1" t="s">
        <v>245</v>
      </c>
      <c r="C41" s="32" t="s">
        <v>30</v>
      </c>
      <c r="D41" s="1">
        <v>2000</v>
      </c>
      <c r="E41" s="1"/>
      <c r="F41" s="1">
        <v>22.58</v>
      </c>
      <c r="G41" s="1">
        <v>2000</v>
      </c>
      <c r="H41" s="5">
        <f t="shared" si="0"/>
        <v>0</v>
      </c>
      <c r="I41" s="1"/>
      <c r="J41" s="1"/>
    </row>
    <row r="42" spans="1:10" x14ac:dyDescent="0.2">
      <c r="A42">
        <v>36</v>
      </c>
      <c r="B42" s="1" t="s">
        <v>245</v>
      </c>
      <c r="C42" s="32">
        <v>9134</v>
      </c>
      <c r="D42" s="1">
        <v>20000</v>
      </c>
      <c r="E42" s="1"/>
      <c r="F42" s="1">
        <v>223.06</v>
      </c>
      <c r="G42" s="1">
        <v>20000</v>
      </c>
      <c r="H42" s="5">
        <f t="shared" si="0"/>
        <v>0</v>
      </c>
      <c r="I42" s="1"/>
      <c r="J42" s="1"/>
    </row>
    <row r="43" spans="1:10" x14ac:dyDescent="0.2">
      <c r="A43">
        <v>37</v>
      </c>
      <c r="B43" s="1" t="s">
        <v>245</v>
      </c>
      <c r="C43" s="32" t="s">
        <v>66</v>
      </c>
      <c r="D43" s="1">
        <v>200</v>
      </c>
      <c r="E43" s="1"/>
      <c r="F43" s="1">
        <v>2.08</v>
      </c>
      <c r="G43" s="1">
        <v>200</v>
      </c>
      <c r="H43" s="5">
        <f t="shared" si="0"/>
        <v>0</v>
      </c>
      <c r="I43" s="1"/>
      <c r="J43" s="1"/>
    </row>
    <row r="44" spans="1:10" x14ac:dyDescent="0.2">
      <c r="A44">
        <v>38</v>
      </c>
      <c r="B44" s="1" t="s">
        <v>245</v>
      </c>
      <c r="C44" s="32">
        <v>7109</v>
      </c>
      <c r="D44" s="1">
        <v>4500</v>
      </c>
      <c r="E44" s="1"/>
      <c r="F44" s="1">
        <v>50.13</v>
      </c>
      <c r="G44" s="1">
        <v>4500</v>
      </c>
      <c r="H44" s="5">
        <f t="shared" si="0"/>
        <v>0</v>
      </c>
      <c r="I44" s="1"/>
      <c r="J44" s="1"/>
    </row>
    <row r="45" spans="1:10" x14ac:dyDescent="0.2">
      <c r="A45">
        <v>39</v>
      </c>
      <c r="B45" s="1" t="s">
        <v>245</v>
      </c>
      <c r="C45" s="32">
        <v>1631</v>
      </c>
      <c r="D45" s="1">
        <v>30000</v>
      </c>
      <c r="E45" s="1"/>
      <c r="F45" s="1">
        <v>334.22</v>
      </c>
      <c r="G45" s="1">
        <v>30000</v>
      </c>
      <c r="H45" s="5">
        <f t="shared" si="0"/>
        <v>0</v>
      </c>
      <c r="I45" s="1"/>
      <c r="J45" s="1"/>
    </row>
    <row r="46" spans="1:10" x14ac:dyDescent="0.2">
      <c r="A46">
        <v>40</v>
      </c>
      <c r="B46" s="1" t="s">
        <v>245</v>
      </c>
      <c r="C46" s="32">
        <v>5342</v>
      </c>
      <c r="D46" s="1">
        <v>20000</v>
      </c>
      <c r="E46" s="1"/>
      <c r="F46" s="1">
        <v>223.06</v>
      </c>
      <c r="G46" s="1">
        <v>20000</v>
      </c>
      <c r="H46" s="5">
        <f t="shared" si="0"/>
        <v>0</v>
      </c>
      <c r="I46" s="1"/>
      <c r="J46" s="1"/>
    </row>
    <row r="47" spans="1:10" x14ac:dyDescent="0.2">
      <c r="A47">
        <v>41</v>
      </c>
      <c r="B47" s="1" t="s">
        <v>245</v>
      </c>
      <c r="C47" s="32">
        <v>1905</v>
      </c>
      <c r="D47" s="1">
        <v>26000</v>
      </c>
      <c r="E47" s="1"/>
      <c r="F47" s="1">
        <v>254</v>
      </c>
      <c r="G47" s="1">
        <v>26000</v>
      </c>
      <c r="H47" s="5">
        <f t="shared" si="0"/>
        <v>0</v>
      </c>
      <c r="I47" s="1"/>
      <c r="J47" s="1"/>
    </row>
    <row r="48" spans="1:10" x14ac:dyDescent="0.2">
      <c r="A48">
        <v>42</v>
      </c>
      <c r="B48" s="1" t="s">
        <v>245</v>
      </c>
      <c r="C48" s="32">
        <v>1278</v>
      </c>
      <c r="D48" s="1">
        <v>18000</v>
      </c>
      <c r="E48" s="1"/>
      <c r="F48" s="1">
        <v>200.53</v>
      </c>
      <c r="G48" s="1">
        <v>18000</v>
      </c>
      <c r="H48" s="5">
        <f t="shared" si="0"/>
        <v>0</v>
      </c>
      <c r="I48" s="1"/>
      <c r="J48" s="1"/>
    </row>
    <row r="49" spans="1:10" x14ac:dyDescent="0.2">
      <c r="A49">
        <v>43</v>
      </c>
      <c r="B49" s="1" t="s">
        <v>245</v>
      </c>
      <c r="C49" s="32">
        <v>5835</v>
      </c>
      <c r="D49" s="1">
        <v>26000</v>
      </c>
      <c r="E49" s="1"/>
      <c r="F49" s="1">
        <v>261.25</v>
      </c>
      <c r="G49" s="1">
        <v>26000</v>
      </c>
      <c r="H49" s="5">
        <f t="shared" si="0"/>
        <v>0</v>
      </c>
      <c r="I49" s="1"/>
      <c r="J49" s="1"/>
    </row>
    <row r="50" spans="1:10" x14ac:dyDescent="0.2">
      <c r="A50">
        <v>44</v>
      </c>
      <c r="B50" s="1" t="s">
        <v>245</v>
      </c>
      <c r="C50" s="32">
        <v>7874</v>
      </c>
      <c r="D50" s="1">
        <v>20000</v>
      </c>
      <c r="E50" s="1"/>
      <c r="F50" s="1">
        <v>223.06</v>
      </c>
      <c r="G50" s="1">
        <v>20000</v>
      </c>
      <c r="H50" s="5">
        <f t="shared" si="0"/>
        <v>0</v>
      </c>
      <c r="I50" s="1"/>
      <c r="J50" s="1"/>
    </row>
    <row r="51" spans="1:10" x14ac:dyDescent="0.2">
      <c r="A51">
        <v>45</v>
      </c>
      <c r="B51" s="1" t="s">
        <v>248</v>
      </c>
      <c r="C51" s="32" t="s">
        <v>66</v>
      </c>
      <c r="D51" s="1">
        <v>100</v>
      </c>
      <c r="E51" s="1"/>
      <c r="F51" s="1">
        <v>94.06</v>
      </c>
      <c r="G51" s="1">
        <v>100</v>
      </c>
      <c r="H51" s="5">
        <f t="shared" si="0"/>
        <v>0</v>
      </c>
      <c r="I51" s="1"/>
      <c r="J51" s="1"/>
    </row>
    <row r="52" spans="1:10" x14ac:dyDescent="0.2">
      <c r="A52">
        <v>46</v>
      </c>
      <c r="B52" s="1" t="s">
        <v>248</v>
      </c>
      <c r="C52" s="32" t="s">
        <v>30</v>
      </c>
      <c r="D52" s="1">
        <v>4500</v>
      </c>
      <c r="E52" s="1"/>
      <c r="F52" s="1">
        <v>50.13</v>
      </c>
      <c r="G52" s="1">
        <v>4500</v>
      </c>
      <c r="H52" s="5">
        <f t="shared" si="0"/>
        <v>0</v>
      </c>
      <c r="I52" s="1"/>
      <c r="J52" s="1"/>
    </row>
    <row r="53" spans="1:10" x14ac:dyDescent="0.2">
      <c r="A53">
        <v>47</v>
      </c>
      <c r="B53" s="1" t="s">
        <v>248</v>
      </c>
      <c r="C53" s="32" t="s">
        <v>63</v>
      </c>
      <c r="D53" s="1">
        <v>3500</v>
      </c>
      <c r="E53" s="1"/>
      <c r="F53" s="1">
        <v>38.99</v>
      </c>
      <c r="G53" s="1">
        <v>3500</v>
      </c>
      <c r="H53" s="5">
        <f t="shared" si="0"/>
        <v>0</v>
      </c>
      <c r="I53" s="1"/>
      <c r="J53" s="1"/>
    </row>
    <row r="54" spans="1:10" x14ac:dyDescent="0.2">
      <c r="A54">
        <v>48</v>
      </c>
      <c r="B54" s="1" t="s">
        <v>248</v>
      </c>
      <c r="C54" s="32" t="s">
        <v>66</v>
      </c>
      <c r="D54" s="1">
        <v>200</v>
      </c>
      <c r="E54" s="1"/>
      <c r="F54" s="1">
        <v>2.08</v>
      </c>
      <c r="G54" s="1">
        <v>200</v>
      </c>
      <c r="H54" s="5">
        <f t="shared" si="0"/>
        <v>0</v>
      </c>
      <c r="I54" s="1"/>
      <c r="J54" s="1"/>
    </row>
    <row r="55" spans="1:10" x14ac:dyDescent="0.2">
      <c r="A55">
        <v>49</v>
      </c>
      <c r="B55" s="1" t="s">
        <v>248</v>
      </c>
      <c r="C55" s="32">
        <v>7773</v>
      </c>
      <c r="D55" s="1">
        <v>22000</v>
      </c>
      <c r="E55" s="1"/>
      <c r="F55" s="1">
        <v>245.7</v>
      </c>
      <c r="G55" s="1">
        <v>22000</v>
      </c>
      <c r="H55" s="5">
        <f t="shared" si="0"/>
        <v>0</v>
      </c>
      <c r="I55" s="1"/>
      <c r="J55" s="1"/>
    </row>
    <row r="56" spans="1:10" x14ac:dyDescent="0.2">
      <c r="A56">
        <v>50</v>
      </c>
      <c r="B56" s="1" t="s">
        <v>248</v>
      </c>
      <c r="C56" s="32">
        <v>8373</v>
      </c>
      <c r="D56" s="1">
        <v>20000</v>
      </c>
      <c r="E56" s="1"/>
      <c r="F56" s="1">
        <v>222.82</v>
      </c>
      <c r="G56" s="1">
        <v>20000</v>
      </c>
      <c r="H56" s="5">
        <f t="shared" si="0"/>
        <v>0</v>
      </c>
      <c r="I56" s="1"/>
      <c r="J56" s="1"/>
    </row>
    <row r="57" spans="1:10" x14ac:dyDescent="0.2">
      <c r="A57">
        <v>51</v>
      </c>
      <c r="B57" s="1" t="s">
        <v>248</v>
      </c>
      <c r="C57" s="32">
        <v>4928</v>
      </c>
      <c r="D57" s="1">
        <v>20000</v>
      </c>
      <c r="E57" s="1"/>
      <c r="F57" s="1">
        <v>222.82</v>
      </c>
      <c r="G57" s="1">
        <v>20000</v>
      </c>
      <c r="H57" s="5">
        <f t="shared" si="0"/>
        <v>0</v>
      </c>
      <c r="I57" s="1"/>
      <c r="J57" s="1"/>
    </row>
    <row r="58" spans="1:10" x14ac:dyDescent="0.2">
      <c r="A58">
        <v>52</v>
      </c>
      <c r="B58" s="1" t="s">
        <v>248</v>
      </c>
      <c r="C58" s="32">
        <v>1910</v>
      </c>
      <c r="D58" s="1">
        <v>25000</v>
      </c>
      <c r="E58" s="1"/>
      <c r="F58" s="1">
        <v>286.19</v>
      </c>
      <c r="G58" s="1">
        <v>25000</v>
      </c>
      <c r="H58" s="5">
        <f t="shared" si="0"/>
        <v>0</v>
      </c>
      <c r="I58" s="1"/>
      <c r="J58" s="1"/>
    </row>
    <row r="59" spans="1:10" x14ac:dyDescent="0.2">
      <c r="A59">
        <v>53</v>
      </c>
      <c r="B59" s="1" t="s">
        <v>248</v>
      </c>
      <c r="C59" s="32">
        <v>633</v>
      </c>
      <c r="D59" s="1">
        <v>10000</v>
      </c>
      <c r="E59" s="1"/>
      <c r="F59" s="1">
        <v>155.41999999999999</v>
      </c>
      <c r="G59" s="1">
        <v>10000</v>
      </c>
      <c r="H59" s="5">
        <f t="shared" si="0"/>
        <v>0</v>
      </c>
      <c r="I59" s="1"/>
      <c r="J59" s="1"/>
    </row>
    <row r="60" spans="1:10" x14ac:dyDescent="0.2">
      <c r="A60">
        <v>54</v>
      </c>
      <c r="B60" s="1" t="s">
        <v>249</v>
      </c>
      <c r="C60" s="32">
        <v>9962</v>
      </c>
      <c r="D60" s="1">
        <v>24000</v>
      </c>
      <c r="E60" s="1"/>
      <c r="F60" s="1">
        <v>267.27999999999997</v>
      </c>
      <c r="G60" s="1">
        <v>24000</v>
      </c>
      <c r="H60" s="5">
        <f t="shared" si="0"/>
        <v>0</v>
      </c>
      <c r="I60" s="1"/>
      <c r="J60" s="1"/>
    </row>
    <row r="61" spans="1:10" x14ac:dyDescent="0.2">
      <c r="A61">
        <v>55</v>
      </c>
      <c r="B61" s="1" t="s">
        <v>249</v>
      </c>
      <c r="C61" s="32">
        <v>9577</v>
      </c>
      <c r="D61" s="1">
        <v>19000</v>
      </c>
      <c r="E61" s="1"/>
      <c r="F61" s="1">
        <v>211.68</v>
      </c>
      <c r="G61" s="1">
        <v>19000</v>
      </c>
      <c r="H61" s="5">
        <f t="shared" si="0"/>
        <v>0</v>
      </c>
      <c r="I61" s="1"/>
      <c r="J61" s="1"/>
    </row>
    <row r="62" spans="1:10" x14ac:dyDescent="0.2">
      <c r="A62">
        <v>56</v>
      </c>
      <c r="B62" s="1" t="s">
        <v>249</v>
      </c>
      <c r="C62" s="32">
        <v>5079</v>
      </c>
      <c r="D62" s="1">
        <v>30000</v>
      </c>
      <c r="E62" s="1"/>
      <c r="F62" s="1">
        <v>334.22</v>
      </c>
      <c r="G62" s="1">
        <v>30000</v>
      </c>
      <c r="H62" s="5">
        <f t="shared" si="0"/>
        <v>0</v>
      </c>
      <c r="I62" s="1"/>
      <c r="J62" s="1"/>
    </row>
    <row r="63" spans="1:10" x14ac:dyDescent="0.2">
      <c r="A63">
        <v>57</v>
      </c>
      <c r="B63" s="1" t="s">
        <v>249</v>
      </c>
      <c r="C63" s="32">
        <v>388</v>
      </c>
      <c r="D63" s="1">
        <v>15000</v>
      </c>
      <c r="E63" s="1"/>
      <c r="F63" s="1">
        <v>262.37</v>
      </c>
      <c r="G63" s="1">
        <v>15000</v>
      </c>
      <c r="H63" s="5">
        <f t="shared" si="0"/>
        <v>0</v>
      </c>
      <c r="I63" s="1"/>
      <c r="J63" s="1"/>
    </row>
    <row r="64" spans="1:10" x14ac:dyDescent="0.2">
      <c r="A64">
        <v>58</v>
      </c>
      <c r="B64" s="1" t="s">
        <v>250</v>
      </c>
      <c r="C64" s="32" t="s">
        <v>63</v>
      </c>
      <c r="D64" s="1">
        <v>3500</v>
      </c>
      <c r="E64" s="1"/>
      <c r="F64" s="1">
        <v>38.99</v>
      </c>
      <c r="G64" s="1">
        <v>3500</v>
      </c>
      <c r="H64" s="5">
        <f t="shared" si="0"/>
        <v>0</v>
      </c>
      <c r="I64" s="1"/>
      <c r="J64" s="1"/>
    </row>
    <row r="65" spans="1:13" x14ac:dyDescent="0.2">
      <c r="A65">
        <v>59</v>
      </c>
      <c r="B65" s="1" t="s">
        <v>250</v>
      </c>
      <c r="C65" s="32" t="s">
        <v>66</v>
      </c>
      <c r="D65" s="1">
        <v>200</v>
      </c>
      <c r="E65" s="1"/>
      <c r="F65" s="1">
        <v>2.08</v>
      </c>
      <c r="G65" s="1">
        <v>200</v>
      </c>
      <c r="H65" s="5">
        <f t="shared" si="0"/>
        <v>0</v>
      </c>
      <c r="I65" s="1"/>
      <c r="J65" s="1"/>
    </row>
    <row r="66" spans="1:13" x14ac:dyDescent="0.2">
      <c r="A66">
        <v>60</v>
      </c>
      <c r="B66" s="1" t="s">
        <v>250</v>
      </c>
      <c r="C66" s="32">
        <v>7972</v>
      </c>
      <c r="D66" s="1">
        <v>20000</v>
      </c>
      <c r="E66" s="1"/>
      <c r="F66" s="1">
        <v>309.72000000000003</v>
      </c>
      <c r="G66" s="1">
        <v>20000</v>
      </c>
      <c r="H66" s="5">
        <f t="shared" si="0"/>
        <v>0</v>
      </c>
      <c r="I66" s="1"/>
      <c r="J66" s="1"/>
    </row>
    <row r="67" spans="1:13" x14ac:dyDescent="0.2">
      <c r="A67">
        <v>61</v>
      </c>
      <c r="B67" s="1" t="s">
        <v>250</v>
      </c>
      <c r="C67" s="32">
        <v>4692</v>
      </c>
      <c r="D67" s="1">
        <v>29000</v>
      </c>
      <c r="E67" s="1"/>
      <c r="F67" s="1">
        <v>306.38</v>
      </c>
      <c r="G67" s="1">
        <v>29000</v>
      </c>
      <c r="H67" s="5">
        <f t="shared" si="0"/>
        <v>0</v>
      </c>
      <c r="I67" s="1"/>
      <c r="J67" s="1"/>
    </row>
    <row r="68" spans="1:13" x14ac:dyDescent="0.2">
      <c r="A68">
        <v>62</v>
      </c>
      <c r="B68" s="1" t="s">
        <v>250</v>
      </c>
      <c r="C68" s="32">
        <v>3992</v>
      </c>
      <c r="D68" s="1">
        <v>29000</v>
      </c>
      <c r="E68" s="1"/>
      <c r="F68" s="1">
        <v>292.44</v>
      </c>
      <c r="G68" s="1">
        <v>29000</v>
      </c>
      <c r="H68" s="5">
        <f t="shared" si="0"/>
        <v>0</v>
      </c>
      <c r="I68" s="1"/>
      <c r="J68" s="1"/>
    </row>
    <row r="69" spans="1:13" x14ac:dyDescent="0.2">
      <c r="A69">
        <v>63</v>
      </c>
      <c r="B69" s="1" t="s">
        <v>250</v>
      </c>
      <c r="C69" s="32">
        <v>3598</v>
      </c>
      <c r="D69" s="1">
        <v>20000</v>
      </c>
      <c r="E69" s="1"/>
      <c r="F69" s="1">
        <v>222.82</v>
      </c>
      <c r="G69" s="1">
        <v>20000</v>
      </c>
      <c r="H69" s="5">
        <f t="shared" si="0"/>
        <v>0</v>
      </c>
      <c r="I69" s="1"/>
      <c r="J69" s="1"/>
    </row>
    <row r="70" spans="1:13" x14ac:dyDescent="0.2">
      <c r="A70">
        <v>64</v>
      </c>
      <c r="B70" s="1" t="s">
        <v>251</v>
      </c>
      <c r="C70" s="32">
        <v>2148</v>
      </c>
      <c r="D70" s="1">
        <v>20000</v>
      </c>
      <c r="E70" s="1"/>
      <c r="F70" s="1">
        <v>222.82</v>
      </c>
      <c r="G70" s="1">
        <v>20000</v>
      </c>
      <c r="H70" s="5">
        <f t="shared" si="0"/>
        <v>0</v>
      </c>
      <c r="I70" s="1"/>
      <c r="J70" s="1"/>
    </row>
    <row r="71" spans="1:13" x14ac:dyDescent="0.2">
      <c r="A71">
        <v>65</v>
      </c>
      <c r="B71" s="1" t="s">
        <v>251</v>
      </c>
      <c r="C71" s="32" t="s">
        <v>30</v>
      </c>
      <c r="D71" s="1">
        <v>4500</v>
      </c>
      <c r="E71" s="1"/>
      <c r="F71" s="1">
        <v>50.13</v>
      </c>
      <c r="G71" s="1">
        <v>4500</v>
      </c>
      <c r="H71" s="5">
        <f t="shared" si="0"/>
        <v>0</v>
      </c>
      <c r="I71" s="1"/>
      <c r="J71" s="1"/>
    </row>
    <row r="72" spans="1:13" x14ac:dyDescent="0.2">
      <c r="A72">
        <v>66</v>
      </c>
      <c r="B72" s="1" t="s">
        <v>251</v>
      </c>
      <c r="C72" s="32">
        <v>9998</v>
      </c>
      <c r="D72" s="1">
        <v>17000</v>
      </c>
      <c r="E72" s="1"/>
      <c r="F72" s="1">
        <v>189.39</v>
      </c>
      <c r="G72" s="1">
        <v>17000</v>
      </c>
      <c r="H72" s="5">
        <f t="shared" si="0"/>
        <v>0</v>
      </c>
      <c r="I72" s="1"/>
      <c r="J72" s="1"/>
    </row>
    <row r="73" spans="1:13" x14ac:dyDescent="0.2">
      <c r="A73">
        <v>67</v>
      </c>
      <c r="B73" s="1" t="s">
        <v>251</v>
      </c>
      <c r="C73" s="32">
        <v>8585</v>
      </c>
      <c r="D73" s="1">
        <v>25000</v>
      </c>
      <c r="E73" s="1"/>
      <c r="F73" s="1">
        <v>278.52</v>
      </c>
      <c r="G73" s="1">
        <v>25000</v>
      </c>
      <c r="H73" s="5">
        <f t="shared" ref="H73:H137" si="1">D73-G73</f>
        <v>0</v>
      </c>
      <c r="I73" s="1"/>
      <c r="J73" s="1"/>
    </row>
    <row r="74" spans="1:13" x14ac:dyDescent="0.2">
      <c r="A74">
        <v>68</v>
      </c>
      <c r="B74" s="1" t="s">
        <v>251</v>
      </c>
      <c r="C74" s="32">
        <v>6695</v>
      </c>
      <c r="D74" s="1">
        <v>25000</v>
      </c>
      <c r="E74" s="1"/>
      <c r="F74" s="1">
        <v>278.52</v>
      </c>
      <c r="G74" s="1">
        <v>25000</v>
      </c>
      <c r="H74" s="5">
        <f t="shared" si="1"/>
        <v>0</v>
      </c>
      <c r="I74" s="1"/>
      <c r="J74" s="1"/>
    </row>
    <row r="75" spans="1:13" x14ac:dyDescent="0.2">
      <c r="A75">
        <v>69</v>
      </c>
      <c r="B75" s="1" t="s">
        <v>251</v>
      </c>
      <c r="C75" s="32">
        <v>4928</v>
      </c>
      <c r="D75" s="1">
        <v>25000</v>
      </c>
      <c r="E75" s="1"/>
      <c r="F75" s="1">
        <v>278.52</v>
      </c>
      <c r="G75" s="1">
        <v>25000</v>
      </c>
      <c r="H75" s="5">
        <f t="shared" si="1"/>
        <v>0</v>
      </c>
      <c r="I75" s="1"/>
      <c r="J75" s="1"/>
    </row>
    <row r="76" spans="1:13" x14ac:dyDescent="0.2">
      <c r="A76">
        <v>70</v>
      </c>
      <c r="B76" s="1" t="s">
        <v>251</v>
      </c>
      <c r="C76" s="32">
        <v>2409</v>
      </c>
      <c r="D76" s="1">
        <v>18000</v>
      </c>
      <c r="E76" s="1"/>
      <c r="F76" s="1">
        <v>200.53</v>
      </c>
      <c r="G76" s="1">
        <v>18000</v>
      </c>
      <c r="H76" s="5">
        <f t="shared" si="1"/>
        <v>0</v>
      </c>
      <c r="I76" s="1"/>
      <c r="J76" s="1"/>
    </row>
    <row r="77" spans="1:13" x14ac:dyDescent="0.2">
      <c r="A77">
        <v>71</v>
      </c>
      <c r="B77" s="1" t="s">
        <v>252</v>
      </c>
      <c r="C77" s="32">
        <v>1161</v>
      </c>
      <c r="D77" s="1">
        <v>20000</v>
      </c>
      <c r="E77" s="1"/>
      <c r="F77" s="1">
        <v>222.82</v>
      </c>
      <c r="G77" s="1">
        <v>20000</v>
      </c>
      <c r="H77" s="5">
        <f t="shared" si="1"/>
        <v>0</v>
      </c>
      <c r="I77" s="1"/>
      <c r="J77" s="1"/>
      <c r="M77">
        <f>200/96</f>
        <v>2.0833333333333335</v>
      </c>
    </row>
    <row r="78" spans="1:13" x14ac:dyDescent="0.2">
      <c r="A78">
        <v>72</v>
      </c>
      <c r="B78" s="1" t="s">
        <v>252</v>
      </c>
      <c r="C78" s="32" t="s">
        <v>63</v>
      </c>
      <c r="D78" s="1">
        <v>3500</v>
      </c>
      <c r="E78" s="1"/>
      <c r="F78" s="1">
        <v>38.99</v>
      </c>
      <c r="G78" s="1">
        <v>3500</v>
      </c>
      <c r="H78" s="5">
        <f t="shared" si="1"/>
        <v>0</v>
      </c>
      <c r="I78" s="1"/>
      <c r="J78" s="1"/>
    </row>
    <row r="79" spans="1:13" x14ac:dyDescent="0.2">
      <c r="A79">
        <v>73</v>
      </c>
      <c r="B79" s="1" t="s">
        <v>252</v>
      </c>
      <c r="C79" s="32">
        <v>1726</v>
      </c>
      <c r="D79" s="1">
        <v>10000</v>
      </c>
      <c r="E79" s="1"/>
      <c r="F79" s="1">
        <v>102.83</v>
      </c>
      <c r="G79" s="1">
        <v>10000</v>
      </c>
      <c r="H79" s="5">
        <f t="shared" si="1"/>
        <v>0</v>
      </c>
      <c r="I79" s="1"/>
      <c r="J79" s="1"/>
    </row>
    <row r="80" spans="1:13" x14ac:dyDescent="0.2">
      <c r="A80">
        <v>74</v>
      </c>
      <c r="B80" s="1" t="s">
        <v>252</v>
      </c>
      <c r="C80" s="32">
        <v>2481</v>
      </c>
      <c r="D80" s="1">
        <v>10000</v>
      </c>
      <c r="E80" s="1"/>
      <c r="F80" s="1">
        <v>102.83</v>
      </c>
      <c r="G80" s="1">
        <v>10000</v>
      </c>
      <c r="H80" s="5">
        <f t="shared" si="1"/>
        <v>0</v>
      </c>
      <c r="I80" s="1"/>
      <c r="J80" s="1"/>
    </row>
    <row r="81" spans="1:10" x14ac:dyDescent="0.2">
      <c r="A81">
        <v>75</v>
      </c>
      <c r="B81" s="1" t="s">
        <v>253</v>
      </c>
      <c r="C81" s="32">
        <v>4028</v>
      </c>
      <c r="D81" s="1">
        <v>20000</v>
      </c>
      <c r="E81" s="1"/>
      <c r="F81" s="1">
        <v>222.82</v>
      </c>
      <c r="G81" s="1">
        <v>20000</v>
      </c>
      <c r="H81" s="5">
        <f t="shared" si="1"/>
        <v>0</v>
      </c>
      <c r="I81" s="1"/>
      <c r="J81" s="1"/>
    </row>
    <row r="82" spans="1:10" x14ac:dyDescent="0.2">
      <c r="A82">
        <v>76</v>
      </c>
      <c r="B82" s="1" t="s">
        <v>253</v>
      </c>
      <c r="C82" s="32" t="s">
        <v>30</v>
      </c>
      <c r="D82" s="1">
        <v>4500</v>
      </c>
      <c r="E82" s="1"/>
      <c r="F82" s="1">
        <v>50.2</v>
      </c>
      <c r="G82" s="1">
        <v>4500</v>
      </c>
      <c r="H82" s="5">
        <f t="shared" si="1"/>
        <v>0</v>
      </c>
      <c r="I82" s="1"/>
      <c r="J82" s="1"/>
    </row>
    <row r="83" spans="1:10" x14ac:dyDescent="0.2">
      <c r="A83">
        <v>77</v>
      </c>
      <c r="B83" s="1" t="s">
        <v>253</v>
      </c>
      <c r="C83" s="32" t="s">
        <v>66</v>
      </c>
      <c r="D83" s="1">
        <v>200</v>
      </c>
      <c r="E83" s="1"/>
      <c r="F83" s="1">
        <v>2.08</v>
      </c>
      <c r="G83" s="1">
        <v>200</v>
      </c>
      <c r="H83" s="5">
        <f t="shared" si="1"/>
        <v>0</v>
      </c>
      <c r="I83" s="1"/>
      <c r="J83" s="1"/>
    </row>
    <row r="84" spans="1:10" x14ac:dyDescent="0.2">
      <c r="A84">
        <v>78</v>
      </c>
      <c r="B84" s="1" t="s">
        <v>253</v>
      </c>
      <c r="C84" s="32">
        <v>7176</v>
      </c>
      <c r="D84" s="1">
        <v>20000</v>
      </c>
      <c r="E84" s="1"/>
      <c r="F84" s="1">
        <v>222.82</v>
      </c>
      <c r="G84" s="1">
        <v>20000</v>
      </c>
      <c r="H84" s="5">
        <f t="shared" si="1"/>
        <v>0</v>
      </c>
      <c r="I84" s="1"/>
      <c r="J84" s="1"/>
    </row>
    <row r="85" spans="1:10" x14ac:dyDescent="0.2">
      <c r="A85">
        <v>79</v>
      </c>
      <c r="B85" s="1" t="s">
        <v>253</v>
      </c>
      <c r="C85" s="32">
        <v>8279</v>
      </c>
      <c r="D85" s="1">
        <v>20000</v>
      </c>
      <c r="E85" s="1"/>
      <c r="F85" s="1">
        <v>222.82</v>
      </c>
      <c r="G85" s="1">
        <v>20000</v>
      </c>
      <c r="H85" s="5">
        <f t="shared" si="1"/>
        <v>0</v>
      </c>
      <c r="I85" s="1"/>
      <c r="J85" s="1"/>
    </row>
    <row r="86" spans="1:10" x14ac:dyDescent="0.2">
      <c r="A86">
        <v>80</v>
      </c>
      <c r="B86" s="1" t="s">
        <v>253</v>
      </c>
      <c r="C86" s="32">
        <v>5183</v>
      </c>
      <c r="D86" s="1">
        <v>25000</v>
      </c>
      <c r="E86" s="1"/>
      <c r="F86" s="1">
        <v>278.52</v>
      </c>
      <c r="G86" s="1">
        <v>25000</v>
      </c>
      <c r="H86" s="5">
        <f t="shared" si="1"/>
        <v>0</v>
      </c>
      <c r="I86" s="1"/>
      <c r="J86" s="1"/>
    </row>
    <row r="87" spans="1:10" x14ac:dyDescent="0.2">
      <c r="A87">
        <v>81</v>
      </c>
      <c r="B87" s="1" t="s">
        <v>253</v>
      </c>
      <c r="C87" s="32">
        <v>4849</v>
      </c>
      <c r="D87" s="1">
        <v>23000</v>
      </c>
      <c r="E87" s="1"/>
      <c r="F87" s="1">
        <v>256.24</v>
      </c>
      <c r="G87" s="1">
        <v>23000</v>
      </c>
      <c r="H87" s="5">
        <f t="shared" si="1"/>
        <v>0</v>
      </c>
      <c r="I87" s="1"/>
      <c r="J87" s="1"/>
    </row>
    <row r="88" spans="1:10" x14ac:dyDescent="0.2">
      <c r="A88">
        <v>82</v>
      </c>
      <c r="B88" s="1" t="s">
        <v>256</v>
      </c>
      <c r="C88" s="32" t="s">
        <v>63</v>
      </c>
      <c r="D88" s="1">
        <v>3500</v>
      </c>
      <c r="E88" s="1"/>
      <c r="F88" s="1">
        <v>38.99</v>
      </c>
      <c r="G88" s="1">
        <v>3500</v>
      </c>
      <c r="H88" s="5">
        <f t="shared" si="1"/>
        <v>0</v>
      </c>
      <c r="I88" s="1"/>
      <c r="J88" s="1"/>
    </row>
    <row r="89" spans="1:10" x14ac:dyDescent="0.2">
      <c r="A89">
        <v>83</v>
      </c>
      <c r="B89" s="1" t="s">
        <v>256</v>
      </c>
      <c r="C89" s="32">
        <v>8931</v>
      </c>
      <c r="D89" s="1">
        <v>20000</v>
      </c>
      <c r="E89" s="1"/>
      <c r="F89" s="1">
        <v>222.82</v>
      </c>
      <c r="G89" s="1">
        <v>20000</v>
      </c>
      <c r="H89" s="5">
        <f t="shared" si="1"/>
        <v>0</v>
      </c>
      <c r="I89" s="1"/>
      <c r="J89" s="1"/>
    </row>
    <row r="90" spans="1:10" x14ac:dyDescent="0.2">
      <c r="A90">
        <v>84</v>
      </c>
      <c r="B90" s="1" t="s">
        <v>256</v>
      </c>
      <c r="C90" s="32">
        <v>2094</v>
      </c>
      <c r="D90" s="1">
        <v>20000</v>
      </c>
      <c r="E90" s="1"/>
      <c r="F90" s="1">
        <v>222.82</v>
      </c>
      <c r="G90" s="1">
        <v>20000</v>
      </c>
      <c r="H90" s="5">
        <f t="shared" si="1"/>
        <v>0</v>
      </c>
      <c r="I90" s="1"/>
      <c r="J90" s="1"/>
    </row>
    <row r="91" spans="1:10" x14ac:dyDescent="0.2">
      <c r="A91">
        <v>85</v>
      </c>
      <c r="B91" s="1" t="s">
        <v>257</v>
      </c>
      <c r="C91" s="32" t="s">
        <v>30</v>
      </c>
      <c r="D91" s="1">
        <v>4500</v>
      </c>
      <c r="E91" s="1"/>
      <c r="F91" s="1">
        <v>50.13</v>
      </c>
      <c r="G91" s="1">
        <v>4500</v>
      </c>
      <c r="H91" s="5">
        <f t="shared" si="1"/>
        <v>0</v>
      </c>
      <c r="I91" s="1"/>
      <c r="J91" s="1"/>
    </row>
    <row r="92" spans="1:10" x14ac:dyDescent="0.2">
      <c r="A92">
        <v>86</v>
      </c>
      <c r="B92" s="1" t="s">
        <v>257</v>
      </c>
      <c r="C92" s="32">
        <v>7570</v>
      </c>
      <c r="D92" s="1">
        <v>18000</v>
      </c>
      <c r="E92" s="1"/>
      <c r="F92" s="1">
        <v>200.53</v>
      </c>
      <c r="G92" s="1">
        <v>18000</v>
      </c>
      <c r="H92" s="5">
        <f t="shared" si="1"/>
        <v>0</v>
      </c>
      <c r="I92" s="1"/>
      <c r="J92" s="1"/>
    </row>
    <row r="93" spans="1:10" x14ac:dyDescent="0.2">
      <c r="A93">
        <v>87</v>
      </c>
      <c r="B93" s="1" t="s">
        <v>257</v>
      </c>
      <c r="C93" s="32">
        <v>7514</v>
      </c>
      <c r="D93" s="1">
        <v>20000</v>
      </c>
      <c r="E93" s="1"/>
      <c r="F93" s="1">
        <v>200.82</v>
      </c>
      <c r="G93" s="1">
        <v>20000</v>
      </c>
      <c r="H93" s="5">
        <f t="shared" si="1"/>
        <v>0</v>
      </c>
      <c r="I93" s="1"/>
      <c r="J93" s="1"/>
    </row>
    <row r="94" spans="1:10" x14ac:dyDescent="0.2">
      <c r="A94">
        <v>88</v>
      </c>
      <c r="B94" s="1" t="s">
        <v>257</v>
      </c>
      <c r="C94" s="32">
        <v>8444</v>
      </c>
      <c r="D94" s="1">
        <v>20000</v>
      </c>
      <c r="E94" s="1"/>
      <c r="F94" s="1">
        <v>200.82</v>
      </c>
      <c r="G94" s="1">
        <v>20000</v>
      </c>
      <c r="H94" s="5">
        <f t="shared" si="1"/>
        <v>0</v>
      </c>
      <c r="I94" s="1"/>
      <c r="J94" s="1"/>
    </row>
    <row r="95" spans="1:10" x14ac:dyDescent="0.2">
      <c r="A95">
        <v>89</v>
      </c>
      <c r="B95" s="1" t="s">
        <v>258</v>
      </c>
      <c r="C95" s="32" t="s">
        <v>30</v>
      </c>
      <c r="D95" s="1">
        <v>3500</v>
      </c>
      <c r="E95" s="1"/>
      <c r="F95" s="1">
        <v>39.03</v>
      </c>
      <c r="G95" s="1">
        <v>3500</v>
      </c>
      <c r="H95" s="5">
        <f t="shared" si="1"/>
        <v>0</v>
      </c>
      <c r="I95" s="1"/>
      <c r="J95" s="1"/>
    </row>
    <row r="96" spans="1:10" x14ac:dyDescent="0.2">
      <c r="A96">
        <v>90</v>
      </c>
      <c r="B96" s="1" t="s">
        <v>258</v>
      </c>
      <c r="C96" s="32">
        <v>262</v>
      </c>
      <c r="D96" s="1">
        <v>20000</v>
      </c>
      <c r="E96" s="1"/>
      <c r="F96" s="1">
        <v>200.82</v>
      </c>
      <c r="G96" s="1">
        <v>20000</v>
      </c>
      <c r="H96" s="5">
        <f t="shared" si="1"/>
        <v>0</v>
      </c>
      <c r="I96" s="1"/>
      <c r="J96" s="1"/>
    </row>
    <row r="97" spans="1:10" x14ac:dyDescent="0.2">
      <c r="A97">
        <v>91</v>
      </c>
      <c r="B97" s="1" t="s">
        <v>258</v>
      </c>
      <c r="C97" s="32">
        <v>8571</v>
      </c>
      <c r="D97" s="1">
        <v>20000</v>
      </c>
      <c r="E97" s="1"/>
      <c r="F97" s="1">
        <v>200.82</v>
      </c>
      <c r="G97" s="1">
        <v>20000</v>
      </c>
      <c r="H97" s="5">
        <f t="shared" si="1"/>
        <v>0</v>
      </c>
      <c r="I97" s="1"/>
      <c r="J97" s="1"/>
    </row>
    <row r="98" spans="1:10" x14ac:dyDescent="0.2">
      <c r="A98">
        <v>92</v>
      </c>
      <c r="B98" s="1" t="s">
        <v>258</v>
      </c>
      <c r="C98" s="32">
        <v>1528</v>
      </c>
      <c r="D98" s="1">
        <v>20000</v>
      </c>
      <c r="E98" s="1"/>
      <c r="F98" s="1">
        <v>200.82</v>
      </c>
      <c r="G98" s="1">
        <v>20000</v>
      </c>
      <c r="H98" s="5">
        <f t="shared" si="1"/>
        <v>0</v>
      </c>
      <c r="I98" s="1"/>
      <c r="J98" s="1"/>
    </row>
    <row r="99" spans="1:10" x14ac:dyDescent="0.2">
      <c r="A99">
        <v>93</v>
      </c>
      <c r="B99" s="1" t="s">
        <v>258</v>
      </c>
      <c r="C99" s="32">
        <v>7815</v>
      </c>
      <c r="D99" s="1">
        <v>11000</v>
      </c>
      <c r="E99" s="1"/>
      <c r="F99" s="1">
        <v>122.53</v>
      </c>
      <c r="G99" s="1">
        <v>11000</v>
      </c>
      <c r="H99" s="5">
        <f t="shared" si="1"/>
        <v>0</v>
      </c>
      <c r="I99" s="1"/>
      <c r="J99" s="1"/>
    </row>
    <row r="100" spans="1:10" x14ac:dyDescent="0.2">
      <c r="A100">
        <v>94</v>
      </c>
      <c r="B100" s="1" t="s">
        <v>258</v>
      </c>
      <c r="C100" s="32">
        <v>7776</v>
      </c>
      <c r="D100" s="1">
        <v>11000</v>
      </c>
      <c r="E100" s="1"/>
      <c r="F100" s="1">
        <v>122.53</v>
      </c>
      <c r="G100" s="1">
        <v>11000</v>
      </c>
      <c r="H100" s="5">
        <f t="shared" si="1"/>
        <v>0</v>
      </c>
      <c r="I100" s="1"/>
      <c r="J100" s="1"/>
    </row>
    <row r="101" spans="1:10" x14ac:dyDescent="0.2">
      <c r="A101">
        <v>95</v>
      </c>
      <c r="B101" s="1" t="s">
        <v>258</v>
      </c>
      <c r="C101" s="32">
        <v>4207</v>
      </c>
      <c r="D101" s="1">
        <v>25000</v>
      </c>
      <c r="E101" s="1"/>
      <c r="F101" s="1">
        <v>278.52</v>
      </c>
      <c r="G101" s="1">
        <v>25000</v>
      </c>
      <c r="H101" s="5">
        <f t="shared" si="1"/>
        <v>0</v>
      </c>
      <c r="I101" s="1"/>
      <c r="J101" s="1"/>
    </row>
    <row r="102" spans="1:10" x14ac:dyDescent="0.2">
      <c r="A102">
        <v>96</v>
      </c>
      <c r="B102" s="1" t="s">
        <v>258</v>
      </c>
      <c r="C102" s="32">
        <v>5833</v>
      </c>
      <c r="D102" s="1">
        <v>22000</v>
      </c>
      <c r="E102" s="1"/>
      <c r="F102" s="1">
        <v>233</v>
      </c>
      <c r="G102" s="1">
        <v>22000</v>
      </c>
      <c r="H102" s="5">
        <f t="shared" si="1"/>
        <v>0</v>
      </c>
      <c r="I102" s="1"/>
      <c r="J102" s="1"/>
    </row>
    <row r="103" spans="1:10" x14ac:dyDescent="0.2">
      <c r="A103">
        <v>97</v>
      </c>
      <c r="B103" s="1" t="s">
        <v>259</v>
      </c>
      <c r="C103" s="32" t="s">
        <v>30</v>
      </c>
      <c r="D103" s="1">
        <v>5000</v>
      </c>
      <c r="E103" s="1"/>
      <c r="F103" s="1">
        <v>55.7</v>
      </c>
      <c r="G103" s="1">
        <v>5000</v>
      </c>
      <c r="H103" s="5">
        <f t="shared" si="1"/>
        <v>0</v>
      </c>
      <c r="I103" s="1"/>
      <c r="J103" s="1"/>
    </row>
    <row r="104" spans="1:10" x14ac:dyDescent="0.2">
      <c r="A104">
        <v>98</v>
      </c>
      <c r="B104" s="1" t="s">
        <v>259</v>
      </c>
      <c r="C104" s="32">
        <v>2228</v>
      </c>
      <c r="D104" s="1">
        <v>28000</v>
      </c>
      <c r="E104" s="1"/>
      <c r="F104" s="1">
        <v>311.94</v>
      </c>
      <c r="G104" s="1">
        <v>28000</v>
      </c>
      <c r="H104" s="5">
        <f t="shared" si="1"/>
        <v>0</v>
      </c>
      <c r="I104" s="1"/>
      <c r="J104" s="1"/>
    </row>
    <row r="105" spans="1:10" x14ac:dyDescent="0.2">
      <c r="A105">
        <v>99</v>
      </c>
      <c r="B105" s="1" t="s">
        <v>259</v>
      </c>
      <c r="C105" s="32">
        <v>4702</v>
      </c>
      <c r="D105" s="1">
        <v>10000</v>
      </c>
      <c r="E105" s="1"/>
      <c r="F105" s="1">
        <v>85.12</v>
      </c>
      <c r="G105" s="1">
        <v>10000</v>
      </c>
      <c r="H105" s="5">
        <f t="shared" si="1"/>
        <v>0</v>
      </c>
      <c r="I105" s="1"/>
      <c r="J105" s="1"/>
    </row>
    <row r="106" spans="1:10" x14ac:dyDescent="0.2">
      <c r="A106">
        <v>100</v>
      </c>
      <c r="B106" s="1" t="s">
        <v>259</v>
      </c>
      <c r="C106" s="32">
        <v>9346</v>
      </c>
      <c r="D106" s="1">
        <v>25000</v>
      </c>
      <c r="E106" s="1"/>
      <c r="F106" s="1">
        <v>278.52</v>
      </c>
      <c r="G106" s="1">
        <v>25000</v>
      </c>
      <c r="H106" s="5">
        <f t="shared" si="1"/>
        <v>0</v>
      </c>
      <c r="I106" s="1"/>
      <c r="J106" s="1"/>
    </row>
    <row r="107" spans="1:10" x14ac:dyDescent="0.2">
      <c r="A107">
        <v>101</v>
      </c>
      <c r="B107" s="1" t="s">
        <v>259</v>
      </c>
      <c r="C107" s="32">
        <v>1256</v>
      </c>
      <c r="D107" s="1">
        <v>25000</v>
      </c>
      <c r="E107" s="1"/>
      <c r="F107" s="1">
        <v>278.52</v>
      </c>
      <c r="G107" s="1">
        <v>25000</v>
      </c>
      <c r="H107" s="5">
        <f t="shared" si="1"/>
        <v>0</v>
      </c>
      <c r="I107" s="1"/>
      <c r="J107" s="1"/>
    </row>
    <row r="108" spans="1:10" x14ac:dyDescent="0.2">
      <c r="A108">
        <v>102</v>
      </c>
      <c r="B108" s="1" t="s">
        <v>259</v>
      </c>
      <c r="C108" s="32">
        <v>4481</v>
      </c>
      <c r="D108" s="1">
        <v>21000</v>
      </c>
      <c r="E108" s="1"/>
      <c r="F108" s="1">
        <v>233.91</v>
      </c>
      <c r="G108" s="1">
        <v>21000</v>
      </c>
      <c r="H108" s="5">
        <f t="shared" si="1"/>
        <v>0</v>
      </c>
      <c r="I108" s="1"/>
      <c r="J108" s="1"/>
    </row>
    <row r="109" spans="1:10" x14ac:dyDescent="0.2">
      <c r="A109">
        <v>103</v>
      </c>
      <c r="B109" s="1" t="s">
        <v>260</v>
      </c>
      <c r="C109" s="32">
        <v>9998</v>
      </c>
      <c r="D109" s="1">
        <v>17000</v>
      </c>
      <c r="E109" s="1"/>
      <c r="F109" s="1">
        <v>183.82</v>
      </c>
      <c r="G109" s="1">
        <v>17000</v>
      </c>
      <c r="H109" s="5">
        <f t="shared" si="1"/>
        <v>0</v>
      </c>
      <c r="I109" s="1"/>
      <c r="J109" s="1"/>
    </row>
    <row r="110" spans="1:10" x14ac:dyDescent="0.2">
      <c r="A110">
        <v>104</v>
      </c>
      <c r="B110" s="1" t="s">
        <v>260</v>
      </c>
      <c r="C110" s="32" t="s">
        <v>63</v>
      </c>
      <c r="D110" s="1">
        <v>3500</v>
      </c>
      <c r="E110" s="1"/>
      <c r="F110" s="1">
        <v>39.03</v>
      </c>
      <c r="G110" s="1">
        <v>3500</v>
      </c>
      <c r="H110" s="5">
        <f t="shared" si="1"/>
        <v>0</v>
      </c>
      <c r="I110" s="1"/>
      <c r="J110" s="1"/>
    </row>
    <row r="111" spans="1:10" x14ac:dyDescent="0.2">
      <c r="A111">
        <v>105</v>
      </c>
      <c r="B111" s="1" t="s">
        <v>260</v>
      </c>
      <c r="C111" s="32" t="s">
        <v>30</v>
      </c>
      <c r="D111" s="1">
        <v>4500</v>
      </c>
      <c r="E111" s="1"/>
      <c r="F111" s="1">
        <v>50.13</v>
      </c>
      <c r="G111" s="1">
        <v>4500</v>
      </c>
      <c r="H111" s="5">
        <f t="shared" si="1"/>
        <v>0</v>
      </c>
      <c r="I111" s="1"/>
      <c r="J111" s="1"/>
    </row>
    <row r="112" spans="1:10" x14ac:dyDescent="0.2">
      <c r="A112">
        <v>106</v>
      </c>
      <c r="B112" s="1" t="s">
        <v>260</v>
      </c>
      <c r="C112" s="32">
        <v>1206</v>
      </c>
      <c r="D112" s="1">
        <v>20000</v>
      </c>
      <c r="E112" s="1"/>
      <c r="F112" s="1">
        <v>222</v>
      </c>
      <c r="G112" s="1">
        <v>20000</v>
      </c>
      <c r="H112" s="5">
        <f t="shared" si="1"/>
        <v>0</v>
      </c>
      <c r="I112" s="1"/>
      <c r="J112" s="1"/>
    </row>
    <row r="113" spans="1:10" x14ac:dyDescent="0.2">
      <c r="A113">
        <v>107</v>
      </c>
      <c r="B113" s="1" t="s">
        <v>260</v>
      </c>
      <c r="C113" s="32">
        <v>3468</v>
      </c>
      <c r="D113" s="1">
        <v>15000</v>
      </c>
      <c r="E113" s="1"/>
      <c r="F113" s="1">
        <v>167.3</v>
      </c>
      <c r="G113" s="1">
        <v>15000</v>
      </c>
      <c r="H113" s="5">
        <f t="shared" si="1"/>
        <v>0</v>
      </c>
      <c r="I113" s="1"/>
      <c r="J113" s="1"/>
    </row>
    <row r="114" spans="1:10" x14ac:dyDescent="0.2">
      <c r="A114">
        <v>108</v>
      </c>
      <c r="B114" s="1" t="s">
        <v>260</v>
      </c>
      <c r="C114" s="32">
        <v>4337</v>
      </c>
      <c r="D114" s="1">
        <v>10000</v>
      </c>
      <c r="E114" s="1"/>
      <c r="F114" s="1">
        <v>111.41</v>
      </c>
      <c r="G114" s="1">
        <v>10000</v>
      </c>
      <c r="H114" s="5">
        <f t="shared" si="1"/>
        <v>0</v>
      </c>
      <c r="I114" s="1"/>
      <c r="J114" s="1"/>
    </row>
    <row r="115" spans="1:10" x14ac:dyDescent="0.2">
      <c r="A115">
        <v>109</v>
      </c>
      <c r="B115" s="1" t="s">
        <v>261</v>
      </c>
      <c r="C115" s="32">
        <v>2528</v>
      </c>
      <c r="D115" s="1">
        <v>19200</v>
      </c>
      <c r="E115" s="1"/>
      <c r="F115" s="1">
        <v>213</v>
      </c>
      <c r="G115" s="1">
        <v>19200</v>
      </c>
      <c r="H115" s="5">
        <f t="shared" si="1"/>
        <v>0</v>
      </c>
      <c r="I115" s="1"/>
      <c r="J115" s="1"/>
    </row>
    <row r="116" spans="1:10" x14ac:dyDescent="0.2">
      <c r="A116">
        <v>110</v>
      </c>
      <c r="B116" s="1" t="s">
        <v>261</v>
      </c>
      <c r="C116" s="32">
        <v>472</v>
      </c>
      <c r="D116" s="1">
        <v>20000</v>
      </c>
      <c r="E116" s="1"/>
      <c r="F116" s="1">
        <v>278</v>
      </c>
      <c r="G116" s="1">
        <v>20000</v>
      </c>
      <c r="H116" s="5">
        <f t="shared" si="1"/>
        <v>0</v>
      </c>
      <c r="I116" s="1"/>
      <c r="J116" s="1"/>
    </row>
    <row r="117" spans="1:10" x14ac:dyDescent="0.2">
      <c r="A117">
        <v>111</v>
      </c>
      <c r="B117" s="1" t="s">
        <v>261</v>
      </c>
      <c r="C117" s="32">
        <v>6125</v>
      </c>
      <c r="D117" s="1">
        <v>10000</v>
      </c>
      <c r="E117" s="1"/>
      <c r="F117" s="1">
        <v>111.41</v>
      </c>
      <c r="G117" s="1">
        <v>10000</v>
      </c>
      <c r="H117" s="5">
        <f t="shared" si="1"/>
        <v>0</v>
      </c>
      <c r="I117" s="1"/>
      <c r="J117" s="1"/>
    </row>
    <row r="118" spans="1:10" x14ac:dyDescent="0.2">
      <c r="A118">
        <v>112</v>
      </c>
      <c r="B118" s="1" t="s">
        <v>261</v>
      </c>
      <c r="C118" s="32">
        <v>476</v>
      </c>
      <c r="D118" s="1">
        <v>28000</v>
      </c>
      <c r="E118" s="1"/>
      <c r="F118" s="1">
        <v>311.94</v>
      </c>
      <c r="G118" s="1">
        <v>28000</v>
      </c>
      <c r="H118" s="5">
        <f t="shared" si="1"/>
        <v>0</v>
      </c>
      <c r="I118" s="1"/>
      <c r="J118" s="1"/>
    </row>
    <row r="119" spans="1:10" x14ac:dyDescent="0.2">
      <c r="A119">
        <v>113</v>
      </c>
      <c r="B119" s="1" t="s">
        <v>262</v>
      </c>
      <c r="C119" s="32" t="s">
        <v>66</v>
      </c>
      <c r="D119" s="1">
        <v>200</v>
      </c>
      <c r="E119" s="1"/>
      <c r="F119" s="1">
        <v>2.08</v>
      </c>
      <c r="G119" s="1">
        <v>200</v>
      </c>
      <c r="H119" s="5">
        <f t="shared" si="1"/>
        <v>0</v>
      </c>
      <c r="I119" s="1"/>
      <c r="J119" s="1"/>
    </row>
    <row r="120" spans="1:10" x14ac:dyDescent="0.2">
      <c r="A120">
        <v>114</v>
      </c>
      <c r="B120" s="1" t="s">
        <v>262</v>
      </c>
      <c r="C120" s="32" t="s">
        <v>66</v>
      </c>
      <c r="D120" s="1">
        <v>100</v>
      </c>
      <c r="E120" s="1"/>
      <c r="F120" s="1">
        <v>96.04</v>
      </c>
      <c r="G120" s="1">
        <v>100</v>
      </c>
      <c r="H120" s="5">
        <f t="shared" si="1"/>
        <v>0</v>
      </c>
      <c r="I120" s="1"/>
      <c r="J120" s="1"/>
    </row>
    <row r="121" spans="1:10" x14ac:dyDescent="0.2">
      <c r="A121">
        <v>115</v>
      </c>
      <c r="B121" s="1" t="s">
        <v>263</v>
      </c>
      <c r="C121" s="32" t="s">
        <v>66</v>
      </c>
      <c r="D121" s="1">
        <v>200</v>
      </c>
      <c r="E121" s="1"/>
      <c r="F121" s="1">
        <v>2.08</v>
      </c>
      <c r="G121" s="1">
        <v>200</v>
      </c>
      <c r="H121" s="5">
        <f t="shared" si="1"/>
        <v>0</v>
      </c>
      <c r="I121" s="1"/>
      <c r="J121" s="1"/>
    </row>
    <row r="122" spans="1:10" x14ac:dyDescent="0.2">
      <c r="A122">
        <v>116</v>
      </c>
      <c r="B122" s="1" t="s">
        <v>264</v>
      </c>
      <c r="C122" s="32" t="s">
        <v>30</v>
      </c>
      <c r="D122" s="1">
        <v>4500</v>
      </c>
      <c r="E122" s="1"/>
      <c r="F122" s="1">
        <v>50.13</v>
      </c>
      <c r="G122" s="1">
        <v>4500</v>
      </c>
      <c r="H122" s="5">
        <f t="shared" si="1"/>
        <v>0</v>
      </c>
      <c r="I122" s="1"/>
      <c r="J122" s="1"/>
    </row>
    <row r="123" spans="1:10" x14ac:dyDescent="0.2">
      <c r="A123">
        <v>117</v>
      </c>
      <c r="B123" s="1" t="s">
        <v>264</v>
      </c>
      <c r="C123" s="32">
        <v>1467</v>
      </c>
      <c r="D123" s="1">
        <v>14000</v>
      </c>
      <c r="E123" s="1"/>
      <c r="F123" s="1">
        <v>155.77000000000001</v>
      </c>
      <c r="G123" s="1">
        <v>14000</v>
      </c>
      <c r="H123" s="5">
        <f t="shared" si="1"/>
        <v>0</v>
      </c>
      <c r="I123" s="1"/>
      <c r="J123" s="1"/>
    </row>
    <row r="124" spans="1:10" x14ac:dyDescent="0.2">
      <c r="A124">
        <v>118</v>
      </c>
      <c r="B124" s="1" t="s">
        <v>267</v>
      </c>
      <c r="C124" s="32">
        <v>8294</v>
      </c>
      <c r="D124" s="1">
        <v>14000</v>
      </c>
      <c r="E124" s="1"/>
      <c r="F124" s="1">
        <v>155.77000000000001</v>
      </c>
      <c r="G124" s="1">
        <v>14000</v>
      </c>
      <c r="H124" s="5">
        <f t="shared" si="1"/>
        <v>0</v>
      </c>
      <c r="I124" s="1"/>
      <c r="J124" s="1"/>
    </row>
    <row r="125" spans="1:10" x14ac:dyDescent="0.2">
      <c r="A125">
        <v>119</v>
      </c>
      <c r="B125" s="1" t="s">
        <v>267</v>
      </c>
      <c r="C125" s="32">
        <v>3662</v>
      </c>
      <c r="D125" s="1">
        <v>20000</v>
      </c>
      <c r="E125" s="1"/>
      <c r="F125" s="1">
        <v>222.82</v>
      </c>
      <c r="G125" s="1">
        <v>20000</v>
      </c>
      <c r="H125" s="5">
        <f t="shared" si="1"/>
        <v>0</v>
      </c>
      <c r="I125" s="1"/>
      <c r="J125" s="1"/>
    </row>
    <row r="126" spans="1:10" x14ac:dyDescent="0.2">
      <c r="A126">
        <v>120</v>
      </c>
      <c r="B126" s="1" t="s">
        <v>267</v>
      </c>
      <c r="C126" s="32" t="s">
        <v>63</v>
      </c>
      <c r="D126" s="1">
        <v>3500</v>
      </c>
      <c r="E126" s="1"/>
      <c r="F126" s="1">
        <v>38.229999999999997</v>
      </c>
      <c r="G126" s="1">
        <v>3500</v>
      </c>
      <c r="H126" s="5">
        <f t="shared" si="1"/>
        <v>0</v>
      </c>
      <c r="I126" s="1"/>
      <c r="J126" s="1"/>
    </row>
    <row r="127" spans="1:10" x14ac:dyDescent="0.2">
      <c r="A127">
        <v>121</v>
      </c>
      <c r="B127" s="1" t="s">
        <v>267</v>
      </c>
      <c r="C127" s="32">
        <v>9998</v>
      </c>
      <c r="D127" s="1">
        <v>17000</v>
      </c>
      <c r="E127" s="1"/>
      <c r="F127" s="1">
        <v>189.39</v>
      </c>
      <c r="G127" s="1">
        <v>17000</v>
      </c>
      <c r="H127" s="5">
        <f t="shared" si="1"/>
        <v>0</v>
      </c>
      <c r="I127" s="1"/>
      <c r="J127" s="1"/>
    </row>
    <row r="128" spans="1:10" x14ac:dyDescent="0.2">
      <c r="A128">
        <v>122</v>
      </c>
      <c r="B128" s="1" t="s">
        <v>267</v>
      </c>
      <c r="C128" s="32">
        <v>5796</v>
      </c>
      <c r="D128" s="1">
        <v>10000</v>
      </c>
      <c r="E128" s="1"/>
      <c r="F128" s="1"/>
      <c r="G128" s="1">
        <v>10000</v>
      </c>
      <c r="H128" s="5">
        <f t="shared" si="1"/>
        <v>0</v>
      </c>
      <c r="I128" s="1"/>
      <c r="J128" s="1"/>
    </row>
    <row r="129" spans="1:10" x14ac:dyDescent="0.2">
      <c r="A129">
        <v>123</v>
      </c>
      <c r="B129" s="1" t="s">
        <v>268</v>
      </c>
      <c r="C129" s="32">
        <v>8868</v>
      </c>
      <c r="D129" s="1">
        <v>20000</v>
      </c>
      <c r="E129" s="1"/>
      <c r="F129" s="1">
        <v>222.82</v>
      </c>
      <c r="G129" s="1">
        <v>20000</v>
      </c>
      <c r="H129" s="5">
        <f t="shared" si="1"/>
        <v>0</v>
      </c>
      <c r="I129" s="1"/>
      <c r="J129" s="1"/>
    </row>
    <row r="130" spans="1:10" x14ac:dyDescent="0.2">
      <c r="A130">
        <v>124</v>
      </c>
      <c r="B130" s="1" t="s">
        <v>268</v>
      </c>
      <c r="C130" s="32">
        <v>1842</v>
      </c>
      <c r="D130" s="1">
        <v>15000</v>
      </c>
      <c r="E130" s="1"/>
      <c r="F130" s="1">
        <v>167.32</v>
      </c>
      <c r="G130" s="1">
        <v>15000</v>
      </c>
      <c r="H130" s="5">
        <f t="shared" si="1"/>
        <v>0</v>
      </c>
      <c r="I130" s="1"/>
      <c r="J130" s="1"/>
    </row>
    <row r="131" spans="1:10" x14ac:dyDescent="0.2">
      <c r="A131">
        <v>125</v>
      </c>
      <c r="B131" s="1" t="s">
        <v>268</v>
      </c>
      <c r="C131" s="32" t="s">
        <v>66</v>
      </c>
      <c r="D131" s="1">
        <v>200</v>
      </c>
      <c r="E131" s="1"/>
      <c r="F131" s="1">
        <v>2.08</v>
      </c>
      <c r="G131" s="1">
        <v>200</v>
      </c>
      <c r="H131" s="5">
        <f t="shared" si="1"/>
        <v>0</v>
      </c>
      <c r="I131" s="1"/>
      <c r="J131" s="1"/>
    </row>
    <row r="132" spans="1:10" x14ac:dyDescent="0.2">
      <c r="A132">
        <v>126</v>
      </c>
      <c r="B132" s="1" t="s">
        <v>268</v>
      </c>
      <c r="C132" s="32">
        <v>2016</v>
      </c>
      <c r="D132" s="1">
        <v>22000</v>
      </c>
      <c r="E132" s="1"/>
      <c r="F132" s="1">
        <v>245</v>
      </c>
      <c r="G132" s="1">
        <v>22000</v>
      </c>
      <c r="H132" s="5">
        <f t="shared" si="1"/>
        <v>0</v>
      </c>
      <c r="I132" s="1"/>
      <c r="J132" s="1"/>
    </row>
    <row r="133" spans="1:10" x14ac:dyDescent="0.2">
      <c r="A133">
        <v>127</v>
      </c>
      <c r="B133" s="1" t="s">
        <v>269</v>
      </c>
      <c r="C133" s="32">
        <v>8981</v>
      </c>
      <c r="D133" s="1">
        <v>27000</v>
      </c>
      <c r="E133" s="1"/>
      <c r="F133" s="1">
        <v>256</v>
      </c>
      <c r="G133" s="1">
        <v>27000</v>
      </c>
      <c r="H133" s="5">
        <f t="shared" si="1"/>
        <v>0</v>
      </c>
      <c r="I133" s="1"/>
      <c r="J133" s="1"/>
    </row>
    <row r="134" spans="1:10" x14ac:dyDescent="0.2">
      <c r="A134">
        <v>128</v>
      </c>
      <c r="B134" s="1" t="s">
        <v>269</v>
      </c>
      <c r="C134" s="32">
        <v>6353</v>
      </c>
      <c r="D134" s="1">
        <v>14000</v>
      </c>
      <c r="E134" s="1"/>
      <c r="F134" s="1">
        <v>155.97</v>
      </c>
      <c r="G134" s="1">
        <v>14000</v>
      </c>
      <c r="H134" s="5">
        <f t="shared" si="1"/>
        <v>0</v>
      </c>
      <c r="I134" s="1"/>
      <c r="J134" s="1"/>
    </row>
    <row r="135" spans="1:10" x14ac:dyDescent="0.2">
      <c r="A135">
        <v>129</v>
      </c>
      <c r="B135" s="1" t="s">
        <v>269</v>
      </c>
      <c r="C135" s="32" t="s">
        <v>30</v>
      </c>
      <c r="D135" s="1">
        <v>4500</v>
      </c>
      <c r="E135" s="1"/>
      <c r="F135" s="1">
        <v>50.13</v>
      </c>
      <c r="G135" s="1">
        <v>4500</v>
      </c>
      <c r="H135" s="5">
        <f t="shared" si="1"/>
        <v>0</v>
      </c>
      <c r="I135" s="1"/>
      <c r="J135" s="1"/>
    </row>
    <row r="136" spans="1:10" x14ac:dyDescent="0.2">
      <c r="A136">
        <v>130</v>
      </c>
      <c r="B136" s="1" t="s">
        <v>269</v>
      </c>
      <c r="C136" s="32">
        <v>5079</v>
      </c>
      <c r="D136" s="1">
        <v>25000</v>
      </c>
      <c r="E136" s="1"/>
      <c r="F136" s="1">
        <v>278.52</v>
      </c>
      <c r="G136" s="1">
        <v>25000</v>
      </c>
      <c r="H136" s="5">
        <f t="shared" si="1"/>
        <v>0</v>
      </c>
      <c r="I136" s="1"/>
      <c r="J136" s="1"/>
    </row>
    <row r="137" spans="1:10" x14ac:dyDescent="0.2">
      <c r="A137">
        <v>131</v>
      </c>
      <c r="B137" s="1" t="s">
        <v>269</v>
      </c>
      <c r="C137" s="32">
        <v>7445</v>
      </c>
      <c r="D137" s="1">
        <v>26000</v>
      </c>
      <c r="E137" s="1"/>
      <c r="F137" s="1">
        <v>289.66000000000003</v>
      </c>
      <c r="G137" s="1">
        <v>26000</v>
      </c>
      <c r="H137" s="5">
        <f t="shared" si="1"/>
        <v>0</v>
      </c>
      <c r="I137" s="1"/>
      <c r="J137" s="1"/>
    </row>
    <row r="138" spans="1:10" x14ac:dyDescent="0.2">
      <c r="A138">
        <v>132</v>
      </c>
      <c r="B138" s="1" t="s">
        <v>269</v>
      </c>
      <c r="C138" s="32">
        <v>3828</v>
      </c>
      <c r="D138" s="1">
        <v>22000</v>
      </c>
      <c r="E138" s="1"/>
      <c r="F138" s="1">
        <v>245.1</v>
      </c>
      <c r="G138" s="1">
        <v>22000</v>
      </c>
      <c r="H138" s="5">
        <f t="shared" ref="H138:H144" si="2">D138-G138</f>
        <v>0</v>
      </c>
      <c r="I138" s="1"/>
      <c r="J138" s="1"/>
    </row>
    <row r="139" spans="1:10" x14ac:dyDescent="0.2">
      <c r="A139">
        <v>133</v>
      </c>
      <c r="B139" s="1" t="s">
        <v>269</v>
      </c>
      <c r="C139" s="32">
        <v>472</v>
      </c>
      <c r="D139" s="1">
        <v>20000</v>
      </c>
      <c r="E139" s="1"/>
      <c r="F139" s="1">
        <v>278.52</v>
      </c>
      <c r="G139" s="1">
        <v>20000</v>
      </c>
      <c r="H139" s="5">
        <f t="shared" si="2"/>
        <v>0</v>
      </c>
      <c r="I139" s="1"/>
      <c r="J139" s="1"/>
    </row>
    <row r="140" spans="1:10" x14ac:dyDescent="0.2">
      <c r="A140">
        <v>134</v>
      </c>
      <c r="B140" s="1" t="s">
        <v>269</v>
      </c>
      <c r="C140" s="32">
        <v>1998</v>
      </c>
      <c r="D140" s="1">
        <v>15000</v>
      </c>
      <c r="E140" s="1"/>
      <c r="F140" s="1">
        <v>167.11</v>
      </c>
      <c r="G140" s="1">
        <v>15000</v>
      </c>
      <c r="H140" s="5">
        <f t="shared" si="2"/>
        <v>0</v>
      </c>
      <c r="I140" s="1"/>
      <c r="J140" s="1"/>
    </row>
    <row r="141" spans="1:10" x14ac:dyDescent="0.2">
      <c r="A141">
        <v>135</v>
      </c>
      <c r="B141" s="1" t="s">
        <v>269</v>
      </c>
      <c r="C141" s="32">
        <v>1543</v>
      </c>
      <c r="D141" s="1">
        <v>15000</v>
      </c>
      <c r="E141" s="1"/>
      <c r="F141" s="1">
        <v>167.11</v>
      </c>
      <c r="G141" s="1">
        <v>15000</v>
      </c>
      <c r="H141" s="5">
        <f t="shared" si="2"/>
        <v>0</v>
      </c>
      <c r="I141" s="1"/>
      <c r="J141" s="1"/>
    </row>
    <row r="142" spans="1:10" x14ac:dyDescent="0.2">
      <c r="A142">
        <v>136</v>
      </c>
      <c r="B142" s="1" t="s">
        <v>270</v>
      </c>
      <c r="C142" s="32">
        <v>2774</v>
      </c>
      <c r="D142" s="1">
        <v>15000</v>
      </c>
      <c r="E142" s="1"/>
      <c r="F142" s="1">
        <v>167.11</v>
      </c>
      <c r="G142" s="1">
        <v>15000</v>
      </c>
      <c r="H142" s="5">
        <f t="shared" si="2"/>
        <v>0</v>
      </c>
      <c r="I142" s="1"/>
      <c r="J142" s="1"/>
    </row>
    <row r="143" spans="1:10" x14ac:dyDescent="0.2">
      <c r="A143">
        <v>137</v>
      </c>
      <c r="B143" s="1" t="s">
        <v>270</v>
      </c>
      <c r="C143" s="32" t="s">
        <v>66</v>
      </c>
      <c r="D143" s="1">
        <v>200</v>
      </c>
      <c r="E143" s="1"/>
      <c r="F143" s="1">
        <v>2.08</v>
      </c>
      <c r="G143" s="1">
        <v>200</v>
      </c>
      <c r="H143" s="5">
        <f t="shared" si="2"/>
        <v>0</v>
      </c>
      <c r="I143" s="1"/>
      <c r="J143" s="1"/>
    </row>
    <row r="144" spans="1:10" x14ac:dyDescent="0.2">
      <c r="A144">
        <v>138</v>
      </c>
      <c r="B144" s="1" t="s">
        <v>270</v>
      </c>
      <c r="C144" s="32">
        <v>4337</v>
      </c>
      <c r="D144" s="1">
        <v>12000</v>
      </c>
      <c r="E144" s="1"/>
      <c r="F144" s="1">
        <v>133.69</v>
      </c>
      <c r="G144" s="1">
        <v>12000</v>
      </c>
      <c r="H144" s="5">
        <f t="shared" si="2"/>
        <v>0</v>
      </c>
      <c r="I144" s="1"/>
      <c r="J144" s="1"/>
    </row>
    <row r="145" spans="2:10" ht="15" x14ac:dyDescent="0.25">
      <c r="B145" s="1" t="s">
        <v>75</v>
      </c>
      <c r="C145" s="20" t="s">
        <v>9</v>
      </c>
      <c r="D145" s="21">
        <f>SUM(D7:D144)</f>
        <v>3500995</v>
      </c>
      <c r="E145" s="22"/>
      <c r="F145" s="23">
        <f>SUM(F9:F144)</f>
        <v>24709.49</v>
      </c>
      <c r="G145" s="21">
        <f>SUM(G7:G144)</f>
        <v>3500995</v>
      </c>
      <c r="H145" s="22"/>
      <c r="I145" s="24">
        <f>SUM(I9:I87)</f>
        <v>2691565</v>
      </c>
      <c r="J145" s="1"/>
    </row>
    <row r="146" spans="2:10" ht="15" x14ac:dyDescent="0.25">
      <c r="B146" s="1"/>
      <c r="C146" s="20" t="s">
        <v>10</v>
      </c>
      <c r="D146" s="25">
        <f>SUM(D145-I145)</f>
        <v>809430</v>
      </c>
      <c r="E146" s="22"/>
      <c r="F146" s="22"/>
      <c r="G146" s="26" t="s">
        <v>10</v>
      </c>
      <c r="H146" s="25">
        <f>SUM(G145-I145)</f>
        <v>809430</v>
      </c>
      <c r="I146" s="25"/>
      <c r="J146" s="1"/>
    </row>
    <row r="147" spans="2:10" ht="15" thickBot="1" x14ac:dyDescent="0.25"/>
    <row r="148" spans="2:10" ht="15.75" thickBot="1" x14ac:dyDescent="0.3">
      <c r="F148" s="164"/>
      <c r="G148" s="98" t="s">
        <v>233</v>
      </c>
      <c r="H148" s="98"/>
      <c r="I148" s="99"/>
    </row>
    <row r="149" spans="2:10" ht="15" x14ac:dyDescent="0.25">
      <c r="F149" s="165" t="s">
        <v>141</v>
      </c>
      <c r="G149" s="166"/>
      <c r="H149" s="166" t="s">
        <v>144</v>
      </c>
      <c r="I149" s="167"/>
    </row>
    <row r="150" spans="2:10" ht="15" x14ac:dyDescent="0.25">
      <c r="F150" s="168" t="s">
        <v>142</v>
      </c>
      <c r="G150" s="166">
        <v>3500995</v>
      </c>
      <c r="H150" s="87" t="s">
        <v>145</v>
      </c>
      <c r="I150" s="95"/>
    </row>
    <row r="151" spans="2:10" ht="15.75" thickBot="1" x14ac:dyDescent="0.3">
      <c r="F151" s="169" t="s">
        <v>143</v>
      </c>
      <c r="G151" s="96">
        <v>2691565</v>
      </c>
      <c r="H151" s="96" t="s">
        <v>146</v>
      </c>
      <c r="I151" s="97"/>
    </row>
    <row r="152" spans="2:10" ht="15.75" thickBot="1" x14ac:dyDescent="0.3">
      <c r="F152" s="164" t="s">
        <v>95</v>
      </c>
      <c r="G152" s="98">
        <f>3500995-2691565</f>
        <v>809430</v>
      </c>
      <c r="H152" s="98" t="s">
        <v>95</v>
      </c>
      <c r="I152" s="99"/>
    </row>
    <row r="153" spans="2:10" ht="16.5" thickBot="1" x14ac:dyDescent="0.3">
      <c r="G153" s="163">
        <v>44788</v>
      </c>
      <c r="H153" s="101" t="s">
        <v>147</v>
      </c>
      <c r="I153" s="156"/>
    </row>
  </sheetData>
  <mergeCells count="1">
    <mergeCell ref="D4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05"/>
  <sheetViews>
    <sheetView topLeftCell="A4" workbookViewId="0">
      <selection activeCell="H411" sqref="H411"/>
    </sheetView>
  </sheetViews>
  <sheetFormatPr defaultRowHeight="14.25" x14ac:dyDescent="0.2"/>
  <cols>
    <col min="1" max="1" width="6.5" customWidth="1"/>
    <col min="3" max="3" width="12.125" customWidth="1"/>
    <col min="4" max="4" width="14.25" customWidth="1"/>
    <col min="6" max="6" width="10" customWidth="1"/>
    <col min="7" max="7" width="17.125" customWidth="1"/>
    <col min="8" max="8" width="12.5" customWidth="1"/>
    <col min="9" max="9" width="15.375" customWidth="1"/>
  </cols>
  <sheetData>
    <row r="3" spans="1:10" ht="21" x14ac:dyDescent="0.35">
      <c r="A3" s="1"/>
      <c r="B3" s="1"/>
      <c r="C3" s="1"/>
      <c r="D3" s="173" t="s">
        <v>323</v>
      </c>
      <c r="E3" s="170"/>
      <c r="F3" s="170"/>
      <c r="G3" s="170"/>
      <c r="H3" s="1"/>
      <c r="I3" s="1"/>
      <c r="J3" s="1"/>
    </row>
    <row r="4" spans="1:10" ht="18" x14ac:dyDescent="0.25">
      <c r="A4" s="1"/>
      <c r="B4" s="1"/>
      <c r="C4" s="1"/>
      <c r="D4" s="61"/>
      <c r="E4" s="58"/>
      <c r="F4" s="161" t="s">
        <v>276</v>
      </c>
      <c r="H4" s="1"/>
      <c r="I4" s="1"/>
      <c r="J4" s="1"/>
    </row>
    <row r="5" spans="1:10" ht="15" x14ac:dyDescent="0.25">
      <c r="A5" s="6" t="s">
        <v>1</v>
      </c>
      <c r="B5" s="30" t="s">
        <v>2</v>
      </c>
      <c r="C5" s="30" t="s">
        <v>97</v>
      </c>
      <c r="D5" s="30" t="s">
        <v>4</v>
      </c>
      <c r="E5" s="59"/>
      <c r="F5" s="30" t="s">
        <v>5</v>
      </c>
      <c r="G5" s="30" t="s">
        <v>4</v>
      </c>
      <c r="H5" s="30" t="s">
        <v>98</v>
      </c>
      <c r="I5" s="107" t="s">
        <v>8</v>
      </c>
      <c r="J5" s="107" t="s">
        <v>2</v>
      </c>
    </row>
    <row r="6" spans="1:10" ht="15" x14ac:dyDescent="0.25">
      <c r="A6" s="1">
        <v>1</v>
      </c>
      <c r="B6" s="108" t="s">
        <v>270</v>
      </c>
      <c r="C6" s="162" t="s">
        <v>10</v>
      </c>
      <c r="D6" s="162">
        <v>809430</v>
      </c>
      <c r="E6" s="162"/>
      <c r="F6" s="162"/>
      <c r="G6" s="162">
        <v>809430</v>
      </c>
      <c r="H6" s="30"/>
      <c r="I6" s="107"/>
      <c r="J6" s="107"/>
    </row>
    <row r="7" spans="1:10" ht="15" x14ac:dyDescent="0.25">
      <c r="A7" s="1">
        <v>2</v>
      </c>
      <c r="B7" s="1" t="s">
        <v>271</v>
      </c>
      <c r="C7" s="32" t="s">
        <v>30</v>
      </c>
      <c r="D7" s="1">
        <v>5000</v>
      </c>
      <c r="E7" s="1"/>
      <c r="F7" s="1">
        <v>55.7</v>
      </c>
      <c r="G7" s="1">
        <v>5000</v>
      </c>
      <c r="H7" s="5">
        <f t="shared" ref="H7:H73" si="0">D7-G7</f>
        <v>0</v>
      </c>
      <c r="I7" s="30">
        <v>100000</v>
      </c>
      <c r="J7" s="30" t="s">
        <v>271</v>
      </c>
    </row>
    <row r="8" spans="1:10" ht="15" x14ac:dyDescent="0.25">
      <c r="A8" s="1">
        <v>3</v>
      </c>
      <c r="B8" s="1" t="s">
        <v>271</v>
      </c>
      <c r="C8" s="32" t="s">
        <v>63</v>
      </c>
      <c r="D8" s="1">
        <v>3500</v>
      </c>
      <c r="E8" s="1"/>
      <c r="F8" s="1">
        <v>38.99</v>
      </c>
      <c r="G8" s="1">
        <v>3500</v>
      </c>
      <c r="H8" s="5">
        <f t="shared" si="0"/>
        <v>0</v>
      </c>
      <c r="I8" s="30">
        <v>100000</v>
      </c>
      <c r="J8" s="30" t="s">
        <v>273</v>
      </c>
    </row>
    <row r="9" spans="1:10" ht="15" x14ac:dyDescent="0.25">
      <c r="A9" s="1">
        <v>4</v>
      </c>
      <c r="B9" s="1" t="s">
        <v>271</v>
      </c>
      <c r="C9" s="32">
        <v>6391</v>
      </c>
      <c r="D9" s="1">
        <v>11000</v>
      </c>
      <c r="E9" s="1"/>
      <c r="F9" s="1">
        <v>155.97</v>
      </c>
      <c r="G9" s="1">
        <v>11000</v>
      </c>
      <c r="H9" s="5">
        <f t="shared" si="0"/>
        <v>0</v>
      </c>
      <c r="I9" s="30">
        <v>150000</v>
      </c>
      <c r="J9" s="30" t="s">
        <v>277</v>
      </c>
    </row>
    <row r="10" spans="1:10" ht="15" x14ac:dyDescent="0.25">
      <c r="A10" s="1">
        <v>5</v>
      </c>
      <c r="B10" s="1" t="s">
        <v>271</v>
      </c>
      <c r="C10" s="32">
        <v>9903</v>
      </c>
      <c r="D10" s="1">
        <v>15000</v>
      </c>
      <c r="E10" s="1"/>
      <c r="F10" s="1">
        <v>167.11</v>
      </c>
      <c r="G10" s="1">
        <v>15000</v>
      </c>
      <c r="H10" s="5">
        <f t="shared" si="0"/>
        <v>0</v>
      </c>
      <c r="I10" s="30">
        <v>150000</v>
      </c>
      <c r="J10" s="30" t="s">
        <v>278</v>
      </c>
    </row>
    <row r="11" spans="1:10" ht="15" x14ac:dyDescent="0.25">
      <c r="A11" s="1">
        <v>6</v>
      </c>
      <c r="B11" s="1" t="s">
        <v>271</v>
      </c>
      <c r="C11" s="32">
        <v>4928</v>
      </c>
      <c r="D11" s="1">
        <v>20000</v>
      </c>
      <c r="E11" s="1"/>
      <c r="F11" s="1">
        <v>204.88</v>
      </c>
      <c r="G11" s="1">
        <v>20000</v>
      </c>
      <c r="H11" s="5">
        <f t="shared" si="0"/>
        <v>0</v>
      </c>
      <c r="I11" s="30">
        <v>150000</v>
      </c>
      <c r="J11" s="30" t="s">
        <v>280</v>
      </c>
    </row>
    <row r="12" spans="1:10" ht="15" x14ac:dyDescent="0.25">
      <c r="A12" s="1">
        <v>7</v>
      </c>
      <c r="B12" s="1" t="s">
        <v>271</v>
      </c>
      <c r="C12" s="32">
        <v>6295</v>
      </c>
      <c r="D12" s="1">
        <v>25000</v>
      </c>
      <c r="E12" s="1"/>
      <c r="F12" s="1">
        <v>278.52</v>
      </c>
      <c r="G12" s="1">
        <v>25000</v>
      </c>
      <c r="H12" s="5">
        <f t="shared" si="0"/>
        <v>0</v>
      </c>
      <c r="I12" s="30">
        <v>150000</v>
      </c>
      <c r="J12" s="30" t="s">
        <v>281</v>
      </c>
    </row>
    <row r="13" spans="1:10" ht="15" x14ac:dyDescent="0.25">
      <c r="A13" s="1">
        <v>8</v>
      </c>
      <c r="B13" s="1" t="s">
        <v>272</v>
      </c>
      <c r="C13" s="32">
        <v>7109</v>
      </c>
      <c r="D13" s="1">
        <v>2500</v>
      </c>
      <c r="E13" s="1"/>
      <c r="F13" s="1">
        <v>27.86</v>
      </c>
      <c r="G13" s="1">
        <v>2500</v>
      </c>
      <c r="H13" s="5">
        <f t="shared" si="0"/>
        <v>0</v>
      </c>
      <c r="I13" s="30">
        <v>150000</v>
      </c>
      <c r="J13" s="30" t="s">
        <v>282</v>
      </c>
    </row>
    <row r="14" spans="1:10" ht="15" x14ac:dyDescent="0.25">
      <c r="A14" s="1">
        <v>9</v>
      </c>
      <c r="B14" s="1" t="s">
        <v>272</v>
      </c>
      <c r="C14" s="32">
        <v>9975</v>
      </c>
      <c r="D14" s="1">
        <v>30000</v>
      </c>
      <c r="E14" s="1"/>
      <c r="F14" s="1">
        <v>334.22</v>
      </c>
      <c r="G14" s="1">
        <v>30000</v>
      </c>
      <c r="H14" s="5">
        <f t="shared" si="0"/>
        <v>0</v>
      </c>
      <c r="I14" s="30">
        <v>200000</v>
      </c>
      <c r="J14" s="30" t="s">
        <v>285</v>
      </c>
    </row>
    <row r="15" spans="1:10" ht="15" x14ac:dyDescent="0.25">
      <c r="A15" s="1">
        <v>10</v>
      </c>
      <c r="B15" s="1" t="s">
        <v>272</v>
      </c>
      <c r="C15" s="32">
        <v>2216</v>
      </c>
      <c r="D15" s="1">
        <v>20000</v>
      </c>
      <c r="E15" s="1"/>
      <c r="F15" s="1">
        <v>278.52</v>
      </c>
      <c r="G15" s="1">
        <v>20000</v>
      </c>
      <c r="H15" s="5">
        <f t="shared" si="0"/>
        <v>0</v>
      </c>
      <c r="I15" s="30">
        <v>200000</v>
      </c>
      <c r="J15" s="30" t="s">
        <v>286</v>
      </c>
    </row>
    <row r="16" spans="1:10" ht="15" x14ac:dyDescent="0.25">
      <c r="A16" s="1">
        <v>11</v>
      </c>
      <c r="B16" s="1" t="s">
        <v>273</v>
      </c>
      <c r="C16" s="32" t="s">
        <v>30</v>
      </c>
      <c r="D16" s="1">
        <v>4500</v>
      </c>
      <c r="E16" s="1"/>
      <c r="F16" s="1">
        <v>50.13</v>
      </c>
      <c r="G16" s="1">
        <v>4500</v>
      </c>
      <c r="H16" s="5">
        <f t="shared" si="0"/>
        <v>0</v>
      </c>
      <c r="I16" s="30">
        <v>150000</v>
      </c>
      <c r="J16" s="30" t="s">
        <v>287</v>
      </c>
    </row>
    <row r="17" spans="1:10" ht="15" x14ac:dyDescent="0.25">
      <c r="A17" s="1">
        <v>12</v>
      </c>
      <c r="B17" s="1" t="s">
        <v>273</v>
      </c>
      <c r="C17" s="32">
        <v>3776</v>
      </c>
      <c r="D17" s="1">
        <v>15000</v>
      </c>
      <c r="E17" s="1"/>
      <c r="F17" s="1">
        <v>167.11</v>
      </c>
      <c r="G17" s="1">
        <v>15000</v>
      </c>
      <c r="H17" s="5">
        <f t="shared" si="0"/>
        <v>0</v>
      </c>
      <c r="I17" s="30">
        <v>400000</v>
      </c>
      <c r="J17" s="30" t="s">
        <v>288</v>
      </c>
    </row>
    <row r="18" spans="1:10" ht="15" x14ac:dyDescent="0.25">
      <c r="A18" s="1">
        <v>13</v>
      </c>
      <c r="B18" s="1" t="s">
        <v>273</v>
      </c>
      <c r="C18" s="32" t="s">
        <v>66</v>
      </c>
      <c r="D18" s="1">
        <v>200</v>
      </c>
      <c r="E18" s="1"/>
      <c r="F18" s="1">
        <v>2.08</v>
      </c>
      <c r="G18" s="1">
        <v>200</v>
      </c>
      <c r="H18" s="5">
        <f t="shared" si="0"/>
        <v>0</v>
      </c>
      <c r="I18" s="30">
        <v>300000</v>
      </c>
      <c r="J18" s="30" t="s">
        <v>289</v>
      </c>
    </row>
    <row r="19" spans="1:10" ht="15" x14ac:dyDescent="0.25">
      <c r="A19" s="1">
        <v>14</v>
      </c>
      <c r="B19" s="1" t="s">
        <v>273</v>
      </c>
      <c r="C19" s="32">
        <v>3662</v>
      </c>
      <c r="D19" s="1">
        <v>18000</v>
      </c>
      <c r="E19" s="1"/>
      <c r="F19" s="1">
        <v>200.57</v>
      </c>
      <c r="G19" s="1">
        <v>18000</v>
      </c>
      <c r="H19" s="5">
        <f t="shared" si="0"/>
        <v>0</v>
      </c>
      <c r="I19" s="30">
        <v>300000</v>
      </c>
      <c r="J19" s="30" t="s">
        <v>290</v>
      </c>
    </row>
    <row r="20" spans="1:10" ht="15" x14ac:dyDescent="0.25">
      <c r="A20" s="1">
        <v>15</v>
      </c>
      <c r="B20" s="1" t="s">
        <v>273</v>
      </c>
      <c r="C20" s="32">
        <v>4612</v>
      </c>
      <c r="D20" s="1">
        <v>17000</v>
      </c>
      <c r="E20" s="1"/>
      <c r="F20" s="1">
        <v>189.39</v>
      </c>
      <c r="G20" s="1">
        <v>17000</v>
      </c>
      <c r="H20" s="5">
        <f t="shared" si="0"/>
        <v>0</v>
      </c>
      <c r="I20" s="30">
        <v>300000</v>
      </c>
      <c r="J20" s="30" t="s">
        <v>292</v>
      </c>
    </row>
    <row r="21" spans="1:10" ht="15" x14ac:dyDescent="0.25">
      <c r="A21" s="1">
        <v>16</v>
      </c>
      <c r="B21" s="1" t="s">
        <v>273</v>
      </c>
      <c r="C21" s="32">
        <v>3158</v>
      </c>
      <c r="D21" s="1">
        <v>25000</v>
      </c>
      <c r="E21" s="1"/>
      <c r="F21" s="1">
        <v>278.52</v>
      </c>
      <c r="G21" s="1">
        <v>25000</v>
      </c>
      <c r="H21" s="5">
        <f t="shared" si="0"/>
        <v>0</v>
      </c>
      <c r="I21" s="30">
        <v>300000</v>
      </c>
      <c r="J21" s="30" t="s">
        <v>293</v>
      </c>
    </row>
    <row r="22" spans="1:10" ht="15" x14ac:dyDescent="0.25">
      <c r="A22" s="1">
        <v>17</v>
      </c>
      <c r="B22" s="1" t="s">
        <v>273</v>
      </c>
      <c r="C22" s="32">
        <v>3871</v>
      </c>
      <c r="D22" s="1">
        <v>15000</v>
      </c>
      <c r="E22" s="1"/>
      <c r="F22" s="1">
        <v>167.11</v>
      </c>
      <c r="G22" s="1">
        <v>15000</v>
      </c>
      <c r="H22" s="5">
        <f t="shared" si="0"/>
        <v>0</v>
      </c>
      <c r="I22" s="30">
        <v>300000</v>
      </c>
      <c r="J22" s="30" t="s">
        <v>294</v>
      </c>
    </row>
    <row r="23" spans="1:10" ht="15" x14ac:dyDescent="0.25">
      <c r="A23" s="1">
        <v>18</v>
      </c>
      <c r="B23" s="1" t="s">
        <v>273</v>
      </c>
      <c r="C23" s="32">
        <v>876</v>
      </c>
      <c r="D23" s="1">
        <v>17000</v>
      </c>
      <c r="E23" s="1"/>
      <c r="F23" s="1">
        <v>189.41</v>
      </c>
      <c r="G23" s="1">
        <v>17000</v>
      </c>
      <c r="H23" s="5">
        <f t="shared" si="0"/>
        <v>0</v>
      </c>
      <c r="I23" s="30">
        <v>300000</v>
      </c>
      <c r="J23" s="30" t="s">
        <v>297</v>
      </c>
    </row>
    <row r="24" spans="1:10" ht="15" x14ac:dyDescent="0.25">
      <c r="A24" s="1">
        <v>19</v>
      </c>
      <c r="B24" s="1" t="s">
        <v>273</v>
      </c>
      <c r="C24" s="32">
        <v>5250</v>
      </c>
      <c r="D24" s="1">
        <v>23000</v>
      </c>
      <c r="E24" s="1"/>
      <c r="F24" s="1">
        <v>235.07</v>
      </c>
      <c r="G24" s="1">
        <v>23000</v>
      </c>
      <c r="H24" s="5">
        <f t="shared" si="0"/>
        <v>0</v>
      </c>
      <c r="I24" s="30">
        <v>400000</v>
      </c>
      <c r="J24" s="30" t="s">
        <v>298</v>
      </c>
    </row>
    <row r="25" spans="1:10" ht="15" x14ac:dyDescent="0.25">
      <c r="A25" s="1">
        <v>20</v>
      </c>
      <c r="B25" s="1" t="s">
        <v>273</v>
      </c>
      <c r="C25" s="32">
        <v>4702</v>
      </c>
      <c r="D25" s="1">
        <v>18000</v>
      </c>
      <c r="E25" s="1"/>
      <c r="F25" s="1">
        <v>161.54</v>
      </c>
      <c r="G25" s="1">
        <v>18000</v>
      </c>
      <c r="H25" s="5">
        <f t="shared" si="0"/>
        <v>0</v>
      </c>
      <c r="I25" s="30">
        <v>500000</v>
      </c>
      <c r="J25" s="30" t="s">
        <v>299</v>
      </c>
    </row>
    <row r="26" spans="1:10" ht="15" x14ac:dyDescent="0.25">
      <c r="A26" s="1">
        <v>21</v>
      </c>
      <c r="B26" s="1" t="s">
        <v>275</v>
      </c>
      <c r="C26" s="32">
        <v>1352</v>
      </c>
      <c r="D26" s="1">
        <v>13000</v>
      </c>
      <c r="E26" s="1"/>
      <c r="F26" s="1">
        <v>144.83000000000001</v>
      </c>
      <c r="G26" s="1">
        <v>13000</v>
      </c>
      <c r="H26" s="5">
        <f t="shared" si="0"/>
        <v>0</v>
      </c>
      <c r="I26" s="30">
        <v>400000</v>
      </c>
      <c r="J26" s="30" t="s">
        <v>301</v>
      </c>
    </row>
    <row r="27" spans="1:10" ht="15" x14ac:dyDescent="0.25">
      <c r="A27" s="1">
        <v>22</v>
      </c>
      <c r="B27" s="1" t="s">
        <v>275</v>
      </c>
      <c r="C27" s="32" t="s">
        <v>63</v>
      </c>
      <c r="D27" s="1">
        <v>3500</v>
      </c>
      <c r="E27" s="1"/>
      <c r="F27" s="1">
        <v>38.99</v>
      </c>
      <c r="G27" s="1">
        <v>3500</v>
      </c>
      <c r="H27" s="5">
        <f t="shared" si="0"/>
        <v>0</v>
      </c>
      <c r="I27" s="30">
        <v>300000</v>
      </c>
      <c r="J27" s="30" t="s">
        <v>304</v>
      </c>
    </row>
    <row r="28" spans="1:10" ht="15" x14ac:dyDescent="0.25">
      <c r="A28" s="1">
        <v>23</v>
      </c>
      <c r="B28" s="1" t="s">
        <v>275</v>
      </c>
      <c r="C28" s="32">
        <v>8105</v>
      </c>
      <c r="D28" s="1">
        <v>13000</v>
      </c>
      <c r="E28" s="1"/>
      <c r="F28" s="1">
        <v>144.83000000000001</v>
      </c>
      <c r="G28" s="1">
        <v>13000</v>
      </c>
      <c r="H28" s="5">
        <f t="shared" si="0"/>
        <v>0</v>
      </c>
      <c r="I28" s="30">
        <v>300000</v>
      </c>
      <c r="J28" s="30" t="s">
        <v>306</v>
      </c>
    </row>
    <row r="29" spans="1:10" ht="15" x14ac:dyDescent="0.25">
      <c r="A29" s="1">
        <v>24</v>
      </c>
      <c r="B29" s="1" t="s">
        <v>275</v>
      </c>
      <c r="C29" s="32">
        <v>6048</v>
      </c>
      <c r="D29" s="1">
        <v>12000</v>
      </c>
      <c r="E29" s="1"/>
      <c r="F29" s="1">
        <v>133.69</v>
      </c>
      <c r="G29" s="1">
        <v>12000</v>
      </c>
      <c r="H29" s="5">
        <f t="shared" si="0"/>
        <v>0</v>
      </c>
      <c r="I29" s="30">
        <v>400000</v>
      </c>
      <c r="J29" s="30" t="s">
        <v>307</v>
      </c>
    </row>
    <row r="30" spans="1:10" ht="15" x14ac:dyDescent="0.25">
      <c r="A30" s="1">
        <v>25</v>
      </c>
      <c r="B30" s="1" t="s">
        <v>275</v>
      </c>
      <c r="C30" s="32">
        <v>1369</v>
      </c>
      <c r="D30" s="1">
        <v>19000</v>
      </c>
      <c r="E30" s="1"/>
      <c r="F30" s="1">
        <v>211.68</v>
      </c>
      <c r="G30" s="1">
        <v>19000</v>
      </c>
      <c r="H30" s="5">
        <f t="shared" si="0"/>
        <v>0</v>
      </c>
      <c r="I30" s="30">
        <v>300000</v>
      </c>
      <c r="J30" s="30" t="s">
        <v>308</v>
      </c>
    </row>
    <row r="31" spans="1:10" x14ac:dyDescent="0.2">
      <c r="A31" s="1">
        <v>26</v>
      </c>
      <c r="B31" s="1" t="s">
        <v>275</v>
      </c>
      <c r="C31" s="32">
        <v>2033</v>
      </c>
      <c r="D31" s="1">
        <v>13000</v>
      </c>
      <c r="E31" s="1"/>
      <c r="F31" s="1">
        <v>144.83000000000001</v>
      </c>
      <c r="G31" s="1">
        <v>13000</v>
      </c>
      <c r="H31" s="5">
        <f t="shared" si="0"/>
        <v>0</v>
      </c>
      <c r="I31" s="1"/>
      <c r="J31" s="1"/>
    </row>
    <row r="32" spans="1:10" x14ac:dyDescent="0.2">
      <c r="A32" s="1">
        <v>27</v>
      </c>
      <c r="B32" s="1" t="s">
        <v>275</v>
      </c>
      <c r="C32" s="32">
        <v>579</v>
      </c>
      <c r="D32" s="1">
        <v>25000</v>
      </c>
      <c r="E32" s="1"/>
      <c r="F32" s="1">
        <v>278.52</v>
      </c>
      <c r="G32" s="1">
        <v>25000</v>
      </c>
      <c r="H32" s="5">
        <f t="shared" si="0"/>
        <v>0</v>
      </c>
      <c r="I32" s="1"/>
      <c r="J32" s="1"/>
    </row>
    <row r="33" spans="1:10" x14ac:dyDescent="0.2">
      <c r="A33" s="1">
        <v>28</v>
      </c>
      <c r="B33" s="1" t="s">
        <v>275</v>
      </c>
      <c r="C33" s="32">
        <v>7327</v>
      </c>
      <c r="D33" s="1">
        <v>12000</v>
      </c>
      <c r="E33" s="1"/>
      <c r="F33" s="1">
        <v>133.69</v>
      </c>
      <c r="G33" s="1">
        <v>12000</v>
      </c>
      <c r="H33" s="5">
        <f t="shared" si="0"/>
        <v>0</v>
      </c>
      <c r="I33" s="1"/>
      <c r="J33" s="1"/>
    </row>
    <row r="34" spans="1:10" x14ac:dyDescent="0.2">
      <c r="A34" s="1">
        <v>29</v>
      </c>
      <c r="B34" s="1" t="s">
        <v>277</v>
      </c>
      <c r="C34" s="32">
        <v>9998</v>
      </c>
      <c r="D34" s="1">
        <v>17000</v>
      </c>
      <c r="E34" s="1"/>
      <c r="F34" s="1">
        <v>189.41</v>
      </c>
      <c r="G34" s="1">
        <v>17000</v>
      </c>
      <c r="H34" s="5">
        <f t="shared" si="0"/>
        <v>0</v>
      </c>
      <c r="I34" s="1"/>
      <c r="J34" s="1"/>
    </row>
    <row r="35" spans="1:10" x14ac:dyDescent="0.2">
      <c r="A35" s="1">
        <v>30</v>
      </c>
      <c r="B35" s="1" t="s">
        <v>277</v>
      </c>
      <c r="C35" s="32">
        <v>8595</v>
      </c>
      <c r="D35" s="1">
        <v>13000</v>
      </c>
      <c r="E35" s="1"/>
      <c r="F35" s="1">
        <v>144.83000000000001</v>
      </c>
      <c r="G35" s="1">
        <v>13000</v>
      </c>
      <c r="H35" s="5">
        <f t="shared" si="0"/>
        <v>0</v>
      </c>
      <c r="I35" s="1"/>
      <c r="J35" s="1"/>
    </row>
    <row r="36" spans="1:10" x14ac:dyDescent="0.2">
      <c r="A36" s="1">
        <v>31</v>
      </c>
      <c r="B36" s="1" t="s">
        <v>277</v>
      </c>
      <c r="C36" s="32" t="s">
        <v>30</v>
      </c>
      <c r="D36" s="1">
        <v>5000</v>
      </c>
      <c r="E36" s="1"/>
      <c r="F36" s="1">
        <v>55.7</v>
      </c>
      <c r="G36" s="1">
        <v>5000</v>
      </c>
      <c r="H36" s="5">
        <f t="shared" si="0"/>
        <v>0</v>
      </c>
      <c r="I36" s="1"/>
      <c r="J36" s="1"/>
    </row>
    <row r="37" spans="1:10" x14ac:dyDescent="0.2">
      <c r="A37" s="1">
        <v>32</v>
      </c>
      <c r="B37" s="1" t="s">
        <v>277</v>
      </c>
      <c r="C37" s="32">
        <v>4911</v>
      </c>
      <c r="D37" s="1">
        <v>11000</v>
      </c>
      <c r="E37" s="1"/>
      <c r="F37" s="1">
        <v>117</v>
      </c>
      <c r="G37" s="1">
        <v>11000</v>
      </c>
      <c r="H37" s="5">
        <f t="shared" si="0"/>
        <v>0</v>
      </c>
      <c r="I37" s="1"/>
      <c r="J37" s="1"/>
    </row>
    <row r="38" spans="1:10" x14ac:dyDescent="0.2">
      <c r="A38" s="1">
        <v>33</v>
      </c>
      <c r="B38" s="1" t="s">
        <v>277</v>
      </c>
      <c r="C38" s="32">
        <v>6779</v>
      </c>
      <c r="D38" s="1">
        <v>11000</v>
      </c>
      <c r="E38" s="1"/>
      <c r="F38" s="1">
        <v>117</v>
      </c>
      <c r="G38" s="1">
        <v>11000</v>
      </c>
      <c r="H38" s="5">
        <f t="shared" si="0"/>
        <v>0</v>
      </c>
      <c r="I38" s="1"/>
      <c r="J38" s="1"/>
    </row>
    <row r="39" spans="1:10" x14ac:dyDescent="0.2">
      <c r="A39" s="1">
        <v>34</v>
      </c>
      <c r="B39" s="1" t="s">
        <v>278</v>
      </c>
      <c r="C39" s="32">
        <v>5225</v>
      </c>
      <c r="D39" s="1">
        <v>13000</v>
      </c>
      <c r="E39" s="1"/>
      <c r="F39" s="1">
        <v>144.83000000000001</v>
      </c>
      <c r="G39" s="1">
        <v>13000</v>
      </c>
      <c r="H39" s="5">
        <f t="shared" si="0"/>
        <v>0</v>
      </c>
      <c r="I39" s="1"/>
      <c r="J39" s="1"/>
    </row>
    <row r="40" spans="1:10" x14ac:dyDescent="0.2">
      <c r="A40" s="1">
        <v>35</v>
      </c>
      <c r="B40" s="1" t="s">
        <v>278</v>
      </c>
      <c r="C40" s="32">
        <v>496</v>
      </c>
      <c r="D40" s="1">
        <v>17000</v>
      </c>
      <c r="E40" s="1"/>
      <c r="F40" s="1">
        <v>189.41</v>
      </c>
      <c r="G40" s="1">
        <v>17000</v>
      </c>
      <c r="H40" s="5">
        <f t="shared" si="0"/>
        <v>0</v>
      </c>
      <c r="I40" s="1"/>
      <c r="J40" s="1"/>
    </row>
    <row r="41" spans="1:10" x14ac:dyDescent="0.2">
      <c r="A41" s="1">
        <v>36</v>
      </c>
      <c r="B41" s="1" t="s">
        <v>278</v>
      </c>
      <c r="C41" s="32" t="s">
        <v>30</v>
      </c>
      <c r="D41" s="1">
        <v>4500</v>
      </c>
      <c r="E41" s="1"/>
      <c r="F41" s="1">
        <v>50.13</v>
      </c>
      <c r="G41" s="1">
        <v>4500</v>
      </c>
      <c r="H41" s="5">
        <f t="shared" si="0"/>
        <v>0</v>
      </c>
      <c r="I41" s="1"/>
      <c r="J41" s="1"/>
    </row>
    <row r="42" spans="1:10" x14ac:dyDescent="0.2">
      <c r="A42" s="1">
        <v>37</v>
      </c>
      <c r="B42" s="1" t="s">
        <v>278</v>
      </c>
      <c r="C42" s="32">
        <v>2345</v>
      </c>
      <c r="D42" s="1">
        <v>23000</v>
      </c>
      <c r="E42" s="1"/>
      <c r="F42" s="1">
        <v>256.22000000000003</v>
      </c>
      <c r="G42" s="1">
        <v>23000</v>
      </c>
      <c r="H42" s="5">
        <f t="shared" si="0"/>
        <v>0</v>
      </c>
      <c r="I42" s="1"/>
      <c r="J42" s="1"/>
    </row>
    <row r="43" spans="1:10" x14ac:dyDescent="0.2">
      <c r="A43" s="1">
        <v>38</v>
      </c>
      <c r="B43" s="1" t="s">
        <v>278</v>
      </c>
      <c r="C43" s="32">
        <v>1143</v>
      </c>
      <c r="D43" s="1">
        <v>14000</v>
      </c>
      <c r="E43" s="1"/>
      <c r="F43" s="1">
        <v>155.97</v>
      </c>
      <c r="G43" s="1">
        <v>14000</v>
      </c>
      <c r="H43" s="5">
        <f t="shared" si="0"/>
        <v>0</v>
      </c>
      <c r="I43" s="1"/>
      <c r="J43" s="1"/>
    </row>
    <row r="44" spans="1:10" x14ac:dyDescent="0.2">
      <c r="A44" s="1">
        <v>39</v>
      </c>
      <c r="B44" s="1" t="s">
        <v>280</v>
      </c>
      <c r="C44" s="32">
        <v>5331</v>
      </c>
      <c r="D44" s="1">
        <v>15000</v>
      </c>
      <c r="E44" s="1"/>
      <c r="F44" s="1">
        <v>167.11</v>
      </c>
      <c r="G44" s="1">
        <v>15000</v>
      </c>
      <c r="H44" s="5">
        <f t="shared" si="0"/>
        <v>0</v>
      </c>
      <c r="I44" s="1"/>
      <c r="J44" s="1"/>
    </row>
    <row r="45" spans="1:10" x14ac:dyDescent="0.2">
      <c r="A45" s="1">
        <v>40</v>
      </c>
      <c r="B45" s="1" t="s">
        <v>280</v>
      </c>
      <c r="C45" s="32">
        <v>7109</v>
      </c>
      <c r="D45" s="1">
        <v>4400</v>
      </c>
      <c r="E45" s="1"/>
      <c r="F45" s="1">
        <v>49.02</v>
      </c>
      <c r="G45" s="1">
        <v>4400</v>
      </c>
      <c r="H45" s="5">
        <f t="shared" si="0"/>
        <v>0</v>
      </c>
      <c r="I45" s="1"/>
      <c r="J45" s="1"/>
    </row>
    <row r="46" spans="1:10" x14ac:dyDescent="0.2">
      <c r="A46" s="1">
        <v>41</v>
      </c>
      <c r="B46" s="1" t="s">
        <v>280</v>
      </c>
      <c r="C46" s="32">
        <v>445</v>
      </c>
      <c r="D46" s="1">
        <v>10000</v>
      </c>
      <c r="E46" s="1"/>
      <c r="F46" s="1">
        <v>111.41</v>
      </c>
      <c r="G46" s="1">
        <v>10000</v>
      </c>
      <c r="H46" s="5">
        <f t="shared" si="0"/>
        <v>0</v>
      </c>
      <c r="I46" s="1"/>
      <c r="J46" s="1"/>
    </row>
    <row r="47" spans="1:10" x14ac:dyDescent="0.2">
      <c r="A47" s="1">
        <v>42</v>
      </c>
      <c r="B47" s="1" t="s">
        <v>280</v>
      </c>
      <c r="C47" s="32" t="s">
        <v>63</v>
      </c>
      <c r="D47" s="1">
        <v>3500</v>
      </c>
      <c r="E47" s="1"/>
      <c r="F47" s="1">
        <v>38.99</v>
      </c>
      <c r="G47" s="1">
        <v>3500</v>
      </c>
      <c r="H47" s="5">
        <f t="shared" si="0"/>
        <v>0</v>
      </c>
      <c r="I47" s="1"/>
      <c r="J47" s="1"/>
    </row>
    <row r="48" spans="1:10" x14ac:dyDescent="0.2">
      <c r="A48" s="1">
        <v>43</v>
      </c>
      <c r="B48" s="1" t="s">
        <v>280</v>
      </c>
      <c r="C48" s="32">
        <v>5258</v>
      </c>
      <c r="D48" s="1">
        <v>20000</v>
      </c>
      <c r="E48" s="1"/>
      <c r="F48" s="1">
        <v>222.82</v>
      </c>
      <c r="G48" s="1">
        <v>20000</v>
      </c>
      <c r="H48" s="5">
        <f t="shared" si="0"/>
        <v>0</v>
      </c>
      <c r="I48" s="1"/>
      <c r="J48" s="1"/>
    </row>
    <row r="49" spans="1:10" x14ac:dyDescent="0.2">
      <c r="A49" s="1">
        <v>44</v>
      </c>
      <c r="B49" s="1" t="s">
        <v>280</v>
      </c>
      <c r="C49" s="32">
        <v>9253</v>
      </c>
      <c r="D49" s="1">
        <v>30000</v>
      </c>
      <c r="E49" s="1"/>
      <c r="F49" s="1">
        <v>334.42</v>
      </c>
      <c r="G49" s="1">
        <v>30000</v>
      </c>
      <c r="H49" s="5">
        <f t="shared" si="0"/>
        <v>0</v>
      </c>
      <c r="I49" s="1"/>
      <c r="J49" s="1"/>
    </row>
    <row r="50" spans="1:10" x14ac:dyDescent="0.2">
      <c r="A50" s="1">
        <v>45</v>
      </c>
      <c r="B50" s="1" t="s">
        <v>280</v>
      </c>
      <c r="C50" s="32">
        <v>7509</v>
      </c>
      <c r="D50" s="1">
        <v>12000</v>
      </c>
      <c r="E50" s="1"/>
      <c r="F50" s="1">
        <v>133.68</v>
      </c>
      <c r="G50" s="1">
        <v>12000</v>
      </c>
      <c r="H50" s="5">
        <f t="shared" si="0"/>
        <v>0</v>
      </c>
      <c r="I50" s="1"/>
      <c r="J50" s="1"/>
    </row>
    <row r="51" spans="1:10" x14ac:dyDescent="0.2">
      <c r="A51" s="1">
        <v>46</v>
      </c>
      <c r="B51" s="1" t="s">
        <v>280</v>
      </c>
      <c r="C51" s="32">
        <v>4692</v>
      </c>
      <c r="D51" s="1">
        <v>22000</v>
      </c>
      <c r="E51" s="1"/>
      <c r="F51" s="1">
        <v>245.1</v>
      </c>
      <c r="G51" s="1">
        <v>22000</v>
      </c>
      <c r="H51" s="5">
        <f t="shared" si="0"/>
        <v>0</v>
      </c>
      <c r="I51" s="1"/>
      <c r="J51" s="1"/>
    </row>
    <row r="52" spans="1:10" x14ac:dyDescent="0.2">
      <c r="A52" s="1">
        <v>47</v>
      </c>
      <c r="B52" s="1" t="s">
        <v>280</v>
      </c>
      <c r="C52" s="32">
        <v>4492</v>
      </c>
      <c r="D52" s="1">
        <v>22000</v>
      </c>
      <c r="E52" s="1"/>
      <c r="F52" s="1">
        <v>245.1</v>
      </c>
      <c r="G52" s="1">
        <v>22000</v>
      </c>
      <c r="H52" s="5">
        <f t="shared" si="0"/>
        <v>0</v>
      </c>
      <c r="I52" s="1"/>
      <c r="J52" s="1"/>
    </row>
    <row r="53" spans="1:10" x14ac:dyDescent="0.2">
      <c r="A53" s="1">
        <v>48</v>
      </c>
      <c r="B53" s="1" t="s">
        <v>280</v>
      </c>
      <c r="C53" s="32">
        <v>6650</v>
      </c>
      <c r="D53" s="1">
        <v>10000</v>
      </c>
      <c r="E53" s="1"/>
      <c r="F53" s="1">
        <v>111.41</v>
      </c>
      <c r="G53" s="1">
        <v>10000</v>
      </c>
      <c r="H53" s="5">
        <f t="shared" si="0"/>
        <v>0</v>
      </c>
      <c r="I53" s="1"/>
      <c r="J53" s="1"/>
    </row>
    <row r="54" spans="1:10" x14ac:dyDescent="0.2">
      <c r="A54" s="1">
        <v>49</v>
      </c>
      <c r="B54" s="1" t="s">
        <v>280</v>
      </c>
      <c r="C54" s="32">
        <v>9762</v>
      </c>
      <c r="D54" s="1">
        <v>13000</v>
      </c>
      <c r="E54" s="1"/>
      <c r="F54" s="1">
        <v>144.83000000000001</v>
      </c>
      <c r="G54" s="1">
        <v>13000</v>
      </c>
      <c r="H54" s="5">
        <f t="shared" si="0"/>
        <v>0</v>
      </c>
      <c r="I54" s="1"/>
      <c r="J54" s="1"/>
    </row>
    <row r="55" spans="1:10" x14ac:dyDescent="0.2">
      <c r="A55" s="1">
        <v>50</v>
      </c>
      <c r="B55" s="1" t="s">
        <v>280</v>
      </c>
      <c r="C55" s="32">
        <v>3594</v>
      </c>
      <c r="D55" s="1">
        <v>6000</v>
      </c>
      <c r="E55" s="1"/>
      <c r="F55" s="1">
        <v>100.27</v>
      </c>
      <c r="G55" s="1">
        <v>6000</v>
      </c>
      <c r="H55" s="5">
        <f t="shared" si="0"/>
        <v>0</v>
      </c>
      <c r="I55" s="1"/>
      <c r="J55" s="1"/>
    </row>
    <row r="56" spans="1:10" x14ac:dyDescent="0.2">
      <c r="B56" s="1" t="s">
        <v>281</v>
      </c>
      <c r="C56" s="32">
        <v>6615</v>
      </c>
      <c r="D56" s="1">
        <v>26000</v>
      </c>
      <c r="E56" s="1"/>
      <c r="F56" s="1">
        <v>289.66000000000003</v>
      </c>
      <c r="G56" s="1">
        <v>26000</v>
      </c>
      <c r="H56" s="5">
        <f t="shared" si="0"/>
        <v>0</v>
      </c>
      <c r="I56" s="1"/>
      <c r="J56" s="1"/>
    </row>
    <row r="57" spans="1:10" x14ac:dyDescent="0.2">
      <c r="B57" s="1" t="s">
        <v>281</v>
      </c>
      <c r="C57" s="32">
        <v>6393</v>
      </c>
      <c r="D57" s="1">
        <v>15000</v>
      </c>
      <c r="E57" s="1"/>
      <c r="F57" s="1">
        <v>167.11</v>
      </c>
      <c r="G57" s="1">
        <v>15000</v>
      </c>
      <c r="H57" s="5">
        <f t="shared" si="0"/>
        <v>0</v>
      </c>
      <c r="I57" s="1"/>
      <c r="J57" s="1"/>
    </row>
    <row r="58" spans="1:10" x14ac:dyDescent="0.2">
      <c r="B58" s="1" t="s">
        <v>281</v>
      </c>
      <c r="C58" s="32">
        <v>8565</v>
      </c>
      <c r="D58" s="1">
        <v>13000</v>
      </c>
      <c r="E58" s="1"/>
      <c r="F58" s="1">
        <v>144.83000000000001</v>
      </c>
      <c r="G58" s="1">
        <v>13000</v>
      </c>
      <c r="H58" s="5">
        <f t="shared" si="0"/>
        <v>0</v>
      </c>
      <c r="I58" s="1"/>
      <c r="J58" s="1"/>
    </row>
    <row r="59" spans="1:10" x14ac:dyDescent="0.2">
      <c r="B59" s="1" t="s">
        <v>281</v>
      </c>
      <c r="C59" s="32">
        <v>2152</v>
      </c>
      <c r="D59" s="1">
        <v>15000</v>
      </c>
      <c r="E59" s="1"/>
      <c r="F59" s="1">
        <v>167.11</v>
      </c>
      <c r="G59" s="1">
        <v>15000</v>
      </c>
      <c r="H59" s="5">
        <f t="shared" si="0"/>
        <v>0</v>
      </c>
      <c r="I59" s="1"/>
      <c r="J59" s="1"/>
    </row>
    <row r="60" spans="1:10" x14ac:dyDescent="0.2">
      <c r="B60" s="1" t="s">
        <v>281</v>
      </c>
      <c r="C60" s="32" t="s">
        <v>30</v>
      </c>
      <c r="D60" s="1">
        <v>4500</v>
      </c>
      <c r="E60" s="1"/>
      <c r="F60" s="1">
        <v>50.13</v>
      </c>
      <c r="G60" s="1">
        <v>4500</v>
      </c>
      <c r="H60" s="5">
        <f t="shared" si="0"/>
        <v>0</v>
      </c>
      <c r="I60" s="1"/>
      <c r="J60" s="1"/>
    </row>
    <row r="61" spans="1:10" x14ac:dyDescent="0.2">
      <c r="B61" s="1" t="s">
        <v>281</v>
      </c>
      <c r="C61" s="32">
        <v>266</v>
      </c>
      <c r="D61" s="1">
        <v>20000</v>
      </c>
      <c r="E61" s="1"/>
      <c r="F61" s="1">
        <v>222.82</v>
      </c>
      <c r="G61" s="1">
        <v>20000</v>
      </c>
      <c r="H61" s="5">
        <f t="shared" si="0"/>
        <v>0</v>
      </c>
      <c r="I61" s="1"/>
      <c r="J61" s="1"/>
    </row>
    <row r="62" spans="1:10" x14ac:dyDescent="0.2">
      <c r="B62" s="1" t="s">
        <v>281</v>
      </c>
      <c r="C62" s="32">
        <v>6744</v>
      </c>
      <c r="D62" s="1">
        <v>20000</v>
      </c>
      <c r="E62" s="1"/>
      <c r="F62" s="1">
        <v>222.82</v>
      </c>
      <c r="G62" s="1">
        <v>20000</v>
      </c>
      <c r="H62" s="5">
        <f t="shared" si="0"/>
        <v>0</v>
      </c>
      <c r="I62" s="1"/>
      <c r="J62" s="1"/>
    </row>
    <row r="63" spans="1:10" x14ac:dyDescent="0.2">
      <c r="B63" s="1" t="s">
        <v>281</v>
      </c>
      <c r="C63" s="32">
        <v>5266</v>
      </c>
      <c r="D63" s="1">
        <v>20000</v>
      </c>
      <c r="E63" s="1"/>
      <c r="F63" s="1">
        <v>222.82</v>
      </c>
      <c r="G63" s="1">
        <v>20000</v>
      </c>
      <c r="H63" s="5">
        <f t="shared" si="0"/>
        <v>0</v>
      </c>
      <c r="I63" s="1"/>
      <c r="J63" s="1"/>
    </row>
    <row r="64" spans="1:10" x14ac:dyDescent="0.2">
      <c r="B64" s="1" t="s">
        <v>281</v>
      </c>
      <c r="C64" s="32">
        <v>3992</v>
      </c>
      <c r="D64" s="1">
        <v>20000</v>
      </c>
      <c r="E64" s="1"/>
      <c r="F64" s="1">
        <v>222.82</v>
      </c>
      <c r="G64" s="1">
        <v>20000</v>
      </c>
      <c r="H64" s="5">
        <f t="shared" si="0"/>
        <v>0</v>
      </c>
      <c r="I64" s="1"/>
      <c r="J64" s="1"/>
    </row>
    <row r="65" spans="2:10" x14ac:dyDescent="0.2">
      <c r="B65" s="1" t="s">
        <v>282</v>
      </c>
      <c r="C65" s="32" t="s">
        <v>63</v>
      </c>
      <c r="D65" s="1">
        <v>3500</v>
      </c>
      <c r="E65" s="1"/>
      <c r="F65" s="1">
        <v>38.99</v>
      </c>
      <c r="G65" s="1">
        <v>3500</v>
      </c>
      <c r="H65" s="5">
        <f t="shared" si="0"/>
        <v>0</v>
      </c>
      <c r="I65" s="1"/>
      <c r="J65" s="1"/>
    </row>
    <row r="66" spans="2:10" x14ac:dyDescent="0.2">
      <c r="B66" s="1" t="s">
        <v>282</v>
      </c>
      <c r="C66" s="32" t="s">
        <v>66</v>
      </c>
      <c r="D66" s="1">
        <v>200</v>
      </c>
      <c r="E66" s="1"/>
      <c r="F66" s="1">
        <v>2.08</v>
      </c>
      <c r="G66" s="1">
        <v>200</v>
      </c>
      <c r="H66" s="5">
        <f t="shared" si="0"/>
        <v>0</v>
      </c>
      <c r="I66" s="1"/>
      <c r="J66" s="1"/>
    </row>
    <row r="67" spans="2:10" x14ac:dyDescent="0.2">
      <c r="B67" s="1" t="s">
        <v>282</v>
      </c>
      <c r="C67" s="32">
        <v>4832</v>
      </c>
      <c r="D67" s="1">
        <v>10000</v>
      </c>
      <c r="E67" s="1"/>
      <c r="F67" s="1">
        <v>111.41</v>
      </c>
      <c r="G67" s="1">
        <v>10000</v>
      </c>
      <c r="H67" s="5">
        <f t="shared" si="0"/>
        <v>0</v>
      </c>
      <c r="I67" s="1"/>
      <c r="J67" s="1"/>
    </row>
    <row r="68" spans="2:10" x14ac:dyDescent="0.2">
      <c r="B68" s="1" t="s">
        <v>282</v>
      </c>
      <c r="C68" s="32">
        <v>5260</v>
      </c>
      <c r="D68" s="1">
        <v>23000</v>
      </c>
      <c r="E68" s="1"/>
      <c r="F68" s="1">
        <v>256.24</v>
      </c>
      <c r="G68" s="1">
        <v>23000</v>
      </c>
      <c r="H68" s="5">
        <f t="shared" si="0"/>
        <v>0</v>
      </c>
      <c r="I68" s="1"/>
      <c r="J68" s="1"/>
    </row>
    <row r="69" spans="2:10" x14ac:dyDescent="0.2">
      <c r="B69" s="1" t="s">
        <v>282</v>
      </c>
      <c r="C69" s="32">
        <v>777</v>
      </c>
      <c r="D69" s="1">
        <v>23000</v>
      </c>
      <c r="E69" s="1"/>
      <c r="F69" s="1">
        <v>256.24</v>
      </c>
      <c r="G69" s="1">
        <v>23000</v>
      </c>
      <c r="H69" s="5">
        <f t="shared" si="0"/>
        <v>0</v>
      </c>
      <c r="I69" s="1"/>
      <c r="J69" s="1"/>
    </row>
    <row r="70" spans="2:10" x14ac:dyDescent="0.2">
      <c r="B70" s="1" t="s">
        <v>283</v>
      </c>
      <c r="C70" s="32" t="s">
        <v>30</v>
      </c>
      <c r="D70" s="1">
        <v>3000</v>
      </c>
      <c r="E70" s="1"/>
      <c r="F70" s="1">
        <v>33.42</v>
      </c>
      <c r="G70" s="1">
        <v>3000</v>
      </c>
      <c r="H70" s="5">
        <f t="shared" si="0"/>
        <v>0</v>
      </c>
      <c r="I70" s="1"/>
      <c r="J70" s="1"/>
    </row>
    <row r="71" spans="2:10" x14ac:dyDescent="0.2">
      <c r="B71" s="1" t="s">
        <v>283</v>
      </c>
      <c r="C71" s="32">
        <v>941</v>
      </c>
      <c r="D71" s="1">
        <v>22000</v>
      </c>
      <c r="E71" s="1"/>
      <c r="F71" s="1">
        <v>245.1</v>
      </c>
      <c r="G71" s="1">
        <v>22000</v>
      </c>
      <c r="H71" s="5">
        <f t="shared" si="0"/>
        <v>0</v>
      </c>
      <c r="I71" s="1"/>
      <c r="J71" s="1"/>
    </row>
    <row r="72" spans="2:10" x14ac:dyDescent="0.2">
      <c r="B72" s="1" t="s">
        <v>284</v>
      </c>
      <c r="C72" s="32">
        <v>9971</v>
      </c>
      <c r="D72" s="1">
        <v>9000</v>
      </c>
      <c r="E72" s="1"/>
      <c r="F72" s="1">
        <v>100.27</v>
      </c>
      <c r="G72" s="1">
        <v>9000</v>
      </c>
      <c r="H72" s="5">
        <f t="shared" si="0"/>
        <v>0</v>
      </c>
      <c r="I72" s="1"/>
      <c r="J72" s="1"/>
    </row>
    <row r="73" spans="2:10" x14ac:dyDescent="0.2">
      <c r="B73" s="1" t="s">
        <v>284</v>
      </c>
      <c r="C73" s="32">
        <v>4565</v>
      </c>
      <c r="D73" s="1">
        <v>13000</v>
      </c>
      <c r="E73" s="1"/>
      <c r="F73" s="1">
        <v>144.83000000000001</v>
      </c>
      <c r="G73" s="1">
        <v>13000</v>
      </c>
      <c r="H73" s="5">
        <f t="shared" si="0"/>
        <v>0</v>
      </c>
      <c r="I73" s="1"/>
      <c r="J73" s="1"/>
    </row>
    <row r="74" spans="2:10" x14ac:dyDescent="0.2">
      <c r="B74" s="1" t="s">
        <v>284</v>
      </c>
      <c r="C74" s="32" t="s">
        <v>30</v>
      </c>
      <c r="D74" s="1">
        <v>4500</v>
      </c>
      <c r="E74" s="1"/>
      <c r="F74" s="1">
        <v>50.13</v>
      </c>
      <c r="G74" s="1">
        <v>4500</v>
      </c>
      <c r="H74" s="5">
        <f t="shared" ref="H74:H137" si="1">D74-G74</f>
        <v>0</v>
      </c>
      <c r="I74" s="1"/>
      <c r="J74" s="1"/>
    </row>
    <row r="75" spans="2:10" x14ac:dyDescent="0.2">
      <c r="B75" s="1" t="s">
        <v>284</v>
      </c>
      <c r="C75" s="32">
        <v>7311</v>
      </c>
      <c r="D75" s="1">
        <v>20000</v>
      </c>
      <c r="E75" s="1"/>
      <c r="F75" s="1">
        <v>222.19</v>
      </c>
      <c r="G75" s="1">
        <v>20000</v>
      </c>
      <c r="H75" s="5">
        <f t="shared" si="1"/>
        <v>0</v>
      </c>
      <c r="I75" s="1"/>
      <c r="J75" s="1"/>
    </row>
    <row r="76" spans="2:10" x14ac:dyDescent="0.2">
      <c r="B76" s="1" t="s">
        <v>284</v>
      </c>
      <c r="C76" s="32">
        <v>7637</v>
      </c>
      <c r="D76" s="1">
        <v>20000</v>
      </c>
      <c r="E76" s="1"/>
      <c r="F76" s="1">
        <v>222.19</v>
      </c>
      <c r="G76" s="1">
        <v>20000</v>
      </c>
      <c r="H76" s="5">
        <f t="shared" si="1"/>
        <v>0</v>
      </c>
      <c r="I76" s="1"/>
      <c r="J76" s="1"/>
    </row>
    <row r="77" spans="2:10" x14ac:dyDescent="0.2">
      <c r="B77" s="1" t="s">
        <v>284</v>
      </c>
      <c r="C77" s="32">
        <v>3176</v>
      </c>
      <c r="D77" s="1">
        <v>15000</v>
      </c>
      <c r="E77" s="1"/>
      <c r="F77" s="1">
        <v>167.11</v>
      </c>
      <c r="G77" s="1">
        <v>15000</v>
      </c>
      <c r="H77" s="5">
        <f t="shared" si="1"/>
        <v>0</v>
      </c>
      <c r="I77" s="1"/>
      <c r="J77" s="1"/>
    </row>
    <row r="78" spans="2:10" x14ac:dyDescent="0.2">
      <c r="B78" s="1" t="s">
        <v>284</v>
      </c>
      <c r="C78" s="32">
        <v>4724</v>
      </c>
      <c r="D78" s="1">
        <v>10000</v>
      </c>
      <c r="E78" s="1"/>
      <c r="F78" s="1">
        <v>111.41</v>
      </c>
      <c r="G78" s="1">
        <v>10000</v>
      </c>
      <c r="H78" s="5">
        <f t="shared" si="1"/>
        <v>0</v>
      </c>
      <c r="I78" s="1"/>
      <c r="J78" s="1"/>
    </row>
    <row r="79" spans="2:10" x14ac:dyDescent="0.2">
      <c r="B79" s="1" t="s">
        <v>284</v>
      </c>
      <c r="C79" s="32">
        <v>2802</v>
      </c>
      <c r="D79" s="1">
        <v>11000</v>
      </c>
      <c r="E79" s="1"/>
      <c r="F79" s="1">
        <v>122</v>
      </c>
      <c r="G79" s="1">
        <v>11000</v>
      </c>
      <c r="H79" s="5">
        <f t="shared" si="1"/>
        <v>0</v>
      </c>
      <c r="I79" s="1"/>
      <c r="J79" s="1"/>
    </row>
    <row r="80" spans="2:10" x14ac:dyDescent="0.2">
      <c r="B80" s="1" t="s">
        <v>284</v>
      </c>
      <c r="C80" s="32">
        <v>5611</v>
      </c>
      <c r="D80" s="1">
        <v>20000</v>
      </c>
      <c r="E80" s="1"/>
      <c r="F80" s="1">
        <v>222.82</v>
      </c>
      <c r="G80" s="1">
        <v>20000</v>
      </c>
      <c r="H80" s="5">
        <f t="shared" si="1"/>
        <v>0</v>
      </c>
      <c r="I80" s="1"/>
      <c r="J80" s="1"/>
    </row>
    <row r="81" spans="2:10" x14ac:dyDescent="0.2">
      <c r="B81" s="1" t="s">
        <v>284</v>
      </c>
      <c r="C81" s="32">
        <v>4849</v>
      </c>
      <c r="D81" s="1">
        <v>23000</v>
      </c>
      <c r="E81" s="1"/>
      <c r="F81" s="1">
        <v>256.24</v>
      </c>
      <c r="G81" s="1">
        <v>23000</v>
      </c>
      <c r="H81" s="5">
        <f t="shared" si="1"/>
        <v>0</v>
      </c>
      <c r="I81" s="1"/>
      <c r="J81" s="1"/>
    </row>
    <row r="82" spans="2:10" x14ac:dyDescent="0.2">
      <c r="B82" s="1" t="s">
        <v>284</v>
      </c>
      <c r="C82" s="32">
        <v>6144</v>
      </c>
      <c r="D82" s="1">
        <v>23000</v>
      </c>
      <c r="E82" s="1"/>
      <c r="F82" s="1">
        <v>256.24</v>
      </c>
      <c r="G82" s="1">
        <v>23000</v>
      </c>
      <c r="H82" s="5">
        <f t="shared" si="1"/>
        <v>0</v>
      </c>
      <c r="I82" s="1"/>
      <c r="J82" s="1"/>
    </row>
    <row r="83" spans="2:10" x14ac:dyDescent="0.2">
      <c r="B83" s="1" t="s">
        <v>285</v>
      </c>
      <c r="C83" s="32" t="s">
        <v>30</v>
      </c>
      <c r="D83" s="1">
        <v>5000</v>
      </c>
      <c r="E83" s="1"/>
      <c r="F83" s="1">
        <v>55.7</v>
      </c>
      <c r="G83" s="1">
        <v>5000</v>
      </c>
      <c r="H83" s="5">
        <f t="shared" si="1"/>
        <v>0</v>
      </c>
      <c r="I83" s="1"/>
      <c r="J83" s="1"/>
    </row>
    <row r="84" spans="2:10" x14ac:dyDescent="0.2">
      <c r="B84" s="1" t="s">
        <v>285</v>
      </c>
      <c r="C84" s="32">
        <v>6012</v>
      </c>
      <c r="D84" s="1">
        <v>12000</v>
      </c>
      <c r="E84" s="1"/>
      <c r="F84" s="1">
        <v>133.69</v>
      </c>
      <c r="G84" s="1">
        <v>12000</v>
      </c>
      <c r="H84" s="5">
        <f t="shared" si="1"/>
        <v>0</v>
      </c>
      <c r="I84" s="1"/>
      <c r="J84" s="1"/>
    </row>
    <row r="85" spans="2:10" x14ac:dyDescent="0.2">
      <c r="B85" s="1" t="s">
        <v>285</v>
      </c>
      <c r="C85" s="32" t="s">
        <v>63</v>
      </c>
      <c r="D85" s="1">
        <v>3500</v>
      </c>
      <c r="E85" s="1"/>
      <c r="F85" s="1">
        <v>38.99</v>
      </c>
      <c r="G85" s="1">
        <v>3500</v>
      </c>
      <c r="H85" s="5">
        <f t="shared" si="1"/>
        <v>0</v>
      </c>
      <c r="I85" s="1"/>
      <c r="J85" s="1"/>
    </row>
    <row r="86" spans="2:10" x14ac:dyDescent="0.2">
      <c r="B86" s="1" t="s">
        <v>285</v>
      </c>
      <c r="C86" s="32" t="s">
        <v>66</v>
      </c>
      <c r="D86" s="1">
        <v>200</v>
      </c>
      <c r="E86" s="1"/>
      <c r="F86" s="1">
        <v>2.08</v>
      </c>
      <c r="G86" s="1">
        <v>200</v>
      </c>
      <c r="H86" s="5">
        <f t="shared" si="1"/>
        <v>0</v>
      </c>
      <c r="I86" s="1"/>
      <c r="J86" s="1"/>
    </row>
    <row r="87" spans="2:10" x14ac:dyDescent="0.2">
      <c r="B87" s="1" t="s">
        <v>285</v>
      </c>
      <c r="C87" s="32">
        <v>4823</v>
      </c>
      <c r="D87" s="1">
        <v>18750</v>
      </c>
      <c r="E87" s="1"/>
      <c r="F87" s="1">
        <v>208.7</v>
      </c>
      <c r="G87" s="1">
        <v>18750</v>
      </c>
      <c r="H87" s="5">
        <f t="shared" si="1"/>
        <v>0</v>
      </c>
      <c r="I87" s="1"/>
      <c r="J87" s="1"/>
    </row>
    <row r="88" spans="2:10" x14ac:dyDescent="0.2">
      <c r="B88" s="1" t="s">
        <v>285</v>
      </c>
      <c r="C88" s="32">
        <v>4156</v>
      </c>
      <c r="D88" s="1">
        <v>24000</v>
      </c>
      <c r="E88" s="1"/>
      <c r="F88" s="1">
        <v>252</v>
      </c>
      <c r="G88" s="1">
        <v>24000</v>
      </c>
      <c r="H88" s="5">
        <f t="shared" si="1"/>
        <v>0</v>
      </c>
      <c r="I88" s="1"/>
      <c r="J88" s="1"/>
    </row>
    <row r="89" spans="2:10" x14ac:dyDescent="0.2">
      <c r="B89" s="1" t="s">
        <v>285</v>
      </c>
      <c r="C89" s="32">
        <v>1842</v>
      </c>
      <c r="D89" s="1">
        <v>15000</v>
      </c>
      <c r="E89" s="1"/>
      <c r="F89" s="1">
        <v>167.11</v>
      </c>
      <c r="G89" s="1">
        <v>15000</v>
      </c>
      <c r="H89" s="5">
        <f t="shared" si="1"/>
        <v>0</v>
      </c>
      <c r="I89" s="1"/>
      <c r="J89" s="1"/>
    </row>
    <row r="90" spans="2:10" x14ac:dyDescent="0.2">
      <c r="B90" s="1" t="s">
        <v>285</v>
      </c>
      <c r="C90" s="32">
        <v>1162</v>
      </c>
      <c r="D90" s="1">
        <v>14000</v>
      </c>
      <c r="E90" s="1"/>
      <c r="F90" s="1">
        <v>155.97</v>
      </c>
      <c r="G90" s="1">
        <v>14000</v>
      </c>
      <c r="H90" s="5">
        <f t="shared" si="1"/>
        <v>0</v>
      </c>
      <c r="I90" s="1"/>
      <c r="J90" s="1"/>
    </row>
    <row r="91" spans="2:10" x14ac:dyDescent="0.2">
      <c r="B91" s="1" t="s">
        <v>285</v>
      </c>
      <c r="C91" s="32">
        <v>4135</v>
      </c>
      <c r="D91" s="1">
        <v>22000</v>
      </c>
      <c r="E91" s="1"/>
      <c r="F91" s="1">
        <v>245.1</v>
      </c>
      <c r="G91" s="1">
        <v>22000</v>
      </c>
      <c r="H91" s="5">
        <f t="shared" si="1"/>
        <v>0</v>
      </c>
      <c r="I91" s="1"/>
      <c r="J91" s="1"/>
    </row>
    <row r="92" spans="2:10" x14ac:dyDescent="0.2">
      <c r="B92" s="1" t="s">
        <v>285</v>
      </c>
      <c r="C92" s="32">
        <v>9903</v>
      </c>
      <c r="D92" s="1">
        <v>15000</v>
      </c>
      <c r="E92" s="1"/>
      <c r="F92" s="1">
        <v>167.11</v>
      </c>
      <c r="G92" s="1">
        <v>15000</v>
      </c>
      <c r="H92" s="5">
        <f t="shared" si="1"/>
        <v>0</v>
      </c>
      <c r="I92" s="1"/>
      <c r="J92" s="1"/>
    </row>
    <row r="93" spans="2:10" x14ac:dyDescent="0.2">
      <c r="B93" s="1" t="s">
        <v>286</v>
      </c>
      <c r="C93" s="32" t="s">
        <v>30</v>
      </c>
      <c r="D93" s="1">
        <v>4500</v>
      </c>
      <c r="E93" s="1"/>
      <c r="F93" s="1">
        <v>50.14</v>
      </c>
      <c r="G93" s="1">
        <v>4500</v>
      </c>
      <c r="H93" s="5">
        <f t="shared" si="1"/>
        <v>0</v>
      </c>
      <c r="I93" s="1"/>
      <c r="J93" s="1"/>
    </row>
    <row r="94" spans="2:10" x14ac:dyDescent="0.2">
      <c r="B94" s="1" t="s">
        <v>286</v>
      </c>
      <c r="C94" s="32">
        <v>645</v>
      </c>
      <c r="D94" s="1">
        <v>10000</v>
      </c>
      <c r="E94" s="1"/>
      <c r="F94" s="1">
        <v>111.41</v>
      </c>
      <c r="G94" s="1">
        <v>10000</v>
      </c>
      <c r="H94" s="5">
        <f t="shared" si="1"/>
        <v>0</v>
      </c>
      <c r="I94" s="1"/>
      <c r="J94" s="1"/>
    </row>
    <row r="95" spans="2:10" x14ac:dyDescent="0.2">
      <c r="B95" s="1" t="s">
        <v>286</v>
      </c>
      <c r="C95" s="32">
        <v>1552</v>
      </c>
      <c r="D95" s="1">
        <v>15000</v>
      </c>
      <c r="E95" s="1"/>
      <c r="F95" s="1">
        <v>167.11</v>
      </c>
      <c r="G95" s="1">
        <v>15000</v>
      </c>
      <c r="H95" s="5">
        <f t="shared" si="1"/>
        <v>0</v>
      </c>
      <c r="I95" s="1"/>
      <c r="J95" s="1"/>
    </row>
    <row r="96" spans="2:10" x14ac:dyDescent="0.2">
      <c r="B96" s="1" t="s">
        <v>286</v>
      </c>
      <c r="C96" s="32">
        <v>9668</v>
      </c>
      <c r="D96" s="1">
        <v>13000</v>
      </c>
      <c r="E96" s="1"/>
      <c r="F96" s="1">
        <v>144</v>
      </c>
      <c r="G96" s="1">
        <v>13000</v>
      </c>
      <c r="H96" s="5">
        <f t="shared" si="1"/>
        <v>0</v>
      </c>
      <c r="I96" s="1"/>
      <c r="J96" s="1"/>
    </row>
    <row r="97" spans="2:10" x14ac:dyDescent="0.2">
      <c r="B97" s="1" t="s">
        <v>286</v>
      </c>
      <c r="C97" s="32">
        <v>2660</v>
      </c>
      <c r="D97" s="1">
        <v>15000</v>
      </c>
      <c r="E97" s="1"/>
      <c r="F97" s="1">
        <v>167.11</v>
      </c>
      <c r="G97" s="1">
        <v>15000</v>
      </c>
      <c r="H97" s="5">
        <f t="shared" si="1"/>
        <v>0</v>
      </c>
      <c r="I97" s="1"/>
      <c r="J97" s="1"/>
    </row>
    <row r="98" spans="2:10" x14ac:dyDescent="0.2">
      <c r="B98" s="1" t="s">
        <v>286</v>
      </c>
      <c r="C98" s="32">
        <v>4553</v>
      </c>
      <c r="D98" s="1">
        <v>15000</v>
      </c>
      <c r="E98" s="1"/>
      <c r="F98" s="1">
        <v>167.11</v>
      </c>
      <c r="G98" s="1">
        <v>15000</v>
      </c>
      <c r="H98" s="5">
        <f t="shared" si="1"/>
        <v>0</v>
      </c>
      <c r="I98" s="1"/>
      <c r="J98" s="1"/>
    </row>
    <row r="99" spans="2:10" x14ac:dyDescent="0.2">
      <c r="B99" s="1" t="s">
        <v>286</v>
      </c>
      <c r="C99" s="32">
        <v>5744</v>
      </c>
      <c r="D99" s="1">
        <v>18000</v>
      </c>
      <c r="E99" s="1"/>
      <c r="F99" s="1">
        <v>200.53</v>
      </c>
      <c r="G99" s="1">
        <v>18000</v>
      </c>
      <c r="H99" s="5">
        <f t="shared" si="1"/>
        <v>0</v>
      </c>
      <c r="I99" s="1"/>
      <c r="J99" s="1"/>
    </row>
    <row r="100" spans="2:10" x14ac:dyDescent="0.2">
      <c r="B100" s="1" t="s">
        <v>286</v>
      </c>
      <c r="C100" s="32">
        <v>3164</v>
      </c>
      <c r="D100" s="1">
        <v>20000</v>
      </c>
      <c r="E100" s="1"/>
      <c r="F100" s="1">
        <v>222.82</v>
      </c>
      <c r="G100" s="1">
        <v>20000</v>
      </c>
      <c r="H100" s="5">
        <f t="shared" si="1"/>
        <v>0</v>
      </c>
      <c r="I100" s="1"/>
      <c r="J100" s="1"/>
    </row>
    <row r="101" spans="2:10" x14ac:dyDescent="0.2">
      <c r="B101" s="1" t="s">
        <v>286</v>
      </c>
      <c r="C101" s="32">
        <v>5079</v>
      </c>
      <c r="D101" s="1">
        <v>24000</v>
      </c>
      <c r="E101" s="1"/>
      <c r="F101" s="1">
        <v>267.38</v>
      </c>
      <c r="G101" s="1">
        <v>24000</v>
      </c>
      <c r="H101" s="5">
        <f t="shared" si="1"/>
        <v>0</v>
      </c>
      <c r="I101" s="1"/>
      <c r="J101" s="1"/>
    </row>
    <row r="102" spans="2:10" x14ac:dyDescent="0.2">
      <c r="B102" s="1" t="s">
        <v>286</v>
      </c>
      <c r="C102" s="32">
        <v>767</v>
      </c>
      <c r="D102" s="1">
        <v>25000</v>
      </c>
      <c r="E102" s="1"/>
      <c r="F102" s="1">
        <v>278.52</v>
      </c>
      <c r="G102" s="1">
        <v>25000</v>
      </c>
      <c r="H102" s="5">
        <f t="shared" si="1"/>
        <v>0</v>
      </c>
      <c r="I102" s="1"/>
      <c r="J102" s="1"/>
    </row>
    <row r="103" spans="2:10" x14ac:dyDescent="0.2">
      <c r="B103" s="1" t="s">
        <v>286</v>
      </c>
      <c r="C103" s="32">
        <v>1386</v>
      </c>
      <c r="D103" s="1">
        <v>25000</v>
      </c>
      <c r="E103" s="1"/>
      <c r="F103" s="1">
        <v>278.52</v>
      </c>
      <c r="G103" s="1">
        <v>25000</v>
      </c>
      <c r="H103" s="5">
        <f t="shared" si="1"/>
        <v>0</v>
      </c>
      <c r="I103" s="1"/>
      <c r="J103" s="1"/>
    </row>
    <row r="104" spans="2:10" x14ac:dyDescent="0.2">
      <c r="B104" s="1" t="s">
        <v>287</v>
      </c>
      <c r="C104" s="32">
        <v>9666</v>
      </c>
      <c r="D104" s="1">
        <v>13000</v>
      </c>
      <c r="E104" s="1"/>
      <c r="F104" s="1">
        <v>144</v>
      </c>
      <c r="G104" s="1">
        <v>13000</v>
      </c>
      <c r="H104" s="5">
        <f t="shared" si="1"/>
        <v>0</v>
      </c>
      <c r="I104" s="1"/>
      <c r="J104" s="1"/>
    </row>
    <row r="105" spans="2:10" x14ac:dyDescent="0.2">
      <c r="B105" s="1" t="s">
        <v>287</v>
      </c>
      <c r="C105" s="32">
        <v>7995</v>
      </c>
      <c r="D105" s="1">
        <v>25000</v>
      </c>
      <c r="E105" s="1"/>
      <c r="F105" s="1">
        <v>278.52</v>
      </c>
      <c r="G105" s="1">
        <v>25000</v>
      </c>
      <c r="H105" s="5">
        <f t="shared" si="1"/>
        <v>0</v>
      </c>
      <c r="I105" s="1"/>
      <c r="J105" s="1"/>
    </row>
    <row r="106" spans="2:10" x14ac:dyDescent="0.2">
      <c r="B106" s="1" t="s">
        <v>287</v>
      </c>
      <c r="C106" s="32" t="s">
        <v>63</v>
      </c>
      <c r="D106" s="1">
        <v>3500</v>
      </c>
      <c r="E106" s="1"/>
      <c r="F106" s="1">
        <v>39.94</v>
      </c>
      <c r="G106" s="1">
        <v>3500</v>
      </c>
      <c r="H106" s="5">
        <f t="shared" si="1"/>
        <v>0</v>
      </c>
      <c r="I106" s="1"/>
      <c r="J106" s="1"/>
    </row>
    <row r="107" spans="2:10" x14ac:dyDescent="0.2">
      <c r="B107" s="1" t="s">
        <v>287</v>
      </c>
      <c r="C107" s="32">
        <v>1945</v>
      </c>
      <c r="D107" s="1">
        <v>20000</v>
      </c>
      <c r="E107" s="1"/>
      <c r="F107" s="1">
        <v>222.82</v>
      </c>
      <c r="G107" s="1">
        <v>20000</v>
      </c>
      <c r="H107" s="5">
        <f t="shared" si="1"/>
        <v>0</v>
      </c>
      <c r="I107" s="1"/>
      <c r="J107" s="1"/>
    </row>
    <row r="108" spans="2:10" x14ac:dyDescent="0.2">
      <c r="B108" s="1" t="s">
        <v>287</v>
      </c>
      <c r="C108" s="32">
        <v>9998</v>
      </c>
      <c r="D108" s="1">
        <v>17000</v>
      </c>
      <c r="E108" s="1"/>
      <c r="F108" s="1">
        <v>189</v>
      </c>
      <c r="G108" s="1">
        <v>17000</v>
      </c>
      <c r="H108" s="5">
        <f t="shared" si="1"/>
        <v>0</v>
      </c>
      <c r="I108" s="1"/>
      <c r="J108" s="1"/>
    </row>
    <row r="109" spans="2:10" x14ac:dyDescent="0.2">
      <c r="B109" s="1" t="s">
        <v>287</v>
      </c>
      <c r="C109" s="32">
        <v>472</v>
      </c>
      <c r="D109" s="1">
        <v>20000</v>
      </c>
      <c r="E109" s="1"/>
      <c r="F109" s="1">
        <v>222.82</v>
      </c>
      <c r="G109" s="1">
        <v>20000</v>
      </c>
      <c r="H109" s="5">
        <f t="shared" si="1"/>
        <v>0</v>
      </c>
      <c r="I109" s="1"/>
      <c r="J109" s="1"/>
    </row>
    <row r="110" spans="2:10" x14ac:dyDescent="0.2">
      <c r="B110" s="1" t="s">
        <v>287</v>
      </c>
      <c r="C110" s="32">
        <v>9979</v>
      </c>
      <c r="D110" s="1">
        <v>13000</v>
      </c>
      <c r="E110" s="1"/>
      <c r="F110" s="1">
        <v>144</v>
      </c>
      <c r="G110" s="1">
        <v>13000</v>
      </c>
      <c r="H110" s="5">
        <f t="shared" si="1"/>
        <v>0</v>
      </c>
      <c r="I110" s="1"/>
      <c r="J110" s="1"/>
    </row>
    <row r="111" spans="2:10" x14ac:dyDescent="0.2">
      <c r="B111" s="1" t="s">
        <v>287</v>
      </c>
      <c r="C111" s="32">
        <v>104</v>
      </c>
      <c r="D111" s="1">
        <v>19000</v>
      </c>
      <c r="E111" s="1"/>
      <c r="F111" s="1">
        <v>211</v>
      </c>
      <c r="G111" s="1">
        <v>19000</v>
      </c>
      <c r="H111" s="5">
        <f t="shared" si="1"/>
        <v>0</v>
      </c>
      <c r="I111" s="1"/>
      <c r="J111" s="1"/>
    </row>
    <row r="112" spans="2:10" x14ac:dyDescent="0.2">
      <c r="B112" s="1" t="s">
        <v>287</v>
      </c>
      <c r="C112" s="32">
        <v>5548</v>
      </c>
      <c r="D112" s="1">
        <v>20000</v>
      </c>
      <c r="E112" s="1"/>
      <c r="F112" s="1">
        <v>222.82</v>
      </c>
      <c r="G112" s="1">
        <v>20000</v>
      </c>
      <c r="H112" s="5">
        <f t="shared" si="1"/>
        <v>0</v>
      </c>
      <c r="I112" s="1"/>
      <c r="J112" s="1"/>
    </row>
    <row r="113" spans="2:10" x14ac:dyDescent="0.2">
      <c r="B113" s="1" t="s">
        <v>287</v>
      </c>
      <c r="C113" s="32">
        <v>4032</v>
      </c>
      <c r="D113" s="1">
        <v>20000</v>
      </c>
      <c r="E113" s="1"/>
      <c r="F113" s="1">
        <v>222.82</v>
      </c>
      <c r="G113" s="1">
        <v>20000</v>
      </c>
      <c r="H113" s="5">
        <f t="shared" si="1"/>
        <v>0</v>
      </c>
      <c r="I113" s="1"/>
      <c r="J113" s="1"/>
    </row>
    <row r="114" spans="2:10" x14ac:dyDescent="0.2">
      <c r="B114" s="1" t="s">
        <v>287</v>
      </c>
      <c r="C114" s="32">
        <v>5613</v>
      </c>
      <c r="D114" s="1">
        <v>20000</v>
      </c>
      <c r="E114" s="1"/>
      <c r="F114" s="1">
        <v>222.82</v>
      </c>
      <c r="G114" s="1">
        <v>20000</v>
      </c>
      <c r="H114" s="5">
        <f t="shared" si="1"/>
        <v>0</v>
      </c>
      <c r="I114" s="1"/>
      <c r="J114" s="1"/>
    </row>
    <row r="115" spans="2:10" x14ac:dyDescent="0.2">
      <c r="B115" s="1" t="s">
        <v>287</v>
      </c>
      <c r="C115" s="32">
        <v>5674</v>
      </c>
      <c r="D115" s="1">
        <v>18000</v>
      </c>
      <c r="E115" s="1"/>
      <c r="F115" s="1">
        <v>200</v>
      </c>
      <c r="G115" s="1">
        <v>18000</v>
      </c>
      <c r="H115" s="5">
        <f t="shared" si="1"/>
        <v>0</v>
      </c>
      <c r="I115" s="1"/>
      <c r="J115" s="1"/>
    </row>
    <row r="116" spans="2:10" x14ac:dyDescent="0.2">
      <c r="B116" s="1" t="s">
        <v>287</v>
      </c>
      <c r="C116" s="32">
        <v>604</v>
      </c>
      <c r="D116" s="1">
        <v>8000</v>
      </c>
      <c r="E116" s="1"/>
      <c r="F116" s="1">
        <v>89</v>
      </c>
      <c r="G116" s="1">
        <v>8000</v>
      </c>
      <c r="H116" s="5">
        <f t="shared" si="1"/>
        <v>0</v>
      </c>
      <c r="I116" s="1"/>
      <c r="J116" s="1"/>
    </row>
    <row r="117" spans="2:10" x14ac:dyDescent="0.2">
      <c r="B117" s="1" t="s">
        <v>287</v>
      </c>
      <c r="C117" s="32">
        <v>2574</v>
      </c>
      <c r="D117" s="1">
        <v>15000</v>
      </c>
      <c r="E117" s="1"/>
      <c r="F117" s="1">
        <v>167.11</v>
      </c>
      <c r="G117" s="1">
        <v>15000</v>
      </c>
      <c r="H117" s="5">
        <f t="shared" si="1"/>
        <v>0</v>
      </c>
      <c r="I117" s="1"/>
      <c r="J117" s="1"/>
    </row>
    <row r="118" spans="2:10" x14ac:dyDescent="0.2">
      <c r="B118" s="1" t="s">
        <v>287</v>
      </c>
      <c r="C118" s="32">
        <v>6577</v>
      </c>
      <c r="D118" s="1">
        <v>15000</v>
      </c>
      <c r="E118" s="1"/>
      <c r="F118" s="1">
        <v>167.11</v>
      </c>
      <c r="G118" s="1">
        <v>15000</v>
      </c>
      <c r="H118" s="5">
        <f t="shared" si="1"/>
        <v>0</v>
      </c>
      <c r="I118" s="1"/>
      <c r="J118" s="1"/>
    </row>
    <row r="119" spans="2:10" x14ac:dyDescent="0.2">
      <c r="B119" s="1" t="s">
        <v>287</v>
      </c>
      <c r="C119" s="32">
        <v>5137</v>
      </c>
      <c r="D119" s="1">
        <v>18000</v>
      </c>
      <c r="E119" s="1"/>
      <c r="F119" s="1">
        <v>200.53</v>
      </c>
      <c r="G119" s="1">
        <v>18000</v>
      </c>
      <c r="H119" s="5">
        <f t="shared" si="1"/>
        <v>0</v>
      </c>
      <c r="I119" s="1"/>
      <c r="J119" s="1"/>
    </row>
    <row r="120" spans="2:10" x14ac:dyDescent="0.2">
      <c r="B120" s="1" t="s">
        <v>287</v>
      </c>
      <c r="C120" s="32">
        <v>2345</v>
      </c>
      <c r="D120" s="1">
        <v>22000</v>
      </c>
      <c r="E120" s="1"/>
      <c r="F120" s="1">
        <v>245.05</v>
      </c>
      <c r="G120" s="1">
        <v>22000</v>
      </c>
      <c r="H120" s="5">
        <f t="shared" si="1"/>
        <v>0</v>
      </c>
      <c r="I120" s="1"/>
      <c r="J120" s="1"/>
    </row>
    <row r="121" spans="2:10" x14ac:dyDescent="0.2">
      <c r="B121" s="1" t="s">
        <v>287</v>
      </c>
      <c r="C121" s="32">
        <v>4304</v>
      </c>
      <c r="D121" s="1">
        <v>22234</v>
      </c>
      <c r="E121" s="1"/>
      <c r="F121" s="1">
        <v>247</v>
      </c>
      <c r="G121" s="1">
        <v>22234</v>
      </c>
      <c r="H121" s="5">
        <f t="shared" si="1"/>
        <v>0</v>
      </c>
      <c r="I121" s="1"/>
      <c r="J121" s="1"/>
    </row>
    <row r="122" spans="2:10" x14ac:dyDescent="0.2">
      <c r="B122" s="1" t="s">
        <v>287</v>
      </c>
      <c r="C122" s="32">
        <v>5772</v>
      </c>
      <c r="D122" s="1">
        <v>25000</v>
      </c>
      <c r="E122" s="1"/>
      <c r="F122" s="1">
        <v>278.52</v>
      </c>
      <c r="G122" s="1">
        <v>25000</v>
      </c>
      <c r="H122" s="5">
        <f t="shared" si="1"/>
        <v>0</v>
      </c>
      <c r="I122" s="1"/>
      <c r="J122" s="1"/>
    </row>
    <row r="123" spans="2:10" x14ac:dyDescent="0.2">
      <c r="B123" s="1" t="s">
        <v>287</v>
      </c>
      <c r="C123" s="32">
        <v>4750</v>
      </c>
      <c r="D123" s="1">
        <v>25000</v>
      </c>
      <c r="E123" s="1"/>
      <c r="F123" s="1">
        <v>278.52</v>
      </c>
      <c r="G123" s="1">
        <v>25000</v>
      </c>
      <c r="H123" s="5">
        <f t="shared" si="1"/>
        <v>0</v>
      </c>
      <c r="I123" s="1"/>
      <c r="J123" s="1"/>
    </row>
    <row r="124" spans="2:10" x14ac:dyDescent="0.2">
      <c r="B124" s="1" t="s">
        <v>287</v>
      </c>
      <c r="C124" s="32">
        <v>4976</v>
      </c>
      <c r="D124" s="1">
        <v>40000</v>
      </c>
      <c r="E124" s="1"/>
      <c r="F124" s="1">
        <v>445.64</v>
      </c>
      <c r="G124" s="1">
        <v>40000</v>
      </c>
      <c r="H124" s="5">
        <f t="shared" si="1"/>
        <v>0</v>
      </c>
      <c r="I124" s="1"/>
      <c r="J124" s="1"/>
    </row>
    <row r="125" spans="2:10" x14ac:dyDescent="0.2">
      <c r="B125" s="1" t="s">
        <v>288</v>
      </c>
      <c r="C125" s="32" t="s">
        <v>63</v>
      </c>
      <c r="D125" s="1">
        <v>3500</v>
      </c>
      <c r="E125" s="1"/>
      <c r="F125" s="1">
        <v>39.94</v>
      </c>
      <c r="G125" s="1">
        <v>3500</v>
      </c>
      <c r="H125" s="5">
        <f t="shared" si="1"/>
        <v>0</v>
      </c>
      <c r="I125" s="1"/>
      <c r="J125" s="1"/>
    </row>
    <row r="126" spans="2:10" x14ac:dyDescent="0.2">
      <c r="B126" s="1" t="s">
        <v>288</v>
      </c>
      <c r="C126" s="32" t="s">
        <v>30</v>
      </c>
      <c r="D126" s="1">
        <v>4500</v>
      </c>
      <c r="E126" s="1"/>
      <c r="F126" s="1">
        <v>50.13</v>
      </c>
      <c r="G126" s="1">
        <v>4500</v>
      </c>
      <c r="H126" s="5">
        <f t="shared" si="1"/>
        <v>0</v>
      </c>
      <c r="I126" s="1"/>
      <c r="J126" s="1"/>
    </row>
    <row r="127" spans="2:10" x14ac:dyDescent="0.2">
      <c r="B127" s="1" t="s">
        <v>288</v>
      </c>
      <c r="C127" s="32" t="s">
        <v>30</v>
      </c>
      <c r="D127" s="1">
        <v>5000</v>
      </c>
      <c r="E127" s="1"/>
      <c r="F127" s="1">
        <v>55.7</v>
      </c>
      <c r="G127" s="1">
        <v>5000</v>
      </c>
      <c r="H127" s="5">
        <f t="shared" si="1"/>
        <v>0</v>
      </c>
      <c r="I127" s="1"/>
      <c r="J127" s="1"/>
    </row>
    <row r="128" spans="2:10" x14ac:dyDescent="0.2">
      <c r="B128" s="1" t="s">
        <v>288</v>
      </c>
      <c r="C128" s="32">
        <v>9665</v>
      </c>
      <c r="D128" s="1">
        <v>13000</v>
      </c>
      <c r="E128" s="1"/>
      <c r="F128" s="1">
        <v>144</v>
      </c>
      <c r="G128" s="1">
        <v>13000</v>
      </c>
      <c r="H128" s="5">
        <f t="shared" si="1"/>
        <v>0</v>
      </c>
      <c r="I128" s="1"/>
      <c r="J128" s="1"/>
    </row>
    <row r="129" spans="2:10" x14ac:dyDescent="0.2">
      <c r="B129" s="1" t="s">
        <v>288</v>
      </c>
      <c r="C129" s="32">
        <v>4754</v>
      </c>
      <c r="D129" s="1">
        <v>16000</v>
      </c>
      <c r="E129" s="1"/>
      <c r="F129" s="1">
        <v>178</v>
      </c>
      <c r="G129" s="1">
        <v>16000</v>
      </c>
      <c r="H129" s="5">
        <f t="shared" si="1"/>
        <v>0</v>
      </c>
      <c r="I129" s="1"/>
      <c r="J129" s="1"/>
    </row>
    <row r="130" spans="2:10" x14ac:dyDescent="0.2">
      <c r="B130" s="1" t="s">
        <v>288</v>
      </c>
      <c r="C130" s="32">
        <v>5808</v>
      </c>
      <c r="D130" s="1">
        <v>22000</v>
      </c>
      <c r="E130" s="1"/>
      <c r="F130" s="1">
        <v>245.05</v>
      </c>
      <c r="G130" s="1">
        <v>22000</v>
      </c>
      <c r="H130" s="5">
        <f t="shared" si="1"/>
        <v>0</v>
      </c>
      <c r="I130" s="1"/>
      <c r="J130" s="1"/>
    </row>
    <row r="131" spans="2:10" x14ac:dyDescent="0.2">
      <c r="B131" s="1" t="s">
        <v>288</v>
      </c>
      <c r="C131" s="32">
        <v>1843</v>
      </c>
      <c r="D131" s="1">
        <v>13000</v>
      </c>
      <c r="E131" s="1"/>
      <c r="F131" s="1">
        <v>144</v>
      </c>
      <c r="G131" s="1">
        <v>13000</v>
      </c>
      <c r="H131" s="5">
        <f t="shared" si="1"/>
        <v>0</v>
      </c>
      <c r="I131" s="1"/>
      <c r="J131" s="1"/>
    </row>
    <row r="132" spans="2:10" x14ac:dyDescent="0.2">
      <c r="B132" s="1" t="s">
        <v>288</v>
      </c>
      <c r="C132" s="32">
        <v>4935</v>
      </c>
      <c r="D132" s="1">
        <v>13000</v>
      </c>
      <c r="E132" s="1"/>
      <c r="F132" s="1">
        <v>144</v>
      </c>
      <c r="G132" s="1">
        <v>13000</v>
      </c>
      <c r="H132" s="5">
        <f t="shared" si="1"/>
        <v>0</v>
      </c>
      <c r="I132" s="1"/>
      <c r="J132" s="1"/>
    </row>
    <row r="133" spans="2:10" x14ac:dyDescent="0.2">
      <c r="B133" s="1" t="s">
        <v>288</v>
      </c>
      <c r="C133" s="32">
        <v>5835</v>
      </c>
      <c r="D133" s="1">
        <v>13000</v>
      </c>
      <c r="E133" s="1"/>
      <c r="F133" s="1">
        <v>144</v>
      </c>
      <c r="G133" s="1">
        <v>13000</v>
      </c>
      <c r="H133" s="5">
        <f t="shared" si="1"/>
        <v>0</v>
      </c>
      <c r="I133" s="1"/>
      <c r="J133" s="1"/>
    </row>
    <row r="134" spans="2:10" x14ac:dyDescent="0.2">
      <c r="B134" s="1" t="s">
        <v>288</v>
      </c>
      <c r="C134" s="32">
        <v>9669</v>
      </c>
      <c r="D134" s="1">
        <v>13000</v>
      </c>
      <c r="E134" s="1"/>
      <c r="F134" s="1">
        <v>144</v>
      </c>
      <c r="G134" s="1">
        <v>13000</v>
      </c>
      <c r="H134" s="5">
        <f t="shared" si="1"/>
        <v>0</v>
      </c>
      <c r="I134" s="1"/>
      <c r="J134" s="1"/>
    </row>
    <row r="135" spans="2:10" x14ac:dyDescent="0.2">
      <c r="B135" s="1" t="s">
        <v>288</v>
      </c>
      <c r="C135" s="32">
        <v>6012</v>
      </c>
      <c r="D135" s="1">
        <v>14000</v>
      </c>
      <c r="E135" s="1"/>
      <c r="F135" s="1">
        <v>155</v>
      </c>
      <c r="G135" s="1">
        <v>14000</v>
      </c>
      <c r="H135" s="5">
        <f t="shared" si="1"/>
        <v>0</v>
      </c>
      <c r="I135" s="1"/>
      <c r="J135" s="1"/>
    </row>
    <row r="136" spans="2:10" x14ac:dyDescent="0.2">
      <c r="B136" s="1" t="s">
        <v>288</v>
      </c>
      <c r="C136" s="32">
        <v>5920</v>
      </c>
      <c r="D136" s="1">
        <v>13000</v>
      </c>
      <c r="E136" s="1"/>
      <c r="F136" s="1">
        <v>144</v>
      </c>
      <c r="G136" s="1">
        <v>13000</v>
      </c>
      <c r="H136" s="5">
        <f t="shared" si="1"/>
        <v>0</v>
      </c>
      <c r="I136" s="1"/>
      <c r="J136" s="1"/>
    </row>
    <row r="137" spans="2:10" x14ac:dyDescent="0.2">
      <c r="B137" s="1" t="s">
        <v>288</v>
      </c>
      <c r="C137" s="32">
        <v>4740</v>
      </c>
      <c r="D137" s="1">
        <v>16000</v>
      </c>
      <c r="E137" s="1"/>
      <c r="F137" s="1">
        <v>178</v>
      </c>
      <c r="G137" s="1">
        <v>16000</v>
      </c>
      <c r="H137" s="5">
        <f t="shared" si="1"/>
        <v>0</v>
      </c>
      <c r="I137" s="1"/>
      <c r="J137" s="1"/>
    </row>
    <row r="138" spans="2:10" x14ac:dyDescent="0.2">
      <c r="B138" s="1" t="s">
        <v>288</v>
      </c>
      <c r="C138" s="32" t="s">
        <v>66</v>
      </c>
      <c r="D138" s="1">
        <v>200</v>
      </c>
      <c r="E138" s="1"/>
      <c r="F138" s="1">
        <v>2.08</v>
      </c>
      <c r="G138" s="1">
        <v>200</v>
      </c>
      <c r="H138" s="5">
        <f t="shared" ref="H138:H201" si="2">D138-G138</f>
        <v>0</v>
      </c>
      <c r="I138" s="1"/>
      <c r="J138" s="1"/>
    </row>
    <row r="139" spans="2:10" x14ac:dyDescent="0.2">
      <c r="B139" s="1" t="s">
        <v>288</v>
      </c>
      <c r="C139" s="32">
        <v>9869</v>
      </c>
      <c r="D139" s="1">
        <v>15000</v>
      </c>
      <c r="E139" s="1"/>
      <c r="F139" s="1">
        <v>167</v>
      </c>
      <c r="G139" s="1">
        <v>15000</v>
      </c>
      <c r="H139" s="5">
        <f t="shared" si="2"/>
        <v>0</v>
      </c>
      <c r="I139" s="1"/>
      <c r="J139" s="1"/>
    </row>
    <row r="140" spans="2:10" x14ac:dyDescent="0.2">
      <c r="B140" s="1" t="s">
        <v>288</v>
      </c>
      <c r="C140" s="32">
        <v>876</v>
      </c>
      <c r="D140" s="1">
        <v>16000</v>
      </c>
      <c r="E140" s="1"/>
      <c r="F140" s="1">
        <v>178</v>
      </c>
      <c r="G140" s="1">
        <v>16000</v>
      </c>
      <c r="H140" s="5">
        <f t="shared" si="2"/>
        <v>0</v>
      </c>
      <c r="I140" s="1"/>
      <c r="J140" s="1"/>
    </row>
    <row r="141" spans="2:10" x14ac:dyDescent="0.2">
      <c r="B141" s="1" t="s">
        <v>288</v>
      </c>
      <c r="C141" s="32">
        <v>6529</v>
      </c>
      <c r="D141" s="1">
        <v>18000</v>
      </c>
      <c r="E141" s="1"/>
      <c r="F141" s="1">
        <v>200.53</v>
      </c>
      <c r="G141" s="1">
        <v>18000</v>
      </c>
      <c r="H141" s="5">
        <f t="shared" si="2"/>
        <v>0</v>
      </c>
      <c r="I141" s="1"/>
      <c r="J141" s="1"/>
    </row>
    <row r="142" spans="2:10" x14ac:dyDescent="0.2">
      <c r="B142" s="1" t="s">
        <v>288</v>
      </c>
      <c r="C142" s="32">
        <v>319</v>
      </c>
      <c r="D142" s="1">
        <v>20000</v>
      </c>
      <c r="E142" s="1"/>
      <c r="F142" s="1">
        <v>222.82</v>
      </c>
      <c r="G142" s="1">
        <v>20000</v>
      </c>
      <c r="H142" s="5">
        <f t="shared" si="2"/>
        <v>0</v>
      </c>
      <c r="I142" s="1"/>
      <c r="J142" s="1"/>
    </row>
    <row r="143" spans="2:10" x14ac:dyDescent="0.2">
      <c r="B143" s="1" t="s">
        <v>288</v>
      </c>
      <c r="C143" s="32">
        <v>6356</v>
      </c>
      <c r="D143" s="1">
        <v>24000</v>
      </c>
      <c r="E143" s="1"/>
      <c r="F143" s="1">
        <v>260</v>
      </c>
      <c r="G143" s="1">
        <v>24000</v>
      </c>
      <c r="H143" s="5">
        <f t="shared" si="2"/>
        <v>0</v>
      </c>
      <c r="I143" s="1"/>
      <c r="J143" s="1"/>
    </row>
    <row r="144" spans="2:10" x14ac:dyDescent="0.2">
      <c r="B144" s="1" t="s">
        <v>288</v>
      </c>
      <c r="C144" s="32">
        <v>7482</v>
      </c>
      <c r="D144" s="1">
        <v>26000</v>
      </c>
      <c r="E144" s="1"/>
      <c r="F144" s="1">
        <v>289</v>
      </c>
      <c r="G144" s="1">
        <v>26000</v>
      </c>
      <c r="H144" s="5">
        <f t="shared" si="2"/>
        <v>0</v>
      </c>
      <c r="I144" s="1"/>
      <c r="J144" s="1"/>
    </row>
    <row r="145" spans="2:10" x14ac:dyDescent="0.2">
      <c r="B145" s="1" t="s">
        <v>288</v>
      </c>
      <c r="C145" s="32">
        <v>6165</v>
      </c>
      <c r="D145" s="1">
        <v>30000</v>
      </c>
      <c r="E145" s="1"/>
      <c r="F145" s="1">
        <v>334.82</v>
      </c>
      <c r="G145" s="1">
        <v>30000</v>
      </c>
      <c r="H145" s="5">
        <f t="shared" si="2"/>
        <v>0</v>
      </c>
      <c r="I145" s="1"/>
      <c r="J145" s="1"/>
    </row>
    <row r="146" spans="2:10" x14ac:dyDescent="0.2">
      <c r="B146" s="1" t="s">
        <v>288</v>
      </c>
      <c r="C146" s="32" t="s">
        <v>66</v>
      </c>
      <c r="D146" s="1">
        <v>200</v>
      </c>
      <c r="E146" s="1"/>
      <c r="F146" s="1">
        <v>2.08</v>
      </c>
      <c r="G146" s="1">
        <v>200</v>
      </c>
      <c r="H146" s="5">
        <f t="shared" si="2"/>
        <v>0</v>
      </c>
      <c r="I146" s="1"/>
      <c r="J146" s="1"/>
    </row>
    <row r="147" spans="2:10" x14ac:dyDescent="0.2">
      <c r="B147" s="1" t="s">
        <v>289</v>
      </c>
      <c r="C147" s="32">
        <v>4626</v>
      </c>
      <c r="D147" s="1">
        <v>13000</v>
      </c>
      <c r="E147" s="1"/>
      <c r="F147" s="1">
        <v>144</v>
      </c>
      <c r="G147" s="1">
        <v>13000</v>
      </c>
      <c r="H147" s="5">
        <f t="shared" si="2"/>
        <v>0</v>
      </c>
      <c r="I147" s="1"/>
      <c r="J147" s="1"/>
    </row>
    <row r="148" spans="2:10" x14ac:dyDescent="0.2">
      <c r="B148" s="1" t="s">
        <v>289</v>
      </c>
      <c r="C148" s="32">
        <v>645</v>
      </c>
      <c r="D148" s="1">
        <v>5000</v>
      </c>
      <c r="E148" s="1"/>
      <c r="F148" s="1">
        <v>55.7</v>
      </c>
      <c r="G148" s="1">
        <v>5000</v>
      </c>
      <c r="H148" s="5">
        <f t="shared" si="2"/>
        <v>0</v>
      </c>
      <c r="I148" s="1"/>
      <c r="J148" s="1"/>
    </row>
    <row r="149" spans="2:10" x14ac:dyDescent="0.2">
      <c r="B149" s="1" t="s">
        <v>289</v>
      </c>
      <c r="C149" s="32" t="s">
        <v>30</v>
      </c>
      <c r="D149" s="1">
        <v>4500</v>
      </c>
      <c r="E149" s="1"/>
      <c r="F149" s="1">
        <v>50.13</v>
      </c>
      <c r="G149" s="1">
        <v>4500</v>
      </c>
      <c r="H149" s="5">
        <f t="shared" si="2"/>
        <v>0</v>
      </c>
      <c r="I149" s="1"/>
      <c r="J149" s="1"/>
    </row>
    <row r="150" spans="2:10" x14ac:dyDescent="0.2">
      <c r="B150" s="1" t="s">
        <v>289</v>
      </c>
      <c r="C150" s="32">
        <v>934</v>
      </c>
      <c r="D150" s="1">
        <v>15000</v>
      </c>
      <c r="E150" s="1"/>
      <c r="F150" s="1">
        <v>167</v>
      </c>
      <c r="G150" s="1">
        <v>15000</v>
      </c>
      <c r="H150" s="5">
        <f t="shared" si="2"/>
        <v>0</v>
      </c>
      <c r="I150" s="1"/>
      <c r="J150" s="1"/>
    </row>
    <row r="151" spans="2:10" x14ac:dyDescent="0.2">
      <c r="B151" s="1" t="s">
        <v>289</v>
      </c>
      <c r="C151" s="32">
        <v>7785</v>
      </c>
      <c r="D151" s="1">
        <v>20000</v>
      </c>
      <c r="E151" s="1"/>
      <c r="F151" s="1">
        <v>222</v>
      </c>
      <c r="G151" s="1">
        <v>20000</v>
      </c>
      <c r="H151" s="5">
        <f t="shared" si="2"/>
        <v>0</v>
      </c>
      <c r="I151" s="1"/>
      <c r="J151" s="1"/>
    </row>
    <row r="152" spans="2:10" x14ac:dyDescent="0.2">
      <c r="B152" s="1" t="s">
        <v>289</v>
      </c>
      <c r="C152" s="32">
        <v>9607</v>
      </c>
      <c r="D152" s="1">
        <v>30000</v>
      </c>
      <c r="E152" s="1"/>
      <c r="F152" s="1">
        <v>333</v>
      </c>
      <c r="G152" s="1">
        <v>30000</v>
      </c>
      <c r="H152" s="5">
        <f t="shared" si="2"/>
        <v>0</v>
      </c>
      <c r="I152" s="1"/>
      <c r="J152" s="1"/>
    </row>
    <row r="153" spans="2:10" x14ac:dyDescent="0.2">
      <c r="B153" s="1" t="s">
        <v>289</v>
      </c>
      <c r="C153" s="32">
        <v>1735</v>
      </c>
      <c r="D153" s="1">
        <v>20000</v>
      </c>
      <c r="E153" s="1"/>
      <c r="F153" s="1">
        <v>222</v>
      </c>
      <c r="G153" s="1">
        <v>20000</v>
      </c>
      <c r="H153" s="5">
        <f t="shared" si="2"/>
        <v>0</v>
      </c>
      <c r="I153" s="1"/>
      <c r="J153" s="1"/>
    </row>
    <row r="154" spans="2:10" x14ac:dyDescent="0.2">
      <c r="B154" s="1" t="s">
        <v>289</v>
      </c>
      <c r="C154" s="32">
        <v>4826</v>
      </c>
      <c r="D154" s="1">
        <v>20000</v>
      </c>
      <c r="E154" s="1"/>
      <c r="F154" s="1">
        <v>222</v>
      </c>
      <c r="G154" s="1">
        <v>20000</v>
      </c>
      <c r="H154" s="5">
        <f t="shared" si="2"/>
        <v>0</v>
      </c>
      <c r="I154" s="1"/>
      <c r="J154" s="1"/>
    </row>
    <row r="155" spans="2:10" x14ac:dyDescent="0.2">
      <c r="B155" s="1" t="s">
        <v>289</v>
      </c>
      <c r="C155" s="32">
        <v>1131</v>
      </c>
      <c r="D155" s="1">
        <v>22000</v>
      </c>
      <c r="E155" s="1"/>
      <c r="F155" s="1">
        <v>245</v>
      </c>
      <c r="G155" s="1">
        <v>22000</v>
      </c>
      <c r="H155" s="5">
        <f t="shared" si="2"/>
        <v>0</v>
      </c>
      <c r="I155" s="1"/>
      <c r="J155" s="1"/>
    </row>
    <row r="156" spans="2:10" x14ac:dyDescent="0.2">
      <c r="B156" s="1" t="s">
        <v>289</v>
      </c>
      <c r="C156" s="32">
        <v>1000</v>
      </c>
      <c r="D156" s="1">
        <v>25000</v>
      </c>
      <c r="E156" s="1"/>
      <c r="F156" s="1">
        <v>278</v>
      </c>
      <c r="G156" s="1">
        <v>25000</v>
      </c>
      <c r="H156" s="5">
        <f t="shared" si="2"/>
        <v>0</v>
      </c>
      <c r="I156" s="1"/>
      <c r="J156" s="1"/>
    </row>
    <row r="157" spans="2:10" x14ac:dyDescent="0.2">
      <c r="B157" s="1" t="s">
        <v>289</v>
      </c>
      <c r="C157" s="32">
        <v>975</v>
      </c>
      <c r="D157" s="1">
        <v>25000</v>
      </c>
      <c r="E157" s="1"/>
      <c r="F157" s="1">
        <v>278</v>
      </c>
      <c r="G157" s="1">
        <v>25000</v>
      </c>
      <c r="H157" s="5">
        <f t="shared" si="2"/>
        <v>0</v>
      </c>
      <c r="I157" s="1"/>
      <c r="J157" s="1"/>
    </row>
    <row r="158" spans="2:10" x14ac:dyDescent="0.2">
      <c r="B158" s="1" t="s">
        <v>289</v>
      </c>
      <c r="C158" s="32">
        <v>5132</v>
      </c>
      <c r="D158" s="1">
        <v>15000</v>
      </c>
      <c r="E158" s="1"/>
      <c r="F158" s="1">
        <v>167.11</v>
      </c>
      <c r="G158" s="1">
        <v>15000</v>
      </c>
      <c r="H158" s="5">
        <f t="shared" si="2"/>
        <v>0</v>
      </c>
      <c r="I158" s="1"/>
      <c r="J158" s="1"/>
    </row>
    <row r="159" spans="2:10" x14ac:dyDescent="0.2">
      <c r="B159" s="1" t="s">
        <v>289</v>
      </c>
      <c r="C159" s="32">
        <v>647</v>
      </c>
      <c r="D159" s="1">
        <v>13000</v>
      </c>
      <c r="E159" s="1"/>
      <c r="F159" s="1">
        <v>144</v>
      </c>
      <c r="G159" s="1">
        <v>13000</v>
      </c>
      <c r="H159" s="5">
        <f t="shared" si="2"/>
        <v>0</v>
      </c>
      <c r="I159" s="1"/>
      <c r="J159" s="1"/>
    </row>
    <row r="160" spans="2:10" x14ac:dyDescent="0.2">
      <c r="B160" s="1" t="s">
        <v>289</v>
      </c>
      <c r="C160" s="32">
        <v>3131</v>
      </c>
      <c r="D160" s="1">
        <v>15000</v>
      </c>
      <c r="E160" s="1"/>
      <c r="F160" s="1">
        <v>167</v>
      </c>
      <c r="G160" s="1">
        <v>15000</v>
      </c>
      <c r="H160" s="5">
        <f t="shared" si="2"/>
        <v>0</v>
      </c>
      <c r="I160" s="1"/>
      <c r="J160" s="1"/>
    </row>
    <row r="161" spans="2:10" x14ac:dyDescent="0.2">
      <c r="B161" s="1" t="s">
        <v>289</v>
      </c>
      <c r="C161" s="32">
        <v>3971</v>
      </c>
      <c r="D161" s="1">
        <v>20000</v>
      </c>
      <c r="E161" s="1"/>
      <c r="F161" s="1">
        <v>222</v>
      </c>
      <c r="G161" s="1">
        <v>20000</v>
      </c>
      <c r="H161" s="5">
        <f t="shared" si="2"/>
        <v>0</v>
      </c>
      <c r="I161" s="1"/>
      <c r="J161" s="1"/>
    </row>
    <row r="162" spans="2:10" x14ac:dyDescent="0.2">
      <c r="B162" s="1" t="s">
        <v>289</v>
      </c>
      <c r="C162" s="32">
        <v>4155</v>
      </c>
      <c r="D162" s="1">
        <v>17000</v>
      </c>
      <c r="E162" s="1"/>
      <c r="F162" s="1">
        <v>189</v>
      </c>
      <c r="G162" s="1">
        <v>17000</v>
      </c>
      <c r="H162" s="5">
        <f t="shared" si="2"/>
        <v>0</v>
      </c>
      <c r="I162" s="1"/>
      <c r="J162" s="1"/>
    </row>
    <row r="163" spans="2:10" x14ac:dyDescent="0.2">
      <c r="B163" s="1" t="s">
        <v>290</v>
      </c>
      <c r="C163" s="32">
        <v>5798</v>
      </c>
      <c r="D163" s="1">
        <v>25000</v>
      </c>
      <c r="E163" s="1"/>
      <c r="F163" s="1">
        <v>278</v>
      </c>
      <c r="G163" s="1">
        <v>25000</v>
      </c>
      <c r="H163" s="5">
        <f t="shared" si="2"/>
        <v>0</v>
      </c>
      <c r="I163" s="1"/>
      <c r="J163" s="1"/>
    </row>
    <row r="164" spans="2:10" x14ac:dyDescent="0.2">
      <c r="B164" s="1" t="s">
        <v>290</v>
      </c>
      <c r="C164" s="32" t="s">
        <v>63</v>
      </c>
      <c r="D164" s="1">
        <v>3500</v>
      </c>
      <c r="E164" s="1"/>
      <c r="F164" s="1">
        <v>38.99</v>
      </c>
      <c r="G164" s="1">
        <v>3500</v>
      </c>
      <c r="H164" s="5">
        <f t="shared" si="2"/>
        <v>0</v>
      </c>
      <c r="I164" s="1"/>
      <c r="J164" s="1"/>
    </row>
    <row r="165" spans="2:10" x14ac:dyDescent="0.2">
      <c r="B165" s="1" t="s">
        <v>290</v>
      </c>
      <c r="C165" s="32">
        <v>889</v>
      </c>
      <c r="D165" s="1">
        <v>13000</v>
      </c>
      <c r="E165" s="1"/>
      <c r="F165" s="1">
        <v>144</v>
      </c>
      <c r="G165" s="1">
        <v>13000</v>
      </c>
      <c r="H165" s="5">
        <f t="shared" si="2"/>
        <v>0</v>
      </c>
      <c r="I165" s="1"/>
      <c r="J165" s="1"/>
    </row>
    <row r="166" spans="2:10" x14ac:dyDescent="0.2">
      <c r="B166" s="1" t="s">
        <v>290</v>
      </c>
      <c r="C166" s="32" t="s">
        <v>30</v>
      </c>
      <c r="D166" s="1">
        <v>5000</v>
      </c>
      <c r="E166" s="1"/>
      <c r="F166" s="1">
        <v>55</v>
      </c>
      <c r="G166" s="1">
        <v>5000</v>
      </c>
      <c r="H166" s="5">
        <f t="shared" si="2"/>
        <v>0</v>
      </c>
      <c r="I166" s="1"/>
      <c r="J166" s="1"/>
    </row>
    <row r="167" spans="2:10" x14ac:dyDescent="0.2">
      <c r="B167" s="1" t="s">
        <v>290</v>
      </c>
      <c r="C167" s="32">
        <v>7020</v>
      </c>
      <c r="D167" s="1">
        <v>18000</v>
      </c>
      <c r="E167" s="1"/>
      <c r="F167" s="1">
        <v>200</v>
      </c>
      <c r="G167" s="1">
        <v>18000</v>
      </c>
      <c r="H167" s="5">
        <f t="shared" si="2"/>
        <v>0</v>
      </c>
      <c r="I167" s="1"/>
      <c r="J167" s="1"/>
    </row>
    <row r="168" spans="2:10" x14ac:dyDescent="0.2">
      <c r="B168" s="1" t="s">
        <v>290</v>
      </c>
      <c r="C168" s="32">
        <v>5688</v>
      </c>
      <c r="D168" s="1">
        <v>6000</v>
      </c>
      <c r="E168" s="1"/>
      <c r="F168" s="1">
        <v>66.84</v>
      </c>
      <c r="G168" s="1">
        <v>6000</v>
      </c>
      <c r="H168" s="5">
        <f t="shared" si="2"/>
        <v>0</v>
      </c>
      <c r="I168" s="1"/>
      <c r="J168" s="1"/>
    </row>
    <row r="169" spans="2:10" x14ac:dyDescent="0.2">
      <c r="B169" s="1" t="s">
        <v>290</v>
      </c>
      <c r="C169" s="32">
        <v>9713</v>
      </c>
      <c r="D169" s="1">
        <v>10000</v>
      </c>
      <c r="E169" s="1"/>
      <c r="F169" s="1">
        <v>111.41</v>
      </c>
      <c r="G169" s="1">
        <v>10000</v>
      </c>
      <c r="H169" s="5">
        <f t="shared" si="2"/>
        <v>0</v>
      </c>
      <c r="I169" s="1"/>
      <c r="J169" s="1"/>
    </row>
    <row r="170" spans="2:10" x14ac:dyDescent="0.2">
      <c r="B170" s="1" t="s">
        <v>290</v>
      </c>
      <c r="C170" s="32">
        <v>6333</v>
      </c>
      <c r="D170" s="1">
        <v>18000</v>
      </c>
      <c r="E170" s="1"/>
      <c r="F170" s="1">
        <v>200.53</v>
      </c>
      <c r="G170" s="1">
        <v>18000</v>
      </c>
      <c r="H170" s="5">
        <f t="shared" si="2"/>
        <v>0</v>
      </c>
      <c r="I170" s="1"/>
      <c r="J170" s="1"/>
    </row>
    <row r="171" spans="2:10" x14ac:dyDescent="0.2">
      <c r="B171" s="1" t="s">
        <v>290</v>
      </c>
      <c r="C171" s="32">
        <v>8442</v>
      </c>
      <c r="D171" s="1">
        <v>18000</v>
      </c>
      <c r="E171" s="1"/>
      <c r="F171" s="1">
        <v>200.53</v>
      </c>
      <c r="G171" s="1">
        <v>18000</v>
      </c>
      <c r="H171" s="5">
        <f t="shared" si="2"/>
        <v>0</v>
      </c>
      <c r="I171" s="1"/>
      <c r="J171" s="1"/>
    </row>
    <row r="172" spans="2:10" x14ac:dyDescent="0.2">
      <c r="B172" s="1" t="s">
        <v>290</v>
      </c>
      <c r="C172" s="32">
        <v>8531</v>
      </c>
      <c r="D172" s="1">
        <v>20000</v>
      </c>
      <c r="E172" s="1"/>
      <c r="F172" s="1">
        <v>222.82</v>
      </c>
      <c r="G172" s="1">
        <v>20000</v>
      </c>
      <c r="H172" s="5">
        <f t="shared" si="2"/>
        <v>0</v>
      </c>
      <c r="I172" s="1"/>
      <c r="J172" s="1"/>
    </row>
    <row r="173" spans="2:10" x14ac:dyDescent="0.2">
      <c r="B173" s="1" t="s">
        <v>290</v>
      </c>
      <c r="C173" s="32">
        <v>1844</v>
      </c>
      <c r="D173" s="1">
        <v>20000</v>
      </c>
      <c r="E173" s="1"/>
      <c r="F173" s="1">
        <v>222.82</v>
      </c>
      <c r="G173" s="1">
        <v>20000</v>
      </c>
      <c r="H173" s="5">
        <f t="shared" si="2"/>
        <v>0</v>
      </c>
      <c r="I173" s="1"/>
      <c r="J173" s="1"/>
    </row>
    <row r="174" spans="2:10" x14ac:dyDescent="0.2">
      <c r="B174" s="1" t="s">
        <v>290</v>
      </c>
      <c r="C174" s="32">
        <v>5100</v>
      </c>
      <c r="D174" s="1">
        <v>20000</v>
      </c>
      <c r="E174" s="1"/>
      <c r="F174" s="1">
        <v>222.82</v>
      </c>
      <c r="G174" s="1">
        <v>20000</v>
      </c>
      <c r="H174" s="5">
        <f t="shared" si="2"/>
        <v>0</v>
      </c>
      <c r="I174" s="1"/>
      <c r="J174" s="1"/>
    </row>
    <row r="175" spans="2:10" x14ac:dyDescent="0.2">
      <c r="B175" s="1" t="s">
        <v>290</v>
      </c>
      <c r="C175" s="32">
        <v>3923</v>
      </c>
      <c r="D175" s="1">
        <v>20000</v>
      </c>
      <c r="E175" s="1"/>
      <c r="F175" s="1">
        <v>222.82</v>
      </c>
      <c r="G175" s="1">
        <v>20000</v>
      </c>
      <c r="H175" s="5">
        <f t="shared" si="2"/>
        <v>0</v>
      </c>
      <c r="I175" s="1"/>
      <c r="J175" s="1"/>
    </row>
    <row r="176" spans="2:10" x14ac:dyDescent="0.2">
      <c r="B176" s="1" t="s">
        <v>291</v>
      </c>
      <c r="C176" s="32" t="s">
        <v>66</v>
      </c>
      <c r="D176" s="1">
        <v>200</v>
      </c>
      <c r="E176" s="1"/>
      <c r="F176" s="1">
        <v>2.08</v>
      </c>
      <c r="G176" s="1">
        <v>200</v>
      </c>
      <c r="H176" s="5">
        <f t="shared" si="2"/>
        <v>0</v>
      </c>
      <c r="I176" s="1"/>
      <c r="J176" s="1"/>
    </row>
    <row r="177" spans="2:10" x14ac:dyDescent="0.2">
      <c r="B177" s="1" t="s">
        <v>291</v>
      </c>
      <c r="C177" s="32">
        <v>3935</v>
      </c>
      <c r="D177" s="1">
        <v>20000</v>
      </c>
      <c r="E177" s="1"/>
      <c r="F177" s="1">
        <v>222.82</v>
      </c>
      <c r="G177" s="1">
        <v>20000</v>
      </c>
      <c r="H177" s="5">
        <f t="shared" si="2"/>
        <v>0</v>
      </c>
      <c r="I177" s="1"/>
      <c r="J177" s="1"/>
    </row>
    <row r="178" spans="2:10" x14ac:dyDescent="0.2">
      <c r="B178" s="1" t="s">
        <v>291</v>
      </c>
      <c r="C178" s="32">
        <v>4028</v>
      </c>
      <c r="D178" s="1">
        <v>20000</v>
      </c>
      <c r="E178" s="1"/>
      <c r="F178" s="1">
        <v>222.82</v>
      </c>
      <c r="G178" s="1">
        <v>20000</v>
      </c>
      <c r="H178" s="5">
        <f t="shared" si="2"/>
        <v>0</v>
      </c>
      <c r="I178" s="1"/>
      <c r="J178" s="1"/>
    </row>
    <row r="179" spans="2:10" x14ac:dyDescent="0.2">
      <c r="B179" s="1" t="s">
        <v>291</v>
      </c>
      <c r="C179" s="32">
        <v>8655</v>
      </c>
      <c r="D179" s="1">
        <v>20000</v>
      </c>
      <c r="E179" s="1"/>
      <c r="F179" s="1">
        <v>222.82</v>
      </c>
      <c r="G179" s="1">
        <v>20000</v>
      </c>
      <c r="H179" s="5">
        <f t="shared" si="2"/>
        <v>0</v>
      </c>
      <c r="I179" s="1"/>
      <c r="J179" s="1"/>
    </row>
    <row r="180" spans="2:10" x14ac:dyDescent="0.2">
      <c r="B180" s="1" t="s">
        <v>291</v>
      </c>
      <c r="C180" s="32">
        <v>1121</v>
      </c>
      <c r="D180" s="1">
        <v>20000</v>
      </c>
      <c r="E180" s="1"/>
      <c r="F180" s="1">
        <v>222.82</v>
      </c>
      <c r="G180" s="1">
        <v>20000</v>
      </c>
      <c r="H180" s="5">
        <f t="shared" si="2"/>
        <v>0</v>
      </c>
      <c r="I180" s="1"/>
      <c r="J180" s="1"/>
    </row>
    <row r="181" spans="2:10" x14ac:dyDescent="0.2">
      <c r="B181" s="1" t="s">
        <v>291</v>
      </c>
      <c r="C181" s="32">
        <v>1068</v>
      </c>
      <c r="D181" s="1">
        <v>30000</v>
      </c>
      <c r="E181" s="1"/>
      <c r="F181" s="1">
        <v>334.22</v>
      </c>
      <c r="G181" s="1">
        <v>30000</v>
      </c>
      <c r="H181" s="5">
        <f t="shared" si="2"/>
        <v>0</v>
      </c>
      <c r="I181" s="1"/>
      <c r="J181" s="1"/>
    </row>
    <row r="182" spans="2:10" x14ac:dyDescent="0.2">
      <c r="B182" s="1" t="s">
        <v>291</v>
      </c>
      <c r="C182" s="32">
        <v>302</v>
      </c>
      <c r="D182" s="1">
        <v>25000</v>
      </c>
      <c r="E182" s="1"/>
      <c r="F182" s="1">
        <v>278.52</v>
      </c>
      <c r="G182" s="1">
        <v>25000</v>
      </c>
      <c r="H182" s="5">
        <f t="shared" si="2"/>
        <v>0</v>
      </c>
      <c r="I182" s="1"/>
      <c r="J182" s="1"/>
    </row>
    <row r="183" spans="2:10" x14ac:dyDescent="0.2">
      <c r="B183" s="1" t="s">
        <v>291</v>
      </c>
      <c r="C183" s="32">
        <v>7121</v>
      </c>
      <c r="D183" s="1">
        <v>16000</v>
      </c>
      <c r="E183" s="1"/>
      <c r="F183" s="1">
        <v>178</v>
      </c>
      <c r="G183" s="1">
        <v>16000</v>
      </c>
      <c r="H183" s="5">
        <f t="shared" si="2"/>
        <v>0</v>
      </c>
      <c r="I183" s="1"/>
      <c r="J183" s="1"/>
    </row>
    <row r="184" spans="2:10" x14ac:dyDescent="0.2">
      <c r="B184" s="1" t="s">
        <v>291</v>
      </c>
      <c r="C184" s="32">
        <v>2952</v>
      </c>
      <c r="D184" s="1">
        <v>12000</v>
      </c>
      <c r="E184" s="1"/>
      <c r="F184" s="1">
        <v>133</v>
      </c>
      <c r="G184" s="1">
        <v>12000</v>
      </c>
      <c r="H184" s="5">
        <f t="shared" si="2"/>
        <v>0</v>
      </c>
      <c r="I184" s="1"/>
      <c r="J184" s="1"/>
    </row>
    <row r="185" spans="2:10" x14ac:dyDescent="0.2">
      <c r="B185" s="1" t="s">
        <v>292</v>
      </c>
      <c r="C185" s="85">
        <v>9398</v>
      </c>
      <c r="D185" s="1">
        <v>16600</v>
      </c>
      <c r="E185" s="1"/>
      <c r="F185" s="1">
        <v>184</v>
      </c>
      <c r="G185" s="1">
        <v>16600</v>
      </c>
      <c r="H185" s="5">
        <f t="shared" si="2"/>
        <v>0</v>
      </c>
      <c r="I185" s="1"/>
      <c r="J185" s="1"/>
    </row>
    <row r="186" spans="2:10" x14ac:dyDescent="0.2">
      <c r="B186" s="1" t="s">
        <v>292</v>
      </c>
      <c r="C186" s="32">
        <v>9250</v>
      </c>
      <c r="D186" s="1">
        <v>26800</v>
      </c>
      <c r="E186" s="1"/>
      <c r="F186" s="1">
        <v>298</v>
      </c>
      <c r="G186" s="1">
        <v>26800</v>
      </c>
      <c r="H186" s="5">
        <f t="shared" si="2"/>
        <v>0</v>
      </c>
      <c r="I186" s="1"/>
      <c r="J186" s="1"/>
    </row>
    <row r="187" spans="2:10" x14ac:dyDescent="0.2">
      <c r="B187" s="1" t="s">
        <v>292</v>
      </c>
      <c r="C187" s="32">
        <v>4625</v>
      </c>
      <c r="D187" s="1">
        <v>13000</v>
      </c>
      <c r="E187" s="1"/>
      <c r="F187" s="1">
        <v>144</v>
      </c>
      <c r="G187" s="1">
        <v>13000</v>
      </c>
      <c r="H187" s="5">
        <f t="shared" si="2"/>
        <v>0</v>
      </c>
      <c r="I187" s="1"/>
      <c r="J187" s="1"/>
    </row>
    <row r="188" spans="2:10" x14ac:dyDescent="0.2">
      <c r="B188" s="1" t="s">
        <v>292</v>
      </c>
      <c r="C188" s="32" t="s">
        <v>63</v>
      </c>
      <c r="D188" s="1">
        <v>3010</v>
      </c>
      <c r="E188" s="1"/>
      <c r="F188" s="1">
        <v>33.340000000000003</v>
      </c>
      <c r="G188" s="1">
        <v>3010</v>
      </c>
      <c r="H188" s="5">
        <f t="shared" si="2"/>
        <v>0</v>
      </c>
      <c r="I188" s="1"/>
      <c r="J188" s="1"/>
    </row>
    <row r="189" spans="2:10" x14ac:dyDescent="0.2">
      <c r="B189" s="1" t="s">
        <v>292</v>
      </c>
      <c r="C189" s="32">
        <v>563</v>
      </c>
      <c r="D189" s="1">
        <v>14000</v>
      </c>
      <c r="E189" s="1"/>
      <c r="F189" s="1">
        <v>155</v>
      </c>
      <c r="G189" s="1">
        <v>14000</v>
      </c>
      <c r="H189" s="5">
        <f t="shared" si="2"/>
        <v>0</v>
      </c>
      <c r="I189" s="1"/>
      <c r="J189" s="1"/>
    </row>
    <row r="190" spans="2:10" x14ac:dyDescent="0.2">
      <c r="B190" s="1" t="s">
        <v>292</v>
      </c>
      <c r="C190" s="32">
        <v>1216</v>
      </c>
      <c r="D190" s="1">
        <v>18000</v>
      </c>
      <c r="E190" s="1"/>
      <c r="F190" s="1">
        <v>200.83</v>
      </c>
      <c r="G190" s="1">
        <v>18000</v>
      </c>
      <c r="H190" s="5">
        <f t="shared" si="2"/>
        <v>0</v>
      </c>
      <c r="I190" s="1"/>
      <c r="J190" s="1"/>
    </row>
    <row r="191" spans="2:10" x14ac:dyDescent="0.2">
      <c r="B191" s="1" t="s">
        <v>292</v>
      </c>
      <c r="C191" s="32" t="s">
        <v>30</v>
      </c>
      <c r="D191" s="1">
        <v>4500</v>
      </c>
      <c r="E191" s="1"/>
      <c r="F191" s="1">
        <v>50.13</v>
      </c>
      <c r="G191" s="1">
        <v>4500</v>
      </c>
      <c r="H191" s="5">
        <f t="shared" si="2"/>
        <v>0</v>
      </c>
      <c r="I191" s="1"/>
      <c r="J191" s="1"/>
    </row>
    <row r="192" spans="2:10" x14ac:dyDescent="0.2">
      <c r="B192" s="1" t="s">
        <v>292</v>
      </c>
      <c r="C192" s="32">
        <v>4627</v>
      </c>
      <c r="D192" s="1">
        <v>13000</v>
      </c>
      <c r="E192" s="1"/>
      <c r="F192" s="1">
        <v>144</v>
      </c>
      <c r="G192" s="1">
        <v>13000</v>
      </c>
      <c r="H192" s="5">
        <f t="shared" si="2"/>
        <v>0</v>
      </c>
      <c r="I192" s="1"/>
      <c r="J192" s="1"/>
    </row>
    <row r="193" spans="2:10" x14ac:dyDescent="0.2">
      <c r="B193" s="1" t="s">
        <v>292</v>
      </c>
      <c r="C193" s="32">
        <v>5906</v>
      </c>
      <c r="D193" s="1">
        <v>13500</v>
      </c>
      <c r="E193" s="1"/>
      <c r="F193" s="1">
        <v>150</v>
      </c>
      <c r="G193" s="1">
        <v>13500</v>
      </c>
      <c r="H193" s="5">
        <f t="shared" si="2"/>
        <v>0</v>
      </c>
      <c r="I193" s="1"/>
      <c r="J193" s="1"/>
    </row>
    <row r="194" spans="2:10" x14ac:dyDescent="0.2">
      <c r="B194" s="1" t="s">
        <v>292</v>
      </c>
      <c r="C194" s="32">
        <v>2995</v>
      </c>
      <c r="D194" s="1">
        <v>18000</v>
      </c>
      <c r="E194" s="1"/>
      <c r="F194" s="1">
        <v>200.53</v>
      </c>
      <c r="G194" s="1">
        <v>18000</v>
      </c>
      <c r="H194" s="5">
        <f t="shared" si="2"/>
        <v>0</v>
      </c>
      <c r="I194" s="1"/>
      <c r="J194" s="1"/>
    </row>
    <row r="195" spans="2:10" x14ac:dyDescent="0.2">
      <c r="B195" s="1" t="s">
        <v>292</v>
      </c>
      <c r="C195" s="32">
        <v>1352</v>
      </c>
      <c r="D195" s="1">
        <v>13000</v>
      </c>
      <c r="E195" s="1"/>
      <c r="F195" s="1">
        <v>144</v>
      </c>
      <c r="G195" s="1">
        <v>13000</v>
      </c>
      <c r="H195" s="5">
        <f t="shared" si="2"/>
        <v>0</v>
      </c>
      <c r="I195" s="1"/>
      <c r="J195" s="1"/>
    </row>
    <row r="196" spans="2:10" x14ac:dyDescent="0.2">
      <c r="B196" s="1" t="s">
        <v>292</v>
      </c>
      <c r="C196" s="32">
        <v>9291</v>
      </c>
      <c r="D196" s="1">
        <v>20000</v>
      </c>
      <c r="E196" s="1"/>
      <c r="F196" s="1">
        <v>222.82</v>
      </c>
      <c r="G196" s="1">
        <v>20000</v>
      </c>
      <c r="H196" s="5">
        <f t="shared" si="2"/>
        <v>0</v>
      </c>
      <c r="I196" s="1"/>
      <c r="J196" s="1"/>
    </row>
    <row r="197" spans="2:10" x14ac:dyDescent="0.2">
      <c r="B197" s="1" t="s">
        <v>292</v>
      </c>
      <c r="C197" s="32">
        <v>3518</v>
      </c>
      <c r="D197" s="1">
        <v>20000</v>
      </c>
      <c r="E197" s="1"/>
      <c r="F197" s="1">
        <v>222.82</v>
      </c>
      <c r="G197" s="1">
        <v>20000</v>
      </c>
      <c r="H197" s="5">
        <f t="shared" si="2"/>
        <v>0</v>
      </c>
      <c r="I197" s="1"/>
      <c r="J197" s="1"/>
    </row>
    <row r="198" spans="2:10" x14ac:dyDescent="0.2">
      <c r="B198" s="1" t="s">
        <v>292</v>
      </c>
      <c r="C198" s="32">
        <v>2623</v>
      </c>
      <c r="D198" s="1">
        <v>20000</v>
      </c>
      <c r="E198" s="1"/>
      <c r="F198" s="1">
        <v>222.82</v>
      </c>
      <c r="G198" s="1">
        <v>20000</v>
      </c>
      <c r="H198" s="5">
        <f t="shared" si="2"/>
        <v>0</v>
      </c>
      <c r="I198" s="1"/>
      <c r="J198" s="1"/>
    </row>
    <row r="199" spans="2:10" x14ac:dyDescent="0.2">
      <c r="B199" s="1" t="s">
        <v>292</v>
      </c>
      <c r="C199" s="32">
        <v>4374</v>
      </c>
      <c r="D199" s="1">
        <v>20000</v>
      </c>
      <c r="E199" s="1"/>
      <c r="F199" s="1">
        <v>222.82</v>
      </c>
      <c r="G199" s="1">
        <v>20000</v>
      </c>
      <c r="H199" s="5">
        <f t="shared" si="2"/>
        <v>0</v>
      </c>
      <c r="I199" s="1"/>
      <c r="J199" s="1"/>
    </row>
    <row r="200" spans="2:10" x14ac:dyDescent="0.2">
      <c r="B200" s="1" t="s">
        <v>292</v>
      </c>
      <c r="C200" s="32">
        <v>3604</v>
      </c>
      <c r="D200" s="1">
        <v>15000</v>
      </c>
      <c r="E200" s="1"/>
      <c r="F200" s="1">
        <v>167.11</v>
      </c>
      <c r="G200" s="1">
        <v>15000</v>
      </c>
      <c r="H200" s="5">
        <f t="shared" si="2"/>
        <v>0</v>
      </c>
      <c r="I200" s="1"/>
      <c r="J200" s="1"/>
    </row>
    <row r="201" spans="2:10" x14ac:dyDescent="0.2">
      <c r="B201" s="1" t="s">
        <v>292</v>
      </c>
      <c r="C201" s="32">
        <v>8674</v>
      </c>
      <c r="D201" s="1">
        <v>19000</v>
      </c>
      <c r="E201" s="1"/>
      <c r="F201" s="1">
        <v>211.68</v>
      </c>
      <c r="G201" s="1">
        <v>19000</v>
      </c>
      <c r="H201" s="5">
        <f t="shared" si="2"/>
        <v>0</v>
      </c>
      <c r="I201" s="1"/>
      <c r="J201" s="1"/>
    </row>
    <row r="202" spans="2:10" x14ac:dyDescent="0.2">
      <c r="B202" s="1" t="s">
        <v>292</v>
      </c>
      <c r="C202" s="32">
        <v>3085</v>
      </c>
      <c r="D202" s="1">
        <v>25000</v>
      </c>
      <c r="E202" s="1"/>
      <c r="F202" s="1">
        <v>278.52</v>
      </c>
      <c r="G202" s="1">
        <v>25000</v>
      </c>
      <c r="H202" s="5">
        <f t="shared" ref="H202:H265" si="3">D202-G202</f>
        <v>0</v>
      </c>
      <c r="I202" s="1"/>
      <c r="J202" s="1"/>
    </row>
    <row r="203" spans="2:10" x14ac:dyDescent="0.2">
      <c r="B203" s="1" t="s">
        <v>293</v>
      </c>
      <c r="C203" s="32">
        <v>447</v>
      </c>
      <c r="D203" s="1">
        <v>23000</v>
      </c>
      <c r="E203" s="1"/>
      <c r="F203" s="1">
        <v>213</v>
      </c>
      <c r="G203" s="1">
        <v>23000</v>
      </c>
      <c r="H203" s="5">
        <f t="shared" si="3"/>
        <v>0</v>
      </c>
      <c r="I203" s="1"/>
      <c r="J203" s="1"/>
    </row>
    <row r="204" spans="2:10" x14ac:dyDescent="0.2">
      <c r="B204" s="1" t="s">
        <v>293</v>
      </c>
      <c r="C204" s="32">
        <v>1299</v>
      </c>
      <c r="D204" s="1">
        <v>19000</v>
      </c>
      <c r="E204" s="1"/>
      <c r="F204" s="1">
        <v>211</v>
      </c>
      <c r="G204" s="1">
        <v>19000</v>
      </c>
      <c r="H204" s="5">
        <f t="shared" si="3"/>
        <v>0</v>
      </c>
      <c r="I204" s="1"/>
      <c r="J204" s="1"/>
    </row>
    <row r="205" spans="2:10" x14ac:dyDescent="0.2">
      <c r="B205" s="1" t="s">
        <v>293</v>
      </c>
      <c r="C205" s="32" t="s">
        <v>66</v>
      </c>
      <c r="D205" s="1">
        <v>200</v>
      </c>
      <c r="E205" s="1"/>
      <c r="F205" s="1">
        <v>2.08</v>
      </c>
      <c r="G205" s="1">
        <v>200</v>
      </c>
      <c r="H205" s="5">
        <f t="shared" si="3"/>
        <v>0</v>
      </c>
      <c r="I205" s="1"/>
      <c r="J205" s="1"/>
    </row>
    <row r="206" spans="2:10" x14ac:dyDescent="0.2">
      <c r="B206" s="1" t="s">
        <v>293</v>
      </c>
      <c r="C206" s="32">
        <v>6511</v>
      </c>
      <c r="D206" s="1">
        <v>28000</v>
      </c>
      <c r="E206" s="1"/>
      <c r="F206" s="1">
        <v>213</v>
      </c>
      <c r="G206" s="1">
        <v>28000</v>
      </c>
      <c r="H206" s="5">
        <f t="shared" si="3"/>
        <v>0</v>
      </c>
      <c r="I206" s="1"/>
      <c r="J206" s="1"/>
    </row>
    <row r="207" spans="2:10" x14ac:dyDescent="0.2">
      <c r="B207" s="1" t="s">
        <v>293</v>
      </c>
      <c r="C207" s="32">
        <v>1590</v>
      </c>
      <c r="D207" s="1">
        <v>15000</v>
      </c>
      <c r="E207" s="1"/>
      <c r="F207" s="1">
        <v>167</v>
      </c>
      <c r="G207" s="1">
        <v>15000</v>
      </c>
      <c r="H207" s="5">
        <f t="shared" si="3"/>
        <v>0</v>
      </c>
      <c r="I207" s="1"/>
      <c r="J207" s="1"/>
    </row>
    <row r="208" spans="2:10" x14ac:dyDescent="0.2">
      <c r="B208" s="1" t="s">
        <v>293</v>
      </c>
      <c r="C208" s="32">
        <v>4081</v>
      </c>
      <c r="D208" s="1">
        <v>20000</v>
      </c>
      <c r="E208" s="1"/>
      <c r="F208" s="1">
        <v>222.82</v>
      </c>
      <c r="G208" s="1">
        <v>20000</v>
      </c>
      <c r="H208" s="5">
        <f t="shared" si="3"/>
        <v>0</v>
      </c>
      <c r="I208" s="1"/>
      <c r="J208" s="1"/>
    </row>
    <row r="209" spans="2:10" x14ac:dyDescent="0.2">
      <c r="B209" s="1" t="s">
        <v>293</v>
      </c>
      <c r="C209" s="32" t="s">
        <v>30</v>
      </c>
      <c r="D209" s="1">
        <v>5000</v>
      </c>
      <c r="E209" s="1"/>
      <c r="F209" s="1">
        <v>55.7</v>
      </c>
      <c r="G209" s="1">
        <v>5000</v>
      </c>
      <c r="H209" s="5">
        <f t="shared" si="3"/>
        <v>0</v>
      </c>
      <c r="I209" s="1"/>
      <c r="J209" s="1"/>
    </row>
    <row r="210" spans="2:10" x14ac:dyDescent="0.2">
      <c r="B210" s="1" t="s">
        <v>293</v>
      </c>
      <c r="C210" s="32">
        <v>9572</v>
      </c>
      <c r="D210" s="1">
        <v>19000</v>
      </c>
      <c r="E210" s="1"/>
      <c r="F210" s="1">
        <v>211.68</v>
      </c>
      <c r="G210" s="1">
        <v>19000</v>
      </c>
      <c r="H210" s="5">
        <f t="shared" si="3"/>
        <v>0</v>
      </c>
      <c r="I210" s="1"/>
      <c r="J210" s="1"/>
    </row>
    <row r="211" spans="2:10" x14ac:dyDescent="0.2">
      <c r="B211" s="1" t="s">
        <v>293</v>
      </c>
      <c r="C211" s="32">
        <v>5886</v>
      </c>
      <c r="D211" s="1">
        <v>15000</v>
      </c>
      <c r="E211" s="1"/>
      <c r="F211" s="1">
        <v>167.11</v>
      </c>
      <c r="G211" s="1">
        <v>15000</v>
      </c>
      <c r="H211" s="5">
        <f t="shared" si="3"/>
        <v>0</v>
      </c>
      <c r="I211" s="1"/>
      <c r="J211" s="1"/>
    </row>
    <row r="212" spans="2:10" x14ac:dyDescent="0.2">
      <c r="B212" s="1" t="s">
        <v>293</v>
      </c>
      <c r="C212" s="32">
        <v>1103</v>
      </c>
      <c r="D212" s="1">
        <v>15000</v>
      </c>
      <c r="E212" s="1"/>
      <c r="F212" s="1">
        <v>167.11</v>
      </c>
      <c r="G212" s="1">
        <v>15000</v>
      </c>
      <c r="H212" s="5">
        <f t="shared" si="3"/>
        <v>0</v>
      </c>
      <c r="I212" s="1"/>
      <c r="J212" s="1"/>
    </row>
    <row r="213" spans="2:10" x14ac:dyDescent="0.2">
      <c r="B213" s="1" t="s">
        <v>293</v>
      </c>
      <c r="C213" s="32">
        <v>4624</v>
      </c>
      <c r="D213" s="1">
        <v>13000</v>
      </c>
      <c r="E213" s="1"/>
      <c r="F213" s="1">
        <v>144</v>
      </c>
      <c r="G213" s="1">
        <v>13000</v>
      </c>
      <c r="H213" s="5">
        <f t="shared" si="3"/>
        <v>0</v>
      </c>
      <c r="I213" s="1"/>
      <c r="J213" s="1"/>
    </row>
    <row r="214" spans="2:10" x14ac:dyDescent="0.2">
      <c r="B214" s="1" t="s">
        <v>293</v>
      </c>
      <c r="C214" s="32">
        <v>4127</v>
      </c>
      <c r="D214" s="1">
        <v>20000</v>
      </c>
      <c r="E214" s="1"/>
      <c r="F214" s="1">
        <v>222.82</v>
      </c>
      <c r="G214" s="1">
        <v>20000</v>
      </c>
      <c r="H214" s="5">
        <f t="shared" si="3"/>
        <v>0</v>
      </c>
      <c r="I214" s="1"/>
      <c r="J214" s="1"/>
    </row>
    <row r="215" spans="2:10" x14ac:dyDescent="0.2">
      <c r="B215" s="1" t="s">
        <v>293</v>
      </c>
      <c r="C215" s="32">
        <v>4114</v>
      </c>
      <c r="D215" s="1">
        <v>20000</v>
      </c>
      <c r="E215" s="1"/>
      <c r="F215" s="1">
        <v>222.82</v>
      </c>
      <c r="G215" s="1">
        <v>20000</v>
      </c>
      <c r="H215" s="5">
        <f t="shared" si="3"/>
        <v>0</v>
      </c>
      <c r="I215" s="1"/>
      <c r="J215" s="1"/>
    </row>
    <row r="216" spans="2:10" x14ac:dyDescent="0.2">
      <c r="B216" s="1" t="s">
        <v>293</v>
      </c>
      <c r="C216" s="32">
        <v>4224</v>
      </c>
      <c r="D216" s="1">
        <v>20000</v>
      </c>
      <c r="E216" s="1"/>
      <c r="F216" s="1">
        <v>222.82</v>
      </c>
      <c r="G216" s="1">
        <v>20000</v>
      </c>
      <c r="H216" s="5">
        <f t="shared" si="3"/>
        <v>0</v>
      </c>
      <c r="I216" s="1"/>
      <c r="J216" s="1"/>
    </row>
    <row r="217" spans="2:10" x14ac:dyDescent="0.2">
      <c r="B217" s="1" t="s">
        <v>293</v>
      </c>
      <c r="C217" s="32">
        <v>7428</v>
      </c>
      <c r="D217" s="1">
        <v>20000</v>
      </c>
      <c r="E217" s="1"/>
      <c r="F217" s="1">
        <v>222.82</v>
      </c>
      <c r="G217" s="1">
        <v>20000</v>
      </c>
      <c r="H217" s="5">
        <f t="shared" si="3"/>
        <v>0</v>
      </c>
      <c r="I217" s="1"/>
      <c r="J217" s="1"/>
    </row>
    <row r="218" spans="2:10" x14ac:dyDescent="0.2">
      <c r="B218" s="1" t="s">
        <v>293</v>
      </c>
      <c r="C218" s="32">
        <v>1215</v>
      </c>
      <c r="D218" s="1">
        <v>20000</v>
      </c>
      <c r="E218" s="1"/>
      <c r="F218" s="1">
        <v>222.82</v>
      </c>
      <c r="G218" s="1">
        <v>20000</v>
      </c>
      <c r="H218" s="5">
        <f t="shared" si="3"/>
        <v>0</v>
      </c>
      <c r="I218" s="1"/>
      <c r="J218" s="1"/>
    </row>
    <row r="219" spans="2:10" x14ac:dyDescent="0.2">
      <c r="B219" s="1" t="s">
        <v>293</v>
      </c>
      <c r="C219" s="32">
        <v>4618</v>
      </c>
      <c r="D219" s="1">
        <v>20000</v>
      </c>
      <c r="E219" s="1"/>
      <c r="F219" s="1">
        <v>222.82</v>
      </c>
      <c r="G219" s="1">
        <v>20000</v>
      </c>
      <c r="H219" s="5">
        <f t="shared" si="3"/>
        <v>0</v>
      </c>
      <c r="I219" s="1"/>
      <c r="J219" s="1"/>
    </row>
    <row r="220" spans="2:10" x14ac:dyDescent="0.2">
      <c r="B220" s="1" t="s">
        <v>293</v>
      </c>
      <c r="C220" s="32">
        <v>3446</v>
      </c>
      <c r="D220" s="1">
        <v>20000</v>
      </c>
      <c r="E220" s="1"/>
      <c r="F220" s="1">
        <v>222.82</v>
      </c>
      <c r="G220" s="1">
        <v>20000</v>
      </c>
      <c r="H220" s="5">
        <f t="shared" si="3"/>
        <v>0</v>
      </c>
      <c r="I220" s="1"/>
      <c r="J220" s="1"/>
    </row>
    <row r="221" spans="2:10" x14ac:dyDescent="0.2">
      <c r="B221" s="1" t="s">
        <v>294</v>
      </c>
      <c r="C221" s="32" t="s">
        <v>30</v>
      </c>
      <c r="D221" s="1">
        <v>4500</v>
      </c>
      <c r="E221" s="1"/>
      <c r="F221" s="1">
        <v>50.13</v>
      </c>
      <c r="G221" s="1">
        <v>4500</v>
      </c>
      <c r="H221" s="5">
        <f t="shared" si="3"/>
        <v>0</v>
      </c>
      <c r="I221" s="1"/>
      <c r="J221" s="1"/>
    </row>
    <row r="222" spans="2:10" x14ac:dyDescent="0.2">
      <c r="B222" s="1" t="s">
        <v>294</v>
      </c>
      <c r="C222" s="32">
        <v>3676</v>
      </c>
      <c r="D222" s="1">
        <v>20000</v>
      </c>
      <c r="E222" s="1"/>
      <c r="F222" s="1">
        <v>222.82</v>
      </c>
      <c r="G222" s="1">
        <v>20000</v>
      </c>
      <c r="H222" s="5">
        <f t="shared" si="3"/>
        <v>0</v>
      </c>
      <c r="I222" s="1"/>
      <c r="J222" s="1"/>
    </row>
    <row r="223" spans="2:10" x14ac:dyDescent="0.2">
      <c r="B223" s="1" t="s">
        <v>294</v>
      </c>
      <c r="C223" s="32" t="s">
        <v>63</v>
      </c>
      <c r="D223" s="1">
        <v>3500</v>
      </c>
      <c r="E223" s="1"/>
      <c r="F223" s="1">
        <v>38.93</v>
      </c>
      <c r="G223" s="1">
        <v>3500</v>
      </c>
      <c r="H223" s="5">
        <f t="shared" si="3"/>
        <v>0</v>
      </c>
      <c r="I223" s="1"/>
      <c r="J223" s="1"/>
    </row>
    <row r="224" spans="2:10" x14ac:dyDescent="0.2">
      <c r="B224" s="1" t="s">
        <v>294</v>
      </c>
      <c r="C224" s="32">
        <v>6012</v>
      </c>
      <c r="D224" s="1">
        <v>14000</v>
      </c>
      <c r="E224" s="1"/>
      <c r="F224" s="1">
        <v>155</v>
      </c>
      <c r="G224" s="1">
        <v>14000</v>
      </c>
      <c r="H224" s="5">
        <f t="shared" si="3"/>
        <v>0</v>
      </c>
      <c r="I224" s="1"/>
      <c r="J224" s="1"/>
    </row>
    <row r="225" spans="2:10" x14ac:dyDescent="0.2">
      <c r="B225" s="1" t="s">
        <v>294</v>
      </c>
      <c r="C225" s="32">
        <v>1252</v>
      </c>
      <c r="D225" s="1">
        <v>10000</v>
      </c>
      <c r="E225" s="1"/>
      <c r="F225" s="1">
        <v>111</v>
      </c>
      <c r="G225" s="1">
        <v>10000</v>
      </c>
      <c r="H225" s="5">
        <f t="shared" si="3"/>
        <v>0</v>
      </c>
      <c r="I225" s="1"/>
      <c r="J225" s="1"/>
    </row>
    <row r="226" spans="2:10" x14ac:dyDescent="0.2">
      <c r="B226" s="1" t="s">
        <v>294</v>
      </c>
      <c r="C226" s="32">
        <v>8094</v>
      </c>
      <c r="D226" s="1">
        <v>24000</v>
      </c>
      <c r="E226" s="1"/>
      <c r="F226" s="1">
        <v>267</v>
      </c>
      <c r="G226" s="1">
        <v>24000</v>
      </c>
      <c r="H226" s="5">
        <f t="shared" si="3"/>
        <v>0</v>
      </c>
      <c r="I226" s="1"/>
      <c r="J226" s="1"/>
    </row>
    <row r="227" spans="2:10" x14ac:dyDescent="0.2">
      <c r="B227" s="1" t="s">
        <v>294</v>
      </c>
      <c r="C227" s="32">
        <v>579</v>
      </c>
      <c r="D227" s="1">
        <v>25000</v>
      </c>
      <c r="E227" s="1"/>
      <c r="F227" s="1">
        <v>278</v>
      </c>
      <c r="G227" s="1">
        <v>25000</v>
      </c>
      <c r="H227" s="5">
        <f t="shared" si="3"/>
        <v>0</v>
      </c>
      <c r="I227" s="1"/>
      <c r="J227" s="1"/>
    </row>
    <row r="228" spans="2:10" x14ac:dyDescent="0.2">
      <c r="B228" s="1" t="s">
        <v>294</v>
      </c>
      <c r="C228" s="32">
        <v>4506</v>
      </c>
      <c r="D228" s="1">
        <v>15000</v>
      </c>
      <c r="E228" s="1"/>
      <c r="F228" s="1">
        <v>167.11</v>
      </c>
      <c r="G228" s="1">
        <v>15000</v>
      </c>
      <c r="H228" s="5">
        <f t="shared" si="3"/>
        <v>0</v>
      </c>
      <c r="I228" s="1"/>
      <c r="J228" s="1"/>
    </row>
    <row r="229" spans="2:10" x14ac:dyDescent="0.2">
      <c r="B229" s="1" t="s">
        <v>294</v>
      </c>
      <c r="C229" s="32">
        <v>2152</v>
      </c>
      <c r="D229" s="1">
        <v>15000</v>
      </c>
      <c r="E229" s="1"/>
      <c r="F229" s="1">
        <v>167.11</v>
      </c>
      <c r="G229" s="1">
        <v>15000</v>
      </c>
      <c r="H229" s="5">
        <f t="shared" si="3"/>
        <v>0</v>
      </c>
      <c r="I229" s="1"/>
      <c r="J229" s="1"/>
    </row>
    <row r="230" spans="2:10" x14ac:dyDescent="0.2">
      <c r="B230" s="1" t="s">
        <v>294</v>
      </c>
      <c r="C230" s="32">
        <v>1212</v>
      </c>
      <c r="D230" s="1">
        <v>15000</v>
      </c>
      <c r="E230" s="1"/>
      <c r="F230" s="1">
        <v>167.11</v>
      </c>
      <c r="G230" s="1">
        <v>15000</v>
      </c>
      <c r="H230" s="5">
        <f t="shared" si="3"/>
        <v>0</v>
      </c>
      <c r="I230" s="1"/>
      <c r="J230" s="1"/>
    </row>
    <row r="231" spans="2:10" x14ac:dyDescent="0.2">
      <c r="B231" s="1" t="s">
        <v>294</v>
      </c>
      <c r="C231" s="32">
        <v>8167</v>
      </c>
      <c r="D231" s="1">
        <v>20000</v>
      </c>
      <c r="E231" s="1"/>
      <c r="F231" s="1">
        <v>222.82</v>
      </c>
      <c r="G231" s="1">
        <v>20000</v>
      </c>
      <c r="H231" s="5">
        <f t="shared" si="3"/>
        <v>0</v>
      </c>
      <c r="I231" s="1"/>
      <c r="J231" s="1"/>
    </row>
    <row r="232" spans="2:10" x14ac:dyDescent="0.2">
      <c r="B232" s="1" t="s">
        <v>294</v>
      </c>
      <c r="C232" s="32">
        <v>4520</v>
      </c>
      <c r="D232" s="1">
        <v>20000</v>
      </c>
      <c r="E232" s="1"/>
      <c r="F232" s="1">
        <v>222.82</v>
      </c>
      <c r="G232" s="1">
        <v>20000</v>
      </c>
      <c r="H232" s="5">
        <f t="shared" si="3"/>
        <v>0</v>
      </c>
      <c r="I232" s="1"/>
      <c r="J232" s="1"/>
    </row>
    <row r="233" spans="2:10" x14ac:dyDescent="0.2">
      <c r="B233" s="1" t="s">
        <v>294</v>
      </c>
      <c r="C233" s="32">
        <v>6495</v>
      </c>
      <c r="D233" s="1">
        <v>30000</v>
      </c>
      <c r="E233" s="1"/>
      <c r="F233" s="1">
        <v>333.2</v>
      </c>
      <c r="G233" s="1">
        <v>30000</v>
      </c>
      <c r="H233" s="5">
        <f t="shared" si="3"/>
        <v>0</v>
      </c>
      <c r="I233" s="1"/>
      <c r="J233" s="1"/>
    </row>
    <row r="234" spans="2:10" x14ac:dyDescent="0.2">
      <c r="B234" s="1" t="s">
        <v>297</v>
      </c>
      <c r="C234" s="32">
        <v>9998</v>
      </c>
      <c r="D234" s="1">
        <v>17000</v>
      </c>
      <c r="E234" s="1"/>
      <c r="F234" s="1">
        <v>189</v>
      </c>
      <c r="G234" s="1">
        <v>17000</v>
      </c>
      <c r="H234" s="5">
        <f t="shared" si="3"/>
        <v>0</v>
      </c>
      <c r="I234" s="1"/>
      <c r="J234" s="1"/>
    </row>
    <row r="235" spans="2:10" x14ac:dyDescent="0.2">
      <c r="B235" s="1" t="s">
        <v>297</v>
      </c>
      <c r="C235" s="32">
        <v>505</v>
      </c>
      <c r="D235" s="1">
        <v>15000</v>
      </c>
      <c r="E235" s="1"/>
      <c r="F235" s="1">
        <v>167</v>
      </c>
      <c r="G235" s="1">
        <v>15000</v>
      </c>
      <c r="H235" s="5">
        <f t="shared" si="3"/>
        <v>0</v>
      </c>
      <c r="I235" s="1"/>
      <c r="J235" s="1"/>
    </row>
    <row r="236" spans="2:10" x14ac:dyDescent="0.2">
      <c r="B236" s="1" t="s">
        <v>297</v>
      </c>
      <c r="C236" s="32">
        <v>334</v>
      </c>
      <c r="D236" s="1">
        <v>20000</v>
      </c>
      <c r="E236" s="1"/>
      <c r="F236" s="1">
        <v>222.82</v>
      </c>
      <c r="G236" s="1">
        <v>20000</v>
      </c>
      <c r="H236" s="5">
        <f t="shared" si="3"/>
        <v>0</v>
      </c>
      <c r="I236" s="1"/>
      <c r="J236" s="1"/>
    </row>
    <row r="237" spans="2:10" x14ac:dyDescent="0.2">
      <c r="B237" s="1" t="s">
        <v>297</v>
      </c>
      <c r="C237" s="32">
        <v>9179</v>
      </c>
      <c r="D237" s="1">
        <v>12000</v>
      </c>
      <c r="E237" s="1"/>
      <c r="F237" s="1">
        <v>133</v>
      </c>
      <c r="G237" s="1">
        <v>12000</v>
      </c>
      <c r="H237" s="5">
        <f t="shared" si="3"/>
        <v>0</v>
      </c>
      <c r="I237" s="1"/>
      <c r="J237" s="1"/>
    </row>
    <row r="238" spans="2:10" x14ac:dyDescent="0.2">
      <c r="B238" s="1" t="s">
        <v>297</v>
      </c>
      <c r="C238" s="32">
        <v>645</v>
      </c>
      <c r="D238" s="1">
        <v>5000</v>
      </c>
      <c r="E238" s="1"/>
      <c r="F238" s="1">
        <v>55.7</v>
      </c>
      <c r="G238" s="1">
        <v>5000</v>
      </c>
      <c r="H238" s="5">
        <f t="shared" si="3"/>
        <v>0</v>
      </c>
      <c r="I238" s="1"/>
      <c r="J238" s="1"/>
    </row>
    <row r="239" spans="2:10" x14ac:dyDescent="0.2">
      <c r="B239" s="1" t="s">
        <v>297</v>
      </c>
      <c r="C239" s="32">
        <v>1332</v>
      </c>
      <c r="D239" s="1">
        <v>13000</v>
      </c>
      <c r="E239" s="1"/>
      <c r="F239" s="1">
        <v>144</v>
      </c>
      <c r="G239" s="1">
        <v>13000</v>
      </c>
      <c r="H239" s="5">
        <f t="shared" si="3"/>
        <v>0</v>
      </c>
      <c r="I239" s="1"/>
      <c r="J239" s="1"/>
    </row>
    <row r="240" spans="2:10" x14ac:dyDescent="0.2">
      <c r="B240" s="1" t="s">
        <v>297</v>
      </c>
      <c r="C240" s="32">
        <v>3776</v>
      </c>
      <c r="D240" s="1">
        <v>13000</v>
      </c>
      <c r="E240" s="1"/>
      <c r="F240" s="1">
        <v>144</v>
      </c>
      <c r="G240" s="1">
        <v>13000</v>
      </c>
      <c r="H240" s="5">
        <f t="shared" si="3"/>
        <v>0</v>
      </c>
      <c r="I240" s="1"/>
      <c r="J240" s="1"/>
    </row>
    <row r="241" spans="2:10" x14ac:dyDescent="0.2">
      <c r="B241" s="1" t="s">
        <v>297</v>
      </c>
      <c r="C241" s="32">
        <v>165</v>
      </c>
      <c r="D241" s="1">
        <v>13000</v>
      </c>
      <c r="E241" s="1"/>
      <c r="F241" s="1">
        <v>144</v>
      </c>
      <c r="G241" s="1">
        <v>13000</v>
      </c>
      <c r="H241" s="5">
        <f t="shared" si="3"/>
        <v>0</v>
      </c>
      <c r="I241" s="1"/>
      <c r="J241" s="1"/>
    </row>
    <row r="242" spans="2:10" x14ac:dyDescent="0.2">
      <c r="B242" s="1" t="s">
        <v>297</v>
      </c>
      <c r="C242" s="32" t="s">
        <v>30</v>
      </c>
      <c r="D242" s="1">
        <v>5000</v>
      </c>
      <c r="E242" s="1"/>
      <c r="F242" s="1">
        <v>55.7</v>
      </c>
      <c r="G242" s="1">
        <v>5000</v>
      </c>
      <c r="H242" s="5">
        <f t="shared" si="3"/>
        <v>0</v>
      </c>
      <c r="I242" s="1"/>
      <c r="J242" s="1"/>
    </row>
    <row r="243" spans="2:10" x14ac:dyDescent="0.2">
      <c r="B243" s="1" t="s">
        <v>297</v>
      </c>
      <c r="C243" s="32" t="s">
        <v>30</v>
      </c>
      <c r="D243" s="1">
        <v>7000</v>
      </c>
      <c r="E243" s="1"/>
      <c r="F243" s="1">
        <v>77.989999999999995</v>
      </c>
      <c r="G243" s="1">
        <v>7000</v>
      </c>
      <c r="H243" s="5">
        <f t="shared" si="3"/>
        <v>0</v>
      </c>
      <c r="I243" s="1"/>
      <c r="J243" s="1"/>
    </row>
    <row r="244" spans="2:10" x14ac:dyDescent="0.2">
      <c r="B244" s="1" t="s">
        <v>297</v>
      </c>
      <c r="C244" s="32">
        <v>3175</v>
      </c>
      <c r="D244" s="1">
        <v>14000</v>
      </c>
      <c r="E244" s="1"/>
      <c r="F244" s="1">
        <v>155</v>
      </c>
      <c r="G244" s="1">
        <v>14000</v>
      </c>
      <c r="H244" s="5">
        <f t="shared" si="3"/>
        <v>0</v>
      </c>
      <c r="I244" s="1"/>
      <c r="J244" s="1"/>
    </row>
    <row r="245" spans="2:10" x14ac:dyDescent="0.2">
      <c r="B245" s="1" t="s">
        <v>297</v>
      </c>
      <c r="C245" s="32">
        <v>478</v>
      </c>
      <c r="D245" s="1">
        <v>13000</v>
      </c>
      <c r="E245" s="1"/>
      <c r="F245" s="1">
        <v>144</v>
      </c>
      <c r="G245" s="1">
        <v>13000</v>
      </c>
      <c r="H245" s="5">
        <f t="shared" si="3"/>
        <v>0</v>
      </c>
      <c r="I245" s="1"/>
      <c r="J245" s="1"/>
    </row>
    <row r="246" spans="2:10" x14ac:dyDescent="0.2">
      <c r="B246" s="1" t="s">
        <v>297</v>
      </c>
      <c r="C246" s="32">
        <v>647</v>
      </c>
      <c r="D246" s="1">
        <v>14500</v>
      </c>
      <c r="E246" s="1"/>
      <c r="F246" s="1">
        <v>161</v>
      </c>
      <c r="G246" s="1">
        <v>14500</v>
      </c>
      <c r="H246" s="5">
        <f t="shared" si="3"/>
        <v>0</v>
      </c>
      <c r="I246" s="1"/>
      <c r="J246" s="1"/>
    </row>
    <row r="247" spans="2:10" x14ac:dyDescent="0.2">
      <c r="B247" s="1" t="s">
        <v>297</v>
      </c>
      <c r="C247" s="32">
        <v>4565</v>
      </c>
      <c r="D247" s="1">
        <v>13500</v>
      </c>
      <c r="E247" s="1"/>
      <c r="F247" s="1">
        <v>150</v>
      </c>
      <c r="G247" s="1">
        <v>13500</v>
      </c>
      <c r="H247" s="5">
        <f t="shared" si="3"/>
        <v>0</v>
      </c>
      <c r="I247" s="1"/>
      <c r="J247" s="1"/>
    </row>
    <row r="248" spans="2:10" x14ac:dyDescent="0.2">
      <c r="B248" s="1" t="s">
        <v>297</v>
      </c>
      <c r="C248" s="32">
        <v>8170</v>
      </c>
      <c r="D248" s="1">
        <v>15000</v>
      </c>
      <c r="E248" s="1"/>
      <c r="F248" s="1">
        <v>167.11</v>
      </c>
      <c r="G248" s="1">
        <v>15000</v>
      </c>
      <c r="H248" s="5">
        <f t="shared" si="3"/>
        <v>0</v>
      </c>
      <c r="I248" s="1"/>
      <c r="J248" s="1"/>
    </row>
    <row r="249" spans="2:10" x14ac:dyDescent="0.2">
      <c r="B249" s="1" t="s">
        <v>297</v>
      </c>
      <c r="C249" s="32">
        <v>7878</v>
      </c>
      <c r="D249" s="1">
        <v>15000</v>
      </c>
      <c r="E249" s="1"/>
      <c r="F249" s="1">
        <v>167.11</v>
      </c>
      <c r="G249" s="1">
        <v>15000</v>
      </c>
      <c r="H249" s="5">
        <f t="shared" si="3"/>
        <v>0</v>
      </c>
      <c r="I249" s="1"/>
      <c r="J249" s="1"/>
    </row>
    <row r="250" spans="2:10" x14ac:dyDescent="0.2">
      <c r="B250" s="1" t="s">
        <v>297</v>
      </c>
      <c r="C250" s="32">
        <v>1051</v>
      </c>
      <c r="D250" s="1">
        <v>15000</v>
      </c>
      <c r="E250" s="1"/>
      <c r="F250" s="1">
        <v>167.11</v>
      </c>
      <c r="G250" s="1">
        <v>15000</v>
      </c>
      <c r="H250" s="5">
        <f t="shared" si="3"/>
        <v>0</v>
      </c>
      <c r="I250" s="1"/>
      <c r="J250" s="1"/>
    </row>
    <row r="251" spans="2:10" x14ac:dyDescent="0.2">
      <c r="B251" s="1" t="s">
        <v>297</v>
      </c>
      <c r="C251" s="32">
        <v>3578</v>
      </c>
      <c r="D251" s="1">
        <v>15000</v>
      </c>
      <c r="E251" s="1"/>
      <c r="F251" s="1">
        <v>167.11</v>
      </c>
      <c r="G251" s="1">
        <v>15000</v>
      </c>
      <c r="H251" s="5">
        <f t="shared" si="3"/>
        <v>0</v>
      </c>
      <c r="I251" s="1"/>
      <c r="J251" s="1"/>
    </row>
    <row r="252" spans="2:10" x14ac:dyDescent="0.2">
      <c r="B252" s="1" t="s">
        <v>297</v>
      </c>
      <c r="C252" s="32">
        <v>7538</v>
      </c>
      <c r="D252" s="1">
        <v>15000</v>
      </c>
      <c r="E252" s="1"/>
      <c r="F252" s="1">
        <v>167.11</v>
      </c>
      <c r="G252" s="1">
        <v>15000</v>
      </c>
      <c r="H252" s="5">
        <f t="shared" si="3"/>
        <v>0</v>
      </c>
      <c r="I252" s="1"/>
      <c r="J252" s="1"/>
    </row>
    <row r="253" spans="2:10" x14ac:dyDescent="0.2">
      <c r="B253" s="1" t="s">
        <v>297</v>
      </c>
      <c r="C253" s="32">
        <v>3847</v>
      </c>
      <c r="D253" s="1">
        <v>20000</v>
      </c>
      <c r="E253" s="1"/>
      <c r="F253" s="1">
        <v>222.82</v>
      </c>
      <c r="G253" s="1">
        <v>20000</v>
      </c>
      <c r="H253" s="5">
        <f t="shared" si="3"/>
        <v>0</v>
      </c>
      <c r="I253" s="1"/>
      <c r="J253" s="1"/>
    </row>
    <row r="254" spans="2:10" x14ac:dyDescent="0.2">
      <c r="B254" s="1" t="s">
        <v>297</v>
      </c>
      <c r="C254" s="32">
        <v>3372</v>
      </c>
      <c r="D254" s="1">
        <v>20000</v>
      </c>
      <c r="E254" s="1"/>
      <c r="F254" s="1">
        <v>222.82</v>
      </c>
      <c r="G254" s="1">
        <v>20000</v>
      </c>
      <c r="H254" s="5">
        <f t="shared" si="3"/>
        <v>0</v>
      </c>
      <c r="I254" s="1"/>
      <c r="J254" s="1"/>
    </row>
    <row r="255" spans="2:10" x14ac:dyDescent="0.2">
      <c r="B255" s="1" t="s">
        <v>297</v>
      </c>
      <c r="C255" s="32">
        <v>3992</v>
      </c>
      <c r="D255" s="1">
        <v>20000</v>
      </c>
      <c r="E255" s="1"/>
      <c r="F255" s="1">
        <v>222.82</v>
      </c>
      <c r="G255" s="1">
        <v>20000</v>
      </c>
      <c r="H255" s="5">
        <f t="shared" si="3"/>
        <v>0</v>
      </c>
      <c r="I255" s="1"/>
      <c r="J255" s="1"/>
    </row>
    <row r="256" spans="2:10" x14ac:dyDescent="0.2">
      <c r="B256" s="1" t="s">
        <v>297</v>
      </c>
      <c r="C256" s="32">
        <v>2016</v>
      </c>
      <c r="D256" s="1">
        <v>20000</v>
      </c>
      <c r="E256" s="1"/>
      <c r="F256" s="1">
        <v>222.82</v>
      </c>
      <c r="G256" s="1">
        <v>20000</v>
      </c>
      <c r="H256" s="5">
        <f t="shared" si="3"/>
        <v>0</v>
      </c>
      <c r="I256" s="1"/>
      <c r="J256" s="1"/>
    </row>
    <row r="257" spans="2:10" x14ac:dyDescent="0.2">
      <c r="B257" s="1" t="s">
        <v>297</v>
      </c>
      <c r="C257" s="32">
        <v>1266</v>
      </c>
      <c r="D257" s="1">
        <v>20000</v>
      </c>
      <c r="E257" s="1"/>
      <c r="F257" s="1">
        <v>222.82</v>
      </c>
      <c r="G257" s="1">
        <v>20000</v>
      </c>
      <c r="H257" s="5">
        <f t="shared" si="3"/>
        <v>0</v>
      </c>
      <c r="I257" s="1"/>
      <c r="J257" s="1"/>
    </row>
    <row r="258" spans="2:10" x14ac:dyDescent="0.2">
      <c r="B258" s="1" t="s">
        <v>297</v>
      </c>
      <c r="C258" s="32">
        <v>4135</v>
      </c>
      <c r="D258" s="1">
        <v>20000</v>
      </c>
      <c r="E258" s="1"/>
      <c r="F258" s="1">
        <v>222.82</v>
      </c>
      <c r="G258" s="1">
        <v>20000</v>
      </c>
      <c r="H258" s="5">
        <f t="shared" si="3"/>
        <v>0</v>
      </c>
      <c r="I258" s="1"/>
      <c r="J258" s="1"/>
    </row>
    <row r="259" spans="2:10" x14ac:dyDescent="0.2">
      <c r="B259" s="1" t="s">
        <v>297</v>
      </c>
      <c r="C259" s="32">
        <v>4174</v>
      </c>
      <c r="D259" s="1">
        <v>10000</v>
      </c>
      <c r="E259" s="1"/>
      <c r="F259" s="1">
        <v>111.41</v>
      </c>
      <c r="G259" s="1">
        <v>10000</v>
      </c>
      <c r="H259" s="5">
        <f t="shared" si="3"/>
        <v>0</v>
      </c>
      <c r="I259" s="1"/>
      <c r="J259" s="1"/>
    </row>
    <row r="260" spans="2:10" x14ac:dyDescent="0.2">
      <c r="B260" s="1" t="s">
        <v>297</v>
      </c>
      <c r="C260" s="32">
        <v>5370</v>
      </c>
      <c r="D260" s="1">
        <v>30000</v>
      </c>
      <c r="E260" s="1"/>
      <c r="F260" s="1">
        <v>334</v>
      </c>
      <c r="G260" s="1">
        <v>30000</v>
      </c>
      <c r="H260" s="5">
        <f t="shared" si="3"/>
        <v>0</v>
      </c>
      <c r="I260" s="1"/>
      <c r="J260" s="1"/>
    </row>
    <row r="261" spans="2:10" x14ac:dyDescent="0.2">
      <c r="B261" s="1" t="s">
        <v>297</v>
      </c>
      <c r="C261" s="32">
        <v>7351</v>
      </c>
      <c r="D261" s="1">
        <v>29000</v>
      </c>
      <c r="E261" s="1"/>
      <c r="F261" s="1">
        <v>309</v>
      </c>
      <c r="G261" s="1">
        <v>29000</v>
      </c>
      <c r="H261" s="5">
        <f t="shared" si="3"/>
        <v>0</v>
      </c>
      <c r="I261" s="1"/>
      <c r="J261" s="1"/>
    </row>
    <row r="262" spans="2:10" x14ac:dyDescent="0.2">
      <c r="B262" s="1" t="s">
        <v>297</v>
      </c>
      <c r="C262" s="32">
        <v>205</v>
      </c>
      <c r="D262" s="1">
        <v>21000</v>
      </c>
      <c r="E262" s="1"/>
      <c r="F262" s="1">
        <v>233</v>
      </c>
      <c r="G262" s="1">
        <v>21000</v>
      </c>
      <c r="H262" s="5">
        <f t="shared" si="3"/>
        <v>0</v>
      </c>
      <c r="I262" s="1"/>
      <c r="J262" s="1"/>
    </row>
    <row r="263" spans="2:10" x14ac:dyDescent="0.2">
      <c r="B263" s="1" t="s">
        <v>297</v>
      </c>
      <c r="C263" s="32">
        <v>9847</v>
      </c>
      <c r="D263" s="1">
        <v>12000</v>
      </c>
      <c r="E263" s="1"/>
      <c r="F263" s="1">
        <v>133</v>
      </c>
      <c r="G263" s="1">
        <v>12000</v>
      </c>
      <c r="H263" s="5">
        <f t="shared" si="3"/>
        <v>0</v>
      </c>
      <c r="I263" s="1"/>
      <c r="J263" s="1"/>
    </row>
    <row r="264" spans="2:10" x14ac:dyDescent="0.2">
      <c r="B264" s="1" t="s">
        <v>297</v>
      </c>
      <c r="C264" s="32">
        <v>9776</v>
      </c>
      <c r="D264" s="1">
        <v>18000</v>
      </c>
      <c r="E264" s="1"/>
      <c r="F264" s="1">
        <v>200.82</v>
      </c>
      <c r="G264" s="1">
        <v>18000</v>
      </c>
      <c r="H264" s="5">
        <f t="shared" si="3"/>
        <v>0</v>
      </c>
      <c r="I264" s="1"/>
      <c r="J264" s="1"/>
    </row>
    <row r="265" spans="2:10" x14ac:dyDescent="0.2">
      <c r="B265" s="1" t="s">
        <v>298</v>
      </c>
      <c r="C265" s="32">
        <v>4566</v>
      </c>
      <c r="D265" s="1">
        <v>25000</v>
      </c>
      <c r="E265" s="1"/>
      <c r="F265" s="1">
        <v>278</v>
      </c>
      <c r="G265" s="1">
        <v>25000</v>
      </c>
      <c r="H265" s="5">
        <f t="shared" si="3"/>
        <v>0</v>
      </c>
      <c r="I265" s="1"/>
      <c r="J265" s="1"/>
    </row>
    <row r="266" spans="2:10" x14ac:dyDescent="0.2">
      <c r="B266" s="1" t="s">
        <v>298</v>
      </c>
      <c r="C266" s="32">
        <v>1405</v>
      </c>
      <c r="D266" s="1">
        <v>13000</v>
      </c>
      <c r="E266" s="1"/>
      <c r="F266" s="1">
        <v>144</v>
      </c>
      <c r="G266" s="1">
        <v>13000</v>
      </c>
      <c r="H266" s="5">
        <f t="shared" ref="H266:H335" si="4">D266-G266</f>
        <v>0</v>
      </c>
      <c r="I266" s="1"/>
      <c r="J266" s="1"/>
    </row>
    <row r="267" spans="2:10" x14ac:dyDescent="0.2">
      <c r="B267" s="1" t="s">
        <v>298</v>
      </c>
      <c r="C267" s="32">
        <v>8565</v>
      </c>
      <c r="D267" s="1">
        <v>13000</v>
      </c>
      <c r="E267" s="1"/>
      <c r="F267" s="1">
        <v>144</v>
      </c>
      <c r="G267" s="1">
        <v>13000</v>
      </c>
      <c r="H267" s="5">
        <f t="shared" si="4"/>
        <v>0</v>
      </c>
      <c r="I267" s="1"/>
      <c r="J267" s="1"/>
    </row>
    <row r="268" spans="2:10" x14ac:dyDescent="0.2">
      <c r="B268" s="1" t="s">
        <v>298</v>
      </c>
      <c r="C268" s="32">
        <v>3306</v>
      </c>
      <c r="D268" s="1">
        <v>20000</v>
      </c>
      <c r="E268" s="1"/>
      <c r="F268" s="1">
        <v>222</v>
      </c>
      <c r="G268" s="1">
        <v>20000</v>
      </c>
      <c r="H268" s="5">
        <f t="shared" si="4"/>
        <v>0</v>
      </c>
      <c r="I268" s="1"/>
      <c r="J268" s="1"/>
    </row>
    <row r="269" spans="2:10" x14ac:dyDescent="0.2">
      <c r="B269" s="1" t="s">
        <v>298</v>
      </c>
      <c r="C269" s="32">
        <v>2306</v>
      </c>
      <c r="D269" s="1">
        <v>13000</v>
      </c>
      <c r="E269" s="1"/>
      <c r="F269" s="1">
        <v>144</v>
      </c>
      <c r="G269" s="1">
        <v>13000</v>
      </c>
      <c r="H269" s="5">
        <f t="shared" si="4"/>
        <v>0</v>
      </c>
      <c r="I269" s="1"/>
      <c r="J269" s="1"/>
    </row>
    <row r="270" spans="2:10" x14ac:dyDescent="0.2">
      <c r="B270" s="1" t="s">
        <v>298</v>
      </c>
      <c r="C270" s="32">
        <v>9859</v>
      </c>
      <c r="D270" s="1">
        <v>18000</v>
      </c>
      <c r="E270" s="1"/>
      <c r="F270" s="1">
        <v>200.82</v>
      </c>
      <c r="G270" s="1">
        <v>18000</v>
      </c>
      <c r="H270" s="5">
        <f t="shared" si="4"/>
        <v>0</v>
      </c>
      <c r="I270" s="1"/>
      <c r="J270" s="1"/>
    </row>
    <row r="271" spans="2:10" x14ac:dyDescent="0.2">
      <c r="B271" s="1" t="s">
        <v>298</v>
      </c>
      <c r="C271" s="32">
        <v>3280</v>
      </c>
      <c r="D271" s="1">
        <v>15000</v>
      </c>
      <c r="E271" s="1"/>
      <c r="F271" s="1">
        <v>167</v>
      </c>
      <c r="G271" s="1">
        <v>15000</v>
      </c>
      <c r="H271" s="5">
        <f t="shared" si="4"/>
        <v>0</v>
      </c>
      <c r="I271" s="1"/>
      <c r="J271" s="1"/>
    </row>
    <row r="272" spans="2:10" x14ac:dyDescent="0.2">
      <c r="B272" s="1" t="s">
        <v>298</v>
      </c>
      <c r="C272" s="32">
        <v>1593</v>
      </c>
      <c r="D272" s="1">
        <v>12000</v>
      </c>
      <c r="E272" s="1"/>
      <c r="F272" s="1">
        <v>133</v>
      </c>
      <c r="G272" s="1">
        <v>12000</v>
      </c>
      <c r="H272" s="5">
        <f t="shared" si="4"/>
        <v>0</v>
      </c>
      <c r="I272" s="1"/>
      <c r="J272" s="1"/>
    </row>
    <row r="273" spans="2:10" x14ac:dyDescent="0.2">
      <c r="B273" s="1" t="s">
        <v>298</v>
      </c>
      <c r="C273" s="32">
        <v>2705</v>
      </c>
      <c r="D273" s="1">
        <v>12000</v>
      </c>
      <c r="E273" s="1"/>
      <c r="F273" s="1">
        <v>133</v>
      </c>
      <c r="G273" s="1">
        <v>12000</v>
      </c>
      <c r="H273" s="5">
        <f t="shared" si="4"/>
        <v>0</v>
      </c>
      <c r="I273" s="1"/>
      <c r="J273" s="1"/>
    </row>
    <row r="274" spans="2:10" x14ac:dyDescent="0.2">
      <c r="B274" s="1" t="s">
        <v>298</v>
      </c>
      <c r="C274" s="32">
        <v>915</v>
      </c>
      <c r="D274" s="1">
        <v>13000</v>
      </c>
      <c r="E274" s="1"/>
      <c r="F274" s="1">
        <v>144</v>
      </c>
      <c r="G274" s="1">
        <v>13000</v>
      </c>
      <c r="H274" s="5">
        <f t="shared" si="4"/>
        <v>0</v>
      </c>
      <c r="I274" s="1"/>
      <c r="J274" s="1"/>
    </row>
    <row r="275" spans="2:10" x14ac:dyDescent="0.2">
      <c r="B275" s="1" t="s">
        <v>298</v>
      </c>
      <c r="C275" s="32" t="s">
        <v>63</v>
      </c>
      <c r="D275" s="1">
        <v>3500</v>
      </c>
      <c r="E275" s="1"/>
      <c r="F275" s="1">
        <v>38</v>
      </c>
      <c r="G275" s="1">
        <v>3500</v>
      </c>
      <c r="H275" s="5">
        <f t="shared" si="4"/>
        <v>0</v>
      </c>
      <c r="I275" s="1"/>
      <c r="J275" s="1"/>
    </row>
    <row r="276" spans="2:10" x14ac:dyDescent="0.2">
      <c r="B276" s="1" t="s">
        <v>298</v>
      </c>
      <c r="C276" s="32">
        <v>4575</v>
      </c>
      <c r="D276" s="1">
        <v>13000</v>
      </c>
      <c r="E276" s="1"/>
      <c r="F276" s="1">
        <v>144</v>
      </c>
      <c r="G276" s="1">
        <v>13000</v>
      </c>
      <c r="H276" s="5">
        <f t="shared" si="4"/>
        <v>0</v>
      </c>
      <c r="I276" s="1"/>
      <c r="J276" s="1"/>
    </row>
    <row r="277" spans="2:10" x14ac:dyDescent="0.2">
      <c r="B277" s="1" t="s">
        <v>298</v>
      </c>
      <c r="C277" s="32">
        <v>1620</v>
      </c>
      <c r="D277" s="1">
        <v>13000</v>
      </c>
      <c r="E277" s="1"/>
      <c r="F277" s="1">
        <v>144</v>
      </c>
      <c r="G277" s="1">
        <v>13000</v>
      </c>
      <c r="H277" s="5">
        <f t="shared" si="4"/>
        <v>0</v>
      </c>
      <c r="I277" s="1"/>
      <c r="J277" s="1"/>
    </row>
    <row r="278" spans="2:10" x14ac:dyDescent="0.2">
      <c r="B278" s="1" t="s">
        <v>298</v>
      </c>
      <c r="C278" s="32">
        <v>472</v>
      </c>
      <c r="D278" s="1">
        <v>18000</v>
      </c>
      <c r="E278" s="1"/>
      <c r="F278" s="1">
        <v>200.82</v>
      </c>
      <c r="G278" s="1">
        <v>18000</v>
      </c>
      <c r="H278" s="5">
        <f t="shared" si="4"/>
        <v>0</v>
      </c>
      <c r="I278" s="1"/>
      <c r="J278" s="1"/>
    </row>
    <row r="279" spans="2:10" x14ac:dyDescent="0.2">
      <c r="B279" s="1" t="s">
        <v>298</v>
      </c>
      <c r="C279" s="32">
        <v>669</v>
      </c>
      <c r="D279" s="1">
        <v>14000</v>
      </c>
      <c r="E279" s="1"/>
      <c r="F279" s="1">
        <v>155</v>
      </c>
      <c r="G279" s="1">
        <v>14000</v>
      </c>
      <c r="H279" s="5">
        <f t="shared" si="4"/>
        <v>0</v>
      </c>
      <c r="I279" s="1"/>
      <c r="J279" s="1"/>
    </row>
    <row r="280" spans="2:10" x14ac:dyDescent="0.2">
      <c r="B280" s="1" t="s">
        <v>298</v>
      </c>
      <c r="C280" s="32">
        <v>8595</v>
      </c>
      <c r="D280" s="1">
        <v>13000</v>
      </c>
      <c r="E280" s="1"/>
      <c r="F280" s="1">
        <v>144</v>
      </c>
      <c r="G280" s="1">
        <v>13000</v>
      </c>
      <c r="H280" s="5">
        <f t="shared" si="4"/>
        <v>0</v>
      </c>
      <c r="I280" s="1"/>
      <c r="J280" s="1"/>
    </row>
    <row r="281" spans="2:10" x14ac:dyDescent="0.2">
      <c r="B281" s="1" t="s">
        <v>298</v>
      </c>
      <c r="C281" s="32">
        <v>2872</v>
      </c>
      <c r="D281" s="1">
        <v>24000</v>
      </c>
      <c r="E281" s="1"/>
      <c r="F281" s="1">
        <v>267</v>
      </c>
      <c r="G281" s="1">
        <v>24000</v>
      </c>
      <c r="H281" s="5">
        <f t="shared" si="4"/>
        <v>0</v>
      </c>
      <c r="I281" s="1"/>
      <c r="J281" s="1"/>
    </row>
    <row r="282" spans="2:10" x14ac:dyDescent="0.2">
      <c r="B282" s="1" t="s">
        <v>298</v>
      </c>
      <c r="C282" s="32">
        <v>6744</v>
      </c>
      <c r="D282" s="1">
        <v>23000</v>
      </c>
      <c r="E282" s="1"/>
      <c r="F282" s="1">
        <v>256</v>
      </c>
      <c r="G282" s="1">
        <v>23000</v>
      </c>
      <c r="H282" s="5">
        <f t="shared" si="4"/>
        <v>0</v>
      </c>
      <c r="I282" s="1"/>
      <c r="J282" s="1"/>
    </row>
    <row r="283" spans="2:10" x14ac:dyDescent="0.2">
      <c r="B283" s="1" t="s">
        <v>298</v>
      </c>
      <c r="C283" s="32">
        <v>2726</v>
      </c>
      <c r="D283" s="1">
        <v>20000</v>
      </c>
      <c r="E283" s="1"/>
      <c r="F283" s="1">
        <v>222.8</v>
      </c>
      <c r="G283" s="1">
        <v>20000</v>
      </c>
      <c r="H283" s="5">
        <f t="shared" si="4"/>
        <v>0</v>
      </c>
      <c r="I283" s="1"/>
      <c r="J283" s="1"/>
    </row>
    <row r="284" spans="2:10" x14ac:dyDescent="0.2">
      <c r="B284" s="1" t="s">
        <v>298</v>
      </c>
      <c r="C284" s="32">
        <v>1716</v>
      </c>
      <c r="D284" s="1">
        <v>10000</v>
      </c>
      <c r="E284" s="1"/>
      <c r="F284" s="1">
        <v>111</v>
      </c>
      <c r="G284" s="1">
        <v>10000</v>
      </c>
      <c r="H284" s="5">
        <f t="shared" si="4"/>
        <v>0</v>
      </c>
      <c r="I284" s="1"/>
      <c r="J284" s="1"/>
    </row>
    <row r="285" spans="2:10" x14ac:dyDescent="0.2">
      <c r="B285" s="1" t="s">
        <v>298</v>
      </c>
      <c r="C285" s="32">
        <v>2199</v>
      </c>
      <c r="D285" s="1">
        <v>20000</v>
      </c>
      <c r="E285" s="1"/>
      <c r="F285" s="1">
        <v>222.8</v>
      </c>
      <c r="G285" s="1">
        <v>20000</v>
      </c>
      <c r="H285" s="5">
        <f t="shared" si="4"/>
        <v>0</v>
      </c>
      <c r="I285" s="1"/>
      <c r="J285" s="1"/>
    </row>
    <row r="286" spans="2:10" x14ac:dyDescent="0.2">
      <c r="B286" s="1" t="s">
        <v>298</v>
      </c>
      <c r="C286" s="32">
        <v>3704</v>
      </c>
      <c r="D286" s="1">
        <v>12000</v>
      </c>
      <c r="E286" s="1"/>
      <c r="F286" s="1">
        <v>133</v>
      </c>
      <c r="G286" s="1">
        <v>12000</v>
      </c>
      <c r="H286" s="5">
        <f t="shared" si="4"/>
        <v>0</v>
      </c>
      <c r="I286" s="1"/>
      <c r="J286" s="1"/>
    </row>
    <row r="287" spans="2:10" x14ac:dyDescent="0.2">
      <c r="B287" s="1" t="s">
        <v>298</v>
      </c>
      <c r="C287" s="32">
        <v>2995</v>
      </c>
      <c r="D287" s="1">
        <v>14000</v>
      </c>
      <c r="E287" s="1"/>
      <c r="F287" s="1">
        <v>155</v>
      </c>
      <c r="G287" s="1">
        <v>14000</v>
      </c>
      <c r="H287" s="5">
        <f t="shared" si="4"/>
        <v>0</v>
      </c>
      <c r="I287" s="1"/>
      <c r="J287" s="1"/>
    </row>
    <row r="288" spans="2:10" x14ac:dyDescent="0.2">
      <c r="B288" s="1" t="s">
        <v>298</v>
      </c>
      <c r="C288" s="32">
        <v>9903</v>
      </c>
      <c r="D288" s="1">
        <v>15000</v>
      </c>
      <c r="E288" s="1"/>
      <c r="F288" s="1">
        <v>167</v>
      </c>
      <c r="G288" s="1">
        <v>15000</v>
      </c>
      <c r="H288" s="5">
        <f t="shared" si="4"/>
        <v>0</v>
      </c>
      <c r="I288" s="1"/>
      <c r="J288" s="1"/>
    </row>
    <row r="289" spans="2:10" x14ac:dyDescent="0.2">
      <c r="B289" s="1" t="s">
        <v>298</v>
      </c>
      <c r="C289" s="32" t="s">
        <v>30</v>
      </c>
      <c r="D289" s="1">
        <v>7000</v>
      </c>
      <c r="E289" s="1"/>
      <c r="F289" s="1">
        <v>77.930000000000007</v>
      </c>
      <c r="G289" s="1">
        <v>7000</v>
      </c>
      <c r="H289" s="5">
        <f t="shared" si="4"/>
        <v>0</v>
      </c>
      <c r="I289" s="1"/>
      <c r="J289" s="1"/>
    </row>
    <row r="290" spans="2:10" x14ac:dyDescent="0.2">
      <c r="B290" s="1" t="s">
        <v>298</v>
      </c>
      <c r="C290" s="32">
        <v>9565</v>
      </c>
      <c r="D290" s="1">
        <v>25000</v>
      </c>
      <c r="E290" s="1"/>
      <c r="F290" s="1">
        <v>278</v>
      </c>
      <c r="G290" s="1">
        <v>25000</v>
      </c>
      <c r="H290" s="5">
        <f t="shared" si="4"/>
        <v>0</v>
      </c>
      <c r="I290" s="1"/>
      <c r="J290" s="1"/>
    </row>
    <row r="291" spans="2:10" x14ac:dyDescent="0.2">
      <c r="B291" s="1" t="s">
        <v>298</v>
      </c>
      <c r="C291" s="32">
        <v>445</v>
      </c>
      <c r="D291" s="1">
        <v>21000</v>
      </c>
      <c r="E291" s="1"/>
      <c r="F291" s="1">
        <v>233</v>
      </c>
      <c r="G291" s="1">
        <v>21000</v>
      </c>
      <c r="H291" s="5">
        <f t="shared" si="4"/>
        <v>0</v>
      </c>
      <c r="I291" s="1"/>
      <c r="J291" s="1"/>
    </row>
    <row r="292" spans="2:10" x14ac:dyDescent="0.2">
      <c r="B292" s="1" t="s">
        <v>299</v>
      </c>
      <c r="C292" s="32">
        <v>5613</v>
      </c>
      <c r="D292" s="1">
        <v>20000</v>
      </c>
      <c r="E292" s="1"/>
      <c r="F292" s="1">
        <v>222.82</v>
      </c>
      <c r="G292" s="1">
        <v>20000</v>
      </c>
      <c r="H292" s="5">
        <f t="shared" si="4"/>
        <v>0</v>
      </c>
      <c r="I292" s="1"/>
      <c r="J292" s="1"/>
    </row>
    <row r="293" spans="2:10" x14ac:dyDescent="0.2">
      <c r="B293" s="1" t="s">
        <v>299</v>
      </c>
      <c r="C293" s="32">
        <v>4565</v>
      </c>
      <c r="D293" s="1">
        <v>13000</v>
      </c>
      <c r="E293" s="1"/>
      <c r="F293" s="1">
        <v>144</v>
      </c>
      <c r="G293" s="1">
        <v>13000</v>
      </c>
      <c r="H293" s="5">
        <f t="shared" si="4"/>
        <v>0</v>
      </c>
      <c r="I293" s="1"/>
      <c r="J293" s="1"/>
    </row>
    <row r="294" spans="2:10" x14ac:dyDescent="0.2">
      <c r="B294" s="1" t="s">
        <v>299</v>
      </c>
      <c r="C294" s="32">
        <v>1071</v>
      </c>
      <c r="D294" s="1">
        <v>13000</v>
      </c>
      <c r="E294" s="1"/>
      <c r="F294" s="1">
        <v>144</v>
      </c>
      <c r="G294" s="1">
        <v>13000</v>
      </c>
      <c r="H294" s="5">
        <f t="shared" si="4"/>
        <v>0</v>
      </c>
      <c r="I294" s="1"/>
      <c r="J294" s="1"/>
    </row>
    <row r="295" spans="2:10" x14ac:dyDescent="0.2">
      <c r="B295" s="1" t="s">
        <v>299</v>
      </c>
      <c r="C295" s="32">
        <v>6012</v>
      </c>
      <c r="D295" s="1">
        <v>14000</v>
      </c>
      <c r="E295" s="1"/>
      <c r="F295" s="1">
        <v>14000</v>
      </c>
      <c r="G295" s="1">
        <v>14000</v>
      </c>
      <c r="H295" s="5">
        <f t="shared" si="4"/>
        <v>0</v>
      </c>
      <c r="I295" s="1"/>
      <c r="J295" s="1"/>
    </row>
    <row r="296" spans="2:10" x14ac:dyDescent="0.2">
      <c r="B296" s="1" t="s">
        <v>299</v>
      </c>
      <c r="C296" s="32" t="s">
        <v>30</v>
      </c>
      <c r="D296" s="1">
        <v>5000</v>
      </c>
      <c r="E296" s="1"/>
      <c r="F296" s="1">
        <v>55.05</v>
      </c>
      <c r="G296" s="1">
        <v>5000</v>
      </c>
      <c r="H296" s="5">
        <f t="shared" si="4"/>
        <v>0</v>
      </c>
      <c r="I296" s="1"/>
      <c r="J296" s="1"/>
    </row>
    <row r="297" spans="2:10" x14ac:dyDescent="0.2">
      <c r="B297" s="1" t="s">
        <v>299</v>
      </c>
      <c r="C297" s="32">
        <v>4626</v>
      </c>
      <c r="D297" s="1">
        <v>13000</v>
      </c>
      <c r="E297" s="1"/>
      <c r="F297" s="1">
        <v>144</v>
      </c>
      <c r="G297" s="1">
        <v>13000</v>
      </c>
      <c r="H297" s="5">
        <f t="shared" si="4"/>
        <v>0</v>
      </c>
      <c r="I297" s="1"/>
      <c r="J297" s="1"/>
    </row>
    <row r="298" spans="2:10" x14ac:dyDescent="0.2">
      <c r="B298" s="1" t="s">
        <v>299</v>
      </c>
      <c r="C298" s="32">
        <v>5612</v>
      </c>
      <c r="D298" s="1">
        <v>23000</v>
      </c>
      <c r="E298" s="1"/>
      <c r="F298" s="1">
        <v>250</v>
      </c>
      <c r="G298" s="1">
        <v>23000</v>
      </c>
      <c r="H298" s="5">
        <f t="shared" si="4"/>
        <v>0</v>
      </c>
      <c r="I298" s="1"/>
      <c r="J298" s="1"/>
    </row>
    <row r="299" spans="2:10" x14ac:dyDescent="0.2">
      <c r="B299" s="1" t="s">
        <v>299</v>
      </c>
      <c r="C299" s="32" t="s">
        <v>66</v>
      </c>
      <c r="D299" s="1">
        <v>100</v>
      </c>
      <c r="E299" s="1"/>
      <c r="F299" s="1">
        <v>1.05</v>
      </c>
      <c r="G299" s="1">
        <v>100</v>
      </c>
      <c r="H299" s="5">
        <f t="shared" si="4"/>
        <v>0</v>
      </c>
      <c r="I299" s="1"/>
      <c r="J299" s="1"/>
    </row>
    <row r="300" spans="2:10" x14ac:dyDescent="0.2">
      <c r="B300" s="1" t="s">
        <v>299</v>
      </c>
      <c r="C300" s="32">
        <v>645</v>
      </c>
      <c r="D300" s="1">
        <v>13500</v>
      </c>
      <c r="E300" s="1"/>
      <c r="F300" s="1">
        <v>150.4</v>
      </c>
      <c r="G300" s="1">
        <v>13500</v>
      </c>
      <c r="H300" s="5">
        <f t="shared" si="4"/>
        <v>0</v>
      </c>
      <c r="I300" s="1"/>
      <c r="J300" s="1"/>
    </row>
    <row r="301" spans="2:10" x14ac:dyDescent="0.2">
      <c r="B301" s="1" t="s">
        <v>299</v>
      </c>
      <c r="C301" s="32">
        <v>3671</v>
      </c>
      <c r="D301" s="1">
        <v>23000</v>
      </c>
      <c r="E301" s="1"/>
      <c r="F301" s="1">
        <v>250</v>
      </c>
      <c r="G301" s="1">
        <v>23000</v>
      </c>
      <c r="H301" s="5">
        <f t="shared" si="4"/>
        <v>0</v>
      </c>
      <c r="I301" s="1"/>
      <c r="J301" s="1"/>
    </row>
    <row r="302" spans="2:10" x14ac:dyDescent="0.2">
      <c r="B302" s="1" t="s">
        <v>299</v>
      </c>
      <c r="C302" s="32">
        <v>777</v>
      </c>
      <c r="D302" s="1">
        <v>23000</v>
      </c>
      <c r="E302" s="1"/>
      <c r="F302" s="1">
        <v>250</v>
      </c>
      <c r="G302" s="1">
        <v>23000</v>
      </c>
      <c r="H302" s="5">
        <f t="shared" si="4"/>
        <v>0</v>
      </c>
      <c r="I302" s="1"/>
      <c r="J302" s="1"/>
    </row>
    <row r="303" spans="2:10" x14ac:dyDescent="0.2">
      <c r="B303" s="1" t="s">
        <v>299</v>
      </c>
      <c r="C303" s="32">
        <v>1336</v>
      </c>
      <c r="D303" s="1">
        <v>18000</v>
      </c>
      <c r="E303" s="1"/>
      <c r="F303" s="1">
        <v>200.53</v>
      </c>
      <c r="G303" s="1">
        <v>18000</v>
      </c>
      <c r="H303" s="5">
        <f t="shared" si="4"/>
        <v>0</v>
      </c>
      <c r="I303" s="1"/>
      <c r="J303" s="1"/>
    </row>
    <row r="304" spans="2:10" x14ac:dyDescent="0.2">
      <c r="B304" s="1" t="s">
        <v>299</v>
      </c>
      <c r="C304" s="32">
        <v>7178</v>
      </c>
      <c r="D304" s="1">
        <v>25000</v>
      </c>
      <c r="E304" s="1"/>
      <c r="F304" s="1">
        <v>260.31</v>
      </c>
      <c r="G304" s="1">
        <v>25000</v>
      </c>
      <c r="H304" s="5">
        <f t="shared" si="4"/>
        <v>0</v>
      </c>
      <c r="I304" s="1"/>
      <c r="J304" s="1"/>
    </row>
    <row r="305" spans="2:10" x14ac:dyDescent="0.2">
      <c r="B305" s="1" t="s">
        <v>299</v>
      </c>
      <c r="C305" s="32">
        <v>1840</v>
      </c>
      <c r="D305" s="1">
        <v>7000</v>
      </c>
      <c r="E305" s="1"/>
      <c r="F305" s="1">
        <v>77.59</v>
      </c>
      <c r="G305" s="1">
        <v>7000</v>
      </c>
      <c r="H305" s="5">
        <f t="shared" si="4"/>
        <v>0</v>
      </c>
      <c r="I305" s="1"/>
      <c r="J305" s="1"/>
    </row>
    <row r="306" spans="2:10" x14ac:dyDescent="0.2">
      <c r="B306" s="1" t="s">
        <v>299</v>
      </c>
      <c r="C306" s="32">
        <v>1951</v>
      </c>
      <c r="D306" s="1">
        <v>7000</v>
      </c>
      <c r="E306" s="1"/>
      <c r="F306" s="1">
        <v>77.59</v>
      </c>
      <c r="G306" s="1">
        <v>7000</v>
      </c>
      <c r="H306" s="5">
        <f t="shared" si="4"/>
        <v>0</v>
      </c>
      <c r="I306" s="1"/>
      <c r="J306" s="1"/>
    </row>
    <row r="307" spans="2:10" x14ac:dyDescent="0.2">
      <c r="B307" s="1" t="s">
        <v>299</v>
      </c>
      <c r="C307" s="32">
        <v>9382</v>
      </c>
      <c r="D307" s="1">
        <v>20000</v>
      </c>
      <c r="E307" s="1"/>
      <c r="F307" s="1">
        <v>222.82</v>
      </c>
      <c r="G307" s="1">
        <v>20000</v>
      </c>
      <c r="H307" s="5">
        <f t="shared" si="4"/>
        <v>0</v>
      </c>
      <c r="I307" s="1"/>
      <c r="J307" s="1"/>
    </row>
    <row r="308" spans="2:10" x14ac:dyDescent="0.2">
      <c r="B308" s="1" t="s">
        <v>299</v>
      </c>
      <c r="C308" s="32">
        <v>5187</v>
      </c>
      <c r="D308" s="1">
        <v>30000</v>
      </c>
      <c r="E308" s="1"/>
      <c r="F308" s="1">
        <v>334.22</v>
      </c>
      <c r="G308" s="1">
        <v>30000</v>
      </c>
      <c r="H308" s="5">
        <f t="shared" si="4"/>
        <v>0</v>
      </c>
      <c r="I308" s="1"/>
      <c r="J308" s="1"/>
    </row>
    <row r="309" spans="2:10" x14ac:dyDescent="0.2">
      <c r="B309" s="1" t="s">
        <v>299</v>
      </c>
      <c r="C309" s="32">
        <v>7153</v>
      </c>
      <c r="D309" s="1">
        <v>30000</v>
      </c>
      <c r="E309" s="1"/>
      <c r="F309" s="1">
        <v>334.22</v>
      </c>
      <c r="G309" s="1">
        <v>30000</v>
      </c>
      <c r="H309" s="5">
        <f t="shared" si="4"/>
        <v>0</v>
      </c>
      <c r="I309" s="1"/>
      <c r="J309" s="1"/>
    </row>
    <row r="310" spans="2:10" x14ac:dyDescent="0.2">
      <c r="B310" s="1" t="s">
        <v>300</v>
      </c>
      <c r="C310" s="32">
        <v>8989</v>
      </c>
      <c r="D310" s="1">
        <v>25700</v>
      </c>
      <c r="E310" s="1"/>
      <c r="F310" s="1">
        <v>286</v>
      </c>
      <c r="G310" s="1">
        <v>25700</v>
      </c>
      <c r="H310" s="5">
        <f t="shared" si="4"/>
        <v>0</v>
      </c>
      <c r="I310" s="1"/>
      <c r="J310" s="1"/>
    </row>
    <row r="311" spans="2:10" x14ac:dyDescent="0.2">
      <c r="B311" s="1" t="s">
        <v>300</v>
      </c>
      <c r="C311" s="32">
        <v>3175</v>
      </c>
      <c r="D311" s="1">
        <v>15000</v>
      </c>
      <c r="E311" s="1"/>
      <c r="F311" s="1">
        <v>167</v>
      </c>
      <c r="G311" s="1">
        <v>15000</v>
      </c>
      <c r="H311" s="5">
        <f t="shared" si="4"/>
        <v>0</v>
      </c>
      <c r="I311" s="1"/>
      <c r="J311" s="1"/>
    </row>
    <row r="312" spans="2:10" x14ac:dyDescent="0.2">
      <c r="B312" s="1" t="s">
        <v>300</v>
      </c>
      <c r="C312" s="32">
        <v>1287</v>
      </c>
      <c r="D312" s="1">
        <v>15000</v>
      </c>
      <c r="E312" s="1"/>
      <c r="F312" s="1">
        <v>167</v>
      </c>
      <c r="G312" s="1">
        <v>15000</v>
      </c>
      <c r="H312" s="5">
        <f t="shared" si="4"/>
        <v>0</v>
      </c>
      <c r="I312" s="1"/>
      <c r="J312" s="1"/>
    </row>
    <row r="313" spans="2:10" x14ac:dyDescent="0.2">
      <c r="B313" s="1" t="s">
        <v>300</v>
      </c>
      <c r="C313" s="32">
        <v>4624</v>
      </c>
      <c r="D313" s="1">
        <v>13000</v>
      </c>
      <c r="E313" s="1"/>
      <c r="F313" s="1">
        <v>144</v>
      </c>
      <c r="G313" s="1">
        <v>13000</v>
      </c>
      <c r="H313" s="5">
        <f t="shared" si="4"/>
        <v>0</v>
      </c>
      <c r="I313" s="1"/>
      <c r="J313" s="1"/>
    </row>
    <row r="314" spans="2:10" x14ac:dyDescent="0.2">
      <c r="B314" s="1" t="s">
        <v>300</v>
      </c>
      <c r="C314" s="32">
        <v>5920</v>
      </c>
      <c r="D314" s="1">
        <v>15000</v>
      </c>
      <c r="E314" s="1"/>
      <c r="F314" s="1">
        <v>167</v>
      </c>
      <c r="G314" s="1">
        <v>15000</v>
      </c>
      <c r="H314" s="5">
        <f t="shared" si="4"/>
        <v>0</v>
      </c>
      <c r="I314" s="1"/>
      <c r="J314" s="1"/>
    </row>
    <row r="315" spans="2:10" x14ac:dyDescent="0.2">
      <c r="B315" s="1" t="s">
        <v>300</v>
      </c>
      <c r="C315" s="32">
        <v>1299</v>
      </c>
      <c r="D315" s="1">
        <v>19000</v>
      </c>
      <c r="E315" s="1"/>
      <c r="F315" s="1">
        <v>211</v>
      </c>
      <c r="G315" s="1">
        <v>19000</v>
      </c>
      <c r="H315" s="5">
        <f t="shared" si="4"/>
        <v>0</v>
      </c>
      <c r="I315" s="1"/>
      <c r="J315" s="1"/>
    </row>
    <row r="316" spans="2:10" x14ac:dyDescent="0.2">
      <c r="B316" s="1" t="s">
        <v>300</v>
      </c>
      <c r="C316" s="32">
        <v>1020</v>
      </c>
      <c r="D316" s="1">
        <v>30000</v>
      </c>
      <c r="E316" s="1"/>
      <c r="F316" s="1">
        <v>334</v>
      </c>
      <c r="G316" s="1">
        <v>30000</v>
      </c>
      <c r="H316" s="5">
        <f t="shared" si="4"/>
        <v>0</v>
      </c>
      <c r="I316" s="1"/>
      <c r="J316" s="1"/>
    </row>
    <row r="317" spans="2:10" x14ac:dyDescent="0.2">
      <c r="B317" s="1" t="s">
        <v>300</v>
      </c>
      <c r="C317" s="32">
        <v>3887</v>
      </c>
      <c r="D317" s="1">
        <v>15000</v>
      </c>
      <c r="E317" s="1"/>
      <c r="F317" s="1">
        <v>167</v>
      </c>
      <c r="G317" s="1">
        <v>15000</v>
      </c>
      <c r="H317" s="5">
        <f t="shared" si="4"/>
        <v>0</v>
      </c>
      <c r="I317" s="1"/>
      <c r="J317" s="1"/>
    </row>
    <row r="318" spans="2:10" x14ac:dyDescent="0.2">
      <c r="B318" s="1" t="s">
        <v>300</v>
      </c>
      <c r="C318" s="32">
        <v>226</v>
      </c>
      <c r="D318" s="1">
        <v>20000</v>
      </c>
      <c r="E318" s="1"/>
      <c r="F318" s="1">
        <v>222.82</v>
      </c>
      <c r="G318" s="1">
        <v>20000</v>
      </c>
      <c r="H318" s="5">
        <f t="shared" si="4"/>
        <v>0</v>
      </c>
      <c r="I318" s="1"/>
      <c r="J318" s="1"/>
    </row>
    <row r="319" spans="2:10" x14ac:dyDescent="0.2">
      <c r="B319" s="1" t="s">
        <v>300</v>
      </c>
      <c r="C319" s="32">
        <v>4424</v>
      </c>
      <c r="D319" s="1">
        <v>20000</v>
      </c>
      <c r="E319" s="1"/>
      <c r="F319" s="1">
        <v>222.82</v>
      </c>
      <c r="G319" s="1">
        <v>20000</v>
      </c>
      <c r="H319" s="5">
        <f t="shared" si="4"/>
        <v>0</v>
      </c>
      <c r="I319" s="1"/>
      <c r="J319" s="1"/>
    </row>
    <row r="320" spans="2:10" x14ac:dyDescent="0.2">
      <c r="B320" s="1" t="s">
        <v>300</v>
      </c>
      <c r="C320" s="32">
        <v>4869</v>
      </c>
      <c r="D320" s="1">
        <v>20000</v>
      </c>
      <c r="E320" s="1"/>
      <c r="F320" s="1">
        <v>222.82</v>
      </c>
      <c r="G320" s="1">
        <v>20000</v>
      </c>
      <c r="H320" s="5">
        <f t="shared" si="4"/>
        <v>0</v>
      </c>
      <c r="I320" s="1"/>
      <c r="J320" s="1"/>
    </row>
    <row r="321" spans="2:10" x14ac:dyDescent="0.2">
      <c r="B321" s="1" t="s">
        <v>300</v>
      </c>
      <c r="C321" s="32">
        <v>3433</v>
      </c>
      <c r="D321" s="1">
        <v>15000</v>
      </c>
      <c r="E321" s="1"/>
      <c r="F321" s="1">
        <v>167</v>
      </c>
      <c r="G321" s="1">
        <v>15000</v>
      </c>
      <c r="H321" s="5">
        <f t="shared" si="4"/>
        <v>0</v>
      </c>
      <c r="I321" s="1"/>
      <c r="J321" s="1"/>
    </row>
    <row r="322" spans="2:10" x14ac:dyDescent="0.2">
      <c r="B322" s="1" t="s">
        <v>300</v>
      </c>
      <c r="C322" s="32">
        <v>4032</v>
      </c>
      <c r="D322" s="1">
        <v>10000</v>
      </c>
      <c r="E322" s="1"/>
      <c r="F322" s="1">
        <v>111.41</v>
      </c>
      <c r="G322" s="1">
        <v>10000</v>
      </c>
      <c r="H322" s="5">
        <f t="shared" si="4"/>
        <v>0</v>
      </c>
      <c r="I322" s="1"/>
      <c r="J322" s="1"/>
    </row>
    <row r="323" spans="2:10" x14ac:dyDescent="0.2">
      <c r="B323" s="1" t="s">
        <v>300</v>
      </c>
      <c r="C323" s="32">
        <v>7696</v>
      </c>
      <c r="D323" s="1">
        <v>16000</v>
      </c>
      <c r="E323" s="1"/>
      <c r="F323" s="1"/>
      <c r="G323" s="1">
        <v>16000</v>
      </c>
      <c r="H323" s="5">
        <f t="shared" si="4"/>
        <v>0</v>
      </c>
      <c r="I323" s="1"/>
      <c r="J323" s="1"/>
    </row>
    <row r="324" spans="2:10" x14ac:dyDescent="0.2">
      <c r="B324" s="1" t="s">
        <v>300</v>
      </c>
      <c r="C324" s="32" t="s">
        <v>30</v>
      </c>
      <c r="D324" s="1">
        <v>4000</v>
      </c>
      <c r="E324" s="1"/>
      <c r="F324" s="1">
        <v>45.15</v>
      </c>
      <c r="G324" s="1">
        <v>4000</v>
      </c>
      <c r="H324" s="5">
        <f t="shared" si="4"/>
        <v>0</v>
      </c>
      <c r="I324" s="1"/>
      <c r="J324" s="1"/>
    </row>
    <row r="325" spans="2:10" x14ac:dyDescent="0.2">
      <c r="B325" s="1" t="s">
        <v>300</v>
      </c>
      <c r="C325" s="32" t="s">
        <v>30</v>
      </c>
      <c r="D325" s="1">
        <v>3500</v>
      </c>
      <c r="E325" s="1"/>
      <c r="F325" s="1">
        <v>39.35</v>
      </c>
      <c r="G325" s="1">
        <v>3500</v>
      </c>
      <c r="H325" s="5">
        <f t="shared" si="4"/>
        <v>0</v>
      </c>
      <c r="I325" s="1"/>
      <c r="J325" s="1"/>
    </row>
    <row r="326" spans="2:10" x14ac:dyDescent="0.2">
      <c r="B326" s="1" t="s">
        <v>301</v>
      </c>
      <c r="C326" s="32">
        <v>1332</v>
      </c>
      <c r="D326" s="1">
        <v>20000</v>
      </c>
      <c r="E326" s="1"/>
      <c r="F326" s="1">
        <v>222.82</v>
      </c>
      <c r="G326" s="1">
        <v>20000</v>
      </c>
      <c r="H326" s="5">
        <f t="shared" si="4"/>
        <v>0</v>
      </c>
      <c r="I326" s="1"/>
      <c r="J326" s="1"/>
    </row>
    <row r="327" spans="2:10" x14ac:dyDescent="0.2">
      <c r="B327" s="1" t="s">
        <v>301</v>
      </c>
      <c r="C327" s="32">
        <v>889</v>
      </c>
      <c r="D327" s="1">
        <v>13000</v>
      </c>
      <c r="E327" s="1"/>
      <c r="F327" s="1">
        <v>144</v>
      </c>
      <c r="G327" s="1">
        <v>13000</v>
      </c>
      <c r="H327" s="5">
        <f t="shared" si="4"/>
        <v>0</v>
      </c>
      <c r="I327" s="1"/>
      <c r="J327" s="1"/>
    </row>
    <row r="328" spans="2:10" x14ac:dyDescent="0.2">
      <c r="B328" s="1" t="s">
        <v>301</v>
      </c>
      <c r="C328" s="32">
        <v>5971</v>
      </c>
      <c r="D328" s="1">
        <v>15000</v>
      </c>
      <c r="E328" s="1"/>
      <c r="F328" s="1">
        <v>167</v>
      </c>
      <c r="G328" s="1">
        <v>15000</v>
      </c>
      <c r="H328" s="5">
        <f t="shared" si="4"/>
        <v>0</v>
      </c>
      <c r="I328" s="1"/>
      <c r="J328" s="1"/>
    </row>
    <row r="329" spans="2:10" x14ac:dyDescent="0.2">
      <c r="B329" s="1" t="s">
        <v>301</v>
      </c>
      <c r="C329" s="32">
        <v>2381</v>
      </c>
      <c r="D329" s="1">
        <v>20000</v>
      </c>
      <c r="E329" s="1"/>
      <c r="F329" s="1">
        <v>222.82</v>
      </c>
      <c r="G329" s="1">
        <v>20000</v>
      </c>
      <c r="H329" s="5">
        <f t="shared" si="4"/>
        <v>0</v>
      </c>
      <c r="I329" s="1"/>
      <c r="J329" s="1"/>
    </row>
    <row r="330" spans="2:10" x14ac:dyDescent="0.2">
      <c r="B330" s="1" t="s">
        <v>301</v>
      </c>
      <c r="C330" s="32">
        <v>1315</v>
      </c>
      <c r="D330" s="1">
        <v>16000</v>
      </c>
      <c r="E330" s="1"/>
      <c r="F330" s="1">
        <v>178</v>
      </c>
      <c r="G330" s="1">
        <v>16000</v>
      </c>
      <c r="H330" s="5">
        <f t="shared" si="4"/>
        <v>0</v>
      </c>
      <c r="I330" s="1"/>
      <c r="J330" s="1"/>
    </row>
    <row r="331" spans="2:10" x14ac:dyDescent="0.2">
      <c r="B331" s="1" t="s">
        <v>301</v>
      </c>
      <c r="C331" s="32">
        <v>4051</v>
      </c>
      <c r="D331" s="1">
        <v>10000</v>
      </c>
      <c r="E331" s="1"/>
      <c r="F331" s="1">
        <v>111.41</v>
      </c>
      <c r="G331" s="1">
        <v>10000</v>
      </c>
      <c r="H331" s="5">
        <f t="shared" si="4"/>
        <v>0</v>
      </c>
      <c r="I331" s="1"/>
      <c r="J331" s="1"/>
    </row>
    <row r="332" spans="2:10" x14ac:dyDescent="0.2">
      <c r="B332" s="1" t="s">
        <v>301</v>
      </c>
      <c r="C332" s="32">
        <v>3161</v>
      </c>
      <c r="D332" s="1">
        <v>16000</v>
      </c>
      <c r="E332" s="1"/>
      <c r="F332" s="1">
        <v>178</v>
      </c>
      <c r="G332" s="1">
        <v>16000</v>
      </c>
      <c r="H332" s="5">
        <f t="shared" si="4"/>
        <v>0</v>
      </c>
      <c r="I332" s="1"/>
      <c r="J332" s="1"/>
    </row>
    <row r="333" spans="2:10" x14ac:dyDescent="0.2">
      <c r="B333" s="1" t="s">
        <v>301</v>
      </c>
      <c r="C333" s="32">
        <v>112</v>
      </c>
      <c r="D333" s="1">
        <v>10000</v>
      </c>
      <c r="E333" s="1"/>
      <c r="F333" s="1">
        <v>111.41</v>
      </c>
      <c r="G333" s="1">
        <v>10000</v>
      </c>
      <c r="H333" s="5">
        <f t="shared" si="4"/>
        <v>0</v>
      </c>
      <c r="I333" s="1"/>
      <c r="J333" s="1"/>
    </row>
    <row r="334" spans="2:10" x14ac:dyDescent="0.2">
      <c r="B334" s="1" t="s">
        <v>301</v>
      </c>
      <c r="C334" s="32">
        <v>4928</v>
      </c>
      <c r="D334" s="1">
        <v>23000</v>
      </c>
      <c r="E334" s="1"/>
      <c r="F334" s="1">
        <v>256</v>
      </c>
      <c r="G334" s="1">
        <v>23000</v>
      </c>
      <c r="H334" s="5">
        <f t="shared" si="4"/>
        <v>0</v>
      </c>
      <c r="I334" s="1"/>
      <c r="J334" s="1"/>
    </row>
    <row r="335" spans="2:10" x14ac:dyDescent="0.2">
      <c r="B335" s="1" t="s">
        <v>301</v>
      </c>
      <c r="C335" s="32">
        <v>7386</v>
      </c>
      <c r="D335" s="1">
        <v>18000</v>
      </c>
      <c r="E335" s="1"/>
      <c r="F335" s="1">
        <v>200</v>
      </c>
      <c r="G335" s="1">
        <v>18000</v>
      </c>
      <c r="H335" s="5">
        <f t="shared" si="4"/>
        <v>0</v>
      </c>
      <c r="I335" s="1"/>
      <c r="J335" s="1"/>
    </row>
    <row r="336" spans="2:10" x14ac:dyDescent="0.2">
      <c r="B336" s="1" t="s">
        <v>301</v>
      </c>
      <c r="C336" s="32">
        <v>603</v>
      </c>
      <c r="D336" s="1">
        <v>18000</v>
      </c>
      <c r="E336" s="1"/>
      <c r="F336" s="1">
        <v>200</v>
      </c>
      <c r="G336" s="1">
        <v>18000</v>
      </c>
      <c r="H336" s="5">
        <f t="shared" ref="H336:H399" si="5">D336-G336</f>
        <v>0</v>
      </c>
      <c r="I336" s="1"/>
      <c r="J336" s="1"/>
    </row>
    <row r="337" spans="2:10" x14ac:dyDescent="0.2">
      <c r="B337" s="1" t="s">
        <v>301</v>
      </c>
      <c r="C337" s="32">
        <v>9942</v>
      </c>
      <c r="D337" s="1">
        <v>20000</v>
      </c>
      <c r="E337" s="1"/>
      <c r="F337" s="1">
        <v>222.82</v>
      </c>
      <c r="G337" s="1">
        <v>20000</v>
      </c>
      <c r="H337" s="5">
        <f t="shared" si="5"/>
        <v>0</v>
      </c>
      <c r="I337" s="1"/>
      <c r="J337" s="1"/>
    </row>
    <row r="338" spans="2:10" x14ac:dyDescent="0.2">
      <c r="B338" s="1" t="s">
        <v>301</v>
      </c>
      <c r="C338" s="32">
        <v>1277</v>
      </c>
      <c r="D338" s="1">
        <v>23000</v>
      </c>
      <c r="E338" s="1"/>
      <c r="F338" s="1">
        <v>256</v>
      </c>
      <c r="G338" s="1">
        <v>23000</v>
      </c>
      <c r="H338" s="5">
        <f t="shared" si="5"/>
        <v>0</v>
      </c>
      <c r="I338" s="1"/>
      <c r="J338" s="1"/>
    </row>
    <row r="339" spans="2:10" x14ac:dyDescent="0.2">
      <c r="B339" s="1" t="s">
        <v>304</v>
      </c>
      <c r="C339" s="32" t="s">
        <v>30</v>
      </c>
      <c r="D339" s="1">
        <v>4500</v>
      </c>
      <c r="E339" s="1"/>
      <c r="F339" s="1">
        <v>50.13</v>
      </c>
      <c r="G339" s="1">
        <v>4500</v>
      </c>
      <c r="H339" s="5">
        <f t="shared" si="5"/>
        <v>0</v>
      </c>
      <c r="I339" s="1"/>
      <c r="J339" s="1"/>
    </row>
    <row r="340" spans="2:10" x14ac:dyDescent="0.2">
      <c r="B340" s="1" t="s">
        <v>304</v>
      </c>
      <c r="C340" s="32" t="s">
        <v>63</v>
      </c>
      <c r="D340" s="1">
        <v>3500</v>
      </c>
      <c r="E340" s="1"/>
      <c r="F340" s="1">
        <v>38.130000000000003</v>
      </c>
      <c r="G340" s="1">
        <v>3500</v>
      </c>
      <c r="H340" s="5">
        <f t="shared" si="5"/>
        <v>0</v>
      </c>
      <c r="I340" s="1"/>
      <c r="J340" s="1"/>
    </row>
    <row r="341" spans="2:10" x14ac:dyDescent="0.2">
      <c r="B341" s="1" t="s">
        <v>304</v>
      </c>
      <c r="C341" s="32">
        <v>9398</v>
      </c>
      <c r="D341" s="1">
        <v>19000</v>
      </c>
      <c r="E341" s="1"/>
      <c r="F341" s="1">
        <v>204</v>
      </c>
      <c r="G341" s="1">
        <v>19000</v>
      </c>
      <c r="H341" s="5">
        <f t="shared" si="5"/>
        <v>0</v>
      </c>
      <c r="I341" s="1"/>
      <c r="J341" s="1"/>
    </row>
    <row r="342" spans="2:10" x14ac:dyDescent="0.2">
      <c r="B342" s="1" t="s">
        <v>304</v>
      </c>
      <c r="C342" s="32">
        <v>9250</v>
      </c>
      <c r="D342" s="1">
        <v>28000</v>
      </c>
      <c r="E342" s="1"/>
      <c r="F342" s="1">
        <v>306</v>
      </c>
      <c r="G342" s="1">
        <v>28000</v>
      </c>
      <c r="H342" s="5">
        <f t="shared" si="5"/>
        <v>0</v>
      </c>
      <c r="I342" s="1"/>
      <c r="J342" s="1"/>
    </row>
    <row r="343" spans="2:10" x14ac:dyDescent="0.2">
      <c r="B343" s="1" t="s">
        <v>304</v>
      </c>
      <c r="C343" s="32">
        <v>2330</v>
      </c>
      <c r="D343" s="1">
        <v>16000</v>
      </c>
      <c r="E343" s="1"/>
      <c r="F343" s="1">
        <v>178</v>
      </c>
      <c r="G343" s="1">
        <v>16000</v>
      </c>
      <c r="H343" s="5">
        <f t="shared" si="5"/>
        <v>0</v>
      </c>
      <c r="I343" s="1"/>
      <c r="J343" s="1"/>
    </row>
    <row r="344" spans="2:10" x14ac:dyDescent="0.2">
      <c r="B344" s="1" t="s">
        <v>304</v>
      </c>
      <c r="C344" s="32">
        <v>2677</v>
      </c>
      <c r="D344" s="1">
        <v>20000</v>
      </c>
      <c r="E344" s="1"/>
      <c r="F344" s="1">
        <v>222</v>
      </c>
      <c r="G344" s="1">
        <v>20000</v>
      </c>
      <c r="H344" s="5">
        <f t="shared" si="5"/>
        <v>0</v>
      </c>
      <c r="I344" s="1"/>
      <c r="J344" s="1"/>
    </row>
    <row r="345" spans="2:10" x14ac:dyDescent="0.2">
      <c r="B345" s="1" t="s">
        <v>304</v>
      </c>
      <c r="C345" s="32">
        <v>6529</v>
      </c>
      <c r="D345" s="1">
        <v>16000</v>
      </c>
      <c r="E345" s="1"/>
      <c r="F345" s="1">
        <v>178</v>
      </c>
      <c r="G345" s="1">
        <v>16000</v>
      </c>
      <c r="H345" s="5">
        <f t="shared" si="5"/>
        <v>0</v>
      </c>
      <c r="I345" s="1"/>
      <c r="J345" s="1"/>
    </row>
    <row r="346" spans="2:10" x14ac:dyDescent="0.2">
      <c r="B346" s="1" t="s">
        <v>304</v>
      </c>
      <c r="C346" s="32">
        <v>904</v>
      </c>
      <c r="D346" s="1">
        <v>22000</v>
      </c>
      <c r="E346" s="1"/>
      <c r="F346" s="1">
        <v>222</v>
      </c>
      <c r="G346" s="1">
        <v>22000</v>
      </c>
      <c r="H346" s="5">
        <f t="shared" si="5"/>
        <v>0</v>
      </c>
      <c r="I346" s="1"/>
      <c r="J346" s="1"/>
    </row>
    <row r="347" spans="2:10" x14ac:dyDescent="0.2">
      <c r="B347" s="1" t="s">
        <v>304</v>
      </c>
      <c r="C347" s="32">
        <v>2078</v>
      </c>
      <c r="D347" s="1">
        <v>18000</v>
      </c>
      <c r="E347" s="1"/>
      <c r="F347" s="1">
        <v>200</v>
      </c>
      <c r="G347" s="1">
        <v>18000</v>
      </c>
      <c r="H347" s="5">
        <f t="shared" si="5"/>
        <v>0</v>
      </c>
      <c r="I347" s="1"/>
      <c r="J347" s="1"/>
    </row>
    <row r="348" spans="2:10" x14ac:dyDescent="0.2">
      <c r="B348" s="1" t="s">
        <v>304</v>
      </c>
      <c r="C348" s="32">
        <v>6262</v>
      </c>
      <c r="D348" s="1">
        <v>18000</v>
      </c>
      <c r="E348" s="1"/>
      <c r="F348" s="1">
        <v>200</v>
      </c>
      <c r="G348" s="1">
        <v>18000</v>
      </c>
      <c r="H348" s="5">
        <f t="shared" si="5"/>
        <v>0</v>
      </c>
      <c r="I348" s="1"/>
      <c r="J348" s="1"/>
    </row>
    <row r="349" spans="2:10" x14ac:dyDescent="0.2">
      <c r="B349" s="1" t="s">
        <v>304</v>
      </c>
      <c r="C349" s="32">
        <v>8109</v>
      </c>
      <c r="D349" s="1">
        <v>15000</v>
      </c>
      <c r="E349" s="1"/>
      <c r="F349" s="1">
        <v>167</v>
      </c>
      <c r="G349" s="1">
        <v>15000</v>
      </c>
      <c r="H349" s="5">
        <f t="shared" si="5"/>
        <v>0</v>
      </c>
      <c r="I349" s="1"/>
      <c r="J349" s="1"/>
    </row>
    <row r="350" spans="2:10" x14ac:dyDescent="0.2">
      <c r="B350" s="1" t="s">
        <v>304</v>
      </c>
      <c r="C350" s="32">
        <v>3189</v>
      </c>
      <c r="D350" s="1">
        <v>27000</v>
      </c>
      <c r="E350" s="1"/>
      <c r="F350" s="1">
        <v>334</v>
      </c>
      <c r="G350" s="1">
        <v>27000</v>
      </c>
      <c r="H350" s="5">
        <f t="shared" si="5"/>
        <v>0</v>
      </c>
      <c r="I350" s="1"/>
      <c r="J350" s="1"/>
    </row>
    <row r="351" spans="2:10" x14ac:dyDescent="0.2">
      <c r="B351" s="1" t="s">
        <v>304</v>
      </c>
      <c r="C351" s="32">
        <v>584</v>
      </c>
      <c r="D351" s="1">
        <v>22000</v>
      </c>
      <c r="E351" s="1"/>
      <c r="F351" s="1">
        <v>222</v>
      </c>
      <c r="G351" s="1">
        <v>22000</v>
      </c>
      <c r="H351" s="5">
        <f t="shared" si="5"/>
        <v>0</v>
      </c>
      <c r="I351" s="1"/>
      <c r="J351" s="1"/>
    </row>
    <row r="352" spans="2:10" x14ac:dyDescent="0.2">
      <c r="B352" s="1" t="s">
        <v>304</v>
      </c>
      <c r="C352" s="32">
        <v>2948</v>
      </c>
      <c r="D352" s="1">
        <v>25000</v>
      </c>
      <c r="E352" s="1"/>
      <c r="F352" s="1">
        <v>272</v>
      </c>
      <c r="G352" s="1">
        <v>25000</v>
      </c>
      <c r="H352" s="5">
        <f t="shared" si="5"/>
        <v>0</v>
      </c>
      <c r="I352" s="1"/>
      <c r="J352" s="1"/>
    </row>
    <row r="353" spans="2:10" x14ac:dyDescent="0.2">
      <c r="B353" s="1" t="s">
        <v>304</v>
      </c>
      <c r="C353" s="32">
        <v>4488</v>
      </c>
      <c r="D353" s="1">
        <v>30000</v>
      </c>
      <c r="E353" s="1"/>
      <c r="F353" s="1">
        <v>369</v>
      </c>
      <c r="G353" s="1">
        <v>30000</v>
      </c>
      <c r="H353" s="5">
        <f t="shared" si="5"/>
        <v>0</v>
      </c>
      <c r="I353" s="1"/>
      <c r="J353" s="1"/>
    </row>
    <row r="354" spans="2:10" x14ac:dyDescent="0.2">
      <c r="B354" s="1" t="s">
        <v>306</v>
      </c>
      <c r="C354" s="32">
        <v>2271</v>
      </c>
      <c r="D354" s="1">
        <v>15000</v>
      </c>
      <c r="E354" s="1"/>
      <c r="F354" s="1">
        <v>167</v>
      </c>
      <c r="G354" s="1">
        <v>15000</v>
      </c>
      <c r="H354" s="5">
        <f t="shared" si="5"/>
        <v>0</v>
      </c>
      <c r="I354" s="1"/>
      <c r="J354" s="1"/>
    </row>
    <row r="355" spans="2:10" x14ac:dyDescent="0.2">
      <c r="B355" s="1" t="s">
        <v>306</v>
      </c>
      <c r="C355" s="32">
        <v>6736</v>
      </c>
      <c r="D355" s="1">
        <v>13000</v>
      </c>
      <c r="E355" s="1"/>
      <c r="F355" s="1">
        <v>144</v>
      </c>
      <c r="G355" s="1">
        <v>13000</v>
      </c>
      <c r="H355" s="5">
        <f t="shared" si="5"/>
        <v>0</v>
      </c>
      <c r="I355" s="1"/>
      <c r="J355" s="1"/>
    </row>
    <row r="356" spans="2:10" x14ac:dyDescent="0.2">
      <c r="B356" s="1" t="s">
        <v>306</v>
      </c>
      <c r="C356" s="32" t="s">
        <v>30</v>
      </c>
      <c r="D356" s="1">
        <v>5000</v>
      </c>
      <c r="E356" s="1"/>
      <c r="F356" s="1">
        <v>50</v>
      </c>
      <c r="G356" s="1">
        <v>5000</v>
      </c>
      <c r="H356" s="5">
        <f t="shared" si="5"/>
        <v>0</v>
      </c>
      <c r="I356" s="1"/>
      <c r="J356" s="1"/>
    </row>
    <row r="357" spans="2:10" x14ac:dyDescent="0.2">
      <c r="B357" s="1" t="s">
        <v>306</v>
      </c>
      <c r="C357" s="32">
        <v>645</v>
      </c>
      <c r="D357" s="1">
        <v>10000</v>
      </c>
      <c r="E357" s="1"/>
      <c r="F357" s="1">
        <v>111</v>
      </c>
      <c r="G357" s="1">
        <v>10000</v>
      </c>
      <c r="H357" s="5">
        <f t="shared" si="5"/>
        <v>0</v>
      </c>
      <c r="I357" s="1"/>
      <c r="J357" s="1"/>
    </row>
    <row r="358" spans="2:10" x14ac:dyDescent="0.2">
      <c r="B358" s="1" t="s">
        <v>306</v>
      </c>
      <c r="C358" s="32">
        <v>4626</v>
      </c>
      <c r="D358" s="1">
        <v>13000</v>
      </c>
      <c r="E358" s="1"/>
      <c r="F358" s="1">
        <v>144</v>
      </c>
      <c r="G358" s="1">
        <v>13000</v>
      </c>
      <c r="H358" s="5">
        <f t="shared" si="5"/>
        <v>0</v>
      </c>
      <c r="I358" s="1"/>
      <c r="J358" s="1"/>
    </row>
    <row r="359" spans="2:10" x14ac:dyDescent="0.2">
      <c r="B359" s="1" t="s">
        <v>306</v>
      </c>
      <c r="C359" s="32">
        <v>647</v>
      </c>
      <c r="D359" s="1">
        <v>13500</v>
      </c>
      <c r="E359" s="1"/>
      <c r="F359" s="1">
        <v>150</v>
      </c>
      <c r="G359" s="1">
        <v>13500</v>
      </c>
      <c r="H359" s="5">
        <f t="shared" si="5"/>
        <v>0</v>
      </c>
      <c r="I359" s="1"/>
      <c r="J359" s="1"/>
    </row>
    <row r="360" spans="2:10" x14ac:dyDescent="0.2">
      <c r="B360" s="1" t="s">
        <v>306</v>
      </c>
      <c r="C360" s="32">
        <v>5687</v>
      </c>
      <c r="D360" s="1">
        <v>30000</v>
      </c>
      <c r="E360" s="1"/>
      <c r="F360" s="1">
        <v>334</v>
      </c>
      <c r="G360" s="1">
        <v>30000</v>
      </c>
      <c r="H360" s="5">
        <f t="shared" si="5"/>
        <v>0</v>
      </c>
      <c r="I360" s="1"/>
      <c r="J360" s="1"/>
    </row>
    <row r="361" spans="2:10" x14ac:dyDescent="0.2">
      <c r="B361" s="1" t="s">
        <v>306</v>
      </c>
      <c r="C361" s="32">
        <v>9395</v>
      </c>
      <c r="D361" s="1">
        <v>27000</v>
      </c>
      <c r="E361" s="1"/>
      <c r="F361" s="1">
        <v>334</v>
      </c>
      <c r="G361" s="1">
        <v>27000</v>
      </c>
      <c r="H361" s="5">
        <f t="shared" si="5"/>
        <v>0</v>
      </c>
      <c r="I361" s="1"/>
      <c r="J361" s="1"/>
    </row>
    <row r="362" spans="2:10" x14ac:dyDescent="0.2">
      <c r="B362" s="1" t="s">
        <v>306</v>
      </c>
      <c r="C362" s="32">
        <v>1912</v>
      </c>
      <c r="D362" s="1">
        <v>10000</v>
      </c>
      <c r="E362" s="1"/>
      <c r="F362" s="1">
        <v>111</v>
      </c>
      <c r="G362" s="1">
        <v>10000</v>
      </c>
      <c r="H362" s="5">
        <f t="shared" si="5"/>
        <v>0</v>
      </c>
      <c r="I362" s="1"/>
      <c r="J362" s="1"/>
    </row>
    <row r="363" spans="2:10" x14ac:dyDescent="0.2">
      <c r="B363" s="1" t="s">
        <v>306</v>
      </c>
      <c r="C363" s="32">
        <v>4968</v>
      </c>
      <c r="D363" s="1">
        <v>31000</v>
      </c>
      <c r="E363" s="1"/>
      <c r="F363" s="1">
        <v>345</v>
      </c>
      <c r="G363" s="1">
        <v>31000</v>
      </c>
      <c r="H363" s="5">
        <f t="shared" si="5"/>
        <v>0</v>
      </c>
      <c r="I363" s="1"/>
      <c r="J363" s="1"/>
    </row>
    <row r="364" spans="2:10" x14ac:dyDescent="0.2">
      <c r="B364" s="1" t="s">
        <v>306</v>
      </c>
      <c r="C364" s="32">
        <v>8161</v>
      </c>
      <c r="D364" s="1">
        <v>27000</v>
      </c>
      <c r="E364" s="1"/>
      <c r="F364" s="1">
        <v>334</v>
      </c>
      <c r="G364" s="1">
        <v>27000</v>
      </c>
      <c r="H364" s="5">
        <f t="shared" si="5"/>
        <v>0</v>
      </c>
      <c r="I364" s="1"/>
      <c r="J364" s="1"/>
    </row>
    <row r="365" spans="2:10" x14ac:dyDescent="0.2">
      <c r="B365" s="1" t="s">
        <v>306</v>
      </c>
      <c r="C365" s="32">
        <v>3923</v>
      </c>
      <c r="D365" s="1">
        <v>15000</v>
      </c>
      <c r="E365" s="1"/>
      <c r="F365" s="1">
        <v>167</v>
      </c>
      <c r="G365" s="1">
        <v>15000</v>
      </c>
      <c r="H365" s="5">
        <f t="shared" si="5"/>
        <v>0</v>
      </c>
      <c r="I365" s="1"/>
      <c r="J365" s="1"/>
    </row>
    <row r="366" spans="2:10" x14ac:dyDescent="0.2">
      <c r="B366" s="1" t="s">
        <v>306</v>
      </c>
      <c r="C366" s="32">
        <v>4579</v>
      </c>
      <c r="D366" s="1">
        <v>12000</v>
      </c>
      <c r="E366" s="1"/>
      <c r="F366" s="1">
        <v>133</v>
      </c>
      <c r="G366" s="1">
        <v>12000</v>
      </c>
      <c r="H366" s="5">
        <f t="shared" si="5"/>
        <v>0</v>
      </c>
      <c r="I366" s="1"/>
      <c r="J366" s="1"/>
    </row>
    <row r="367" spans="2:10" x14ac:dyDescent="0.2">
      <c r="B367" s="1" t="s">
        <v>306</v>
      </c>
      <c r="C367" s="32">
        <v>7662</v>
      </c>
      <c r="D367" s="1">
        <v>14000</v>
      </c>
      <c r="E367" s="1"/>
      <c r="F367" s="1">
        <v>155</v>
      </c>
      <c r="G367" s="1">
        <v>14000</v>
      </c>
      <c r="H367" s="5">
        <f t="shared" si="5"/>
        <v>0</v>
      </c>
      <c r="I367" s="1"/>
      <c r="J367" s="1"/>
    </row>
    <row r="368" spans="2:10" x14ac:dyDescent="0.2">
      <c r="B368" s="1" t="s">
        <v>306</v>
      </c>
      <c r="C368" s="32">
        <v>8702</v>
      </c>
      <c r="D368" s="1">
        <v>24000</v>
      </c>
      <c r="E368" s="1"/>
      <c r="F368" s="1">
        <v>267</v>
      </c>
      <c r="G368" s="1">
        <v>24000</v>
      </c>
      <c r="H368" s="5">
        <f t="shared" si="5"/>
        <v>0</v>
      </c>
      <c r="I368" s="1"/>
      <c r="J368" s="1"/>
    </row>
    <row r="369" spans="2:10" x14ac:dyDescent="0.2">
      <c r="B369" s="1" t="s">
        <v>306</v>
      </c>
      <c r="C369" s="32">
        <v>1000</v>
      </c>
      <c r="D369" s="1">
        <v>24000</v>
      </c>
      <c r="E369" s="1"/>
      <c r="F369" s="1">
        <v>267</v>
      </c>
      <c r="G369" s="1">
        <v>24000</v>
      </c>
      <c r="H369" s="5">
        <f t="shared" si="5"/>
        <v>0</v>
      </c>
      <c r="I369" s="1"/>
      <c r="J369" s="1"/>
    </row>
    <row r="370" spans="2:10" x14ac:dyDescent="0.2">
      <c r="B370" s="1" t="s">
        <v>306</v>
      </c>
      <c r="C370" s="32">
        <v>4100</v>
      </c>
      <c r="D370" s="1">
        <v>20000</v>
      </c>
      <c r="E370" s="1"/>
      <c r="F370" s="1">
        <v>222</v>
      </c>
      <c r="G370" s="1">
        <v>20000</v>
      </c>
      <c r="H370" s="5">
        <f t="shared" si="5"/>
        <v>0</v>
      </c>
      <c r="I370" s="1"/>
      <c r="J370" s="1"/>
    </row>
    <row r="371" spans="2:10" x14ac:dyDescent="0.2">
      <c r="B371" s="1" t="s">
        <v>306</v>
      </c>
      <c r="C371" s="32">
        <v>1071</v>
      </c>
      <c r="D371" s="1">
        <v>25000</v>
      </c>
      <c r="E371" s="1"/>
      <c r="F371" s="1">
        <v>278</v>
      </c>
      <c r="G371" s="1">
        <v>25000</v>
      </c>
      <c r="H371" s="5">
        <f t="shared" si="5"/>
        <v>0</v>
      </c>
      <c r="I371" s="1"/>
      <c r="J371" s="1"/>
    </row>
    <row r="372" spans="2:10" x14ac:dyDescent="0.2">
      <c r="B372" s="1" t="s">
        <v>306</v>
      </c>
      <c r="C372" s="32">
        <v>1657</v>
      </c>
      <c r="D372" s="1">
        <v>20000</v>
      </c>
      <c r="E372" s="1"/>
      <c r="F372" s="1">
        <v>222</v>
      </c>
      <c r="G372" s="1">
        <v>20000</v>
      </c>
      <c r="H372" s="5">
        <f t="shared" si="5"/>
        <v>0</v>
      </c>
      <c r="I372" s="1"/>
      <c r="J372" s="1"/>
    </row>
    <row r="373" spans="2:10" x14ac:dyDescent="0.2">
      <c r="B373" s="1" t="s">
        <v>306</v>
      </c>
      <c r="C373" s="32">
        <v>9998</v>
      </c>
      <c r="D373" s="1">
        <v>17000</v>
      </c>
      <c r="E373" s="1"/>
      <c r="F373" s="1">
        <v>189</v>
      </c>
      <c r="G373" s="1">
        <v>17000</v>
      </c>
      <c r="H373" s="5">
        <f t="shared" si="5"/>
        <v>0</v>
      </c>
      <c r="I373" s="1"/>
      <c r="J373" s="1"/>
    </row>
    <row r="374" spans="2:10" x14ac:dyDescent="0.2">
      <c r="B374" s="1" t="s">
        <v>306</v>
      </c>
      <c r="C374" s="32">
        <v>9582</v>
      </c>
      <c r="D374" s="1">
        <v>10000</v>
      </c>
      <c r="E374" s="1"/>
      <c r="F374" s="1">
        <v>111</v>
      </c>
      <c r="G374" s="1">
        <v>10000</v>
      </c>
      <c r="H374" s="5">
        <f t="shared" si="5"/>
        <v>0</v>
      </c>
      <c r="I374" s="1"/>
      <c r="J374" s="1"/>
    </row>
    <row r="375" spans="2:10" x14ac:dyDescent="0.2">
      <c r="B375" s="1" t="s">
        <v>307</v>
      </c>
      <c r="C375" s="32">
        <v>398</v>
      </c>
      <c r="D375" s="1">
        <v>22000</v>
      </c>
      <c r="E375" s="1"/>
      <c r="F375" s="1">
        <v>220</v>
      </c>
      <c r="G375" s="1">
        <v>22000</v>
      </c>
      <c r="H375" s="5">
        <f t="shared" si="5"/>
        <v>0</v>
      </c>
      <c r="I375" s="1"/>
      <c r="J375" s="1"/>
    </row>
    <row r="376" spans="2:10" x14ac:dyDescent="0.2">
      <c r="B376" s="1" t="s">
        <v>307</v>
      </c>
      <c r="C376" s="32">
        <v>2920</v>
      </c>
      <c r="D376" s="1">
        <v>15000</v>
      </c>
      <c r="E376" s="1"/>
      <c r="F376" s="1">
        <v>167</v>
      </c>
      <c r="G376" s="1">
        <v>15000</v>
      </c>
      <c r="H376" s="5">
        <f t="shared" si="5"/>
        <v>0</v>
      </c>
      <c r="I376" s="1"/>
      <c r="J376" s="1"/>
    </row>
    <row r="377" spans="2:10" x14ac:dyDescent="0.2">
      <c r="B377" s="1" t="s">
        <v>307</v>
      </c>
      <c r="C377" s="32">
        <v>4625</v>
      </c>
      <c r="D377" s="1">
        <v>13000</v>
      </c>
      <c r="E377" s="1"/>
      <c r="F377" s="1">
        <v>144</v>
      </c>
      <c r="G377" s="1">
        <v>13000</v>
      </c>
      <c r="H377" s="5">
        <f t="shared" si="5"/>
        <v>0</v>
      </c>
      <c r="I377" s="1"/>
      <c r="J377" s="1"/>
    </row>
    <row r="378" spans="2:10" x14ac:dyDescent="0.2">
      <c r="B378" s="1" t="s">
        <v>307</v>
      </c>
      <c r="C378" s="32">
        <v>5145</v>
      </c>
      <c r="D378" s="1">
        <v>14000</v>
      </c>
      <c r="E378" s="1"/>
      <c r="F378" s="1">
        <v>155</v>
      </c>
      <c r="G378" s="1">
        <v>14000</v>
      </c>
      <c r="H378" s="5">
        <f t="shared" si="5"/>
        <v>0</v>
      </c>
      <c r="I378" s="1"/>
      <c r="J378" s="1"/>
    </row>
    <row r="379" spans="2:10" x14ac:dyDescent="0.2">
      <c r="B379" s="1" t="s">
        <v>307</v>
      </c>
      <c r="C379" s="32">
        <v>3662</v>
      </c>
      <c r="D379" s="1">
        <v>16000</v>
      </c>
      <c r="E379" s="1"/>
      <c r="F379" s="1">
        <v>178</v>
      </c>
      <c r="G379" s="1">
        <v>16000</v>
      </c>
      <c r="H379" s="5">
        <f t="shared" si="5"/>
        <v>0</v>
      </c>
      <c r="I379" s="1"/>
      <c r="J379" s="1"/>
    </row>
    <row r="380" spans="2:10" x14ac:dyDescent="0.2">
      <c r="B380" s="1" t="s">
        <v>307</v>
      </c>
      <c r="C380" s="32">
        <v>4624</v>
      </c>
      <c r="D380" s="1">
        <v>13000</v>
      </c>
      <c r="E380" s="1"/>
      <c r="F380" s="1">
        <v>144</v>
      </c>
      <c r="G380" s="1">
        <v>13000</v>
      </c>
      <c r="H380" s="5">
        <f t="shared" si="5"/>
        <v>0</v>
      </c>
      <c r="I380" s="1"/>
      <c r="J380" s="1"/>
    </row>
    <row r="381" spans="2:10" x14ac:dyDescent="0.2">
      <c r="B381" s="1" t="s">
        <v>307</v>
      </c>
      <c r="C381" s="32">
        <v>4627</v>
      </c>
      <c r="D381" s="1">
        <v>13000</v>
      </c>
      <c r="E381" s="1"/>
      <c r="F381" s="1">
        <v>144</v>
      </c>
      <c r="G381" s="1">
        <v>13000</v>
      </c>
      <c r="H381" s="5">
        <f t="shared" si="5"/>
        <v>0</v>
      </c>
      <c r="I381" s="1"/>
      <c r="J381" s="1"/>
    </row>
    <row r="382" spans="2:10" x14ac:dyDescent="0.2">
      <c r="B382" s="1" t="s">
        <v>307</v>
      </c>
      <c r="C382" s="32">
        <v>8543</v>
      </c>
      <c r="D382" s="1">
        <v>5000</v>
      </c>
      <c r="E382" s="1"/>
      <c r="F382" s="1">
        <v>55</v>
      </c>
      <c r="G382" s="1">
        <v>5000</v>
      </c>
      <c r="H382" s="5">
        <f t="shared" si="5"/>
        <v>0</v>
      </c>
      <c r="I382" s="1"/>
      <c r="J382" s="1"/>
    </row>
    <row r="383" spans="2:10" x14ac:dyDescent="0.2">
      <c r="B383" s="1" t="s">
        <v>307</v>
      </c>
      <c r="C383" s="32" t="s">
        <v>30</v>
      </c>
      <c r="D383" s="1">
        <v>4500</v>
      </c>
      <c r="E383" s="1"/>
      <c r="F383" s="1">
        <v>50</v>
      </c>
      <c r="G383" s="1">
        <v>4500</v>
      </c>
      <c r="H383" s="5">
        <f t="shared" si="5"/>
        <v>0</v>
      </c>
      <c r="I383" s="1"/>
      <c r="J383" s="1"/>
    </row>
    <row r="384" spans="2:10" x14ac:dyDescent="0.2">
      <c r="B384" s="1" t="s">
        <v>307</v>
      </c>
      <c r="C384" s="32">
        <v>1611</v>
      </c>
      <c r="D384" s="1">
        <v>22000</v>
      </c>
      <c r="E384" s="1"/>
      <c r="F384" s="1">
        <v>222</v>
      </c>
      <c r="G384" s="1">
        <v>22000</v>
      </c>
      <c r="H384" s="5">
        <f t="shared" si="5"/>
        <v>0</v>
      </c>
      <c r="I384" s="1"/>
      <c r="J384" s="1"/>
    </row>
    <row r="385" spans="2:10" x14ac:dyDescent="0.2">
      <c r="B385" s="1" t="s">
        <v>307</v>
      </c>
      <c r="C385" s="32">
        <v>9148</v>
      </c>
      <c r="D385" s="1">
        <v>20000</v>
      </c>
      <c r="E385" s="1"/>
      <c r="F385" s="1">
        <v>222</v>
      </c>
      <c r="G385" s="1">
        <v>20000</v>
      </c>
      <c r="H385" s="5">
        <f t="shared" si="5"/>
        <v>0</v>
      </c>
      <c r="I385" s="1"/>
      <c r="J385" s="1"/>
    </row>
    <row r="386" spans="2:10" x14ac:dyDescent="0.2">
      <c r="B386" s="1" t="s">
        <v>307</v>
      </c>
      <c r="C386" s="32">
        <v>2995</v>
      </c>
      <c r="D386" s="1">
        <v>14000</v>
      </c>
      <c r="E386" s="1"/>
      <c r="F386" s="1">
        <v>155</v>
      </c>
      <c r="G386" s="1">
        <v>14000</v>
      </c>
      <c r="H386" s="5">
        <f t="shared" si="5"/>
        <v>0</v>
      </c>
      <c r="I386" s="1"/>
      <c r="J386" s="1"/>
    </row>
    <row r="387" spans="2:10" x14ac:dyDescent="0.2">
      <c r="B387" s="1" t="s">
        <v>307</v>
      </c>
      <c r="C387" s="32">
        <v>5920</v>
      </c>
      <c r="D387" s="1">
        <v>15000</v>
      </c>
      <c r="E387" s="1"/>
      <c r="F387" s="1">
        <v>167</v>
      </c>
      <c r="G387" s="1">
        <v>15000</v>
      </c>
      <c r="H387" s="5">
        <f t="shared" si="5"/>
        <v>0</v>
      </c>
      <c r="I387" s="1"/>
      <c r="J387" s="1"/>
    </row>
    <row r="388" spans="2:10" x14ac:dyDescent="0.2">
      <c r="B388" s="1" t="s">
        <v>307</v>
      </c>
      <c r="C388" s="32" t="s">
        <v>63</v>
      </c>
      <c r="D388" s="1">
        <v>2905</v>
      </c>
      <c r="E388" s="1"/>
      <c r="F388" s="1">
        <v>32</v>
      </c>
      <c r="G388" s="1">
        <v>2905</v>
      </c>
      <c r="H388" s="5">
        <f t="shared" si="5"/>
        <v>0</v>
      </c>
      <c r="I388" s="1"/>
      <c r="J388" s="1"/>
    </row>
    <row r="389" spans="2:10" x14ac:dyDescent="0.2">
      <c r="B389" s="1" t="s">
        <v>307</v>
      </c>
      <c r="C389" s="32">
        <v>4809</v>
      </c>
      <c r="D389" s="1">
        <v>4000</v>
      </c>
      <c r="E389" s="1"/>
      <c r="F389" s="1">
        <v>44</v>
      </c>
      <c r="G389" s="1">
        <v>4000</v>
      </c>
      <c r="H389" s="5">
        <f t="shared" si="5"/>
        <v>0</v>
      </c>
      <c r="I389" s="1"/>
      <c r="J389" s="1"/>
    </row>
    <row r="390" spans="2:10" x14ac:dyDescent="0.2">
      <c r="B390" s="1" t="s">
        <v>307</v>
      </c>
      <c r="C390" s="32">
        <v>3912</v>
      </c>
      <c r="D390" s="1">
        <v>15000</v>
      </c>
      <c r="E390" s="1"/>
      <c r="F390" s="1">
        <v>167</v>
      </c>
      <c r="G390" s="1">
        <v>15000</v>
      </c>
      <c r="H390" s="5">
        <f t="shared" si="5"/>
        <v>0</v>
      </c>
      <c r="I390" s="1"/>
      <c r="J390" s="1"/>
    </row>
    <row r="391" spans="2:10" x14ac:dyDescent="0.2">
      <c r="B391" s="1" t="s">
        <v>307</v>
      </c>
      <c r="C391" s="32" t="s">
        <v>66</v>
      </c>
      <c r="D391" s="1">
        <v>200</v>
      </c>
      <c r="E391" s="1"/>
      <c r="F391" s="1">
        <v>2.0499999999999998</v>
      </c>
      <c r="G391" s="1">
        <v>200</v>
      </c>
      <c r="H391" s="5">
        <f t="shared" si="5"/>
        <v>0</v>
      </c>
      <c r="I391" s="1"/>
      <c r="J391" s="1"/>
    </row>
    <row r="392" spans="2:10" x14ac:dyDescent="0.2">
      <c r="B392" s="1" t="s">
        <v>307</v>
      </c>
      <c r="C392" s="32">
        <v>4839</v>
      </c>
      <c r="D392" s="1">
        <v>10000</v>
      </c>
      <c r="E392" s="1"/>
      <c r="F392" s="1">
        <v>111</v>
      </c>
      <c r="G392" s="1">
        <v>10000</v>
      </c>
      <c r="H392" s="5">
        <f t="shared" si="5"/>
        <v>0</v>
      </c>
      <c r="I392" s="1"/>
      <c r="J392" s="1"/>
    </row>
    <row r="393" spans="2:10" x14ac:dyDescent="0.2">
      <c r="B393" s="1" t="s">
        <v>307</v>
      </c>
      <c r="C393" s="32">
        <v>536</v>
      </c>
      <c r="D393" s="1">
        <v>31000</v>
      </c>
      <c r="E393" s="1"/>
      <c r="F393" s="1">
        <v>345</v>
      </c>
      <c r="G393" s="1">
        <v>31000</v>
      </c>
      <c r="H393" s="5">
        <f t="shared" si="5"/>
        <v>0</v>
      </c>
      <c r="I393" s="1"/>
      <c r="J393" s="1"/>
    </row>
    <row r="394" spans="2:10" x14ac:dyDescent="0.2">
      <c r="B394" s="1" t="s">
        <v>307</v>
      </c>
      <c r="C394" s="32">
        <v>3444</v>
      </c>
      <c r="D394" s="1">
        <v>23000</v>
      </c>
      <c r="E394" s="1"/>
      <c r="F394" s="1">
        <v>305</v>
      </c>
      <c r="G394" s="1">
        <v>23000</v>
      </c>
      <c r="H394" s="5">
        <f t="shared" si="5"/>
        <v>0</v>
      </c>
      <c r="I394" s="1"/>
      <c r="J394" s="1"/>
    </row>
    <row r="395" spans="2:10" x14ac:dyDescent="0.2">
      <c r="B395" s="1" t="s">
        <v>307</v>
      </c>
      <c r="C395" s="32">
        <v>9015</v>
      </c>
      <c r="D395" s="1">
        <v>10000</v>
      </c>
      <c r="E395" s="1"/>
      <c r="F395" s="1">
        <v>111</v>
      </c>
      <c r="G395" s="1">
        <v>10000</v>
      </c>
      <c r="H395" s="5">
        <f t="shared" si="5"/>
        <v>0</v>
      </c>
      <c r="I395" s="1"/>
      <c r="J395" s="1"/>
    </row>
    <row r="396" spans="2:10" x14ac:dyDescent="0.2">
      <c r="B396" s="1" t="s">
        <v>307</v>
      </c>
      <c r="C396" s="32">
        <v>6867</v>
      </c>
      <c r="D396" s="1">
        <v>24000</v>
      </c>
      <c r="E396" s="1"/>
      <c r="F396" s="1">
        <v>267</v>
      </c>
      <c r="G396" s="1">
        <v>24000</v>
      </c>
      <c r="H396" s="5">
        <f t="shared" si="5"/>
        <v>0</v>
      </c>
      <c r="I396" s="1"/>
      <c r="J396" s="1"/>
    </row>
    <row r="397" spans="2:10" x14ac:dyDescent="0.2">
      <c r="B397" s="1" t="s">
        <v>307</v>
      </c>
      <c r="C397" s="32">
        <v>9293</v>
      </c>
      <c r="D397" s="1">
        <v>31000</v>
      </c>
      <c r="E397" s="1"/>
      <c r="F397" s="1">
        <v>345</v>
      </c>
      <c r="G397" s="1">
        <v>31000</v>
      </c>
      <c r="H397" s="5">
        <f t="shared" si="5"/>
        <v>0</v>
      </c>
      <c r="I397" s="1"/>
      <c r="J397" s="1"/>
    </row>
    <row r="398" spans="2:10" x14ac:dyDescent="0.2">
      <c r="B398" s="1" t="s">
        <v>308</v>
      </c>
      <c r="C398" s="32">
        <v>3672</v>
      </c>
      <c r="D398" s="1">
        <v>15000</v>
      </c>
      <c r="E398" s="1"/>
      <c r="F398" s="1">
        <v>167</v>
      </c>
      <c r="G398" s="1">
        <v>15000</v>
      </c>
      <c r="H398" s="5">
        <f t="shared" si="5"/>
        <v>0</v>
      </c>
      <c r="I398" s="1"/>
      <c r="J398" s="1"/>
    </row>
    <row r="399" spans="2:10" x14ac:dyDescent="0.2">
      <c r="B399" s="1" t="s">
        <v>308</v>
      </c>
      <c r="C399" s="32">
        <v>4626</v>
      </c>
      <c r="D399" s="1">
        <v>15000</v>
      </c>
      <c r="E399" s="1"/>
      <c r="F399" s="1">
        <v>167</v>
      </c>
      <c r="G399" s="1">
        <v>15000</v>
      </c>
      <c r="H399" s="5">
        <f t="shared" si="5"/>
        <v>0</v>
      </c>
      <c r="I399" s="1"/>
      <c r="J399" s="1"/>
    </row>
    <row r="400" spans="2:10" x14ac:dyDescent="0.2">
      <c r="B400" s="1" t="s">
        <v>308</v>
      </c>
      <c r="C400" s="32" t="s">
        <v>30</v>
      </c>
      <c r="D400" s="1">
        <v>5000</v>
      </c>
      <c r="E400" s="1"/>
      <c r="F400" s="1">
        <v>55.13</v>
      </c>
      <c r="G400" s="1">
        <v>5000</v>
      </c>
      <c r="H400" s="5">
        <f t="shared" ref="H400:H403" si="6">D400-G400</f>
        <v>0</v>
      </c>
      <c r="I400" s="1"/>
      <c r="J400" s="1"/>
    </row>
    <row r="401" spans="2:15" x14ac:dyDescent="0.2">
      <c r="B401" s="1" t="s">
        <v>308</v>
      </c>
      <c r="C401" s="32">
        <v>5260</v>
      </c>
      <c r="D401" s="1">
        <v>23000</v>
      </c>
      <c r="E401" s="1"/>
      <c r="F401" s="1">
        <v>250</v>
      </c>
      <c r="G401" s="1">
        <v>23000</v>
      </c>
      <c r="H401" s="5">
        <f t="shared" si="6"/>
        <v>0</v>
      </c>
      <c r="I401" s="1"/>
      <c r="J401" s="1"/>
    </row>
    <row r="402" spans="2:15" x14ac:dyDescent="0.2">
      <c r="B402" s="1" t="s">
        <v>308</v>
      </c>
      <c r="C402" s="32">
        <v>189</v>
      </c>
      <c r="D402" s="1">
        <v>25000</v>
      </c>
      <c r="E402" s="1"/>
      <c r="F402" s="1">
        <v>278</v>
      </c>
      <c r="G402" s="1">
        <v>25000</v>
      </c>
      <c r="H402" s="5">
        <f t="shared" si="6"/>
        <v>0</v>
      </c>
      <c r="I402" s="1"/>
      <c r="J402" s="1"/>
    </row>
    <row r="403" spans="2:15" x14ac:dyDescent="0.2">
      <c r="B403" s="1" t="s">
        <v>308</v>
      </c>
      <c r="C403" s="32">
        <v>5072</v>
      </c>
      <c r="D403" s="1">
        <v>25000</v>
      </c>
      <c r="E403" s="1"/>
      <c r="F403" s="1">
        <v>278</v>
      </c>
      <c r="G403" s="1">
        <v>25000</v>
      </c>
      <c r="H403" s="5">
        <f t="shared" si="6"/>
        <v>0</v>
      </c>
      <c r="I403" s="1"/>
      <c r="J403" s="1"/>
    </row>
    <row r="404" spans="2:15" ht="15" x14ac:dyDescent="0.25">
      <c r="B404" s="1"/>
      <c r="C404" s="20" t="s">
        <v>9</v>
      </c>
      <c r="D404" s="21">
        <f>SUM(D6:D403)</f>
        <v>7179029</v>
      </c>
      <c r="E404" s="22"/>
      <c r="F404" s="23">
        <f>SUM(F7:F403)</f>
        <v>84412.840000000084</v>
      </c>
      <c r="G404" s="21">
        <f>SUM(G6:G403)</f>
        <v>7179029</v>
      </c>
      <c r="H404" s="22"/>
      <c r="I404" s="24">
        <f>SUM(I7:I320)</f>
        <v>6300000</v>
      </c>
      <c r="J404" s="1"/>
      <c r="O404">
        <f>6073924-5300000</f>
        <v>773924</v>
      </c>
    </row>
    <row r="405" spans="2:15" ht="15" x14ac:dyDescent="0.25">
      <c r="B405" s="1"/>
      <c r="C405" s="20" t="s">
        <v>10</v>
      </c>
      <c r="D405" s="25">
        <f>SUM(D404-I404)</f>
        <v>879029</v>
      </c>
      <c r="E405" s="22"/>
      <c r="F405" s="22"/>
      <c r="G405" s="26" t="s">
        <v>10</v>
      </c>
      <c r="H405" s="25">
        <f>SUM(G404-I404)</f>
        <v>879029</v>
      </c>
      <c r="I405" s="25"/>
      <c r="J40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85"/>
  <sheetViews>
    <sheetView workbookViewId="0">
      <selection activeCell="I9" sqref="I9:I11"/>
    </sheetView>
  </sheetViews>
  <sheetFormatPr defaultRowHeight="14.25" x14ac:dyDescent="0.2"/>
  <cols>
    <col min="1" max="1" width="5.375" customWidth="1"/>
    <col min="3" max="3" width="11.5" bestFit="1" customWidth="1"/>
    <col min="4" max="4" width="15.25" customWidth="1"/>
    <col min="6" max="6" width="9.75" customWidth="1"/>
    <col min="7" max="7" width="12.625" customWidth="1"/>
    <col min="8" max="8" width="13.625" customWidth="1"/>
    <col min="9" max="9" width="11.25" customWidth="1"/>
  </cols>
  <sheetData>
    <row r="3" spans="1:12" ht="21" x14ac:dyDescent="0.35">
      <c r="A3" s="1"/>
      <c r="B3" s="1"/>
      <c r="C3" s="1"/>
      <c r="D3" s="174" t="s">
        <v>331</v>
      </c>
      <c r="E3" s="174"/>
      <c r="F3" s="174"/>
      <c r="G3" s="174"/>
      <c r="H3" s="1"/>
      <c r="I3" s="1"/>
      <c r="J3" s="1"/>
    </row>
    <row r="4" spans="1:12" ht="18" x14ac:dyDescent="0.25">
      <c r="A4" s="1"/>
      <c r="B4" s="1"/>
      <c r="C4" s="1"/>
      <c r="D4" s="61"/>
      <c r="E4" s="161" t="s">
        <v>330</v>
      </c>
      <c r="H4" s="1"/>
      <c r="I4" s="1"/>
      <c r="J4" s="1"/>
    </row>
    <row r="5" spans="1:12" ht="15" x14ac:dyDescent="0.25">
      <c r="A5" s="6" t="s">
        <v>1</v>
      </c>
      <c r="B5" s="30" t="s">
        <v>2</v>
      </c>
      <c r="C5" s="30" t="s">
        <v>97</v>
      </c>
      <c r="D5" s="30" t="s">
        <v>4</v>
      </c>
      <c r="E5" s="59"/>
      <c r="F5" s="30" t="s">
        <v>5</v>
      </c>
      <c r="G5" s="30" t="s">
        <v>4</v>
      </c>
      <c r="H5" s="30" t="s">
        <v>98</v>
      </c>
      <c r="I5" s="107" t="s">
        <v>8</v>
      </c>
      <c r="J5" s="107" t="s">
        <v>2</v>
      </c>
    </row>
    <row r="6" spans="1:12" ht="15" x14ac:dyDescent="0.25">
      <c r="A6" s="1"/>
      <c r="B6" s="108" t="s">
        <v>270</v>
      </c>
      <c r="C6" s="162" t="s">
        <v>10</v>
      </c>
      <c r="D6" s="162">
        <v>809430</v>
      </c>
      <c r="E6" s="162"/>
      <c r="F6" s="162"/>
      <c r="G6" s="162">
        <v>809430</v>
      </c>
      <c r="H6" s="30"/>
      <c r="I6" s="107"/>
      <c r="J6" s="107"/>
    </row>
    <row r="7" spans="1:12" ht="15" x14ac:dyDescent="0.25">
      <c r="A7" s="1">
        <v>1</v>
      </c>
      <c r="B7" s="1" t="s">
        <v>309</v>
      </c>
      <c r="C7" s="32" t="s">
        <v>30</v>
      </c>
      <c r="D7" s="1">
        <v>4500</v>
      </c>
      <c r="E7" s="1"/>
      <c r="F7" s="1">
        <v>50.13</v>
      </c>
      <c r="G7" s="1">
        <v>4500</v>
      </c>
      <c r="H7" s="5">
        <f t="shared" ref="H7:H73" si="0">D7-G7</f>
        <v>0</v>
      </c>
      <c r="I7" s="30">
        <v>200000</v>
      </c>
      <c r="J7" s="30" t="s">
        <v>309</v>
      </c>
      <c r="K7" s="51" t="s">
        <v>93</v>
      </c>
    </row>
    <row r="8" spans="1:12" ht="15" x14ac:dyDescent="0.25">
      <c r="A8" s="1">
        <v>2</v>
      </c>
      <c r="B8" s="1" t="s">
        <v>309</v>
      </c>
      <c r="C8" s="32">
        <v>4237</v>
      </c>
      <c r="D8" s="1">
        <v>25000</v>
      </c>
      <c r="E8" s="1"/>
      <c r="F8" s="1">
        <v>278</v>
      </c>
      <c r="G8" s="1">
        <v>25000</v>
      </c>
      <c r="H8" s="5">
        <f t="shared" si="0"/>
        <v>0</v>
      </c>
      <c r="I8" s="30">
        <v>400000</v>
      </c>
      <c r="J8" s="30" t="s">
        <v>311</v>
      </c>
      <c r="K8" s="51" t="s">
        <v>93</v>
      </c>
      <c r="L8" s="40"/>
    </row>
    <row r="9" spans="1:12" ht="15" x14ac:dyDescent="0.25">
      <c r="A9" s="1">
        <v>3</v>
      </c>
      <c r="B9" s="1" t="s">
        <v>309</v>
      </c>
      <c r="C9" s="32">
        <v>8454</v>
      </c>
      <c r="D9" s="1">
        <v>27000</v>
      </c>
      <c r="E9" s="1"/>
      <c r="F9" s="1">
        <v>334</v>
      </c>
      <c r="G9" s="1">
        <v>27000</v>
      </c>
      <c r="H9" s="5">
        <f t="shared" si="0"/>
        <v>0</v>
      </c>
      <c r="I9" s="171">
        <v>300000</v>
      </c>
      <c r="J9" s="171" t="s">
        <v>313</v>
      </c>
      <c r="K9" s="172" t="s">
        <v>312</v>
      </c>
      <c r="L9" s="172"/>
    </row>
    <row r="10" spans="1:12" ht="15" x14ac:dyDescent="0.25">
      <c r="A10" s="1">
        <v>4</v>
      </c>
      <c r="B10" s="1" t="s">
        <v>309</v>
      </c>
      <c r="C10" s="32">
        <v>7562</v>
      </c>
      <c r="D10" s="1">
        <v>27000</v>
      </c>
      <c r="E10" s="1"/>
      <c r="F10" s="1">
        <v>334</v>
      </c>
      <c r="G10" s="1">
        <v>27000</v>
      </c>
      <c r="H10" s="5">
        <f t="shared" si="0"/>
        <v>0</v>
      </c>
      <c r="I10" s="171">
        <v>300000</v>
      </c>
      <c r="J10" s="171" t="s">
        <v>315</v>
      </c>
      <c r="K10" s="172" t="s">
        <v>312</v>
      </c>
      <c r="L10" s="172"/>
    </row>
    <row r="11" spans="1:12" ht="15" x14ac:dyDescent="0.25">
      <c r="A11" s="1">
        <v>5</v>
      </c>
      <c r="B11" s="1" t="s">
        <v>309</v>
      </c>
      <c r="C11" s="32">
        <v>7077</v>
      </c>
      <c r="D11" s="1">
        <v>20000</v>
      </c>
      <c r="E11" s="1"/>
      <c r="F11" s="1">
        <v>222</v>
      </c>
      <c r="G11" s="1">
        <v>20000</v>
      </c>
      <c r="H11" s="5">
        <f t="shared" si="0"/>
        <v>0</v>
      </c>
      <c r="I11" s="171">
        <v>250000</v>
      </c>
      <c r="J11" s="171" t="s">
        <v>316</v>
      </c>
      <c r="K11" s="172" t="s">
        <v>312</v>
      </c>
      <c r="L11" s="172"/>
    </row>
    <row r="12" spans="1:12" ht="15" x14ac:dyDescent="0.25">
      <c r="A12" s="1">
        <v>6</v>
      </c>
      <c r="B12" s="1" t="s">
        <v>309</v>
      </c>
      <c r="C12" s="32">
        <v>4575</v>
      </c>
      <c r="D12" s="1">
        <v>13000</v>
      </c>
      <c r="E12" s="1"/>
      <c r="F12" s="1">
        <v>144</v>
      </c>
      <c r="G12" s="1">
        <v>13000</v>
      </c>
      <c r="H12" s="5">
        <f t="shared" si="0"/>
        <v>0</v>
      </c>
      <c r="I12" s="30">
        <v>300000</v>
      </c>
      <c r="J12" s="30" t="s">
        <v>317</v>
      </c>
      <c r="K12" s="51" t="s">
        <v>93</v>
      </c>
    </row>
    <row r="13" spans="1:12" ht="15" x14ac:dyDescent="0.25">
      <c r="A13" s="1">
        <v>7</v>
      </c>
      <c r="B13" s="1" t="s">
        <v>309</v>
      </c>
      <c r="C13" s="32">
        <v>8565</v>
      </c>
      <c r="D13" s="1">
        <v>13000</v>
      </c>
      <c r="E13" s="1"/>
      <c r="F13" s="1">
        <v>144</v>
      </c>
      <c r="G13" s="1">
        <v>13000</v>
      </c>
      <c r="H13" s="5">
        <f t="shared" si="0"/>
        <v>0</v>
      </c>
      <c r="I13" s="30">
        <v>400000</v>
      </c>
      <c r="J13" s="30" t="s">
        <v>319</v>
      </c>
      <c r="K13" s="51" t="s">
        <v>93</v>
      </c>
      <c r="L13" s="40"/>
    </row>
    <row r="14" spans="1:12" ht="15" x14ac:dyDescent="0.25">
      <c r="A14" s="1">
        <v>8</v>
      </c>
      <c r="B14" s="1" t="s">
        <v>309</v>
      </c>
      <c r="C14" s="32">
        <v>8595</v>
      </c>
      <c r="D14" s="1">
        <v>13000</v>
      </c>
      <c r="E14" s="1"/>
      <c r="F14" s="1">
        <v>144</v>
      </c>
      <c r="G14" s="1">
        <v>13000</v>
      </c>
      <c r="H14" s="5">
        <f t="shared" si="0"/>
        <v>0</v>
      </c>
      <c r="I14" s="30">
        <v>400000</v>
      </c>
      <c r="J14" s="30" t="s">
        <v>320</v>
      </c>
      <c r="K14" s="51" t="s">
        <v>93</v>
      </c>
      <c r="L14" s="40"/>
    </row>
    <row r="15" spans="1:12" ht="15" x14ac:dyDescent="0.25">
      <c r="A15" s="1">
        <v>9</v>
      </c>
      <c r="B15" s="1" t="s">
        <v>309</v>
      </c>
      <c r="C15" s="32">
        <v>5750</v>
      </c>
      <c r="D15" s="1">
        <v>20000</v>
      </c>
      <c r="E15" s="1"/>
      <c r="F15" s="1">
        <v>222</v>
      </c>
      <c r="G15" s="1">
        <v>20000</v>
      </c>
      <c r="H15" s="5">
        <f t="shared" si="0"/>
        <v>0</v>
      </c>
      <c r="I15" s="30">
        <v>150000</v>
      </c>
      <c r="J15" s="30" t="s">
        <v>322</v>
      </c>
      <c r="K15" s="105" t="s">
        <v>93</v>
      </c>
      <c r="L15" s="51"/>
    </row>
    <row r="16" spans="1:12" ht="15" x14ac:dyDescent="0.25">
      <c r="A16" s="1">
        <v>10</v>
      </c>
      <c r="B16" s="1" t="s">
        <v>309</v>
      </c>
      <c r="C16" s="32">
        <v>2829</v>
      </c>
      <c r="D16" s="1">
        <v>17000</v>
      </c>
      <c r="E16" s="1"/>
      <c r="F16" s="1">
        <v>189</v>
      </c>
      <c r="G16" s="1">
        <v>17000</v>
      </c>
      <c r="H16" s="5">
        <f t="shared" si="0"/>
        <v>0</v>
      </c>
      <c r="I16" s="30">
        <v>200000</v>
      </c>
      <c r="J16" s="30" t="s">
        <v>324</v>
      </c>
      <c r="K16" s="51" t="s">
        <v>93</v>
      </c>
    </row>
    <row r="17" spans="1:12" ht="15" x14ac:dyDescent="0.25">
      <c r="A17" s="1">
        <v>11</v>
      </c>
      <c r="B17" s="1" t="s">
        <v>309</v>
      </c>
      <c r="C17" s="32">
        <v>6782</v>
      </c>
      <c r="D17" s="1">
        <v>23000</v>
      </c>
      <c r="E17" s="1"/>
      <c r="F17" s="1">
        <v>256</v>
      </c>
      <c r="G17" s="1">
        <v>23000</v>
      </c>
      <c r="H17" s="5">
        <f t="shared" si="0"/>
        <v>0</v>
      </c>
      <c r="I17" s="30">
        <v>200000</v>
      </c>
      <c r="J17" s="30" t="s">
        <v>325</v>
      </c>
      <c r="K17" s="51" t="s">
        <v>93</v>
      </c>
    </row>
    <row r="18" spans="1:12" ht="15" x14ac:dyDescent="0.25">
      <c r="A18" s="1">
        <v>12</v>
      </c>
      <c r="B18" s="1" t="s">
        <v>309</v>
      </c>
      <c r="C18" s="32">
        <v>672</v>
      </c>
      <c r="D18" s="1">
        <v>30000</v>
      </c>
      <c r="E18" s="1"/>
      <c r="F18" s="1">
        <v>334</v>
      </c>
      <c r="G18" s="1">
        <v>30000</v>
      </c>
      <c r="H18" s="5">
        <f t="shared" si="0"/>
        <v>0</v>
      </c>
      <c r="I18" s="30">
        <v>150000</v>
      </c>
      <c r="J18" s="30" t="s">
        <v>328</v>
      </c>
      <c r="K18" s="105" t="s">
        <v>93</v>
      </c>
      <c r="L18" s="51"/>
    </row>
    <row r="19" spans="1:12" ht="15" x14ac:dyDescent="0.25">
      <c r="A19" s="1">
        <v>13</v>
      </c>
      <c r="B19" s="1" t="s">
        <v>309</v>
      </c>
      <c r="C19" s="32">
        <v>4159</v>
      </c>
      <c r="D19" s="1">
        <v>19000</v>
      </c>
      <c r="E19" s="1"/>
      <c r="F19" s="1">
        <v>211</v>
      </c>
      <c r="G19" s="1">
        <v>19000</v>
      </c>
      <c r="H19" s="5">
        <f t="shared" si="0"/>
        <v>0</v>
      </c>
      <c r="I19" s="30">
        <v>150000</v>
      </c>
      <c r="J19" s="30" t="s">
        <v>329</v>
      </c>
      <c r="K19" s="105" t="s">
        <v>93</v>
      </c>
      <c r="L19" s="51"/>
    </row>
    <row r="20" spans="1:12" ht="15" x14ac:dyDescent="0.25">
      <c r="A20" s="1">
        <v>14</v>
      </c>
      <c r="B20" s="1" t="s">
        <v>310</v>
      </c>
      <c r="C20" s="32">
        <v>5147</v>
      </c>
      <c r="D20" s="1">
        <v>16000</v>
      </c>
      <c r="E20" s="1"/>
      <c r="F20" s="1">
        <v>178.25</v>
      </c>
      <c r="G20" s="1">
        <v>16000</v>
      </c>
      <c r="H20" s="5">
        <f t="shared" si="0"/>
        <v>0</v>
      </c>
      <c r="I20" s="30">
        <v>150000</v>
      </c>
      <c r="J20" s="30" t="s">
        <v>334</v>
      </c>
    </row>
    <row r="21" spans="1:12" ht="15" x14ac:dyDescent="0.25">
      <c r="A21" s="1">
        <v>15</v>
      </c>
      <c r="B21" s="1" t="s">
        <v>310</v>
      </c>
      <c r="C21" s="32">
        <v>5145</v>
      </c>
      <c r="D21" s="1">
        <v>16000</v>
      </c>
      <c r="E21" s="1"/>
      <c r="F21" s="1">
        <v>178.25</v>
      </c>
      <c r="G21" s="1">
        <v>16000</v>
      </c>
      <c r="H21" s="5">
        <f t="shared" si="0"/>
        <v>0</v>
      </c>
      <c r="I21" s="30">
        <v>400000</v>
      </c>
      <c r="J21" s="30" t="s">
        <v>340</v>
      </c>
    </row>
    <row r="22" spans="1:12" ht="15" x14ac:dyDescent="0.25">
      <c r="A22" s="1">
        <v>16</v>
      </c>
      <c r="B22" s="1" t="s">
        <v>310</v>
      </c>
      <c r="C22" s="32">
        <v>915</v>
      </c>
      <c r="D22" s="1">
        <v>13000</v>
      </c>
      <c r="E22" s="1"/>
      <c r="F22" s="1">
        <v>144</v>
      </c>
      <c r="G22" s="1">
        <v>13000</v>
      </c>
      <c r="H22" s="5">
        <f t="shared" si="0"/>
        <v>0</v>
      </c>
      <c r="I22" s="30">
        <v>300000</v>
      </c>
      <c r="J22" s="30" t="s">
        <v>341</v>
      </c>
    </row>
    <row r="23" spans="1:12" ht="15" x14ac:dyDescent="0.25">
      <c r="A23" s="1">
        <v>17</v>
      </c>
      <c r="B23" s="1" t="s">
        <v>310</v>
      </c>
      <c r="C23" s="32" t="s">
        <v>63</v>
      </c>
      <c r="D23" s="1">
        <v>3500</v>
      </c>
      <c r="E23" s="1"/>
      <c r="F23" s="1">
        <v>38.950000000000003</v>
      </c>
      <c r="G23" s="1">
        <v>3500</v>
      </c>
      <c r="H23" s="5">
        <f t="shared" si="0"/>
        <v>0</v>
      </c>
      <c r="I23" s="30">
        <v>300000</v>
      </c>
      <c r="J23" s="30" t="s">
        <v>343</v>
      </c>
    </row>
    <row r="24" spans="1:12" ht="15" x14ac:dyDescent="0.25">
      <c r="A24" s="1">
        <v>18</v>
      </c>
      <c r="B24" s="1" t="s">
        <v>310</v>
      </c>
      <c r="C24" s="32">
        <v>1405</v>
      </c>
      <c r="D24" s="1">
        <v>13500</v>
      </c>
      <c r="E24" s="1"/>
      <c r="F24" s="1">
        <v>150</v>
      </c>
      <c r="G24" s="1">
        <v>13500</v>
      </c>
      <c r="H24" s="5">
        <f t="shared" si="0"/>
        <v>0</v>
      </c>
      <c r="I24" s="30"/>
      <c r="J24" s="30"/>
    </row>
    <row r="25" spans="1:12" ht="15" x14ac:dyDescent="0.25">
      <c r="A25" s="1">
        <v>19</v>
      </c>
      <c r="B25" s="1" t="s">
        <v>310</v>
      </c>
      <c r="C25" s="32">
        <v>2621</v>
      </c>
      <c r="D25" s="1">
        <v>5000</v>
      </c>
      <c r="E25" s="1"/>
      <c r="F25" s="1">
        <v>55.13</v>
      </c>
      <c r="G25" s="1">
        <v>5000</v>
      </c>
      <c r="H25" s="5">
        <f t="shared" si="0"/>
        <v>0</v>
      </c>
      <c r="I25" s="30"/>
      <c r="J25" s="30"/>
    </row>
    <row r="26" spans="1:12" ht="15" x14ac:dyDescent="0.25">
      <c r="A26" s="1">
        <v>20</v>
      </c>
      <c r="B26" s="1" t="s">
        <v>310</v>
      </c>
      <c r="C26" s="32">
        <v>6946</v>
      </c>
      <c r="D26" s="1">
        <v>20000</v>
      </c>
      <c r="E26" s="1"/>
      <c r="F26" s="1">
        <v>222</v>
      </c>
      <c r="G26" s="1">
        <v>20000</v>
      </c>
      <c r="H26" s="5">
        <f t="shared" si="0"/>
        <v>0</v>
      </c>
      <c r="I26" s="30"/>
      <c r="J26" s="30"/>
    </row>
    <row r="27" spans="1:12" ht="15" x14ac:dyDescent="0.25">
      <c r="A27" s="1">
        <v>21</v>
      </c>
      <c r="B27" s="1" t="s">
        <v>310</v>
      </c>
      <c r="C27" s="32">
        <v>9968</v>
      </c>
      <c r="D27" s="1">
        <v>7000</v>
      </c>
      <c r="E27" s="1"/>
      <c r="F27" s="1">
        <v>77.989999999999995</v>
      </c>
      <c r="G27" s="1">
        <v>7000</v>
      </c>
      <c r="H27" s="5">
        <f t="shared" si="0"/>
        <v>0</v>
      </c>
      <c r="I27" s="30"/>
      <c r="J27" s="30"/>
    </row>
    <row r="28" spans="1:12" ht="15" x14ac:dyDescent="0.25">
      <c r="A28" s="1">
        <v>22</v>
      </c>
      <c r="B28" s="1" t="s">
        <v>310</v>
      </c>
      <c r="C28" s="32">
        <v>21</v>
      </c>
      <c r="D28" s="1">
        <v>8000</v>
      </c>
      <c r="E28" s="1"/>
      <c r="F28" s="1">
        <v>89.13</v>
      </c>
      <c r="G28" s="1">
        <v>8000</v>
      </c>
      <c r="H28" s="5">
        <f t="shared" si="0"/>
        <v>0</v>
      </c>
      <c r="I28" s="30"/>
      <c r="J28" s="30"/>
    </row>
    <row r="29" spans="1:12" ht="15" x14ac:dyDescent="0.25">
      <c r="A29" s="1">
        <v>23</v>
      </c>
      <c r="B29" s="1" t="s">
        <v>310</v>
      </c>
      <c r="C29" s="32">
        <v>4485</v>
      </c>
      <c r="D29" s="1">
        <v>15000</v>
      </c>
      <c r="E29" s="1"/>
      <c r="F29" s="1">
        <v>167.41</v>
      </c>
      <c r="G29" s="1">
        <v>15000</v>
      </c>
      <c r="H29" s="5">
        <f t="shared" si="0"/>
        <v>0</v>
      </c>
      <c r="I29" s="30"/>
      <c r="J29" s="30"/>
    </row>
    <row r="30" spans="1:12" ht="15" x14ac:dyDescent="0.25">
      <c r="A30" s="1">
        <v>24</v>
      </c>
      <c r="B30" s="1" t="s">
        <v>310</v>
      </c>
      <c r="C30" s="32">
        <v>339</v>
      </c>
      <c r="D30" s="1">
        <v>17000</v>
      </c>
      <c r="E30" s="1"/>
      <c r="F30" s="1">
        <v>189</v>
      </c>
      <c r="G30" s="1">
        <v>17000</v>
      </c>
      <c r="H30" s="5">
        <f t="shared" si="0"/>
        <v>0</v>
      </c>
      <c r="I30" s="30"/>
      <c r="J30" s="30"/>
    </row>
    <row r="31" spans="1:12" x14ac:dyDescent="0.2">
      <c r="A31" s="1">
        <v>25</v>
      </c>
      <c r="B31" s="1" t="s">
        <v>310</v>
      </c>
      <c r="C31" s="32">
        <v>9987</v>
      </c>
      <c r="D31" s="1">
        <v>10000</v>
      </c>
      <c r="E31" s="1"/>
      <c r="F31" s="1">
        <v>111.41</v>
      </c>
      <c r="G31" s="1">
        <v>10000</v>
      </c>
      <c r="H31" s="5">
        <f t="shared" si="0"/>
        <v>0</v>
      </c>
      <c r="I31" s="1"/>
      <c r="J31" s="1"/>
    </row>
    <row r="32" spans="1:12" x14ac:dyDescent="0.2">
      <c r="A32" s="1">
        <v>26</v>
      </c>
      <c r="B32" s="1" t="s">
        <v>310</v>
      </c>
      <c r="C32" s="32">
        <v>8814</v>
      </c>
      <c r="D32" s="1">
        <v>20000</v>
      </c>
      <c r="E32" s="1"/>
      <c r="F32" s="1">
        <v>222.82</v>
      </c>
      <c r="G32" s="1">
        <v>20000</v>
      </c>
      <c r="H32" s="5">
        <f t="shared" si="0"/>
        <v>0</v>
      </c>
      <c r="I32" s="1"/>
      <c r="J32" s="1"/>
    </row>
    <row r="33" spans="1:10" x14ac:dyDescent="0.2">
      <c r="A33" s="1">
        <v>27</v>
      </c>
      <c r="B33" s="1" t="s">
        <v>310</v>
      </c>
      <c r="C33" s="32">
        <v>4135</v>
      </c>
      <c r="D33" s="1">
        <v>22000</v>
      </c>
      <c r="E33" s="1"/>
      <c r="F33" s="1">
        <v>245</v>
      </c>
      <c r="G33" s="1">
        <v>22000</v>
      </c>
      <c r="H33" s="5">
        <f t="shared" si="0"/>
        <v>0</v>
      </c>
      <c r="I33" s="1"/>
      <c r="J33" s="1"/>
    </row>
    <row r="34" spans="1:10" x14ac:dyDescent="0.2">
      <c r="A34" s="1">
        <v>28</v>
      </c>
      <c r="B34" s="1" t="s">
        <v>310</v>
      </c>
      <c r="C34" s="32" t="s">
        <v>66</v>
      </c>
      <c r="D34" s="1">
        <v>100</v>
      </c>
      <c r="E34" s="1"/>
      <c r="F34" s="1">
        <v>96.04</v>
      </c>
      <c r="G34" s="1">
        <v>100</v>
      </c>
      <c r="H34" s="5">
        <f t="shared" si="0"/>
        <v>0</v>
      </c>
      <c r="I34" s="1"/>
      <c r="J34" s="1"/>
    </row>
    <row r="35" spans="1:10" x14ac:dyDescent="0.2">
      <c r="A35" s="1">
        <v>29</v>
      </c>
      <c r="B35" s="1" t="s">
        <v>311</v>
      </c>
      <c r="C35" s="32">
        <v>910</v>
      </c>
      <c r="D35" s="1">
        <v>20000</v>
      </c>
      <c r="E35" s="1"/>
      <c r="F35" s="1">
        <v>222.82</v>
      </c>
      <c r="G35" s="1">
        <v>20000</v>
      </c>
      <c r="H35" s="5">
        <f t="shared" si="0"/>
        <v>0</v>
      </c>
      <c r="I35" s="1"/>
      <c r="J35" s="1"/>
    </row>
    <row r="36" spans="1:10" x14ac:dyDescent="0.2">
      <c r="A36" s="1">
        <v>30</v>
      </c>
      <c r="B36" s="1" t="s">
        <v>311</v>
      </c>
      <c r="C36" s="32">
        <v>5749</v>
      </c>
      <c r="D36" s="1">
        <v>28000</v>
      </c>
      <c r="E36" s="1"/>
      <c r="F36" s="1">
        <v>373</v>
      </c>
      <c r="G36" s="1">
        <v>28000</v>
      </c>
      <c r="H36" s="5">
        <f t="shared" si="0"/>
        <v>0</v>
      </c>
      <c r="I36" s="1"/>
      <c r="J36" s="1"/>
    </row>
    <row r="37" spans="1:10" x14ac:dyDescent="0.2">
      <c r="A37" s="1">
        <v>31</v>
      </c>
      <c r="B37" s="1" t="s">
        <v>311</v>
      </c>
      <c r="C37" s="32">
        <v>9918</v>
      </c>
      <c r="D37" s="1">
        <v>20000</v>
      </c>
      <c r="E37" s="1"/>
      <c r="F37" s="1">
        <v>222.82</v>
      </c>
      <c r="G37" s="1">
        <v>20000</v>
      </c>
      <c r="H37" s="5">
        <f t="shared" si="0"/>
        <v>0</v>
      </c>
      <c r="I37" s="1"/>
      <c r="J37" s="1"/>
    </row>
    <row r="38" spans="1:10" x14ac:dyDescent="0.2">
      <c r="A38" s="1">
        <v>32</v>
      </c>
      <c r="B38" s="1" t="s">
        <v>311</v>
      </c>
      <c r="C38" s="32">
        <v>9250</v>
      </c>
      <c r="D38" s="1">
        <v>26000</v>
      </c>
      <c r="E38" s="1"/>
      <c r="F38" s="1">
        <v>289</v>
      </c>
      <c r="G38" s="1">
        <v>26000</v>
      </c>
      <c r="H38" s="5">
        <f t="shared" si="0"/>
        <v>0</v>
      </c>
      <c r="I38" s="1"/>
      <c r="J38" s="1"/>
    </row>
    <row r="39" spans="1:10" x14ac:dyDescent="0.2">
      <c r="A39" s="1">
        <v>33</v>
      </c>
      <c r="B39" s="1" t="s">
        <v>311</v>
      </c>
      <c r="C39" s="32" t="s">
        <v>30</v>
      </c>
      <c r="D39" s="1">
        <v>4500</v>
      </c>
      <c r="E39" s="1"/>
      <c r="F39" s="1">
        <v>50.13</v>
      </c>
      <c r="G39" s="1">
        <v>4500</v>
      </c>
      <c r="H39" s="5">
        <f t="shared" si="0"/>
        <v>0</v>
      </c>
      <c r="I39" s="1"/>
      <c r="J39" s="1"/>
    </row>
    <row r="40" spans="1:10" x14ac:dyDescent="0.2">
      <c r="A40" s="1">
        <v>34</v>
      </c>
      <c r="B40" s="1" t="s">
        <v>311</v>
      </c>
      <c r="C40" s="32">
        <v>9998</v>
      </c>
      <c r="D40" s="1">
        <v>17000</v>
      </c>
      <c r="E40" s="1"/>
      <c r="F40" s="1">
        <v>189</v>
      </c>
      <c r="G40" s="1">
        <v>17000</v>
      </c>
      <c r="H40" s="5">
        <f t="shared" si="0"/>
        <v>0</v>
      </c>
      <c r="I40" s="1"/>
      <c r="J40" s="1"/>
    </row>
    <row r="41" spans="1:10" x14ac:dyDescent="0.2">
      <c r="A41" s="1">
        <v>35</v>
      </c>
      <c r="B41" s="1" t="s">
        <v>311</v>
      </c>
      <c r="C41" s="32">
        <v>9398</v>
      </c>
      <c r="D41" s="1">
        <v>18000</v>
      </c>
      <c r="E41" s="1"/>
      <c r="F41" s="1">
        <v>200.53</v>
      </c>
      <c r="G41" s="1">
        <v>18000</v>
      </c>
      <c r="H41" s="5">
        <f t="shared" si="0"/>
        <v>0</v>
      </c>
      <c r="I41" s="1"/>
      <c r="J41" s="1"/>
    </row>
    <row r="42" spans="1:10" x14ac:dyDescent="0.2">
      <c r="A42" s="1">
        <v>36</v>
      </c>
      <c r="B42" s="1" t="s">
        <v>311</v>
      </c>
      <c r="C42" s="32">
        <v>1871</v>
      </c>
      <c r="D42" s="1">
        <v>18000</v>
      </c>
      <c r="E42" s="1"/>
      <c r="F42" s="1">
        <v>200.53</v>
      </c>
      <c r="G42" s="1">
        <v>18000</v>
      </c>
      <c r="H42" s="5">
        <f t="shared" si="0"/>
        <v>0</v>
      </c>
      <c r="I42" s="1"/>
      <c r="J42" s="1"/>
    </row>
    <row r="43" spans="1:10" x14ac:dyDescent="0.2">
      <c r="A43" s="1">
        <v>37</v>
      </c>
      <c r="B43" s="1" t="s">
        <v>311</v>
      </c>
      <c r="C43" s="32">
        <v>9991</v>
      </c>
      <c r="D43" s="1">
        <v>14000</v>
      </c>
      <c r="E43" s="1"/>
      <c r="F43" s="1">
        <v>155.9</v>
      </c>
      <c r="G43" s="1">
        <v>14000</v>
      </c>
      <c r="H43" s="5">
        <f t="shared" si="0"/>
        <v>0</v>
      </c>
      <c r="I43" s="1"/>
      <c r="J43" s="1"/>
    </row>
    <row r="44" spans="1:10" x14ac:dyDescent="0.2">
      <c r="A44" s="1">
        <v>38</v>
      </c>
      <c r="B44" s="1" t="s">
        <v>311</v>
      </c>
      <c r="C44" s="32">
        <v>2957</v>
      </c>
      <c r="D44" s="1">
        <v>15000</v>
      </c>
      <c r="E44" s="1"/>
      <c r="F44" s="1">
        <v>167.41</v>
      </c>
      <c r="G44" s="1">
        <v>15000</v>
      </c>
      <c r="H44" s="5">
        <f t="shared" si="0"/>
        <v>0</v>
      </c>
      <c r="I44" s="1"/>
      <c r="J44" s="1"/>
    </row>
    <row r="45" spans="1:10" x14ac:dyDescent="0.2">
      <c r="A45" s="1">
        <v>39</v>
      </c>
      <c r="B45" s="1" t="s">
        <v>311</v>
      </c>
      <c r="C45" s="32">
        <v>7284</v>
      </c>
      <c r="D45" s="1">
        <v>25000</v>
      </c>
      <c r="E45" s="1"/>
      <c r="F45" s="1">
        <v>278</v>
      </c>
      <c r="G45" s="1">
        <v>25000</v>
      </c>
      <c r="H45" s="5">
        <f t="shared" si="0"/>
        <v>0</v>
      </c>
      <c r="I45" s="1"/>
      <c r="J45" s="1"/>
    </row>
    <row r="46" spans="1:10" x14ac:dyDescent="0.2">
      <c r="A46" s="1">
        <v>40</v>
      </c>
      <c r="B46" s="1" t="s">
        <v>311</v>
      </c>
      <c r="C46" s="32">
        <v>3097</v>
      </c>
      <c r="D46" s="1">
        <v>25000</v>
      </c>
      <c r="E46" s="1"/>
      <c r="F46" s="1">
        <v>278</v>
      </c>
      <c r="G46" s="1">
        <v>25000</v>
      </c>
      <c r="H46" s="5">
        <f t="shared" si="0"/>
        <v>0</v>
      </c>
      <c r="I46" s="1"/>
      <c r="J46" s="1"/>
    </row>
    <row r="47" spans="1:10" x14ac:dyDescent="0.2">
      <c r="A47" s="1">
        <v>41</v>
      </c>
      <c r="B47" s="1" t="s">
        <v>311</v>
      </c>
      <c r="C47" s="32">
        <v>6607</v>
      </c>
      <c r="D47" s="1">
        <v>20000</v>
      </c>
      <c r="E47" s="1"/>
      <c r="F47" s="1">
        <v>222.82</v>
      </c>
      <c r="G47" s="1">
        <v>20000</v>
      </c>
      <c r="H47" s="5">
        <f t="shared" si="0"/>
        <v>0</v>
      </c>
      <c r="I47" s="1"/>
      <c r="J47" s="1"/>
    </row>
    <row r="48" spans="1:10" x14ac:dyDescent="0.2">
      <c r="A48" s="1">
        <v>42</v>
      </c>
      <c r="B48" s="1" t="s">
        <v>311</v>
      </c>
      <c r="C48" s="32">
        <v>7138</v>
      </c>
      <c r="D48" s="1">
        <v>20000</v>
      </c>
      <c r="E48" s="1"/>
      <c r="F48" s="1">
        <v>222.82</v>
      </c>
      <c r="G48" s="1">
        <v>20000</v>
      </c>
      <c r="H48" s="5">
        <f t="shared" si="0"/>
        <v>0</v>
      </c>
      <c r="I48" s="1"/>
      <c r="J48" s="1"/>
    </row>
    <row r="49" spans="1:10" x14ac:dyDescent="0.2">
      <c r="A49" s="1">
        <v>43</v>
      </c>
      <c r="B49" s="1" t="s">
        <v>311</v>
      </c>
      <c r="C49" s="32">
        <v>3538</v>
      </c>
      <c r="D49" s="1">
        <v>20000</v>
      </c>
      <c r="E49" s="1"/>
      <c r="F49" s="1">
        <v>222.82</v>
      </c>
      <c r="G49" s="1">
        <v>20000</v>
      </c>
      <c r="H49" s="5">
        <f t="shared" si="0"/>
        <v>0</v>
      </c>
      <c r="I49" s="1"/>
      <c r="J49" s="1"/>
    </row>
    <row r="50" spans="1:10" x14ac:dyDescent="0.2">
      <c r="A50" s="1">
        <v>44</v>
      </c>
      <c r="B50" s="1" t="s">
        <v>311</v>
      </c>
      <c r="C50" s="32">
        <v>534</v>
      </c>
      <c r="D50" s="1">
        <v>30000</v>
      </c>
      <c r="E50" s="1"/>
      <c r="F50" s="1">
        <v>334</v>
      </c>
      <c r="G50" s="1">
        <v>30000</v>
      </c>
      <c r="H50" s="5">
        <f t="shared" si="0"/>
        <v>0</v>
      </c>
      <c r="I50" s="1"/>
      <c r="J50" s="1"/>
    </row>
    <row r="51" spans="1:10" x14ac:dyDescent="0.2">
      <c r="A51" s="1">
        <v>45</v>
      </c>
      <c r="B51" s="1" t="s">
        <v>311</v>
      </c>
      <c r="C51" s="32">
        <v>6787</v>
      </c>
      <c r="D51" s="1">
        <v>30000</v>
      </c>
      <c r="E51" s="1"/>
      <c r="F51" s="1">
        <v>334</v>
      </c>
      <c r="G51" s="1">
        <v>30000</v>
      </c>
      <c r="H51" s="5">
        <f t="shared" si="0"/>
        <v>0</v>
      </c>
      <c r="I51" s="1"/>
      <c r="J51" s="1"/>
    </row>
    <row r="52" spans="1:10" x14ac:dyDescent="0.2">
      <c r="A52" s="1">
        <v>46</v>
      </c>
      <c r="B52" s="1" t="s">
        <v>314</v>
      </c>
      <c r="C52" s="32" t="s">
        <v>30</v>
      </c>
      <c r="D52" s="1">
        <v>3500</v>
      </c>
      <c r="E52" s="1"/>
      <c r="F52" s="1">
        <v>38.950000000000003</v>
      </c>
      <c r="G52" s="1">
        <v>3500</v>
      </c>
      <c r="H52" s="5">
        <f t="shared" si="0"/>
        <v>0</v>
      </c>
      <c r="I52" s="1"/>
      <c r="J52" s="1"/>
    </row>
    <row r="53" spans="1:10" x14ac:dyDescent="0.2">
      <c r="A53" s="1">
        <v>47</v>
      </c>
      <c r="B53" s="1" t="s">
        <v>314</v>
      </c>
      <c r="C53" s="32">
        <v>7597</v>
      </c>
      <c r="D53" s="1">
        <v>20000</v>
      </c>
      <c r="E53" s="1"/>
      <c r="F53" s="1">
        <v>222.82</v>
      </c>
      <c r="G53" s="1">
        <v>20000</v>
      </c>
      <c r="H53" s="5">
        <f t="shared" si="0"/>
        <v>0</v>
      </c>
      <c r="I53" s="1"/>
      <c r="J53" s="1"/>
    </row>
    <row r="54" spans="1:10" x14ac:dyDescent="0.2">
      <c r="A54" s="1">
        <v>48</v>
      </c>
      <c r="B54" s="1" t="s">
        <v>314</v>
      </c>
      <c r="C54" s="32">
        <v>860</v>
      </c>
      <c r="D54" s="1">
        <v>25000</v>
      </c>
      <c r="E54" s="1"/>
      <c r="F54" s="1">
        <v>278</v>
      </c>
      <c r="G54" s="1">
        <v>25000</v>
      </c>
      <c r="H54" s="5">
        <f t="shared" si="0"/>
        <v>0</v>
      </c>
      <c r="I54" s="1"/>
      <c r="J54" s="1"/>
    </row>
    <row r="55" spans="1:10" x14ac:dyDescent="0.2">
      <c r="A55" s="1">
        <v>49</v>
      </c>
      <c r="B55" s="1" t="s">
        <v>314</v>
      </c>
      <c r="C55" s="32">
        <v>3662</v>
      </c>
      <c r="D55" s="1">
        <v>12000</v>
      </c>
      <c r="E55" s="1"/>
      <c r="F55" s="1">
        <v>133</v>
      </c>
      <c r="G55" s="1">
        <v>12000</v>
      </c>
      <c r="H55" s="5">
        <f t="shared" si="0"/>
        <v>0</v>
      </c>
      <c r="I55" s="1"/>
      <c r="J55" s="1"/>
    </row>
    <row r="56" spans="1:10" x14ac:dyDescent="0.2">
      <c r="A56" s="1">
        <v>50</v>
      </c>
      <c r="B56" s="1" t="s">
        <v>314</v>
      </c>
      <c r="C56" s="32">
        <v>6453</v>
      </c>
      <c r="D56" s="1">
        <v>20000</v>
      </c>
      <c r="E56" s="1"/>
      <c r="F56" s="1">
        <v>222.82</v>
      </c>
      <c r="G56" s="1">
        <v>20000</v>
      </c>
      <c r="H56" s="5">
        <f t="shared" si="0"/>
        <v>0</v>
      </c>
      <c r="I56" s="1"/>
      <c r="J56" s="1"/>
    </row>
    <row r="57" spans="1:10" x14ac:dyDescent="0.2">
      <c r="A57" s="1">
        <v>51</v>
      </c>
      <c r="B57" s="1" t="s">
        <v>314</v>
      </c>
      <c r="C57" s="32">
        <v>226</v>
      </c>
      <c r="D57" s="1">
        <v>14748</v>
      </c>
      <c r="E57" s="1"/>
      <c r="F57" s="1">
        <v>164</v>
      </c>
      <c r="G57" s="1">
        <v>14748</v>
      </c>
      <c r="H57" s="5">
        <f t="shared" si="0"/>
        <v>0</v>
      </c>
      <c r="I57" s="1"/>
      <c r="J57" s="1"/>
    </row>
    <row r="58" spans="1:10" x14ac:dyDescent="0.2">
      <c r="A58" s="1">
        <v>52</v>
      </c>
      <c r="B58" s="1" t="s">
        <v>314</v>
      </c>
      <c r="C58" s="32">
        <v>5266</v>
      </c>
      <c r="D58" s="1">
        <v>30000</v>
      </c>
      <c r="E58" s="1"/>
      <c r="F58" s="1">
        <v>334</v>
      </c>
      <c r="G58" s="1">
        <v>30000</v>
      </c>
      <c r="H58" s="5">
        <f t="shared" si="0"/>
        <v>0</v>
      </c>
      <c r="I58" s="1"/>
      <c r="J58" s="1"/>
    </row>
    <row r="59" spans="1:10" x14ac:dyDescent="0.2">
      <c r="A59" s="1">
        <v>53</v>
      </c>
      <c r="B59" s="1" t="s">
        <v>314</v>
      </c>
      <c r="C59" s="32">
        <v>9793</v>
      </c>
      <c r="D59" s="1">
        <v>25000</v>
      </c>
      <c r="E59" s="1"/>
      <c r="F59" s="1">
        <v>278</v>
      </c>
      <c r="G59" s="1">
        <v>25000</v>
      </c>
      <c r="H59" s="5">
        <f t="shared" si="0"/>
        <v>0</v>
      </c>
      <c r="I59" s="1"/>
      <c r="J59" s="1"/>
    </row>
    <row r="60" spans="1:10" x14ac:dyDescent="0.2">
      <c r="A60" s="1">
        <v>54</v>
      </c>
      <c r="B60" s="1" t="s">
        <v>314</v>
      </c>
      <c r="C60" s="32">
        <v>1717</v>
      </c>
      <c r="D60" s="1">
        <v>25000</v>
      </c>
      <c r="E60" s="1"/>
      <c r="F60" s="1">
        <v>278</v>
      </c>
      <c r="G60" s="1">
        <v>25000</v>
      </c>
      <c r="H60" s="5">
        <f t="shared" si="0"/>
        <v>0</v>
      </c>
      <c r="I60" s="1"/>
      <c r="J60" s="1"/>
    </row>
    <row r="61" spans="1:10" x14ac:dyDescent="0.2">
      <c r="A61" s="1">
        <v>55</v>
      </c>
      <c r="B61" s="1" t="s">
        <v>314</v>
      </c>
      <c r="C61" s="32">
        <v>6064</v>
      </c>
      <c r="D61" s="1">
        <v>18000</v>
      </c>
      <c r="E61" s="1"/>
      <c r="F61" s="1">
        <v>200.53</v>
      </c>
      <c r="G61" s="1">
        <v>18000</v>
      </c>
      <c r="H61" s="5">
        <f t="shared" si="0"/>
        <v>0</v>
      </c>
      <c r="I61" s="1"/>
      <c r="J61" s="1"/>
    </row>
    <row r="62" spans="1:10" x14ac:dyDescent="0.2">
      <c r="A62" s="1">
        <v>56</v>
      </c>
      <c r="B62" s="1" t="s">
        <v>314</v>
      </c>
      <c r="C62" s="32">
        <v>1066</v>
      </c>
      <c r="D62" s="1">
        <v>27000</v>
      </c>
      <c r="E62" s="1"/>
      <c r="F62" s="1">
        <v>293</v>
      </c>
      <c r="G62" s="1">
        <v>27000</v>
      </c>
      <c r="H62" s="5">
        <f t="shared" si="0"/>
        <v>0</v>
      </c>
      <c r="I62" s="1"/>
      <c r="J62" s="1"/>
    </row>
    <row r="63" spans="1:10" x14ac:dyDescent="0.2">
      <c r="A63" s="1">
        <v>57</v>
      </c>
      <c r="B63" s="1" t="s">
        <v>313</v>
      </c>
      <c r="C63" s="32">
        <v>9808</v>
      </c>
      <c r="D63" s="1">
        <v>18000</v>
      </c>
      <c r="E63" s="1"/>
      <c r="F63" s="1">
        <v>200.53</v>
      </c>
      <c r="G63" s="1">
        <v>18000</v>
      </c>
      <c r="H63" s="5">
        <f t="shared" si="0"/>
        <v>0</v>
      </c>
      <c r="I63" s="1"/>
      <c r="J63" s="1"/>
    </row>
    <row r="64" spans="1:10" x14ac:dyDescent="0.2">
      <c r="A64" s="1">
        <v>58</v>
      </c>
      <c r="B64" s="1" t="s">
        <v>313</v>
      </c>
      <c r="C64" s="32">
        <v>4041</v>
      </c>
      <c r="D64" s="1">
        <v>30000</v>
      </c>
      <c r="E64" s="1"/>
      <c r="F64" s="1">
        <v>334</v>
      </c>
      <c r="G64" s="1">
        <v>30000</v>
      </c>
      <c r="H64" s="5">
        <f t="shared" si="0"/>
        <v>0</v>
      </c>
      <c r="I64" s="1"/>
      <c r="J64" s="1"/>
    </row>
    <row r="65" spans="1:10" x14ac:dyDescent="0.2">
      <c r="A65" s="1">
        <v>59</v>
      </c>
      <c r="B65" s="1" t="s">
        <v>313</v>
      </c>
      <c r="C65" s="32">
        <v>4665</v>
      </c>
      <c r="D65" s="1">
        <v>20000</v>
      </c>
      <c r="E65" s="1"/>
      <c r="F65" s="1">
        <v>222.82</v>
      </c>
      <c r="G65" s="1">
        <v>20000</v>
      </c>
      <c r="H65" s="5">
        <f t="shared" si="0"/>
        <v>0</v>
      </c>
      <c r="I65" s="1"/>
      <c r="J65" s="1"/>
    </row>
    <row r="66" spans="1:10" x14ac:dyDescent="0.2">
      <c r="A66" s="1">
        <v>60</v>
      </c>
      <c r="B66" s="1" t="s">
        <v>313</v>
      </c>
      <c r="C66" s="32" t="s">
        <v>66</v>
      </c>
      <c r="D66" s="1">
        <v>210</v>
      </c>
      <c r="E66" s="1"/>
      <c r="F66" s="1">
        <v>2.1800000000000002</v>
      </c>
      <c r="G66" s="1">
        <v>210</v>
      </c>
      <c r="H66" s="5">
        <f t="shared" si="0"/>
        <v>0</v>
      </c>
      <c r="I66" s="1"/>
      <c r="J66" s="1"/>
    </row>
    <row r="67" spans="1:10" x14ac:dyDescent="0.2">
      <c r="A67" s="1">
        <v>61</v>
      </c>
      <c r="B67" s="1" t="s">
        <v>315</v>
      </c>
      <c r="C67" s="32">
        <v>386</v>
      </c>
      <c r="D67" s="1">
        <v>24000</v>
      </c>
      <c r="E67" s="1"/>
      <c r="F67" s="1">
        <v>253</v>
      </c>
      <c r="G67" s="1">
        <v>24000</v>
      </c>
      <c r="H67" s="5">
        <f t="shared" si="0"/>
        <v>0</v>
      </c>
      <c r="I67" s="1"/>
      <c r="J67" s="1"/>
    </row>
    <row r="68" spans="1:10" x14ac:dyDescent="0.2">
      <c r="A68" s="1">
        <v>62</v>
      </c>
      <c r="B68" s="1" t="s">
        <v>315</v>
      </c>
      <c r="C68" s="32">
        <v>3106</v>
      </c>
      <c r="D68" s="1">
        <v>27000</v>
      </c>
      <c r="E68" s="1"/>
      <c r="F68" s="1">
        <v>293</v>
      </c>
      <c r="G68" s="1">
        <v>27000</v>
      </c>
      <c r="H68" s="5">
        <f t="shared" si="0"/>
        <v>0</v>
      </c>
      <c r="I68" s="1"/>
      <c r="J68" s="1"/>
    </row>
    <row r="69" spans="1:10" x14ac:dyDescent="0.2">
      <c r="A69" s="1">
        <v>63</v>
      </c>
      <c r="B69" s="1" t="s">
        <v>315</v>
      </c>
      <c r="C69" s="32" t="s">
        <v>30</v>
      </c>
      <c r="D69" s="1">
        <v>4500</v>
      </c>
      <c r="E69" s="1"/>
      <c r="F69" s="1">
        <v>50.13</v>
      </c>
      <c r="G69" s="1">
        <v>4500</v>
      </c>
      <c r="H69" s="5">
        <f t="shared" si="0"/>
        <v>0</v>
      </c>
      <c r="I69" s="1"/>
      <c r="J69" s="1"/>
    </row>
    <row r="70" spans="1:10" x14ac:dyDescent="0.2">
      <c r="A70" s="1">
        <v>64</v>
      </c>
      <c r="B70" s="1" t="s">
        <v>315</v>
      </c>
      <c r="C70" s="32" t="s">
        <v>30</v>
      </c>
      <c r="D70" s="1">
        <v>7000</v>
      </c>
      <c r="E70" s="1"/>
      <c r="F70" s="1">
        <v>77.989999999999995</v>
      </c>
      <c r="G70" s="1">
        <v>7000</v>
      </c>
      <c r="H70" s="5">
        <f t="shared" si="0"/>
        <v>0</v>
      </c>
      <c r="I70" s="1"/>
      <c r="J70" s="1"/>
    </row>
    <row r="71" spans="1:10" x14ac:dyDescent="0.2">
      <c r="A71" s="1">
        <v>65</v>
      </c>
      <c r="B71" s="1" t="s">
        <v>315</v>
      </c>
      <c r="C71" s="32">
        <v>2271</v>
      </c>
      <c r="D71" s="1">
        <v>15000</v>
      </c>
      <c r="E71" s="1"/>
      <c r="F71" s="1">
        <v>167.11</v>
      </c>
      <c r="G71" s="1">
        <v>15000</v>
      </c>
      <c r="H71" s="5">
        <f t="shared" si="0"/>
        <v>0</v>
      </c>
      <c r="I71" s="1"/>
      <c r="J71" s="1"/>
    </row>
    <row r="72" spans="1:10" x14ac:dyDescent="0.2">
      <c r="A72" s="1">
        <v>66</v>
      </c>
      <c r="B72" s="1" t="s">
        <v>315</v>
      </c>
      <c r="C72" s="32">
        <v>4806</v>
      </c>
      <c r="D72" s="1">
        <v>20000</v>
      </c>
      <c r="E72" s="1"/>
      <c r="F72" s="1">
        <v>222</v>
      </c>
      <c r="G72" s="1">
        <v>20000</v>
      </c>
      <c r="H72" s="5">
        <f t="shared" si="0"/>
        <v>0</v>
      </c>
      <c r="I72" s="1"/>
      <c r="J72" s="1"/>
    </row>
    <row r="73" spans="1:10" x14ac:dyDescent="0.2">
      <c r="A73" s="1">
        <v>67</v>
      </c>
      <c r="B73" s="1" t="s">
        <v>315</v>
      </c>
      <c r="C73" s="32">
        <v>4566</v>
      </c>
      <c r="D73" s="1">
        <v>15000</v>
      </c>
      <c r="E73" s="1"/>
      <c r="F73" s="1">
        <v>167.11</v>
      </c>
      <c r="G73" s="1">
        <v>15000</v>
      </c>
      <c r="H73" s="5">
        <f t="shared" si="0"/>
        <v>0</v>
      </c>
      <c r="I73" s="1"/>
      <c r="J73" s="1"/>
    </row>
    <row r="74" spans="1:10" x14ac:dyDescent="0.2">
      <c r="A74" s="1">
        <v>68</v>
      </c>
      <c r="B74" s="1" t="s">
        <v>315</v>
      </c>
      <c r="C74" s="32">
        <v>654</v>
      </c>
      <c r="D74" s="1">
        <v>25000</v>
      </c>
      <c r="E74" s="1"/>
      <c r="F74" s="1">
        <v>278</v>
      </c>
      <c r="G74" s="1">
        <v>25000</v>
      </c>
      <c r="H74" s="5">
        <f t="shared" ref="H74:H137" si="1">D74-G74</f>
        <v>0</v>
      </c>
      <c r="I74" s="1"/>
      <c r="J74" s="1"/>
    </row>
    <row r="75" spans="1:10" x14ac:dyDescent="0.2">
      <c r="A75" s="1">
        <v>69</v>
      </c>
      <c r="B75" s="1" t="s">
        <v>315</v>
      </c>
      <c r="C75" s="32">
        <v>975</v>
      </c>
      <c r="D75" s="1">
        <v>25000</v>
      </c>
      <c r="E75" s="1"/>
      <c r="F75" s="1">
        <v>278</v>
      </c>
      <c r="G75" s="1">
        <v>25000</v>
      </c>
      <c r="H75" s="5">
        <f t="shared" si="1"/>
        <v>0</v>
      </c>
      <c r="I75" s="1"/>
      <c r="J75" s="1"/>
    </row>
    <row r="76" spans="1:10" x14ac:dyDescent="0.2">
      <c r="A76" s="1">
        <v>70</v>
      </c>
      <c r="B76" s="1" t="s">
        <v>315</v>
      </c>
      <c r="C76" s="32">
        <v>5049</v>
      </c>
      <c r="D76" s="1">
        <v>10000</v>
      </c>
      <c r="E76" s="1"/>
      <c r="F76" s="1">
        <v>111.5</v>
      </c>
      <c r="G76" s="1">
        <v>10000</v>
      </c>
      <c r="H76" s="5">
        <f t="shared" si="1"/>
        <v>0</v>
      </c>
      <c r="I76" s="1"/>
      <c r="J76" s="1"/>
    </row>
    <row r="77" spans="1:10" x14ac:dyDescent="0.2">
      <c r="A77" s="1">
        <v>71</v>
      </c>
      <c r="B77" s="1" t="s">
        <v>315</v>
      </c>
      <c r="C77" s="32">
        <v>7671</v>
      </c>
      <c r="D77" s="1">
        <v>5000</v>
      </c>
      <c r="E77" s="1"/>
      <c r="F77" s="1">
        <v>55.7</v>
      </c>
      <c r="G77" s="1">
        <v>5000</v>
      </c>
      <c r="H77" s="5">
        <f t="shared" si="1"/>
        <v>0</v>
      </c>
      <c r="I77" s="1"/>
      <c r="J77" s="1"/>
    </row>
    <row r="78" spans="1:10" x14ac:dyDescent="0.2">
      <c r="A78" s="1">
        <v>72</v>
      </c>
      <c r="B78" s="1" t="s">
        <v>315</v>
      </c>
      <c r="C78" s="32">
        <v>5443</v>
      </c>
      <c r="D78" s="1">
        <v>15000</v>
      </c>
      <c r="E78" s="1"/>
      <c r="F78" s="1">
        <v>167</v>
      </c>
      <c r="G78" s="1">
        <v>15000</v>
      </c>
      <c r="H78" s="5">
        <f t="shared" si="1"/>
        <v>0</v>
      </c>
      <c r="I78" s="1"/>
      <c r="J78" s="1"/>
    </row>
    <row r="79" spans="1:10" x14ac:dyDescent="0.2">
      <c r="A79" s="1">
        <v>73</v>
      </c>
      <c r="B79" s="1" t="s">
        <v>315</v>
      </c>
      <c r="C79" s="32">
        <v>9148</v>
      </c>
      <c r="D79" s="1">
        <v>24000</v>
      </c>
      <c r="E79" s="1"/>
      <c r="F79" s="1">
        <v>267</v>
      </c>
      <c r="G79" s="1">
        <v>24000</v>
      </c>
      <c r="H79" s="5">
        <f t="shared" si="1"/>
        <v>0</v>
      </c>
      <c r="I79" s="1"/>
      <c r="J79" s="1"/>
    </row>
    <row r="80" spans="1:10" x14ac:dyDescent="0.2">
      <c r="A80" s="1">
        <v>74</v>
      </c>
      <c r="B80" s="1" t="s">
        <v>315</v>
      </c>
      <c r="C80" s="32">
        <v>8046</v>
      </c>
      <c r="D80" s="1">
        <v>18000</v>
      </c>
      <c r="E80" s="1"/>
      <c r="F80" s="1">
        <v>200.5</v>
      </c>
      <c r="G80" s="1">
        <v>18000</v>
      </c>
      <c r="H80" s="5">
        <f t="shared" si="1"/>
        <v>0</v>
      </c>
      <c r="I80" s="1"/>
      <c r="J80" s="1"/>
    </row>
    <row r="81" spans="1:10" x14ac:dyDescent="0.2">
      <c r="A81" s="1">
        <v>75</v>
      </c>
      <c r="B81" s="1" t="s">
        <v>315</v>
      </c>
      <c r="C81" s="32">
        <v>7507</v>
      </c>
      <c r="D81" s="1">
        <v>25000</v>
      </c>
      <c r="E81" s="1"/>
      <c r="F81" s="1">
        <v>278</v>
      </c>
      <c r="G81" s="1">
        <v>25000</v>
      </c>
      <c r="H81" s="5">
        <f t="shared" si="1"/>
        <v>0</v>
      </c>
      <c r="I81" s="1"/>
      <c r="J81" s="1"/>
    </row>
    <row r="82" spans="1:10" x14ac:dyDescent="0.2">
      <c r="A82" s="1">
        <v>76</v>
      </c>
      <c r="B82" s="1" t="s">
        <v>315</v>
      </c>
      <c r="C82" s="32">
        <v>1933</v>
      </c>
      <c r="D82" s="1">
        <v>16000</v>
      </c>
      <c r="E82" s="1"/>
      <c r="F82" s="1">
        <v>178</v>
      </c>
      <c r="G82" s="1">
        <v>16000</v>
      </c>
      <c r="H82" s="5">
        <f t="shared" si="1"/>
        <v>0</v>
      </c>
      <c r="I82" s="1"/>
      <c r="J82" s="1"/>
    </row>
    <row r="83" spans="1:10" x14ac:dyDescent="0.2">
      <c r="A83" s="1">
        <v>77</v>
      </c>
      <c r="B83" s="1" t="s">
        <v>315</v>
      </c>
      <c r="C83" s="32">
        <v>4608</v>
      </c>
      <c r="D83" s="1">
        <v>22000</v>
      </c>
      <c r="E83" s="1"/>
      <c r="F83" s="1">
        <v>245</v>
      </c>
      <c r="G83" s="1">
        <v>22000</v>
      </c>
      <c r="H83" s="5">
        <f t="shared" si="1"/>
        <v>0</v>
      </c>
      <c r="I83" s="1"/>
      <c r="J83" s="1"/>
    </row>
    <row r="84" spans="1:10" x14ac:dyDescent="0.2">
      <c r="A84" s="1">
        <v>78</v>
      </c>
      <c r="B84" s="1" t="s">
        <v>316</v>
      </c>
      <c r="C84" s="32">
        <v>2017</v>
      </c>
      <c r="D84" s="1">
        <v>23000</v>
      </c>
      <c r="E84" s="1"/>
      <c r="F84" s="1">
        <v>256</v>
      </c>
      <c r="G84" s="1">
        <v>23000</v>
      </c>
      <c r="H84" s="5">
        <f t="shared" si="1"/>
        <v>0</v>
      </c>
      <c r="I84" s="1"/>
      <c r="J84" s="1"/>
    </row>
    <row r="85" spans="1:10" x14ac:dyDescent="0.2">
      <c r="A85" s="1">
        <v>79</v>
      </c>
      <c r="B85" s="1" t="s">
        <v>316</v>
      </c>
      <c r="C85" s="32">
        <v>5370</v>
      </c>
      <c r="D85" s="1">
        <v>28000</v>
      </c>
      <c r="E85" s="1"/>
      <c r="F85" s="1">
        <v>311</v>
      </c>
      <c r="G85" s="1">
        <v>28000</v>
      </c>
      <c r="H85" s="5">
        <f t="shared" si="1"/>
        <v>0</v>
      </c>
      <c r="I85" s="1"/>
      <c r="J85" s="1"/>
    </row>
    <row r="86" spans="1:10" x14ac:dyDescent="0.2">
      <c r="A86" s="1">
        <v>80</v>
      </c>
      <c r="B86" s="1" t="s">
        <v>316</v>
      </c>
      <c r="C86" s="32">
        <v>4565</v>
      </c>
      <c r="D86" s="1">
        <v>13000</v>
      </c>
      <c r="E86" s="1"/>
      <c r="F86" s="1">
        <v>144</v>
      </c>
      <c r="G86" s="1">
        <v>13000</v>
      </c>
      <c r="H86" s="5">
        <f t="shared" si="1"/>
        <v>0</v>
      </c>
      <c r="I86" s="1"/>
      <c r="J86" s="1"/>
    </row>
    <row r="87" spans="1:10" x14ac:dyDescent="0.2">
      <c r="A87" s="1">
        <v>81</v>
      </c>
      <c r="B87" s="1" t="s">
        <v>316</v>
      </c>
      <c r="C87" s="32">
        <v>1251</v>
      </c>
      <c r="D87" s="1">
        <v>19000</v>
      </c>
      <c r="E87" s="1"/>
      <c r="F87" s="1">
        <v>201</v>
      </c>
      <c r="G87" s="1">
        <v>19000</v>
      </c>
      <c r="H87" s="5">
        <f t="shared" si="1"/>
        <v>0</v>
      </c>
      <c r="I87" s="1"/>
      <c r="J87" s="1"/>
    </row>
    <row r="88" spans="1:10" x14ac:dyDescent="0.2">
      <c r="A88" s="1">
        <v>82</v>
      </c>
      <c r="B88" s="1" t="s">
        <v>316</v>
      </c>
      <c r="C88" s="32">
        <v>5820</v>
      </c>
      <c r="D88" s="1">
        <v>10000</v>
      </c>
      <c r="E88" s="1"/>
      <c r="F88" s="1">
        <v>111.5</v>
      </c>
      <c r="G88" s="1">
        <v>10000</v>
      </c>
      <c r="H88" s="5">
        <f t="shared" si="1"/>
        <v>0</v>
      </c>
      <c r="I88" s="1"/>
      <c r="J88" s="1"/>
    </row>
    <row r="89" spans="1:10" x14ac:dyDescent="0.2">
      <c r="A89" s="1">
        <v>83</v>
      </c>
      <c r="B89" s="1" t="s">
        <v>316</v>
      </c>
      <c r="C89" s="32">
        <v>4239</v>
      </c>
      <c r="D89" s="1">
        <v>15000</v>
      </c>
      <c r="E89" s="1"/>
      <c r="F89" s="1">
        <v>167</v>
      </c>
      <c r="G89" s="1">
        <v>15000</v>
      </c>
      <c r="H89" s="5">
        <f t="shared" si="1"/>
        <v>0</v>
      </c>
      <c r="I89" s="1"/>
      <c r="J89" s="1"/>
    </row>
    <row r="90" spans="1:10" x14ac:dyDescent="0.2">
      <c r="A90" s="1">
        <v>84</v>
      </c>
      <c r="B90" s="1" t="s">
        <v>316</v>
      </c>
      <c r="C90" s="32">
        <v>1286</v>
      </c>
      <c r="D90" s="1">
        <v>16000</v>
      </c>
      <c r="E90" s="1"/>
      <c r="F90" s="1">
        <v>178</v>
      </c>
      <c r="G90" s="1">
        <v>16000</v>
      </c>
      <c r="H90" s="5">
        <f t="shared" si="1"/>
        <v>0</v>
      </c>
      <c r="I90" s="1"/>
      <c r="J90" s="1"/>
    </row>
    <row r="91" spans="1:10" x14ac:dyDescent="0.2">
      <c r="A91" s="1">
        <v>85</v>
      </c>
      <c r="B91" s="1" t="s">
        <v>316</v>
      </c>
      <c r="C91" s="32">
        <v>1332</v>
      </c>
      <c r="D91" s="1">
        <v>28000</v>
      </c>
      <c r="E91" s="1"/>
      <c r="F91" s="1">
        <v>311</v>
      </c>
      <c r="G91" s="1">
        <v>28000</v>
      </c>
      <c r="H91" s="5">
        <f t="shared" si="1"/>
        <v>0</v>
      </c>
      <c r="I91" s="1"/>
      <c r="J91" s="1"/>
    </row>
    <row r="92" spans="1:10" x14ac:dyDescent="0.2">
      <c r="A92" s="1">
        <v>86</v>
      </c>
      <c r="B92" s="1" t="s">
        <v>316</v>
      </c>
      <c r="C92" s="32">
        <v>5995</v>
      </c>
      <c r="D92" s="1">
        <v>28000</v>
      </c>
      <c r="E92" s="1"/>
      <c r="F92" s="1">
        <v>311</v>
      </c>
      <c r="G92" s="1">
        <v>28000</v>
      </c>
      <c r="H92" s="5">
        <f t="shared" si="1"/>
        <v>0</v>
      </c>
      <c r="I92" s="1"/>
      <c r="J92" s="1"/>
    </row>
    <row r="93" spans="1:10" x14ac:dyDescent="0.2">
      <c r="A93" s="1">
        <v>87</v>
      </c>
      <c r="B93" s="1" t="s">
        <v>316</v>
      </c>
      <c r="C93" s="32">
        <v>965</v>
      </c>
      <c r="D93" s="1">
        <v>24000</v>
      </c>
      <c r="E93" s="1"/>
      <c r="F93" s="1">
        <v>267</v>
      </c>
      <c r="G93" s="1">
        <v>24000</v>
      </c>
      <c r="H93" s="5">
        <f t="shared" si="1"/>
        <v>0</v>
      </c>
      <c r="I93" s="1"/>
      <c r="J93" s="1"/>
    </row>
    <row r="94" spans="1:10" x14ac:dyDescent="0.2">
      <c r="A94" s="1">
        <v>88</v>
      </c>
      <c r="B94" s="1" t="s">
        <v>316</v>
      </c>
      <c r="C94" s="32">
        <v>7061</v>
      </c>
      <c r="D94" s="1">
        <v>21000</v>
      </c>
      <c r="E94" s="1"/>
      <c r="F94" s="1">
        <v>233</v>
      </c>
      <c r="G94" s="1">
        <v>21000</v>
      </c>
      <c r="H94" s="5">
        <f t="shared" si="1"/>
        <v>0</v>
      </c>
      <c r="I94" s="1"/>
      <c r="J94" s="1"/>
    </row>
    <row r="95" spans="1:10" x14ac:dyDescent="0.2">
      <c r="A95" s="1">
        <v>89</v>
      </c>
      <c r="B95" s="1" t="s">
        <v>316</v>
      </c>
      <c r="C95" s="32">
        <v>5485</v>
      </c>
      <c r="D95" s="1">
        <v>18000</v>
      </c>
      <c r="E95" s="1"/>
      <c r="F95" s="1">
        <v>200.5</v>
      </c>
      <c r="G95" s="1">
        <v>18000</v>
      </c>
      <c r="H95" s="5">
        <f t="shared" si="1"/>
        <v>0</v>
      </c>
      <c r="I95" s="1"/>
      <c r="J95" s="1"/>
    </row>
    <row r="96" spans="1:10" x14ac:dyDescent="0.2">
      <c r="A96" s="1">
        <v>90</v>
      </c>
      <c r="B96" s="1" t="s">
        <v>316</v>
      </c>
      <c r="C96" s="32">
        <v>5772</v>
      </c>
      <c r="D96" s="1">
        <v>25000</v>
      </c>
      <c r="E96" s="1"/>
      <c r="F96" s="1">
        <v>278</v>
      </c>
      <c r="G96" s="1">
        <v>25000</v>
      </c>
      <c r="H96" s="5">
        <f t="shared" si="1"/>
        <v>0</v>
      </c>
      <c r="I96" s="1"/>
      <c r="J96" s="1"/>
    </row>
    <row r="97" spans="1:10" x14ac:dyDescent="0.2">
      <c r="A97" s="1">
        <v>91</v>
      </c>
      <c r="B97" s="1" t="s">
        <v>316</v>
      </c>
      <c r="C97" s="32">
        <v>9412</v>
      </c>
      <c r="D97" s="1">
        <v>20000</v>
      </c>
      <c r="E97" s="1"/>
      <c r="F97" s="1">
        <v>222.82</v>
      </c>
      <c r="G97" s="1">
        <v>20000</v>
      </c>
      <c r="H97" s="5">
        <f t="shared" si="1"/>
        <v>0</v>
      </c>
      <c r="I97" s="1"/>
      <c r="J97" s="1"/>
    </row>
    <row r="98" spans="1:10" x14ac:dyDescent="0.2">
      <c r="A98" s="1">
        <v>92</v>
      </c>
      <c r="B98" s="1" t="s">
        <v>317</v>
      </c>
      <c r="C98" s="32">
        <v>5147</v>
      </c>
      <c r="D98" s="1">
        <v>26000</v>
      </c>
      <c r="E98" s="1"/>
      <c r="F98" s="1">
        <v>289</v>
      </c>
      <c r="G98" s="1">
        <v>26000</v>
      </c>
      <c r="H98" s="5">
        <f t="shared" si="1"/>
        <v>0</v>
      </c>
      <c r="I98" s="1"/>
      <c r="J98" s="1"/>
    </row>
    <row r="99" spans="1:10" x14ac:dyDescent="0.2">
      <c r="A99" s="1">
        <v>93</v>
      </c>
      <c r="B99" s="1" t="s">
        <v>317</v>
      </c>
      <c r="C99" s="32">
        <v>647</v>
      </c>
      <c r="D99" s="1">
        <v>13500</v>
      </c>
      <c r="E99" s="1"/>
      <c r="F99" s="1">
        <v>150</v>
      </c>
      <c r="G99" s="1">
        <v>13500</v>
      </c>
      <c r="H99" s="5">
        <f t="shared" si="1"/>
        <v>0</v>
      </c>
      <c r="I99" s="1"/>
      <c r="J99" s="1"/>
    </row>
    <row r="100" spans="1:10" x14ac:dyDescent="0.2">
      <c r="A100" s="1">
        <v>94</v>
      </c>
      <c r="B100" s="1" t="s">
        <v>317</v>
      </c>
      <c r="C100" s="175">
        <v>1252</v>
      </c>
      <c r="D100" s="1">
        <v>20000</v>
      </c>
      <c r="E100" s="1"/>
      <c r="F100" s="1">
        <v>222.82</v>
      </c>
      <c r="G100" s="1">
        <v>20000</v>
      </c>
      <c r="H100" s="5">
        <f t="shared" si="1"/>
        <v>0</v>
      </c>
      <c r="I100" s="1"/>
      <c r="J100" s="1"/>
    </row>
    <row r="101" spans="1:10" x14ac:dyDescent="0.2">
      <c r="A101" s="1">
        <v>95</v>
      </c>
      <c r="B101" s="1" t="s">
        <v>317</v>
      </c>
      <c r="C101" s="32">
        <v>4986</v>
      </c>
      <c r="D101" s="1">
        <v>20000</v>
      </c>
      <c r="E101" s="1"/>
      <c r="F101" s="1">
        <v>222.82</v>
      </c>
      <c r="G101" s="1">
        <v>20000</v>
      </c>
      <c r="H101" s="5">
        <f t="shared" si="1"/>
        <v>0</v>
      </c>
      <c r="I101" s="1"/>
      <c r="J101" s="1"/>
    </row>
    <row r="102" spans="1:10" x14ac:dyDescent="0.2">
      <c r="A102" s="1">
        <v>96</v>
      </c>
      <c r="B102" s="1" t="s">
        <v>317</v>
      </c>
      <c r="C102" s="32">
        <v>5844</v>
      </c>
      <c r="D102" s="1">
        <v>30000</v>
      </c>
      <c r="E102" s="1"/>
      <c r="F102" s="1">
        <v>334</v>
      </c>
      <c r="G102" s="1">
        <v>30000</v>
      </c>
      <c r="H102" s="5">
        <f t="shared" si="1"/>
        <v>0</v>
      </c>
      <c r="I102" s="1"/>
      <c r="J102" s="1"/>
    </row>
    <row r="103" spans="1:10" x14ac:dyDescent="0.2">
      <c r="A103" s="1">
        <v>97</v>
      </c>
      <c r="B103" s="1" t="s">
        <v>317</v>
      </c>
      <c r="C103" s="32">
        <v>8006</v>
      </c>
      <c r="D103" s="1">
        <v>25000</v>
      </c>
      <c r="E103" s="1"/>
      <c r="F103" s="1">
        <v>278</v>
      </c>
      <c r="G103" s="1">
        <v>25000</v>
      </c>
      <c r="H103" s="5">
        <f t="shared" si="1"/>
        <v>0</v>
      </c>
      <c r="I103" s="1"/>
      <c r="J103" s="1"/>
    </row>
    <row r="104" spans="1:10" x14ac:dyDescent="0.2">
      <c r="A104" s="1">
        <v>98</v>
      </c>
      <c r="B104" s="1" t="s">
        <v>317</v>
      </c>
      <c r="C104" s="32" t="s">
        <v>30</v>
      </c>
      <c r="D104" s="1">
        <v>4500</v>
      </c>
      <c r="E104" s="1"/>
      <c r="F104" s="1">
        <v>50.13</v>
      </c>
      <c r="G104" s="1">
        <v>4500</v>
      </c>
      <c r="H104" s="5">
        <f t="shared" si="1"/>
        <v>0</v>
      </c>
      <c r="I104" s="1"/>
      <c r="J104" s="1"/>
    </row>
    <row r="105" spans="1:10" x14ac:dyDescent="0.2">
      <c r="A105" s="1">
        <v>99</v>
      </c>
      <c r="B105" s="1" t="s">
        <v>317</v>
      </c>
      <c r="C105" s="32">
        <v>5446</v>
      </c>
      <c r="D105" s="1">
        <v>20000</v>
      </c>
      <c r="E105" s="1"/>
      <c r="F105" s="1">
        <v>222.82</v>
      </c>
      <c r="G105" s="1">
        <v>20000</v>
      </c>
      <c r="H105" s="5">
        <f t="shared" si="1"/>
        <v>0</v>
      </c>
      <c r="I105" s="1"/>
      <c r="J105" s="1"/>
    </row>
    <row r="106" spans="1:10" x14ac:dyDescent="0.2">
      <c r="A106" s="1">
        <v>100</v>
      </c>
      <c r="B106" s="1" t="s">
        <v>317</v>
      </c>
      <c r="C106" s="32">
        <v>1912</v>
      </c>
      <c r="D106" s="1">
        <v>10000</v>
      </c>
      <c r="E106" s="1"/>
      <c r="F106" s="1">
        <v>111</v>
      </c>
      <c r="G106" s="1">
        <v>10000</v>
      </c>
      <c r="H106" s="5">
        <f t="shared" si="1"/>
        <v>0</v>
      </c>
      <c r="I106" s="1"/>
      <c r="J106" s="1"/>
    </row>
    <row r="107" spans="1:10" x14ac:dyDescent="0.2">
      <c r="A107" s="1">
        <v>101</v>
      </c>
      <c r="B107" s="1" t="s">
        <v>317</v>
      </c>
      <c r="C107" s="32">
        <v>2224</v>
      </c>
      <c r="D107" s="1">
        <v>20000</v>
      </c>
      <c r="E107" s="1"/>
      <c r="F107" s="1">
        <v>222.82</v>
      </c>
      <c r="G107" s="1">
        <v>20000</v>
      </c>
      <c r="H107" s="5">
        <f t="shared" si="1"/>
        <v>0</v>
      </c>
      <c r="I107" s="1"/>
      <c r="J107" s="1"/>
    </row>
    <row r="108" spans="1:10" x14ac:dyDescent="0.2">
      <c r="A108" s="1">
        <v>102</v>
      </c>
      <c r="B108" s="1" t="s">
        <v>317</v>
      </c>
      <c r="C108" s="32">
        <v>1131</v>
      </c>
      <c r="D108" s="1">
        <v>22000</v>
      </c>
      <c r="E108" s="1"/>
      <c r="F108" s="1">
        <v>222.82</v>
      </c>
      <c r="G108" s="1">
        <v>22000</v>
      </c>
      <c r="H108" s="5">
        <f t="shared" si="1"/>
        <v>0</v>
      </c>
      <c r="I108" s="1"/>
      <c r="J108" s="1"/>
    </row>
    <row r="109" spans="1:10" x14ac:dyDescent="0.2">
      <c r="A109" s="1">
        <v>103</v>
      </c>
      <c r="B109" s="1" t="s">
        <v>317</v>
      </c>
      <c r="C109" s="32">
        <v>6461</v>
      </c>
      <c r="D109" s="1">
        <v>18000</v>
      </c>
      <c r="E109" s="1"/>
      <c r="F109" s="1">
        <v>200</v>
      </c>
      <c r="G109" s="1">
        <v>18000</v>
      </c>
      <c r="H109" s="5">
        <f t="shared" si="1"/>
        <v>0</v>
      </c>
      <c r="I109" s="1"/>
      <c r="J109" s="1"/>
    </row>
    <row r="110" spans="1:10" x14ac:dyDescent="0.2">
      <c r="A110" s="1">
        <v>104</v>
      </c>
      <c r="B110" s="1" t="s">
        <v>317</v>
      </c>
      <c r="C110" s="32">
        <v>1895</v>
      </c>
      <c r="D110" s="1">
        <v>30000</v>
      </c>
      <c r="E110" s="1"/>
      <c r="F110" s="1">
        <v>334</v>
      </c>
      <c r="G110" s="1">
        <v>30000</v>
      </c>
      <c r="H110" s="5">
        <f t="shared" si="1"/>
        <v>0</v>
      </c>
      <c r="I110" s="1"/>
      <c r="J110" s="1"/>
    </row>
    <row r="111" spans="1:10" x14ac:dyDescent="0.2">
      <c r="A111" s="1">
        <v>105</v>
      </c>
      <c r="B111" s="1" t="s">
        <v>317</v>
      </c>
      <c r="C111" s="32">
        <v>5485</v>
      </c>
      <c r="D111" s="1">
        <v>25000</v>
      </c>
      <c r="E111" s="1"/>
      <c r="F111" s="1">
        <v>278</v>
      </c>
      <c r="G111" s="1">
        <v>25000</v>
      </c>
      <c r="H111" s="5">
        <f t="shared" si="1"/>
        <v>0</v>
      </c>
      <c r="I111" s="1"/>
      <c r="J111" s="1"/>
    </row>
    <row r="112" spans="1:10" x14ac:dyDescent="0.2">
      <c r="A112" s="1">
        <v>106</v>
      </c>
      <c r="B112" s="1" t="s">
        <v>317</v>
      </c>
      <c r="C112" s="32">
        <v>1816</v>
      </c>
      <c r="D112" s="1">
        <v>26000</v>
      </c>
      <c r="E112" s="1"/>
      <c r="F112" s="1">
        <v>289</v>
      </c>
      <c r="G112" s="1">
        <v>26000</v>
      </c>
      <c r="H112" s="5">
        <f t="shared" si="1"/>
        <v>0</v>
      </c>
      <c r="I112" s="1"/>
      <c r="J112" s="1"/>
    </row>
    <row r="113" spans="1:10" x14ac:dyDescent="0.2">
      <c r="A113" s="1">
        <v>107</v>
      </c>
      <c r="B113" s="1" t="s">
        <v>317</v>
      </c>
      <c r="C113" s="32">
        <v>8383</v>
      </c>
      <c r="D113" s="1">
        <v>15000</v>
      </c>
      <c r="E113" s="1"/>
      <c r="F113" s="1">
        <v>167</v>
      </c>
      <c r="G113" s="1">
        <v>15000</v>
      </c>
      <c r="H113" s="5">
        <f t="shared" si="1"/>
        <v>0</v>
      </c>
      <c r="I113" s="1"/>
      <c r="J113" s="1"/>
    </row>
    <row r="114" spans="1:10" x14ac:dyDescent="0.2">
      <c r="A114" s="1">
        <v>108</v>
      </c>
      <c r="B114" s="1" t="s">
        <v>318</v>
      </c>
      <c r="C114" s="32">
        <v>3662</v>
      </c>
      <c r="D114" s="1">
        <v>12000</v>
      </c>
      <c r="E114" s="1"/>
      <c r="F114" s="1">
        <v>133</v>
      </c>
      <c r="G114" s="1">
        <v>12000</v>
      </c>
      <c r="H114" s="5">
        <f t="shared" si="1"/>
        <v>0</v>
      </c>
      <c r="I114" s="1"/>
      <c r="J114" s="1"/>
    </row>
    <row r="115" spans="1:10" x14ac:dyDescent="0.2">
      <c r="A115" s="1">
        <v>109</v>
      </c>
      <c r="B115" s="1" t="s">
        <v>318</v>
      </c>
      <c r="C115" s="85">
        <v>6155</v>
      </c>
      <c r="D115" s="1">
        <v>20000</v>
      </c>
      <c r="E115" s="1"/>
      <c r="F115" s="1">
        <v>222.82</v>
      </c>
      <c r="G115" s="1">
        <v>20000</v>
      </c>
      <c r="H115" s="5">
        <f t="shared" si="1"/>
        <v>0</v>
      </c>
      <c r="I115" s="1"/>
      <c r="J115" s="1"/>
    </row>
    <row r="116" spans="1:10" x14ac:dyDescent="0.2">
      <c r="A116" s="1">
        <v>110</v>
      </c>
      <c r="B116" s="1" t="s">
        <v>318</v>
      </c>
      <c r="C116" s="32">
        <v>4585</v>
      </c>
      <c r="D116" s="1">
        <v>20000</v>
      </c>
      <c r="E116" s="1"/>
      <c r="F116" s="1">
        <v>222.82</v>
      </c>
      <c r="G116" s="1">
        <v>20000</v>
      </c>
      <c r="H116" s="5">
        <f t="shared" si="1"/>
        <v>0</v>
      </c>
      <c r="I116" s="1"/>
      <c r="J116" s="1"/>
    </row>
    <row r="117" spans="1:10" x14ac:dyDescent="0.2">
      <c r="A117" s="1">
        <v>111</v>
      </c>
      <c r="B117" s="1" t="s">
        <v>318</v>
      </c>
      <c r="C117" s="32">
        <v>4270</v>
      </c>
      <c r="D117" s="1">
        <v>5000</v>
      </c>
      <c r="E117" s="1"/>
      <c r="F117" s="1">
        <v>55.05</v>
      </c>
      <c r="G117" s="1">
        <v>5000</v>
      </c>
      <c r="H117" s="5">
        <f t="shared" si="1"/>
        <v>0</v>
      </c>
      <c r="I117" s="1"/>
      <c r="J117" s="1"/>
    </row>
    <row r="118" spans="1:10" x14ac:dyDescent="0.2">
      <c r="A118" s="1">
        <v>112</v>
      </c>
      <c r="B118" s="1" t="s">
        <v>318</v>
      </c>
      <c r="C118" s="32">
        <v>2685</v>
      </c>
      <c r="D118" s="1">
        <v>5000</v>
      </c>
      <c r="E118" s="1"/>
      <c r="F118" s="1">
        <v>55.05</v>
      </c>
      <c r="G118" s="1">
        <v>5000</v>
      </c>
      <c r="H118" s="5">
        <f t="shared" si="1"/>
        <v>0</v>
      </c>
      <c r="I118" s="1"/>
      <c r="J118" s="1"/>
    </row>
    <row r="119" spans="1:10" x14ac:dyDescent="0.2">
      <c r="A119" s="1">
        <v>113</v>
      </c>
      <c r="B119" s="1" t="s">
        <v>318</v>
      </c>
      <c r="C119" s="32">
        <v>3111</v>
      </c>
      <c r="D119" s="1">
        <v>23000</v>
      </c>
      <c r="E119" s="1"/>
      <c r="F119" s="1">
        <v>264</v>
      </c>
      <c r="G119" s="1">
        <v>23000</v>
      </c>
      <c r="H119" s="5">
        <f t="shared" si="1"/>
        <v>0</v>
      </c>
      <c r="I119" s="1"/>
      <c r="J119" s="1"/>
    </row>
    <row r="120" spans="1:10" x14ac:dyDescent="0.2">
      <c r="A120" s="1">
        <v>114</v>
      </c>
      <c r="B120" s="1" t="s">
        <v>318</v>
      </c>
      <c r="C120" s="32">
        <v>1975</v>
      </c>
      <c r="D120" s="1">
        <v>31000</v>
      </c>
      <c r="E120" s="1"/>
      <c r="F120" s="1">
        <v>345</v>
      </c>
      <c r="G120" s="1">
        <v>31000</v>
      </c>
      <c r="H120" s="5">
        <f t="shared" si="1"/>
        <v>0</v>
      </c>
      <c r="I120" s="1"/>
      <c r="J120" s="1"/>
    </row>
    <row r="121" spans="1:10" x14ac:dyDescent="0.2">
      <c r="A121" s="1">
        <v>115</v>
      </c>
      <c r="B121" s="1" t="s">
        <v>318</v>
      </c>
      <c r="C121" s="32">
        <v>6867</v>
      </c>
      <c r="D121" s="1">
        <v>24000</v>
      </c>
      <c r="E121" s="1"/>
      <c r="F121" s="1">
        <v>267</v>
      </c>
      <c r="G121" s="1">
        <v>24000</v>
      </c>
      <c r="H121" s="5">
        <f t="shared" si="1"/>
        <v>0</v>
      </c>
      <c r="I121" s="1"/>
      <c r="J121" s="1"/>
    </row>
    <row r="122" spans="1:10" x14ac:dyDescent="0.2">
      <c r="A122" s="1">
        <v>116</v>
      </c>
      <c r="B122" s="1" t="s">
        <v>318</v>
      </c>
      <c r="C122" s="32">
        <v>2995</v>
      </c>
      <c r="D122" s="1">
        <v>16000</v>
      </c>
      <c r="E122" s="1"/>
      <c r="F122" s="1">
        <v>178</v>
      </c>
      <c r="G122" s="1">
        <v>16000</v>
      </c>
      <c r="H122" s="5">
        <f t="shared" si="1"/>
        <v>0</v>
      </c>
      <c r="I122" s="1"/>
      <c r="J122" s="1"/>
    </row>
    <row r="123" spans="1:10" x14ac:dyDescent="0.2">
      <c r="A123" s="1">
        <v>117</v>
      </c>
      <c r="B123" s="1" t="s">
        <v>318</v>
      </c>
      <c r="C123" s="32">
        <v>2570</v>
      </c>
      <c r="D123" s="1">
        <v>18000</v>
      </c>
      <c r="E123" s="1"/>
      <c r="F123" s="1">
        <v>200</v>
      </c>
      <c r="G123" s="1">
        <v>18000</v>
      </c>
      <c r="H123" s="5">
        <f t="shared" si="1"/>
        <v>0</v>
      </c>
      <c r="I123" s="1"/>
      <c r="J123" s="1"/>
    </row>
    <row r="124" spans="1:10" x14ac:dyDescent="0.2">
      <c r="A124" s="1">
        <v>118</v>
      </c>
      <c r="B124" s="1" t="s">
        <v>318</v>
      </c>
      <c r="C124" s="32">
        <v>3009</v>
      </c>
      <c r="D124" s="1">
        <v>24000</v>
      </c>
      <c r="E124" s="1"/>
      <c r="F124" s="1">
        <v>245</v>
      </c>
      <c r="G124" s="1">
        <v>24000</v>
      </c>
      <c r="H124" s="5">
        <f t="shared" si="1"/>
        <v>0</v>
      </c>
      <c r="I124" s="1"/>
      <c r="J124" s="1"/>
    </row>
    <row r="125" spans="1:10" x14ac:dyDescent="0.2">
      <c r="A125" s="1">
        <v>119</v>
      </c>
      <c r="B125" s="1" t="s">
        <v>319</v>
      </c>
      <c r="C125" s="32">
        <v>8105</v>
      </c>
      <c r="D125" s="1">
        <v>15000</v>
      </c>
      <c r="E125" s="1"/>
      <c r="F125" s="1">
        <v>167</v>
      </c>
      <c r="G125" s="1">
        <v>15000</v>
      </c>
      <c r="H125" s="5">
        <f t="shared" si="1"/>
        <v>0</v>
      </c>
      <c r="I125" s="1"/>
      <c r="J125" s="1"/>
    </row>
    <row r="126" spans="1:10" x14ac:dyDescent="0.2">
      <c r="A126" s="1">
        <v>120</v>
      </c>
      <c r="B126" s="1" t="s">
        <v>319</v>
      </c>
      <c r="C126" s="32">
        <v>6012</v>
      </c>
      <c r="D126" s="1">
        <v>14000</v>
      </c>
      <c r="E126" s="1"/>
      <c r="F126" s="1">
        <v>155</v>
      </c>
      <c r="G126" s="1">
        <v>14000</v>
      </c>
      <c r="H126" s="5">
        <f t="shared" si="1"/>
        <v>0</v>
      </c>
      <c r="I126" s="1"/>
      <c r="J126" s="1"/>
    </row>
    <row r="127" spans="1:10" x14ac:dyDescent="0.2">
      <c r="A127" s="1">
        <v>121</v>
      </c>
      <c r="B127" s="1" t="s">
        <v>319</v>
      </c>
      <c r="C127" s="32" t="s">
        <v>30</v>
      </c>
      <c r="D127" s="1">
        <v>4500</v>
      </c>
      <c r="E127" s="1"/>
      <c r="F127" s="1">
        <v>50.13</v>
      </c>
      <c r="G127" s="1">
        <v>4500</v>
      </c>
      <c r="H127" s="5">
        <f t="shared" si="1"/>
        <v>0</v>
      </c>
      <c r="I127" s="1"/>
      <c r="J127" s="1"/>
    </row>
    <row r="128" spans="1:10" x14ac:dyDescent="0.2">
      <c r="A128" s="1">
        <v>122</v>
      </c>
      <c r="B128" s="1" t="s">
        <v>319</v>
      </c>
      <c r="C128" s="32">
        <v>470</v>
      </c>
      <c r="D128" s="1">
        <v>20000</v>
      </c>
      <c r="E128" s="1"/>
      <c r="F128" s="1">
        <v>222.82</v>
      </c>
      <c r="G128" s="1">
        <v>20000</v>
      </c>
      <c r="H128" s="5">
        <f t="shared" si="1"/>
        <v>0</v>
      </c>
      <c r="I128" s="1"/>
      <c r="J128" s="1"/>
    </row>
    <row r="129" spans="1:10" x14ac:dyDescent="0.2">
      <c r="A129" s="1">
        <v>123</v>
      </c>
      <c r="B129" s="1" t="s">
        <v>319</v>
      </c>
      <c r="C129" s="32">
        <v>5145</v>
      </c>
      <c r="D129" s="1">
        <v>20000</v>
      </c>
      <c r="E129" s="1"/>
      <c r="F129" s="1">
        <v>222.82</v>
      </c>
      <c r="G129" s="1">
        <v>20000</v>
      </c>
      <c r="H129" s="5">
        <f t="shared" si="1"/>
        <v>0</v>
      </c>
      <c r="I129" s="1"/>
      <c r="J129" s="1"/>
    </row>
    <row r="130" spans="1:10" x14ac:dyDescent="0.2">
      <c r="A130" s="1">
        <v>124</v>
      </c>
      <c r="B130" s="1" t="s">
        <v>319</v>
      </c>
      <c r="C130" s="32" t="s">
        <v>30</v>
      </c>
      <c r="D130" s="1">
        <v>7000</v>
      </c>
      <c r="E130" s="1"/>
      <c r="F130" s="1">
        <v>77</v>
      </c>
      <c r="G130" s="1">
        <v>7000</v>
      </c>
      <c r="H130" s="5">
        <f t="shared" si="1"/>
        <v>0</v>
      </c>
      <c r="I130" s="1"/>
      <c r="J130" s="1"/>
    </row>
    <row r="131" spans="1:10" x14ac:dyDescent="0.2">
      <c r="A131" s="1">
        <v>125</v>
      </c>
      <c r="B131" s="1" t="s">
        <v>319</v>
      </c>
      <c r="C131" s="32">
        <v>9134</v>
      </c>
      <c r="D131" s="1">
        <v>20000</v>
      </c>
      <c r="E131" s="1"/>
      <c r="F131" s="1">
        <v>222.82</v>
      </c>
      <c r="G131" s="1">
        <v>20000</v>
      </c>
      <c r="H131" s="5">
        <f t="shared" si="1"/>
        <v>0</v>
      </c>
      <c r="I131" s="1"/>
      <c r="J131" s="1"/>
    </row>
    <row r="132" spans="1:10" x14ac:dyDescent="0.2">
      <c r="A132" s="1">
        <v>126</v>
      </c>
      <c r="B132" s="1" t="s">
        <v>319</v>
      </c>
      <c r="C132" s="32" t="s">
        <v>66</v>
      </c>
      <c r="D132" s="1">
        <v>100</v>
      </c>
      <c r="E132" s="1"/>
      <c r="F132" s="1">
        <v>96.04</v>
      </c>
      <c r="G132" s="1">
        <v>100</v>
      </c>
      <c r="H132" s="5">
        <f t="shared" si="1"/>
        <v>0</v>
      </c>
      <c r="I132" s="1"/>
      <c r="J132" s="1"/>
    </row>
    <row r="133" spans="1:10" x14ac:dyDescent="0.2">
      <c r="A133" s="1">
        <v>127</v>
      </c>
      <c r="B133" s="1" t="s">
        <v>319</v>
      </c>
      <c r="C133" s="32">
        <v>742</v>
      </c>
      <c r="D133" s="1">
        <v>5000</v>
      </c>
      <c r="E133" s="1"/>
      <c r="F133" s="1">
        <v>55</v>
      </c>
      <c r="G133" s="1">
        <v>5000</v>
      </c>
      <c r="H133" s="5">
        <f t="shared" si="1"/>
        <v>0</v>
      </c>
      <c r="I133" s="1"/>
      <c r="J133" s="1"/>
    </row>
    <row r="134" spans="1:10" x14ac:dyDescent="0.2">
      <c r="A134" s="1">
        <v>128</v>
      </c>
      <c r="B134" s="1" t="s">
        <v>319</v>
      </c>
      <c r="C134" s="32">
        <v>922</v>
      </c>
      <c r="D134" s="1">
        <v>5000</v>
      </c>
      <c r="E134" s="1"/>
      <c r="F134" s="1">
        <v>55</v>
      </c>
      <c r="G134" s="1">
        <v>5000</v>
      </c>
      <c r="H134" s="5">
        <f t="shared" si="1"/>
        <v>0</v>
      </c>
      <c r="I134" s="1"/>
      <c r="J134" s="1"/>
    </row>
    <row r="135" spans="1:10" x14ac:dyDescent="0.2">
      <c r="A135" s="1">
        <v>129</v>
      </c>
      <c r="B135" s="1" t="s">
        <v>319</v>
      </c>
      <c r="C135" s="32">
        <v>3332</v>
      </c>
      <c r="D135" s="1">
        <v>25000</v>
      </c>
      <c r="E135" s="1"/>
      <c r="F135" s="1">
        <v>278</v>
      </c>
      <c r="G135" s="1">
        <v>25000</v>
      </c>
      <c r="H135" s="5">
        <f t="shared" si="1"/>
        <v>0</v>
      </c>
      <c r="I135" s="1"/>
      <c r="J135" s="1"/>
    </row>
    <row r="136" spans="1:10" x14ac:dyDescent="0.2">
      <c r="A136" s="1">
        <v>130</v>
      </c>
      <c r="B136" s="1" t="s">
        <v>319</v>
      </c>
      <c r="C136" s="32">
        <v>5070</v>
      </c>
      <c r="D136" s="1">
        <v>25000</v>
      </c>
      <c r="E136" s="1"/>
      <c r="F136" s="1">
        <v>278</v>
      </c>
      <c r="G136" s="1">
        <v>25000</v>
      </c>
      <c r="H136" s="5">
        <f t="shared" si="1"/>
        <v>0</v>
      </c>
      <c r="I136" s="1"/>
      <c r="J136" s="1"/>
    </row>
    <row r="137" spans="1:10" x14ac:dyDescent="0.2">
      <c r="A137" s="1">
        <v>131</v>
      </c>
      <c r="B137" s="1" t="s">
        <v>319</v>
      </c>
      <c r="C137" s="32">
        <v>8763</v>
      </c>
      <c r="D137" s="1">
        <v>25000</v>
      </c>
      <c r="E137" s="1"/>
      <c r="F137" s="1">
        <v>278</v>
      </c>
      <c r="G137" s="1">
        <v>25000</v>
      </c>
      <c r="H137" s="5">
        <f t="shared" si="1"/>
        <v>0</v>
      </c>
      <c r="I137" s="1"/>
      <c r="J137" s="1"/>
    </row>
    <row r="138" spans="1:10" x14ac:dyDescent="0.2">
      <c r="A138" s="1">
        <v>132</v>
      </c>
      <c r="B138" s="1" t="s">
        <v>319</v>
      </c>
      <c r="C138" s="32">
        <v>4365</v>
      </c>
      <c r="D138" s="1">
        <v>20000</v>
      </c>
      <c r="E138" s="1"/>
      <c r="F138" s="1">
        <v>222.82</v>
      </c>
      <c r="G138" s="1">
        <v>20000</v>
      </c>
      <c r="H138" s="5">
        <f t="shared" ref="H138:H201" si="2">D138-G138</f>
        <v>0</v>
      </c>
      <c r="I138" s="1"/>
      <c r="J138" s="1"/>
    </row>
    <row r="139" spans="1:10" x14ac:dyDescent="0.2">
      <c r="A139" s="1">
        <v>133</v>
      </c>
      <c r="B139" s="1" t="s">
        <v>319</v>
      </c>
      <c r="C139" s="32">
        <v>8686</v>
      </c>
      <c r="D139" s="1">
        <v>25000</v>
      </c>
      <c r="E139" s="1"/>
      <c r="F139" s="1">
        <v>278</v>
      </c>
      <c r="G139" s="1">
        <v>25000</v>
      </c>
      <c r="H139" s="5">
        <f t="shared" si="2"/>
        <v>0</v>
      </c>
      <c r="I139" s="1"/>
      <c r="J139" s="1"/>
    </row>
    <row r="140" spans="1:10" x14ac:dyDescent="0.2">
      <c r="A140" s="1">
        <v>134</v>
      </c>
      <c r="B140" s="1" t="s">
        <v>319</v>
      </c>
      <c r="C140" s="32">
        <v>1662</v>
      </c>
      <c r="D140" s="1">
        <v>18000</v>
      </c>
      <c r="E140" s="1"/>
      <c r="F140" s="1">
        <v>200</v>
      </c>
      <c r="G140" s="1">
        <v>18000</v>
      </c>
      <c r="H140" s="5">
        <f t="shared" si="2"/>
        <v>0</v>
      </c>
      <c r="I140" s="1"/>
      <c r="J140" s="1"/>
    </row>
    <row r="141" spans="1:10" x14ac:dyDescent="0.2">
      <c r="A141" s="1">
        <v>135</v>
      </c>
      <c r="B141" s="1" t="s">
        <v>319</v>
      </c>
      <c r="C141" s="32">
        <v>4154</v>
      </c>
      <c r="D141" s="1">
        <v>25000</v>
      </c>
      <c r="E141" s="1"/>
      <c r="F141" s="1">
        <v>278</v>
      </c>
      <c r="G141" s="1">
        <v>25000</v>
      </c>
      <c r="H141" s="5">
        <f t="shared" si="2"/>
        <v>0</v>
      </c>
      <c r="I141" s="1"/>
      <c r="J141" s="1"/>
    </row>
    <row r="142" spans="1:10" x14ac:dyDescent="0.2">
      <c r="A142" s="1">
        <v>136</v>
      </c>
      <c r="B142" s="1" t="s">
        <v>320</v>
      </c>
      <c r="C142" s="32" t="s">
        <v>66</v>
      </c>
      <c r="D142" s="1">
        <v>210</v>
      </c>
      <c r="E142" s="1"/>
      <c r="F142" s="1">
        <v>196.04</v>
      </c>
      <c r="G142" s="1">
        <v>210</v>
      </c>
      <c r="H142" s="5">
        <f t="shared" si="2"/>
        <v>0</v>
      </c>
      <c r="I142" s="1"/>
      <c r="J142" s="1"/>
    </row>
    <row r="143" spans="1:10" x14ac:dyDescent="0.2">
      <c r="A143" s="1">
        <v>137</v>
      </c>
      <c r="B143" s="1" t="s">
        <v>320</v>
      </c>
      <c r="C143" s="32">
        <v>990</v>
      </c>
      <c r="D143" s="1">
        <v>16000</v>
      </c>
      <c r="E143" s="1"/>
      <c r="F143" s="1">
        <v>161</v>
      </c>
      <c r="G143" s="1">
        <v>16000</v>
      </c>
      <c r="H143" s="5">
        <f t="shared" si="2"/>
        <v>0</v>
      </c>
      <c r="I143" s="1"/>
      <c r="J143" s="1"/>
    </row>
    <row r="144" spans="1:10" x14ac:dyDescent="0.2">
      <c r="A144" s="1">
        <v>138</v>
      </c>
      <c r="B144" s="1" t="s">
        <v>320</v>
      </c>
      <c r="C144" s="32">
        <v>402</v>
      </c>
      <c r="D144" s="1">
        <v>22000</v>
      </c>
      <c r="E144" s="1"/>
      <c r="F144" s="1">
        <v>245</v>
      </c>
      <c r="G144" s="1">
        <v>22000</v>
      </c>
      <c r="H144" s="5">
        <f t="shared" si="2"/>
        <v>0</v>
      </c>
      <c r="I144" s="1"/>
      <c r="J144" s="1"/>
    </row>
    <row r="145" spans="1:10" x14ac:dyDescent="0.2">
      <c r="A145" s="1">
        <v>139</v>
      </c>
      <c r="B145" s="1" t="s">
        <v>320</v>
      </c>
      <c r="C145" s="32">
        <v>3127</v>
      </c>
      <c r="D145" s="1">
        <v>20000</v>
      </c>
      <c r="E145" s="1"/>
      <c r="F145" s="1">
        <v>222</v>
      </c>
      <c r="G145" s="1">
        <v>20000</v>
      </c>
      <c r="H145" s="5">
        <f t="shared" si="2"/>
        <v>0</v>
      </c>
      <c r="I145" s="1"/>
      <c r="J145" s="1"/>
    </row>
    <row r="146" spans="1:10" x14ac:dyDescent="0.2">
      <c r="A146" s="1">
        <v>140</v>
      </c>
      <c r="B146" s="1" t="s">
        <v>320</v>
      </c>
      <c r="C146" s="32">
        <v>6214</v>
      </c>
      <c r="D146" s="1">
        <v>18000</v>
      </c>
      <c r="E146" s="1"/>
      <c r="F146" s="1">
        <v>200</v>
      </c>
      <c r="G146" s="1">
        <v>18000</v>
      </c>
      <c r="H146" s="5">
        <f t="shared" si="2"/>
        <v>0</v>
      </c>
      <c r="I146" s="1"/>
      <c r="J146" s="1"/>
    </row>
    <row r="147" spans="1:10" x14ac:dyDescent="0.2">
      <c r="A147" s="1">
        <v>141</v>
      </c>
      <c r="B147" s="1" t="s">
        <v>320</v>
      </c>
      <c r="C147" s="32">
        <v>9794</v>
      </c>
      <c r="D147" s="1">
        <v>25000</v>
      </c>
      <c r="E147" s="1"/>
      <c r="F147" s="1">
        <v>278.22000000000003</v>
      </c>
      <c r="G147" s="1">
        <v>25000</v>
      </c>
      <c r="H147" s="5">
        <f t="shared" si="2"/>
        <v>0</v>
      </c>
      <c r="I147" s="1"/>
      <c r="J147" s="1"/>
    </row>
    <row r="148" spans="1:10" x14ac:dyDescent="0.2">
      <c r="A148" s="1">
        <v>142</v>
      </c>
      <c r="B148" s="1" t="s">
        <v>320</v>
      </c>
      <c r="C148" s="32">
        <v>7266</v>
      </c>
      <c r="D148" s="1">
        <v>17000</v>
      </c>
      <c r="E148" s="1"/>
      <c r="F148" s="1">
        <v>189</v>
      </c>
      <c r="G148" s="1">
        <v>17000</v>
      </c>
      <c r="H148" s="5">
        <f t="shared" si="2"/>
        <v>0</v>
      </c>
      <c r="I148" s="1"/>
      <c r="J148" s="1"/>
    </row>
    <row r="149" spans="1:10" x14ac:dyDescent="0.2">
      <c r="A149" s="1">
        <v>143</v>
      </c>
      <c r="B149" s="1" t="s">
        <v>320</v>
      </c>
      <c r="C149" s="32">
        <v>9975</v>
      </c>
      <c r="D149" s="1">
        <v>27000</v>
      </c>
      <c r="E149" s="1"/>
      <c r="F149" s="1">
        <v>300</v>
      </c>
      <c r="G149" s="1">
        <v>27000</v>
      </c>
      <c r="H149" s="5">
        <f t="shared" si="2"/>
        <v>0</v>
      </c>
      <c r="I149" s="1"/>
      <c r="J149" s="1"/>
    </row>
    <row r="150" spans="1:10" x14ac:dyDescent="0.2">
      <c r="A150" s="1">
        <v>144</v>
      </c>
      <c r="B150" s="1" t="s">
        <v>322</v>
      </c>
      <c r="C150" s="32">
        <v>2545</v>
      </c>
      <c r="D150" s="1">
        <v>16000</v>
      </c>
      <c r="E150" s="1"/>
      <c r="F150" s="1">
        <v>178</v>
      </c>
      <c r="G150" s="1">
        <v>16000</v>
      </c>
      <c r="H150" s="5">
        <f t="shared" si="2"/>
        <v>0</v>
      </c>
      <c r="I150" s="1"/>
      <c r="J150" s="1"/>
    </row>
    <row r="151" spans="1:10" x14ac:dyDescent="0.2">
      <c r="A151" s="1">
        <v>145</v>
      </c>
      <c r="B151" s="1" t="s">
        <v>322</v>
      </c>
      <c r="C151" s="32" t="s">
        <v>30</v>
      </c>
      <c r="D151" s="1">
        <v>4500</v>
      </c>
      <c r="E151" s="1"/>
      <c r="F151" s="1">
        <v>50.13</v>
      </c>
      <c r="G151" s="1">
        <v>4500</v>
      </c>
      <c r="H151" s="5">
        <f t="shared" si="2"/>
        <v>0</v>
      </c>
      <c r="I151" s="1"/>
      <c r="J151" s="1"/>
    </row>
    <row r="152" spans="1:10" x14ac:dyDescent="0.2">
      <c r="A152" s="1">
        <v>146</v>
      </c>
      <c r="B152" s="1" t="s">
        <v>322</v>
      </c>
      <c r="C152" s="32">
        <v>1392</v>
      </c>
      <c r="D152" s="1">
        <v>16000</v>
      </c>
      <c r="E152" s="1"/>
      <c r="F152" s="1">
        <v>168</v>
      </c>
      <c r="G152" s="1">
        <v>16000</v>
      </c>
      <c r="H152" s="5">
        <f t="shared" si="2"/>
        <v>0</v>
      </c>
      <c r="I152" s="1"/>
      <c r="J152" s="1"/>
    </row>
    <row r="153" spans="1:10" x14ac:dyDescent="0.2">
      <c r="A153" s="1">
        <v>147</v>
      </c>
      <c r="B153" s="1" t="s">
        <v>322</v>
      </c>
      <c r="C153" s="32">
        <v>4028</v>
      </c>
      <c r="D153" s="1">
        <v>20000</v>
      </c>
      <c r="E153" s="1"/>
      <c r="F153" s="1">
        <v>222.82</v>
      </c>
      <c r="G153" s="1">
        <v>20000</v>
      </c>
      <c r="H153" s="5">
        <f t="shared" si="2"/>
        <v>0</v>
      </c>
      <c r="I153" s="1"/>
      <c r="J153" s="1"/>
    </row>
    <row r="154" spans="1:10" x14ac:dyDescent="0.2">
      <c r="A154" s="1">
        <v>148</v>
      </c>
      <c r="B154" s="1" t="s">
        <v>322</v>
      </c>
      <c r="C154" s="32">
        <v>1103</v>
      </c>
      <c r="D154" s="1">
        <v>16000</v>
      </c>
      <c r="E154" s="1"/>
      <c r="F154" s="1">
        <v>155</v>
      </c>
      <c r="G154" s="1">
        <v>16000</v>
      </c>
      <c r="H154" s="5">
        <f t="shared" si="2"/>
        <v>0</v>
      </c>
      <c r="I154" s="1"/>
      <c r="J154" s="1"/>
    </row>
    <row r="155" spans="1:10" x14ac:dyDescent="0.2">
      <c r="A155" s="1">
        <v>149</v>
      </c>
      <c r="B155" s="1" t="s">
        <v>322</v>
      </c>
      <c r="C155" s="32">
        <v>4061</v>
      </c>
      <c r="D155" s="1">
        <v>25000</v>
      </c>
      <c r="E155" s="1"/>
      <c r="F155" s="1">
        <v>278.22000000000003</v>
      </c>
      <c r="G155" s="1">
        <v>25000</v>
      </c>
      <c r="H155" s="5">
        <f t="shared" si="2"/>
        <v>0</v>
      </c>
      <c r="I155" s="1"/>
      <c r="J155" s="1"/>
    </row>
    <row r="156" spans="1:10" x14ac:dyDescent="0.2">
      <c r="A156" s="1">
        <v>150</v>
      </c>
      <c r="B156" s="1" t="s">
        <v>322</v>
      </c>
      <c r="C156" s="32">
        <v>6177</v>
      </c>
      <c r="D156" s="1">
        <v>25000</v>
      </c>
      <c r="E156" s="1"/>
      <c r="F156" s="1">
        <v>278.22000000000003</v>
      </c>
      <c r="G156" s="1">
        <v>25000</v>
      </c>
      <c r="H156" s="5">
        <f t="shared" si="2"/>
        <v>0</v>
      </c>
      <c r="I156" s="1"/>
      <c r="J156" s="1"/>
    </row>
    <row r="157" spans="1:10" x14ac:dyDescent="0.2">
      <c r="A157" s="1">
        <v>151</v>
      </c>
      <c r="B157" s="1" t="s">
        <v>322</v>
      </c>
      <c r="C157" s="32">
        <v>4295</v>
      </c>
      <c r="D157" s="1">
        <v>20000</v>
      </c>
      <c r="E157" s="1"/>
      <c r="F157" s="1">
        <v>222</v>
      </c>
      <c r="G157" s="1">
        <v>20000</v>
      </c>
      <c r="H157" s="5">
        <f t="shared" si="2"/>
        <v>0</v>
      </c>
      <c r="I157" s="1"/>
      <c r="J157" s="1"/>
    </row>
    <row r="158" spans="1:10" x14ac:dyDescent="0.2">
      <c r="A158" s="1">
        <v>152</v>
      </c>
      <c r="B158" s="1" t="s">
        <v>322</v>
      </c>
      <c r="C158" s="32">
        <v>4674</v>
      </c>
      <c r="D158" s="1">
        <v>25000</v>
      </c>
      <c r="E158" s="1"/>
      <c r="F158" s="1">
        <v>278.22000000000003</v>
      </c>
      <c r="G158" s="1">
        <v>25000</v>
      </c>
      <c r="H158" s="5">
        <f t="shared" si="2"/>
        <v>0</v>
      </c>
      <c r="I158" s="1"/>
      <c r="J158" s="1"/>
    </row>
    <row r="159" spans="1:10" x14ac:dyDescent="0.2">
      <c r="A159" s="1">
        <v>153</v>
      </c>
      <c r="B159" s="1" t="s">
        <v>324</v>
      </c>
      <c r="C159" s="32">
        <v>6538</v>
      </c>
      <c r="D159" s="1">
        <v>8000</v>
      </c>
      <c r="E159" s="1"/>
      <c r="F159" s="1">
        <v>85</v>
      </c>
      <c r="G159" s="1">
        <v>8000</v>
      </c>
      <c r="H159" s="5">
        <f t="shared" si="2"/>
        <v>0</v>
      </c>
      <c r="I159" s="1"/>
      <c r="J159" s="1"/>
    </row>
    <row r="160" spans="1:10" x14ac:dyDescent="0.2">
      <c r="A160" s="1">
        <v>154</v>
      </c>
      <c r="B160" s="1" t="s">
        <v>324</v>
      </c>
      <c r="C160" s="32">
        <v>5403</v>
      </c>
      <c r="D160" s="1">
        <v>12000</v>
      </c>
      <c r="E160" s="1"/>
      <c r="F160" s="1">
        <v>133</v>
      </c>
      <c r="G160" s="1">
        <v>12000</v>
      </c>
      <c r="H160" s="5">
        <f t="shared" si="2"/>
        <v>0</v>
      </c>
      <c r="I160" s="1"/>
      <c r="J160" s="1"/>
    </row>
    <row r="161" spans="1:10" x14ac:dyDescent="0.2">
      <c r="A161" s="1">
        <v>155</v>
      </c>
      <c r="B161" s="1" t="s">
        <v>324</v>
      </c>
      <c r="C161" s="32">
        <v>6204</v>
      </c>
      <c r="D161" s="1">
        <v>20000</v>
      </c>
      <c r="E161" s="1"/>
      <c r="F161" s="1">
        <v>222.82</v>
      </c>
      <c r="G161" s="1">
        <v>20000</v>
      </c>
      <c r="H161" s="5">
        <f t="shared" si="2"/>
        <v>0</v>
      </c>
      <c r="I161" s="1"/>
      <c r="J161" s="1"/>
    </row>
    <row r="162" spans="1:10" x14ac:dyDescent="0.2">
      <c r="A162" s="1">
        <v>156</v>
      </c>
      <c r="B162" s="1" t="s">
        <v>325</v>
      </c>
      <c r="C162" s="32">
        <v>9134</v>
      </c>
      <c r="D162" s="1">
        <v>19000</v>
      </c>
      <c r="E162" s="1"/>
      <c r="F162" s="1">
        <v>212.15</v>
      </c>
      <c r="G162" s="1">
        <v>19000</v>
      </c>
      <c r="H162" s="5">
        <f t="shared" si="2"/>
        <v>0</v>
      </c>
      <c r="I162" s="1"/>
      <c r="J162" s="1"/>
    </row>
    <row r="163" spans="1:10" x14ac:dyDescent="0.2">
      <c r="A163" s="1">
        <v>157</v>
      </c>
      <c r="B163" s="1" t="s">
        <v>325</v>
      </c>
      <c r="C163" s="32" t="s">
        <v>30</v>
      </c>
      <c r="D163" s="1">
        <v>4500</v>
      </c>
      <c r="E163" s="1"/>
      <c r="F163" s="1">
        <v>50.13</v>
      </c>
      <c r="G163" s="1">
        <v>4500</v>
      </c>
      <c r="H163" s="5">
        <f t="shared" si="2"/>
        <v>0</v>
      </c>
      <c r="I163" s="1"/>
      <c r="J163" s="1"/>
    </row>
    <row r="164" spans="1:10" x14ac:dyDescent="0.2">
      <c r="A164" s="1">
        <v>158</v>
      </c>
      <c r="B164" s="1" t="s">
        <v>325</v>
      </c>
      <c r="C164" s="32">
        <v>990</v>
      </c>
      <c r="D164" s="1">
        <v>14229</v>
      </c>
      <c r="E164" s="1"/>
      <c r="F164" s="1">
        <v>158</v>
      </c>
      <c r="G164" s="1">
        <v>14229</v>
      </c>
      <c r="H164" s="5">
        <f t="shared" si="2"/>
        <v>0</v>
      </c>
      <c r="I164" s="1"/>
      <c r="J164" s="1"/>
    </row>
    <row r="165" spans="1:10" x14ac:dyDescent="0.2">
      <c r="A165" s="1">
        <v>159</v>
      </c>
      <c r="B165" s="1" t="s">
        <v>325</v>
      </c>
      <c r="C165" s="32">
        <v>1871</v>
      </c>
      <c r="D165" s="1">
        <v>20000</v>
      </c>
      <c r="E165" s="1"/>
      <c r="F165" s="1">
        <v>222.82</v>
      </c>
      <c r="G165" s="1">
        <v>20000</v>
      </c>
      <c r="H165" s="5">
        <f t="shared" si="2"/>
        <v>0</v>
      </c>
      <c r="I165" s="1"/>
      <c r="J165" s="1"/>
    </row>
    <row r="166" spans="1:10" x14ac:dyDescent="0.2">
      <c r="A166" s="1">
        <v>160</v>
      </c>
      <c r="B166" s="1" t="s">
        <v>325</v>
      </c>
      <c r="C166" s="32" t="s">
        <v>66</v>
      </c>
      <c r="D166" s="1">
        <v>200</v>
      </c>
      <c r="E166" s="1"/>
      <c r="F166" s="1">
        <v>196.04</v>
      </c>
      <c r="G166" s="1">
        <v>200</v>
      </c>
      <c r="H166" s="5">
        <f t="shared" si="2"/>
        <v>0</v>
      </c>
      <c r="I166" s="1"/>
      <c r="J166" s="1"/>
    </row>
    <row r="167" spans="1:10" x14ac:dyDescent="0.2">
      <c r="A167" s="1">
        <v>161</v>
      </c>
      <c r="B167" s="1" t="s">
        <v>326</v>
      </c>
      <c r="C167" s="32">
        <v>3935</v>
      </c>
      <c r="D167" s="1">
        <v>16000</v>
      </c>
      <c r="E167" s="1"/>
      <c r="F167" s="1">
        <v>168</v>
      </c>
      <c r="G167" s="1">
        <v>16000</v>
      </c>
      <c r="H167" s="5">
        <f t="shared" si="2"/>
        <v>0</v>
      </c>
      <c r="I167" s="1"/>
      <c r="J167" s="1"/>
    </row>
    <row r="168" spans="1:10" x14ac:dyDescent="0.2">
      <c r="A168" s="1">
        <v>162</v>
      </c>
      <c r="B168" s="1" t="s">
        <v>327</v>
      </c>
      <c r="C168" s="32">
        <v>851</v>
      </c>
      <c r="D168" s="1">
        <v>24000</v>
      </c>
      <c r="E168" s="1"/>
      <c r="F168" s="1">
        <v>267</v>
      </c>
      <c r="G168" s="1">
        <v>24000</v>
      </c>
      <c r="H168" s="5">
        <f t="shared" si="2"/>
        <v>0</v>
      </c>
      <c r="I168" s="1"/>
      <c r="J168" s="1"/>
    </row>
    <row r="169" spans="1:10" x14ac:dyDescent="0.2">
      <c r="A169" s="1">
        <v>163</v>
      </c>
      <c r="B169" s="1" t="s">
        <v>327</v>
      </c>
      <c r="C169" s="32">
        <v>9148</v>
      </c>
      <c r="D169" s="1">
        <v>23000</v>
      </c>
      <c r="E169" s="1"/>
      <c r="F169" s="1">
        <v>256</v>
      </c>
      <c r="G169" s="1">
        <v>23000</v>
      </c>
      <c r="H169" s="5">
        <f t="shared" si="2"/>
        <v>0</v>
      </c>
      <c r="I169" s="1"/>
      <c r="J169" s="1"/>
    </row>
    <row r="170" spans="1:10" x14ac:dyDescent="0.2">
      <c r="A170" s="1">
        <v>164</v>
      </c>
      <c r="B170" s="1" t="s">
        <v>327</v>
      </c>
      <c r="C170" s="32">
        <v>6205</v>
      </c>
      <c r="D170" s="1">
        <v>18000</v>
      </c>
      <c r="E170" s="1"/>
      <c r="F170" s="1">
        <v>200.53</v>
      </c>
      <c r="G170" s="1">
        <v>18000</v>
      </c>
      <c r="H170" s="5">
        <f t="shared" si="2"/>
        <v>0</v>
      </c>
      <c r="I170" s="1"/>
      <c r="J170" s="1"/>
    </row>
    <row r="171" spans="1:10" x14ac:dyDescent="0.2">
      <c r="A171" s="1">
        <v>165</v>
      </c>
      <c r="B171" s="1" t="s">
        <v>327</v>
      </c>
      <c r="C171" s="32" t="s">
        <v>30</v>
      </c>
      <c r="D171" s="1">
        <v>5000</v>
      </c>
      <c r="E171" s="1"/>
      <c r="F171" s="1">
        <v>55.7</v>
      </c>
      <c r="G171" s="1">
        <v>5000</v>
      </c>
      <c r="H171" s="5">
        <f t="shared" si="2"/>
        <v>0</v>
      </c>
      <c r="I171" s="1"/>
      <c r="J171" s="1"/>
    </row>
    <row r="172" spans="1:10" x14ac:dyDescent="0.2">
      <c r="A172" s="1">
        <v>166</v>
      </c>
      <c r="B172" s="1" t="s">
        <v>327</v>
      </c>
      <c r="C172" s="32">
        <v>7874</v>
      </c>
      <c r="D172" s="1">
        <v>16000</v>
      </c>
      <c r="E172" s="1"/>
      <c r="F172" s="1">
        <v>168</v>
      </c>
      <c r="G172" s="1">
        <v>16000</v>
      </c>
      <c r="H172" s="5">
        <f t="shared" si="2"/>
        <v>0</v>
      </c>
      <c r="I172" s="1"/>
      <c r="J172" s="1"/>
    </row>
    <row r="173" spans="1:10" x14ac:dyDescent="0.2">
      <c r="A173" s="1">
        <v>167</v>
      </c>
      <c r="B173" s="1" t="s">
        <v>327</v>
      </c>
      <c r="C173" s="32">
        <v>7375</v>
      </c>
      <c r="D173" s="1">
        <v>20000</v>
      </c>
      <c r="E173" s="1"/>
      <c r="F173" s="1">
        <v>222.82</v>
      </c>
      <c r="G173" s="1">
        <v>20000</v>
      </c>
      <c r="H173" s="5">
        <f t="shared" si="2"/>
        <v>0</v>
      </c>
      <c r="I173" s="1"/>
      <c r="J173" s="1"/>
    </row>
    <row r="174" spans="1:10" x14ac:dyDescent="0.2">
      <c r="A174" s="1">
        <v>168</v>
      </c>
      <c r="B174" s="1" t="s">
        <v>327</v>
      </c>
      <c r="C174" s="32">
        <v>8600</v>
      </c>
      <c r="D174" s="1">
        <v>15000</v>
      </c>
      <c r="E174" s="1"/>
      <c r="F174" s="1">
        <v>167</v>
      </c>
      <c r="G174" s="1">
        <v>15000</v>
      </c>
      <c r="H174" s="5">
        <f t="shared" si="2"/>
        <v>0</v>
      </c>
      <c r="I174" s="1"/>
      <c r="J174" s="1"/>
    </row>
    <row r="175" spans="1:10" x14ac:dyDescent="0.2">
      <c r="A175" s="1">
        <v>169</v>
      </c>
      <c r="B175" s="1" t="s">
        <v>328</v>
      </c>
      <c r="C175" s="32">
        <v>1611</v>
      </c>
      <c r="D175" s="1">
        <v>22000</v>
      </c>
      <c r="E175" s="1"/>
      <c r="F175" s="1">
        <v>245</v>
      </c>
      <c r="G175" s="1">
        <v>22000</v>
      </c>
      <c r="H175" s="5">
        <f t="shared" si="2"/>
        <v>0</v>
      </c>
      <c r="I175" s="1"/>
      <c r="J175" s="1"/>
    </row>
    <row r="176" spans="1:10" x14ac:dyDescent="0.2">
      <c r="A176" s="1">
        <v>170</v>
      </c>
      <c r="B176" s="1" t="s">
        <v>328</v>
      </c>
      <c r="C176" s="32">
        <v>2545</v>
      </c>
      <c r="D176" s="1">
        <v>16000</v>
      </c>
      <c r="E176" s="1"/>
      <c r="F176" s="1">
        <v>168</v>
      </c>
      <c r="G176" s="1">
        <v>16000</v>
      </c>
      <c r="H176" s="5">
        <f t="shared" si="2"/>
        <v>0</v>
      </c>
      <c r="I176" s="1"/>
      <c r="J176" s="1"/>
    </row>
    <row r="177" spans="1:10" x14ac:dyDescent="0.2">
      <c r="A177" s="1">
        <v>171</v>
      </c>
      <c r="B177" s="1" t="s">
        <v>328</v>
      </c>
      <c r="C177" s="32" t="s">
        <v>30</v>
      </c>
      <c r="D177" s="1">
        <v>4500</v>
      </c>
      <c r="E177" s="1"/>
      <c r="F177" s="1">
        <v>50.13</v>
      </c>
      <c r="G177" s="1">
        <v>4500</v>
      </c>
      <c r="H177" s="5">
        <f t="shared" si="2"/>
        <v>0</v>
      </c>
      <c r="I177" s="1"/>
      <c r="J177" s="1"/>
    </row>
    <row r="178" spans="1:10" x14ac:dyDescent="0.2">
      <c r="A178" s="1">
        <v>172</v>
      </c>
      <c r="B178" s="1" t="s">
        <v>328</v>
      </c>
      <c r="C178" s="32">
        <v>7045</v>
      </c>
      <c r="D178" s="1">
        <v>17000</v>
      </c>
      <c r="E178" s="1"/>
      <c r="F178" s="1">
        <v>189</v>
      </c>
      <c r="G178" s="1">
        <v>17000</v>
      </c>
      <c r="H178" s="5">
        <f t="shared" si="2"/>
        <v>0</v>
      </c>
      <c r="I178" s="1"/>
      <c r="J178" s="1"/>
    </row>
    <row r="179" spans="1:10" x14ac:dyDescent="0.2">
      <c r="A179" s="1">
        <v>173</v>
      </c>
      <c r="B179" s="1" t="s">
        <v>328</v>
      </c>
      <c r="C179" s="32">
        <v>2380</v>
      </c>
      <c r="D179" s="1">
        <v>22000</v>
      </c>
      <c r="E179" s="1"/>
      <c r="F179" s="1">
        <v>245</v>
      </c>
      <c r="G179" s="1">
        <v>22000</v>
      </c>
      <c r="H179" s="5">
        <f t="shared" si="2"/>
        <v>0</v>
      </c>
      <c r="I179" s="1"/>
      <c r="J179" s="1"/>
    </row>
    <row r="180" spans="1:10" x14ac:dyDescent="0.2">
      <c r="A180" s="1">
        <v>174</v>
      </c>
      <c r="B180" s="1" t="s">
        <v>328</v>
      </c>
      <c r="C180" s="32">
        <v>4046</v>
      </c>
      <c r="D180" s="1">
        <v>15000</v>
      </c>
      <c r="E180" s="1"/>
      <c r="F180" s="1">
        <v>167</v>
      </c>
      <c r="G180" s="1">
        <v>15000</v>
      </c>
      <c r="H180" s="5">
        <f t="shared" si="2"/>
        <v>0</v>
      </c>
      <c r="I180" s="1"/>
      <c r="J180" s="1"/>
    </row>
    <row r="181" spans="1:10" x14ac:dyDescent="0.2">
      <c r="A181" s="1">
        <v>175</v>
      </c>
      <c r="B181" s="1" t="s">
        <v>328</v>
      </c>
      <c r="C181" s="32">
        <v>6849</v>
      </c>
      <c r="D181" s="1">
        <v>20000</v>
      </c>
      <c r="E181" s="1"/>
      <c r="F181" s="1">
        <v>222.82</v>
      </c>
      <c r="G181" s="1">
        <v>20000</v>
      </c>
      <c r="H181" s="5">
        <f t="shared" si="2"/>
        <v>0</v>
      </c>
      <c r="I181" s="1"/>
      <c r="J181" s="1"/>
    </row>
    <row r="182" spans="1:10" x14ac:dyDescent="0.2">
      <c r="A182" s="1">
        <v>176</v>
      </c>
      <c r="B182" s="1" t="s">
        <v>328</v>
      </c>
      <c r="C182" s="32">
        <v>4.5999999999999999E-3</v>
      </c>
      <c r="D182" s="1">
        <v>20000</v>
      </c>
      <c r="E182" s="1"/>
      <c r="F182" s="1">
        <v>222.82</v>
      </c>
      <c r="G182" s="1">
        <v>20000</v>
      </c>
      <c r="H182" s="5">
        <f t="shared" si="2"/>
        <v>0</v>
      </c>
      <c r="I182" s="1"/>
      <c r="J182" s="1"/>
    </row>
    <row r="183" spans="1:10" x14ac:dyDescent="0.2">
      <c r="A183" s="1">
        <v>177</v>
      </c>
      <c r="B183" s="1" t="s">
        <v>328</v>
      </c>
      <c r="C183" s="32">
        <v>4049</v>
      </c>
      <c r="D183" s="1">
        <v>20000</v>
      </c>
      <c r="E183" s="1"/>
      <c r="F183" s="1">
        <v>222.82</v>
      </c>
      <c r="G183" s="1">
        <v>20000</v>
      </c>
      <c r="H183" s="5">
        <f t="shared" si="2"/>
        <v>0</v>
      </c>
      <c r="I183" s="1"/>
      <c r="J183" s="1"/>
    </row>
    <row r="184" spans="1:10" x14ac:dyDescent="0.2">
      <c r="A184" s="1">
        <v>178</v>
      </c>
      <c r="B184" s="1" t="s">
        <v>328</v>
      </c>
      <c r="C184" s="32">
        <v>9137</v>
      </c>
      <c r="D184" s="1">
        <v>20000</v>
      </c>
      <c r="E184" s="1"/>
      <c r="F184" s="1">
        <v>222.82</v>
      </c>
      <c r="G184" s="1">
        <v>20000</v>
      </c>
      <c r="H184" s="5">
        <f t="shared" si="2"/>
        <v>0</v>
      </c>
      <c r="I184" s="1"/>
      <c r="J184" s="1"/>
    </row>
    <row r="185" spans="1:10" x14ac:dyDescent="0.2">
      <c r="A185" s="1">
        <v>179</v>
      </c>
      <c r="B185" s="1" t="s">
        <v>328</v>
      </c>
      <c r="C185" s="32">
        <v>5357</v>
      </c>
      <c r="D185" s="1">
        <v>13000</v>
      </c>
      <c r="E185" s="1"/>
      <c r="F185" s="1">
        <v>144</v>
      </c>
      <c r="G185" s="1">
        <v>13000</v>
      </c>
      <c r="H185" s="5">
        <f t="shared" si="2"/>
        <v>0</v>
      </c>
      <c r="I185" s="1"/>
      <c r="J185" s="1"/>
    </row>
    <row r="186" spans="1:10" x14ac:dyDescent="0.2">
      <c r="A186" s="1">
        <v>180</v>
      </c>
      <c r="B186" s="1" t="s">
        <v>328</v>
      </c>
      <c r="C186" s="32">
        <v>9250</v>
      </c>
      <c r="D186" s="1">
        <v>27000</v>
      </c>
      <c r="E186" s="1"/>
      <c r="F186" s="1">
        <v>300</v>
      </c>
      <c r="G186" s="1">
        <v>27000</v>
      </c>
      <c r="H186" s="5">
        <f t="shared" si="2"/>
        <v>0</v>
      </c>
      <c r="I186" s="1"/>
      <c r="J186" s="1"/>
    </row>
    <row r="187" spans="1:10" x14ac:dyDescent="0.2">
      <c r="A187" s="1">
        <v>181</v>
      </c>
      <c r="B187" s="1" t="s">
        <v>329</v>
      </c>
      <c r="C187" s="32">
        <v>7109</v>
      </c>
      <c r="D187" s="1">
        <v>3508</v>
      </c>
      <c r="E187" s="1"/>
      <c r="F187" s="1">
        <v>39</v>
      </c>
      <c r="G187" s="1">
        <v>3508</v>
      </c>
      <c r="H187" s="5">
        <f t="shared" si="2"/>
        <v>0</v>
      </c>
      <c r="I187" s="1"/>
      <c r="J187" s="1"/>
    </row>
    <row r="188" spans="1:10" x14ac:dyDescent="0.2">
      <c r="A188" s="1">
        <v>182</v>
      </c>
      <c r="B188" s="1" t="s">
        <v>329</v>
      </c>
      <c r="C188" s="32">
        <v>1909</v>
      </c>
      <c r="D188" s="1">
        <v>15000</v>
      </c>
      <c r="E188" s="1"/>
      <c r="F188" s="1">
        <v>167</v>
      </c>
      <c r="G188" s="1">
        <v>15000</v>
      </c>
      <c r="H188" s="5">
        <f t="shared" si="2"/>
        <v>0</v>
      </c>
      <c r="I188" s="1"/>
      <c r="J188" s="1"/>
    </row>
    <row r="189" spans="1:10" x14ac:dyDescent="0.2">
      <c r="A189" s="1">
        <v>183</v>
      </c>
      <c r="B189" s="1" t="s">
        <v>332</v>
      </c>
      <c r="C189" s="32" t="s">
        <v>66</v>
      </c>
      <c r="D189" s="1">
        <v>210</v>
      </c>
      <c r="E189" s="1"/>
      <c r="F189" s="1">
        <v>192.08</v>
      </c>
      <c r="G189" s="1">
        <v>210</v>
      </c>
      <c r="H189" s="5">
        <f t="shared" si="2"/>
        <v>0</v>
      </c>
      <c r="I189" s="1"/>
      <c r="J189" s="1"/>
    </row>
    <row r="190" spans="1:10" x14ac:dyDescent="0.2">
      <c r="A190" s="1">
        <v>184</v>
      </c>
      <c r="B190" s="1" t="s">
        <v>332</v>
      </c>
      <c r="C190" s="32" t="s">
        <v>30</v>
      </c>
      <c r="D190" s="1">
        <v>4500</v>
      </c>
      <c r="E190" s="1"/>
      <c r="F190" s="1">
        <v>50.13</v>
      </c>
      <c r="G190" s="1">
        <v>4500</v>
      </c>
      <c r="H190" s="5">
        <f t="shared" si="2"/>
        <v>0</v>
      </c>
      <c r="I190" s="1"/>
      <c r="J190" s="1"/>
    </row>
    <row r="191" spans="1:10" x14ac:dyDescent="0.2">
      <c r="A191" s="1">
        <v>185</v>
      </c>
      <c r="B191" s="1" t="s">
        <v>332</v>
      </c>
      <c r="C191" s="32">
        <v>6328</v>
      </c>
      <c r="D191" s="1">
        <v>23000</v>
      </c>
      <c r="E191" s="1"/>
      <c r="F191" s="1">
        <v>256</v>
      </c>
      <c r="G191" s="1">
        <v>23000</v>
      </c>
      <c r="H191" s="5">
        <f t="shared" si="2"/>
        <v>0</v>
      </c>
      <c r="I191" s="1"/>
      <c r="J191" s="1"/>
    </row>
    <row r="192" spans="1:10" x14ac:dyDescent="0.2">
      <c r="A192" s="1">
        <v>186</v>
      </c>
      <c r="B192" s="1" t="s">
        <v>332</v>
      </c>
      <c r="C192" s="32" t="s">
        <v>30</v>
      </c>
      <c r="D192" s="1">
        <v>5000</v>
      </c>
      <c r="E192" s="1"/>
      <c r="F192" s="1">
        <v>55.7</v>
      </c>
      <c r="G192" s="1">
        <v>5000</v>
      </c>
      <c r="H192" s="5">
        <f t="shared" si="2"/>
        <v>0</v>
      </c>
      <c r="I192" s="1"/>
      <c r="J192" s="1"/>
    </row>
    <row r="193" spans="1:10" x14ac:dyDescent="0.2">
      <c r="A193" s="1">
        <v>187</v>
      </c>
      <c r="B193" s="1" t="s">
        <v>332</v>
      </c>
      <c r="C193" s="32">
        <v>2605</v>
      </c>
      <c r="D193" s="1">
        <v>23000</v>
      </c>
      <c r="E193" s="1"/>
      <c r="F193" s="1">
        <v>256</v>
      </c>
      <c r="G193" s="1">
        <v>23000</v>
      </c>
      <c r="H193" s="5">
        <f t="shared" si="2"/>
        <v>0</v>
      </c>
      <c r="I193" s="1"/>
      <c r="J193" s="1"/>
    </row>
    <row r="194" spans="1:10" x14ac:dyDescent="0.2">
      <c r="A194" s="1">
        <v>188</v>
      </c>
      <c r="B194" s="1" t="s">
        <v>332</v>
      </c>
      <c r="C194" s="32">
        <v>1196</v>
      </c>
      <c r="D194" s="1">
        <v>23000</v>
      </c>
      <c r="E194" s="1"/>
      <c r="F194" s="1">
        <v>256</v>
      </c>
      <c r="G194" s="1">
        <v>23000</v>
      </c>
      <c r="H194" s="5">
        <f t="shared" si="2"/>
        <v>0</v>
      </c>
      <c r="I194" s="1"/>
      <c r="J194" s="1"/>
    </row>
    <row r="195" spans="1:10" x14ac:dyDescent="0.2">
      <c r="A195" s="1">
        <v>189</v>
      </c>
      <c r="B195" s="1" t="s">
        <v>332</v>
      </c>
      <c r="C195" s="32">
        <v>2555</v>
      </c>
      <c r="D195" s="1">
        <v>10000</v>
      </c>
      <c r="E195" s="1"/>
      <c r="F195" s="1">
        <v>111</v>
      </c>
      <c r="G195" s="1">
        <v>10000</v>
      </c>
      <c r="H195" s="5">
        <f t="shared" si="2"/>
        <v>0</v>
      </c>
      <c r="I195" s="1"/>
      <c r="J195" s="1"/>
    </row>
    <row r="196" spans="1:10" x14ac:dyDescent="0.2">
      <c r="A196" s="1">
        <v>190</v>
      </c>
      <c r="B196" s="1" t="s">
        <v>332</v>
      </c>
      <c r="C196" s="32">
        <v>5491</v>
      </c>
      <c r="D196" s="1">
        <v>20000</v>
      </c>
      <c r="E196" s="1"/>
      <c r="F196" s="1">
        <v>222.82</v>
      </c>
      <c r="G196" s="1">
        <v>20000</v>
      </c>
      <c r="H196" s="5">
        <f t="shared" si="2"/>
        <v>0</v>
      </c>
      <c r="I196" s="1"/>
      <c r="J196" s="1"/>
    </row>
    <row r="197" spans="1:10" x14ac:dyDescent="0.2">
      <c r="A197" s="1">
        <v>191</v>
      </c>
      <c r="B197" s="1" t="s">
        <v>332</v>
      </c>
      <c r="C197" s="32">
        <v>3809</v>
      </c>
      <c r="D197" s="1">
        <v>20000</v>
      </c>
      <c r="E197" s="1"/>
      <c r="F197" s="1">
        <v>222.82</v>
      </c>
      <c r="G197" s="1">
        <v>20000</v>
      </c>
      <c r="H197" s="5">
        <f t="shared" si="2"/>
        <v>0</v>
      </c>
      <c r="I197" s="1"/>
      <c r="J197" s="1"/>
    </row>
    <row r="198" spans="1:10" x14ac:dyDescent="0.2">
      <c r="A198" s="1">
        <v>192</v>
      </c>
      <c r="B198" s="1" t="s">
        <v>333</v>
      </c>
      <c r="C198" s="32">
        <v>4175</v>
      </c>
      <c r="D198" s="1">
        <v>15000</v>
      </c>
      <c r="E198" s="1"/>
      <c r="F198" s="1">
        <v>167</v>
      </c>
      <c r="G198" s="1">
        <v>15000</v>
      </c>
      <c r="H198" s="5">
        <f t="shared" si="2"/>
        <v>0</v>
      </c>
      <c r="I198" s="1"/>
      <c r="J198" s="1"/>
    </row>
    <row r="199" spans="1:10" x14ac:dyDescent="0.2">
      <c r="A199" s="1">
        <v>193</v>
      </c>
      <c r="B199" s="1" t="s">
        <v>333</v>
      </c>
      <c r="C199" s="32">
        <v>4501</v>
      </c>
      <c r="D199" s="1">
        <v>20000</v>
      </c>
      <c r="E199" s="1"/>
      <c r="F199" s="1">
        <v>222</v>
      </c>
      <c r="G199" s="1">
        <v>20000</v>
      </c>
      <c r="H199" s="5">
        <f t="shared" si="2"/>
        <v>0</v>
      </c>
      <c r="I199" s="1"/>
      <c r="J199" s="1"/>
    </row>
    <row r="200" spans="1:10" x14ac:dyDescent="0.2">
      <c r="A200" s="1">
        <v>194</v>
      </c>
      <c r="B200" s="1" t="s">
        <v>334</v>
      </c>
      <c r="C200" s="32">
        <v>3763</v>
      </c>
      <c r="D200" s="1">
        <v>22000</v>
      </c>
      <c r="E200" s="1"/>
      <c r="F200" s="1">
        <v>245</v>
      </c>
      <c r="G200" s="1">
        <v>22000</v>
      </c>
      <c r="H200" s="5">
        <f t="shared" si="2"/>
        <v>0</v>
      </c>
      <c r="I200" s="1"/>
      <c r="J200" s="1"/>
    </row>
    <row r="201" spans="1:10" x14ac:dyDescent="0.2">
      <c r="A201" s="1">
        <v>195</v>
      </c>
      <c r="B201" s="1" t="s">
        <v>334</v>
      </c>
      <c r="C201" s="32">
        <v>7469</v>
      </c>
      <c r="D201" s="1">
        <v>22000</v>
      </c>
      <c r="E201" s="1"/>
      <c r="F201" s="1">
        <v>245</v>
      </c>
      <c r="G201" s="1">
        <v>22000</v>
      </c>
      <c r="H201" s="5">
        <f t="shared" si="2"/>
        <v>0</v>
      </c>
      <c r="I201" s="1"/>
      <c r="J201" s="1"/>
    </row>
    <row r="202" spans="1:10" x14ac:dyDescent="0.2">
      <c r="A202" s="1">
        <v>196</v>
      </c>
      <c r="B202" s="1" t="s">
        <v>334</v>
      </c>
      <c r="C202" s="32">
        <v>6287</v>
      </c>
      <c r="D202" s="1">
        <v>18000</v>
      </c>
      <c r="E202" s="1"/>
      <c r="F202" s="1">
        <v>200.53</v>
      </c>
      <c r="G202" s="1">
        <v>18000</v>
      </c>
      <c r="H202" s="5">
        <f t="shared" ref="H202:H265" si="3">D202-G202</f>
        <v>0</v>
      </c>
      <c r="I202" s="1"/>
      <c r="J202" s="1"/>
    </row>
    <row r="203" spans="1:10" x14ac:dyDescent="0.2">
      <c r="A203" s="1">
        <v>197</v>
      </c>
      <c r="B203" s="1" t="s">
        <v>334</v>
      </c>
      <c r="C203" s="32">
        <v>5187</v>
      </c>
      <c r="D203" s="1">
        <v>18000</v>
      </c>
      <c r="E203" s="1"/>
      <c r="F203" s="1">
        <v>200.53</v>
      </c>
      <c r="G203" s="1">
        <v>18000</v>
      </c>
      <c r="H203" s="5">
        <f t="shared" si="3"/>
        <v>0</v>
      </c>
      <c r="I203" s="1"/>
      <c r="J203" s="1"/>
    </row>
    <row r="204" spans="1:10" x14ac:dyDescent="0.2">
      <c r="A204" s="1">
        <v>198</v>
      </c>
      <c r="B204" s="1" t="s">
        <v>334</v>
      </c>
      <c r="C204" s="32">
        <v>1187</v>
      </c>
      <c r="D204" s="1">
        <v>18000</v>
      </c>
      <c r="E204" s="1"/>
      <c r="F204" s="1">
        <v>200.53</v>
      </c>
      <c r="G204" s="1">
        <v>18000</v>
      </c>
      <c r="H204" s="5">
        <f t="shared" si="3"/>
        <v>0</v>
      </c>
      <c r="I204" s="1"/>
      <c r="J204" s="1"/>
    </row>
    <row r="205" spans="1:10" x14ac:dyDescent="0.2">
      <c r="A205" s="1">
        <v>199</v>
      </c>
      <c r="B205" s="1" t="s">
        <v>335</v>
      </c>
      <c r="C205" s="32">
        <v>9292</v>
      </c>
      <c r="D205" s="1">
        <v>9929</v>
      </c>
      <c r="E205" s="1"/>
      <c r="F205" s="1">
        <v>110</v>
      </c>
      <c r="G205" s="1">
        <v>9929</v>
      </c>
      <c r="H205" s="5">
        <f t="shared" si="3"/>
        <v>0</v>
      </c>
      <c r="I205" s="1"/>
      <c r="J205" s="1"/>
    </row>
    <row r="206" spans="1:10" x14ac:dyDescent="0.2">
      <c r="A206" s="1">
        <v>200</v>
      </c>
      <c r="B206" s="1" t="s">
        <v>335</v>
      </c>
      <c r="C206" s="32">
        <v>4691</v>
      </c>
      <c r="D206" s="1">
        <v>20000</v>
      </c>
      <c r="E206" s="1"/>
      <c r="F206" s="1">
        <v>222.82</v>
      </c>
      <c r="G206" s="1">
        <v>20000</v>
      </c>
      <c r="H206" s="5">
        <f t="shared" si="3"/>
        <v>0</v>
      </c>
      <c r="I206" s="1"/>
      <c r="J206" s="1"/>
    </row>
    <row r="207" spans="1:10" x14ac:dyDescent="0.2">
      <c r="A207" s="1">
        <v>201</v>
      </c>
      <c r="B207" s="1" t="s">
        <v>335</v>
      </c>
      <c r="C207" s="32">
        <v>521</v>
      </c>
      <c r="D207" s="1">
        <v>10000</v>
      </c>
      <c r="E207" s="1"/>
      <c r="F207" s="1">
        <v>111</v>
      </c>
      <c r="G207" s="1">
        <v>10000</v>
      </c>
      <c r="H207" s="5">
        <f t="shared" si="3"/>
        <v>0</v>
      </c>
      <c r="I207" s="1"/>
      <c r="J207" s="1"/>
    </row>
    <row r="208" spans="1:10" x14ac:dyDescent="0.2">
      <c r="A208" s="1">
        <v>202</v>
      </c>
      <c r="B208" s="1" t="s">
        <v>335</v>
      </c>
      <c r="C208" s="32">
        <v>3773</v>
      </c>
      <c r="D208" s="1">
        <v>13000</v>
      </c>
      <c r="E208" s="1"/>
      <c r="F208" s="1">
        <v>144</v>
      </c>
      <c r="G208" s="1">
        <v>13000</v>
      </c>
      <c r="H208" s="5">
        <f t="shared" si="3"/>
        <v>0</v>
      </c>
      <c r="I208" s="1"/>
      <c r="J208" s="1"/>
    </row>
    <row r="209" spans="1:10" x14ac:dyDescent="0.2">
      <c r="A209" s="1">
        <v>203</v>
      </c>
      <c r="B209" s="1" t="s">
        <v>335</v>
      </c>
      <c r="C209" s="32">
        <v>492</v>
      </c>
      <c r="D209" s="1">
        <v>20000</v>
      </c>
      <c r="E209" s="1"/>
      <c r="F209" s="1">
        <v>222.82</v>
      </c>
      <c r="G209" s="1">
        <v>20000</v>
      </c>
      <c r="H209" s="5">
        <f t="shared" si="3"/>
        <v>0</v>
      </c>
      <c r="I209" s="1"/>
      <c r="J209" s="1"/>
    </row>
    <row r="210" spans="1:10" x14ac:dyDescent="0.2">
      <c r="A210" s="1">
        <v>204</v>
      </c>
      <c r="B210" s="1" t="s">
        <v>335</v>
      </c>
      <c r="C210" s="32" t="s">
        <v>30</v>
      </c>
      <c r="D210" s="1">
        <v>4500</v>
      </c>
      <c r="E210" s="1"/>
      <c r="F210" s="1">
        <v>50.13</v>
      </c>
      <c r="G210" s="1">
        <v>4500</v>
      </c>
      <c r="H210" s="5">
        <f t="shared" si="3"/>
        <v>0</v>
      </c>
      <c r="I210" s="1"/>
      <c r="J210" s="1"/>
    </row>
    <row r="211" spans="1:10" x14ac:dyDescent="0.2">
      <c r="A211" s="1">
        <v>205</v>
      </c>
      <c r="B211" s="1" t="s">
        <v>335</v>
      </c>
      <c r="C211" s="32" t="s">
        <v>30</v>
      </c>
      <c r="D211" s="1">
        <v>5000</v>
      </c>
      <c r="E211" s="1"/>
      <c r="F211" s="1">
        <v>55.15</v>
      </c>
      <c r="G211" s="1">
        <v>5000</v>
      </c>
      <c r="H211" s="5">
        <f t="shared" si="3"/>
        <v>0</v>
      </c>
      <c r="I211" s="1"/>
      <c r="J211" s="1"/>
    </row>
    <row r="212" spans="1:10" x14ac:dyDescent="0.2">
      <c r="A212" s="1">
        <v>206</v>
      </c>
      <c r="B212" s="1" t="s">
        <v>335</v>
      </c>
      <c r="C212" s="32">
        <v>5602</v>
      </c>
      <c r="D212" s="1">
        <v>17000</v>
      </c>
      <c r="E212" s="1"/>
      <c r="F212" s="1">
        <v>189</v>
      </c>
      <c r="G212" s="1">
        <v>17000</v>
      </c>
      <c r="H212" s="5">
        <f t="shared" si="3"/>
        <v>0</v>
      </c>
      <c r="I212" s="1"/>
      <c r="J212" s="1"/>
    </row>
    <row r="213" spans="1:10" x14ac:dyDescent="0.2">
      <c r="A213" s="1">
        <v>207</v>
      </c>
      <c r="B213" s="1" t="s">
        <v>335</v>
      </c>
      <c r="C213" s="32">
        <v>3908</v>
      </c>
      <c r="D213" s="1">
        <v>20000</v>
      </c>
      <c r="E213" s="1"/>
      <c r="F213" s="1">
        <v>222.82</v>
      </c>
      <c r="G213" s="1">
        <v>20000</v>
      </c>
      <c r="H213" s="5">
        <f t="shared" si="3"/>
        <v>0</v>
      </c>
      <c r="I213" s="1"/>
      <c r="J213" s="1"/>
    </row>
    <row r="214" spans="1:10" x14ac:dyDescent="0.2">
      <c r="A214" s="1">
        <v>208</v>
      </c>
      <c r="B214" s="1" t="s">
        <v>335</v>
      </c>
      <c r="C214" s="32" t="s">
        <v>66</v>
      </c>
      <c r="D214" s="1">
        <v>200</v>
      </c>
      <c r="E214" s="1"/>
      <c r="F214" s="1">
        <v>2.08</v>
      </c>
      <c r="G214" s="1">
        <v>200</v>
      </c>
      <c r="H214" s="5">
        <f t="shared" si="3"/>
        <v>0</v>
      </c>
      <c r="I214" s="1"/>
      <c r="J214" s="1"/>
    </row>
    <row r="215" spans="1:10" x14ac:dyDescent="0.2">
      <c r="A215" s="1">
        <v>209</v>
      </c>
      <c r="B215" s="1" t="s">
        <v>336</v>
      </c>
      <c r="C215" s="32">
        <v>9255</v>
      </c>
      <c r="D215" s="1">
        <v>21000</v>
      </c>
      <c r="E215" s="1"/>
      <c r="F215" s="1">
        <v>233</v>
      </c>
      <c r="G215" s="1">
        <v>21000</v>
      </c>
      <c r="H215" s="5">
        <f t="shared" si="3"/>
        <v>0</v>
      </c>
      <c r="I215" s="1"/>
      <c r="J215" s="1"/>
    </row>
    <row r="216" spans="1:10" x14ac:dyDescent="0.2">
      <c r="A216" s="1">
        <v>210</v>
      </c>
      <c r="B216" s="1" t="s">
        <v>336</v>
      </c>
      <c r="C216" s="32">
        <v>9544</v>
      </c>
      <c r="D216" s="1">
        <v>12000</v>
      </c>
      <c r="E216" s="1"/>
      <c r="F216" s="1">
        <v>133</v>
      </c>
      <c r="G216" s="1">
        <v>12000</v>
      </c>
      <c r="H216" s="5">
        <f t="shared" si="3"/>
        <v>0</v>
      </c>
      <c r="I216" s="1"/>
      <c r="J216" s="1"/>
    </row>
    <row r="217" spans="1:10" x14ac:dyDescent="0.2">
      <c r="A217" s="1">
        <v>211</v>
      </c>
      <c r="B217" s="1" t="s">
        <v>336</v>
      </c>
      <c r="C217" s="32" t="s">
        <v>66</v>
      </c>
      <c r="D217" s="1">
        <v>100</v>
      </c>
      <c r="E217" s="1"/>
      <c r="F217" s="1">
        <v>1.05</v>
      </c>
      <c r="G217" s="1">
        <v>100</v>
      </c>
      <c r="H217" s="5">
        <f t="shared" si="3"/>
        <v>0</v>
      </c>
      <c r="I217" s="1"/>
      <c r="J217" s="1"/>
    </row>
    <row r="218" spans="1:10" x14ac:dyDescent="0.2">
      <c r="A218" s="1">
        <v>212</v>
      </c>
      <c r="B218" s="1" t="s">
        <v>336</v>
      </c>
      <c r="C218" s="32">
        <v>4595</v>
      </c>
      <c r="D218" s="1">
        <v>20000</v>
      </c>
      <c r="E218" s="1"/>
      <c r="F218" s="1">
        <v>222.82</v>
      </c>
      <c r="G218" s="1">
        <v>20000</v>
      </c>
      <c r="H218" s="5">
        <f t="shared" si="3"/>
        <v>0</v>
      </c>
      <c r="I218" s="1"/>
      <c r="J218" s="1"/>
    </row>
    <row r="219" spans="1:10" x14ac:dyDescent="0.2">
      <c r="A219" s="1">
        <v>213</v>
      </c>
      <c r="B219" s="1" t="s">
        <v>336</v>
      </c>
      <c r="C219" s="32">
        <v>1215</v>
      </c>
      <c r="D219" s="1">
        <v>15000</v>
      </c>
      <c r="E219" s="1"/>
      <c r="F219" s="1">
        <v>167</v>
      </c>
      <c r="G219" s="1">
        <v>15000</v>
      </c>
      <c r="H219" s="5">
        <f t="shared" si="3"/>
        <v>0</v>
      </c>
      <c r="I219" s="1"/>
      <c r="J219" s="1"/>
    </row>
    <row r="220" spans="1:10" x14ac:dyDescent="0.2">
      <c r="A220" s="1">
        <v>214</v>
      </c>
      <c r="B220" s="1" t="s">
        <v>336</v>
      </c>
      <c r="C220" s="32">
        <v>6711</v>
      </c>
      <c r="D220" s="1">
        <v>16000</v>
      </c>
      <c r="E220" s="1"/>
      <c r="F220" s="1">
        <v>178</v>
      </c>
      <c r="G220" s="1">
        <v>16000</v>
      </c>
      <c r="H220" s="5">
        <f t="shared" si="3"/>
        <v>0</v>
      </c>
      <c r="I220" s="1"/>
      <c r="J220" s="1"/>
    </row>
    <row r="221" spans="1:10" x14ac:dyDescent="0.2">
      <c r="A221" s="1">
        <v>215</v>
      </c>
      <c r="B221" s="1" t="s">
        <v>336</v>
      </c>
      <c r="C221" s="32">
        <v>3754</v>
      </c>
      <c r="D221" s="1">
        <v>19000</v>
      </c>
      <c r="E221" s="1"/>
      <c r="F221" s="1">
        <v>211</v>
      </c>
      <c r="G221" s="1">
        <v>19000</v>
      </c>
      <c r="H221" s="5">
        <f t="shared" si="3"/>
        <v>0</v>
      </c>
      <c r="I221" s="1"/>
      <c r="J221" s="1"/>
    </row>
    <row r="222" spans="1:10" x14ac:dyDescent="0.2">
      <c r="A222" s="1">
        <v>216</v>
      </c>
      <c r="B222" s="1" t="s">
        <v>336</v>
      </c>
      <c r="C222" s="32">
        <v>8238</v>
      </c>
      <c r="D222" s="1">
        <v>19000</v>
      </c>
      <c r="E222" s="1"/>
      <c r="F222" s="1">
        <v>211</v>
      </c>
      <c r="G222" s="1">
        <v>19000</v>
      </c>
      <c r="H222" s="5">
        <f t="shared" si="3"/>
        <v>0</v>
      </c>
      <c r="I222" s="1"/>
      <c r="J222" s="1"/>
    </row>
    <row r="223" spans="1:10" x14ac:dyDescent="0.2">
      <c r="A223" s="1">
        <v>217</v>
      </c>
      <c r="B223" s="1" t="s">
        <v>336</v>
      </c>
      <c r="C223" s="32">
        <v>5403</v>
      </c>
      <c r="D223" s="1">
        <v>10000</v>
      </c>
      <c r="E223" s="1"/>
      <c r="F223" s="1">
        <v>11</v>
      </c>
      <c r="G223" s="1">
        <v>10000</v>
      </c>
      <c r="H223" s="5">
        <f t="shared" si="3"/>
        <v>0</v>
      </c>
      <c r="I223" s="1"/>
      <c r="J223" s="1"/>
    </row>
    <row r="224" spans="1:10" x14ac:dyDescent="0.2">
      <c r="A224" s="1">
        <v>218</v>
      </c>
      <c r="B224" s="1" t="s">
        <v>336</v>
      </c>
      <c r="C224" s="32">
        <v>7125</v>
      </c>
      <c r="D224" s="1">
        <v>20000</v>
      </c>
      <c r="E224" s="1"/>
      <c r="F224" s="1">
        <v>222.82</v>
      </c>
      <c r="G224" s="1">
        <v>20000</v>
      </c>
      <c r="H224" s="5">
        <f t="shared" si="3"/>
        <v>0</v>
      </c>
      <c r="I224" s="1"/>
      <c r="J224" s="1"/>
    </row>
    <row r="225" spans="1:10" x14ac:dyDescent="0.2">
      <c r="A225" s="1">
        <v>219</v>
      </c>
      <c r="B225" s="1" t="s">
        <v>336</v>
      </c>
      <c r="C225" s="32">
        <v>7950</v>
      </c>
      <c r="D225" s="1">
        <v>10000</v>
      </c>
      <c r="E225" s="1"/>
      <c r="F225" s="1">
        <v>111</v>
      </c>
      <c r="G225" s="1">
        <v>10000</v>
      </c>
      <c r="H225" s="5">
        <f t="shared" si="3"/>
        <v>0</v>
      </c>
      <c r="I225" s="1"/>
      <c r="J225" s="1"/>
    </row>
    <row r="226" spans="1:10" x14ac:dyDescent="0.2">
      <c r="A226" s="1">
        <v>220</v>
      </c>
      <c r="B226" s="1" t="s">
        <v>336</v>
      </c>
      <c r="C226" s="32">
        <v>9408</v>
      </c>
      <c r="D226" s="1">
        <v>25000</v>
      </c>
      <c r="E226" s="1"/>
      <c r="F226" s="1">
        <v>278</v>
      </c>
      <c r="G226" s="1">
        <v>25000</v>
      </c>
      <c r="H226" s="5">
        <f t="shared" si="3"/>
        <v>0</v>
      </c>
      <c r="I226" s="1"/>
      <c r="J226" s="1"/>
    </row>
    <row r="227" spans="1:10" x14ac:dyDescent="0.2">
      <c r="A227" s="1">
        <v>221</v>
      </c>
      <c r="B227" s="1" t="s">
        <v>336</v>
      </c>
      <c r="C227" s="32">
        <v>2459</v>
      </c>
      <c r="D227" s="1">
        <v>25000</v>
      </c>
      <c r="E227" s="1"/>
      <c r="F227" s="1">
        <v>278</v>
      </c>
      <c r="G227" s="1">
        <v>25000</v>
      </c>
      <c r="H227" s="5">
        <f t="shared" si="3"/>
        <v>0</v>
      </c>
      <c r="I227" s="1"/>
      <c r="J227" s="1"/>
    </row>
    <row r="228" spans="1:10" x14ac:dyDescent="0.2">
      <c r="A228" s="1">
        <v>222</v>
      </c>
      <c r="B228" s="1" t="s">
        <v>336</v>
      </c>
      <c r="C228" s="32">
        <v>2571</v>
      </c>
      <c r="D228" s="1">
        <v>25000</v>
      </c>
      <c r="E228" s="1"/>
      <c r="F228" s="1">
        <v>278</v>
      </c>
      <c r="G228" s="1">
        <v>25000</v>
      </c>
      <c r="H228" s="5">
        <f t="shared" si="3"/>
        <v>0</v>
      </c>
      <c r="I228" s="1"/>
      <c r="J228" s="1"/>
    </row>
    <row r="229" spans="1:10" x14ac:dyDescent="0.2">
      <c r="A229" s="1">
        <v>223</v>
      </c>
      <c r="B229" s="1" t="s">
        <v>336</v>
      </c>
      <c r="C229" s="32">
        <v>3711</v>
      </c>
      <c r="D229" s="1">
        <v>25000</v>
      </c>
      <c r="E229" s="1"/>
      <c r="F229" s="1">
        <v>278</v>
      </c>
      <c r="G229" s="1">
        <v>25000</v>
      </c>
      <c r="H229" s="5">
        <f t="shared" si="3"/>
        <v>0</v>
      </c>
      <c r="I229" s="1"/>
      <c r="J229" s="1"/>
    </row>
    <row r="230" spans="1:10" x14ac:dyDescent="0.2">
      <c r="A230" s="1">
        <v>224</v>
      </c>
      <c r="B230" s="1" t="s">
        <v>336</v>
      </c>
      <c r="C230" s="32">
        <v>5271</v>
      </c>
      <c r="D230" s="1">
        <v>25000</v>
      </c>
      <c r="E230" s="1"/>
      <c r="F230" s="1">
        <v>278</v>
      </c>
      <c r="G230" s="1">
        <v>25000</v>
      </c>
      <c r="H230" s="5">
        <f t="shared" si="3"/>
        <v>0</v>
      </c>
      <c r="I230" s="1"/>
      <c r="J230" s="1"/>
    </row>
    <row r="231" spans="1:10" x14ac:dyDescent="0.2">
      <c r="A231" s="1">
        <v>225</v>
      </c>
      <c r="B231" s="1" t="s">
        <v>336</v>
      </c>
      <c r="C231" s="32">
        <v>8070</v>
      </c>
      <c r="D231" s="1">
        <v>20000</v>
      </c>
      <c r="E231" s="1"/>
      <c r="F231" s="1">
        <v>222.82</v>
      </c>
      <c r="G231" s="1">
        <v>20000</v>
      </c>
      <c r="H231" s="5">
        <f t="shared" si="3"/>
        <v>0</v>
      </c>
      <c r="I231" s="1"/>
      <c r="J231" s="1"/>
    </row>
    <row r="232" spans="1:10" x14ac:dyDescent="0.2">
      <c r="A232" s="1">
        <v>226</v>
      </c>
      <c r="B232" s="1" t="s">
        <v>336</v>
      </c>
      <c r="C232" s="32">
        <v>7672</v>
      </c>
      <c r="D232" s="1">
        <v>16000</v>
      </c>
      <c r="E232" s="1"/>
      <c r="F232" s="1">
        <v>178</v>
      </c>
      <c r="G232" s="1">
        <v>16000</v>
      </c>
      <c r="H232" s="5">
        <f t="shared" si="3"/>
        <v>0</v>
      </c>
      <c r="I232" s="1"/>
      <c r="J232" s="1"/>
    </row>
    <row r="233" spans="1:10" x14ac:dyDescent="0.2">
      <c r="A233" s="1">
        <v>227</v>
      </c>
      <c r="B233" s="1" t="s">
        <v>336</v>
      </c>
      <c r="C233" s="32">
        <v>3526</v>
      </c>
      <c r="D233" s="1">
        <v>24000</v>
      </c>
      <c r="E233" s="1"/>
      <c r="F233" s="1">
        <v>267</v>
      </c>
      <c r="G233" s="1">
        <v>24000</v>
      </c>
      <c r="H233" s="5">
        <f t="shared" si="3"/>
        <v>0</v>
      </c>
      <c r="I233" s="1"/>
      <c r="J233" s="1"/>
    </row>
    <row r="234" spans="1:10" x14ac:dyDescent="0.2">
      <c r="A234" s="1">
        <v>228</v>
      </c>
      <c r="B234" s="1" t="s">
        <v>336</v>
      </c>
      <c r="C234" s="32">
        <v>5485</v>
      </c>
      <c r="D234" s="1">
        <v>28000</v>
      </c>
      <c r="E234" s="1"/>
      <c r="F234" s="1">
        <v>301</v>
      </c>
      <c r="G234" s="1">
        <v>28000</v>
      </c>
      <c r="H234" s="5">
        <f t="shared" si="3"/>
        <v>0</v>
      </c>
      <c r="I234" s="1"/>
      <c r="J234" s="1"/>
    </row>
    <row r="235" spans="1:10" x14ac:dyDescent="0.2">
      <c r="A235" s="1">
        <v>229</v>
      </c>
      <c r="B235" s="1" t="s">
        <v>337</v>
      </c>
      <c r="C235" s="32">
        <v>9405</v>
      </c>
      <c r="D235" s="1">
        <v>20000</v>
      </c>
      <c r="E235" s="1"/>
      <c r="F235" s="1">
        <v>222.82</v>
      </c>
      <c r="G235" s="1">
        <v>20000</v>
      </c>
      <c r="H235" s="5">
        <f t="shared" si="3"/>
        <v>0</v>
      </c>
      <c r="I235" s="1"/>
      <c r="J235" s="1"/>
    </row>
    <row r="236" spans="1:10" x14ac:dyDescent="0.2">
      <c r="A236" s="1">
        <v>230</v>
      </c>
      <c r="B236" s="1" t="s">
        <v>337</v>
      </c>
      <c r="C236" s="32">
        <v>851</v>
      </c>
      <c r="D236" s="1">
        <v>23000</v>
      </c>
      <c r="E236" s="1"/>
      <c r="F236" s="1">
        <v>256</v>
      </c>
      <c r="G236" s="1">
        <v>23000</v>
      </c>
      <c r="H236" s="5">
        <f t="shared" si="3"/>
        <v>0</v>
      </c>
      <c r="I236" s="1"/>
      <c r="J236" s="1"/>
    </row>
    <row r="237" spans="1:10" x14ac:dyDescent="0.2">
      <c r="A237" s="1">
        <v>231</v>
      </c>
      <c r="B237" s="1" t="s">
        <v>337</v>
      </c>
      <c r="C237" s="32">
        <v>4137</v>
      </c>
      <c r="D237" s="1">
        <v>17000</v>
      </c>
      <c r="E237" s="1"/>
      <c r="F237" s="1">
        <v>189</v>
      </c>
      <c r="G237" s="1">
        <v>17000</v>
      </c>
      <c r="H237" s="5">
        <f t="shared" si="3"/>
        <v>0</v>
      </c>
      <c r="I237" s="1"/>
      <c r="J237" s="1"/>
    </row>
    <row r="238" spans="1:10" x14ac:dyDescent="0.2">
      <c r="A238" s="1">
        <v>232</v>
      </c>
      <c r="B238" s="1" t="s">
        <v>337</v>
      </c>
      <c r="C238" s="32">
        <v>9148</v>
      </c>
      <c r="D238" s="1">
        <v>23000</v>
      </c>
      <c r="E238" s="1"/>
      <c r="F238" s="1">
        <v>256</v>
      </c>
      <c r="G238" s="1">
        <v>23000</v>
      </c>
      <c r="H238" s="5">
        <f t="shared" si="3"/>
        <v>0</v>
      </c>
      <c r="I238" s="1"/>
      <c r="J238" s="1"/>
    </row>
    <row r="239" spans="1:10" x14ac:dyDescent="0.2">
      <c r="A239" s="1">
        <v>233</v>
      </c>
      <c r="B239" s="1" t="s">
        <v>337</v>
      </c>
      <c r="C239" s="32">
        <v>8516</v>
      </c>
      <c r="D239" s="1">
        <v>15000</v>
      </c>
      <c r="E239" s="1"/>
      <c r="F239" s="1">
        <v>167</v>
      </c>
      <c r="G239" s="1">
        <v>15000</v>
      </c>
      <c r="H239" s="5">
        <f t="shared" si="3"/>
        <v>0</v>
      </c>
      <c r="I239" s="1"/>
      <c r="J239" s="1"/>
    </row>
    <row r="240" spans="1:10" x14ac:dyDescent="0.2">
      <c r="A240" s="1">
        <v>234</v>
      </c>
      <c r="B240" s="1" t="s">
        <v>337</v>
      </c>
      <c r="C240" s="32">
        <v>2326</v>
      </c>
      <c r="D240" s="1">
        <v>25000</v>
      </c>
      <c r="E240" s="1"/>
      <c r="F240" s="1">
        <v>278</v>
      </c>
      <c r="G240" s="1">
        <v>25000</v>
      </c>
      <c r="H240" s="5">
        <f t="shared" si="3"/>
        <v>0</v>
      </c>
      <c r="I240" s="1"/>
      <c r="J240" s="1"/>
    </row>
    <row r="241" spans="1:10" x14ac:dyDescent="0.2">
      <c r="A241" s="1">
        <v>235</v>
      </c>
      <c r="B241" s="1" t="s">
        <v>337</v>
      </c>
      <c r="C241" s="32">
        <v>4371</v>
      </c>
      <c r="D241" s="1">
        <v>12000</v>
      </c>
      <c r="E241" s="1"/>
      <c r="F241" s="1">
        <v>133</v>
      </c>
      <c r="G241" s="1">
        <v>12000</v>
      </c>
      <c r="H241" s="5">
        <f t="shared" si="3"/>
        <v>0</v>
      </c>
      <c r="I241" s="1"/>
      <c r="J241" s="1"/>
    </row>
    <row r="242" spans="1:10" x14ac:dyDescent="0.2">
      <c r="A242" s="1">
        <v>236</v>
      </c>
      <c r="B242" s="1" t="s">
        <v>337</v>
      </c>
      <c r="C242" s="32">
        <v>9616</v>
      </c>
      <c r="D242" s="1">
        <v>13000</v>
      </c>
      <c r="E242" s="1"/>
      <c r="F242" s="1">
        <v>144</v>
      </c>
      <c r="G242" s="1">
        <v>13000</v>
      </c>
      <c r="H242" s="5">
        <f t="shared" si="3"/>
        <v>0</v>
      </c>
      <c r="I242" s="1"/>
      <c r="J242" s="1"/>
    </row>
    <row r="243" spans="1:10" x14ac:dyDescent="0.2">
      <c r="A243" s="1">
        <v>237</v>
      </c>
      <c r="B243" s="1" t="s">
        <v>337</v>
      </c>
      <c r="C243" s="32">
        <v>3310</v>
      </c>
      <c r="D243" s="1">
        <v>12000</v>
      </c>
      <c r="E243" s="1"/>
      <c r="F243" s="1">
        <v>133</v>
      </c>
      <c r="G243" s="1">
        <v>12000</v>
      </c>
      <c r="H243" s="5">
        <f t="shared" si="3"/>
        <v>0</v>
      </c>
      <c r="I243" s="1"/>
      <c r="J243" s="1"/>
    </row>
    <row r="244" spans="1:10" x14ac:dyDescent="0.2">
      <c r="A244" s="1">
        <v>238</v>
      </c>
      <c r="B244" s="1" t="s">
        <v>337</v>
      </c>
      <c r="C244" s="32">
        <v>1991</v>
      </c>
      <c r="D244" s="1">
        <v>12000</v>
      </c>
      <c r="E244" s="1"/>
      <c r="F244" s="1">
        <v>133</v>
      </c>
      <c r="G244" s="1">
        <v>12000</v>
      </c>
      <c r="H244" s="5">
        <f t="shared" si="3"/>
        <v>0</v>
      </c>
      <c r="I244" s="1"/>
      <c r="J244" s="1"/>
    </row>
    <row r="245" spans="1:10" x14ac:dyDescent="0.2">
      <c r="A245" s="1">
        <v>239</v>
      </c>
      <c r="B245" s="1" t="s">
        <v>337</v>
      </c>
      <c r="C245" s="32">
        <v>7827</v>
      </c>
      <c r="D245" s="1">
        <v>17000</v>
      </c>
      <c r="E245" s="1"/>
      <c r="F245" s="1">
        <v>194</v>
      </c>
      <c r="G245" s="1">
        <v>17000</v>
      </c>
      <c r="H245" s="5">
        <f t="shared" si="3"/>
        <v>0</v>
      </c>
      <c r="I245" s="1"/>
      <c r="J245" s="1"/>
    </row>
    <row r="246" spans="1:10" x14ac:dyDescent="0.2">
      <c r="A246" s="1">
        <v>240</v>
      </c>
      <c r="B246" s="1" t="s">
        <v>337</v>
      </c>
      <c r="C246" s="32">
        <v>4949</v>
      </c>
      <c r="D246" s="1">
        <v>12000</v>
      </c>
      <c r="E246" s="1"/>
      <c r="F246" s="1">
        <v>133</v>
      </c>
      <c r="G246" s="1">
        <v>12000</v>
      </c>
      <c r="H246" s="5">
        <f t="shared" si="3"/>
        <v>0</v>
      </c>
      <c r="I246" s="1"/>
      <c r="J246" s="1"/>
    </row>
    <row r="247" spans="1:10" x14ac:dyDescent="0.2">
      <c r="A247" s="1">
        <v>241</v>
      </c>
      <c r="B247" s="1" t="s">
        <v>338</v>
      </c>
      <c r="C247" s="32" t="s">
        <v>66</v>
      </c>
      <c r="D247" s="1">
        <v>210</v>
      </c>
      <c r="E247" s="1"/>
      <c r="F247" s="1">
        <v>2.15</v>
      </c>
      <c r="G247" s="1">
        <v>210</v>
      </c>
      <c r="H247" s="5">
        <f t="shared" si="3"/>
        <v>0</v>
      </c>
      <c r="I247" s="1"/>
      <c r="J247" s="1"/>
    </row>
    <row r="248" spans="1:10" x14ac:dyDescent="0.2">
      <c r="A248" s="1">
        <v>242</v>
      </c>
      <c r="B248" s="1" t="s">
        <v>339</v>
      </c>
      <c r="C248" s="32">
        <v>1434</v>
      </c>
      <c r="D248" s="1">
        <v>14000</v>
      </c>
      <c r="E248" s="1"/>
      <c r="F248" s="1">
        <v>155</v>
      </c>
      <c r="G248" s="1">
        <v>14000</v>
      </c>
      <c r="H248" s="5">
        <f t="shared" si="3"/>
        <v>0</v>
      </c>
      <c r="I248" s="1"/>
      <c r="J248" s="1"/>
    </row>
    <row r="249" spans="1:10" x14ac:dyDescent="0.2">
      <c r="A249" s="1">
        <v>243</v>
      </c>
      <c r="B249" s="1" t="s">
        <v>339</v>
      </c>
      <c r="C249" s="32">
        <v>5861</v>
      </c>
      <c r="D249" s="1">
        <v>18000</v>
      </c>
      <c r="E249" s="1"/>
      <c r="F249" s="1">
        <v>200</v>
      </c>
      <c r="G249" s="1">
        <v>18000</v>
      </c>
      <c r="H249" s="5">
        <f t="shared" si="3"/>
        <v>0</v>
      </c>
      <c r="I249" s="1"/>
      <c r="J249" s="1"/>
    </row>
    <row r="250" spans="1:10" x14ac:dyDescent="0.2">
      <c r="A250" s="1">
        <v>244</v>
      </c>
      <c r="B250" s="1" t="s">
        <v>339</v>
      </c>
      <c r="C250" s="32" t="s">
        <v>63</v>
      </c>
      <c r="D250" s="1">
        <v>4500</v>
      </c>
      <c r="E250" s="1"/>
      <c r="F250" s="1">
        <v>50.13</v>
      </c>
      <c r="G250" s="1">
        <v>4500</v>
      </c>
      <c r="H250" s="5">
        <f t="shared" si="3"/>
        <v>0</v>
      </c>
      <c r="I250" s="1"/>
      <c r="J250" s="1"/>
    </row>
    <row r="251" spans="1:10" x14ac:dyDescent="0.2">
      <c r="A251" s="1">
        <v>245</v>
      </c>
      <c r="B251" s="1" t="s">
        <v>340</v>
      </c>
      <c r="C251" s="32">
        <v>2137</v>
      </c>
      <c r="D251" s="1">
        <v>28000</v>
      </c>
      <c r="E251" s="1"/>
      <c r="F251" s="1">
        <v>311</v>
      </c>
      <c r="G251" s="1">
        <v>28000</v>
      </c>
      <c r="H251" s="5">
        <f t="shared" si="3"/>
        <v>0</v>
      </c>
      <c r="I251" s="1"/>
      <c r="J251" s="1"/>
    </row>
    <row r="252" spans="1:10" x14ac:dyDescent="0.2">
      <c r="A252" s="1">
        <v>246</v>
      </c>
      <c r="B252" s="1" t="s">
        <v>340</v>
      </c>
      <c r="C252" s="32" t="s">
        <v>30</v>
      </c>
      <c r="D252" s="1">
        <v>5000</v>
      </c>
      <c r="E252" s="1"/>
      <c r="F252" s="1">
        <v>50.13</v>
      </c>
      <c r="G252" s="1">
        <v>5000</v>
      </c>
      <c r="H252" s="5">
        <f t="shared" si="3"/>
        <v>0</v>
      </c>
      <c r="I252" s="1"/>
      <c r="J252" s="1"/>
    </row>
    <row r="253" spans="1:10" x14ac:dyDescent="0.2">
      <c r="A253" s="1">
        <v>247</v>
      </c>
      <c r="B253" s="1" t="s">
        <v>340</v>
      </c>
      <c r="C253" s="32">
        <v>4224</v>
      </c>
      <c r="D253" s="1">
        <v>25000</v>
      </c>
      <c r="E253" s="1"/>
      <c r="F253" s="1">
        <v>278</v>
      </c>
      <c r="G253" s="1">
        <v>25000</v>
      </c>
      <c r="H253" s="5">
        <f t="shared" si="3"/>
        <v>0</v>
      </c>
      <c r="I253" s="1"/>
      <c r="J253" s="1"/>
    </row>
    <row r="254" spans="1:10" x14ac:dyDescent="0.2">
      <c r="A254" s="1">
        <v>248</v>
      </c>
      <c r="B254" s="1" t="s">
        <v>340</v>
      </c>
      <c r="C254" s="32">
        <v>4365</v>
      </c>
      <c r="D254" s="1">
        <v>22000</v>
      </c>
      <c r="E254" s="1"/>
      <c r="F254" s="1">
        <v>245</v>
      </c>
      <c r="G254" s="1">
        <v>22000</v>
      </c>
      <c r="H254" s="5">
        <f t="shared" si="3"/>
        <v>0</v>
      </c>
      <c r="I254" s="1"/>
      <c r="J254" s="1"/>
    </row>
    <row r="255" spans="1:10" x14ac:dyDescent="0.2">
      <c r="A255" s="1">
        <v>249</v>
      </c>
      <c r="B255" s="1" t="s">
        <v>340</v>
      </c>
      <c r="C255" s="32">
        <v>7479</v>
      </c>
      <c r="D255" s="1">
        <v>15000</v>
      </c>
      <c r="E255" s="1"/>
      <c r="F255" s="1">
        <v>167</v>
      </c>
      <c r="G255" s="1">
        <v>15000</v>
      </c>
      <c r="H255" s="5">
        <f t="shared" si="3"/>
        <v>0</v>
      </c>
      <c r="I255" s="1"/>
      <c r="J255" s="1"/>
    </row>
    <row r="256" spans="1:10" x14ac:dyDescent="0.2">
      <c r="A256" s="1">
        <v>250</v>
      </c>
      <c r="B256" s="1" t="s">
        <v>340</v>
      </c>
      <c r="C256" s="32">
        <v>4792</v>
      </c>
      <c r="D256" s="1">
        <v>15000</v>
      </c>
      <c r="E256" s="1"/>
      <c r="F256" s="1">
        <v>167</v>
      </c>
      <c r="G256" s="1">
        <v>15000</v>
      </c>
      <c r="H256" s="5">
        <f t="shared" si="3"/>
        <v>0</v>
      </c>
      <c r="I256" s="1"/>
      <c r="J256" s="1"/>
    </row>
    <row r="257" spans="1:10" x14ac:dyDescent="0.2">
      <c r="A257" s="1">
        <v>251</v>
      </c>
      <c r="B257" s="1" t="s">
        <v>341</v>
      </c>
      <c r="C257" s="32">
        <v>6200</v>
      </c>
      <c r="D257" s="1">
        <v>5000</v>
      </c>
      <c r="E257" s="1"/>
      <c r="F257" s="1">
        <v>55.7</v>
      </c>
      <c r="G257" s="1">
        <v>5000</v>
      </c>
      <c r="H257" s="5">
        <f t="shared" si="3"/>
        <v>0</v>
      </c>
      <c r="I257" s="1"/>
      <c r="J257" s="1"/>
    </row>
    <row r="258" spans="1:10" x14ac:dyDescent="0.2">
      <c r="A258" s="1">
        <v>252</v>
      </c>
      <c r="B258" s="1" t="s">
        <v>341</v>
      </c>
      <c r="C258" s="32">
        <v>1611</v>
      </c>
      <c r="D258" s="1">
        <v>20000</v>
      </c>
      <c r="E258" s="1"/>
      <c r="F258" s="1">
        <v>222.82</v>
      </c>
      <c r="G258" s="1">
        <v>20000</v>
      </c>
      <c r="H258" s="5">
        <f t="shared" si="3"/>
        <v>0</v>
      </c>
      <c r="I258" s="1"/>
      <c r="J258" s="1"/>
    </row>
    <row r="259" spans="1:10" x14ac:dyDescent="0.2">
      <c r="A259" s="1">
        <v>253</v>
      </c>
      <c r="B259" s="1" t="s">
        <v>341</v>
      </c>
      <c r="C259" s="32">
        <v>6835</v>
      </c>
      <c r="D259" s="1">
        <v>6000</v>
      </c>
      <c r="E259" s="1"/>
      <c r="F259" s="1">
        <v>66.84</v>
      </c>
      <c r="G259" s="1">
        <v>6000</v>
      </c>
      <c r="H259" s="5">
        <f t="shared" si="3"/>
        <v>0</v>
      </c>
      <c r="I259" s="1"/>
      <c r="J259" s="1"/>
    </row>
    <row r="260" spans="1:10" x14ac:dyDescent="0.2">
      <c r="A260" s="1">
        <v>254</v>
      </c>
      <c r="B260" s="1" t="s">
        <v>341</v>
      </c>
      <c r="C260" s="32">
        <v>8065</v>
      </c>
      <c r="D260" s="1">
        <v>7700</v>
      </c>
      <c r="E260" s="1"/>
      <c r="F260" s="1">
        <v>85.78</v>
      </c>
      <c r="G260" s="1">
        <v>7700</v>
      </c>
      <c r="H260" s="5">
        <f t="shared" si="3"/>
        <v>0</v>
      </c>
      <c r="I260" s="1"/>
      <c r="J260" s="1"/>
    </row>
    <row r="261" spans="1:10" x14ac:dyDescent="0.2">
      <c r="A261" s="1">
        <v>255</v>
      </c>
      <c r="B261" s="1" t="s">
        <v>341</v>
      </c>
      <c r="C261" s="32"/>
      <c r="D261" s="1">
        <v>1000</v>
      </c>
      <c r="E261" s="1"/>
      <c r="F261" s="1">
        <v>11.14</v>
      </c>
      <c r="G261" s="1">
        <v>1000</v>
      </c>
      <c r="H261" s="5">
        <f t="shared" si="3"/>
        <v>0</v>
      </c>
      <c r="I261" s="1"/>
      <c r="J261" s="1"/>
    </row>
    <row r="262" spans="1:10" x14ac:dyDescent="0.2">
      <c r="A262" s="1">
        <v>256</v>
      </c>
      <c r="B262" s="1" t="s">
        <v>341</v>
      </c>
      <c r="C262" s="32">
        <v>9531</v>
      </c>
      <c r="D262" s="1">
        <v>20000</v>
      </c>
      <c r="E262" s="1"/>
      <c r="F262" s="1">
        <v>222.82</v>
      </c>
      <c r="G262" s="1">
        <v>20000</v>
      </c>
      <c r="H262" s="5">
        <f t="shared" si="3"/>
        <v>0</v>
      </c>
      <c r="I262" s="1"/>
      <c r="J262" s="1"/>
    </row>
    <row r="263" spans="1:10" x14ac:dyDescent="0.2">
      <c r="A263" s="1">
        <v>257</v>
      </c>
      <c r="B263" s="1" t="s">
        <v>341</v>
      </c>
      <c r="C263" s="32">
        <v>7905</v>
      </c>
      <c r="D263" s="1">
        <v>17000</v>
      </c>
      <c r="E263" s="1"/>
      <c r="F263" s="1">
        <v>189</v>
      </c>
      <c r="G263" s="1">
        <v>17000</v>
      </c>
      <c r="H263" s="5">
        <f t="shared" si="3"/>
        <v>0</v>
      </c>
      <c r="I263" s="1"/>
      <c r="J263" s="1"/>
    </row>
    <row r="264" spans="1:10" x14ac:dyDescent="0.2">
      <c r="A264" s="1">
        <v>258</v>
      </c>
      <c r="B264" s="1" t="s">
        <v>341</v>
      </c>
      <c r="C264" s="32">
        <v>5572</v>
      </c>
      <c r="D264" s="1">
        <v>20000</v>
      </c>
      <c r="E264" s="1"/>
      <c r="F264" s="1">
        <v>222.82</v>
      </c>
      <c r="G264" s="1">
        <v>20000</v>
      </c>
      <c r="H264" s="5">
        <f t="shared" si="3"/>
        <v>0</v>
      </c>
      <c r="I264" s="1"/>
      <c r="J264" s="1"/>
    </row>
    <row r="265" spans="1:10" x14ac:dyDescent="0.2">
      <c r="A265" s="1">
        <v>259</v>
      </c>
      <c r="B265" s="1" t="s">
        <v>341</v>
      </c>
      <c r="C265" s="32">
        <v>2620</v>
      </c>
      <c r="D265" s="1">
        <v>22000</v>
      </c>
      <c r="E265" s="1"/>
      <c r="F265" s="1">
        <v>245</v>
      </c>
      <c r="G265" s="1">
        <v>22000</v>
      </c>
      <c r="H265" s="5">
        <f t="shared" si="3"/>
        <v>0</v>
      </c>
      <c r="I265" s="1"/>
      <c r="J265" s="1"/>
    </row>
    <row r="266" spans="1:10" x14ac:dyDescent="0.2">
      <c r="A266" s="1">
        <v>260</v>
      </c>
      <c r="B266" s="1" t="s">
        <v>341</v>
      </c>
      <c r="C266" s="32">
        <v>2570</v>
      </c>
      <c r="D266" s="1">
        <v>18000</v>
      </c>
      <c r="E266" s="1"/>
      <c r="F266" s="1">
        <v>200</v>
      </c>
      <c r="G266" s="1">
        <v>18000</v>
      </c>
      <c r="H266" s="5">
        <f t="shared" ref="H266:H283" si="4">D266-G266</f>
        <v>0</v>
      </c>
      <c r="I266" s="1"/>
      <c r="J266" s="1"/>
    </row>
    <row r="267" spans="1:10" x14ac:dyDescent="0.2">
      <c r="A267" s="1">
        <v>261</v>
      </c>
      <c r="B267" s="1" t="s">
        <v>341</v>
      </c>
      <c r="C267" s="32">
        <v>1975</v>
      </c>
      <c r="D267" s="1">
        <v>32000</v>
      </c>
      <c r="E267" s="1"/>
      <c r="F267" s="1">
        <v>356</v>
      </c>
      <c r="G267" s="1">
        <v>32000</v>
      </c>
      <c r="H267" s="5">
        <f t="shared" si="4"/>
        <v>0</v>
      </c>
      <c r="I267" s="1"/>
      <c r="J267" s="1"/>
    </row>
    <row r="268" spans="1:10" x14ac:dyDescent="0.2">
      <c r="A268" s="1">
        <v>262</v>
      </c>
      <c r="B268" s="1" t="s">
        <v>341</v>
      </c>
      <c r="C268" s="32">
        <v>1176</v>
      </c>
      <c r="D268" s="1">
        <v>10000</v>
      </c>
      <c r="E268" s="1"/>
      <c r="F268" s="1">
        <v>111.4</v>
      </c>
      <c r="G268" s="1">
        <v>10000</v>
      </c>
      <c r="H268" s="5">
        <f t="shared" si="4"/>
        <v>0</v>
      </c>
      <c r="I268" s="1"/>
      <c r="J268" s="1"/>
    </row>
    <row r="269" spans="1:10" x14ac:dyDescent="0.2">
      <c r="A269" s="1">
        <v>263</v>
      </c>
      <c r="B269" s="1" t="s">
        <v>341</v>
      </c>
      <c r="C269" s="32">
        <v>8676</v>
      </c>
      <c r="D269" s="1">
        <v>10000</v>
      </c>
      <c r="E269" s="1"/>
      <c r="F269" s="1">
        <v>111.4</v>
      </c>
      <c r="G269" s="1">
        <v>10000</v>
      </c>
      <c r="H269" s="5">
        <f t="shared" si="4"/>
        <v>0</v>
      </c>
      <c r="I269" s="1"/>
      <c r="J269" s="1"/>
    </row>
    <row r="270" spans="1:10" x14ac:dyDescent="0.2">
      <c r="A270" s="1">
        <v>264</v>
      </c>
      <c r="B270" s="1" t="s">
        <v>341</v>
      </c>
      <c r="C270" s="32" t="s">
        <v>30</v>
      </c>
      <c r="D270" s="1">
        <v>4500</v>
      </c>
      <c r="E270" s="1"/>
      <c r="F270" s="1">
        <v>50.13</v>
      </c>
      <c r="G270" s="1">
        <v>4500</v>
      </c>
      <c r="H270" s="5">
        <f t="shared" si="4"/>
        <v>0</v>
      </c>
      <c r="I270" s="1"/>
      <c r="J270" s="1"/>
    </row>
    <row r="271" spans="1:10" x14ac:dyDescent="0.2">
      <c r="A271" s="1">
        <v>265</v>
      </c>
      <c r="B271" s="1" t="s">
        <v>341</v>
      </c>
      <c r="C271" s="32">
        <v>4371</v>
      </c>
      <c r="D271" s="1">
        <v>12000</v>
      </c>
      <c r="E271" s="1"/>
      <c r="F271" s="1">
        <v>133</v>
      </c>
      <c r="G271" s="1">
        <v>12000</v>
      </c>
      <c r="H271" s="5">
        <f t="shared" si="4"/>
        <v>0</v>
      </c>
      <c r="I271" s="1"/>
      <c r="J271" s="1"/>
    </row>
    <row r="272" spans="1:10" x14ac:dyDescent="0.2">
      <c r="A272" s="1">
        <v>266</v>
      </c>
      <c r="B272" s="1" t="s">
        <v>341</v>
      </c>
      <c r="C272" s="32">
        <v>1266</v>
      </c>
      <c r="D272" s="1">
        <v>14000</v>
      </c>
      <c r="E272" s="1"/>
      <c r="F272" s="1">
        <v>155</v>
      </c>
      <c r="G272" s="1">
        <v>14000</v>
      </c>
      <c r="H272" s="5">
        <f t="shared" si="4"/>
        <v>0</v>
      </c>
      <c r="I272" s="1"/>
      <c r="J272" s="1"/>
    </row>
    <row r="273" spans="1:12" x14ac:dyDescent="0.2">
      <c r="A273" s="1">
        <v>267</v>
      </c>
      <c r="B273" s="1" t="s">
        <v>342</v>
      </c>
      <c r="C273" s="32" t="s">
        <v>66</v>
      </c>
      <c r="D273" s="1">
        <v>200</v>
      </c>
      <c r="E273" s="1"/>
      <c r="F273" s="1">
        <v>192.04</v>
      </c>
      <c r="G273" s="1">
        <v>200</v>
      </c>
      <c r="H273" s="5">
        <f t="shared" si="4"/>
        <v>0</v>
      </c>
      <c r="I273" s="1"/>
      <c r="J273" s="1"/>
    </row>
    <row r="274" spans="1:12" x14ac:dyDescent="0.2">
      <c r="A274" s="1">
        <v>268</v>
      </c>
      <c r="B274" s="1" t="s">
        <v>342</v>
      </c>
      <c r="C274" s="32">
        <v>9903</v>
      </c>
      <c r="D274" s="1">
        <v>13000</v>
      </c>
      <c r="E274" s="1"/>
      <c r="F274" s="1">
        <v>144</v>
      </c>
      <c r="G274" s="1">
        <v>13000</v>
      </c>
      <c r="H274" s="5">
        <f t="shared" si="4"/>
        <v>0</v>
      </c>
      <c r="I274" s="1"/>
      <c r="J274" s="1"/>
    </row>
    <row r="275" spans="1:12" x14ac:dyDescent="0.2">
      <c r="A275" s="1">
        <v>269</v>
      </c>
      <c r="B275" s="1" t="s">
        <v>342</v>
      </c>
      <c r="C275" s="32">
        <v>5841</v>
      </c>
      <c r="D275" s="1">
        <v>18000</v>
      </c>
      <c r="E275" s="1"/>
      <c r="F275" s="1">
        <v>200</v>
      </c>
      <c r="G275" s="1">
        <v>18000</v>
      </c>
      <c r="H275" s="5">
        <f t="shared" si="4"/>
        <v>0</v>
      </c>
      <c r="I275" s="1"/>
      <c r="J275" s="1"/>
    </row>
    <row r="276" spans="1:12" x14ac:dyDescent="0.2">
      <c r="A276" s="1">
        <v>270</v>
      </c>
      <c r="B276" s="1" t="s">
        <v>342</v>
      </c>
      <c r="C276" s="32">
        <v>8772</v>
      </c>
      <c r="D276" s="1">
        <v>25000</v>
      </c>
      <c r="E276" s="1"/>
      <c r="F276" s="1">
        <v>317</v>
      </c>
      <c r="G276" s="1">
        <v>25000</v>
      </c>
      <c r="H276" s="5">
        <f t="shared" si="4"/>
        <v>0</v>
      </c>
      <c r="I276" s="1"/>
      <c r="J276" s="1"/>
    </row>
    <row r="277" spans="1:12" x14ac:dyDescent="0.2">
      <c r="A277" s="1">
        <v>271</v>
      </c>
      <c r="B277" s="1" t="s">
        <v>343</v>
      </c>
      <c r="C277" s="32">
        <v>2705</v>
      </c>
      <c r="D277" s="1">
        <v>12000</v>
      </c>
      <c r="E277" s="1"/>
      <c r="F277" s="1">
        <v>133</v>
      </c>
      <c r="G277" s="1">
        <v>12000</v>
      </c>
      <c r="H277" s="5">
        <f t="shared" si="4"/>
        <v>0</v>
      </c>
      <c r="I277" s="1"/>
      <c r="J277" s="1"/>
    </row>
    <row r="278" spans="1:12" x14ac:dyDescent="0.2">
      <c r="A278" s="1">
        <v>272</v>
      </c>
      <c r="B278" s="1" t="s">
        <v>343</v>
      </c>
      <c r="C278" s="32">
        <v>1593</v>
      </c>
      <c r="D278" s="1">
        <v>12000</v>
      </c>
      <c r="E278" s="1"/>
      <c r="F278" s="1">
        <v>133</v>
      </c>
      <c r="G278" s="1">
        <v>12000</v>
      </c>
      <c r="H278" s="5">
        <f t="shared" si="4"/>
        <v>0</v>
      </c>
      <c r="I278" s="1"/>
      <c r="J278" s="1"/>
    </row>
    <row r="279" spans="1:12" x14ac:dyDescent="0.2">
      <c r="A279" s="1">
        <v>273</v>
      </c>
      <c r="B279" s="1" t="s">
        <v>343</v>
      </c>
      <c r="C279" s="32">
        <v>3754</v>
      </c>
      <c r="D279" s="1">
        <v>19000</v>
      </c>
      <c r="E279" s="1"/>
      <c r="F279" s="1">
        <v>211</v>
      </c>
      <c r="G279" s="1">
        <v>19000</v>
      </c>
      <c r="H279" s="5">
        <f t="shared" si="4"/>
        <v>0</v>
      </c>
      <c r="I279" s="1"/>
      <c r="J279" s="1"/>
    </row>
    <row r="280" spans="1:12" x14ac:dyDescent="0.2">
      <c r="A280" s="1">
        <v>274</v>
      </c>
      <c r="B280" s="1" t="s">
        <v>343</v>
      </c>
      <c r="C280" s="32" t="s">
        <v>30</v>
      </c>
      <c r="D280" s="1">
        <v>8000</v>
      </c>
      <c r="E280" s="1"/>
      <c r="F280" s="1">
        <v>89</v>
      </c>
      <c r="G280" s="1">
        <v>8000</v>
      </c>
      <c r="H280" s="5">
        <f t="shared" si="4"/>
        <v>0</v>
      </c>
      <c r="I280" s="1"/>
      <c r="J280" s="1"/>
    </row>
    <row r="281" spans="1:12" x14ac:dyDescent="0.2">
      <c r="A281" s="1">
        <v>275</v>
      </c>
      <c r="B281" s="1" t="s">
        <v>343</v>
      </c>
      <c r="C281" s="32" t="s">
        <v>66</v>
      </c>
      <c r="D281" s="1">
        <v>200</v>
      </c>
      <c r="E281" s="1"/>
      <c r="F281" s="1">
        <v>192.04</v>
      </c>
      <c r="G281" s="1">
        <v>200</v>
      </c>
      <c r="H281" s="5">
        <f t="shared" si="4"/>
        <v>0</v>
      </c>
      <c r="I281" s="1"/>
      <c r="J281" s="1"/>
    </row>
    <row r="282" spans="1:12" x14ac:dyDescent="0.2">
      <c r="A282" s="1">
        <v>276</v>
      </c>
      <c r="B282" s="1" t="s">
        <v>343</v>
      </c>
      <c r="C282" s="32">
        <v>1068</v>
      </c>
      <c r="D282" s="1">
        <v>30000</v>
      </c>
      <c r="E282" s="1"/>
      <c r="F282" s="1">
        <v>334</v>
      </c>
      <c r="G282" s="1">
        <v>30000</v>
      </c>
      <c r="H282" s="5">
        <f t="shared" si="4"/>
        <v>0</v>
      </c>
      <c r="I282" s="1"/>
      <c r="J282" s="1"/>
    </row>
    <row r="283" spans="1:12" x14ac:dyDescent="0.2">
      <c r="A283" s="1">
        <v>277</v>
      </c>
      <c r="B283" s="1" t="s">
        <v>343</v>
      </c>
      <c r="C283" s="32">
        <v>4702</v>
      </c>
      <c r="D283" s="1">
        <v>16000</v>
      </c>
      <c r="E283" s="1"/>
      <c r="F283" s="1">
        <v>170</v>
      </c>
      <c r="G283" s="1">
        <v>16000</v>
      </c>
      <c r="H283" s="5">
        <f t="shared" si="4"/>
        <v>0</v>
      </c>
      <c r="I283" s="1"/>
      <c r="J283" s="1"/>
    </row>
    <row r="284" spans="1:12" ht="15" x14ac:dyDescent="0.25">
      <c r="A284" s="1"/>
      <c r="B284" s="1"/>
      <c r="C284" s="20" t="s">
        <v>9</v>
      </c>
      <c r="D284" s="21">
        <f>SUM(D6:D283)</f>
        <v>5527484</v>
      </c>
      <c r="E284" s="22"/>
      <c r="F284" s="23">
        <f>SUM(F7:F283)</f>
        <v>53516.959999999985</v>
      </c>
      <c r="G284" s="21">
        <f>SUM(G6:G283)</f>
        <v>5527484</v>
      </c>
      <c r="H284" s="22"/>
      <c r="I284" s="24">
        <f>SUM(I7:I283)</f>
        <v>4550000</v>
      </c>
      <c r="J284" s="1"/>
    </row>
    <row r="285" spans="1:12" ht="15" x14ac:dyDescent="0.25">
      <c r="A285" s="1"/>
      <c r="B285" s="1"/>
      <c r="C285" s="20" t="s">
        <v>10</v>
      </c>
      <c r="D285" s="25">
        <f>SUM(D284-I284)</f>
        <v>977484</v>
      </c>
      <c r="E285" s="22"/>
      <c r="F285" s="22"/>
      <c r="G285" s="26" t="s">
        <v>10</v>
      </c>
      <c r="H285" s="25">
        <f>SUM(G284-I284)</f>
        <v>977484</v>
      </c>
      <c r="I285" s="25"/>
      <c r="J285" s="1"/>
      <c r="L285">
        <f>1059103-977484</f>
        <v>81619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</vt:i4>
      </vt:variant>
    </vt:vector>
  </HeadingPairs>
  <TitlesOfParts>
    <vt:vector size="35" baseType="lpstr">
      <vt:lpstr>RAMESHWARAM-22-23</vt:lpstr>
      <vt:lpstr>RM-MARCH-22</vt:lpstr>
      <vt:lpstr>APR-22</vt:lpstr>
      <vt:lpstr>MAY-22</vt:lpstr>
      <vt:lpstr>JUNE-22</vt:lpstr>
      <vt:lpstr>JULY-22</vt:lpstr>
      <vt:lpstr>AUG-22</vt:lpstr>
      <vt:lpstr>SEP-22</vt:lpstr>
      <vt:lpstr>OCT-22</vt:lpstr>
      <vt:lpstr>APR TO OCT-22</vt:lpstr>
      <vt:lpstr>NOV-22</vt:lpstr>
      <vt:lpstr>DEC-22</vt:lpstr>
      <vt:lpstr>JAN-23</vt:lpstr>
      <vt:lpstr>FEB-23</vt:lpstr>
      <vt:lpstr>MAR-23</vt:lpstr>
      <vt:lpstr>RM-DISCOUNT &amp; POINT REDEEM</vt:lpstr>
      <vt:lpstr>RM-APR-23</vt:lpstr>
      <vt:lpstr>RM-MAY-23</vt:lpstr>
      <vt:lpstr>RM-JUN-23</vt:lpstr>
      <vt:lpstr>JULY-23</vt:lpstr>
      <vt:lpstr>AUG-23</vt:lpstr>
      <vt:lpstr>SEP-23</vt:lpstr>
      <vt:lpstr>OCT-23</vt:lpstr>
      <vt:lpstr>NOV-23</vt:lpstr>
      <vt:lpstr>DEC-23</vt:lpstr>
      <vt:lpstr>JAN-24</vt:lpstr>
      <vt:lpstr>feb-24</vt:lpstr>
      <vt:lpstr>MARCH-24</vt:lpstr>
      <vt:lpstr>APRIL-24</vt:lpstr>
      <vt:lpstr>MAY-24</vt:lpstr>
      <vt:lpstr>JUN-24</vt:lpstr>
      <vt:lpstr>JULY-24</vt:lpstr>
      <vt:lpstr>AUG-24</vt:lpstr>
      <vt:lpstr>SEP-24</vt:lpstr>
      <vt:lpstr>'MAY-22'!Print_Area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cp:lastPrinted>2023-11-30T06:02:06Z</cp:lastPrinted>
  <dcterms:created xsi:type="dcterms:W3CDTF">2022-03-24T05:54:16Z</dcterms:created>
  <dcterms:modified xsi:type="dcterms:W3CDTF">2024-09-03T18:27:03Z</dcterms:modified>
</cp:coreProperties>
</file>